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git\CodeScouting\SQL\"/>
    </mc:Choice>
  </mc:AlternateContent>
  <xr:revisionPtr revIDLastSave="0" documentId="13_ncr:1_{4A0E0799-C6D5-4DE1-AF5D-1267D1C1857F}" xr6:coauthVersionLast="47" xr6:coauthVersionMax="47" xr10:uidLastSave="{00000000-0000-0000-0000-000000000000}"/>
  <bookViews>
    <workbookView xWindow="-120" yWindow="-120" windowWidth="29040" windowHeight="15720" firstSheet="4" activeTab="14" xr2:uid="{00000000-000D-0000-FFFF-FFFF00000000}"/>
  </bookViews>
  <sheets>
    <sheet name="MATCH PREDICTIONS" sheetId="1" r:id="rId1"/>
    <sheet name="PLAYOFF MATCH PREDICTIONS" sheetId="2" r:id="rId2"/>
    <sheet name="TEAM LOOKUP" sheetId="3" r:id="rId3"/>
    <sheet name="TEAM COMPARISONS" sheetId="4" r:id="rId4"/>
    <sheet name="STATS OVERVIEW" sheetId="5" r:id="rId5"/>
    <sheet name="ROBOT QUALITY RAW DATA" sheetId="6" r:id="rId6"/>
    <sheet name="Score Breakdown" sheetId="7" state="hidden" r:id="rId7"/>
    <sheet name="Simplified" sheetId="8" state="hidden" r:id="rId8"/>
    <sheet name="API Internal Schedule" sheetId="9" state="hidden" r:id="rId9"/>
    <sheet name="Items by Team" sheetId="10" state="hidden" r:id="rId10"/>
    <sheet name="MATCH CALCS" sheetId="11" r:id="rId11"/>
    <sheet name="SCOUTING ERRORS" sheetId="12" r:id="rId12"/>
    <sheet name="PIT AUTO RAW DATA" sheetId="13" state="hidden" r:id="rId13"/>
    <sheet name="STRATEGY VIBE RAW DATA" sheetId="14" r:id="rId14"/>
    <sheet name="RAW MATCH DATA" sheetId="15" r:id="rId15"/>
    <sheet name="TEAM NAME AND NUMBER" sheetId="16" r:id="rId16"/>
    <sheet name="TEAM RANKING" sheetId="17" r:id="rId17"/>
    <sheet name="SCHEDULE" sheetId="18" r:id="rId18"/>
    <sheet name="POINT CALCS" sheetId="19" state="hidden" r:id="rId19"/>
  </sheets>
  <definedNames>
    <definedName name="_xlnm._FilterDatabase" localSheetId="14" hidden="1">'RAW MATCH DATA'!$A$1:$BD$119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A119" i="15" l="1"/>
  <c r="BA118" i="15"/>
  <c r="BA117" i="15"/>
  <c r="BA116" i="15"/>
  <c r="BA115" i="15"/>
  <c r="BA114" i="15"/>
  <c r="BA113" i="15"/>
  <c r="BA112" i="15"/>
  <c r="BA111" i="15"/>
  <c r="BA110" i="15"/>
  <c r="BA109" i="15"/>
  <c r="BA108" i="15"/>
  <c r="BA107" i="15"/>
  <c r="BA106" i="15"/>
  <c r="BA105" i="15"/>
  <c r="BA104" i="15"/>
  <c r="BA103" i="15"/>
  <c r="BA102" i="15"/>
  <c r="BA101" i="15"/>
  <c r="BA100" i="15"/>
  <c r="BA99" i="15"/>
  <c r="BA98" i="15"/>
  <c r="BA97" i="15"/>
  <c r="BA96" i="15"/>
  <c r="BA95" i="15"/>
  <c r="BA94" i="15"/>
  <c r="BA93" i="15"/>
  <c r="BA92" i="15"/>
  <c r="BA91" i="15"/>
  <c r="BA90" i="15"/>
  <c r="BA89" i="15"/>
  <c r="BA88" i="15"/>
  <c r="BA87" i="15"/>
  <c r="BA86" i="15"/>
  <c r="BA85" i="15"/>
  <c r="BA84" i="15"/>
  <c r="BA83" i="15"/>
  <c r="BA82" i="15"/>
  <c r="BA81" i="15"/>
  <c r="BA80" i="15"/>
  <c r="BA79" i="15"/>
  <c r="BA78" i="15"/>
  <c r="BA77" i="15"/>
  <c r="BA76" i="15"/>
  <c r="BA75" i="15"/>
  <c r="BA74" i="15"/>
  <c r="BA73" i="15"/>
  <c r="BA72" i="15"/>
  <c r="BA71" i="15"/>
  <c r="BA70" i="15"/>
  <c r="BA69" i="15"/>
  <c r="BA68" i="15"/>
  <c r="BA67" i="15"/>
  <c r="BA66" i="15"/>
  <c r="BA65" i="15"/>
  <c r="BA64" i="15"/>
  <c r="BA63" i="15"/>
  <c r="BA62" i="15"/>
  <c r="BA61" i="15"/>
  <c r="BA60" i="15"/>
  <c r="BA59" i="15"/>
  <c r="BA58" i="15"/>
  <c r="BA57" i="15"/>
  <c r="BA56" i="15"/>
  <c r="BA55" i="15"/>
  <c r="BA54" i="15"/>
  <c r="BA53" i="15"/>
  <c r="BA52" i="15"/>
  <c r="BA51" i="15"/>
  <c r="BA50" i="15"/>
  <c r="BA49" i="15"/>
  <c r="BA48" i="15"/>
  <c r="BA47" i="15"/>
  <c r="BA46" i="15"/>
  <c r="BA45" i="15"/>
  <c r="BA44" i="15"/>
  <c r="BA43" i="15"/>
  <c r="BA42" i="15"/>
  <c r="BA41" i="15"/>
  <c r="BA40" i="15"/>
  <c r="BA39" i="15"/>
  <c r="BA38" i="15"/>
  <c r="BA37" i="15"/>
  <c r="BA36" i="15"/>
  <c r="BA35" i="15"/>
  <c r="BA34" i="15"/>
  <c r="BA33" i="15"/>
  <c r="BA32" i="15"/>
  <c r="BA31" i="15"/>
  <c r="BA30" i="15"/>
  <c r="BA29" i="15"/>
  <c r="BA28" i="15"/>
  <c r="BA27" i="15"/>
  <c r="BA26" i="15"/>
  <c r="BA25" i="15"/>
  <c r="BA24" i="15"/>
  <c r="BA23" i="15"/>
  <c r="BA22" i="15"/>
  <c r="BA21" i="15"/>
  <c r="BA20" i="15"/>
  <c r="BA19" i="15"/>
  <c r="BA18" i="15"/>
  <c r="BA17" i="15"/>
  <c r="BA16" i="15"/>
  <c r="BA15" i="15"/>
  <c r="BA14" i="15"/>
  <c r="BA13" i="15"/>
  <c r="BA12" i="15"/>
  <c r="BA11" i="15"/>
  <c r="BA10" i="15"/>
  <c r="BA9" i="15"/>
  <c r="BA8" i="15"/>
  <c r="BA7" i="15"/>
  <c r="BA6" i="15"/>
  <c r="BA5" i="15"/>
  <c r="BA4" i="15"/>
  <c r="BA3" i="15"/>
  <c r="BA2" i="15"/>
  <c r="T999" i="19" l="1"/>
  <c r="S999" i="19"/>
  <c r="R999" i="19"/>
  <c r="U999" i="19" s="1"/>
  <c r="Q999" i="19" s="1"/>
  <c r="P999" i="19"/>
  <c r="O999" i="19"/>
  <c r="N999" i="19"/>
  <c r="M999" i="19"/>
  <c r="L999" i="19"/>
  <c r="K999" i="19"/>
  <c r="J999" i="19" s="1"/>
  <c r="I999" i="19"/>
  <c r="H999" i="19"/>
  <c r="G999" i="19"/>
  <c r="F999" i="19"/>
  <c r="E999" i="19"/>
  <c r="D999" i="19"/>
  <c r="C999" i="19" s="1"/>
  <c r="B999" i="19"/>
  <c r="A999" i="19"/>
  <c r="U998" i="19"/>
  <c r="Q998" i="19" s="1"/>
  <c r="V998" i="19" s="1"/>
  <c r="T998" i="19"/>
  <c r="S998" i="19"/>
  <c r="R998" i="19"/>
  <c r="P998" i="19"/>
  <c r="O998" i="19"/>
  <c r="J998" i="19" s="1"/>
  <c r="N998" i="19"/>
  <c r="M998" i="19"/>
  <c r="L998" i="19"/>
  <c r="K998" i="19"/>
  <c r="I998" i="19"/>
  <c r="H998" i="19"/>
  <c r="G998" i="19"/>
  <c r="F998" i="19"/>
  <c r="E998" i="19"/>
  <c r="D998" i="19"/>
  <c r="C998" i="19"/>
  <c r="B998" i="19"/>
  <c r="A998" i="19"/>
  <c r="T997" i="19"/>
  <c r="S997" i="19"/>
  <c r="U997" i="19" s="1"/>
  <c r="Q997" i="19" s="1"/>
  <c r="R997" i="19"/>
  <c r="P997" i="19"/>
  <c r="O997" i="19"/>
  <c r="N997" i="19"/>
  <c r="M997" i="19"/>
  <c r="L997" i="19"/>
  <c r="K997" i="19"/>
  <c r="J997" i="19" s="1"/>
  <c r="I997" i="19"/>
  <c r="H997" i="19"/>
  <c r="G997" i="19"/>
  <c r="C997" i="19" s="1"/>
  <c r="F997" i="19"/>
  <c r="E997" i="19"/>
  <c r="D997" i="19"/>
  <c r="B997" i="19"/>
  <c r="A997" i="19"/>
  <c r="T996" i="19"/>
  <c r="S996" i="19"/>
  <c r="R996" i="19"/>
  <c r="U996" i="19" s="1"/>
  <c r="Q996" i="19" s="1"/>
  <c r="P996" i="19"/>
  <c r="O996" i="19"/>
  <c r="N996" i="19"/>
  <c r="M996" i="19"/>
  <c r="L996" i="19"/>
  <c r="K996" i="19"/>
  <c r="J996" i="19" s="1"/>
  <c r="I996" i="19"/>
  <c r="H996" i="19"/>
  <c r="G996" i="19"/>
  <c r="F996" i="19"/>
  <c r="E996" i="19"/>
  <c r="D996" i="19"/>
  <c r="C996" i="19" s="1"/>
  <c r="B996" i="19"/>
  <c r="A996" i="19"/>
  <c r="U995" i="19"/>
  <c r="Q995" i="19" s="1"/>
  <c r="T995" i="19"/>
  <c r="S995" i="19"/>
  <c r="R995" i="19"/>
  <c r="P995" i="19"/>
  <c r="O995" i="19"/>
  <c r="N995" i="19"/>
  <c r="M995" i="19"/>
  <c r="L995" i="19"/>
  <c r="K995" i="19"/>
  <c r="J995" i="19" s="1"/>
  <c r="I995" i="19"/>
  <c r="C995" i="19" s="1"/>
  <c r="H995" i="19"/>
  <c r="G995" i="19"/>
  <c r="F995" i="19"/>
  <c r="E995" i="19"/>
  <c r="D995" i="19"/>
  <c r="B995" i="19"/>
  <c r="A995" i="19"/>
  <c r="T994" i="19"/>
  <c r="S994" i="19"/>
  <c r="U994" i="19" s="1"/>
  <c r="Q994" i="19" s="1"/>
  <c r="R994" i="19"/>
  <c r="P994" i="19"/>
  <c r="O994" i="19"/>
  <c r="N994" i="19"/>
  <c r="M994" i="19"/>
  <c r="J994" i="19" s="1"/>
  <c r="L994" i="19"/>
  <c r="K994" i="19"/>
  <c r="I994" i="19"/>
  <c r="H994" i="19"/>
  <c r="G994" i="19"/>
  <c r="F994" i="19"/>
  <c r="E994" i="19"/>
  <c r="D994" i="19"/>
  <c r="C994" i="19" s="1"/>
  <c r="B994" i="19"/>
  <c r="A994" i="19"/>
  <c r="T993" i="19"/>
  <c r="S993" i="19"/>
  <c r="R993" i="19"/>
  <c r="U993" i="19" s="1"/>
  <c r="Q993" i="19" s="1"/>
  <c r="P993" i="19"/>
  <c r="O993" i="19"/>
  <c r="N993" i="19"/>
  <c r="M993" i="19"/>
  <c r="L993" i="19"/>
  <c r="K993" i="19"/>
  <c r="J993" i="19" s="1"/>
  <c r="I993" i="19"/>
  <c r="H993" i="19"/>
  <c r="G993" i="19"/>
  <c r="F993" i="19"/>
  <c r="E993" i="19"/>
  <c r="D993" i="19"/>
  <c r="C993" i="19" s="1"/>
  <c r="B993" i="19"/>
  <c r="A993" i="19"/>
  <c r="U992" i="19"/>
  <c r="Q992" i="19" s="1"/>
  <c r="T992" i="19"/>
  <c r="S992" i="19"/>
  <c r="R992" i="19"/>
  <c r="P992" i="19"/>
  <c r="O992" i="19"/>
  <c r="J992" i="19" s="1"/>
  <c r="N992" i="19"/>
  <c r="M992" i="19"/>
  <c r="L992" i="19"/>
  <c r="K992" i="19"/>
  <c r="I992" i="19"/>
  <c r="H992" i="19"/>
  <c r="G992" i="19"/>
  <c r="F992" i="19"/>
  <c r="E992" i="19"/>
  <c r="D992" i="19"/>
  <c r="C992" i="19"/>
  <c r="B992" i="19"/>
  <c r="A992" i="19"/>
  <c r="T991" i="19"/>
  <c r="S991" i="19"/>
  <c r="U991" i="19" s="1"/>
  <c r="Q991" i="19" s="1"/>
  <c r="R991" i="19"/>
  <c r="P991" i="19"/>
  <c r="O991" i="19"/>
  <c r="N991" i="19"/>
  <c r="M991" i="19"/>
  <c r="L991" i="19"/>
  <c r="K991" i="19"/>
  <c r="J991" i="19" s="1"/>
  <c r="I991" i="19"/>
  <c r="H991" i="19"/>
  <c r="G991" i="19"/>
  <c r="C991" i="19" s="1"/>
  <c r="F991" i="19"/>
  <c r="E991" i="19"/>
  <c r="D991" i="19"/>
  <c r="B991" i="19"/>
  <c r="A991" i="19"/>
  <c r="T990" i="19"/>
  <c r="S990" i="19"/>
  <c r="R990" i="19"/>
  <c r="U990" i="19" s="1"/>
  <c r="Q990" i="19" s="1"/>
  <c r="P990" i="19"/>
  <c r="O990" i="19"/>
  <c r="N990" i="19"/>
  <c r="M990" i="19"/>
  <c r="L990" i="19"/>
  <c r="K990" i="19"/>
  <c r="J990" i="19" s="1"/>
  <c r="I990" i="19"/>
  <c r="H990" i="19"/>
  <c r="G990" i="19"/>
  <c r="F990" i="19"/>
  <c r="E990" i="19"/>
  <c r="D990" i="19"/>
  <c r="C990" i="19" s="1"/>
  <c r="B990" i="19"/>
  <c r="A990" i="19"/>
  <c r="U989" i="19"/>
  <c r="Q989" i="19" s="1"/>
  <c r="V989" i="19" s="1"/>
  <c r="T989" i="19"/>
  <c r="S989" i="19"/>
  <c r="R989" i="19"/>
  <c r="P989" i="19"/>
  <c r="O989" i="19"/>
  <c r="N989" i="19"/>
  <c r="M989" i="19"/>
  <c r="L989" i="19"/>
  <c r="K989" i="19"/>
  <c r="J989" i="19" s="1"/>
  <c r="I989" i="19"/>
  <c r="C989" i="19" s="1"/>
  <c r="H989" i="19"/>
  <c r="G989" i="19"/>
  <c r="F989" i="19"/>
  <c r="E989" i="19"/>
  <c r="D989" i="19"/>
  <c r="B989" i="19"/>
  <c r="A989" i="19"/>
  <c r="T988" i="19"/>
  <c r="S988" i="19"/>
  <c r="U988" i="19" s="1"/>
  <c r="Q988" i="19" s="1"/>
  <c r="R988" i="19"/>
  <c r="P988" i="19"/>
  <c r="O988" i="19"/>
  <c r="N988" i="19"/>
  <c r="M988" i="19"/>
  <c r="J988" i="19" s="1"/>
  <c r="L988" i="19"/>
  <c r="K988" i="19"/>
  <c r="I988" i="19"/>
  <c r="H988" i="19"/>
  <c r="G988" i="19"/>
  <c r="F988" i="19"/>
  <c r="E988" i="19"/>
  <c r="D988" i="19"/>
  <c r="C988" i="19" s="1"/>
  <c r="B988" i="19"/>
  <c r="A988" i="19"/>
  <c r="T987" i="19"/>
  <c r="S987" i="19"/>
  <c r="R987" i="19"/>
  <c r="U987" i="19" s="1"/>
  <c r="Q987" i="19" s="1"/>
  <c r="P987" i="19"/>
  <c r="O987" i="19"/>
  <c r="N987" i="19"/>
  <c r="M987" i="19"/>
  <c r="L987" i="19"/>
  <c r="K987" i="19"/>
  <c r="J987" i="19" s="1"/>
  <c r="I987" i="19"/>
  <c r="H987" i="19"/>
  <c r="G987" i="19"/>
  <c r="F987" i="19"/>
  <c r="E987" i="19"/>
  <c r="D987" i="19"/>
  <c r="C987" i="19" s="1"/>
  <c r="B987" i="19"/>
  <c r="A987" i="19"/>
  <c r="U986" i="19"/>
  <c r="Q986" i="19" s="1"/>
  <c r="V986" i="19" s="1"/>
  <c r="T986" i="19"/>
  <c r="S986" i="19"/>
  <c r="R986" i="19"/>
  <c r="P986" i="19"/>
  <c r="O986" i="19"/>
  <c r="J986" i="19" s="1"/>
  <c r="N986" i="19"/>
  <c r="M986" i="19"/>
  <c r="L986" i="19"/>
  <c r="K986" i="19"/>
  <c r="I986" i="19"/>
  <c r="C986" i="19" s="1"/>
  <c r="H986" i="19"/>
  <c r="G986" i="19"/>
  <c r="F986" i="19"/>
  <c r="E986" i="19"/>
  <c r="D986" i="19"/>
  <c r="B986" i="19"/>
  <c r="A986" i="19"/>
  <c r="T985" i="19"/>
  <c r="S985" i="19"/>
  <c r="U985" i="19" s="1"/>
  <c r="Q985" i="19" s="1"/>
  <c r="V985" i="19" s="1"/>
  <c r="R985" i="19"/>
  <c r="P985" i="19"/>
  <c r="O985" i="19"/>
  <c r="N985" i="19"/>
  <c r="M985" i="19"/>
  <c r="L985" i="19"/>
  <c r="K985" i="19"/>
  <c r="J985" i="19" s="1"/>
  <c r="I985" i="19"/>
  <c r="H985" i="19"/>
  <c r="G985" i="19"/>
  <c r="C985" i="19" s="1"/>
  <c r="F985" i="19"/>
  <c r="E985" i="19"/>
  <c r="D985" i="19"/>
  <c r="B985" i="19"/>
  <c r="A985" i="19"/>
  <c r="T984" i="19"/>
  <c r="S984" i="19"/>
  <c r="R984" i="19"/>
  <c r="U984" i="19" s="1"/>
  <c r="Q984" i="19" s="1"/>
  <c r="P984" i="19"/>
  <c r="O984" i="19"/>
  <c r="N984" i="19"/>
  <c r="M984" i="19"/>
  <c r="L984" i="19"/>
  <c r="K984" i="19"/>
  <c r="J984" i="19" s="1"/>
  <c r="I984" i="19"/>
  <c r="H984" i="19"/>
  <c r="G984" i="19"/>
  <c r="F984" i="19"/>
  <c r="E984" i="19"/>
  <c r="D984" i="19"/>
  <c r="C984" i="19" s="1"/>
  <c r="B984" i="19"/>
  <c r="A984" i="19"/>
  <c r="U983" i="19"/>
  <c r="Q983" i="19" s="1"/>
  <c r="V983" i="19" s="1"/>
  <c r="T983" i="19"/>
  <c r="S983" i="19"/>
  <c r="R983" i="19"/>
  <c r="P983" i="19"/>
  <c r="O983" i="19"/>
  <c r="N983" i="19"/>
  <c r="M983" i="19"/>
  <c r="L983" i="19"/>
  <c r="K983" i="19"/>
  <c r="J983" i="19" s="1"/>
  <c r="I983" i="19"/>
  <c r="H983" i="19"/>
  <c r="G983" i="19"/>
  <c r="F983" i="19"/>
  <c r="E983" i="19"/>
  <c r="D983" i="19"/>
  <c r="C983" i="19"/>
  <c r="B983" i="19"/>
  <c r="A983" i="19"/>
  <c r="T982" i="19"/>
  <c r="S982" i="19"/>
  <c r="U982" i="19" s="1"/>
  <c r="Q982" i="19" s="1"/>
  <c r="V982" i="19" s="1"/>
  <c r="R982" i="19"/>
  <c r="P982" i="19"/>
  <c r="O982" i="19"/>
  <c r="N982" i="19"/>
  <c r="M982" i="19"/>
  <c r="J982" i="19" s="1"/>
  <c r="L982" i="19"/>
  <c r="K982" i="19"/>
  <c r="I982" i="19"/>
  <c r="H982" i="19"/>
  <c r="G982" i="19"/>
  <c r="F982" i="19"/>
  <c r="E982" i="19"/>
  <c r="D982" i="19"/>
  <c r="C982" i="19" s="1"/>
  <c r="B982" i="19"/>
  <c r="A982" i="19"/>
  <c r="T981" i="19"/>
  <c r="S981" i="19"/>
  <c r="U981" i="19" s="1"/>
  <c r="Q981" i="19" s="1"/>
  <c r="R981" i="19"/>
  <c r="P981" i="19"/>
  <c r="O981" i="19"/>
  <c r="N981" i="19"/>
  <c r="M981" i="19"/>
  <c r="L981" i="19"/>
  <c r="K981" i="19"/>
  <c r="J981" i="19" s="1"/>
  <c r="I981" i="19"/>
  <c r="H981" i="19"/>
  <c r="G981" i="19"/>
  <c r="F981" i="19"/>
  <c r="E981" i="19"/>
  <c r="D981" i="19"/>
  <c r="C981" i="19" s="1"/>
  <c r="B981" i="19"/>
  <c r="A981" i="19"/>
  <c r="U980" i="19"/>
  <c r="Q980" i="19" s="1"/>
  <c r="T980" i="19"/>
  <c r="S980" i="19"/>
  <c r="R980" i="19"/>
  <c r="P980" i="19"/>
  <c r="O980" i="19"/>
  <c r="J980" i="19" s="1"/>
  <c r="N980" i="19"/>
  <c r="M980" i="19"/>
  <c r="L980" i="19"/>
  <c r="K980" i="19"/>
  <c r="I980" i="19"/>
  <c r="C980" i="19" s="1"/>
  <c r="H980" i="19"/>
  <c r="G980" i="19"/>
  <c r="F980" i="19"/>
  <c r="E980" i="19"/>
  <c r="D980" i="19"/>
  <c r="B980" i="19"/>
  <c r="A980" i="19"/>
  <c r="T979" i="19"/>
  <c r="S979" i="19"/>
  <c r="U979" i="19" s="1"/>
  <c r="Q979" i="19" s="1"/>
  <c r="R979" i="19"/>
  <c r="P979" i="19"/>
  <c r="O979" i="19"/>
  <c r="N979" i="19"/>
  <c r="M979" i="19"/>
  <c r="L979" i="19"/>
  <c r="K979" i="19"/>
  <c r="J979" i="19" s="1"/>
  <c r="I979" i="19"/>
  <c r="H979" i="19"/>
  <c r="G979" i="19"/>
  <c r="C979" i="19" s="1"/>
  <c r="F979" i="19"/>
  <c r="E979" i="19"/>
  <c r="D979" i="19"/>
  <c r="B979" i="19"/>
  <c r="A979" i="19"/>
  <c r="T978" i="19"/>
  <c r="S978" i="19"/>
  <c r="R978" i="19"/>
  <c r="U978" i="19" s="1"/>
  <c r="Q978" i="19" s="1"/>
  <c r="P978" i="19"/>
  <c r="O978" i="19"/>
  <c r="N978" i="19"/>
  <c r="M978" i="19"/>
  <c r="L978" i="19"/>
  <c r="K978" i="19"/>
  <c r="J978" i="19" s="1"/>
  <c r="I978" i="19"/>
  <c r="H978" i="19"/>
  <c r="G978" i="19"/>
  <c r="F978" i="19"/>
  <c r="E978" i="19"/>
  <c r="D978" i="19"/>
  <c r="C978" i="19" s="1"/>
  <c r="B978" i="19"/>
  <c r="A978" i="19"/>
  <c r="U977" i="19"/>
  <c r="Q977" i="19" s="1"/>
  <c r="T977" i="19"/>
  <c r="S977" i="19"/>
  <c r="R977" i="19"/>
  <c r="P977" i="19"/>
  <c r="O977" i="19"/>
  <c r="N977" i="19"/>
  <c r="M977" i="19"/>
  <c r="L977" i="19"/>
  <c r="K977" i="19"/>
  <c r="J977" i="19" s="1"/>
  <c r="I977" i="19"/>
  <c r="H977" i="19"/>
  <c r="G977" i="19"/>
  <c r="F977" i="19"/>
  <c r="E977" i="19"/>
  <c r="D977" i="19"/>
  <c r="C977" i="19"/>
  <c r="B977" i="19"/>
  <c r="A977" i="19"/>
  <c r="T976" i="19"/>
  <c r="S976" i="19"/>
  <c r="U976" i="19" s="1"/>
  <c r="Q976" i="19" s="1"/>
  <c r="R976" i="19"/>
  <c r="P976" i="19"/>
  <c r="O976" i="19"/>
  <c r="N976" i="19"/>
  <c r="M976" i="19"/>
  <c r="J976" i="19" s="1"/>
  <c r="L976" i="19"/>
  <c r="K976" i="19"/>
  <c r="I976" i="19"/>
  <c r="H976" i="19"/>
  <c r="G976" i="19"/>
  <c r="F976" i="19"/>
  <c r="E976" i="19"/>
  <c r="D976" i="19"/>
  <c r="C976" i="19" s="1"/>
  <c r="B976" i="19"/>
  <c r="A976" i="19"/>
  <c r="T975" i="19"/>
  <c r="S975" i="19"/>
  <c r="U975" i="19" s="1"/>
  <c r="Q975" i="19" s="1"/>
  <c r="V975" i="19" s="1"/>
  <c r="R975" i="19"/>
  <c r="P975" i="19"/>
  <c r="O975" i="19"/>
  <c r="N975" i="19"/>
  <c r="M975" i="19"/>
  <c r="L975" i="19"/>
  <c r="K975" i="19"/>
  <c r="J975" i="19" s="1"/>
  <c r="I975" i="19"/>
  <c r="H975" i="19"/>
  <c r="G975" i="19"/>
  <c r="F975" i="19"/>
  <c r="E975" i="19"/>
  <c r="D975" i="19"/>
  <c r="C975" i="19" s="1"/>
  <c r="B975" i="19"/>
  <c r="A975" i="19"/>
  <c r="U974" i="19"/>
  <c r="Q974" i="19" s="1"/>
  <c r="V974" i="19" s="1"/>
  <c r="T974" i="19"/>
  <c r="S974" i="19"/>
  <c r="R974" i="19"/>
  <c r="P974" i="19"/>
  <c r="O974" i="19"/>
  <c r="N974" i="19"/>
  <c r="M974" i="19"/>
  <c r="L974" i="19"/>
  <c r="K974" i="19"/>
  <c r="J974" i="19"/>
  <c r="I974" i="19"/>
  <c r="C974" i="19" s="1"/>
  <c r="H974" i="19"/>
  <c r="G974" i="19"/>
  <c r="F974" i="19"/>
  <c r="E974" i="19"/>
  <c r="D974" i="19"/>
  <c r="B974" i="19"/>
  <c r="A974" i="19"/>
  <c r="T973" i="19"/>
  <c r="S973" i="19"/>
  <c r="U973" i="19" s="1"/>
  <c r="Q973" i="19" s="1"/>
  <c r="R973" i="19"/>
  <c r="P973" i="19"/>
  <c r="O973" i="19"/>
  <c r="N973" i="19"/>
  <c r="M973" i="19"/>
  <c r="L973" i="19"/>
  <c r="K973" i="19"/>
  <c r="J973" i="19" s="1"/>
  <c r="I973" i="19"/>
  <c r="H973" i="19"/>
  <c r="G973" i="19"/>
  <c r="C973" i="19" s="1"/>
  <c r="F973" i="19"/>
  <c r="E973" i="19"/>
  <c r="D973" i="19"/>
  <c r="B973" i="19"/>
  <c r="A973" i="19"/>
  <c r="T972" i="19"/>
  <c r="S972" i="19"/>
  <c r="R972" i="19"/>
  <c r="U972" i="19" s="1"/>
  <c r="Q972" i="19" s="1"/>
  <c r="P972" i="19"/>
  <c r="O972" i="19"/>
  <c r="N972" i="19"/>
  <c r="M972" i="19"/>
  <c r="L972" i="19"/>
  <c r="K972" i="19"/>
  <c r="J972" i="19" s="1"/>
  <c r="I972" i="19"/>
  <c r="H972" i="19"/>
  <c r="G972" i="19"/>
  <c r="F972" i="19"/>
  <c r="E972" i="19"/>
  <c r="D972" i="19"/>
  <c r="C972" i="19" s="1"/>
  <c r="B972" i="19"/>
  <c r="A972" i="19"/>
  <c r="U971" i="19"/>
  <c r="Q971" i="19" s="1"/>
  <c r="T971" i="19"/>
  <c r="S971" i="19"/>
  <c r="R971" i="19"/>
  <c r="P971" i="19"/>
  <c r="O971" i="19"/>
  <c r="N971" i="19"/>
  <c r="M971" i="19"/>
  <c r="L971" i="19"/>
  <c r="K971" i="19"/>
  <c r="J971" i="19" s="1"/>
  <c r="I971" i="19"/>
  <c r="H971" i="19"/>
  <c r="G971" i="19"/>
  <c r="F971" i="19"/>
  <c r="E971" i="19"/>
  <c r="D971" i="19"/>
  <c r="C971" i="19"/>
  <c r="B971" i="19"/>
  <c r="A971" i="19"/>
  <c r="U970" i="19"/>
  <c r="Q970" i="19" s="1"/>
  <c r="V970" i="19" s="1"/>
  <c r="T970" i="19"/>
  <c r="S970" i="19"/>
  <c r="R970" i="19"/>
  <c r="P970" i="19"/>
  <c r="O970" i="19"/>
  <c r="N970" i="19"/>
  <c r="M970" i="19"/>
  <c r="J970" i="19" s="1"/>
  <c r="L970" i="19"/>
  <c r="K970" i="19"/>
  <c r="I970" i="19"/>
  <c r="H970" i="19"/>
  <c r="G970" i="19"/>
  <c r="F970" i="19"/>
  <c r="E970" i="19"/>
  <c r="D970" i="19"/>
  <c r="C970" i="19" s="1"/>
  <c r="B970" i="19"/>
  <c r="A970" i="19"/>
  <c r="T969" i="19"/>
  <c r="S969" i="19"/>
  <c r="U969" i="19" s="1"/>
  <c r="Q969" i="19" s="1"/>
  <c r="R969" i="19"/>
  <c r="P969" i="19"/>
  <c r="O969" i="19"/>
  <c r="N969" i="19"/>
  <c r="M969" i="19"/>
  <c r="L969" i="19"/>
  <c r="K969" i="19"/>
  <c r="J969" i="19" s="1"/>
  <c r="I969" i="19"/>
  <c r="H969" i="19"/>
  <c r="G969" i="19"/>
  <c r="F969" i="19"/>
  <c r="E969" i="19"/>
  <c r="D969" i="19"/>
  <c r="C969" i="19" s="1"/>
  <c r="B969" i="19"/>
  <c r="A969" i="19"/>
  <c r="U968" i="19"/>
  <c r="Q968" i="19" s="1"/>
  <c r="T968" i="19"/>
  <c r="S968" i="19"/>
  <c r="R968" i="19"/>
  <c r="P968" i="19"/>
  <c r="O968" i="19"/>
  <c r="N968" i="19"/>
  <c r="M968" i="19"/>
  <c r="L968" i="19"/>
  <c r="K968" i="19"/>
  <c r="J968" i="19"/>
  <c r="I968" i="19"/>
  <c r="H968" i="19"/>
  <c r="G968" i="19"/>
  <c r="F968" i="19"/>
  <c r="E968" i="19"/>
  <c r="C968" i="19" s="1"/>
  <c r="D968" i="19"/>
  <c r="B968" i="19"/>
  <c r="A968" i="19"/>
  <c r="T967" i="19"/>
  <c r="S967" i="19"/>
  <c r="U967" i="19" s="1"/>
  <c r="Q967" i="19" s="1"/>
  <c r="R967" i="19"/>
  <c r="P967" i="19"/>
  <c r="O967" i="19"/>
  <c r="N967" i="19"/>
  <c r="M967" i="19"/>
  <c r="L967" i="19"/>
  <c r="K967" i="19"/>
  <c r="J967" i="19" s="1"/>
  <c r="I967" i="19"/>
  <c r="H967" i="19"/>
  <c r="G967" i="19"/>
  <c r="C967" i="19" s="1"/>
  <c r="F967" i="19"/>
  <c r="E967" i="19"/>
  <c r="D967" i="19"/>
  <c r="B967" i="19"/>
  <c r="A967" i="19"/>
  <c r="T966" i="19"/>
  <c r="S966" i="19"/>
  <c r="R966" i="19"/>
  <c r="U966" i="19" s="1"/>
  <c r="Q966" i="19" s="1"/>
  <c r="P966" i="19"/>
  <c r="O966" i="19"/>
  <c r="N966" i="19"/>
  <c r="M966" i="19"/>
  <c r="L966" i="19"/>
  <c r="K966" i="19"/>
  <c r="J966" i="19" s="1"/>
  <c r="I966" i="19"/>
  <c r="H966" i="19"/>
  <c r="G966" i="19"/>
  <c r="F966" i="19"/>
  <c r="E966" i="19"/>
  <c r="D966" i="19"/>
  <c r="C966" i="19" s="1"/>
  <c r="B966" i="19"/>
  <c r="A966" i="19"/>
  <c r="U965" i="19"/>
  <c r="Q965" i="19" s="1"/>
  <c r="T965" i="19"/>
  <c r="S965" i="19"/>
  <c r="R965" i="19"/>
  <c r="P965" i="19"/>
  <c r="O965" i="19"/>
  <c r="N965" i="19"/>
  <c r="M965" i="19"/>
  <c r="L965" i="19"/>
  <c r="K965" i="19"/>
  <c r="J965" i="19" s="1"/>
  <c r="I965" i="19"/>
  <c r="H965" i="19"/>
  <c r="G965" i="19"/>
  <c r="F965" i="19"/>
  <c r="E965" i="19"/>
  <c r="D965" i="19"/>
  <c r="C965" i="19"/>
  <c r="B965" i="19"/>
  <c r="A965" i="19"/>
  <c r="U964" i="19"/>
  <c r="Q964" i="19" s="1"/>
  <c r="T964" i="19"/>
  <c r="S964" i="19"/>
  <c r="R964" i="19"/>
  <c r="P964" i="19"/>
  <c r="O964" i="19"/>
  <c r="N964" i="19"/>
  <c r="M964" i="19"/>
  <c r="J964" i="19" s="1"/>
  <c r="L964" i="19"/>
  <c r="K964" i="19"/>
  <c r="I964" i="19"/>
  <c r="H964" i="19"/>
  <c r="G964" i="19"/>
  <c r="F964" i="19"/>
  <c r="E964" i="19"/>
  <c r="D964" i="19"/>
  <c r="C964" i="19" s="1"/>
  <c r="B964" i="19"/>
  <c r="A964" i="19"/>
  <c r="T963" i="19"/>
  <c r="S963" i="19"/>
  <c r="U963" i="19" s="1"/>
  <c r="Q963" i="19" s="1"/>
  <c r="V963" i="19" s="1"/>
  <c r="R963" i="19"/>
  <c r="P963" i="19"/>
  <c r="O963" i="19"/>
  <c r="N963" i="19"/>
  <c r="M963" i="19"/>
  <c r="L963" i="19"/>
  <c r="K963" i="19"/>
  <c r="J963" i="19" s="1"/>
  <c r="I963" i="19"/>
  <c r="H963" i="19"/>
  <c r="G963" i="19"/>
  <c r="F963" i="19"/>
  <c r="E963" i="19"/>
  <c r="D963" i="19"/>
  <c r="C963" i="19" s="1"/>
  <c r="B963" i="19"/>
  <c r="A963" i="19"/>
  <c r="U962" i="19"/>
  <c r="Q962" i="19" s="1"/>
  <c r="T962" i="19"/>
  <c r="S962" i="19"/>
  <c r="R962" i="19"/>
  <c r="P962" i="19"/>
  <c r="O962" i="19"/>
  <c r="N962" i="19"/>
  <c r="M962" i="19"/>
  <c r="L962" i="19"/>
  <c r="K962" i="19"/>
  <c r="J962" i="19"/>
  <c r="I962" i="19"/>
  <c r="H962" i="19"/>
  <c r="G962" i="19"/>
  <c r="F962" i="19"/>
  <c r="E962" i="19"/>
  <c r="C962" i="19" s="1"/>
  <c r="D962" i="19"/>
  <c r="B962" i="19"/>
  <c r="A962" i="19"/>
  <c r="T961" i="19"/>
  <c r="S961" i="19"/>
  <c r="U961" i="19" s="1"/>
  <c r="Q961" i="19" s="1"/>
  <c r="V961" i="19" s="1"/>
  <c r="R961" i="19"/>
  <c r="P961" i="19"/>
  <c r="O961" i="19"/>
  <c r="N961" i="19"/>
  <c r="M961" i="19"/>
  <c r="L961" i="19"/>
  <c r="K961" i="19"/>
  <c r="J961" i="19" s="1"/>
  <c r="I961" i="19"/>
  <c r="H961" i="19"/>
  <c r="G961" i="19"/>
  <c r="C961" i="19" s="1"/>
  <c r="F961" i="19"/>
  <c r="E961" i="19"/>
  <c r="D961" i="19"/>
  <c r="B961" i="19"/>
  <c r="A961" i="19"/>
  <c r="T960" i="19"/>
  <c r="S960" i="19"/>
  <c r="R960" i="19"/>
  <c r="U960" i="19" s="1"/>
  <c r="Q960" i="19" s="1"/>
  <c r="P960" i="19"/>
  <c r="O960" i="19"/>
  <c r="N960" i="19"/>
  <c r="M960" i="19"/>
  <c r="L960" i="19"/>
  <c r="K960" i="19"/>
  <c r="J960" i="19" s="1"/>
  <c r="I960" i="19"/>
  <c r="H960" i="19"/>
  <c r="G960" i="19"/>
  <c r="F960" i="19"/>
  <c r="E960" i="19"/>
  <c r="D960" i="19"/>
  <c r="C960" i="19" s="1"/>
  <c r="B960" i="19"/>
  <c r="A960" i="19"/>
  <c r="U959" i="19"/>
  <c r="Q959" i="19" s="1"/>
  <c r="T959" i="19"/>
  <c r="S959" i="19"/>
  <c r="R959" i="19"/>
  <c r="P959" i="19"/>
  <c r="O959" i="19"/>
  <c r="N959" i="19"/>
  <c r="M959" i="19"/>
  <c r="L959" i="19"/>
  <c r="K959" i="19"/>
  <c r="J959" i="19" s="1"/>
  <c r="I959" i="19"/>
  <c r="H959" i="19"/>
  <c r="G959" i="19"/>
  <c r="F959" i="19"/>
  <c r="E959" i="19"/>
  <c r="D959" i="19"/>
  <c r="C959" i="19"/>
  <c r="B959" i="19"/>
  <c r="A959" i="19"/>
  <c r="U958" i="19"/>
  <c r="Q958" i="19" s="1"/>
  <c r="T958" i="19"/>
  <c r="S958" i="19"/>
  <c r="R958" i="19"/>
  <c r="P958" i="19"/>
  <c r="O958" i="19"/>
  <c r="N958" i="19"/>
  <c r="M958" i="19"/>
  <c r="J958" i="19" s="1"/>
  <c r="L958" i="19"/>
  <c r="K958" i="19"/>
  <c r="I958" i="19"/>
  <c r="H958" i="19"/>
  <c r="G958" i="19"/>
  <c r="F958" i="19"/>
  <c r="E958" i="19"/>
  <c r="D958" i="19"/>
  <c r="C958" i="19" s="1"/>
  <c r="B958" i="19"/>
  <c r="A958" i="19"/>
  <c r="T957" i="19"/>
  <c r="S957" i="19"/>
  <c r="U957" i="19" s="1"/>
  <c r="Q957" i="19" s="1"/>
  <c r="R957" i="19"/>
  <c r="P957" i="19"/>
  <c r="O957" i="19"/>
  <c r="N957" i="19"/>
  <c r="M957" i="19"/>
  <c r="L957" i="19"/>
  <c r="K957" i="19"/>
  <c r="J957" i="19" s="1"/>
  <c r="I957" i="19"/>
  <c r="H957" i="19"/>
  <c r="G957" i="19"/>
  <c r="F957" i="19"/>
  <c r="E957" i="19"/>
  <c r="D957" i="19"/>
  <c r="C957" i="19" s="1"/>
  <c r="B957" i="19"/>
  <c r="A957" i="19"/>
  <c r="U956" i="19"/>
  <c r="Q956" i="19" s="1"/>
  <c r="T956" i="19"/>
  <c r="S956" i="19"/>
  <c r="R956" i="19"/>
  <c r="P956" i="19"/>
  <c r="O956" i="19"/>
  <c r="N956" i="19"/>
  <c r="M956" i="19"/>
  <c r="L956" i="19"/>
  <c r="K956" i="19"/>
  <c r="J956" i="19"/>
  <c r="I956" i="19"/>
  <c r="H956" i="19"/>
  <c r="G956" i="19"/>
  <c r="F956" i="19"/>
  <c r="E956" i="19"/>
  <c r="C956" i="19" s="1"/>
  <c r="D956" i="19"/>
  <c r="B956" i="19"/>
  <c r="A956" i="19"/>
  <c r="T955" i="19"/>
  <c r="S955" i="19"/>
  <c r="U955" i="19" s="1"/>
  <c r="Q955" i="19" s="1"/>
  <c r="R955" i="19"/>
  <c r="P955" i="19"/>
  <c r="O955" i="19"/>
  <c r="N955" i="19"/>
  <c r="M955" i="19"/>
  <c r="L955" i="19"/>
  <c r="K955" i="19"/>
  <c r="J955" i="19" s="1"/>
  <c r="I955" i="19"/>
  <c r="H955" i="19"/>
  <c r="G955" i="19"/>
  <c r="C955" i="19" s="1"/>
  <c r="F955" i="19"/>
  <c r="E955" i="19"/>
  <c r="D955" i="19"/>
  <c r="B955" i="19"/>
  <c r="A955" i="19"/>
  <c r="T954" i="19"/>
  <c r="S954" i="19"/>
  <c r="R954" i="19"/>
  <c r="U954" i="19" s="1"/>
  <c r="Q954" i="19" s="1"/>
  <c r="P954" i="19"/>
  <c r="O954" i="19"/>
  <c r="N954" i="19"/>
  <c r="M954" i="19"/>
  <c r="L954" i="19"/>
  <c r="K954" i="19"/>
  <c r="J954" i="19" s="1"/>
  <c r="I954" i="19"/>
  <c r="H954" i="19"/>
  <c r="G954" i="19"/>
  <c r="F954" i="19"/>
  <c r="E954" i="19"/>
  <c r="D954" i="19"/>
  <c r="C954" i="19" s="1"/>
  <c r="B954" i="19"/>
  <c r="A954" i="19"/>
  <c r="U953" i="19"/>
  <c r="Q953" i="19" s="1"/>
  <c r="V953" i="19" s="1"/>
  <c r="T953" i="19"/>
  <c r="S953" i="19"/>
  <c r="R953" i="19"/>
  <c r="P953" i="19"/>
  <c r="O953" i="19"/>
  <c r="N953" i="19"/>
  <c r="M953" i="19"/>
  <c r="L953" i="19"/>
  <c r="K953" i="19"/>
  <c r="J953" i="19" s="1"/>
  <c r="I953" i="19"/>
  <c r="H953" i="19"/>
  <c r="G953" i="19"/>
  <c r="F953" i="19"/>
  <c r="E953" i="19"/>
  <c r="D953" i="19"/>
  <c r="C953" i="19"/>
  <c r="B953" i="19"/>
  <c r="A953" i="19"/>
  <c r="U952" i="19"/>
  <c r="Q952" i="19" s="1"/>
  <c r="T952" i="19"/>
  <c r="S952" i="19"/>
  <c r="R952" i="19"/>
  <c r="P952" i="19"/>
  <c r="O952" i="19"/>
  <c r="N952" i="19"/>
  <c r="M952" i="19"/>
  <c r="J952" i="19" s="1"/>
  <c r="L952" i="19"/>
  <c r="K952" i="19"/>
  <c r="I952" i="19"/>
  <c r="H952" i="19"/>
  <c r="G952" i="19"/>
  <c r="F952" i="19"/>
  <c r="E952" i="19"/>
  <c r="D952" i="19"/>
  <c r="C952" i="19" s="1"/>
  <c r="B952" i="19"/>
  <c r="A952" i="19"/>
  <c r="T951" i="19"/>
  <c r="S951" i="19"/>
  <c r="U951" i="19" s="1"/>
  <c r="Q951" i="19" s="1"/>
  <c r="R951" i="19"/>
  <c r="P951" i="19"/>
  <c r="O951" i="19"/>
  <c r="N951" i="19"/>
  <c r="M951" i="19"/>
  <c r="L951" i="19"/>
  <c r="K951" i="19"/>
  <c r="J951" i="19" s="1"/>
  <c r="I951" i="19"/>
  <c r="H951" i="19"/>
  <c r="G951" i="19"/>
  <c r="F951" i="19"/>
  <c r="E951" i="19"/>
  <c r="D951" i="19"/>
  <c r="C951" i="19" s="1"/>
  <c r="B951" i="19"/>
  <c r="A951" i="19"/>
  <c r="U950" i="19"/>
  <c r="Q950" i="19" s="1"/>
  <c r="V950" i="19" s="1"/>
  <c r="T950" i="19"/>
  <c r="S950" i="19"/>
  <c r="R950" i="19"/>
  <c r="P950" i="19"/>
  <c r="O950" i="19"/>
  <c r="N950" i="19"/>
  <c r="M950" i="19"/>
  <c r="L950" i="19"/>
  <c r="K950" i="19"/>
  <c r="J950" i="19"/>
  <c r="I950" i="19"/>
  <c r="H950" i="19"/>
  <c r="G950" i="19"/>
  <c r="F950" i="19"/>
  <c r="E950" i="19"/>
  <c r="C950" i="19" s="1"/>
  <c r="D950" i="19"/>
  <c r="B950" i="19"/>
  <c r="A950" i="19"/>
  <c r="T949" i="19"/>
  <c r="S949" i="19"/>
  <c r="U949" i="19" s="1"/>
  <c r="Q949" i="19" s="1"/>
  <c r="R949" i="19"/>
  <c r="P949" i="19"/>
  <c r="O949" i="19"/>
  <c r="N949" i="19"/>
  <c r="M949" i="19"/>
  <c r="L949" i="19"/>
  <c r="K949" i="19"/>
  <c r="J949" i="19" s="1"/>
  <c r="I949" i="19"/>
  <c r="H949" i="19"/>
  <c r="G949" i="19"/>
  <c r="C949" i="19" s="1"/>
  <c r="F949" i="19"/>
  <c r="E949" i="19"/>
  <c r="D949" i="19"/>
  <c r="B949" i="19"/>
  <c r="A949" i="19"/>
  <c r="T948" i="19"/>
  <c r="S948" i="19"/>
  <c r="R948" i="19"/>
  <c r="U948" i="19" s="1"/>
  <c r="Q948" i="19" s="1"/>
  <c r="P948" i="19"/>
  <c r="O948" i="19"/>
  <c r="N948" i="19"/>
  <c r="M948" i="19"/>
  <c r="L948" i="19"/>
  <c r="K948" i="19"/>
  <c r="J948" i="19" s="1"/>
  <c r="I948" i="19"/>
  <c r="H948" i="19"/>
  <c r="G948" i="19"/>
  <c r="F948" i="19"/>
  <c r="E948" i="19"/>
  <c r="D948" i="19"/>
  <c r="C948" i="19" s="1"/>
  <c r="B948" i="19"/>
  <c r="A948" i="19"/>
  <c r="U947" i="19"/>
  <c r="Q947" i="19" s="1"/>
  <c r="V947" i="19" s="1"/>
  <c r="T947" i="19"/>
  <c r="S947" i="19"/>
  <c r="R947" i="19"/>
  <c r="P947" i="19"/>
  <c r="O947" i="19"/>
  <c r="N947" i="19"/>
  <c r="M947" i="19"/>
  <c r="L947" i="19"/>
  <c r="K947" i="19"/>
  <c r="J947" i="19" s="1"/>
  <c r="I947" i="19"/>
  <c r="H947" i="19"/>
  <c r="G947" i="19"/>
  <c r="F947" i="19"/>
  <c r="E947" i="19"/>
  <c r="D947" i="19"/>
  <c r="C947" i="19"/>
  <c r="B947" i="19"/>
  <c r="A947" i="19"/>
  <c r="U946" i="19"/>
  <c r="Q946" i="19" s="1"/>
  <c r="V946" i="19" s="1"/>
  <c r="T946" i="19"/>
  <c r="S946" i="19"/>
  <c r="R946" i="19"/>
  <c r="P946" i="19"/>
  <c r="O946" i="19"/>
  <c r="N946" i="19"/>
  <c r="M946" i="19"/>
  <c r="J946" i="19" s="1"/>
  <c r="L946" i="19"/>
  <c r="K946" i="19"/>
  <c r="I946" i="19"/>
  <c r="H946" i="19"/>
  <c r="G946" i="19"/>
  <c r="F946" i="19"/>
  <c r="E946" i="19"/>
  <c r="D946" i="19"/>
  <c r="C946" i="19" s="1"/>
  <c r="B946" i="19"/>
  <c r="A946" i="19"/>
  <c r="T945" i="19"/>
  <c r="S945" i="19"/>
  <c r="R945" i="19"/>
  <c r="U945" i="19" s="1"/>
  <c r="Q945" i="19" s="1"/>
  <c r="P945" i="19"/>
  <c r="O945" i="19"/>
  <c r="N945" i="19"/>
  <c r="M945" i="19"/>
  <c r="L945" i="19"/>
  <c r="K945" i="19"/>
  <c r="J945" i="19" s="1"/>
  <c r="I945" i="19"/>
  <c r="H945" i="19"/>
  <c r="G945" i="19"/>
  <c r="F945" i="19"/>
  <c r="E945" i="19"/>
  <c r="D945" i="19"/>
  <c r="C945" i="19" s="1"/>
  <c r="B945" i="19"/>
  <c r="A945" i="19"/>
  <c r="U944" i="19"/>
  <c r="Q944" i="19" s="1"/>
  <c r="T944" i="19"/>
  <c r="S944" i="19"/>
  <c r="R944" i="19"/>
  <c r="P944" i="19"/>
  <c r="O944" i="19"/>
  <c r="N944" i="19"/>
  <c r="M944" i="19"/>
  <c r="L944" i="19"/>
  <c r="K944" i="19"/>
  <c r="J944" i="19"/>
  <c r="I944" i="19"/>
  <c r="H944" i="19"/>
  <c r="G944" i="19"/>
  <c r="F944" i="19"/>
  <c r="E944" i="19"/>
  <c r="C944" i="19" s="1"/>
  <c r="D944" i="19"/>
  <c r="B944" i="19"/>
  <c r="A944" i="19"/>
  <c r="T943" i="19"/>
  <c r="S943" i="19"/>
  <c r="U943" i="19" s="1"/>
  <c r="Q943" i="19" s="1"/>
  <c r="R943" i="19"/>
  <c r="P943" i="19"/>
  <c r="O943" i="19"/>
  <c r="N943" i="19"/>
  <c r="M943" i="19"/>
  <c r="L943" i="19"/>
  <c r="K943" i="19"/>
  <c r="J943" i="19" s="1"/>
  <c r="I943" i="19"/>
  <c r="H943" i="19"/>
  <c r="G943" i="19"/>
  <c r="C943" i="19" s="1"/>
  <c r="F943" i="19"/>
  <c r="E943" i="19"/>
  <c r="D943" i="19"/>
  <c r="B943" i="19"/>
  <c r="A943" i="19"/>
  <c r="T942" i="19"/>
  <c r="S942" i="19"/>
  <c r="R942" i="19"/>
  <c r="U942" i="19" s="1"/>
  <c r="Q942" i="19" s="1"/>
  <c r="P942" i="19"/>
  <c r="O942" i="19"/>
  <c r="N942" i="19"/>
  <c r="M942" i="19"/>
  <c r="L942" i="19"/>
  <c r="K942" i="19"/>
  <c r="J942" i="19" s="1"/>
  <c r="I942" i="19"/>
  <c r="H942" i="19"/>
  <c r="G942" i="19"/>
  <c r="F942" i="19"/>
  <c r="E942" i="19"/>
  <c r="D942" i="19"/>
  <c r="C942" i="19" s="1"/>
  <c r="B942" i="19"/>
  <c r="A942" i="19"/>
  <c r="U941" i="19"/>
  <c r="Q941" i="19" s="1"/>
  <c r="V941" i="19" s="1"/>
  <c r="T941" i="19"/>
  <c r="S941" i="19"/>
  <c r="R941" i="19"/>
  <c r="P941" i="19"/>
  <c r="O941" i="19"/>
  <c r="N941" i="19"/>
  <c r="M941" i="19"/>
  <c r="L941" i="19"/>
  <c r="K941" i="19"/>
  <c r="J941" i="19" s="1"/>
  <c r="I941" i="19"/>
  <c r="H941" i="19"/>
  <c r="G941" i="19"/>
  <c r="F941" i="19"/>
  <c r="E941" i="19"/>
  <c r="D941" i="19"/>
  <c r="C941" i="19"/>
  <c r="B941" i="19"/>
  <c r="A941" i="19"/>
  <c r="U940" i="19"/>
  <c r="Q940" i="19" s="1"/>
  <c r="T940" i="19"/>
  <c r="S940" i="19"/>
  <c r="R940" i="19"/>
  <c r="P940" i="19"/>
  <c r="O940" i="19"/>
  <c r="N940" i="19"/>
  <c r="M940" i="19"/>
  <c r="J940" i="19" s="1"/>
  <c r="L940" i="19"/>
  <c r="K940" i="19"/>
  <c r="I940" i="19"/>
  <c r="H940" i="19"/>
  <c r="G940" i="19"/>
  <c r="F940" i="19"/>
  <c r="E940" i="19"/>
  <c r="D940" i="19"/>
  <c r="C940" i="19" s="1"/>
  <c r="B940" i="19"/>
  <c r="A940" i="19"/>
  <c r="T939" i="19"/>
  <c r="S939" i="19"/>
  <c r="R939" i="19"/>
  <c r="U939" i="19" s="1"/>
  <c r="Q939" i="19" s="1"/>
  <c r="P939" i="19"/>
  <c r="O939" i="19"/>
  <c r="N939" i="19"/>
  <c r="M939" i="19"/>
  <c r="L939" i="19"/>
  <c r="K939" i="19"/>
  <c r="J939" i="19" s="1"/>
  <c r="I939" i="19"/>
  <c r="H939" i="19"/>
  <c r="G939" i="19"/>
  <c r="F939" i="19"/>
  <c r="E939" i="19"/>
  <c r="D939" i="19"/>
  <c r="C939" i="19" s="1"/>
  <c r="B939" i="19"/>
  <c r="A939" i="19"/>
  <c r="U938" i="19"/>
  <c r="Q938" i="19" s="1"/>
  <c r="V938" i="19" s="1"/>
  <c r="T938" i="19"/>
  <c r="S938" i="19"/>
  <c r="R938" i="19"/>
  <c r="P938" i="19"/>
  <c r="O938" i="19"/>
  <c r="N938" i="19"/>
  <c r="M938" i="19"/>
  <c r="L938" i="19"/>
  <c r="K938" i="19"/>
  <c r="J938" i="19"/>
  <c r="I938" i="19"/>
  <c r="H938" i="19"/>
  <c r="G938" i="19"/>
  <c r="F938" i="19"/>
  <c r="E938" i="19"/>
  <c r="C938" i="19" s="1"/>
  <c r="D938" i="19"/>
  <c r="B938" i="19"/>
  <c r="A938" i="19"/>
  <c r="T937" i="19"/>
  <c r="S937" i="19"/>
  <c r="U937" i="19" s="1"/>
  <c r="Q937" i="19" s="1"/>
  <c r="V937" i="19" s="1"/>
  <c r="R937" i="19"/>
  <c r="P937" i="19"/>
  <c r="O937" i="19"/>
  <c r="N937" i="19"/>
  <c r="M937" i="19"/>
  <c r="L937" i="19"/>
  <c r="K937" i="19"/>
  <c r="J937" i="19" s="1"/>
  <c r="I937" i="19"/>
  <c r="H937" i="19"/>
  <c r="G937" i="19"/>
  <c r="C937" i="19" s="1"/>
  <c r="F937" i="19"/>
  <c r="E937" i="19"/>
  <c r="D937" i="19"/>
  <c r="B937" i="19"/>
  <c r="A937" i="19"/>
  <c r="T936" i="19"/>
  <c r="S936" i="19"/>
  <c r="R936" i="19"/>
  <c r="U936" i="19" s="1"/>
  <c r="Q936" i="19" s="1"/>
  <c r="P936" i="19"/>
  <c r="O936" i="19"/>
  <c r="N936" i="19"/>
  <c r="M936" i="19"/>
  <c r="L936" i="19"/>
  <c r="K936" i="19"/>
  <c r="J936" i="19" s="1"/>
  <c r="I936" i="19"/>
  <c r="H936" i="19"/>
  <c r="G936" i="19"/>
  <c r="F936" i="19"/>
  <c r="E936" i="19"/>
  <c r="D936" i="19"/>
  <c r="C936" i="19" s="1"/>
  <c r="B936" i="19"/>
  <c r="A936" i="19"/>
  <c r="U935" i="19"/>
  <c r="Q935" i="19" s="1"/>
  <c r="T935" i="19"/>
  <c r="S935" i="19"/>
  <c r="R935" i="19"/>
  <c r="P935" i="19"/>
  <c r="O935" i="19"/>
  <c r="N935" i="19"/>
  <c r="M935" i="19"/>
  <c r="L935" i="19"/>
  <c r="K935" i="19"/>
  <c r="J935" i="19" s="1"/>
  <c r="I935" i="19"/>
  <c r="H935" i="19"/>
  <c r="G935" i="19"/>
  <c r="F935" i="19"/>
  <c r="E935" i="19"/>
  <c r="D935" i="19"/>
  <c r="C935" i="19"/>
  <c r="B935" i="19"/>
  <c r="A935" i="19"/>
  <c r="U934" i="19"/>
  <c r="Q934" i="19" s="1"/>
  <c r="V934" i="19" s="1"/>
  <c r="T934" i="19"/>
  <c r="S934" i="19"/>
  <c r="R934" i="19"/>
  <c r="P934" i="19"/>
  <c r="O934" i="19"/>
  <c r="N934" i="19"/>
  <c r="M934" i="19"/>
  <c r="J934" i="19" s="1"/>
  <c r="L934" i="19"/>
  <c r="K934" i="19"/>
  <c r="I934" i="19"/>
  <c r="H934" i="19"/>
  <c r="G934" i="19"/>
  <c r="F934" i="19"/>
  <c r="E934" i="19"/>
  <c r="D934" i="19"/>
  <c r="C934" i="19" s="1"/>
  <c r="B934" i="19"/>
  <c r="A934" i="19"/>
  <c r="T933" i="19"/>
  <c r="S933" i="19"/>
  <c r="R933" i="19"/>
  <c r="U933" i="19" s="1"/>
  <c r="Q933" i="19" s="1"/>
  <c r="P933" i="19"/>
  <c r="O933" i="19"/>
  <c r="N933" i="19"/>
  <c r="M933" i="19"/>
  <c r="L933" i="19"/>
  <c r="K933" i="19"/>
  <c r="J933" i="19" s="1"/>
  <c r="I933" i="19"/>
  <c r="H933" i="19"/>
  <c r="G933" i="19"/>
  <c r="F933" i="19"/>
  <c r="E933" i="19"/>
  <c r="D933" i="19"/>
  <c r="C933" i="19" s="1"/>
  <c r="B933" i="19"/>
  <c r="A933" i="19"/>
  <c r="U932" i="19"/>
  <c r="Q932" i="19" s="1"/>
  <c r="V932" i="19" s="1"/>
  <c r="T932" i="19"/>
  <c r="S932" i="19"/>
  <c r="R932" i="19"/>
  <c r="P932" i="19"/>
  <c r="O932" i="19"/>
  <c r="N932" i="19"/>
  <c r="M932" i="19"/>
  <c r="L932" i="19"/>
  <c r="K932" i="19"/>
  <c r="J932" i="19"/>
  <c r="I932" i="19"/>
  <c r="H932" i="19"/>
  <c r="G932" i="19"/>
  <c r="F932" i="19"/>
  <c r="E932" i="19"/>
  <c r="C932" i="19" s="1"/>
  <c r="D932" i="19"/>
  <c r="B932" i="19"/>
  <c r="A932" i="19"/>
  <c r="T931" i="19"/>
  <c r="S931" i="19"/>
  <c r="R931" i="19"/>
  <c r="U931" i="19" s="1"/>
  <c r="Q931" i="19" s="1"/>
  <c r="V931" i="19" s="1"/>
  <c r="P931" i="19"/>
  <c r="O931" i="19"/>
  <c r="N931" i="19"/>
  <c r="M931" i="19"/>
  <c r="L931" i="19"/>
  <c r="K931" i="19"/>
  <c r="J931" i="19" s="1"/>
  <c r="I931" i="19"/>
  <c r="H931" i="19"/>
  <c r="G931" i="19"/>
  <c r="C931" i="19" s="1"/>
  <c r="F931" i="19"/>
  <c r="E931" i="19"/>
  <c r="D931" i="19"/>
  <c r="B931" i="19"/>
  <c r="A931" i="19"/>
  <c r="T930" i="19"/>
  <c r="S930" i="19"/>
  <c r="R930" i="19"/>
  <c r="U930" i="19" s="1"/>
  <c r="Q930" i="19" s="1"/>
  <c r="P930" i="19"/>
  <c r="O930" i="19"/>
  <c r="N930" i="19"/>
  <c r="M930" i="19"/>
  <c r="L930" i="19"/>
  <c r="K930" i="19"/>
  <c r="J930" i="19" s="1"/>
  <c r="I930" i="19"/>
  <c r="H930" i="19"/>
  <c r="G930" i="19"/>
  <c r="F930" i="19"/>
  <c r="E930" i="19"/>
  <c r="C930" i="19" s="1"/>
  <c r="D930" i="19"/>
  <c r="B930" i="19"/>
  <c r="A930" i="19"/>
  <c r="U929" i="19"/>
  <c r="Q929" i="19" s="1"/>
  <c r="V929" i="19" s="1"/>
  <c r="T929" i="19"/>
  <c r="S929" i="19"/>
  <c r="R929" i="19"/>
  <c r="P929" i="19"/>
  <c r="O929" i="19"/>
  <c r="N929" i="19"/>
  <c r="M929" i="19"/>
  <c r="L929" i="19"/>
  <c r="K929" i="19"/>
  <c r="J929" i="19" s="1"/>
  <c r="I929" i="19"/>
  <c r="H929" i="19"/>
  <c r="G929" i="19"/>
  <c r="F929" i="19"/>
  <c r="E929" i="19"/>
  <c r="D929" i="19"/>
  <c r="C929" i="19"/>
  <c r="B929" i="19"/>
  <c r="A929" i="19"/>
  <c r="U928" i="19"/>
  <c r="Q928" i="19" s="1"/>
  <c r="T928" i="19"/>
  <c r="S928" i="19"/>
  <c r="R928" i="19"/>
  <c r="P928" i="19"/>
  <c r="O928" i="19"/>
  <c r="N928" i="19"/>
  <c r="M928" i="19"/>
  <c r="J928" i="19" s="1"/>
  <c r="L928" i="19"/>
  <c r="K928" i="19"/>
  <c r="I928" i="19"/>
  <c r="H928" i="19"/>
  <c r="G928" i="19"/>
  <c r="F928" i="19"/>
  <c r="E928" i="19"/>
  <c r="D928" i="19"/>
  <c r="C928" i="19" s="1"/>
  <c r="B928" i="19"/>
  <c r="A928" i="19"/>
  <c r="T927" i="19"/>
  <c r="S927" i="19"/>
  <c r="R927" i="19"/>
  <c r="U927" i="19" s="1"/>
  <c r="Q927" i="19" s="1"/>
  <c r="P927" i="19"/>
  <c r="O927" i="19"/>
  <c r="N927" i="19"/>
  <c r="M927" i="19"/>
  <c r="L927" i="19"/>
  <c r="K927" i="19"/>
  <c r="J927" i="19" s="1"/>
  <c r="I927" i="19"/>
  <c r="H927" i="19"/>
  <c r="G927" i="19"/>
  <c r="F927" i="19"/>
  <c r="E927" i="19"/>
  <c r="D927" i="19"/>
  <c r="C927" i="19" s="1"/>
  <c r="B927" i="19"/>
  <c r="A927" i="19"/>
  <c r="U926" i="19"/>
  <c r="Q926" i="19" s="1"/>
  <c r="V926" i="19" s="1"/>
  <c r="T926" i="19"/>
  <c r="S926" i="19"/>
  <c r="R926" i="19"/>
  <c r="P926" i="19"/>
  <c r="O926" i="19"/>
  <c r="N926" i="19"/>
  <c r="M926" i="19"/>
  <c r="L926" i="19"/>
  <c r="K926" i="19"/>
  <c r="J926" i="19"/>
  <c r="I926" i="19"/>
  <c r="H926" i="19"/>
  <c r="G926" i="19"/>
  <c r="F926" i="19"/>
  <c r="E926" i="19"/>
  <c r="C926" i="19" s="1"/>
  <c r="D926" i="19"/>
  <c r="B926" i="19"/>
  <c r="A926" i="19"/>
  <c r="T925" i="19"/>
  <c r="S925" i="19"/>
  <c r="R925" i="19"/>
  <c r="U925" i="19" s="1"/>
  <c r="Q925" i="19" s="1"/>
  <c r="V925" i="19" s="1"/>
  <c r="P925" i="19"/>
  <c r="O925" i="19"/>
  <c r="N925" i="19"/>
  <c r="M925" i="19"/>
  <c r="L925" i="19"/>
  <c r="K925" i="19"/>
  <c r="J925" i="19" s="1"/>
  <c r="I925" i="19"/>
  <c r="H925" i="19"/>
  <c r="G925" i="19"/>
  <c r="C925" i="19" s="1"/>
  <c r="F925" i="19"/>
  <c r="E925" i="19"/>
  <c r="D925" i="19"/>
  <c r="B925" i="19"/>
  <c r="A925" i="19"/>
  <c r="T924" i="19"/>
  <c r="S924" i="19"/>
  <c r="R924" i="19"/>
  <c r="U924" i="19" s="1"/>
  <c r="Q924" i="19" s="1"/>
  <c r="P924" i="19"/>
  <c r="O924" i="19"/>
  <c r="N924" i="19"/>
  <c r="M924" i="19"/>
  <c r="L924" i="19"/>
  <c r="K924" i="19"/>
  <c r="J924" i="19" s="1"/>
  <c r="I924" i="19"/>
  <c r="H924" i="19"/>
  <c r="G924" i="19"/>
  <c r="F924" i="19"/>
  <c r="E924" i="19"/>
  <c r="D924" i="19"/>
  <c r="C924" i="19" s="1"/>
  <c r="B924" i="19"/>
  <c r="A924" i="19"/>
  <c r="U923" i="19"/>
  <c r="Q923" i="19" s="1"/>
  <c r="T923" i="19"/>
  <c r="S923" i="19"/>
  <c r="R923" i="19"/>
  <c r="P923" i="19"/>
  <c r="O923" i="19"/>
  <c r="N923" i="19"/>
  <c r="M923" i="19"/>
  <c r="L923" i="19"/>
  <c r="K923" i="19"/>
  <c r="J923" i="19" s="1"/>
  <c r="I923" i="19"/>
  <c r="H923" i="19"/>
  <c r="G923" i="19"/>
  <c r="F923" i="19"/>
  <c r="E923" i="19"/>
  <c r="D923" i="19"/>
  <c r="C923" i="19"/>
  <c r="B923" i="19"/>
  <c r="A923" i="19"/>
  <c r="U922" i="19"/>
  <c r="Q922" i="19" s="1"/>
  <c r="V922" i="19" s="1"/>
  <c r="T922" i="19"/>
  <c r="S922" i="19"/>
  <c r="R922" i="19"/>
  <c r="P922" i="19"/>
  <c r="O922" i="19"/>
  <c r="N922" i="19"/>
  <c r="M922" i="19"/>
  <c r="J922" i="19" s="1"/>
  <c r="L922" i="19"/>
  <c r="K922" i="19"/>
  <c r="I922" i="19"/>
  <c r="H922" i="19"/>
  <c r="G922" i="19"/>
  <c r="F922" i="19"/>
  <c r="E922" i="19"/>
  <c r="D922" i="19"/>
  <c r="C922" i="19" s="1"/>
  <c r="B922" i="19"/>
  <c r="A922" i="19"/>
  <c r="T921" i="19"/>
  <c r="S921" i="19"/>
  <c r="R921" i="19"/>
  <c r="U921" i="19" s="1"/>
  <c r="Q921" i="19" s="1"/>
  <c r="P921" i="19"/>
  <c r="O921" i="19"/>
  <c r="N921" i="19"/>
  <c r="M921" i="19"/>
  <c r="L921" i="19"/>
  <c r="K921" i="19"/>
  <c r="J921" i="19" s="1"/>
  <c r="I921" i="19"/>
  <c r="H921" i="19"/>
  <c r="G921" i="19"/>
  <c r="F921" i="19"/>
  <c r="E921" i="19"/>
  <c r="D921" i="19"/>
  <c r="C921" i="19" s="1"/>
  <c r="B921" i="19"/>
  <c r="A921" i="19"/>
  <c r="U920" i="19"/>
  <c r="Q920" i="19" s="1"/>
  <c r="T920" i="19"/>
  <c r="S920" i="19"/>
  <c r="R920" i="19"/>
  <c r="P920" i="19"/>
  <c r="O920" i="19"/>
  <c r="N920" i="19"/>
  <c r="M920" i="19"/>
  <c r="L920" i="19"/>
  <c r="K920" i="19"/>
  <c r="J920" i="19"/>
  <c r="I920" i="19"/>
  <c r="H920" i="19"/>
  <c r="G920" i="19"/>
  <c r="F920" i="19"/>
  <c r="E920" i="19"/>
  <c r="C920" i="19" s="1"/>
  <c r="D920" i="19"/>
  <c r="B920" i="19"/>
  <c r="A920" i="19"/>
  <c r="T919" i="19"/>
  <c r="S919" i="19"/>
  <c r="R919" i="19"/>
  <c r="U919" i="19" s="1"/>
  <c r="Q919" i="19" s="1"/>
  <c r="P919" i="19"/>
  <c r="O919" i="19"/>
  <c r="N919" i="19"/>
  <c r="M919" i="19"/>
  <c r="L919" i="19"/>
  <c r="K919" i="19"/>
  <c r="J919" i="19" s="1"/>
  <c r="I919" i="19"/>
  <c r="H919" i="19"/>
  <c r="G919" i="19"/>
  <c r="C919" i="19" s="1"/>
  <c r="F919" i="19"/>
  <c r="E919" i="19"/>
  <c r="D919" i="19"/>
  <c r="B919" i="19"/>
  <c r="A919" i="19"/>
  <c r="T918" i="19"/>
  <c r="S918" i="19"/>
  <c r="R918" i="19"/>
  <c r="U918" i="19" s="1"/>
  <c r="Q918" i="19" s="1"/>
  <c r="V918" i="19" s="1"/>
  <c r="P918" i="19"/>
  <c r="O918" i="19"/>
  <c r="N918" i="19"/>
  <c r="M918" i="19"/>
  <c r="L918" i="19"/>
  <c r="K918" i="19"/>
  <c r="J918" i="19" s="1"/>
  <c r="I918" i="19"/>
  <c r="H918" i="19"/>
  <c r="G918" i="19"/>
  <c r="F918" i="19"/>
  <c r="E918" i="19"/>
  <c r="C918" i="19" s="1"/>
  <c r="D918" i="19"/>
  <c r="B918" i="19"/>
  <c r="A918" i="19"/>
  <c r="U917" i="19"/>
  <c r="Q917" i="19" s="1"/>
  <c r="T917" i="19"/>
  <c r="S917" i="19"/>
  <c r="R917" i="19"/>
  <c r="P917" i="19"/>
  <c r="O917" i="19"/>
  <c r="N917" i="19"/>
  <c r="M917" i="19"/>
  <c r="L917" i="19"/>
  <c r="K917" i="19"/>
  <c r="J917" i="19" s="1"/>
  <c r="I917" i="19"/>
  <c r="H917" i="19"/>
  <c r="G917" i="19"/>
  <c r="F917" i="19"/>
  <c r="E917" i="19"/>
  <c r="D917" i="19"/>
  <c r="C917" i="19"/>
  <c r="B917" i="19"/>
  <c r="A917" i="19"/>
  <c r="U916" i="19"/>
  <c r="Q916" i="19" s="1"/>
  <c r="T916" i="19"/>
  <c r="S916" i="19"/>
  <c r="R916" i="19"/>
  <c r="P916" i="19"/>
  <c r="O916" i="19"/>
  <c r="N916" i="19"/>
  <c r="M916" i="19"/>
  <c r="J916" i="19" s="1"/>
  <c r="L916" i="19"/>
  <c r="K916" i="19"/>
  <c r="I916" i="19"/>
  <c r="H916" i="19"/>
  <c r="G916" i="19"/>
  <c r="F916" i="19"/>
  <c r="E916" i="19"/>
  <c r="D916" i="19"/>
  <c r="C916" i="19" s="1"/>
  <c r="B916" i="19"/>
  <c r="A916" i="19"/>
  <c r="T915" i="19"/>
  <c r="S915" i="19"/>
  <c r="R915" i="19"/>
  <c r="U915" i="19" s="1"/>
  <c r="Q915" i="19" s="1"/>
  <c r="P915" i="19"/>
  <c r="O915" i="19"/>
  <c r="N915" i="19"/>
  <c r="M915" i="19"/>
  <c r="L915" i="19"/>
  <c r="K915" i="19"/>
  <c r="J915" i="19" s="1"/>
  <c r="I915" i="19"/>
  <c r="H915" i="19"/>
  <c r="G915" i="19"/>
  <c r="F915" i="19"/>
  <c r="E915" i="19"/>
  <c r="D915" i="19"/>
  <c r="C915" i="19" s="1"/>
  <c r="B915" i="19"/>
  <c r="A915" i="19"/>
  <c r="U914" i="19"/>
  <c r="Q914" i="19" s="1"/>
  <c r="V914" i="19" s="1"/>
  <c r="T914" i="19"/>
  <c r="S914" i="19"/>
  <c r="R914" i="19"/>
  <c r="P914" i="19"/>
  <c r="O914" i="19"/>
  <c r="N914" i="19"/>
  <c r="M914" i="19"/>
  <c r="L914" i="19"/>
  <c r="K914" i="19"/>
  <c r="J914" i="19"/>
  <c r="I914" i="19"/>
  <c r="H914" i="19"/>
  <c r="G914" i="19"/>
  <c r="F914" i="19"/>
  <c r="E914" i="19"/>
  <c r="C914" i="19" s="1"/>
  <c r="D914" i="19"/>
  <c r="B914" i="19"/>
  <c r="A914" i="19"/>
  <c r="T913" i="19"/>
  <c r="S913" i="19"/>
  <c r="U913" i="19" s="1"/>
  <c r="Q913" i="19" s="1"/>
  <c r="R913" i="19"/>
  <c r="P913" i="19"/>
  <c r="O913" i="19"/>
  <c r="N913" i="19"/>
  <c r="M913" i="19"/>
  <c r="L913" i="19"/>
  <c r="K913" i="19"/>
  <c r="J913" i="19" s="1"/>
  <c r="I913" i="19"/>
  <c r="H913" i="19"/>
  <c r="G913" i="19"/>
  <c r="C913" i="19" s="1"/>
  <c r="F913" i="19"/>
  <c r="E913" i="19"/>
  <c r="D913" i="19"/>
  <c r="B913" i="19"/>
  <c r="A913" i="19"/>
  <c r="T912" i="19"/>
  <c r="S912" i="19"/>
  <c r="R912" i="19"/>
  <c r="U912" i="19" s="1"/>
  <c r="Q912" i="19" s="1"/>
  <c r="V912" i="19" s="1"/>
  <c r="P912" i="19"/>
  <c r="O912" i="19"/>
  <c r="N912" i="19"/>
  <c r="M912" i="19"/>
  <c r="L912" i="19"/>
  <c r="K912" i="19"/>
  <c r="J912" i="19" s="1"/>
  <c r="I912" i="19"/>
  <c r="H912" i="19"/>
  <c r="G912" i="19"/>
  <c r="F912" i="19"/>
  <c r="E912" i="19"/>
  <c r="C912" i="19" s="1"/>
  <c r="D912" i="19"/>
  <c r="B912" i="19"/>
  <c r="A912" i="19"/>
  <c r="U911" i="19"/>
  <c r="Q911" i="19" s="1"/>
  <c r="T911" i="19"/>
  <c r="S911" i="19"/>
  <c r="R911" i="19"/>
  <c r="P911" i="19"/>
  <c r="O911" i="19"/>
  <c r="N911" i="19"/>
  <c r="M911" i="19"/>
  <c r="L911" i="19"/>
  <c r="K911" i="19"/>
  <c r="J911" i="19" s="1"/>
  <c r="I911" i="19"/>
  <c r="H911" i="19"/>
  <c r="G911" i="19"/>
  <c r="F911" i="19"/>
  <c r="E911" i="19"/>
  <c r="D911" i="19"/>
  <c r="C911" i="19"/>
  <c r="B911" i="19"/>
  <c r="A911" i="19"/>
  <c r="U910" i="19"/>
  <c r="Q910" i="19" s="1"/>
  <c r="V910" i="19" s="1"/>
  <c r="T910" i="19"/>
  <c r="S910" i="19"/>
  <c r="R910" i="19"/>
  <c r="P910" i="19"/>
  <c r="O910" i="19"/>
  <c r="N910" i="19"/>
  <c r="M910" i="19"/>
  <c r="J910" i="19" s="1"/>
  <c r="L910" i="19"/>
  <c r="K910" i="19"/>
  <c r="I910" i="19"/>
  <c r="H910" i="19"/>
  <c r="G910" i="19"/>
  <c r="F910" i="19"/>
  <c r="E910" i="19"/>
  <c r="D910" i="19"/>
  <c r="C910" i="19" s="1"/>
  <c r="B910" i="19"/>
  <c r="A910" i="19"/>
  <c r="T909" i="19"/>
  <c r="S909" i="19"/>
  <c r="R909" i="19"/>
  <c r="U909" i="19" s="1"/>
  <c r="Q909" i="19" s="1"/>
  <c r="P909" i="19"/>
  <c r="O909" i="19"/>
  <c r="N909" i="19"/>
  <c r="M909" i="19"/>
  <c r="L909" i="19"/>
  <c r="K909" i="19"/>
  <c r="J909" i="19" s="1"/>
  <c r="I909" i="19"/>
  <c r="H909" i="19"/>
  <c r="G909" i="19"/>
  <c r="F909" i="19"/>
  <c r="E909" i="19"/>
  <c r="D909" i="19"/>
  <c r="C909" i="19" s="1"/>
  <c r="B909" i="19"/>
  <c r="A909" i="19"/>
  <c r="U908" i="19"/>
  <c r="Q908" i="19" s="1"/>
  <c r="V908" i="19" s="1"/>
  <c r="T908" i="19"/>
  <c r="S908" i="19"/>
  <c r="R908" i="19"/>
  <c r="P908" i="19"/>
  <c r="O908" i="19"/>
  <c r="N908" i="19"/>
  <c r="M908" i="19"/>
  <c r="L908" i="19"/>
  <c r="K908" i="19"/>
  <c r="J908" i="19"/>
  <c r="I908" i="19"/>
  <c r="H908" i="19"/>
  <c r="G908" i="19"/>
  <c r="F908" i="19"/>
  <c r="E908" i="19"/>
  <c r="C908" i="19" s="1"/>
  <c r="D908" i="19"/>
  <c r="B908" i="19"/>
  <c r="A908" i="19"/>
  <c r="T907" i="19"/>
  <c r="S907" i="19"/>
  <c r="U907" i="19" s="1"/>
  <c r="Q907" i="19" s="1"/>
  <c r="R907" i="19"/>
  <c r="P907" i="19"/>
  <c r="O907" i="19"/>
  <c r="N907" i="19"/>
  <c r="M907" i="19"/>
  <c r="L907" i="19"/>
  <c r="K907" i="19"/>
  <c r="J907" i="19" s="1"/>
  <c r="I907" i="19"/>
  <c r="H907" i="19"/>
  <c r="G907" i="19"/>
  <c r="C907" i="19" s="1"/>
  <c r="F907" i="19"/>
  <c r="E907" i="19"/>
  <c r="D907" i="19"/>
  <c r="B907" i="19"/>
  <c r="A907" i="19"/>
  <c r="T906" i="19"/>
  <c r="S906" i="19"/>
  <c r="R906" i="19"/>
  <c r="U906" i="19" s="1"/>
  <c r="Q906" i="19" s="1"/>
  <c r="P906" i="19"/>
  <c r="O906" i="19"/>
  <c r="N906" i="19"/>
  <c r="M906" i="19"/>
  <c r="L906" i="19"/>
  <c r="K906" i="19"/>
  <c r="J906" i="19" s="1"/>
  <c r="I906" i="19"/>
  <c r="H906" i="19"/>
  <c r="G906" i="19"/>
  <c r="F906" i="19"/>
  <c r="E906" i="19"/>
  <c r="C906" i="19" s="1"/>
  <c r="D906" i="19"/>
  <c r="B906" i="19"/>
  <c r="A906" i="19"/>
  <c r="U905" i="19"/>
  <c r="Q905" i="19" s="1"/>
  <c r="V905" i="19" s="1"/>
  <c r="T905" i="19"/>
  <c r="S905" i="19"/>
  <c r="R905" i="19"/>
  <c r="P905" i="19"/>
  <c r="O905" i="19"/>
  <c r="N905" i="19"/>
  <c r="M905" i="19"/>
  <c r="L905" i="19"/>
  <c r="K905" i="19"/>
  <c r="J905" i="19" s="1"/>
  <c r="I905" i="19"/>
  <c r="H905" i="19"/>
  <c r="G905" i="19"/>
  <c r="F905" i="19"/>
  <c r="E905" i="19"/>
  <c r="D905" i="19"/>
  <c r="C905" i="19"/>
  <c r="B905" i="19"/>
  <c r="A905" i="19"/>
  <c r="U904" i="19"/>
  <c r="Q904" i="19" s="1"/>
  <c r="V904" i="19" s="1"/>
  <c r="T904" i="19"/>
  <c r="S904" i="19"/>
  <c r="R904" i="19"/>
  <c r="P904" i="19"/>
  <c r="O904" i="19"/>
  <c r="N904" i="19"/>
  <c r="M904" i="19"/>
  <c r="J904" i="19" s="1"/>
  <c r="L904" i="19"/>
  <c r="K904" i="19"/>
  <c r="I904" i="19"/>
  <c r="H904" i="19"/>
  <c r="G904" i="19"/>
  <c r="F904" i="19"/>
  <c r="E904" i="19"/>
  <c r="D904" i="19"/>
  <c r="C904" i="19" s="1"/>
  <c r="B904" i="19"/>
  <c r="A904" i="19"/>
  <c r="T903" i="19"/>
  <c r="S903" i="19"/>
  <c r="R903" i="19"/>
  <c r="U903" i="19" s="1"/>
  <c r="Q903" i="19" s="1"/>
  <c r="P903" i="19"/>
  <c r="O903" i="19"/>
  <c r="N903" i="19"/>
  <c r="M903" i="19"/>
  <c r="L903" i="19"/>
  <c r="K903" i="19"/>
  <c r="J903" i="19" s="1"/>
  <c r="I903" i="19"/>
  <c r="H903" i="19"/>
  <c r="G903" i="19"/>
  <c r="F903" i="19"/>
  <c r="E903" i="19"/>
  <c r="D903" i="19"/>
  <c r="C903" i="19" s="1"/>
  <c r="B903" i="19"/>
  <c r="A903" i="19"/>
  <c r="U902" i="19"/>
  <c r="Q902" i="19" s="1"/>
  <c r="V902" i="19" s="1"/>
  <c r="T902" i="19"/>
  <c r="S902" i="19"/>
  <c r="R902" i="19"/>
  <c r="P902" i="19"/>
  <c r="O902" i="19"/>
  <c r="N902" i="19"/>
  <c r="M902" i="19"/>
  <c r="L902" i="19"/>
  <c r="K902" i="19"/>
  <c r="J902" i="19"/>
  <c r="I902" i="19"/>
  <c r="H902" i="19"/>
  <c r="G902" i="19"/>
  <c r="F902" i="19"/>
  <c r="E902" i="19"/>
  <c r="C902" i="19" s="1"/>
  <c r="D902" i="19"/>
  <c r="B902" i="19"/>
  <c r="A902" i="19"/>
  <c r="T901" i="19"/>
  <c r="S901" i="19"/>
  <c r="R901" i="19"/>
  <c r="U901" i="19" s="1"/>
  <c r="Q901" i="19" s="1"/>
  <c r="P901" i="19"/>
  <c r="O901" i="19"/>
  <c r="N901" i="19"/>
  <c r="M901" i="19"/>
  <c r="L901" i="19"/>
  <c r="K901" i="19"/>
  <c r="J901" i="19" s="1"/>
  <c r="I901" i="19"/>
  <c r="H901" i="19"/>
  <c r="G901" i="19"/>
  <c r="C901" i="19" s="1"/>
  <c r="F901" i="19"/>
  <c r="E901" i="19"/>
  <c r="D901" i="19"/>
  <c r="B901" i="19"/>
  <c r="A901" i="19"/>
  <c r="T900" i="19"/>
  <c r="S900" i="19"/>
  <c r="R900" i="19"/>
  <c r="U900" i="19" s="1"/>
  <c r="Q900" i="19" s="1"/>
  <c r="V900" i="19" s="1"/>
  <c r="P900" i="19"/>
  <c r="O900" i="19"/>
  <c r="N900" i="19"/>
  <c r="M900" i="19"/>
  <c r="L900" i="19"/>
  <c r="K900" i="19"/>
  <c r="J900" i="19" s="1"/>
  <c r="I900" i="19"/>
  <c r="H900" i="19"/>
  <c r="G900" i="19"/>
  <c r="F900" i="19"/>
  <c r="E900" i="19"/>
  <c r="C900" i="19" s="1"/>
  <c r="D900" i="19"/>
  <c r="B900" i="19"/>
  <c r="A900" i="19"/>
  <c r="U899" i="19"/>
  <c r="Q899" i="19" s="1"/>
  <c r="T899" i="19"/>
  <c r="S899" i="19"/>
  <c r="R899" i="19"/>
  <c r="P899" i="19"/>
  <c r="O899" i="19"/>
  <c r="N899" i="19"/>
  <c r="M899" i="19"/>
  <c r="L899" i="19"/>
  <c r="K899" i="19"/>
  <c r="J899" i="19" s="1"/>
  <c r="I899" i="19"/>
  <c r="H899" i="19"/>
  <c r="G899" i="19"/>
  <c r="F899" i="19"/>
  <c r="E899" i="19"/>
  <c r="D899" i="19"/>
  <c r="C899" i="19"/>
  <c r="B899" i="19"/>
  <c r="A899" i="19"/>
  <c r="U898" i="19"/>
  <c r="Q898" i="19" s="1"/>
  <c r="V898" i="19" s="1"/>
  <c r="T898" i="19"/>
  <c r="S898" i="19"/>
  <c r="R898" i="19"/>
  <c r="P898" i="19"/>
  <c r="O898" i="19"/>
  <c r="N898" i="19"/>
  <c r="M898" i="19"/>
  <c r="J898" i="19" s="1"/>
  <c r="L898" i="19"/>
  <c r="K898" i="19"/>
  <c r="I898" i="19"/>
  <c r="H898" i="19"/>
  <c r="G898" i="19"/>
  <c r="F898" i="19"/>
  <c r="E898" i="19"/>
  <c r="D898" i="19"/>
  <c r="C898" i="19" s="1"/>
  <c r="B898" i="19"/>
  <c r="A898" i="19"/>
  <c r="T897" i="19"/>
  <c r="S897" i="19"/>
  <c r="R897" i="19"/>
  <c r="U897" i="19" s="1"/>
  <c r="Q897" i="19" s="1"/>
  <c r="P897" i="19"/>
  <c r="O897" i="19"/>
  <c r="N897" i="19"/>
  <c r="M897" i="19"/>
  <c r="L897" i="19"/>
  <c r="K897" i="19"/>
  <c r="J897" i="19" s="1"/>
  <c r="I897" i="19"/>
  <c r="H897" i="19"/>
  <c r="G897" i="19"/>
  <c r="F897" i="19"/>
  <c r="E897" i="19"/>
  <c r="D897" i="19"/>
  <c r="C897" i="19" s="1"/>
  <c r="B897" i="19"/>
  <c r="A897" i="19"/>
  <c r="U896" i="19"/>
  <c r="Q896" i="19" s="1"/>
  <c r="T896" i="19"/>
  <c r="S896" i="19"/>
  <c r="R896" i="19"/>
  <c r="P896" i="19"/>
  <c r="O896" i="19"/>
  <c r="N896" i="19"/>
  <c r="M896" i="19"/>
  <c r="L896" i="19"/>
  <c r="K896" i="19"/>
  <c r="J896" i="19"/>
  <c r="I896" i="19"/>
  <c r="H896" i="19"/>
  <c r="G896" i="19"/>
  <c r="F896" i="19"/>
  <c r="E896" i="19"/>
  <c r="C896" i="19" s="1"/>
  <c r="D896" i="19"/>
  <c r="B896" i="19"/>
  <c r="A896" i="19"/>
  <c r="T895" i="19"/>
  <c r="S895" i="19"/>
  <c r="R895" i="19"/>
  <c r="U895" i="19" s="1"/>
  <c r="Q895" i="19" s="1"/>
  <c r="P895" i="19"/>
  <c r="O895" i="19"/>
  <c r="N895" i="19"/>
  <c r="M895" i="19"/>
  <c r="L895" i="19"/>
  <c r="K895" i="19"/>
  <c r="J895" i="19" s="1"/>
  <c r="I895" i="19"/>
  <c r="H895" i="19"/>
  <c r="G895" i="19"/>
  <c r="C895" i="19" s="1"/>
  <c r="F895" i="19"/>
  <c r="E895" i="19"/>
  <c r="D895" i="19"/>
  <c r="B895" i="19"/>
  <c r="A895" i="19"/>
  <c r="T894" i="19"/>
  <c r="S894" i="19"/>
  <c r="R894" i="19"/>
  <c r="U894" i="19" s="1"/>
  <c r="Q894" i="19" s="1"/>
  <c r="V894" i="19" s="1"/>
  <c r="P894" i="19"/>
  <c r="O894" i="19"/>
  <c r="N894" i="19"/>
  <c r="M894" i="19"/>
  <c r="L894" i="19"/>
  <c r="K894" i="19"/>
  <c r="J894" i="19" s="1"/>
  <c r="I894" i="19"/>
  <c r="H894" i="19"/>
  <c r="G894" i="19"/>
  <c r="F894" i="19"/>
  <c r="E894" i="19"/>
  <c r="C894" i="19" s="1"/>
  <c r="D894" i="19"/>
  <c r="B894" i="19"/>
  <c r="A894" i="19"/>
  <c r="U893" i="19"/>
  <c r="Q893" i="19" s="1"/>
  <c r="T893" i="19"/>
  <c r="S893" i="19"/>
  <c r="R893" i="19"/>
  <c r="P893" i="19"/>
  <c r="O893" i="19"/>
  <c r="N893" i="19"/>
  <c r="M893" i="19"/>
  <c r="L893" i="19"/>
  <c r="K893" i="19"/>
  <c r="J893" i="19" s="1"/>
  <c r="I893" i="19"/>
  <c r="H893" i="19"/>
  <c r="G893" i="19"/>
  <c r="F893" i="19"/>
  <c r="E893" i="19"/>
  <c r="D893" i="19"/>
  <c r="C893" i="19"/>
  <c r="B893" i="19"/>
  <c r="A893" i="19"/>
  <c r="U892" i="19"/>
  <c r="Q892" i="19" s="1"/>
  <c r="T892" i="19"/>
  <c r="S892" i="19"/>
  <c r="R892" i="19"/>
  <c r="P892" i="19"/>
  <c r="O892" i="19"/>
  <c r="N892" i="19"/>
  <c r="M892" i="19"/>
  <c r="J892" i="19" s="1"/>
  <c r="L892" i="19"/>
  <c r="K892" i="19"/>
  <c r="I892" i="19"/>
  <c r="H892" i="19"/>
  <c r="G892" i="19"/>
  <c r="F892" i="19"/>
  <c r="E892" i="19"/>
  <c r="D892" i="19"/>
  <c r="C892" i="19" s="1"/>
  <c r="B892" i="19"/>
  <c r="A892" i="19"/>
  <c r="T891" i="19"/>
  <c r="S891" i="19"/>
  <c r="R891" i="19"/>
  <c r="U891" i="19" s="1"/>
  <c r="Q891" i="19" s="1"/>
  <c r="P891" i="19"/>
  <c r="O891" i="19"/>
  <c r="N891" i="19"/>
  <c r="M891" i="19"/>
  <c r="L891" i="19"/>
  <c r="K891" i="19"/>
  <c r="J891" i="19" s="1"/>
  <c r="I891" i="19"/>
  <c r="H891" i="19"/>
  <c r="G891" i="19"/>
  <c r="F891" i="19"/>
  <c r="E891" i="19"/>
  <c r="D891" i="19"/>
  <c r="C891" i="19" s="1"/>
  <c r="B891" i="19"/>
  <c r="A891" i="19"/>
  <c r="U890" i="19"/>
  <c r="Q890" i="19" s="1"/>
  <c r="T890" i="19"/>
  <c r="S890" i="19"/>
  <c r="R890" i="19"/>
  <c r="P890" i="19"/>
  <c r="O890" i="19"/>
  <c r="N890" i="19"/>
  <c r="M890" i="19"/>
  <c r="L890" i="19"/>
  <c r="K890" i="19"/>
  <c r="J890" i="19"/>
  <c r="I890" i="19"/>
  <c r="H890" i="19"/>
  <c r="G890" i="19"/>
  <c r="F890" i="19"/>
  <c r="E890" i="19"/>
  <c r="C890" i="19" s="1"/>
  <c r="D890" i="19"/>
  <c r="B890" i="19"/>
  <c r="A890" i="19"/>
  <c r="T889" i="19"/>
  <c r="S889" i="19"/>
  <c r="R889" i="19"/>
  <c r="U889" i="19" s="1"/>
  <c r="Q889" i="19" s="1"/>
  <c r="P889" i="19"/>
  <c r="O889" i="19"/>
  <c r="N889" i="19"/>
  <c r="M889" i="19"/>
  <c r="L889" i="19"/>
  <c r="K889" i="19"/>
  <c r="J889" i="19" s="1"/>
  <c r="I889" i="19"/>
  <c r="H889" i="19"/>
  <c r="G889" i="19"/>
  <c r="C889" i="19" s="1"/>
  <c r="F889" i="19"/>
  <c r="E889" i="19"/>
  <c r="D889" i="19"/>
  <c r="B889" i="19"/>
  <c r="A889" i="19"/>
  <c r="T888" i="19"/>
  <c r="S888" i="19"/>
  <c r="R888" i="19"/>
  <c r="U888" i="19" s="1"/>
  <c r="Q888" i="19" s="1"/>
  <c r="P888" i="19"/>
  <c r="O888" i="19"/>
  <c r="N888" i="19"/>
  <c r="M888" i="19"/>
  <c r="L888" i="19"/>
  <c r="K888" i="19"/>
  <c r="J888" i="19" s="1"/>
  <c r="I888" i="19"/>
  <c r="H888" i="19"/>
  <c r="G888" i="19"/>
  <c r="F888" i="19"/>
  <c r="E888" i="19"/>
  <c r="C888" i="19" s="1"/>
  <c r="D888" i="19"/>
  <c r="B888" i="19"/>
  <c r="A888" i="19"/>
  <c r="U887" i="19"/>
  <c r="Q887" i="19" s="1"/>
  <c r="T887" i="19"/>
  <c r="S887" i="19"/>
  <c r="R887" i="19"/>
  <c r="P887" i="19"/>
  <c r="O887" i="19"/>
  <c r="N887" i="19"/>
  <c r="M887" i="19"/>
  <c r="L887" i="19"/>
  <c r="K887" i="19"/>
  <c r="J887" i="19" s="1"/>
  <c r="I887" i="19"/>
  <c r="H887" i="19"/>
  <c r="G887" i="19"/>
  <c r="F887" i="19"/>
  <c r="E887" i="19"/>
  <c r="D887" i="19"/>
  <c r="C887" i="19"/>
  <c r="B887" i="19"/>
  <c r="A887" i="19"/>
  <c r="U886" i="19"/>
  <c r="Q886" i="19" s="1"/>
  <c r="T886" i="19"/>
  <c r="S886" i="19"/>
  <c r="R886" i="19"/>
  <c r="P886" i="19"/>
  <c r="O886" i="19"/>
  <c r="N886" i="19"/>
  <c r="M886" i="19"/>
  <c r="J886" i="19" s="1"/>
  <c r="L886" i="19"/>
  <c r="K886" i="19"/>
  <c r="I886" i="19"/>
  <c r="H886" i="19"/>
  <c r="G886" i="19"/>
  <c r="F886" i="19"/>
  <c r="E886" i="19"/>
  <c r="D886" i="19"/>
  <c r="C886" i="19" s="1"/>
  <c r="B886" i="19"/>
  <c r="A886" i="19"/>
  <c r="T885" i="19"/>
  <c r="S885" i="19"/>
  <c r="R885" i="19"/>
  <c r="U885" i="19" s="1"/>
  <c r="Q885" i="19" s="1"/>
  <c r="P885" i="19"/>
  <c r="O885" i="19"/>
  <c r="N885" i="19"/>
  <c r="M885" i="19"/>
  <c r="L885" i="19"/>
  <c r="K885" i="19"/>
  <c r="J885" i="19" s="1"/>
  <c r="I885" i="19"/>
  <c r="H885" i="19"/>
  <c r="G885" i="19"/>
  <c r="F885" i="19"/>
  <c r="E885" i="19"/>
  <c r="D885" i="19"/>
  <c r="C885" i="19" s="1"/>
  <c r="B885" i="19"/>
  <c r="A885" i="19"/>
  <c r="U884" i="19"/>
  <c r="Q884" i="19" s="1"/>
  <c r="T884" i="19"/>
  <c r="S884" i="19"/>
  <c r="R884" i="19"/>
  <c r="P884" i="19"/>
  <c r="O884" i="19"/>
  <c r="N884" i="19"/>
  <c r="M884" i="19"/>
  <c r="L884" i="19"/>
  <c r="K884" i="19"/>
  <c r="J884" i="19"/>
  <c r="I884" i="19"/>
  <c r="H884" i="19"/>
  <c r="G884" i="19"/>
  <c r="F884" i="19"/>
  <c r="E884" i="19"/>
  <c r="C884" i="19" s="1"/>
  <c r="D884" i="19"/>
  <c r="B884" i="19"/>
  <c r="A884" i="19"/>
  <c r="T883" i="19"/>
  <c r="S883" i="19"/>
  <c r="R883" i="19"/>
  <c r="U883" i="19" s="1"/>
  <c r="Q883" i="19" s="1"/>
  <c r="V883" i="19" s="1"/>
  <c r="P883" i="19"/>
  <c r="O883" i="19"/>
  <c r="N883" i="19"/>
  <c r="M883" i="19"/>
  <c r="L883" i="19"/>
  <c r="K883" i="19"/>
  <c r="J883" i="19" s="1"/>
  <c r="I883" i="19"/>
  <c r="H883" i="19"/>
  <c r="G883" i="19"/>
  <c r="C883" i="19" s="1"/>
  <c r="F883" i="19"/>
  <c r="E883" i="19"/>
  <c r="D883" i="19"/>
  <c r="B883" i="19"/>
  <c r="A883" i="19"/>
  <c r="T882" i="19"/>
  <c r="S882" i="19"/>
  <c r="R882" i="19"/>
  <c r="U882" i="19" s="1"/>
  <c r="Q882" i="19" s="1"/>
  <c r="P882" i="19"/>
  <c r="O882" i="19"/>
  <c r="N882" i="19"/>
  <c r="M882" i="19"/>
  <c r="L882" i="19"/>
  <c r="K882" i="19"/>
  <c r="J882" i="19" s="1"/>
  <c r="I882" i="19"/>
  <c r="H882" i="19"/>
  <c r="G882" i="19"/>
  <c r="F882" i="19"/>
  <c r="E882" i="19"/>
  <c r="C882" i="19" s="1"/>
  <c r="D882" i="19"/>
  <c r="B882" i="19"/>
  <c r="A882" i="19"/>
  <c r="U881" i="19"/>
  <c r="Q881" i="19" s="1"/>
  <c r="V881" i="19" s="1"/>
  <c r="T881" i="19"/>
  <c r="S881" i="19"/>
  <c r="R881" i="19"/>
  <c r="P881" i="19"/>
  <c r="O881" i="19"/>
  <c r="N881" i="19"/>
  <c r="M881" i="19"/>
  <c r="L881" i="19"/>
  <c r="K881" i="19"/>
  <c r="J881" i="19" s="1"/>
  <c r="I881" i="19"/>
  <c r="H881" i="19"/>
  <c r="G881" i="19"/>
  <c r="F881" i="19"/>
  <c r="E881" i="19"/>
  <c r="D881" i="19"/>
  <c r="C881" i="19"/>
  <c r="B881" i="19"/>
  <c r="A881" i="19"/>
  <c r="U880" i="19"/>
  <c r="Q880" i="19" s="1"/>
  <c r="T880" i="19"/>
  <c r="S880" i="19"/>
  <c r="R880" i="19"/>
  <c r="P880" i="19"/>
  <c r="O880" i="19"/>
  <c r="N880" i="19"/>
  <c r="M880" i="19"/>
  <c r="L880" i="19"/>
  <c r="K880" i="19"/>
  <c r="J880" i="19" s="1"/>
  <c r="I880" i="19"/>
  <c r="H880" i="19"/>
  <c r="G880" i="19"/>
  <c r="F880" i="19"/>
  <c r="E880" i="19"/>
  <c r="D880" i="19"/>
  <c r="C880" i="19" s="1"/>
  <c r="B880" i="19"/>
  <c r="A880" i="19"/>
  <c r="T879" i="19"/>
  <c r="S879" i="19"/>
  <c r="R879" i="19"/>
  <c r="U879" i="19" s="1"/>
  <c r="Q879" i="19" s="1"/>
  <c r="P879" i="19"/>
  <c r="O879" i="19"/>
  <c r="N879" i="19"/>
  <c r="M879" i="19"/>
  <c r="L879" i="19"/>
  <c r="K879" i="19"/>
  <c r="J879" i="19" s="1"/>
  <c r="I879" i="19"/>
  <c r="H879" i="19"/>
  <c r="G879" i="19"/>
  <c r="F879" i="19"/>
  <c r="E879" i="19"/>
  <c r="D879" i="19"/>
  <c r="C879" i="19" s="1"/>
  <c r="B879" i="19"/>
  <c r="A879" i="19"/>
  <c r="U878" i="19"/>
  <c r="Q878" i="19" s="1"/>
  <c r="V878" i="19" s="1"/>
  <c r="T878" i="19"/>
  <c r="S878" i="19"/>
  <c r="R878" i="19"/>
  <c r="P878" i="19"/>
  <c r="O878" i="19"/>
  <c r="N878" i="19"/>
  <c r="M878" i="19"/>
  <c r="L878" i="19"/>
  <c r="K878" i="19"/>
  <c r="J878" i="19"/>
  <c r="I878" i="19"/>
  <c r="H878" i="19"/>
  <c r="G878" i="19"/>
  <c r="F878" i="19"/>
  <c r="E878" i="19"/>
  <c r="C878" i="19" s="1"/>
  <c r="D878" i="19"/>
  <c r="B878" i="19"/>
  <c r="A878" i="19"/>
  <c r="T877" i="19"/>
  <c r="S877" i="19"/>
  <c r="U877" i="19" s="1"/>
  <c r="Q877" i="19" s="1"/>
  <c r="R877" i="19"/>
  <c r="P877" i="19"/>
  <c r="O877" i="19"/>
  <c r="N877" i="19"/>
  <c r="M877" i="19"/>
  <c r="L877" i="19"/>
  <c r="K877" i="19"/>
  <c r="J877" i="19" s="1"/>
  <c r="I877" i="19"/>
  <c r="H877" i="19"/>
  <c r="G877" i="19"/>
  <c r="C877" i="19" s="1"/>
  <c r="F877" i="19"/>
  <c r="E877" i="19"/>
  <c r="D877" i="19"/>
  <c r="B877" i="19"/>
  <c r="A877" i="19"/>
  <c r="T876" i="19"/>
  <c r="S876" i="19"/>
  <c r="R876" i="19"/>
  <c r="U876" i="19" s="1"/>
  <c r="Q876" i="19" s="1"/>
  <c r="P876" i="19"/>
  <c r="O876" i="19"/>
  <c r="N876" i="19"/>
  <c r="M876" i="19"/>
  <c r="L876" i="19"/>
  <c r="K876" i="19"/>
  <c r="J876" i="19" s="1"/>
  <c r="I876" i="19"/>
  <c r="H876" i="19"/>
  <c r="G876" i="19"/>
  <c r="F876" i="19"/>
  <c r="E876" i="19"/>
  <c r="C876" i="19" s="1"/>
  <c r="D876" i="19"/>
  <c r="B876" i="19"/>
  <c r="A876" i="19"/>
  <c r="U875" i="19"/>
  <c r="Q875" i="19" s="1"/>
  <c r="V875" i="19" s="1"/>
  <c r="T875" i="19"/>
  <c r="S875" i="19"/>
  <c r="R875" i="19"/>
  <c r="P875" i="19"/>
  <c r="O875" i="19"/>
  <c r="N875" i="19"/>
  <c r="M875" i="19"/>
  <c r="L875" i="19"/>
  <c r="K875" i="19"/>
  <c r="J875" i="19" s="1"/>
  <c r="I875" i="19"/>
  <c r="H875" i="19"/>
  <c r="G875" i="19"/>
  <c r="F875" i="19"/>
  <c r="E875" i="19"/>
  <c r="D875" i="19"/>
  <c r="C875" i="19"/>
  <c r="B875" i="19"/>
  <c r="A875" i="19"/>
  <c r="U874" i="19"/>
  <c r="Q874" i="19" s="1"/>
  <c r="T874" i="19"/>
  <c r="S874" i="19"/>
  <c r="R874" i="19"/>
  <c r="P874" i="19"/>
  <c r="O874" i="19"/>
  <c r="N874" i="19"/>
  <c r="M874" i="19"/>
  <c r="L874" i="19"/>
  <c r="K874" i="19"/>
  <c r="J874" i="19" s="1"/>
  <c r="I874" i="19"/>
  <c r="H874" i="19"/>
  <c r="G874" i="19"/>
  <c r="F874" i="19"/>
  <c r="E874" i="19"/>
  <c r="D874" i="19"/>
  <c r="C874" i="19" s="1"/>
  <c r="B874" i="19"/>
  <c r="A874" i="19"/>
  <c r="T873" i="19"/>
  <c r="S873" i="19"/>
  <c r="R873" i="19"/>
  <c r="U873" i="19" s="1"/>
  <c r="Q873" i="19" s="1"/>
  <c r="P873" i="19"/>
  <c r="O873" i="19"/>
  <c r="N873" i="19"/>
  <c r="M873" i="19"/>
  <c r="L873" i="19"/>
  <c r="K873" i="19"/>
  <c r="J873" i="19" s="1"/>
  <c r="I873" i="19"/>
  <c r="H873" i="19"/>
  <c r="G873" i="19"/>
  <c r="F873" i="19"/>
  <c r="E873" i="19"/>
  <c r="D873" i="19"/>
  <c r="C873" i="19" s="1"/>
  <c r="B873" i="19"/>
  <c r="A873" i="19"/>
  <c r="U872" i="19"/>
  <c r="Q872" i="19" s="1"/>
  <c r="T872" i="19"/>
  <c r="S872" i="19"/>
  <c r="R872" i="19"/>
  <c r="P872" i="19"/>
  <c r="O872" i="19"/>
  <c r="N872" i="19"/>
  <c r="M872" i="19"/>
  <c r="L872" i="19"/>
  <c r="K872" i="19"/>
  <c r="J872" i="19"/>
  <c r="I872" i="19"/>
  <c r="H872" i="19"/>
  <c r="G872" i="19"/>
  <c r="F872" i="19"/>
  <c r="E872" i="19"/>
  <c r="C872" i="19" s="1"/>
  <c r="D872" i="19"/>
  <c r="B872" i="19"/>
  <c r="A872" i="19"/>
  <c r="T871" i="19"/>
  <c r="S871" i="19"/>
  <c r="U871" i="19" s="1"/>
  <c r="Q871" i="19" s="1"/>
  <c r="R871" i="19"/>
  <c r="P871" i="19"/>
  <c r="O871" i="19"/>
  <c r="N871" i="19"/>
  <c r="M871" i="19"/>
  <c r="L871" i="19"/>
  <c r="K871" i="19"/>
  <c r="J871" i="19" s="1"/>
  <c r="I871" i="19"/>
  <c r="H871" i="19"/>
  <c r="G871" i="19"/>
  <c r="C871" i="19" s="1"/>
  <c r="F871" i="19"/>
  <c r="E871" i="19"/>
  <c r="D871" i="19"/>
  <c r="B871" i="19"/>
  <c r="A871" i="19"/>
  <c r="T870" i="19"/>
  <c r="S870" i="19"/>
  <c r="R870" i="19"/>
  <c r="U870" i="19" s="1"/>
  <c r="Q870" i="19" s="1"/>
  <c r="P870" i="19"/>
  <c r="O870" i="19"/>
  <c r="N870" i="19"/>
  <c r="M870" i="19"/>
  <c r="L870" i="19"/>
  <c r="K870" i="19"/>
  <c r="J870" i="19" s="1"/>
  <c r="I870" i="19"/>
  <c r="H870" i="19"/>
  <c r="G870" i="19"/>
  <c r="F870" i="19"/>
  <c r="E870" i="19"/>
  <c r="C870" i="19" s="1"/>
  <c r="D870" i="19"/>
  <c r="B870" i="19"/>
  <c r="A870" i="19"/>
  <c r="U869" i="19"/>
  <c r="Q869" i="19" s="1"/>
  <c r="V869" i="19" s="1"/>
  <c r="T869" i="19"/>
  <c r="S869" i="19"/>
  <c r="R869" i="19"/>
  <c r="P869" i="19"/>
  <c r="O869" i="19"/>
  <c r="N869" i="19"/>
  <c r="M869" i="19"/>
  <c r="L869" i="19"/>
  <c r="K869" i="19"/>
  <c r="J869" i="19" s="1"/>
  <c r="I869" i="19"/>
  <c r="H869" i="19"/>
  <c r="G869" i="19"/>
  <c r="F869" i="19"/>
  <c r="E869" i="19"/>
  <c r="D869" i="19"/>
  <c r="C869" i="19"/>
  <c r="B869" i="19"/>
  <c r="A869" i="19"/>
  <c r="U868" i="19"/>
  <c r="Q868" i="19" s="1"/>
  <c r="T868" i="19"/>
  <c r="S868" i="19"/>
  <c r="R868" i="19"/>
  <c r="P868" i="19"/>
  <c r="O868" i="19"/>
  <c r="N868" i="19"/>
  <c r="M868" i="19"/>
  <c r="L868" i="19"/>
  <c r="K868" i="19"/>
  <c r="J868" i="19" s="1"/>
  <c r="I868" i="19"/>
  <c r="H868" i="19"/>
  <c r="G868" i="19"/>
  <c r="F868" i="19"/>
  <c r="E868" i="19"/>
  <c r="D868" i="19"/>
  <c r="C868" i="19" s="1"/>
  <c r="B868" i="19"/>
  <c r="A868" i="19"/>
  <c r="T867" i="19"/>
  <c r="S867" i="19"/>
  <c r="R867" i="19"/>
  <c r="U867" i="19" s="1"/>
  <c r="Q867" i="19" s="1"/>
  <c r="P867" i="19"/>
  <c r="O867" i="19"/>
  <c r="N867" i="19"/>
  <c r="M867" i="19"/>
  <c r="L867" i="19"/>
  <c r="K867" i="19"/>
  <c r="J867" i="19" s="1"/>
  <c r="I867" i="19"/>
  <c r="H867" i="19"/>
  <c r="G867" i="19"/>
  <c r="F867" i="19"/>
  <c r="E867" i="19"/>
  <c r="D867" i="19"/>
  <c r="C867" i="19" s="1"/>
  <c r="B867" i="19"/>
  <c r="A867" i="19"/>
  <c r="U866" i="19"/>
  <c r="Q866" i="19" s="1"/>
  <c r="V866" i="19" s="1"/>
  <c r="T866" i="19"/>
  <c r="S866" i="19"/>
  <c r="R866" i="19"/>
  <c r="P866" i="19"/>
  <c r="O866" i="19"/>
  <c r="N866" i="19"/>
  <c r="M866" i="19"/>
  <c r="L866" i="19"/>
  <c r="K866" i="19"/>
  <c r="J866" i="19"/>
  <c r="I866" i="19"/>
  <c r="H866" i="19"/>
  <c r="G866" i="19"/>
  <c r="F866" i="19"/>
  <c r="E866" i="19"/>
  <c r="D866" i="19"/>
  <c r="C866" i="19" s="1"/>
  <c r="B866" i="19"/>
  <c r="A866" i="19"/>
  <c r="T865" i="19"/>
  <c r="S865" i="19"/>
  <c r="U865" i="19" s="1"/>
  <c r="Q865" i="19" s="1"/>
  <c r="V865" i="19" s="1"/>
  <c r="R865" i="19"/>
  <c r="P865" i="19"/>
  <c r="O865" i="19"/>
  <c r="N865" i="19"/>
  <c r="M865" i="19"/>
  <c r="L865" i="19"/>
  <c r="K865" i="19"/>
  <c r="J865" i="19" s="1"/>
  <c r="I865" i="19"/>
  <c r="H865" i="19"/>
  <c r="G865" i="19"/>
  <c r="C865" i="19" s="1"/>
  <c r="F865" i="19"/>
  <c r="E865" i="19"/>
  <c r="D865" i="19"/>
  <c r="B865" i="19"/>
  <c r="A865" i="19"/>
  <c r="T864" i="19"/>
  <c r="S864" i="19"/>
  <c r="R864" i="19"/>
  <c r="U864" i="19" s="1"/>
  <c r="Q864" i="19" s="1"/>
  <c r="P864" i="19"/>
  <c r="O864" i="19"/>
  <c r="N864" i="19"/>
  <c r="M864" i="19"/>
  <c r="L864" i="19"/>
  <c r="K864" i="19"/>
  <c r="J864" i="19" s="1"/>
  <c r="I864" i="19"/>
  <c r="H864" i="19"/>
  <c r="G864" i="19"/>
  <c r="F864" i="19"/>
  <c r="E864" i="19"/>
  <c r="C864" i="19" s="1"/>
  <c r="D864" i="19"/>
  <c r="B864" i="19"/>
  <c r="A864" i="19"/>
  <c r="U863" i="19"/>
  <c r="Q863" i="19" s="1"/>
  <c r="T863" i="19"/>
  <c r="S863" i="19"/>
  <c r="R863" i="19"/>
  <c r="P863" i="19"/>
  <c r="O863" i="19"/>
  <c r="N863" i="19"/>
  <c r="M863" i="19"/>
  <c r="L863" i="19"/>
  <c r="K863" i="19"/>
  <c r="J863" i="19" s="1"/>
  <c r="I863" i="19"/>
  <c r="H863" i="19"/>
  <c r="G863" i="19"/>
  <c r="F863" i="19"/>
  <c r="E863" i="19"/>
  <c r="D863" i="19"/>
  <c r="C863" i="19"/>
  <c r="B863" i="19"/>
  <c r="A863" i="19"/>
  <c r="U862" i="19"/>
  <c r="Q862" i="19" s="1"/>
  <c r="V862" i="19" s="1"/>
  <c r="T862" i="19"/>
  <c r="S862" i="19"/>
  <c r="R862" i="19"/>
  <c r="P862" i="19"/>
  <c r="O862" i="19"/>
  <c r="N862" i="19"/>
  <c r="M862" i="19"/>
  <c r="L862" i="19"/>
  <c r="K862" i="19"/>
  <c r="J862" i="19" s="1"/>
  <c r="I862" i="19"/>
  <c r="H862" i="19"/>
  <c r="G862" i="19"/>
  <c r="F862" i="19"/>
  <c r="E862" i="19"/>
  <c r="D862" i="19"/>
  <c r="C862" i="19" s="1"/>
  <c r="B862" i="19"/>
  <c r="A862" i="19"/>
  <c r="T861" i="19"/>
  <c r="S861" i="19"/>
  <c r="R861" i="19"/>
  <c r="U861" i="19" s="1"/>
  <c r="Q861" i="19" s="1"/>
  <c r="P861" i="19"/>
  <c r="O861" i="19"/>
  <c r="N861" i="19"/>
  <c r="M861" i="19"/>
  <c r="L861" i="19"/>
  <c r="K861" i="19"/>
  <c r="J861" i="19" s="1"/>
  <c r="I861" i="19"/>
  <c r="H861" i="19"/>
  <c r="G861" i="19"/>
  <c r="F861" i="19"/>
  <c r="E861" i="19"/>
  <c r="D861" i="19"/>
  <c r="C861" i="19" s="1"/>
  <c r="B861" i="19"/>
  <c r="A861" i="19"/>
  <c r="U860" i="19"/>
  <c r="Q860" i="19" s="1"/>
  <c r="V860" i="19" s="1"/>
  <c r="T860" i="19"/>
  <c r="S860" i="19"/>
  <c r="R860" i="19"/>
  <c r="P860" i="19"/>
  <c r="O860" i="19"/>
  <c r="N860" i="19"/>
  <c r="M860" i="19"/>
  <c r="L860" i="19"/>
  <c r="K860" i="19"/>
  <c r="J860" i="19"/>
  <c r="I860" i="19"/>
  <c r="H860" i="19"/>
  <c r="G860" i="19"/>
  <c r="F860" i="19"/>
  <c r="E860" i="19"/>
  <c r="D860" i="19"/>
  <c r="C860" i="19" s="1"/>
  <c r="B860" i="19"/>
  <c r="A860" i="19"/>
  <c r="T859" i="19"/>
  <c r="S859" i="19"/>
  <c r="R859" i="19"/>
  <c r="U859" i="19" s="1"/>
  <c r="Q859" i="19" s="1"/>
  <c r="V859" i="19" s="1"/>
  <c r="P859" i="19"/>
  <c r="O859" i="19"/>
  <c r="N859" i="19"/>
  <c r="M859" i="19"/>
  <c r="L859" i="19"/>
  <c r="K859" i="19"/>
  <c r="J859" i="19" s="1"/>
  <c r="I859" i="19"/>
  <c r="H859" i="19"/>
  <c r="G859" i="19"/>
  <c r="C859" i="19" s="1"/>
  <c r="F859" i="19"/>
  <c r="E859" i="19"/>
  <c r="D859" i="19"/>
  <c r="B859" i="19"/>
  <c r="A859" i="19"/>
  <c r="T858" i="19"/>
  <c r="S858" i="19"/>
  <c r="R858" i="19"/>
  <c r="U858" i="19" s="1"/>
  <c r="Q858" i="19" s="1"/>
  <c r="P858" i="19"/>
  <c r="O858" i="19"/>
  <c r="N858" i="19"/>
  <c r="M858" i="19"/>
  <c r="L858" i="19"/>
  <c r="K858" i="19"/>
  <c r="J858" i="19" s="1"/>
  <c r="I858" i="19"/>
  <c r="H858" i="19"/>
  <c r="G858" i="19"/>
  <c r="F858" i="19"/>
  <c r="E858" i="19"/>
  <c r="C858" i="19" s="1"/>
  <c r="D858" i="19"/>
  <c r="B858" i="19"/>
  <c r="A858" i="19"/>
  <c r="U857" i="19"/>
  <c r="Q857" i="19" s="1"/>
  <c r="V857" i="19" s="1"/>
  <c r="T857" i="19"/>
  <c r="S857" i="19"/>
  <c r="R857" i="19"/>
  <c r="P857" i="19"/>
  <c r="O857" i="19"/>
  <c r="N857" i="19"/>
  <c r="M857" i="19"/>
  <c r="L857" i="19"/>
  <c r="K857" i="19"/>
  <c r="J857" i="19" s="1"/>
  <c r="I857" i="19"/>
  <c r="H857" i="19"/>
  <c r="G857" i="19"/>
  <c r="F857" i="19"/>
  <c r="E857" i="19"/>
  <c r="D857" i="19"/>
  <c r="C857" i="19"/>
  <c r="B857" i="19"/>
  <c r="A857" i="19"/>
  <c r="U856" i="19"/>
  <c r="Q856" i="19" s="1"/>
  <c r="T856" i="19"/>
  <c r="S856" i="19"/>
  <c r="R856" i="19"/>
  <c r="P856" i="19"/>
  <c r="O856" i="19"/>
  <c r="N856" i="19"/>
  <c r="M856" i="19"/>
  <c r="L856" i="19"/>
  <c r="K856" i="19"/>
  <c r="J856" i="19" s="1"/>
  <c r="I856" i="19"/>
  <c r="H856" i="19"/>
  <c r="G856" i="19"/>
  <c r="F856" i="19"/>
  <c r="E856" i="19"/>
  <c r="D856" i="19"/>
  <c r="C856" i="19" s="1"/>
  <c r="B856" i="19"/>
  <c r="A856" i="19"/>
  <c r="T855" i="19"/>
  <c r="S855" i="19"/>
  <c r="R855" i="19"/>
  <c r="U855" i="19" s="1"/>
  <c r="Q855" i="19" s="1"/>
  <c r="P855" i="19"/>
  <c r="O855" i="19"/>
  <c r="N855" i="19"/>
  <c r="M855" i="19"/>
  <c r="L855" i="19"/>
  <c r="K855" i="19"/>
  <c r="J855" i="19" s="1"/>
  <c r="I855" i="19"/>
  <c r="H855" i="19"/>
  <c r="G855" i="19"/>
  <c r="F855" i="19"/>
  <c r="E855" i="19"/>
  <c r="D855" i="19"/>
  <c r="C855" i="19" s="1"/>
  <c r="B855" i="19"/>
  <c r="A855" i="19"/>
  <c r="U854" i="19"/>
  <c r="Q854" i="19" s="1"/>
  <c r="V854" i="19" s="1"/>
  <c r="T854" i="19"/>
  <c r="S854" i="19"/>
  <c r="R854" i="19"/>
  <c r="P854" i="19"/>
  <c r="O854" i="19"/>
  <c r="N854" i="19"/>
  <c r="M854" i="19"/>
  <c r="L854" i="19"/>
  <c r="K854" i="19"/>
  <c r="J854" i="19"/>
  <c r="I854" i="19"/>
  <c r="H854" i="19"/>
  <c r="G854" i="19"/>
  <c r="F854" i="19"/>
  <c r="E854" i="19"/>
  <c r="D854" i="19"/>
  <c r="C854" i="19" s="1"/>
  <c r="B854" i="19"/>
  <c r="A854" i="19"/>
  <c r="T853" i="19"/>
  <c r="S853" i="19"/>
  <c r="U853" i="19" s="1"/>
  <c r="Q853" i="19" s="1"/>
  <c r="V853" i="19" s="1"/>
  <c r="R853" i="19"/>
  <c r="P853" i="19"/>
  <c r="O853" i="19"/>
  <c r="N853" i="19"/>
  <c r="M853" i="19"/>
  <c r="L853" i="19"/>
  <c r="K853" i="19"/>
  <c r="J853" i="19" s="1"/>
  <c r="I853" i="19"/>
  <c r="H853" i="19"/>
  <c r="G853" i="19"/>
  <c r="C853" i="19" s="1"/>
  <c r="F853" i="19"/>
  <c r="E853" i="19"/>
  <c r="D853" i="19"/>
  <c r="B853" i="19"/>
  <c r="A853" i="19"/>
  <c r="T852" i="19"/>
  <c r="S852" i="19"/>
  <c r="R852" i="19"/>
  <c r="U852" i="19" s="1"/>
  <c r="Q852" i="19" s="1"/>
  <c r="V852" i="19" s="1"/>
  <c r="P852" i="19"/>
  <c r="O852" i="19"/>
  <c r="N852" i="19"/>
  <c r="M852" i="19"/>
  <c r="L852" i="19"/>
  <c r="K852" i="19"/>
  <c r="J852" i="19" s="1"/>
  <c r="I852" i="19"/>
  <c r="H852" i="19"/>
  <c r="G852" i="19"/>
  <c r="F852" i="19"/>
  <c r="E852" i="19"/>
  <c r="C852" i="19" s="1"/>
  <c r="D852" i="19"/>
  <c r="B852" i="19"/>
  <c r="A852" i="19"/>
  <c r="U851" i="19"/>
  <c r="Q851" i="19" s="1"/>
  <c r="T851" i="19"/>
  <c r="S851" i="19"/>
  <c r="R851" i="19"/>
  <c r="P851" i="19"/>
  <c r="O851" i="19"/>
  <c r="N851" i="19"/>
  <c r="M851" i="19"/>
  <c r="L851" i="19"/>
  <c r="K851" i="19"/>
  <c r="J851" i="19" s="1"/>
  <c r="I851" i="19"/>
  <c r="H851" i="19"/>
  <c r="G851" i="19"/>
  <c r="F851" i="19"/>
  <c r="E851" i="19"/>
  <c r="D851" i="19"/>
  <c r="C851" i="19"/>
  <c r="B851" i="19"/>
  <c r="A851" i="19"/>
  <c r="U850" i="19"/>
  <c r="Q850" i="19" s="1"/>
  <c r="T850" i="19"/>
  <c r="S850" i="19"/>
  <c r="R850" i="19"/>
  <c r="P850" i="19"/>
  <c r="O850" i="19"/>
  <c r="N850" i="19"/>
  <c r="M850" i="19"/>
  <c r="L850" i="19"/>
  <c r="K850" i="19"/>
  <c r="J850" i="19" s="1"/>
  <c r="I850" i="19"/>
  <c r="H850" i="19"/>
  <c r="G850" i="19"/>
  <c r="F850" i="19"/>
  <c r="E850" i="19"/>
  <c r="D850" i="19"/>
  <c r="C850" i="19" s="1"/>
  <c r="B850" i="19"/>
  <c r="A850" i="19"/>
  <c r="T849" i="19"/>
  <c r="S849" i="19"/>
  <c r="R849" i="19"/>
  <c r="U849" i="19" s="1"/>
  <c r="Q849" i="19" s="1"/>
  <c r="P849" i="19"/>
  <c r="O849" i="19"/>
  <c r="N849" i="19"/>
  <c r="M849" i="19"/>
  <c r="L849" i="19"/>
  <c r="K849" i="19"/>
  <c r="J849" i="19" s="1"/>
  <c r="I849" i="19"/>
  <c r="H849" i="19"/>
  <c r="G849" i="19"/>
  <c r="F849" i="19"/>
  <c r="E849" i="19"/>
  <c r="D849" i="19"/>
  <c r="C849" i="19" s="1"/>
  <c r="B849" i="19"/>
  <c r="A849" i="19"/>
  <c r="U848" i="19"/>
  <c r="Q848" i="19" s="1"/>
  <c r="V848" i="19" s="1"/>
  <c r="T848" i="19"/>
  <c r="S848" i="19"/>
  <c r="R848" i="19"/>
  <c r="P848" i="19"/>
  <c r="O848" i="19"/>
  <c r="N848" i="19"/>
  <c r="M848" i="19"/>
  <c r="L848" i="19"/>
  <c r="K848" i="19"/>
  <c r="J848" i="19"/>
  <c r="I848" i="19"/>
  <c r="H848" i="19"/>
  <c r="G848" i="19"/>
  <c r="F848" i="19"/>
  <c r="E848" i="19"/>
  <c r="D848" i="19"/>
  <c r="C848" i="19" s="1"/>
  <c r="B848" i="19"/>
  <c r="A848" i="19"/>
  <c r="T847" i="19"/>
  <c r="S847" i="19"/>
  <c r="U847" i="19" s="1"/>
  <c r="Q847" i="19" s="1"/>
  <c r="R847" i="19"/>
  <c r="P847" i="19"/>
  <c r="O847" i="19"/>
  <c r="N847" i="19"/>
  <c r="M847" i="19"/>
  <c r="L847" i="19"/>
  <c r="K847" i="19"/>
  <c r="J847" i="19" s="1"/>
  <c r="I847" i="19"/>
  <c r="H847" i="19"/>
  <c r="G847" i="19"/>
  <c r="C847" i="19" s="1"/>
  <c r="F847" i="19"/>
  <c r="E847" i="19"/>
  <c r="D847" i="19"/>
  <c r="B847" i="19"/>
  <c r="A847" i="19"/>
  <c r="T846" i="19"/>
  <c r="S846" i="19"/>
  <c r="R846" i="19"/>
  <c r="U846" i="19" s="1"/>
  <c r="Q846" i="19" s="1"/>
  <c r="V846" i="19" s="1"/>
  <c r="P846" i="19"/>
  <c r="O846" i="19"/>
  <c r="N846" i="19"/>
  <c r="M846" i="19"/>
  <c r="L846" i="19"/>
  <c r="K846" i="19"/>
  <c r="J846" i="19" s="1"/>
  <c r="I846" i="19"/>
  <c r="H846" i="19"/>
  <c r="G846" i="19"/>
  <c r="F846" i="19"/>
  <c r="E846" i="19"/>
  <c r="C846" i="19" s="1"/>
  <c r="D846" i="19"/>
  <c r="B846" i="19"/>
  <c r="A846" i="19"/>
  <c r="U845" i="19"/>
  <c r="Q845" i="19" s="1"/>
  <c r="T845" i="19"/>
  <c r="S845" i="19"/>
  <c r="R845" i="19"/>
  <c r="P845" i="19"/>
  <c r="O845" i="19"/>
  <c r="N845" i="19"/>
  <c r="M845" i="19"/>
  <c r="L845" i="19"/>
  <c r="K845" i="19"/>
  <c r="J845" i="19" s="1"/>
  <c r="I845" i="19"/>
  <c r="H845" i="19"/>
  <c r="G845" i="19"/>
  <c r="F845" i="19"/>
  <c r="E845" i="19"/>
  <c r="D845" i="19"/>
  <c r="C845" i="19"/>
  <c r="B845" i="19"/>
  <c r="A845" i="19"/>
  <c r="U844" i="19"/>
  <c r="Q844" i="19" s="1"/>
  <c r="T844" i="19"/>
  <c r="S844" i="19"/>
  <c r="R844" i="19"/>
  <c r="P844" i="19"/>
  <c r="O844" i="19"/>
  <c r="N844" i="19"/>
  <c r="M844" i="19"/>
  <c r="L844" i="19"/>
  <c r="K844" i="19"/>
  <c r="J844" i="19" s="1"/>
  <c r="I844" i="19"/>
  <c r="H844" i="19"/>
  <c r="G844" i="19"/>
  <c r="F844" i="19"/>
  <c r="E844" i="19"/>
  <c r="D844" i="19"/>
  <c r="C844" i="19" s="1"/>
  <c r="B844" i="19"/>
  <c r="A844" i="19"/>
  <c r="T843" i="19"/>
  <c r="S843" i="19"/>
  <c r="R843" i="19"/>
  <c r="U843" i="19" s="1"/>
  <c r="Q843" i="19" s="1"/>
  <c r="P843" i="19"/>
  <c r="O843" i="19"/>
  <c r="N843" i="19"/>
  <c r="M843" i="19"/>
  <c r="L843" i="19"/>
  <c r="K843" i="19"/>
  <c r="J843" i="19" s="1"/>
  <c r="I843" i="19"/>
  <c r="H843" i="19"/>
  <c r="G843" i="19"/>
  <c r="F843" i="19"/>
  <c r="E843" i="19"/>
  <c r="D843" i="19"/>
  <c r="C843" i="19" s="1"/>
  <c r="B843" i="19"/>
  <c r="A843" i="19"/>
  <c r="U842" i="19"/>
  <c r="Q842" i="19" s="1"/>
  <c r="T842" i="19"/>
  <c r="S842" i="19"/>
  <c r="R842" i="19"/>
  <c r="P842" i="19"/>
  <c r="O842" i="19"/>
  <c r="N842" i="19"/>
  <c r="M842" i="19"/>
  <c r="L842" i="19"/>
  <c r="K842" i="19"/>
  <c r="J842" i="19"/>
  <c r="I842" i="19"/>
  <c r="H842" i="19"/>
  <c r="G842" i="19"/>
  <c r="F842" i="19"/>
  <c r="E842" i="19"/>
  <c r="D842" i="19"/>
  <c r="C842" i="19" s="1"/>
  <c r="B842" i="19"/>
  <c r="A842" i="19"/>
  <c r="T841" i="19"/>
  <c r="S841" i="19"/>
  <c r="R841" i="19"/>
  <c r="U841" i="19" s="1"/>
  <c r="Q841" i="19" s="1"/>
  <c r="P841" i="19"/>
  <c r="O841" i="19"/>
  <c r="N841" i="19"/>
  <c r="M841" i="19"/>
  <c r="L841" i="19"/>
  <c r="K841" i="19"/>
  <c r="J841" i="19" s="1"/>
  <c r="I841" i="19"/>
  <c r="H841" i="19"/>
  <c r="G841" i="19"/>
  <c r="C841" i="19" s="1"/>
  <c r="F841" i="19"/>
  <c r="E841" i="19"/>
  <c r="D841" i="19"/>
  <c r="B841" i="19"/>
  <c r="A841" i="19"/>
  <c r="T840" i="19"/>
  <c r="S840" i="19"/>
  <c r="R840" i="19"/>
  <c r="U840" i="19" s="1"/>
  <c r="Q840" i="19" s="1"/>
  <c r="V840" i="19" s="1"/>
  <c r="P840" i="19"/>
  <c r="O840" i="19"/>
  <c r="N840" i="19"/>
  <c r="M840" i="19"/>
  <c r="L840" i="19"/>
  <c r="K840" i="19"/>
  <c r="J840" i="19" s="1"/>
  <c r="I840" i="19"/>
  <c r="H840" i="19"/>
  <c r="G840" i="19"/>
  <c r="F840" i="19"/>
  <c r="E840" i="19"/>
  <c r="C840" i="19" s="1"/>
  <c r="D840" i="19"/>
  <c r="B840" i="19"/>
  <c r="A840" i="19"/>
  <c r="U839" i="19"/>
  <c r="Q839" i="19" s="1"/>
  <c r="T839" i="19"/>
  <c r="S839" i="19"/>
  <c r="R839" i="19"/>
  <c r="P839" i="19"/>
  <c r="O839" i="19"/>
  <c r="N839" i="19"/>
  <c r="M839" i="19"/>
  <c r="L839" i="19"/>
  <c r="K839" i="19"/>
  <c r="J839" i="19" s="1"/>
  <c r="I839" i="19"/>
  <c r="H839" i="19"/>
  <c r="G839" i="19"/>
  <c r="F839" i="19"/>
  <c r="E839" i="19"/>
  <c r="D839" i="19"/>
  <c r="C839" i="19"/>
  <c r="B839" i="19"/>
  <c r="A839" i="19"/>
  <c r="U838" i="19"/>
  <c r="Q838" i="19" s="1"/>
  <c r="V838" i="19" s="1"/>
  <c r="T838" i="19"/>
  <c r="S838" i="19"/>
  <c r="R838" i="19"/>
  <c r="P838" i="19"/>
  <c r="O838" i="19"/>
  <c r="N838" i="19"/>
  <c r="M838" i="19"/>
  <c r="L838" i="19"/>
  <c r="K838" i="19"/>
  <c r="J838" i="19" s="1"/>
  <c r="I838" i="19"/>
  <c r="H838" i="19"/>
  <c r="G838" i="19"/>
  <c r="F838" i="19"/>
  <c r="E838" i="19"/>
  <c r="D838" i="19"/>
  <c r="C838" i="19" s="1"/>
  <c r="B838" i="19"/>
  <c r="A838" i="19"/>
  <c r="T837" i="19"/>
  <c r="S837" i="19"/>
  <c r="R837" i="19"/>
  <c r="U837" i="19" s="1"/>
  <c r="Q837" i="19" s="1"/>
  <c r="P837" i="19"/>
  <c r="O837" i="19"/>
  <c r="N837" i="19"/>
  <c r="M837" i="19"/>
  <c r="L837" i="19"/>
  <c r="K837" i="19"/>
  <c r="J837" i="19" s="1"/>
  <c r="I837" i="19"/>
  <c r="H837" i="19"/>
  <c r="G837" i="19"/>
  <c r="F837" i="19"/>
  <c r="E837" i="19"/>
  <c r="D837" i="19"/>
  <c r="C837" i="19" s="1"/>
  <c r="B837" i="19"/>
  <c r="A837" i="19"/>
  <c r="U836" i="19"/>
  <c r="Q836" i="19" s="1"/>
  <c r="V836" i="19" s="1"/>
  <c r="T836" i="19"/>
  <c r="S836" i="19"/>
  <c r="R836" i="19"/>
  <c r="P836" i="19"/>
  <c r="O836" i="19"/>
  <c r="N836" i="19"/>
  <c r="M836" i="19"/>
  <c r="L836" i="19"/>
  <c r="K836" i="19"/>
  <c r="J836" i="19"/>
  <c r="I836" i="19"/>
  <c r="H836" i="19"/>
  <c r="G836" i="19"/>
  <c r="F836" i="19"/>
  <c r="E836" i="19"/>
  <c r="D836" i="19"/>
  <c r="C836" i="19" s="1"/>
  <c r="B836" i="19"/>
  <c r="A836" i="19"/>
  <c r="T835" i="19"/>
  <c r="S835" i="19"/>
  <c r="R835" i="19"/>
  <c r="U835" i="19" s="1"/>
  <c r="Q835" i="19" s="1"/>
  <c r="P835" i="19"/>
  <c r="O835" i="19"/>
  <c r="N835" i="19"/>
  <c r="M835" i="19"/>
  <c r="L835" i="19"/>
  <c r="K835" i="19"/>
  <c r="J835" i="19" s="1"/>
  <c r="I835" i="19"/>
  <c r="H835" i="19"/>
  <c r="G835" i="19"/>
  <c r="C835" i="19" s="1"/>
  <c r="F835" i="19"/>
  <c r="E835" i="19"/>
  <c r="D835" i="19"/>
  <c r="B835" i="19"/>
  <c r="A835" i="19"/>
  <c r="T834" i="19"/>
  <c r="S834" i="19"/>
  <c r="R834" i="19"/>
  <c r="U834" i="19" s="1"/>
  <c r="Q834" i="19" s="1"/>
  <c r="P834" i="19"/>
  <c r="O834" i="19"/>
  <c r="N834" i="19"/>
  <c r="M834" i="19"/>
  <c r="L834" i="19"/>
  <c r="K834" i="19"/>
  <c r="J834" i="19" s="1"/>
  <c r="I834" i="19"/>
  <c r="H834" i="19"/>
  <c r="G834" i="19"/>
  <c r="F834" i="19"/>
  <c r="E834" i="19"/>
  <c r="C834" i="19" s="1"/>
  <c r="D834" i="19"/>
  <c r="B834" i="19"/>
  <c r="A834" i="19"/>
  <c r="U833" i="19"/>
  <c r="Q833" i="19" s="1"/>
  <c r="V833" i="19" s="1"/>
  <c r="T833" i="19"/>
  <c r="S833" i="19"/>
  <c r="R833" i="19"/>
  <c r="P833" i="19"/>
  <c r="O833" i="19"/>
  <c r="N833" i="19"/>
  <c r="M833" i="19"/>
  <c r="L833" i="19"/>
  <c r="K833" i="19"/>
  <c r="J833" i="19" s="1"/>
  <c r="I833" i="19"/>
  <c r="H833" i="19"/>
  <c r="G833" i="19"/>
  <c r="F833" i="19"/>
  <c r="E833" i="19"/>
  <c r="D833" i="19"/>
  <c r="C833" i="19"/>
  <c r="B833" i="19"/>
  <c r="A833" i="19"/>
  <c r="U832" i="19"/>
  <c r="Q832" i="19" s="1"/>
  <c r="V832" i="19" s="1"/>
  <c r="T832" i="19"/>
  <c r="S832" i="19"/>
  <c r="R832" i="19"/>
  <c r="P832" i="19"/>
  <c r="O832" i="19"/>
  <c r="N832" i="19"/>
  <c r="M832" i="19"/>
  <c r="L832" i="19"/>
  <c r="K832" i="19"/>
  <c r="J832" i="19" s="1"/>
  <c r="I832" i="19"/>
  <c r="H832" i="19"/>
  <c r="G832" i="19"/>
  <c r="F832" i="19"/>
  <c r="E832" i="19"/>
  <c r="D832" i="19"/>
  <c r="C832" i="19" s="1"/>
  <c r="B832" i="19"/>
  <c r="A832" i="19"/>
  <c r="T831" i="19"/>
  <c r="S831" i="19"/>
  <c r="R831" i="19"/>
  <c r="U831" i="19" s="1"/>
  <c r="Q831" i="19" s="1"/>
  <c r="P831" i="19"/>
  <c r="O831" i="19"/>
  <c r="N831" i="19"/>
  <c r="M831" i="19"/>
  <c r="L831" i="19"/>
  <c r="K831" i="19"/>
  <c r="J831" i="19" s="1"/>
  <c r="I831" i="19"/>
  <c r="H831" i="19"/>
  <c r="G831" i="19"/>
  <c r="F831" i="19"/>
  <c r="E831" i="19"/>
  <c r="D831" i="19"/>
  <c r="B831" i="19"/>
  <c r="A831" i="19"/>
  <c r="T830" i="19"/>
  <c r="S830" i="19"/>
  <c r="U830" i="19" s="1"/>
  <c r="Q830" i="19" s="1"/>
  <c r="R830" i="19"/>
  <c r="P830" i="19"/>
  <c r="O830" i="19"/>
  <c r="N830" i="19"/>
  <c r="M830" i="19"/>
  <c r="J830" i="19" s="1"/>
  <c r="L830" i="19"/>
  <c r="K830" i="19"/>
  <c r="I830" i="19"/>
  <c r="H830" i="19"/>
  <c r="G830" i="19"/>
  <c r="F830" i="19"/>
  <c r="E830" i="19"/>
  <c r="D830" i="19"/>
  <c r="C830" i="19" s="1"/>
  <c r="B830" i="19"/>
  <c r="A830" i="19"/>
  <c r="T829" i="19"/>
  <c r="S829" i="19"/>
  <c r="R829" i="19"/>
  <c r="U829" i="19" s="1"/>
  <c r="Q829" i="19"/>
  <c r="P829" i="19"/>
  <c r="O829" i="19"/>
  <c r="N829" i="19"/>
  <c r="M829" i="19"/>
  <c r="L829" i="19"/>
  <c r="K829" i="19"/>
  <c r="J829" i="19" s="1"/>
  <c r="I829" i="19"/>
  <c r="H829" i="19"/>
  <c r="G829" i="19"/>
  <c r="F829" i="19"/>
  <c r="E829" i="19"/>
  <c r="D829" i="19"/>
  <c r="B829" i="19"/>
  <c r="A829" i="19"/>
  <c r="T828" i="19"/>
  <c r="S828" i="19"/>
  <c r="U828" i="19" s="1"/>
  <c r="Q828" i="19" s="1"/>
  <c r="R828" i="19"/>
  <c r="P828" i="19"/>
  <c r="O828" i="19"/>
  <c r="N828" i="19"/>
  <c r="M828" i="19"/>
  <c r="L828" i="19"/>
  <c r="K828" i="19"/>
  <c r="I828" i="19"/>
  <c r="H828" i="19"/>
  <c r="G828" i="19"/>
  <c r="F828" i="19"/>
  <c r="E828" i="19"/>
  <c r="D828" i="19"/>
  <c r="C828" i="19"/>
  <c r="B828" i="19"/>
  <c r="A828" i="19"/>
  <c r="T827" i="19"/>
  <c r="S827" i="19"/>
  <c r="U827" i="19" s="1"/>
  <c r="Q827" i="19" s="1"/>
  <c r="R827" i="19"/>
  <c r="P827" i="19"/>
  <c r="O827" i="19"/>
  <c r="N827" i="19"/>
  <c r="M827" i="19"/>
  <c r="L827" i="19"/>
  <c r="K827" i="19"/>
  <c r="I827" i="19"/>
  <c r="H827" i="19"/>
  <c r="G827" i="19"/>
  <c r="F827" i="19"/>
  <c r="E827" i="19"/>
  <c r="D827" i="19"/>
  <c r="B827" i="19"/>
  <c r="A827" i="19"/>
  <c r="U826" i="19"/>
  <c r="T826" i="19"/>
  <c r="S826" i="19"/>
  <c r="R826" i="19"/>
  <c r="Q826" i="19"/>
  <c r="P826" i="19"/>
  <c r="O826" i="19"/>
  <c r="N826" i="19"/>
  <c r="M826" i="19"/>
  <c r="L826" i="19"/>
  <c r="K826" i="19"/>
  <c r="I826" i="19"/>
  <c r="H826" i="19"/>
  <c r="G826" i="19"/>
  <c r="F826" i="19"/>
  <c r="E826" i="19"/>
  <c r="D826" i="19"/>
  <c r="C826" i="19"/>
  <c r="B826" i="19"/>
  <c r="A826" i="19"/>
  <c r="U825" i="19"/>
  <c r="Q825" i="19" s="1"/>
  <c r="T825" i="19"/>
  <c r="S825" i="19"/>
  <c r="R825" i="19"/>
  <c r="P825" i="19"/>
  <c r="O825" i="19"/>
  <c r="N825" i="19"/>
  <c r="M825" i="19"/>
  <c r="L825" i="19"/>
  <c r="K825" i="19"/>
  <c r="J825" i="19" s="1"/>
  <c r="I825" i="19"/>
  <c r="C825" i="19" s="1"/>
  <c r="H825" i="19"/>
  <c r="G825" i="19"/>
  <c r="F825" i="19"/>
  <c r="E825" i="19"/>
  <c r="D825" i="19"/>
  <c r="B825" i="19"/>
  <c r="A825" i="19"/>
  <c r="T824" i="19"/>
  <c r="S824" i="19"/>
  <c r="U824" i="19" s="1"/>
  <c r="Q824" i="19" s="1"/>
  <c r="R824" i="19"/>
  <c r="P824" i="19"/>
  <c r="O824" i="19"/>
  <c r="N824" i="19"/>
  <c r="M824" i="19"/>
  <c r="L824" i="19"/>
  <c r="K824" i="19"/>
  <c r="I824" i="19"/>
  <c r="H824" i="19"/>
  <c r="G824" i="19"/>
  <c r="F824" i="19"/>
  <c r="E824" i="19"/>
  <c r="D824" i="19"/>
  <c r="B824" i="19"/>
  <c r="A824" i="19"/>
  <c r="U823" i="19"/>
  <c r="T823" i="19"/>
  <c r="S823" i="19"/>
  <c r="R823" i="19"/>
  <c r="Q823" i="19"/>
  <c r="P823" i="19"/>
  <c r="O823" i="19"/>
  <c r="N823" i="19"/>
  <c r="M823" i="19"/>
  <c r="L823" i="19"/>
  <c r="K823" i="19"/>
  <c r="J823" i="19" s="1"/>
  <c r="I823" i="19"/>
  <c r="H823" i="19"/>
  <c r="G823" i="19"/>
  <c r="F823" i="19"/>
  <c r="E823" i="19"/>
  <c r="D823" i="19"/>
  <c r="B823" i="19"/>
  <c r="A823" i="19"/>
  <c r="T822" i="19"/>
  <c r="S822" i="19"/>
  <c r="U822" i="19" s="1"/>
  <c r="Q822" i="19" s="1"/>
  <c r="V822" i="19" s="1"/>
  <c r="R822" i="19"/>
  <c r="P822" i="19"/>
  <c r="O822" i="19"/>
  <c r="N822" i="19"/>
  <c r="M822" i="19"/>
  <c r="L822" i="19"/>
  <c r="K822" i="19"/>
  <c r="J822" i="19" s="1"/>
  <c r="I822" i="19"/>
  <c r="H822" i="19"/>
  <c r="G822" i="19"/>
  <c r="C822" i="19" s="1"/>
  <c r="F822" i="19"/>
  <c r="E822" i="19"/>
  <c r="D822" i="19"/>
  <c r="B822" i="19"/>
  <c r="A822" i="19"/>
  <c r="T821" i="19"/>
  <c r="S821" i="19"/>
  <c r="U821" i="19" s="1"/>
  <c r="R821" i="19"/>
  <c r="Q821" i="19"/>
  <c r="P821" i="19"/>
  <c r="O821" i="19"/>
  <c r="N821" i="19"/>
  <c r="M821" i="19"/>
  <c r="L821" i="19"/>
  <c r="K821" i="19"/>
  <c r="I821" i="19"/>
  <c r="H821" i="19"/>
  <c r="G821" i="19"/>
  <c r="F821" i="19"/>
  <c r="E821" i="19"/>
  <c r="C821" i="19" s="1"/>
  <c r="D821" i="19"/>
  <c r="B821" i="19"/>
  <c r="A821" i="19"/>
  <c r="U820" i="19"/>
  <c r="T820" i="19"/>
  <c r="S820" i="19"/>
  <c r="R820" i="19"/>
  <c r="Q820" i="19"/>
  <c r="P820" i="19"/>
  <c r="O820" i="19"/>
  <c r="N820" i="19"/>
  <c r="M820" i="19"/>
  <c r="L820" i="19"/>
  <c r="K820" i="19"/>
  <c r="J820" i="19" s="1"/>
  <c r="I820" i="19"/>
  <c r="H820" i="19"/>
  <c r="G820" i="19"/>
  <c r="F820" i="19"/>
  <c r="E820" i="19"/>
  <c r="C820" i="19" s="1"/>
  <c r="D820" i="19"/>
  <c r="B820" i="19"/>
  <c r="A820" i="19"/>
  <c r="U819" i="19"/>
  <c r="Q819" i="19" s="1"/>
  <c r="T819" i="19"/>
  <c r="S819" i="19"/>
  <c r="R819" i="19"/>
  <c r="P819" i="19"/>
  <c r="O819" i="19"/>
  <c r="N819" i="19"/>
  <c r="M819" i="19"/>
  <c r="L819" i="19"/>
  <c r="K819" i="19"/>
  <c r="I819" i="19"/>
  <c r="H819" i="19"/>
  <c r="G819" i="19"/>
  <c r="F819" i="19"/>
  <c r="E819" i="19"/>
  <c r="D819" i="19"/>
  <c r="C819" i="19"/>
  <c r="B819" i="19"/>
  <c r="A819" i="19"/>
  <c r="T818" i="19"/>
  <c r="S818" i="19"/>
  <c r="U818" i="19" s="1"/>
  <c r="Q818" i="19" s="1"/>
  <c r="R818" i="19"/>
  <c r="P818" i="19"/>
  <c r="O818" i="19"/>
  <c r="N818" i="19"/>
  <c r="M818" i="19"/>
  <c r="L818" i="19"/>
  <c r="K818" i="19"/>
  <c r="I818" i="19"/>
  <c r="H818" i="19"/>
  <c r="G818" i="19"/>
  <c r="F818" i="19"/>
  <c r="E818" i="19"/>
  <c r="D818" i="19"/>
  <c r="B818" i="19"/>
  <c r="A818" i="19"/>
  <c r="U817" i="19"/>
  <c r="Q817" i="19" s="1"/>
  <c r="V817" i="19" s="1"/>
  <c r="T817" i="19"/>
  <c r="S817" i="19"/>
  <c r="R817" i="19"/>
  <c r="P817" i="19"/>
  <c r="O817" i="19"/>
  <c r="N817" i="19"/>
  <c r="M817" i="19"/>
  <c r="L817" i="19"/>
  <c r="K817" i="19"/>
  <c r="J817" i="19" s="1"/>
  <c r="I817" i="19"/>
  <c r="H817" i="19"/>
  <c r="G817" i="19"/>
  <c r="F817" i="19"/>
  <c r="E817" i="19"/>
  <c r="C817" i="19" s="1"/>
  <c r="D817" i="19"/>
  <c r="B817" i="19"/>
  <c r="A817" i="19"/>
  <c r="U816" i="19"/>
  <c r="Q816" i="19" s="1"/>
  <c r="T816" i="19"/>
  <c r="S816" i="19"/>
  <c r="R816" i="19"/>
  <c r="P816" i="19"/>
  <c r="O816" i="19"/>
  <c r="N816" i="19"/>
  <c r="M816" i="19"/>
  <c r="L816" i="19"/>
  <c r="K816" i="19"/>
  <c r="I816" i="19"/>
  <c r="H816" i="19"/>
  <c r="G816" i="19"/>
  <c r="C816" i="19" s="1"/>
  <c r="F816" i="19"/>
  <c r="E816" i="19"/>
  <c r="D816" i="19"/>
  <c r="B816" i="19"/>
  <c r="A816" i="19"/>
  <c r="T815" i="19"/>
  <c r="S815" i="19"/>
  <c r="U815" i="19" s="1"/>
  <c r="R815" i="19"/>
  <c r="Q815" i="19"/>
  <c r="P815" i="19"/>
  <c r="O815" i="19"/>
  <c r="N815" i="19"/>
  <c r="M815" i="19"/>
  <c r="L815" i="19"/>
  <c r="K815" i="19"/>
  <c r="I815" i="19"/>
  <c r="H815" i="19"/>
  <c r="G815" i="19"/>
  <c r="F815" i="19"/>
  <c r="E815" i="19"/>
  <c r="D815" i="19"/>
  <c r="B815" i="19"/>
  <c r="A815" i="19"/>
  <c r="U814" i="19"/>
  <c r="T814" i="19"/>
  <c r="S814" i="19"/>
  <c r="R814" i="19"/>
  <c r="Q814" i="19"/>
  <c r="P814" i="19"/>
  <c r="O814" i="19"/>
  <c r="N814" i="19"/>
  <c r="M814" i="19"/>
  <c r="L814" i="19"/>
  <c r="K814" i="19"/>
  <c r="I814" i="19"/>
  <c r="H814" i="19"/>
  <c r="G814" i="19"/>
  <c r="F814" i="19"/>
  <c r="E814" i="19"/>
  <c r="D814" i="19"/>
  <c r="C814" i="19"/>
  <c r="B814" i="19"/>
  <c r="A814" i="19"/>
  <c r="U813" i="19"/>
  <c r="Q813" i="19" s="1"/>
  <c r="T813" i="19"/>
  <c r="S813" i="19"/>
  <c r="R813" i="19"/>
  <c r="P813" i="19"/>
  <c r="O813" i="19"/>
  <c r="N813" i="19"/>
  <c r="M813" i="19"/>
  <c r="L813" i="19"/>
  <c r="K813" i="19"/>
  <c r="J813" i="19" s="1"/>
  <c r="I813" i="19"/>
  <c r="C813" i="19" s="1"/>
  <c r="H813" i="19"/>
  <c r="G813" i="19"/>
  <c r="F813" i="19"/>
  <c r="E813" i="19"/>
  <c r="D813" i="19"/>
  <c r="B813" i="19"/>
  <c r="A813" i="19"/>
  <c r="T812" i="19"/>
  <c r="S812" i="19"/>
  <c r="U812" i="19" s="1"/>
  <c r="Q812" i="19" s="1"/>
  <c r="R812" i="19"/>
  <c r="P812" i="19"/>
  <c r="O812" i="19"/>
  <c r="N812" i="19"/>
  <c r="M812" i="19"/>
  <c r="L812" i="19"/>
  <c r="K812" i="19"/>
  <c r="I812" i="19"/>
  <c r="H812" i="19"/>
  <c r="G812" i="19"/>
  <c r="F812" i="19"/>
  <c r="E812" i="19"/>
  <c r="D812" i="19"/>
  <c r="C812" i="19" s="1"/>
  <c r="B812" i="19"/>
  <c r="A812" i="19"/>
  <c r="U811" i="19"/>
  <c r="Q811" i="19" s="1"/>
  <c r="T811" i="19"/>
  <c r="S811" i="19"/>
  <c r="R811" i="19"/>
  <c r="P811" i="19"/>
  <c r="O811" i="19"/>
  <c r="N811" i="19"/>
  <c r="M811" i="19"/>
  <c r="L811" i="19"/>
  <c r="K811" i="19"/>
  <c r="J811" i="19" s="1"/>
  <c r="I811" i="19"/>
  <c r="H811" i="19"/>
  <c r="G811" i="19"/>
  <c r="F811" i="19"/>
  <c r="E811" i="19"/>
  <c r="D811" i="19"/>
  <c r="B811" i="19"/>
  <c r="A811" i="19"/>
  <c r="T810" i="19"/>
  <c r="S810" i="19"/>
  <c r="U810" i="19" s="1"/>
  <c r="Q810" i="19" s="1"/>
  <c r="R810" i="19"/>
  <c r="P810" i="19"/>
  <c r="O810" i="19"/>
  <c r="N810" i="19"/>
  <c r="M810" i="19"/>
  <c r="L810" i="19"/>
  <c r="K810" i="19"/>
  <c r="I810" i="19"/>
  <c r="H810" i="19"/>
  <c r="G810" i="19"/>
  <c r="F810" i="19"/>
  <c r="E810" i="19"/>
  <c r="D810" i="19"/>
  <c r="C810" i="19"/>
  <c r="B810" i="19"/>
  <c r="A810" i="19"/>
  <c r="T809" i="19"/>
  <c r="S809" i="19"/>
  <c r="U809" i="19" s="1"/>
  <c r="Q809" i="19" s="1"/>
  <c r="R809" i="19"/>
  <c r="P809" i="19"/>
  <c r="O809" i="19"/>
  <c r="N809" i="19"/>
  <c r="M809" i="19"/>
  <c r="L809" i="19"/>
  <c r="K809" i="19"/>
  <c r="I809" i="19"/>
  <c r="H809" i="19"/>
  <c r="G809" i="19"/>
  <c r="F809" i="19"/>
  <c r="E809" i="19"/>
  <c r="D809" i="19"/>
  <c r="B809" i="19"/>
  <c r="A809" i="19"/>
  <c r="U808" i="19"/>
  <c r="T808" i="19"/>
  <c r="S808" i="19"/>
  <c r="R808" i="19"/>
  <c r="Q808" i="19"/>
  <c r="P808" i="19"/>
  <c r="O808" i="19"/>
  <c r="N808" i="19"/>
  <c r="M808" i="19"/>
  <c r="L808" i="19"/>
  <c r="K808" i="19"/>
  <c r="I808" i="19"/>
  <c r="H808" i="19"/>
  <c r="G808" i="19"/>
  <c r="F808" i="19"/>
  <c r="E808" i="19"/>
  <c r="D808" i="19"/>
  <c r="C808" i="19"/>
  <c r="B808" i="19"/>
  <c r="A808" i="19"/>
  <c r="U807" i="19"/>
  <c r="Q807" i="19" s="1"/>
  <c r="T807" i="19"/>
  <c r="S807" i="19"/>
  <c r="R807" i="19"/>
  <c r="P807" i="19"/>
  <c r="O807" i="19"/>
  <c r="N807" i="19"/>
  <c r="M807" i="19"/>
  <c r="L807" i="19"/>
  <c r="K807" i="19"/>
  <c r="I807" i="19"/>
  <c r="H807" i="19"/>
  <c r="G807" i="19"/>
  <c r="F807" i="19"/>
  <c r="E807" i="19"/>
  <c r="D807" i="19"/>
  <c r="C807" i="19"/>
  <c r="B807" i="19"/>
  <c r="A807" i="19"/>
  <c r="T806" i="19"/>
  <c r="S806" i="19"/>
  <c r="U806" i="19" s="1"/>
  <c r="Q806" i="19" s="1"/>
  <c r="R806" i="19"/>
  <c r="P806" i="19"/>
  <c r="O806" i="19"/>
  <c r="N806" i="19"/>
  <c r="M806" i="19"/>
  <c r="L806" i="19"/>
  <c r="K806" i="19"/>
  <c r="I806" i="19"/>
  <c r="H806" i="19"/>
  <c r="G806" i="19"/>
  <c r="F806" i="19"/>
  <c r="E806" i="19"/>
  <c r="D806" i="19"/>
  <c r="C806" i="19" s="1"/>
  <c r="B806" i="19"/>
  <c r="A806" i="19"/>
  <c r="U805" i="19"/>
  <c r="T805" i="19"/>
  <c r="S805" i="19"/>
  <c r="R805" i="19"/>
  <c r="Q805" i="19"/>
  <c r="P805" i="19"/>
  <c r="O805" i="19"/>
  <c r="N805" i="19"/>
  <c r="M805" i="19"/>
  <c r="L805" i="19"/>
  <c r="K805" i="19"/>
  <c r="J805" i="19" s="1"/>
  <c r="I805" i="19"/>
  <c r="H805" i="19"/>
  <c r="G805" i="19"/>
  <c r="F805" i="19"/>
  <c r="E805" i="19"/>
  <c r="D805" i="19"/>
  <c r="B805" i="19"/>
  <c r="A805" i="19"/>
  <c r="T804" i="19"/>
  <c r="S804" i="19"/>
  <c r="U804" i="19" s="1"/>
  <c r="Q804" i="19" s="1"/>
  <c r="R804" i="19"/>
  <c r="P804" i="19"/>
  <c r="O804" i="19"/>
  <c r="N804" i="19"/>
  <c r="M804" i="19"/>
  <c r="L804" i="19"/>
  <c r="K804" i="19"/>
  <c r="J804" i="19" s="1"/>
  <c r="I804" i="19"/>
  <c r="H804" i="19"/>
  <c r="G804" i="19"/>
  <c r="F804" i="19"/>
  <c r="E804" i="19"/>
  <c r="D804" i="19"/>
  <c r="B804" i="19"/>
  <c r="A804" i="19"/>
  <c r="T803" i="19"/>
  <c r="S803" i="19"/>
  <c r="U803" i="19" s="1"/>
  <c r="R803" i="19"/>
  <c r="Q803" i="19"/>
  <c r="P803" i="19"/>
  <c r="O803" i="19"/>
  <c r="N803" i="19"/>
  <c r="M803" i="19"/>
  <c r="L803" i="19"/>
  <c r="K803" i="19"/>
  <c r="I803" i="19"/>
  <c r="H803" i="19"/>
  <c r="G803" i="19"/>
  <c r="F803" i="19"/>
  <c r="E803" i="19"/>
  <c r="C803" i="19" s="1"/>
  <c r="D803" i="19"/>
  <c r="B803" i="19"/>
  <c r="A803" i="19"/>
  <c r="U802" i="19"/>
  <c r="T802" i="19"/>
  <c r="S802" i="19"/>
  <c r="R802" i="19"/>
  <c r="Q802" i="19"/>
  <c r="P802" i="19"/>
  <c r="O802" i="19"/>
  <c r="N802" i="19"/>
  <c r="M802" i="19"/>
  <c r="L802" i="19"/>
  <c r="K802" i="19"/>
  <c r="J802" i="19" s="1"/>
  <c r="I802" i="19"/>
  <c r="H802" i="19"/>
  <c r="G802" i="19"/>
  <c r="F802" i="19"/>
  <c r="E802" i="19"/>
  <c r="C802" i="19" s="1"/>
  <c r="D802" i="19"/>
  <c r="B802" i="19"/>
  <c r="A802" i="19"/>
  <c r="U801" i="19"/>
  <c r="Q801" i="19" s="1"/>
  <c r="T801" i="19"/>
  <c r="S801" i="19"/>
  <c r="R801" i="19"/>
  <c r="P801" i="19"/>
  <c r="O801" i="19"/>
  <c r="N801" i="19"/>
  <c r="M801" i="19"/>
  <c r="L801" i="19"/>
  <c r="K801" i="19"/>
  <c r="I801" i="19"/>
  <c r="H801" i="19"/>
  <c r="G801" i="19"/>
  <c r="F801" i="19"/>
  <c r="E801" i="19"/>
  <c r="D801" i="19"/>
  <c r="C801" i="19"/>
  <c r="B801" i="19"/>
  <c r="A801" i="19"/>
  <c r="T800" i="19"/>
  <c r="S800" i="19"/>
  <c r="U800" i="19" s="1"/>
  <c r="Q800" i="19" s="1"/>
  <c r="R800" i="19"/>
  <c r="P800" i="19"/>
  <c r="O800" i="19"/>
  <c r="N800" i="19"/>
  <c r="M800" i="19"/>
  <c r="L800" i="19"/>
  <c r="K800" i="19"/>
  <c r="I800" i="19"/>
  <c r="H800" i="19"/>
  <c r="G800" i="19"/>
  <c r="F800" i="19"/>
  <c r="E800" i="19"/>
  <c r="D800" i="19"/>
  <c r="B800" i="19"/>
  <c r="A800" i="19"/>
  <c r="U799" i="19"/>
  <c r="Q799" i="19" s="1"/>
  <c r="V799" i="19" s="1"/>
  <c r="T799" i="19"/>
  <c r="S799" i="19"/>
  <c r="R799" i="19"/>
  <c r="P799" i="19"/>
  <c r="O799" i="19"/>
  <c r="N799" i="19"/>
  <c r="M799" i="19"/>
  <c r="L799" i="19"/>
  <c r="K799" i="19"/>
  <c r="J799" i="19" s="1"/>
  <c r="I799" i="19"/>
  <c r="H799" i="19"/>
  <c r="G799" i="19"/>
  <c r="F799" i="19"/>
  <c r="E799" i="19"/>
  <c r="C799" i="19" s="1"/>
  <c r="D799" i="19"/>
  <c r="B799" i="19"/>
  <c r="A799" i="19"/>
  <c r="U798" i="19"/>
  <c r="Q798" i="19" s="1"/>
  <c r="T798" i="19"/>
  <c r="S798" i="19"/>
  <c r="R798" i="19"/>
  <c r="P798" i="19"/>
  <c r="O798" i="19"/>
  <c r="N798" i="19"/>
  <c r="M798" i="19"/>
  <c r="L798" i="19"/>
  <c r="K798" i="19"/>
  <c r="I798" i="19"/>
  <c r="H798" i="19"/>
  <c r="G798" i="19"/>
  <c r="F798" i="19"/>
  <c r="E798" i="19"/>
  <c r="D798" i="19"/>
  <c r="B798" i="19"/>
  <c r="A798" i="19"/>
  <c r="T797" i="19"/>
  <c r="S797" i="19"/>
  <c r="U797" i="19" s="1"/>
  <c r="R797" i="19"/>
  <c r="Q797" i="19"/>
  <c r="P797" i="19"/>
  <c r="O797" i="19"/>
  <c r="N797" i="19"/>
  <c r="M797" i="19"/>
  <c r="L797" i="19"/>
  <c r="K797" i="19"/>
  <c r="I797" i="19"/>
  <c r="H797" i="19"/>
  <c r="G797" i="19"/>
  <c r="F797" i="19"/>
  <c r="E797" i="19"/>
  <c r="D797" i="19"/>
  <c r="B797" i="19"/>
  <c r="A797" i="19"/>
  <c r="U796" i="19"/>
  <c r="T796" i="19"/>
  <c r="S796" i="19"/>
  <c r="R796" i="19"/>
  <c r="Q796" i="19"/>
  <c r="P796" i="19"/>
  <c r="O796" i="19"/>
  <c r="N796" i="19"/>
  <c r="M796" i="19"/>
  <c r="L796" i="19"/>
  <c r="K796" i="19"/>
  <c r="J796" i="19" s="1"/>
  <c r="I796" i="19"/>
  <c r="H796" i="19"/>
  <c r="G796" i="19"/>
  <c r="F796" i="19"/>
  <c r="E796" i="19"/>
  <c r="D796" i="19"/>
  <c r="C796" i="19"/>
  <c r="B796" i="19"/>
  <c r="A796" i="19"/>
  <c r="U795" i="19"/>
  <c r="Q795" i="19" s="1"/>
  <c r="T795" i="19"/>
  <c r="S795" i="19"/>
  <c r="R795" i="19"/>
  <c r="P795" i="19"/>
  <c r="O795" i="19"/>
  <c r="N795" i="19"/>
  <c r="M795" i="19"/>
  <c r="L795" i="19"/>
  <c r="K795" i="19"/>
  <c r="J795" i="19" s="1"/>
  <c r="I795" i="19"/>
  <c r="C795" i="19" s="1"/>
  <c r="H795" i="19"/>
  <c r="G795" i="19"/>
  <c r="F795" i="19"/>
  <c r="E795" i="19"/>
  <c r="D795" i="19"/>
  <c r="B795" i="19"/>
  <c r="A795" i="19"/>
  <c r="T794" i="19"/>
  <c r="S794" i="19"/>
  <c r="U794" i="19" s="1"/>
  <c r="Q794" i="19" s="1"/>
  <c r="R794" i="19"/>
  <c r="P794" i="19"/>
  <c r="O794" i="19"/>
  <c r="N794" i="19"/>
  <c r="M794" i="19"/>
  <c r="L794" i="19"/>
  <c r="K794" i="19"/>
  <c r="I794" i="19"/>
  <c r="H794" i="19"/>
  <c r="G794" i="19"/>
  <c r="F794" i="19"/>
  <c r="E794" i="19"/>
  <c r="D794" i="19"/>
  <c r="C794" i="19" s="1"/>
  <c r="B794" i="19"/>
  <c r="A794" i="19"/>
  <c r="U793" i="19"/>
  <c r="Q793" i="19" s="1"/>
  <c r="T793" i="19"/>
  <c r="S793" i="19"/>
  <c r="R793" i="19"/>
  <c r="P793" i="19"/>
  <c r="O793" i="19"/>
  <c r="N793" i="19"/>
  <c r="M793" i="19"/>
  <c r="L793" i="19"/>
  <c r="K793" i="19"/>
  <c r="J793" i="19" s="1"/>
  <c r="I793" i="19"/>
  <c r="H793" i="19"/>
  <c r="G793" i="19"/>
  <c r="F793" i="19"/>
  <c r="E793" i="19"/>
  <c r="D793" i="19"/>
  <c r="B793" i="19"/>
  <c r="A793" i="19"/>
  <c r="T792" i="19"/>
  <c r="S792" i="19"/>
  <c r="U792" i="19" s="1"/>
  <c r="Q792" i="19" s="1"/>
  <c r="R792" i="19"/>
  <c r="P792" i="19"/>
  <c r="O792" i="19"/>
  <c r="N792" i="19"/>
  <c r="M792" i="19"/>
  <c r="L792" i="19"/>
  <c r="K792" i="19"/>
  <c r="I792" i="19"/>
  <c r="H792" i="19"/>
  <c r="G792" i="19"/>
  <c r="F792" i="19"/>
  <c r="E792" i="19"/>
  <c r="D792" i="19"/>
  <c r="C792" i="19"/>
  <c r="B792" i="19"/>
  <c r="A792" i="19"/>
  <c r="T791" i="19"/>
  <c r="S791" i="19"/>
  <c r="U791" i="19" s="1"/>
  <c r="Q791" i="19" s="1"/>
  <c r="R791" i="19"/>
  <c r="P791" i="19"/>
  <c r="O791" i="19"/>
  <c r="N791" i="19"/>
  <c r="M791" i="19"/>
  <c r="L791" i="19"/>
  <c r="K791" i="19"/>
  <c r="I791" i="19"/>
  <c r="H791" i="19"/>
  <c r="G791" i="19"/>
  <c r="F791" i="19"/>
  <c r="E791" i="19"/>
  <c r="D791" i="19"/>
  <c r="B791" i="19"/>
  <c r="A791" i="19"/>
  <c r="U790" i="19"/>
  <c r="T790" i="19"/>
  <c r="S790" i="19"/>
  <c r="R790" i="19"/>
  <c r="Q790" i="19"/>
  <c r="P790" i="19"/>
  <c r="O790" i="19"/>
  <c r="N790" i="19"/>
  <c r="M790" i="19"/>
  <c r="L790" i="19"/>
  <c r="K790" i="19"/>
  <c r="I790" i="19"/>
  <c r="H790" i="19"/>
  <c r="G790" i="19"/>
  <c r="F790" i="19"/>
  <c r="E790" i="19"/>
  <c r="D790" i="19"/>
  <c r="C790" i="19"/>
  <c r="B790" i="19"/>
  <c r="A790" i="19"/>
  <c r="U789" i="19"/>
  <c r="Q789" i="19" s="1"/>
  <c r="T789" i="19"/>
  <c r="S789" i="19"/>
  <c r="R789" i="19"/>
  <c r="P789" i="19"/>
  <c r="O789" i="19"/>
  <c r="N789" i="19"/>
  <c r="M789" i="19"/>
  <c r="L789" i="19"/>
  <c r="K789" i="19"/>
  <c r="I789" i="19"/>
  <c r="H789" i="19"/>
  <c r="G789" i="19"/>
  <c r="F789" i="19"/>
  <c r="E789" i="19"/>
  <c r="D789" i="19"/>
  <c r="C789" i="19"/>
  <c r="B789" i="19"/>
  <c r="A789" i="19"/>
  <c r="T788" i="19"/>
  <c r="S788" i="19"/>
  <c r="U788" i="19" s="1"/>
  <c r="Q788" i="19" s="1"/>
  <c r="R788" i="19"/>
  <c r="P788" i="19"/>
  <c r="O788" i="19"/>
  <c r="N788" i="19"/>
  <c r="M788" i="19"/>
  <c r="L788" i="19"/>
  <c r="K788" i="19"/>
  <c r="I788" i="19"/>
  <c r="H788" i="19"/>
  <c r="G788" i="19"/>
  <c r="F788" i="19"/>
  <c r="E788" i="19"/>
  <c r="D788" i="19"/>
  <c r="B788" i="19"/>
  <c r="A788" i="19"/>
  <c r="U787" i="19"/>
  <c r="T787" i="19"/>
  <c r="S787" i="19"/>
  <c r="R787" i="19"/>
  <c r="Q787" i="19"/>
  <c r="P787" i="19"/>
  <c r="O787" i="19"/>
  <c r="N787" i="19"/>
  <c r="M787" i="19"/>
  <c r="L787" i="19"/>
  <c r="K787" i="19"/>
  <c r="J787" i="19" s="1"/>
  <c r="I787" i="19"/>
  <c r="H787" i="19"/>
  <c r="G787" i="19"/>
  <c r="F787" i="19"/>
  <c r="E787" i="19"/>
  <c r="D787" i="19"/>
  <c r="B787" i="19"/>
  <c r="A787" i="19"/>
  <c r="T786" i="19"/>
  <c r="S786" i="19"/>
  <c r="U786" i="19" s="1"/>
  <c r="Q786" i="19" s="1"/>
  <c r="R786" i="19"/>
  <c r="P786" i="19"/>
  <c r="O786" i="19"/>
  <c r="N786" i="19"/>
  <c r="M786" i="19"/>
  <c r="L786" i="19"/>
  <c r="K786" i="19"/>
  <c r="J786" i="19" s="1"/>
  <c r="I786" i="19"/>
  <c r="H786" i="19"/>
  <c r="G786" i="19"/>
  <c r="C786" i="19" s="1"/>
  <c r="F786" i="19"/>
  <c r="E786" i="19"/>
  <c r="D786" i="19"/>
  <c r="B786" i="19"/>
  <c r="A786" i="19"/>
  <c r="T785" i="19"/>
  <c r="S785" i="19"/>
  <c r="U785" i="19" s="1"/>
  <c r="R785" i="19"/>
  <c r="Q785" i="19"/>
  <c r="P785" i="19"/>
  <c r="O785" i="19"/>
  <c r="N785" i="19"/>
  <c r="M785" i="19"/>
  <c r="L785" i="19"/>
  <c r="K785" i="19"/>
  <c r="I785" i="19"/>
  <c r="H785" i="19"/>
  <c r="G785" i="19"/>
  <c r="F785" i="19"/>
  <c r="E785" i="19"/>
  <c r="C785" i="19" s="1"/>
  <c r="D785" i="19"/>
  <c r="B785" i="19"/>
  <c r="A785" i="19"/>
  <c r="U784" i="19"/>
  <c r="T784" i="19"/>
  <c r="S784" i="19"/>
  <c r="R784" i="19"/>
  <c r="Q784" i="19"/>
  <c r="P784" i="19"/>
  <c r="O784" i="19"/>
  <c r="N784" i="19"/>
  <c r="M784" i="19"/>
  <c r="L784" i="19"/>
  <c r="K784" i="19"/>
  <c r="J784" i="19" s="1"/>
  <c r="I784" i="19"/>
  <c r="H784" i="19"/>
  <c r="G784" i="19"/>
  <c r="F784" i="19"/>
  <c r="E784" i="19"/>
  <c r="C784" i="19" s="1"/>
  <c r="D784" i="19"/>
  <c r="B784" i="19"/>
  <c r="A784" i="19"/>
  <c r="U783" i="19"/>
  <c r="Q783" i="19" s="1"/>
  <c r="T783" i="19"/>
  <c r="S783" i="19"/>
  <c r="R783" i="19"/>
  <c r="P783" i="19"/>
  <c r="O783" i="19"/>
  <c r="N783" i="19"/>
  <c r="M783" i="19"/>
  <c r="L783" i="19"/>
  <c r="K783" i="19"/>
  <c r="I783" i="19"/>
  <c r="H783" i="19"/>
  <c r="G783" i="19"/>
  <c r="F783" i="19"/>
  <c r="E783" i="19"/>
  <c r="D783" i="19"/>
  <c r="C783" i="19"/>
  <c r="B783" i="19"/>
  <c r="A783" i="19"/>
  <c r="T782" i="19"/>
  <c r="S782" i="19"/>
  <c r="U782" i="19" s="1"/>
  <c r="Q782" i="19" s="1"/>
  <c r="R782" i="19"/>
  <c r="P782" i="19"/>
  <c r="O782" i="19"/>
  <c r="N782" i="19"/>
  <c r="M782" i="19"/>
  <c r="L782" i="19"/>
  <c r="K782" i="19"/>
  <c r="I782" i="19"/>
  <c r="H782" i="19"/>
  <c r="G782" i="19"/>
  <c r="F782" i="19"/>
  <c r="E782" i="19"/>
  <c r="D782" i="19"/>
  <c r="B782" i="19"/>
  <c r="A782" i="19"/>
  <c r="U781" i="19"/>
  <c r="Q781" i="19" s="1"/>
  <c r="V781" i="19" s="1"/>
  <c r="T781" i="19"/>
  <c r="S781" i="19"/>
  <c r="R781" i="19"/>
  <c r="P781" i="19"/>
  <c r="O781" i="19"/>
  <c r="N781" i="19"/>
  <c r="M781" i="19"/>
  <c r="L781" i="19"/>
  <c r="K781" i="19"/>
  <c r="J781" i="19" s="1"/>
  <c r="I781" i="19"/>
  <c r="H781" i="19"/>
  <c r="G781" i="19"/>
  <c r="F781" i="19"/>
  <c r="E781" i="19"/>
  <c r="C781" i="19" s="1"/>
  <c r="D781" i="19"/>
  <c r="B781" i="19"/>
  <c r="A781" i="19"/>
  <c r="U780" i="19"/>
  <c r="Q780" i="19" s="1"/>
  <c r="T780" i="19"/>
  <c r="S780" i="19"/>
  <c r="R780" i="19"/>
  <c r="P780" i="19"/>
  <c r="O780" i="19"/>
  <c r="N780" i="19"/>
  <c r="M780" i="19"/>
  <c r="L780" i="19"/>
  <c r="K780" i="19"/>
  <c r="I780" i="19"/>
  <c r="H780" i="19"/>
  <c r="G780" i="19"/>
  <c r="F780" i="19"/>
  <c r="E780" i="19"/>
  <c r="D780" i="19"/>
  <c r="B780" i="19"/>
  <c r="A780" i="19"/>
  <c r="T779" i="19"/>
  <c r="S779" i="19"/>
  <c r="U779" i="19" s="1"/>
  <c r="R779" i="19"/>
  <c r="Q779" i="19"/>
  <c r="P779" i="19"/>
  <c r="O779" i="19"/>
  <c r="N779" i="19"/>
  <c r="M779" i="19"/>
  <c r="L779" i="19"/>
  <c r="K779" i="19"/>
  <c r="I779" i="19"/>
  <c r="H779" i="19"/>
  <c r="G779" i="19"/>
  <c r="F779" i="19"/>
  <c r="E779" i="19"/>
  <c r="D779" i="19"/>
  <c r="B779" i="19"/>
  <c r="A779" i="19"/>
  <c r="U778" i="19"/>
  <c r="T778" i="19"/>
  <c r="S778" i="19"/>
  <c r="R778" i="19"/>
  <c r="Q778" i="19"/>
  <c r="P778" i="19"/>
  <c r="O778" i="19"/>
  <c r="N778" i="19"/>
  <c r="M778" i="19"/>
  <c r="L778" i="19"/>
  <c r="K778" i="19"/>
  <c r="I778" i="19"/>
  <c r="H778" i="19"/>
  <c r="G778" i="19"/>
  <c r="F778" i="19"/>
  <c r="E778" i="19"/>
  <c r="D778" i="19"/>
  <c r="C778" i="19"/>
  <c r="B778" i="19"/>
  <c r="A778" i="19"/>
  <c r="U777" i="19"/>
  <c r="Q777" i="19" s="1"/>
  <c r="T777" i="19"/>
  <c r="S777" i="19"/>
  <c r="R777" i="19"/>
  <c r="P777" i="19"/>
  <c r="O777" i="19"/>
  <c r="N777" i="19"/>
  <c r="M777" i="19"/>
  <c r="L777" i="19"/>
  <c r="K777" i="19"/>
  <c r="J777" i="19" s="1"/>
  <c r="I777" i="19"/>
  <c r="C777" i="19" s="1"/>
  <c r="H777" i="19"/>
  <c r="G777" i="19"/>
  <c r="F777" i="19"/>
  <c r="E777" i="19"/>
  <c r="D777" i="19"/>
  <c r="B777" i="19"/>
  <c r="A777" i="19"/>
  <c r="T776" i="19"/>
  <c r="S776" i="19"/>
  <c r="U776" i="19" s="1"/>
  <c r="Q776" i="19" s="1"/>
  <c r="R776" i="19"/>
  <c r="P776" i="19"/>
  <c r="O776" i="19"/>
  <c r="N776" i="19"/>
  <c r="M776" i="19"/>
  <c r="L776" i="19"/>
  <c r="K776" i="19"/>
  <c r="I776" i="19"/>
  <c r="H776" i="19"/>
  <c r="G776" i="19"/>
  <c r="F776" i="19"/>
  <c r="E776" i="19"/>
  <c r="D776" i="19"/>
  <c r="C776" i="19" s="1"/>
  <c r="B776" i="19"/>
  <c r="A776" i="19"/>
  <c r="U775" i="19"/>
  <c r="Q775" i="19" s="1"/>
  <c r="T775" i="19"/>
  <c r="S775" i="19"/>
  <c r="R775" i="19"/>
  <c r="P775" i="19"/>
  <c r="O775" i="19"/>
  <c r="N775" i="19"/>
  <c r="M775" i="19"/>
  <c r="L775" i="19"/>
  <c r="K775" i="19"/>
  <c r="J775" i="19" s="1"/>
  <c r="I775" i="19"/>
  <c r="H775" i="19"/>
  <c r="G775" i="19"/>
  <c r="F775" i="19"/>
  <c r="E775" i="19"/>
  <c r="D775" i="19"/>
  <c r="B775" i="19"/>
  <c r="A775" i="19"/>
  <c r="T774" i="19"/>
  <c r="S774" i="19"/>
  <c r="U774" i="19" s="1"/>
  <c r="Q774" i="19" s="1"/>
  <c r="R774" i="19"/>
  <c r="P774" i="19"/>
  <c r="O774" i="19"/>
  <c r="N774" i="19"/>
  <c r="M774" i="19"/>
  <c r="L774" i="19"/>
  <c r="K774" i="19"/>
  <c r="I774" i="19"/>
  <c r="H774" i="19"/>
  <c r="G774" i="19"/>
  <c r="F774" i="19"/>
  <c r="E774" i="19"/>
  <c r="D774" i="19"/>
  <c r="C774" i="19"/>
  <c r="B774" i="19"/>
  <c r="A774" i="19"/>
  <c r="T773" i="19"/>
  <c r="S773" i="19"/>
  <c r="U773" i="19" s="1"/>
  <c r="Q773" i="19" s="1"/>
  <c r="R773" i="19"/>
  <c r="P773" i="19"/>
  <c r="O773" i="19"/>
  <c r="N773" i="19"/>
  <c r="M773" i="19"/>
  <c r="L773" i="19"/>
  <c r="K773" i="19"/>
  <c r="I773" i="19"/>
  <c r="H773" i="19"/>
  <c r="G773" i="19"/>
  <c r="F773" i="19"/>
  <c r="E773" i="19"/>
  <c r="D773" i="19"/>
  <c r="B773" i="19"/>
  <c r="A773" i="19"/>
  <c r="U772" i="19"/>
  <c r="T772" i="19"/>
  <c r="S772" i="19"/>
  <c r="R772" i="19"/>
  <c r="Q772" i="19"/>
  <c r="P772" i="19"/>
  <c r="O772" i="19"/>
  <c r="N772" i="19"/>
  <c r="M772" i="19"/>
  <c r="L772" i="19"/>
  <c r="K772" i="19"/>
  <c r="I772" i="19"/>
  <c r="H772" i="19"/>
  <c r="G772" i="19"/>
  <c r="F772" i="19"/>
  <c r="E772" i="19"/>
  <c r="D772" i="19"/>
  <c r="C772" i="19"/>
  <c r="B772" i="19"/>
  <c r="A772" i="19"/>
  <c r="U771" i="19"/>
  <c r="Q771" i="19" s="1"/>
  <c r="T771" i="19"/>
  <c r="S771" i="19"/>
  <c r="R771" i="19"/>
  <c r="P771" i="19"/>
  <c r="O771" i="19"/>
  <c r="N771" i="19"/>
  <c r="M771" i="19"/>
  <c r="L771" i="19"/>
  <c r="K771" i="19"/>
  <c r="J771" i="19" s="1"/>
  <c r="I771" i="19"/>
  <c r="C771" i="19" s="1"/>
  <c r="H771" i="19"/>
  <c r="G771" i="19"/>
  <c r="F771" i="19"/>
  <c r="E771" i="19"/>
  <c r="D771" i="19"/>
  <c r="B771" i="19"/>
  <c r="A771" i="19"/>
  <c r="T770" i="19"/>
  <c r="S770" i="19"/>
  <c r="U770" i="19" s="1"/>
  <c r="Q770" i="19" s="1"/>
  <c r="R770" i="19"/>
  <c r="P770" i="19"/>
  <c r="O770" i="19"/>
  <c r="N770" i="19"/>
  <c r="M770" i="19"/>
  <c r="L770" i="19"/>
  <c r="K770" i="19"/>
  <c r="I770" i="19"/>
  <c r="H770" i="19"/>
  <c r="G770" i="19"/>
  <c r="F770" i="19"/>
  <c r="E770" i="19"/>
  <c r="D770" i="19"/>
  <c r="C770" i="19"/>
  <c r="B770" i="19"/>
  <c r="A770" i="19"/>
  <c r="U769" i="19"/>
  <c r="T769" i="19"/>
  <c r="S769" i="19"/>
  <c r="R769" i="19"/>
  <c r="Q769" i="19"/>
  <c r="P769" i="19"/>
  <c r="O769" i="19"/>
  <c r="N769" i="19"/>
  <c r="M769" i="19"/>
  <c r="L769" i="19"/>
  <c r="K769" i="19"/>
  <c r="I769" i="19"/>
  <c r="H769" i="19"/>
  <c r="G769" i="19"/>
  <c r="F769" i="19"/>
  <c r="E769" i="19"/>
  <c r="C769" i="19" s="1"/>
  <c r="D769" i="19"/>
  <c r="B769" i="19"/>
  <c r="A769" i="19"/>
  <c r="T768" i="19"/>
  <c r="S768" i="19"/>
  <c r="U768" i="19" s="1"/>
  <c r="Q768" i="19" s="1"/>
  <c r="V768" i="19" s="1"/>
  <c r="R768" i="19"/>
  <c r="P768" i="19"/>
  <c r="O768" i="19"/>
  <c r="N768" i="19"/>
  <c r="M768" i="19"/>
  <c r="L768" i="19"/>
  <c r="K768" i="19"/>
  <c r="J768" i="19" s="1"/>
  <c r="I768" i="19"/>
  <c r="H768" i="19"/>
  <c r="G768" i="19"/>
  <c r="C768" i="19" s="1"/>
  <c r="F768" i="19"/>
  <c r="E768" i="19"/>
  <c r="D768" i="19"/>
  <c r="B768" i="19"/>
  <c r="A768" i="19"/>
  <c r="T767" i="19"/>
  <c r="S767" i="19"/>
  <c r="U767" i="19" s="1"/>
  <c r="Q767" i="19" s="1"/>
  <c r="R767" i="19"/>
  <c r="P767" i="19"/>
  <c r="O767" i="19"/>
  <c r="N767" i="19"/>
  <c r="M767" i="19"/>
  <c r="L767" i="19"/>
  <c r="K767" i="19"/>
  <c r="I767" i="19"/>
  <c r="H767" i="19"/>
  <c r="G767" i="19"/>
  <c r="F767" i="19"/>
  <c r="E767" i="19"/>
  <c r="C767" i="19" s="1"/>
  <c r="D767" i="19"/>
  <c r="B767" i="19"/>
  <c r="A767" i="19"/>
  <c r="T766" i="19"/>
  <c r="S766" i="19"/>
  <c r="U766" i="19" s="1"/>
  <c r="Q766" i="19" s="1"/>
  <c r="R766" i="19"/>
  <c r="P766" i="19"/>
  <c r="O766" i="19"/>
  <c r="N766" i="19"/>
  <c r="M766" i="19"/>
  <c r="L766" i="19"/>
  <c r="K766" i="19"/>
  <c r="J766" i="19" s="1"/>
  <c r="I766" i="19"/>
  <c r="H766" i="19"/>
  <c r="G766" i="19"/>
  <c r="F766" i="19"/>
  <c r="E766" i="19"/>
  <c r="C766" i="19" s="1"/>
  <c r="D766" i="19"/>
  <c r="B766" i="19"/>
  <c r="A766" i="19"/>
  <c r="U765" i="19"/>
  <c r="Q765" i="19" s="1"/>
  <c r="T765" i="19"/>
  <c r="S765" i="19"/>
  <c r="R765" i="19"/>
  <c r="P765" i="19"/>
  <c r="O765" i="19"/>
  <c r="N765" i="19"/>
  <c r="M765" i="19"/>
  <c r="L765" i="19"/>
  <c r="K765" i="19"/>
  <c r="I765" i="19"/>
  <c r="C765" i="19" s="1"/>
  <c r="H765" i="19"/>
  <c r="G765" i="19"/>
  <c r="F765" i="19"/>
  <c r="E765" i="19"/>
  <c r="D765" i="19"/>
  <c r="B765" i="19"/>
  <c r="A765" i="19"/>
  <c r="T764" i="19"/>
  <c r="S764" i="19"/>
  <c r="U764" i="19" s="1"/>
  <c r="Q764" i="19" s="1"/>
  <c r="R764" i="19"/>
  <c r="P764" i="19"/>
  <c r="O764" i="19"/>
  <c r="N764" i="19"/>
  <c r="M764" i="19"/>
  <c r="L764" i="19"/>
  <c r="K764" i="19"/>
  <c r="J764" i="19" s="1"/>
  <c r="I764" i="19"/>
  <c r="H764" i="19"/>
  <c r="G764" i="19"/>
  <c r="F764" i="19"/>
  <c r="E764" i="19"/>
  <c r="D764" i="19"/>
  <c r="C764" i="19"/>
  <c r="B764" i="19"/>
  <c r="A764" i="19"/>
  <c r="U763" i="19"/>
  <c r="Q763" i="19" s="1"/>
  <c r="T763" i="19"/>
  <c r="S763" i="19"/>
  <c r="R763" i="19"/>
  <c r="P763" i="19"/>
  <c r="O763" i="19"/>
  <c r="N763" i="19"/>
  <c r="M763" i="19"/>
  <c r="L763" i="19"/>
  <c r="K763" i="19"/>
  <c r="J763" i="19" s="1"/>
  <c r="I763" i="19"/>
  <c r="H763" i="19"/>
  <c r="G763" i="19"/>
  <c r="F763" i="19"/>
  <c r="E763" i="19"/>
  <c r="C763" i="19" s="1"/>
  <c r="D763" i="19"/>
  <c r="B763" i="19"/>
  <c r="A763" i="19"/>
  <c r="T762" i="19"/>
  <c r="S762" i="19"/>
  <c r="U762" i="19" s="1"/>
  <c r="Q762" i="19" s="1"/>
  <c r="R762" i="19"/>
  <c r="P762" i="19"/>
  <c r="O762" i="19"/>
  <c r="N762" i="19"/>
  <c r="M762" i="19"/>
  <c r="L762" i="19"/>
  <c r="K762" i="19"/>
  <c r="I762" i="19"/>
  <c r="H762" i="19"/>
  <c r="G762" i="19"/>
  <c r="F762" i="19"/>
  <c r="E762" i="19"/>
  <c r="D762" i="19"/>
  <c r="C762" i="19"/>
  <c r="B762" i="19"/>
  <c r="A762" i="19"/>
  <c r="U761" i="19"/>
  <c r="Q761" i="19" s="1"/>
  <c r="T761" i="19"/>
  <c r="S761" i="19"/>
  <c r="R761" i="19"/>
  <c r="P761" i="19"/>
  <c r="O761" i="19"/>
  <c r="N761" i="19"/>
  <c r="M761" i="19"/>
  <c r="L761" i="19"/>
  <c r="K761" i="19"/>
  <c r="I761" i="19"/>
  <c r="H761" i="19"/>
  <c r="G761" i="19"/>
  <c r="F761" i="19"/>
  <c r="E761" i="19"/>
  <c r="D761" i="19"/>
  <c r="B761" i="19"/>
  <c r="A761" i="19"/>
  <c r="T760" i="19"/>
  <c r="S760" i="19"/>
  <c r="U760" i="19" s="1"/>
  <c r="Q760" i="19" s="1"/>
  <c r="R760" i="19"/>
  <c r="P760" i="19"/>
  <c r="O760" i="19"/>
  <c r="N760" i="19"/>
  <c r="M760" i="19"/>
  <c r="L760" i="19"/>
  <c r="K760" i="19"/>
  <c r="I760" i="19"/>
  <c r="H760" i="19"/>
  <c r="G760" i="19"/>
  <c r="F760" i="19"/>
  <c r="E760" i="19"/>
  <c r="D760" i="19"/>
  <c r="C760" i="19"/>
  <c r="B760" i="19"/>
  <c r="A760" i="19"/>
  <c r="U759" i="19"/>
  <c r="T759" i="19"/>
  <c r="S759" i="19"/>
  <c r="R759" i="19"/>
  <c r="Q759" i="19"/>
  <c r="P759" i="19"/>
  <c r="O759" i="19"/>
  <c r="N759" i="19"/>
  <c r="M759" i="19"/>
  <c r="L759" i="19"/>
  <c r="K759" i="19"/>
  <c r="J759" i="19" s="1"/>
  <c r="I759" i="19"/>
  <c r="H759" i="19"/>
  <c r="G759" i="19"/>
  <c r="F759" i="19"/>
  <c r="E759" i="19"/>
  <c r="D759" i="19"/>
  <c r="C759" i="19"/>
  <c r="B759" i="19"/>
  <c r="A759" i="19"/>
  <c r="T758" i="19"/>
  <c r="S758" i="19"/>
  <c r="U758" i="19" s="1"/>
  <c r="Q758" i="19" s="1"/>
  <c r="R758" i="19"/>
  <c r="P758" i="19"/>
  <c r="O758" i="19"/>
  <c r="N758" i="19"/>
  <c r="M758" i="19"/>
  <c r="L758" i="19"/>
  <c r="K758" i="19"/>
  <c r="J758" i="19" s="1"/>
  <c r="I758" i="19"/>
  <c r="H758" i="19"/>
  <c r="G758" i="19"/>
  <c r="F758" i="19"/>
  <c r="E758" i="19"/>
  <c r="C758" i="19" s="1"/>
  <c r="D758" i="19"/>
  <c r="B758" i="19"/>
  <c r="A758" i="19"/>
  <c r="U757" i="19"/>
  <c r="T757" i="19"/>
  <c r="S757" i="19"/>
  <c r="R757" i="19"/>
  <c r="Q757" i="19"/>
  <c r="P757" i="19"/>
  <c r="O757" i="19"/>
  <c r="N757" i="19"/>
  <c r="M757" i="19"/>
  <c r="L757" i="19"/>
  <c r="K757" i="19"/>
  <c r="I757" i="19"/>
  <c r="H757" i="19"/>
  <c r="G757" i="19"/>
  <c r="F757" i="19"/>
  <c r="E757" i="19"/>
  <c r="C757" i="19" s="1"/>
  <c r="D757" i="19"/>
  <c r="B757" i="19"/>
  <c r="A757" i="19"/>
  <c r="U756" i="19"/>
  <c r="Q756" i="19" s="1"/>
  <c r="T756" i="19"/>
  <c r="S756" i="19"/>
  <c r="R756" i="19"/>
  <c r="P756" i="19"/>
  <c r="O756" i="19"/>
  <c r="N756" i="19"/>
  <c r="M756" i="19"/>
  <c r="L756" i="19"/>
  <c r="K756" i="19"/>
  <c r="I756" i="19"/>
  <c r="H756" i="19"/>
  <c r="G756" i="19"/>
  <c r="C756" i="19" s="1"/>
  <c r="F756" i="19"/>
  <c r="E756" i="19"/>
  <c r="D756" i="19"/>
  <c r="B756" i="19"/>
  <c r="A756" i="19"/>
  <c r="U755" i="19"/>
  <c r="Q755" i="19" s="1"/>
  <c r="T755" i="19"/>
  <c r="S755" i="19"/>
  <c r="R755" i="19"/>
  <c r="P755" i="19"/>
  <c r="O755" i="19"/>
  <c r="N755" i="19"/>
  <c r="M755" i="19"/>
  <c r="L755" i="19"/>
  <c r="K755" i="19"/>
  <c r="J755" i="19" s="1"/>
  <c r="I755" i="19"/>
  <c r="H755" i="19"/>
  <c r="G755" i="19"/>
  <c r="F755" i="19"/>
  <c r="E755" i="19"/>
  <c r="D755" i="19"/>
  <c r="B755" i="19"/>
  <c r="A755" i="19"/>
  <c r="U754" i="19"/>
  <c r="T754" i="19"/>
  <c r="S754" i="19"/>
  <c r="R754" i="19"/>
  <c r="Q754" i="19"/>
  <c r="P754" i="19"/>
  <c r="O754" i="19"/>
  <c r="N754" i="19"/>
  <c r="M754" i="19"/>
  <c r="L754" i="19"/>
  <c r="K754" i="19"/>
  <c r="I754" i="19"/>
  <c r="H754" i="19"/>
  <c r="G754" i="19"/>
  <c r="F754" i="19"/>
  <c r="E754" i="19"/>
  <c r="C754" i="19" s="1"/>
  <c r="D754" i="19"/>
  <c r="B754" i="19"/>
  <c r="A754" i="19"/>
  <c r="U753" i="19"/>
  <c r="Q753" i="19" s="1"/>
  <c r="T753" i="19"/>
  <c r="S753" i="19"/>
  <c r="R753" i="19"/>
  <c r="P753" i="19"/>
  <c r="O753" i="19"/>
  <c r="N753" i="19"/>
  <c r="M753" i="19"/>
  <c r="L753" i="19"/>
  <c r="K753" i="19"/>
  <c r="I753" i="19"/>
  <c r="H753" i="19"/>
  <c r="G753" i="19"/>
  <c r="F753" i="19"/>
  <c r="E753" i="19"/>
  <c r="C753" i="19" s="1"/>
  <c r="D753" i="19"/>
  <c r="B753" i="19"/>
  <c r="A753" i="19"/>
  <c r="T752" i="19"/>
  <c r="S752" i="19"/>
  <c r="U752" i="19" s="1"/>
  <c r="Q752" i="19" s="1"/>
  <c r="R752" i="19"/>
  <c r="P752" i="19"/>
  <c r="O752" i="19"/>
  <c r="N752" i="19"/>
  <c r="M752" i="19"/>
  <c r="L752" i="19"/>
  <c r="K752" i="19"/>
  <c r="I752" i="19"/>
  <c r="H752" i="19"/>
  <c r="G752" i="19"/>
  <c r="C752" i="19" s="1"/>
  <c r="F752" i="19"/>
  <c r="E752" i="19"/>
  <c r="D752" i="19"/>
  <c r="B752" i="19"/>
  <c r="A752" i="19"/>
  <c r="U751" i="19"/>
  <c r="T751" i="19"/>
  <c r="S751" i="19"/>
  <c r="R751" i="19"/>
  <c r="Q751" i="19"/>
  <c r="P751" i="19"/>
  <c r="O751" i="19"/>
  <c r="N751" i="19"/>
  <c r="M751" i="19"/>
  <c r="L751" i="19"/>
  <c r="K751" i="19"/>
  <c r="I751" i="19"/>
  <c r="H751" i="19"/>
  <c r="G751" i="19"/>
  <c r="F751" i="19"/>
  <c r="E751" i="19"/>
  <c r="D751" i="19"/>
  <c r="C751" i="19"/>
  <c r="B751" i="19"/>
  <c r="A751" i="19"/>
  <c r="T750" i="19"/>
  <c r="S750" i="19"/>
  <c r="U750" i="19" s="1"/>
  <c r="Q750" i="19" s="1"/>
  <c r="R750" i="19"/>
  <c r="P750" i="19"/>
  <c r="O750" i="19"/>
  <c r="N750" i="19"/>
  <c r="M750" i="19"/>
  <c r="L750" i="19"/>
  <c r="K750" i="19"/>
  <c r="J750" i="19" s="1"/>
  <c r="I750" i="19"/>
  <c r="H750" i="19"/>
  <c r="G750" i="19"/>
  <c r="C750" i="19" s="1"/>
  <c r="F750" i="19"/>
  <c r="E750" i="19"/>
  <c r="D750" i="19"/>
  <c r="B750" i="19"/>
  <c r="A750" i="19"/>
  <c r="T749" i="19"/>
  <c r="S749" i="19"/>
  <c r="U749" i="19" s="1"/>
  <c r="Q749" i="19" s="1"/>
  <c r="R749" i="19"/>
  <c r="P749" i="19"/>
  <c r="O749" i="19"/>
  <c r="N749" i="19"/>
  <c r="M749" i="19"/>
  <c r="L749" i="19"/>
  <c r="K749" i="19"/>
  <c r="I749" i="19"/>
  <c r="H749" i="19"/>
  <c r="G749" i="19"/>
  <c r="F749" i="19"/>
  <c r="E749" i="19"/>
  <c r="C749" i="19" s="1"/>
  <c r="D749" i="19"/>
  <c r="B749" i="19"/>
  <c r="A749" i="19"/>
  <c r="U748" i="19"/>
  <c r="Q748" i="19" s="1"/>
  <c r="T748" i="19"/>
  <c r="S748" i="19"/>
  <c r="R748" i="19"/>
  <c r="P748" i="19"/>
  <c r="O748" i="19"/>
  <c r="N748" i="19"/>
  <c r="M748" i="19"/>
  <c r="L748" i="19"/>
  <c r="K748" i="19"/>
  <c r="I748" i="19"/>
  <c r="H748" i="19"/>
  <c r="G748" i="19"/>
  <c r="F748" i="19"/>
  <c r="E748" i="19"/>
  <c r="D748" i="19"/>
  <c r="B748" i="19"/>
  <c r="A748" i="19"/>
  <c r="U747" i="19"/>
  <c r="T747" i="19"/>
  <c r="S747" i="19"/>
  <c r="R747" i="19"/>
  <c r="Q747" i="19"/>
  <c r="P747" i="19"/>
  <c r="O747" i="19"/>
  <c r="N747" i="19"/>
  <c r="M747" i="19"/>
  <c r="L747" i="19"/>
  <c r="K747" i="19"/>
  <c r="J747" i="19"/>
  <c r="I747" i="19"/>
  <c r="H747" i="19"/>
  <c r="G747" i="19"/>
  <c r="F747" i="19"/>
  <c r="E747" i="19"/>
  <c r="C747" i="19" s="1"/>
  <c r="D747" i="19"/>
  <c r="B747" i="19"/>
  <c r="A747" i="19"/>
  <c r="T746" i="19"/>
  <c r="S746" i="19"/>
  <c r="U746" i="19" s="1"/>
  <c r="R746" i="19"/>
  <c r="Q746" i="19"/>
  <c r="P746" i="19"/>
  <c r="O746" i="19"/>
  <c r="N746" i="19"/>
  <c r="M746" i="19"/>
  <c r="L746" i="19"/>
  <c r="K746" i="19"/>
  <c r="I746" i="19"/>
  <c r="H746" i="19"/>
  <c r="G746" i="19"/>
  <c r="F746" i="19"/>
  <c r="E746" i="19"/>
  <c r="C746" i="19" s="1"/>
  <c r="D746" i="19"/>
  <c r="B746" i="19"/>
  <c r="A746" i="19"/>
  <c r="U745" i="19"/>
  <c r="Q745" i="19" s="1"/>
  <c r="V745" i="19" s="1"/>
  <c r="T745" i="19"/>
  <c r="S745" i="19"/>
  <c r="R745" i="19"/>
  <c r="P745" i="19"/>
  <c r="O745" i="19"/>
  <c r="J745" i="19" s="1"/>
  <c r="N745" i="19"/>
  <c r="M745" i="19"/>
  <c r="L745" i="19"/>
  <c r="K745" i="19"/>
  <c r="I745" i="19"/>
  <c r="H745" i="19"/>
  <c r="G745" i="19"/>
  <c r="F745" i="19"/>
  <c r="E745" i="19"/>
  <c r="D745" i="19"/>
  <c r="C745" i="19"/>
  <c r="B745" i="19"/>
  <c r="A745" i="19"/>
  <c r="T744" i="19"/>
  <c r="S744" i="19"/>
  <c r="U744" i="19" s="1"/>
  <c r="Q744" i="19" s="1"/>
  <c r="R744" i="19"/>
  <c r="P744" i="19"/>
  <c r="O744" i="19"/>
  <c r="N744" i="19"/>
  <c r="M744" i="19"/>
  <c r="L744" i="19"/>
  <c r="K744" i="19"/>
  <c r="J744" i="19" s="1"/>
  <c r="I744" i="19"/>
  <c r="H744" i="19"/>
  <c r="G744" i="19"/>
  <c r="F744" i="19"/>
  <c r="E744" i="19"/>
  <c r="D744" i="19"/>
  <c r="B744" i="19"/>
  <c r="A744" i="19"/>
  <c r="T743" i="19"/>
  <c r="S743" i="19"/>
  <c r="R743" i="19"/>
  <c r="P743" i="19"/>
  <c r="O743" i="19"/>
  <c r="N743" i="19"/>
  <c r="M743" i="19"/>
  <c r="L743" i="19"/>
  <c r="K743" i="19"/>
  <c r="I743" i="19"/>
  <c r="H743" i="19"/>
  <c r="G743" i="19"/>
  <c r="F743" i="19"/>
  <c r="E743" i="19"/>
  <c r="D743" i="19"/>
  <c r="B743" i="19"/>
  <c r="A743" i="19"/>
  <c r="T742" i="19"/>
  <c r="U742" i="19" s="1"/>
  <c r="Q742" i="19" s="1"/>
  <c r="S742" i="19"/>
  <c r="R742" i="19"/>
  <c r="P742" i="19"/>
  <c r="O742" i="19"/>
  <c r="N742" i="19"/>
  <c r="M742" i="19"/>
  <c r="L742" i="19"/>
  <c r="K742" i="19"/>
  <c r="J742" i="19"/>
  <c r="I742" i="19"/>
  <c r="H742" i="19"/>
  <c r="G742" i="19"/>
  <c r="F742" i="19"/>
  <c r="E742" i="19"/>
  <c r="D742" i="19"/>
  <c r="C742" i="19" s="1"/>
  <c r="B742" i="19"/>
  <c r="A742" i="19"/>
  <c r="U741" i="19"/>
  <c r="Q741" i="19" s="1"/>
  <c r="T741" i="19"/>
  <c r="S741" i="19"/>
  <c r="R741" i="19"/>
  <c r="P741" i="19"/>
  <c r="O741" i="19"/>
  <c r="N741" i="19"/>
  <c r="M741" i="19"/>
  <c r="J741" i="19" s="1"/>
  <c r="L741" i="19"/>
  <c r="K741" i="19"/>
  <c r="I741" i="19"/>
  <c r="H741" i="19"/>
  <c r="G741" i="19"/>
  <c r="F741" i="19"/>
  <c r="E741" i="19"/>
  <c r="D741" i="19"/>
  <c r="B741" i="19"/>
  <c r="A741" i="19"/>
  <c r="T740" i="19"/>
  <c r="S740" i="19"/>
  <c r="R740" i="19"/>
  <c r="P740" i="19"/>
  <c r="O740" i="19"/>
  <c r="N740" i="19"/>
  <c r="M740" i="19"/>
  <c r="L740" i="19"/>
  <c r="K740" i="19"/>
  <c r="I740" i="19"/>
  <c r="H740" i="19"/>
  <c r="G740" i="19"/>
  <c r="F740" i="19"/>
  <c r="E740" i="19"/>
  <c r="D740" i="19"/>
  <c r="C740" i="19"/>
  <c r="B740" i="19"/>
  <c r="A740" i="19"/>
  <c r="T739" i="19"/>
  <c r="S739" i="19"/>
  <c r="R739" i="19"/>
  <c r="U739" i="19" s="1"/>
  <c r="Q739" i="19"/>
  <c r="P739" i="19"/>
  <c r="O739" i="19"/>
  <c r="N739" i="19"/>
  <c r="M739" i="19"/>
  <c r="L739" i="19"/>
  <c r="K739" i="19"/>
  <c r="J739" i="19" s="1"/>
  <c r="I739" i="19"/>
  <c r="H739" i="19"/>
  <c r="G739" i="19"/>
  <c r="F739" i="19"/>
  <c r="E739" i="19"/>
  <c r="D739" i="19"/>
  <c r="B739" i="19"/>
  <c r="A739" i="19"/>
  <c r="U738" i="19"/>
  <c r="Q738" i="19" s="1"/>
  <c r="T738" i="19"/>
  <c r="S738" i="19"/>
  <c r="R738" i="19"/>
  <c r="P738" i="19"/>
  <c r="O738" i="19"/>
  <c r="N738" i="19"/>
  <c r="M738" i="19"/>
  <c r="L738" i="19"/>
  <c r="K738" i="19"/>
  <c r="I738" i="19"/>
  <c r="H738" i="19"/>
  <c r="G738" i="19"/>
  <c r="F738" i="19"/>
  <c r="E738" i="19"/>
  <c r="D738" i="19"/>
  <c r="C738" i="19"/>
  <c r="B738" i="19"/>
  <c r="A738" i="19"/>
  <c r="T737" i="19"/>
  <c r="U737" i="19" s="1"/>
  <c r="Q737" i="19" s="1"/>
  <c r="S737" i="19"/>
  <c r="R737" i="19"/>
  <c r="P737" i="19"/>
  <c r="O737" i="19"/>
  <c r="N737" i="19"/>
  <c r="M737" i="19"/>
  <c r="L737" i="19"/>
  <c r="J737" i="19" s="1"/>
  <c r="K737" i="19"/>
  <c r="I737" i="19"/>
  <c r="H737" i="19"/>
  <c r="G737" i="19"/>
  <c r="F737" i="19"/>
  <c r="E737" i="19"/>
  <c r="D737" i="19"/>
  <c r="B737" i="19"/>
  <c r="A737" i="19"/>
  <c r="U736" i="19"/>
  <c r="Q736" i="19" s="1"/>
  <c r="T736" i="19"/>
  <c r="S736" i="19"/>
  <c r="R736" i="19"/>
  <c r="P736" i="19"/>
  <c r="O736" i="19"/>
  <c r="N736" i="19"/>
  <c r="M736" i="19"/>
  <c r="L736" i="19"/>
  <c r="K736" i="19"/>
  <c r="J736" i="19" s="1"/>
  <c r="I736" i="19"/>
  <c r="H736" i="19"/>
  <c r="G736" i="19"/>
  <c r="F736" i="19"/>
  <c r="E736" i="19"/>
  <c r="D736" i="19"/>
  <c r="B736" i="19"/>
  <c r="A736" i="19"/>
  <c r="T735" i="19"/>
  <c r="S735" i="19"/>
  <c r="U735" i="19" s="1"/>
  <c r="Q735" i="19" s="1"/>
  <c r="R735" i="19"/>
  <c r="P735" i="19"/>
  <c r="O735" i="19"/>
  <c r="N735" i="19"/>
  <c r="M735" i="19"/>
  <c r="L735" i="19"/>
  <c r="K735" i="19"/>
  <c r="I735" i="19"/>
  <c r="C735" i="19" s="1"/>
  <c r="H735" i="19"/>
  <c r="G735" i="19"/>
  <c r="F735" i="19"/>
  <c r="E735" i="19"/>
  <c r="D735" i="19"/>
  <c r="B735" i="19"/>
  <c r="A735" i="19"/>
  <c r="T734" i="19"/>
  <c r="S734" i="19"/>
  <c r="R734" i="19"/>
  <c r="P734" i="19"/>
  <c r="O734" i="19"/>
  <c r="N734" i="19"/>
  <c r="M734" i="19"/>
  <c r="L734" i="19"/>
  <c r="K734" i="19"/>
  <c r="J734" i="19" s="1"/>
  <c r="I734" i="19"/>
  <c r="H734" i="19"/>
  <c r="G734" i="19"/>
  <c r="F734" i="19"/>
  <c r="E734" i="19"/>
  <c r="D734" i="19"/>
  <c r="C734" i="19" s="1"/>
  <c r="B734" i="19"/>
  <c r="A734" i="19"/>
  <c r="U733" i="19"/>
  <c r="Q733" i="19" s="1"/>
  <c r="T733" i="19"/>
  <c r="S733" i="19"/>
  <c r="R733" i="19"/>
  <c r="P733" i="19"/>
  <c r="O733" i="19"/>
  <c r="N733" i="19"/>
  <c r="M733" i="19"/>
  <c r="L733" i="19"/>
  <c r="J733" i="19" s="1"/>
  <c r="K733" i="19"/>
  <c r="I733" i="19"/>
  <c r="H733" i="19"/>
  <c r="G733" i="19"/>
  <c r="F733" i="19"/>
  <c r="E733" i="19"/>
  <c r="D733" i="19"/>
  <c r="C733" i="19" s="1"/>
  <c r="B733" i="19"/>
  <c r="A733" i="19"/>
  <c r="T732" i="19"/>
  <c r="S732" i="19"/>
  <c r="U732" i="19" s="1"/>
  <c r="Q732" i="19" s="1"/>
  <c r="R732" i="19"/>
  <c r="P732" i="19"/>
  <c r="O732" i="19"/>
  <c r="N732" i="19"/>
  <c r="M732" i="19"/>
  <c r="L732" i="19"/>
  <c r="K732" i="19"/>
  <c r="J732" i="19" s="1"/>
  <c r="I732" i="19"/>
  <c r="H732" i="19"/>
  <c r="G732" i="19"/>
  <c r="C732" i="19" s="1"/>
  <c r="F732" i="19"/>
  <c r="E732" i="19"/>
  <c r="D732" i="19"/>
  <c r="B732" i="19"/>
  <c r="A732" i="19"/>
  <c r="T731" i="19"/>
  <c r="S731" i="19"/>
  <c r="R731" i="19"/>
  <c r="P731" i="19"/>
  <c r="O731" i="19"/>
  <c r="N731" i="19"/>
  <c r="M731" i="19"/>
  <c r="L731" i="19"/>
  <c r="K731" i="19"/>
  <c r="J731" i="19" s="1"/>
  <c r="I731" i="19"/>
  <c r="H731" i="19"/>
  <c r="G731" i="19"/>
  <c r="F731" i="19"/>
  <c r="E731" i="19"/>
  <c r="D731" i="19"/>
  <c r="B731" i="19"/>
  <c r="A731" i="19"/>
  <c r="T730" i="19"/>
  <c r="S730" i="19"/>
  <c r="R730" i="19"/>
  <c r="U730" i="19" s="1"/>
  <c r="Q730" i="19" s="1"/>
  <c r="P730" i="19"/>
  <c r="O730" i="19"/>
  <c r="N730" i="19"/>
  <c r="M730" i="19"/>
  <c r="L730" i="19"/>
  <c r="J730" i="19" s="1"/>
  <c r="K730" i="19"/>
  <c r="I730" i="19"/>
  <c r="H730" i="19"/>
  <c r="G730" i="19"/>
  <c r="F730" i="19"/>
  <c r="E730" i="19"/>
  <c r="D730" i="19"/>
  <c r="B730" i="19"/>
  <c r="A730" i="19"/>
  <c r="T729" i="19"/>
  <c r="U729" i="19" s="1"/>
  <c r="Q729" i="19" s="1"/>
  <c r="V729" i="19" s="1"/>
  <c r="S729" i="19"/>
  <c r="R729" i="19"/>
  <c r="P729" i="19"/>
  <c r="O729" i="19"/>
  <c r="N729" i="19"/>
  <c r="J729" i="19" s="1"/>
  <c r="M729" i="19"/>
  <c r="L729" i="19"/>
  <c r="K729" i="19"/>
  <c r="I729" i="19"/>
  <c r="H729" i="19"/>
  <c r="G729" i="19"/>
  <c r="F729" i="19"/>
  <c r="E729" i="19"/>
  <c r="D729" i="19"/>
  <c r="C729" i="19"/>
  <c r="B729" i="19"/>
  <c r="A729" i="19"/>
  <c r="T728" i="19"/>
  <c r="S728" i="19"/>
  <c r="R728" i="19"/>
  <c r="U728" i="19" s="1"/>
  <c r="Q728" i="19" s="1"/>
  <c r="P728" i="19"/>
  <c r="O728" i="19"/>
  <c r="N728" i="19"/>
  <c r="M728" i="19"/>
  <c r="L728" i="19"/>
  <c r="K728" i="19"/>
  <c r="I728" i="19"/>
  <c r="H728" i="19"/>
  <c r="G728" i="19"/>
  <c r="F728" i="19"/>
  <c r="E728" i="19"/>
  <c r="D728" i="19"/>
  <c r="B728" i="19"/>
  <c r="A728" i="19"/>
  <c r="U727" i="19"/>
  <c r="Q727" i="19" s="1"/>
  <c r="T727" i="19"/>
  <c r="S727" i="19"/>
  <c r="R727" i="19"/>
  <c r="P727" i="19"/>
  <c r="O727" i="19"/>
  <c r="N727" i="19"/>
  <c r="M727" i="19"/>
  <c r="L727" i="19"/>
  <c r="K727" i="19"/>
  <c r="I727" i="19"/>
  <c r="H727" i="19"/>
  <c r="G727" i="19"/>
  <c r="F727" i="19"/>
  <c r="E727" i="19"/>
  <c r="D727" i="19"/>
  <c r="C727" i="19"/>
  <c r="B727" i="19"/>
  <c r="A727" i="19"/>
  <c r="T726" i="19"/>
  <c r="S726" i="19"/>
  <c r="U726" i="19" s="1"/>
  <c r="Q726" i="19" s="1"/>
  <c r="R726" i="19"/>
  <c r="P726" i="19"/>
  <c r="O726" i="19"/>
  <c r="N726" i="19"/>
  <c r="M726" i="19"/>
  <c r="L726" i="19"/>
  <c r="K726" i="19"/>
  <c r="I726" i="19"/>
  <c r="H726" i="19"/>
  <c r="G726" i="19"/>
  <c r="F726" i="19"/>
  <c r="E726" i="19"/>
  <c r="D726" i="19"/>
  <c r="C726" i="19" s="1"/>
  <c r="B726" i="19"/>
  <c r="A726" i="19"/>
  <c r="T725" i="19"/>
  <c r="U725" i="19" s="1"/>
  <c r="Q725" i="19" s="1"/>
  <c r="S725" i="19"/>
  <c r="R725" i="19"/>
  <c r="P725" i="19"/>
  <c r="O725" i="19"/>
  <c r="N725" i="19"/>
  <c r="M725" i="19"/>
  <c r="L725" i="19"/>
  <c r="K725" i="19"/>
  <c r="I725" i="19"/>
  <c r="H725" i="19"/>
  <c r="G725" i="19"/>
  <c r="F725" i="19"/>
  <c r="E725" i="19"/>
  <c r="D725" i="19"/>
  <c r="B725" i="19"/>
  <c r="A725" i="19"/>
  <c r="T724" i="19"/>
  <c r="S724" i="19"/>
  <c r="R724" i="19"/>
  <c r="P724" i="19"/>
  <c r="O724" i="19"/>
  <c r="N724" i="19"/>
  <c r="M724" i="19"/>
  <c r="L724" i="19"/>
  <c r="K724" i="19"/>
  <c r="I724" i="19"/>
  <c r="H724" i="19"/>
  <c r="G724" i="19"/>
  <c r="F724" i="19"/>
  <c r="E724" i="19"/>
  <c r="D724" i="19"/>
  <c r="B724" i="19"/>
  <c r="A724" i="19"/>
  <c r="U723" i="19"/>
  <c r="Q723" i="19" s="1"/>
  <c r="T723" i="19"/>
  <c r="S723" i="19"/>
  <c r="R723" i="19"/>
  <c r="P723" i="19"/>
  <c r="O723" i="19"/>
  <c r="N723" i="19"/>
  <c r="M723" i="19"/>
  <c r="L723" i="19"/>
  <c r="K723" i="19"/>
  <c r="J723" i="19"/>
  <c r="I723" i="19"/>
  <c r="H723" i="19"/>
  <c r="G723" i="19"/>
  <c r="F723" i="19"/>
  <c r="E723" i="19"/>
  <c r="D723" i="19"/>
  <c r="B723" i="19"/>
  <c r="A723" i="19"/>
  <c r="T722" i="19"/>
  <c r="S722" i="19"/>
  <c r="R722" i="19"/>
  <c r="P722" i="19"/>
  <c r="O722" i="19"/>
  <c r="N722" i="19"/>
  <c r="M722" i="19"/>
  <c r="L722" i="19"/>
  <c r="K722" i="19"/>
  <c r="I722" i="19"/>
  <c r="H722" i="19"/>
  <c r="G722" i="19"/>
  <c r="F722" i="19"/>
  <c r="E722" i="19"/>
  <c r="D722" i="19"/>
  <c r="C722" i="19" s="1"/>
  <c r="B722" i="19"/>
  <c r="A722" i="19"/>
  <c r="U721" i="19"/>
  <c r="Q721" i="19" s="1"/>
  <c r="V721" i="19" s="1"/>
  <c r="T721" i="19"/>
  <c r="S721" i="19"/>
  <c r="R721" i="19"/>
  <c r="P721" i="19"/>
  <c r="O721" i="19"/>
  <c r="N721" i="19"/>
  <c r="M721" i="19"/>
  <c r="L721" i="19"/>
  <c r="K721" i="19"/>
  <c r="J721" i="19"/>
  <c r="I721" i="19"/>
  <c r="H721" i="19"/>
  <c r="G721" i="19"/>
  <c r="F721" i="19"/>
  <c r="E721" i="19"/>
  <c r="D721" i="19"/>
  <c r="C721" i="19"/>
  <c r="B721" i="19"/>
  <c r="A721" i="19"/>
  <c r="U720" i="19"/>
  <c r="Q720" i="19" s="1"/>
  <c r="T720" i="19"/>
  <c r="S720" i="19"/>
  <c r="R720" i="19"/>
  <c r="P720" i="19"/>
  <c r="O720" i="19"/>
  <c r="N720" i="19"/>
  <c r="M720" i="19"/>
  <c r="L720" i="19"/>
  <c r="K720" i="19"/>
  <c r="I720" i="19"/>
  <c r="H720" i="19"/>
  <c r="G720" i="19"/>
  <c r="F720" i="19"/>
  <c r="E720" i="19"/>
  <c r="D720" i="19"/>
  <c r="C720" i="19" s="1"/>
  <c r="B720" i="19"/>
  <c r="A720" i="19"/>
  <c r="T719" i="19"/>
  <c r="S719" i="19"/>
  <c r="R719" i="19"/>
  <c r="U719" i="19" s="1"/>
  <c r="Q719" i="19" s="1"/>
  <c r="P719" i="19"/>
  <c r="O719" i="19"/>
  <c r="N719" i="19"/>
  <c r="M719" i="19"/>
  <c r="L719" i="19"/>
  <c r="J719" i="19" s="1"/>
  <c r="V719" i="19" s="1"/>
  <c r="K719" i="19"/>
  <c r="I719" i="19"/>
  <c r="H719" i="19"/>
  <c r="G719" i="19"/>
  <c r="F719" i="19"/>
  <c r="E719" i="19"/>
  <c r="C719" i="19" s="1"/>
  <c r="D719" i="19"/>
  <c r="B719" i="19"/>
  <c r="A719" i="19"/>
  <c r="U718" i="19"/>
  <c r="T718" i="19"/>
  <c r="S718" i="19"/>
  <c r="R718" i="19"/>
  <c r="Q718" i="19"/>
  <c r="P718" i="19"/>
  <c r="O718" i="19"/>
  <c r="N718" i="19"/>
  <c r="M718" i="19"/>
  <c r="L718" i="19"/>
  <c r="K718" i="19"/>
  <c r="J718" i="19"/>
  <c r="I718" i="19"/>
  <c r="H718" i="19"/>
  <c r="G718" i="19"/>
  <c r="F718" i="19"/>
  <c r="E718" i="19"/>
  <c r="D718" i="19"/>
  <c r="B718" i="19"/>
  <c r="A718" i="19"/>
  <c r="T717" i="19"/>
  <c r="S717" i="19"/>
  <c r="R717" i="19"/>
  <c r="U717" i="19" s="1"/>
  <c r="Q717" i="19" s="1"/>
  <c r="P717" i="19"/>
  <c r="O717" i="19"/>
  <c r="N717" i="19"/>
  <c r="M717" i="19"/>
  <c r="L717" i="19"/>
  <c r="K717" i="19"/>
  <c r="I717" i="19"/>
  <c r="H717" i="19"/>
  <c r="G717" i="19"/>
  <c r="F717" i="19"/>
  <c r="E717" i="19"/>
  <c r="D717" i="19"/>
  <c r="C717" i="19"/>
  <c r="B717" i="19"/>
  <c r="A717" i="19"/>
  <c r="U716" i="19"/>
  <c r="T716" i="19"/>
  <c r="S716" i="19"/>
  <c r="R716" i="19"/>
  <c r="Q716" i="19"/>
  <c r="P716" i="19"/>
  <c r="O716" i="19"/>
  <c r="N716" i="19"/>
  <c r="M716" i="19"/>
  <c r="L716" i="19"/>
  <c r="K716" i="19"/>
  <c r="I716" i="19"/>
  <c r="H716" i="19"/>
  <c r="G716" i="19"/>
  <c r="F716" i="19"/>
  <c r="E716" i="19"/>
  <c r="D716" i="19"/>
  <c r="C716" i="19"/>
  <c r="B716" i="19"/>
  <c r="A716" i="19"/>
  <c r="U715" i="19"/>
  <c r="Q715" i="19" s="1"/>
  <c r="T715" i="19"/>
  <c r="S715" i="19"/>
  <c r="R715" i="19"/>
  <c r="P715" i="19"/>
  <c r="O715" i="19"/>
  <c r="N715" i="19"/>
  <c r="M715" i="19"/>
  <c r="L715" i="19"/>
  <c r="K715" i="19"/>
  <c r="I715" i="19"/>
  <c r="H715" i="19"/>
  <c r="G715" i="19"/>
  <c r="F715" i="19"/>
  <c r="E715" i="19"/>
  <c r="D715" i="19"/>
  <c r="C715" i="19" s="1"/>
  <c r="B715" i="19"/>
  <c r="A715" i="19"/>
  <c r="V714" i="19"/>
  <c r="T714" i="19"/>
  <c r="S714" i="19"/>
  <c r="U714" i="19" s="1"/>
  <c r="Q714" i="19" s="1"/>
  <c r="R714" i="19"/>
  <c r="P714" i="19"/>
  <c r="O714" i="19"/>
  <c r="N714" i="19"/>
  <c r="M714" i="19"/>
  <c r="L714" i="19"/>
  <c r="J714" i="19" s="1"/>
  <c r="K714" i="19"/>
  <c r="I714" i="19"/>
  <c r="H714" i="19"/>
  <c r="G714" i="19"/>
  <c r="F714" i="19"/>
  <c r="E714" i="19"/>
  <c r="D714" i="19"/>
  <c r="C714" i="19" s="1"/>
  <c r="B714" i="19"/>
  <c r="A714" i="19"/>
  <c r="U713" i="19"/>
  <c r="T713" i="19"/>
  <c r="S713" i="19"/>
  <c r="R713" i="19"/>
  <c r="Q713" i="19"/>
  <c r="P713" i="19"/>
  <c r="O713" i="19"/>
  <c r="N713" i="19"/>
  <c r="M713" i="19"/>
  <c r="L713" i="19"/>
  <c r="K713" i="19"/>
  <c r="J713" i="19"/>
  <c r="I713" i="19"/>
  <c r="H713" i="19"/>
  <c r="G713" i="19"/>
  <c r="F713" i="19"/>
  <c r="E713" i="19"/>
  <c r="C713" i="19" s="1"/>
  <c r="D713" i="19"/>
  <c r="B713" i="19"/>
  <c r="A713" i="19"/>
  <c r="T712" i="19"/>
  <c r="S712" i="19"/>
  <c r="R712" i="19"/>
  <c r="U712" i="19" s="1"/>
  <c r="Q712" i="19" s="1"/>
  <c r="P712" i="19"/>
  <c r="O712" i="19"/>
  <c r="N712" i="19"/>
  <c r="M712" i="19"/>
  <c r="L712" i="19"/>
  <c r="K712" i="19"/>
  <c r="I712" i="19"/>
  <c r="H712" i="19"/>
  <c r="G712" i="19"/>
  <c r="F712" i="19"/>
  <c r="E712" i="19"/>
  <c r="D712" i="19"/>
  <c r="C712" i="19"/>
  <c r="B712" i="19"/>
  <c r="A712" i="19"/>
  <c r="T711" i="19"/>
  <c r="S711" i="19"/>
  <c r="R711" i="19"/>
  <c r="U711" i="19" s="1"/>
  <c r="Q711" i="19" s="1"/>
  <c r="P711" i="19"/>
  <c r="O711" i="19"/>
  <c r="N711" i="19"/>
  <c r="M711" i="19"/>
  <c r="L711" i="19"/>
  <c r="K711" i="19"/>
  <c r="I711" i="19"/>
  <c r="H711" i="19"/>
  <c r="G711" i="19"/>
  <c r="F711" i="19"/>
  <c r="E711" i="19"/>
  <c r="D711" i="19"/>
  <c r="B711" i="19"/>
  <c r="A711" i="19"/>
  <c r="U710" i="19"/>
  <c r="Q710" i="19" s="1"/>
  <c r="T710" i="19"/>
  <c r="S710" i="19"/>
  <c r="R710" i="19"/>
  <c r="P710" i="19"/>
  <c r="O710" i="19"/>
  <c r="N710" i="19"/>
  <c r="M710" i="19"/>
  <c r="L710" i="19"/>
  <c r="K710" i="19"/>
  <c r="I710" i="19"/>
  <c r="H710" i="19"/>
  <c r="G710" i="19"/>
  <c r="F710" i="19"/>
  <c r="E710" i="19"/>
  <c r="D710" i="19"/>
  <c r="C710" i="19" s="1"/>
  <c r="B710" i="19"/>
  <c r="A710" i="19"/>
  <c r="T709" i="19"/>
  <c r="S709" i="19"/>
  <c r="R709" i="19"/>
  <c r="P709" i="19"/>
  <c r="O709" i="19"/>
  <c r="N709" i="19"/>
  <c r="M709" i="19"/>
  <c r="L709" i="19"/>
  <c r="K709" i="19"/>
  <c r="J709" i="19" s="1"/>
  <c r="I709" i="19"/>
  <c r="H709" i="19"/>
  <c r="G709" i="19"/>
  <c r="F709" i="19"/>
  <c r="E709" i="19"/>
  <c r="D709" i="19"/>
  <c r="B709" i="19"/>
  <c r="A709" i="19"/>
  <c r="T708" i="19"/>
  <c r="U708" i="19" s="1"/>
  <c r="Q708" i="19" s="1"/>
  <c r="S708" i="19"/>
  <c r="R708" i="19"/>
  <c r="P708" i="19"/>
  <c r="J708" i="19" s="1"/>
  <c r="O708" i="19"/>
  <c r="N708" i="19"/>
  <c r="M708" i="19"/>
  <c r="L708" i="19"/>
  <c r="K708" i="19"/>
  <c r="I708" i="19"/>
  <c r="H708" i="19"/>
  <c r="G708" i="19"/>
  <c r="F708" i="19"/>
  <c r="E708" i="19"/>
  <c r="D708" i="19"/>
  <c r="B708" i="19"/>
  <c r="A708" i="19"/>
  <c r="T707" i="19"/>
  <c r="S707" i="19"/>
  <c r="R707" i="19"/>
  <c r="U707" i="19" s="1"/>
  <c r="Q707" i="19" s="1"/>
  <c r="P707" i="19"/>
  <c r="O707" i="19"/>
  <c r="N707" i="19"/>
  <c r="M707" i="19"/>
  <c r="L707" i="19"/>
  <c r="K707" i="19"/>
  <c r="I707" i="19"/>
  <c r="H707" i="19"/>
  <c r="G707" i="19"/>
  <c r="F707" i="19"/>
  <c r="E707" i="19"/>
  <c r="D707" i="19"/>
  <c r="B707" i="19"/>
  <c r="A707" i="19"/>
  <c r="T706" i="19"/>
  <c r="S706" i="19"/>
  <c r="R706" i="19"/>
  <c r="U706" i="19" s="1"/>
  <c r="Q706" i="19" s="1"/>
  <c r="P706" i="19"/>
  <c r="O706" i="19"/>
  <c r="N706" i="19"/>
  <c r="M706" i="19"/>
  <c r="L706" i="19"/>
  <c r="K706" i="19"/>
  <c r="I706" i="19"/>
  <c r="H706" i="19"/>
  <c r="G706" i="19"/>
  <c r="F706" i="19"/>
  <c r="E706" i="19"/>
  <c r="D706" i="19"/>
  <c r="B706" i="19"/>
  <c r="A706" i="19"/>
  <c r="T705" i="19"/>
  <c r="U705" i="19" s="1"/>
  <c r="Q705" i="19" s="1"/>
  <c r="S705" i="19"/>
  <c r="R705" i="19"/>
  <c r="P705" i="19"/>
  <c r="O705" i="19"/>
  <c r="N705" i="19"/>
  <c r="J705" i="19" s="1"/>
  <c r="M705" i="19"/>
  <c r="L705" i="19"/>
  <c r="K705" i="19"/>
  <c r="I705" i="19"/>
  <c r="H705" i="19"/>
  <c r="G705" i="19"/>
  <c r="F705" i="19"/>
  <c r="E705" i="19"/>
  <c r="D705" i="19"/>
  <c r="C705" i="19"/>
  <c r="B705" i="19"/>
  <c r="A705" i="19"/>
  <c r="T704" i="19"/>
  <c r="S704" i="19"/>
  <c r="R704" i="19"/>
  <c r="P704" i="19"/>
  <c r="O704" i="19"/>
  <c r="N704" i="19"/>
  <c r="M704" i="19"/>
  <c r="L704" i="19"/>
  <c r="K704" i="19"/>
  <c r="J704" i="19" s="1"/>
  <c r="I704" i="19"/>
  <c r="H704" i="19"/>
  <c r="G704" i="19"/>
  <c r="F704" i="19"/>
  <c r="E704" i="19"/>
  <c r="D704" i="19"/>
  <c r="C704" i="19" s="1"/>
  <c r="B704" i="19"/>
  <c r="A704" i="19"/>
  <c r="U703" i="19"/>
  <c r="T703" i="19"/>
  <c r="S703" i="19"/>
  <c r="R703" i="19"/>
  <c r="Q703" i="19"/>
  <c r="P703" i="19"/>
  <c r="J703" i="19" s="1"/>
  <c r="O703" i="19"/>
  <c r="N703" i="19"/>
  <c r="M703" i="19"/>
  <c r="L703" i="19"/>
  <c r="K703" i="19"/>
  <c r="I703" i="19"/>
  <c r="H703" i="19"/>
  <c r="G703" i="19"/>
  <c r="F703" i="19"/>
  <c r="E703" i="19"/>
  <c r="D703" i="19"/>
  <c r="B703" i="19"/>
  <c r="A703" i="19"/>
  <c r="T702" i="19"/>
  <c r="S702" i="19"/>
  <c r="R702" i="19"/>
  <c r="P702" i="19"/>
  <c r="O702" i="19"/>
  <c r="N702" i="19"/>
  <c r="M702" i="19"/>
  <c r="L702" i="19"/>
  <c r="J702" i="19" s="1"/>
  <c r="K702" i="19"/>
  <c r="I702" i="19"/>
  <c r="H702" i="19"/>
  <c r="G702" i="19"/>
  <c r="C702" i="19" s="1"/>
  <c r="F702" i="19"/>
  <c r="E702" i="19"/>
  <c r="D702" i="19"/>
  <c r="B702" i="19"/>
  <c r="A702" i="19"/>
  <c r="T701" i="19"/>
  <c r="S701" i="19"/>
  <c r="R701" i="19"/>
  <c r="U701" i="19" s="1"/>
  <c r="Q701" i="19" s="1"/>
  <c r="P701" i="19"/>
  <c r="O701" i="19"/>
  <c r="N701" i="19"/>
  <c r="M701" i="19"/>
  <c r="L701" i="19"/>
  <c r="K701" i="19"/>
  <c r="I701" i="19"/>
  <c r="H701" i="19"/>
  <c r="G701" i="19"/>
  <c r="F701" i="19"/>
  <c r="E701" i="19"/>
  <c r="C701" i="19" s="1"/>
  <c r="D701" i="19"/>
  <c r="B701" i="19"/>
  <c r="A701" i="19"/>
  <c r="V700" i="19"/>
  <c r="T700" i="19"/>
  <c r="U700" i="19" s="1"/>
  <c r="Q700" i="19" s="1"/>
  <c r="S700" i="19"/>
  <c r="R700" i="19"/>
  <c r="P700" i="19"/>
  <c r="O700" i="19"/>
  <c r="N700" i="19"/>
  <c r="M700" i="19"/>
  <c r="L700" i="19"/>
  <c r="K700" i="19"/>
  <c r="J700" i="19"/>
  <c r="I700" i="19"/>
  <c r="H700" i="19"/>
  <c r="G700" i="19"/>
  <c r="F700" i="19"/>
  <c r="E700" i="19"/>
  <c r="D700" i="19"/>
  <c r="C700" i="19" s="1"/>
  <c r="B700" i="19"/>
  <c r="A700" i="19"/>
  <c r="U699" i="19"/>
  <c r="Q699" i="19" s="1"/>
  <c r="T699" i="19"/>
  <c r="S699" i="19"/>
  <c r="R699" i="19"/>
  <c r="P699" i="19"/>
  <c r="O699" i="19"/>
  <c r="N699" i="19"/>
  <c r="M699" i="19"/>
  <c r="J699" i="19" s="1"/>
  <c r="L699" i="19"/>
  <c r="K699" i="19"/>
  <c r="I699" i="19"/>
  <c r="H699" i="19"/>
  <c r="G699" i="19"/>
  <c r="F699" i="19"/>
  <c r="E699" i="19"/>
  <c r="D699" i="19"/>
  <c r="B699" i="19"/>
  <c r="A699" i="19"/>
  <c r="U698" i="19"/>
  <c r="T698" i="19"/>
  <c r="S698" i="19"/>
  <c r="R698" i="19"/>
  <c r="Q698" i="19"/>
  <c r="P698" i="19"/>
  <c r="O698" i="19"/>
  <c r="N698" i="19"/>
  <c r="M698" i="19"/>
  <c r="L698" i="19"/>
  <c r="K698" i="19"/>
  <c r="J698" i="19" s="1"/>
  <c r="I698" i="19"/>
  <c r="H698" i="19"/>
  <c r="G698" i="19"/>
  <c r="F698" i="19"/>
  <c r="E698" i="19"/>
  <c r="D698" i="19"/>
  <c r="C698" i="19" s="1"/>
  <c r="B698" i="19"/>
  <c r="A698" i="19"/>
  <c r="T697" i="19"/>
  <c r="S697" i="19"/>
  <c r="R697" i="19"/>
  <c r="P697" i="19"/>
  <c r="O697" i="19"/>
  <c r="N697" i="19"/>
  <c r="M697" i="19"/>
  <c r="L697" i="19"/>
  <c r="J697" i="19" s="1"/>
  <c r="K697" i="19"/>
  <c r="I697" i="19"/>
  <c r="H697" i="19"/>
  <c r="G697" i="19"/>
  <c r="F697" i="19"/>
  <c r="E697" i="19"/>
  <c r="D697" i="19"/>
  <c r="C697" i="19"/>
  <c r="B697" i="19"/>
  <c r="A697" i="19"/>
  <c r="T696" i="19"/>
  <c r="U696" i="19" s="1"/>
  <c r="S696" i="19"/>
  <c r="R696" i="19"/>
  <c r="Q696" i="19"/>
  <c r="P696" i="19"/>
  <c r="O696" i="19"/>
  <c r="N696" i="19"/>
  <c r="M696" i="19"/>
  <c r="L696" i="19"/>
  <c r="K696" i="19"/>
  <c r="I696" i="19"/>
  <c r="H696" i="19"/>
  <c r="G696" i="19"/>
  <c r="F696" i="19"/>
  <c r="E696" i="19"/>
  <c r="D696" i="19"/>
  <c r="C696" i="19" s="1"/>
  <c r="B696" i="19"/>
  <c r="A696" i="19"/>
  <c r="T695" i="19"/>
  <c r="U695" i="19" s="1"/>
  <c r="Q695" i="19" s="1"/>
  <c r="S695" i="19"/>
  <c r="R695" i="19"/>
  <c r="P695" i="19"/>
  <c r="O695" i="19"/>
  <c r="N695" i="19"/>
  <c r="M695" i="19"/>
  <c r="L695" i="19"/>
  <c r="K695" i="19"/>
  <c r="J695" i="19" s="1"/>
  <c r="I695" i="19"/>
  <c r="H695" i="19"/>
  <c r="G695" i="19"/>
  <c r="F695" i="19"/>
  <c r="E695" i="19"/>
  <c r="D695" i="19"/>
  <c r="C695" i="19"/>
  <c r="B695" i="19"/>
  <c r="A695" i="19"/>
  <c r="T694" i="19"/>
  <c r="U694" i="19" s="1"/>
  <c r="Q694" i="19" s="1"/>
  <c r="S694" i="19"/>
  <c r="R694" i="19"/>
  <c r="P694" i="19"/>
  <c r="O694" i="19"/>
  <c r="N694" i="19"/>
  <c r="M694" i="19"/>
  <c r="L694" i="19"/>
  <c r="K694" i="19"/>
  <c r="I694" i="19"/>
  <c r="H694" i="19"/>
  <c r="G694" i="19"/>
  <c r="F694" i="19"/>
  <c r="E694" i="19"/>
  <c r="D694" i="19"/>
  <c r="C694" i="19" s="1"/>
  <c r="B694" i="19"/>
  <c r="A694" i="19"/>
  <c r="T693" i="19"/>
  <c r="S693" i="19"/>
  <c r="R693" i="19"/>
  <c r="P693" i="19"/>
  <c r="O693" i="19"/>
  <c r="N693" i="19"/>
  <c r="M693" i="19"/>
  <c r="L693" i="19"/>
  <c r="K693" i="19"/>
  <c r="J693" i="19" s="1"/>
  <c r="I693" i="19"/>
  <c r="H693" i="19"/>
  <c r="G693" i="19"/>
  <c r="F693" i="19"/>
  <c r="E693" i="19"/>
  <c r="D693" i="19"/>
  <c r="B693" i="19"/>
  <c r="A693" i="19"/>
  <c r="T692" i="19"/>
  <c r="S692" i="19"/>
  <c r="U692" i="19" s="1"/>
  <c r="Q692" i="19" s="1"/>
  <c r="R692" i="19"/>
  <c r="P692" i="19"/>
  <c r="O692" i="19"/>
  <c r="N692" i="19"/>
  <c r="M692" i="19"/>
  <c r="L692" i="19"/>
  <c r="K692" i="19"/>
  <c r="I692" i="19"/>
  <c r="H692" i="19"/>
  <c r="G692" i="19"/>
  <c r="F692" i="19"/>
  <c r="C692" i="19" s="1"/>
  <c r="E692" i="19"/>
  <c r="D692" i="19"/>
  <c r="B692" i="19"/>
  <c r="A692" i="19"/>
  <c r="T691" i="19"/>
  <c r="S691" i="19"/>
  <c r="R691" i="19"/>
  <c r="U691" i="19" s="1"/>
  <c r="Q691" i="19"/>
  <c r="P691" i="19"/>
  <c r="O691" i="19"/>
  <c r="N691" i="19"/>
  <c r="M691" i="19"/>
  <c r="L691" i="19"/>
  <c r="K691" i="19"/>
  <c r="I691" i="19"/>
  <c r="H691" i="19"/>
  <c r="G691" i="19"/>
  <c r="F691" i="19"/>
  <c r="E691" i="19"/>
  <c r="D691" i="19"/>
  <c r="C691" i="19" s="1"/>
  <c r="B691" i="19"/>
  <c r="A691" i="19"/>
  <c r="T690" i="19"/>
  <c r="U690" i="19" s="1"/>
  <c r="Q690" i="19" s="1"/>
  <c r="S690" i="19"/>
  <c r="R690" i="19"/>
  <c r="P690" i="19"/>
  <c r="O690" i="19"/>
  <c r="N690" i="19"/>
  <c r="M690" i="19"/>
  <c r="L690" i="19"/>
  <c r="K690" i="19"/>
  <c r="J690" i="19" s="1"/>
  <c r="I690" i="19"/>
  <c r="H690" i="19"/>
  <c r="G690" i="19"/>
  <c r="F690" i="19"/>
  <c r="E690" i="19"/>
  <c r="D690" i="19"/>
  <c r="C690" i="19"/>
  <c r="B690" i="19"/>
  <c r="A690" i="19"/>
  <c r="T689" i="19"/>
  <c r="U689" i="19" s="1"/>
  <c r="Q689" i="19" s="1"/>
  <c r="S689" i="19"/>
  <c r="R689" i="19"/>
  <c r="P689" i="19"/>
  <c r="O689" i="19"/>
  <c r="N689" i="19"/>
  <c r="M689" i="19"/>
  <c r="L689" i="19"/>
  <c r="K689" i="19"/>
  <c r="I689" i="19"/>
  <c r="H689" i="19"/>
  <c r="G689" i="19"/>
  <c r="F689" i="19"/>
  <c r="E689" i="19"/>
  <c r="D689" i="19"/>
  <c r="B689" i="19"/>
  <c r="A689" i="19"/>
  <c r="T688" i="19"/>
  <c r="S688" i="19"/>
  <c r="R688" i="19"/>
  <c r="U688" i="19" s="1"/>
  <c r="Q688" i="19" s="1"/>
  <c r="P688" i="19"/>
  <c r="O688" i="19"/>
  <c r="N688" i="19"/>
  <c r="M688" i="19"/>
  <c r="L688" i="19"/>
  <c r="K688" i="19"/>
  <c r="J688" i="19"/>
  <c r="I688" i="19"/>
  <c r="H688" i="19"/>
  <c r="G688" i="19"/>
  <c r="F688" i="19"/>
  <c r="E688" i="19"/>
  <c r="D688" i="19"/>
  <c r="B688" i="19"/>
  <c r="A688" i="19"/>
  <c r="T687" i="19"/>
  <c r="U687" i="19" s="1"/>
  <c r="Q687" i="19" s="1"/>
  <c r="S687" i="19"/>
  <c r="R687" i="19"/>
  <c r="P687" i="19"/>
  <c r="J687" i="19" s="1"/>
  <c r="O687" i="19"/>
  <c r="N687" i="19"/>
  <c r="M687" i="19"/>
  <c r="L687" i="19"/>
  <c r="K687" i="19"/>
  <c r="I687" i="19"/>
  <c r="H687" i="19"/>
  <c r="G687" i="19"/>
  <c r="F687" i="19"/>
  <c r="E687" i="19"/>
  <c r="D687" i="19"/>
  <c r="B687" i="19"/>
  <c r="A687" i="19"/>
  <c r="T686" i="19"/>
  <c r="S686" i="19"/>
  <c r="R686" i="19"/>
  <c r="U686" i="19" s="1"/>
  <c r="Q686" i="19"/>
  <c r="P686" i="19"/>
  <c r="O686" i="19"/>
  <c r="N686" i="19"/>
  <c r="M686" i="19"/>
  <c r="L686" i="19"/>
  <c r="K686" i="19"/>
  <c r="I686" i="19"/>
  <c r="H686" i="19"/>
  <c r="G686" i="19"/>
  <c r="F686" i="19"/>
  <c r="E686" i="19"/>
  <c r="D686" i="19"/>
  <c r="C686" i="19" s="1"/>
  <c r="B686" i="19"/>
  <c r="A686" i="19"/>
  <c r="U685" i="19"/>
  <c r="Q685" i="19" s="1"/>
  <c r="T685" i="19"/>
  <c r="S685" i="19"/>
  <c r="R685" i="19"/>
  <c r="P685" i="19"/>
  <c r="J685" i="19" s="1"/>
  <c r="V685" i="19" s="1"/>
  <c r="O685" i="19"/>
  <c r="N685" i="19"/>
  <c r="M685" i="19"/>
  <c r="L685" i="19"/>
  <c r="K685" i="19"/>
  <c r="I685" i="19"/>
  <c r="H685" i="19"/>
  <c r="G685" i="19"/>
  <c r="F685" i="19"/>
  <c r="E685" i="19"/>
  <c r="D685" i="19"/>
  <c r="C685" i="19" s="1"/>
  <c r="B685" i="19"/>
  <c r="A685" i="19"/>
  <c r="U684" i="19"/>
  <c r="Q684" i="19" s="1"/>
  <c r="T684" i="19"/>
  <c r="S684" i="19"/>
  <c r="R684" i="19"/>
  <c r="P684" i="19"/>
  <c r="O684" i="19"/>
  <c r="N684" i="19"/>
  <c r="M684" i="19"/>
  <c r="L684" i="19"/>
  <c r="J684" i="19" s="1"/>
  <c r="K684" i="19"/>
  <c r="I684" i="19"/>
  <c r="H684" i="19"/>
  <c r="G684" i="19"/>
  <c r="F684" i="19"/>
  <c r="E684" i="19"/>
  <c r="D684" i="19"/>
  <c r="C684" i="19" s="1"/>
  <c r="B684" i="19"/>
  <c r="A684" i="19"/>
  <c r="T683" i="19"/>
  <c r="S683" i="19"/>
  <c r="R683" i="19"/>
  <c r="P683" i="19"/>
  <c r="O683" i="19"/>
  <c r="N683" i="19"/>
  <c r="M683" i="19"/>
  <c r="L683" i="19"/>
  <c r="K683" i="19"/>
  <c r="J683" i="19" s="1"/>
  <c r="I683" i="19"/>
  <c r="H683" i="19"/>
  <c r="G683" i="19"/>
  <c r="F683" i="19"/>
  <c r="E683" i="19"/>
  <c r="D683" i="19"/>
  <c r="B683" i="19"/>
  <c r="A683" i="19"/>
  <c r="U682" i="19"/>
  <c r="Q682" i="19" s="1"/>
  <c r="T682" i="19"/>
  <c r="S682" i="19"/>
  <c r="R682" i="19"/>
  <c r="P682" i="19"/>
  <c r="J682" i="19" s="1"/>
  <c r="O682" i="19"/>
  <c r="N682" i="19"/>
  <c r="M682" i="19"/>
  <c r="L682" i="19"/>
  <c r="K682" i="19"/>
  <c r="I682" i="19"/>
  <c r="H682" i="19"/>
  <c r="G682" i="19"/>
  <c r="F682" i="19"/>
  <c r="E682" i="19"/>
  <c r="D682" i="19"/>
  <c r="B682" i="19"/>
  <c r="A682" i="19"/>
  <c r="T681" i="19"/>
  <c r="S681" i="19"/>
  <c r="R681" i="19"/>
  <c r="U681" i="19" s="1"/>
  <c r="Q681" i="19" s="1"/>
  <c r="P681" i="19"/>
  <c r="O681" i="19"/>
  <c r="N681" i="19"/>
  <c r="M681" i="19"/>
  <c r="L681" i="19"/>
  <c r="K681" i="19"/>
  <c r="I681" i="19"/>
  <c r="H681" i="19"/>
  <c r="G681" i="19"/>
  <c r="F681" i="19"/>
  <c r="E681" i="19"/>
  <c r="D681" i="19"/>
  <c r="B681" i="19"/>
  <c r="A681" i="19"/>
  <c r="U680" i="19"/>
  <c r="T680" i="19"/>
  <c r="S680" i="19"/>
  <c r="R680" i="19"/>
  <c r="Q680" i="19"/>
  <c r="P680" i="19"/>
  <c r="O680" i="19"/>
  <c r="N680" i="19"/>
  <c r="M680" i="19"/>
  <c r="L680" i="19"/>
  <c r="K680" i="19"/>
  <c r="J680" i="19" s="1"/>
  <c r="I680" i="19"/>
  <c r="H680" i="19"/>
  <c r="G680" i="19"/>
  <c r="F680" i="19"/>
  <c r="E680" i="19"/>
  <c r="D680" i="19"/>
  <c r="C680" i="19" s="1"/>
  <c r="B680" i="19"/>
  <c r="A680" i="19"/>
  <c r="U679" i="19"/>
  <c r="Q679" i="19" s="1"/>
  <c r="T679" i="19"/>
  <c r="S679" i="19"/>
  <c r="R679" i="19"/>
  <c r="P679" i="19"/>
  <c r="O679" i="19"/>
  <c r="N679" i="19"/>
  <c r="M679" i="19"/>
  <c r="L679" i="19"/>
  <c r="J679" i="19" s="1"/>
  <c r="K679" i="19"/>
  <c r="I679" i="19"/>
  <c r="H679" i="19"/>
  <c r="G679" i="19"/>
  <c r="F679" i="19"/>
  <c r="E679" i="19"/>
  <c r="D679" i="19"/>
  <c r="C679" i="19" s="1"/>
  <c r="B679" i="19"/>
  <c r="A679" i="19"/>
  <c r="T678" i="19"/>
  <c r="S678" i="19"/>
  <c r="U678" i="19" s="1"/>
  <c r="Q678" i="19" s="1"/>
  <c r="R678" i="19"/>
  <c r="P678" i="19"/>
  <c r="O678" i="19"/>
  <c r="N678" i="19"/>
  <c r="M678" i="19"/>
  <c r="L678" i="19"/>
  <c r="K678" i="19"/>
  <c r="J678" i="19"/>
  <c r="I678" i="19"/>
  <c r="H678" i="19"/>
  <c r="G678" i="19"/>
  <c r="F678" i="19"/>
  <c r="E678" i="19"/>
  <c r="D678" i="19"/>
  <c r="B678" i="19"/>
  <c r="A678" i="19"/>
  <c r="U677" i="19"/>
  <c r="Q677" i="19" s="1"/>
  <c r="T677" i="19"/>
  <c r="S677" i="19"/>
  <c r="R677" i="19"/>
  <c r="P677" i="19"/>
  <c r="O677" i="19"/>
  <c r="N677" i="19"/>
  <c r="M677" i="19"/>
  <c r="L677" i="19"/>
  <c r="K677" i="19"/>
  <c r="J677" i="19"/>
  <c r="I677" i="19"/>
  <c r="H677" i="19"/>
  <c r="G677" i="19"/>
  <c r="F677" i="19"/>
  <c r="E677" i="19"/>
  <c r="D677" i="19"/>
  <c r="B677" i="19"/>
  <c r="A677" i="19"/>
  <c r="T676" i="19"/>
  <c r="S676" i="19"/>
  <c r="R676" i="19"/>
  <c r="U676" i="19" s="1"/>
  <c r="Q676" i="19" s="1"/>
  <c r="P676" i="19"/>
  <c r="O676" i="19"/>
  <c r="N676" i="19"/>
  <c r="M676" i="19"/>
  <c r="L676" i="19"/>
  <c r="K676" i="19"/>
  <c r="I676" i="19"/>
  <c r="H676" i="19"/>
  <c r="G676" i="19"/>
  <c r="F676" i="19"/>
  <c r="C676" i="19" s="1"/>
  <c r="E676" i="19"/>
  <c r="D676" i="19"/>
  <c r="B676" i="19"/>
  <c r="A676" i="19"/>
  <c r="T675" i="19"/>
  <c r="S675" i="19"/>
  <c r="R675" i="19"/>
  <c r="U675" i="19" s="1"/>
  <c r="Q675" i="19" s="1"/>
  <c r="P675" i="19"/>
  <c r="O675" i="19"/>
  <c r="N675" i="19"/>
  <c r="M675" i="19"/>
  <c r="L675" i="19"/>
  <c r="K675" i="19"/>
  <c r="I675" i="19"/>
  <c r="H675" i="19"/>
  <c r="G675" i="19"/>
  <c r="F675" i="19"/>
  <c r="E675" i="19"/>
  <c r="D675" i="19"/>
  <c r="B675" i="19"/>
  <c r="A675" i="19"/>
  <c r="U674" i="19"/>
  <c r="Q674" i="19" s="1"/>
  <c r="T674" i="19"/>
  <c r="S674" i="19"/>
  <c r="R674" i="19"/>
  <c r="P674" i="19"/>
  <c r="O674" i="19"/>
  <c r="N674" i="19"/>
  <c r="M674" i="19"/>
  <c r="L674" i="19"/>
  <c r="K674" i="19"/>
  <c r="J674" i="19"/>
  <c r="I674" i="19"/>
  <c r="H674" i="19"/>
  <c r="G674" i="19"/>
  <c r="F674" i="19"/>
  <c r="E674" i="19"/>
  <c r="D674" i="19"/>
  <c r="C674" i="19"/>
  <c r="B674" i="19"/>
  <c r="A674" i="19"/>
  <c r="T673" i="19"/>
  <c r="S673" i="19"/>
  <c r="R673" i="19"/>
  <c r="P673" i="19"/>
  <c r="O673" i="19"/>
  <c r="N673" i="19"/>
  <c r="M673" i="19"/>
  <c r="L673" i="19"/>
  <c r="K673" i="19"/>
  <c r="J673" i="19" s="1"/>
  <c r="I673" i="19"/>
  <c r="H673" i="19"/>
  <c r="G673" i="19"/>
  <c r="F673" i="19"/>
  <c r="E673" i="19"/>
  <c r="D673" i="19"/>
  <c r="B673" i="19"/>
  <c r="A673" i="19"/>
  <c r="T672" i="19"/>
  <c r="S672" i="19"/>
  <c r="R672" i="19"/>
  <c r="U672" i="19" s="1"/>
  <c r="Q672" i="19" s="1"/>
  <c r="P672" i="19"/>
  <c r="O672" i="19"/>
  <c r="N672" i="19"/>
  <c r="M672" i="19"/>
  <c r="L672" i="19"/>
  <c r="K672" i="19"/>
  <c r="J672" i="19"/>
  <c r="I672" i="19"/>
  <c r="H672" i="19"/>
  <c r="G672" i="19"/>
  <c r="F672" i="19"/>
  <c r="E672" i="19"/>
  <c r="D672" i="19"/>
  <c r="B672" i="19"/>
  <c r="A672" i="19"/>
  <c r="U671" i="19"/>
  <c r="Q671" i="19" s="1"/>
  <c r="T671" i="19"/>
  <c r="S671" i="19"/>
  <c r="R671" i="19"/>
  <c r="P671" i="19"/>
  <c r="O671" i="19"/>
  <c r="N671" i="19"/>
  <c r="M671" i="19"/>
  <c r="L671" i="19"/>
  <c r="K671" i="19"/>
  <c r="I671" i="19"/>
  <c r="H671" i="19"/>
  <c r="G671" i="19"/>
  <c r="C671" i="19" s="1"/>
  <c r="F671" i="19"/>
  <c r="E671" i="19"/>
  <c r="D671" i="19"/>
  <c r="B671" i="19"/>
  <c r="A671" i="19"/>
  <c r="T670" i="19"/>
  <c r="S670" i="19"/>
  <c r="R670" i="19"/>
  <c r="P670" i="19"/>
  <c r="O670" i="19"/>
  <c r="N670" i="19"/>
  <c r="M670" i="19"/>
  <c r="L670" i="19"/>
  <c r="K670" i="19"/>
  <c r="J670" i="19" s="1"/>
  <c r="I670" i="19"/>
  <c r="H670" i="19"/>
  <c r="G670" i="19"/>
  <c r="F670" i="19"/>
  <c r="E670" i="19"/>
  <c r="D670" i="19"/>
  <c r="B670" i="19"/>
  <c r="A670" i="19"/>
  <c r="U669" i="19"/>
  <c r="T669" i="19"/>
  <c r="S669" i="19"/>
  <c r="R669" i="19"/>
  <c r="Q669" i="19"/>
  <c r="P669" i="19"/>
  <c r="O669" i="19"/>
  <c r="N669" i="19"/>
  <c r="M669" i="19"/>
  <c r="L669" i="19"/>
  <c r="K669" i="19"/>
  <c r="I669" i="19"/>
  <c r="H669" i="19"/>
  <c r="G669" i="19"/>
  <c r="F669" i="19"/>
  <c r="E669" i="19"/>
  <c r="D669" i="19"/>
  <c r="C669" i="19"/>
  <c r="B669" i="19"/>
  <c r="A669" i="19"/>
  <c r="U668" i="19"/>
  <c r="Q668" i="19" s="1"/>
  <c r="V668" i="19" s="1"/>
  <c r="T668" i="19"/>
  <c r="S668" i="19"/>
  <c r="R668" i="19"/>
  <c r="P668" i="19"/>
  <c r="O668" i="19"/>
  <c r="N668" i="19"/>
  <c r="M668" i="19"/>
  <c r="L668" i="19"/>
  <c r="K668" i="19"/>
  <c r="J668" i="19"/>
  <c r="I668" i="19"/>
  <c r="C668" i="19" s="1"/>
  <c r="H668" i="19"/>
  <c r="G668" i="19"/>
  <c r="F668" i="19"/>
  <c r="E668" i="19"/>
  <c r="D668" i="19"/>
  <c r="B668" i="19"/>
  <c r="A668" i="19"/>
  <c r="T667" i="19"/>
  <c r="S667" i="19"/>
  <c r="U667" i="19" s="1"/>
  <c r="Q667" i="19" s="1"/>
  <c r="R667" i="19"/>
  <c r="P667" i="19"/>
  <c r="O667" i="19"/>
  <c r="N667" i="19"/>
  <c r="M667" i="19"/>
  <c r="L667" i="19"/>
  <c r="K667" i="19"/>
  <c r="I667" i="19"/>
  <c r="H667" i="19"/>
  <c r="G667" i="19"/>
  <c r="F667" i="19"/>
  <c r="E667" i="19"/>
  <c r="C667" i="19" s="1"/>
  <c r="D667" i="19"/>
  <c r="B667" i="19"/>
  <c r="A667" i="19"/>
  <c r="U666" i="19"/>
  <c r="Q666" i="19" s="1"/>
  <c r="T666" i="19"/>
  <c r="S666" i="19"/>
  <c r="R666" i="19"/>
  <c r="P666" i="19"/>
  <c r="O666" i="19"/>
  <c r="N666" i="19"/>
  <c r="M666" i="19"/>
  <c r="L666" i="19"/>
  <c r="K666" i="19"/>
  <c r="J666" i="19" s="1"/>
  <c r="I666" i="19"/>
  <c r="H666" i="19"/>
  <c r="G666" i="19"/>
  <c r="F666" i="19"/>
  <c r="E666" i="19"/>
  <c r="D666" i="19"/>
  <c r="B666" i="19"/>
  <c r="A666" i="19"/>
  <c r="U665" i="19"/>
  <c r="Q665" i="19" s="1"/>
  <c r="T665" i="19"/>
  <c r="S665" i="19"/>
  <c r="R665" i="19"/>
  <c r="P665" i="19"/>
  <c r="O665" i="19"/>
  <c r="N665" i="19"/>
  <c r="M665" i="19"/>
  <c r="L665" i="19"/>
  <c r="K665" i="19"/>
  <c r="I665" i="19"/>
  <c r="H665" i="19"/>
  <c r="G665" i="19"/>
  <c r="C665" i="19" s="1"/>
  <c r="F665" i="19"/>
  <c r="E665" i="19"/>
  <c r="D665" i="19"/>
  <c r="B665" i="19"/>
  <c r="A665" i="19"/>
  <c r="T664" i="19"/>
  <c r="S664" i="19"/>
  <c r="R664" i="19"/>
  <c r="P664" i="19"/>
  <c r="O664" i="19"/>
  <c r="N664" i="19"/>
  <c r="M664" i="19"/>
  <c r="L664" i="19"/>
  <c r="K664" i="19"/>
  <c r="J664" i="19" s="1"/>
  <c r="I664" i="19"/>
  <c r="H664" i="19"/>
  <c r="G664" i="19"/>
  <c r="F664" i="19"/>
  <c r="E664" i="19"/>
  <c r="D664" i="19"/>
  <c r="B664" i="19"/>
  <c r="A664" i="19"/>
  <c r="U663" i="19"/>
  <c r="T663" i="19"/>
  <c r="S663" i="19"/>
  <c r="R663" i="19"/>
  <c r="Q663" i="19"/>
  <c r="P663" i="19"/>
  <c r="O663" i="19"/>
  <c r="N663" i="19"/>
  <c r="M663" i="19"/>
  <c r="L663" i="19"/>
  <c r="K663" i="19"/>
  <c r="I663" i="19"/>
  <c r="H663" i="19"/>
  <c r="G663" i="19"/>
  <c r="F663" i="19"/>
  <c r="E663" i="19"/>
  <c r="D663" i="19"/>
  <c r="B663" i="19"/>
  <c r="A663" i="19"/>
  <c r="U662" i="19"/>
  <c r="Q662" i="19" s="1"/>
  <c r="T662" i="19"/>
  <c r="S662" i="19"/>
  <c r="R662" i="19"/>
  <c r="P662" i="19"/>
  <c r="O662" i="19"/>
  <c r="N662" i="19"/>
  <c r="J662" i="19" s="1"/>
  <c r="M662" i="19"/>
  <c r="L662" i="19"/>
  <c r="K662" i="19"/>
  <c r="I662" i="19"/>
  <c r="H662" i="19"/>
  <c r="G662" i="19"/>
  <c r="F662" i="19"/>
  <c r="E662" i="19"/>
  <c r="D662" i="19"/>
  <c r="C662" i="19"/>
  <c r="B662" i="19"/>
  <c r="A662" i="19"/>
  <c r="T661" i="19"/>
  <c r="S661" i="19"/>
  <c r="U661" i="19" s="1"/>
  <c r="Q661" i="19" s="1"/>
  <c r="R661" i="19"/>
  <c r="P661" i="19"/>
  <c r="O661" i="19"/>
  <c r="N661" i="19"/>
  <c r="M661" i="19"/>
  <c r="L661" i="19"/>
  <c r="K661" i="19"/>
  <c r="I661" i="19"/>
  <c r="H661" i="19"/>
  <c r="G661" i="19"/>
  <c r="F661" i="19"/>
  <c r="E661" i="19"/>
  <c r="D661" i="19"/>
  <c r="B661" i="19"/>
  <c r="A661" i="19"/>
  <c r="U660" i="19"/>
  <c r="T660" i="19"/>
  <c r="S660" i="19"/>
  <c r="R660" i="19"/>
  <c r="Q660" i="19"/>
  <c r="V660" i="19" s="1"/>
  <c r="P660" i="19"/>
  <c r="O660" i="19"/>
  <c r="N660" i="19"/>
  <c r="M660" i="19"/>
  <c r="L660" i="19"/>
  <c r="K660" i="19"/>
  <c r="J660" i="19" s="1"/>
  <c r="I660" i="19"/>
  <c r="H660" i="19"/>
  <c r="G660" i="19"/>
  <c r="F660" i="19"/>
  <c r="E660" i="19"/>
  <c r="C660" i="19" s="1"/>
  <c r="D660" i="19"/>
  <c r="B660" i="19"/>
  <c r="A660" i="19"/>
  <c r="T659" i="19"/>
  <c r="S659" i="19"/>
  <c r="U659" i="19" s="1"/>
  <c r="Q659" i="19" s="1"/>
  <c r="R659" i="19"/>
  <c r="P659" i="19"/>
  <c r="O659" i="19"/>
  <c r="N659" i="19"/>
  <c r="M659" i="19"/>
  <c r="L659" i="19"/>
  <c r="K659" i="19"/>
  <c r="I659" i="19"/>
  <c r="H659" i="19"/>
  <c r="G659" i="19"/>
  <c r="F659" i="19"/>
  <c r="E659" i="19"/>
  <c r="D659" i="19"/>
  <c r="C659" i="19" s="1"/>
  <c r="B659" i="19"/>
  <c r="A659" i="19"/>
  <c r="T658" i="19"/>
  <c r="S658" i="19"/>
  <c r="R658" i="19"/>
  <c r="P658" i="19"/>
  <c r="O658" i="19"/>
  <c r="N658" i="19"/>
  <c r="M658" i="19"/>
  <c r="L658" i="19"/>
  <c r="K658" i="19"/>
  <c r="J658" i="19" s="1"/>
  <c r="I658" i="19"/>
  <c r="H658" i="19"/>
  <c r="G658" i="19"/>
  <c r="F658" i="19"/>
  <c r="E658" i="19"/>
  <c r="D658" i="19"/>
  <c r="B658" i="19"/>
  <c r="A658" i="19"/>
  <c r="U657" i="19"/>
  <c r="T657" i="19"/>
  <c r="S657" i="19"/>
  <c r="R657" i="19"/>
  <c r="Q657" i="19"/>
  <c r="P657" i="19"/>
  <c r="O657" i="19"/>
  <c r="N657" i="19"/>
  <c r="M657" i="19"/>
  <c r="L657" i="19"/>
  <c r="K657" i="19"/>
  <c r="I657" i="19"/>
  <c r="H657" i="19"/>
  <c r="G657" i="19"/>
  <c r="F657" i="19"/>
  <c r="E657" i="19"/>
  <c r="C657" i="19" s="1"/>
  <c r="D657" i="19"/>
  <c r="B657" i="19"/>
  <c r="A657" i="19"/>
  <c r="U656" i="19"/>
  <c r="Q656" i="19" s="1"/>
  <c r="T656" i="19"/>
  <c r="S656" i="19"/>
  <c r="R656" i="19"/>
  <c r="P656" i="19"/>
  <c r="O656" i="19"/>
  <c r="N656" i="19"/>
  <c r="J656" i="19" s="1"/>
  <c r="V656" i="19" s="1"/>
  <c r="M656" i="19"/>
  <c r="L656" i="19"/>
  <c r="K656" i="19"/>
  <c r="I656" i="19"/>
  <c r="H656" i="19"/>
  <c r="G656" i="19"/>
  <c r="F656" i="19"/>
  <c r="E656" i="19"/>
  <c r="D656" i="19"/>
  <c r="C656" i="19"/>
  <c r="B656" i="19"/>
  <c r="A656" i="19"/>
  <c r="T655" i="19"/>
  <c r="S655" i="19"/>
  <c r="R655" i="19"/>
  <c r="P655" i="19"/>
  <c r="O655" i="19"/>
  <c r="N655" i="19"/>
  <c r="M655" i="19"/>
  <c r="L655" i="19"/>
  <c r="K655" i="19"/>
  <c r="J655" i="19" s="1"/>
  <c r="I655" i="19"/>
  <c r="H655" i="19"/>
  <c r="G655" i="19"/>
  <c r="F655" i="19"/>
  <c r="E655" i="19"/>
  <c r="D655" i="19"/>
  <c r="B655" i="19"/>
  <c r="A655" i="19"/>
  <c r="T654" i="19"/>
  <c r="S654" i="19"/>
  <c r="R654" i="19"/>
  <c r="U654" i="19" s="1"/>
  <c r="Q654" i="19" s="1"/>
  <c r="P654" i="19"/>
  <c r="O654" i="19"/>
  <c r="N654" i="19"/>
  <c r="M654" i="19"/>
  <c r="L654" i="19"/>
  <c r="K654" i="19"/>
  <c r="J654" i="19"/>
  <c r="I654" i="19"/>
  <c r="H654" i="19"/>
  <c r="G654" i="19"/>
  <c r="F654" i="19"/>
  <c r="E654" i="19"/>
  <c r="D654" i="19"/>
  <c r="B654" i="19"/>
  <c r="A654" i="19"/>
  <c r="U653" i="19"/>
  <c r="Q653" i="19" s="1"/>
  <c r="T653" i="19"/>
  <c r="S653" i="19"/>
  <c r="R653" i="19"/>
  <c r="P653" i="19"/>
  <c r="O653" i="19"/>
  <c r="N653" i="19"/>
  <c r="M653" i="19"/>
  <c r="L653" i="19"/>
  <c r="K653" i="19"/>
  <c r="I653" i="19"/>
  <c r="H653" i="19"/>
  <c r="G653" i="19"/>
  <c r="C653" i="19" s="1"/>
  <c r="F653" i="19"/>
  <c r="E653" i="19"/>
  <c r="D653" i="19"/>
  <c r="B653" i="19"/>
  <c r="A653" i="19"/>
  <c r="T652" i="19"/>
  <c r="S652" i="19"/>
  <c r="R652" i="19"/>
  <c r="P652" i="19"/>
  <c r="O652" i="19"/>
  <c r="N652" i="19"/>
  <c r="M652" i="19"/>
  <c r="L652" i="19"/>
  <c r="K652" i="19"/>
  <c r="J652" i="19" s="1"/>
  <c r="I652" i="19"/>
  <c r="H652" i="19"/>
  <c r="G652" i="19"/>
  <c r="F652" i="19"/>
  <c r="E652" i="19"/>
  <c r="D652" i="19"/>
  <c r="B652" i="19"/>
  <c r="A652" i="19"/>
  <c r="U651" i="19"/>
  <c r="T651" i="19"/>
  <c r="S651" i="19"/>
  <c r="R651" i="19"/>
  <c r="Q651" i="19"/>
  <c r="P651" i="19"/>
  <c r="O651" i="19"/>
  <c r="N651" i="19"/>
  <c r="M651" i="19"/>
  <c r="L651" i="19"/>
  <c r="K651" i="19"/>
  <c r="I651" i="19"/>
  <c r="H651" i="19"/>
  <c r="G651" i="19"/>
  <c r="F651" i="19"/>
  <c r="E651" i="19"/>
  <c r="D651" i="19"/>
  <c r="C651" i="19"/>
  <c r="B651" i="19"/>
  <c r="A651" i="19"/>
  <c r="U650" i="19"/>
  <c r="Q650" i="19" s="1"/>
  <c r="T650" i="19"/>
  <c r="S650" i="19"/>
  <c r="R650" i="19"/>
  <c r="P650" i="19"/>
  <c r="O650" i="19"/>
  <c r="N650" i="19"/>
  <c r="M650" i="19"/>
  <c r="L650" i="19"/>
  <c r="K650" i="19"/>
  <c r="J650" i="19"/>
  <c r="I650" i="19"/>
  <c r="C650" i="19" s="1"/>
  <c r="H650" i="19"/>
  <c r="G650" i="19"/>
  <c r="F650" i="19"/>
  <c r="E650" i="19"/>
  <c r="D650" i="19"/>
  <c r="B650" i="19"/>
  <c r="A650" i="19"/>
  <c r="T649" i="19"/>
  <c r="S649" i="19"/>
  <c r="R649" i="19"/>
  <c r="P649" i="19"/>
  <c r="O649" i="19"/>
  <c r="N649" i="19"/>
  <c r="M649" i="19"/>
  <c r="L649" i="19"/>
  <c r="K649" i="19"/>
  <c r="I649" i="19"/>
  <c r="H649" i="19"/>
  <c r="G649" i="19"/>
  <c r="F649" i="19"/>
  <c r="E649" i="19"/>
  <c r="C649" i="19" s="1"/>
  <c r="D649" i="19"/>
  <c r="B649" i="19"/>
  <c r="A649" i="19"/>
  <c r="U648" i="19"/>
  <c r="Q648" i="19" s="1"/>
  <c r="T648" i="19"/>
  <c r="S648" i="19"/>
  <c r="R648" i="19"/>
  <c r="P648" i="19"/>
  <c r="O648" i="19"/>
  <c r="N648" i="19"/>
  <c r="M648" i="19"/>
  <c r="L648" i="19"/>
  <c r="K648" i="19"/>
  <c r="J648" i="19" s="1"/>
  <c r="I648" i="19"/>
  <c r="H648" i="19"/>
  <c r="G648" i="19"/>
  <c r="F648" i="19"/>
  <c r="E648" i="19"/>
  <c r="D648" i="19"/>
  <c r="B648" i="19"/>
  <c r="A648" i="19"/>
  <c r="U647" i="19"/>
  <c r="Q647" i="19" s="1"/>
  <c r="T647" i="19"/>
  <c r="S647" i="19"/>
  <c r="R647" i="19"/>
  <c r="P647" i="19"/>
  <c r="O647" i="19"/>
  <c r="N647" i="19"/>
  <c r="M647" i="19"/>
  <c r="L647" i="19"/>
  <c r="K647" i="19"/>
  <c r="I647" i="19"/>
  <c r="H647" i="19"/>
  <c r="G647" i="19"/>
  <c r="F647" i="19"/>
  <c r="E647" i="19"/>
  <c r="D647" i="19"/>
  <c r="C647" i="19"/>
  <c r="B647" i="19"/>
  <c r="A647" i="19"/>
  <c r="T646" i="19"/>
  <c r="S646" i="19"/>
  <c r="R646" i="19"/>
  <c r="P646" i="19"/>
  <c r="O646" i="19"/>
  <c r="N646" i="19"/>
  <c r="M646" i="19"/>
  <c r="L646" i="19"/>
  <c r="K646" i="19"/>
  <c r="J646" i="19" s="1"/>
  <c r="I646" i="19"/>
  <c r="H646" i="19"/>
  <c r="G646" i="19"/>
  <c r="F646" i="19"/>
  <c r="E646" i="19"/>
  <c r="D646" i="19"/>
  <c r="B646" i="19"/>
  <c r="A646" i="19"/>
  <c r="U645" i="19"/>
  <c r="T645" i="19"/>
  <c r="S645" i="19"/>
  <c r="R645" i="19"/>
  <c r="Q645" i="19"/>
  <c r="P645" i="19"/>
  <c r="O645" i="19"/>
  <c r="N645" i="19"/>
  <c r="M645" i="19"/>
  <c r="L645" i="19"/>
  <c r="K645" i="19"/>
  <c r="I645" i="19"/>
  <c r="H645" i="19"/>
  <c r="G645" i="19"/>
  <c r="F645" i="19"/>
  <c r="E645" i="19"/>
  <c r="D645" i="19"/>
  <c r="C645" i="19" s="1"/>
  <c r="B645" i="19"/>
  <c r="A645" i="19"/>
  <c r="U644" i="19"/>
  <c r="Q644" i="19" s="1"/>
  <c r="V644" i="19" s="1"/>
  <c r="T644" i="19"/>
  <c r="S644" i="19"/>
  <c r="R644" i="19"/>
  <c r="P644" i="19"/>
  <c r="O644" i="19"/>
  <c r="N644" i="19"/>
  <c r="J644" i="19" s="1"/>
  <c r="M644" i="19"/>
  <c r="L644" i="19"/>
  <c r="K644" i="19"/>
  <c r="I644" i="19"/>
  <c r="H644" i="19"/>
  <c r="G644" i="19"/>
  <c r="F644" i="19"/>
  <c r="E644" i="19"/>
  <c r="D644" i="19"/>
  <c r="C644" i="19"/>
  <c r="B644" i="19"/>
  <c r="A644" i="19"/>
  <c r="T643" i="19"/>
  <c r="S643" i="19"/>
  <c r="U643" i="19" s="1"/>
  <c r="Q643" i="19" s="1"/>
  <c r="R643" i="19"/>
  <c r="P643" i="19"/>
  <c r="O643" i="19"/>
  <c r="N643" i="19"/>
  <c r="M643" i="19"/>
  <c r="L643" i="19"/>
  <c r="K643" i="19"/>
  <c r="I643" i="19"/>
  <c r="H643" i="19"/>
  <c r="G643" i="19"/>
  <c r="F643" i="19"/>
  <c r="E643" i="19"/>
  <c r="D643" i="19"/>
  <c r="B643" i="19"/>
  <c r="A643" i="19"/>
  <c r="U642" i="19"/>
  <c r="Q642" i="19" s="1"/>
  <c r="T642" i="19"/>
  <c r="S642" i="19"/>
  <c r="R642" i="19"/>
  <c r="P642" i="19"/>
  <c r="O642" i="19"/>
  <c r="N642" i="19"/>
  <c r="M642" i="19"/>
  <c r="L642" i="19"/>
  <c r="K642" i="19"/>
  <c r="J642" i="19"/>
  <c r="I642" i="19"/>
  <c r="H642" i="19"/>
  <c r="G642" i="19"/>
  <c r="F642" i="19"/>
  <c r="E642" i="19"/>
  <c r="D642" i="19"/>
  <c r="B642" i="19"/>
  <c r="A642" i="19"/>
  <c r="T641" i="19"/>
  <c r="S641" i="19"/>
  <c r="U641" i="19" s="1"/>
  <c r="Q641" i="19" s="1"/>
  <c r="R641" i="19"/>
  <c r="P641" i="19"/>
  <c r="O641" i="19"/>
  <c r="N641" i="19"/>
  <c r="M641" i="19"/>
  <c r="L641" i="19"/>
  <c r="K641" i="19"/>
  <c r="I641" i="19"/>
  <c r="H641" i="19"/>
  <c r="G641" i="19"/>
  <c r="F641" i="19"/>
  <c r="E641" i="19"/>
  <c r="D641" i="19"/>
  <c r="C641" i="19"/>
  <c r="B641" i="19"/>
  <c r="A641" i="19"/>
  <c r="T640" i="19"/>
  <c r="S640" i="19"/>
  <c r="R640" i="19"/>
  <c r="P640" i="19"/>
  <c r="O640" i="19"/>
  <c r="N640" i="19"/>
  <c r="M640" i="19"/>
  <c r="L640" i="19"/>
  <c r="K640" i="19"/>
  <c r="I640" i="19"/>
  <c r="H640" i="19"/>
  <c r="G640" i="19"/>
  <c r="F640" i="19"/>
  <c r="E640" i="19"/>
  <c r="D640" i="19"/>
  <c r="B640" i="19"/>
  <c r="A640" i="19"/>
  <c r="U639" i="19"/>
  <c r="T639" i="19"/>
  <c r="S639" i="19"/>
  <c r="R639" i="19"/>
  <c r="Q639" i="19"/>
  <c r="P639" i="19"/>
  <c r="O639" i="19"/>
  <c r="N639" i="19"/>
  <c r="M639" i="19"/>
  <c r="L639" i="19"/>
  <c r="K639" i="19"/>
  <c r="I639" i="19"/>
  <c r="H639" i="19"/>
  <c r="G639" i="19"/>
  <c r="F639" i="19"/>
  <c r="E639" i="19"/>
  <c r="C639" i="19" s="1"/>
  <c r="D639" i="19"/>
  <c r="B639" i="19"/>
  <c r="A639" i="19"/>
  <c r="U638" i="19"/>
  <c r="Q638" i="19" s="1"/>
  <c r="T638" i="19"/>
  <c r="S638" i="19"/>
  <c r="R638" i="19"/>
  <c r="P638" i="19"/>
  <c r="O638" i="19"/>
  <c r="N638" i="19"/>
  <c r="J638" i="19" s="1"/>
  <c r="V638" i="19" s="1"/>
  <c r="M638" i="19"/>
  <c r="L638" i="19"/>
  <c r="K638" i="19"/>
  <c r="I638" i="19"/>
  <c r="H638" i="19"/>
  <c r="G638" i="19"/>
  <c r="F638" i="19"/>
  <c r="E638" i="19"/>
  <c r="D638" i="19"/>
  <c r="C638" i="19"/>
  <c r="B638" i="19"/>
  <c r="A638" i="19"/>
  <c r="T637" i="19"/>
  <c r="S637" i="19"/>
  <c r="R637" i="19"/>
  <c r="P637" i="19"/>
  <c r="O637" i="19"/>
  <c r="N637" i="19"/>
  <c r="M637" i="19"/>
  <c r="L637" i="19"/>
  <c r="K637" i="19"/>
  <c r="J637" i="19" s="1"/>
  <c r="I637" i="19"/>
  <c r="H637" i="19"/>
  <c r="G637" i="19"/>
  <c r="F637" i="19"/>
  <c r="E637" i="19"/>
  <c r="D637" i="19"/>
  <c r="B637" i="19"/>
  <c r="A637" i="19"/>
  <c r="T636" i="19"/>
  <c r="S636" i="19"/>
  <c r="R636" i="19"/>
  <c r="U636" i="19" s="1"/>
  <c r="Q636" i="19" s="1"/>
  <c r="P636" i="19"/>
  <c r="O636" i="19"/>
  <c r="N636" i="19"/>
  <c r="M636" i="19"/>
  <c r="L636" i="19"/>
  <c r="K636" i="19"/>
  <c r="J636" i="19"/>
  <c r="I636" i="19"/>
  <c r="H636" i="19"/>
  <c r="G636" i="19"/>
  <c r="F636" i="19"/>
  <c r="E636" i="19"/>
  <c r="D636" i="19"/>
  <c r="B636" i="19"/>
  <c r="A636" i="19"/>
  <c r="U635" i="19"/>
  <c r="Q635" i="19" s="1"/>
  <c r="T635" i="19"/>
  <c r="S635" i="19"/>
  <c r="R635" i="19"/>
  <c r="P635" i="19"/>
  <c r="O635" i="19"/>
  <c r="N635" i="19"/>
  <c r="M635" i="19"/>
  <c r="L635" i="19"/>
  <c r="K635" i="19"/>
  <c r="I635" i="19"/>
  <c r="H635" i="19"/>
  <c r="G635" i="19"/>
  <c r="C635" i="19" s="1"/>
  <c r="F635" i="19"/>
  <c r="E635" i="19"/>
  <c r="D635" i="19"/>
  <c r="B635" i="19"/>
  <c r="A635" i="19"/>
  <c r="T634" i="19"/>
  <c r="S634" i="19"/>
  <c r="R634" i="19"/>
  <c r="P634" i="19"/>
  <c r="O634" i="19"/>
  <c r="N634" i="19"/>
  <c r="M634" i="19"/>
  <c r="L634" i="19"/>
  <c r="K634" i="19"/>
  <c r="J634" i="19" s="1"/>
  <c r="I634" i="19"/>
  <c r="H634" i="19"/>
  <c r="G634" i="19"/>
  <c r="F634" i="19"/>
  <c r="E634" i="19"/>
  <c r="D634" i="19"/>
  <c r="B634" i="19"/>
  <c r="A634" i="19"/>
  <c r="U633" i="19"/>
  <c r="T633" i="19"/>
  <c r="S633" i="19"/>
  <c r="R633" i="19"/>
  <c r="Q633" i="19"/>
  <c r="P633" i="19"/>
  <c r="O633" i="19"/>
  <c r="N633" i="19"/>
  <c r="M633" i="19"/>
  <c r="L633" i="19"/>
  <c r="K633" i="19"/>
  <c r="I633" i="19"/>
  <c r="H633" i="19"/>
  <c r="G633" i="19"/>
  <c r="F633" i="19"/>
  <c r="E633" i="19"/>
  <c r="D633" i="19"/>
  <c r="C633" i="19"/>
  <c r="B633" i="19"/>
  <c r="A633" i="19"/>
  <c r="U632" i="19"/>
  <c r="Q632" i="19" s="1"/>
  <c r="T632" i="19"/>
  <c r="S632" i="19"/>
  <c r="R632" i="19"/>
  <c r="P632" i="19"/>
  <c r="O632" i="19"/>
  <c r="N632" i="19"/>
  <c r="M632" i="19"/>
  <c r="L632" i="19"/>
  <c r="K632" i="19"/>
  <c r="J632" i="19"/>
  <c r="I632" i="19"/>
  <c r="C632" i="19" s="1"/>
  <c r="H632" i="19"/>
  <c r="G632" i="19"/>
  <c r="F632" i="19"/>
  <c r="E632" i="19"/>
  <c r="D632" i="19"/>
  <c r="B632" i="19"/>
  <c r="A632" i="19"/>
  <c r="T631" i="19"/>
  <c r="S631" i="19"/>
  <c r="U631" i="19" s="1"/>
  <c r="Q631" i="19" s="1"/>
  <c r="R631" i="19"/>
  <c r="P631" i="19"/>
  <c r="O631" i="19"/>
  <c r="N631" i="19"/>
  <c r="M631" i="19"/>
  <c r="L631" i="19"/>
  <c r="K631" i="19"/>
  <c r="I631" i="19"/>
  <c r="H631" i="19"/>
  <c r="G631" i="19"/>
  <c r="F631" i="19"/>
  <c r="E631" i="19"/>
  <c r="D631" i="19"/>
  <c r="C631" i="19" s="1"/>
  <c r="B631" i="19"/>
  <c r="A631" i="19"/>
  <c r="U630" i="19"/>
  <c r="Q630" i="19" s="1"/>
  <c r="T630" i="19"/>
  <c r="S630" i="19"/>
  <c r="R630" i="19"/>
  <c r="P630" i="19"/>
  <c r="O630" i="19"/>
  <c r="N630" i="19"/>
  <c r="M630" i="19"/>
  <c r="L630" i="19"/>
  <c r="K630" i="19"/>
  <c r="J630" i="19" s="1"/>
  <c r="I630" i="19"/>
  <c r="H630" i="19"/>
  <c r="G630" i="19"/>
  <c r="F630" i="19"/>
  <c r="E630" i="19"/>
  <c r="D630" i="19"/>
  <c r="B630" i="19"/>
  <c r="A630" i="19"/>
  <c r="U629" i="19"/>
  <c r="Q629" i="19" s="1"/>
  <c r="T629" i="19"/>
  <c r="S629" i="19"/>
  <c r="R629" i="19"/>
  <c r="P629" i="19"/>
  <c r="O629" i="19"/>
  <c r="N629" i="19"/>
  <c r="M629" i="19"/>
  <c r="L629" i="19"/>
  <c r="K629" i="19"/>
  <c r="I629" i="19"/>
  <c r="H629" i="19"/>
  <c r="G629" i="19"/>
  <c r="C629" i="19" s="1"/>
  <c r="F629" i="19"/>
  <c r="E629" i="19"/>
  <c r="D629" i="19"/>
  <c r="B629" i="19"/>
  <c r="A629" i="19"/>
  <c r="T628" i="19"/>
  <c r="S628" i="19"/>
  <c r="R628" i="19"/>
  <c r="P628" i="19"/>
  <c r="O628" i="19"/>
  <c r="N628" i="19"/>
  <c r="M628" i="19"/>
  <c r="L628" i="19"/>
  <c r="K628" i="19"/>
  <c r="I628" i="19"/>
  <c r="H628" i="19"/>
  <c r="G628" i="19"/>
  <c r="F628" i="19"/>
  <c r="E628" i="19"/>
  <c r="D628" i="19"/>
  <c r="C628" i="19"/>
  <c r="B628" i="19"/>
  <c r="A628" i="19"/>
  <c r="U627" i="19"/>
  <c r="T627" i="19"/>
  <c r="S627" i="19"/>
  <c r="R627" i="19"/>
  <c r="Q627" i="19"/>
  <c r="P627" i="19"/>
  <c r="O627" i="19"/>
  <c r="N627" i="19"/>
  <c r="M627" i="19"/>
  <c r="L627" i="19"/>
  <c r="K627" i="19"/>
  <c r="I627" i="19"/>
  <c r="H627" i="19"/>
  <c r="G627" i="19"/>
  <c r="F627" i="19"/>
  <c r="E627" i="19"/>
  <c r="D627" i="19"/>
  <c r="C627" i="19"/>
  <c r="B627" i="19"/>
  <c r="A627" i="19"/>
  <c r="V626" i="19"/>
  <c r="U626" i="19"/>
  <c r="Q626" i="19" s="1"/>
  <c r="T626" i="19"/>
  <c r="S626" i="19"/>
  <c r="R626" i="19"/>
  <c r="P626" i="19"/>
  <c r="O626" i="19"/>
  <c r="N626" i="19"/>
  <c r="M626" i="19"/>
  <c r="L626" i="19"/>
  <c r="K626" i="19"/>
  <c r="J626" i="19" s="1"/>
  <c r="I626" i="19"/>
  <c r="C626" i="19" s="1"/>
  <c r="H626" i="19"/>
  <c r="G626" i="19"/>
  <c r="F626" i="19"/>
  <c r="E626" i="19"/>
  <c r="D626" i="19"/>
  <c r="B626" i="19"/>
  <c r="A626" i="19"/>
  <c r="T625" i="19"/>
  <c r="U625" i="19" s="1"/>
  <c r="Q625" i="19" s="1"/>
  <c r="S625" i="19"/>
  <c r="R625" i="19"/>
  <c r="P625" i="19"/>
  <c r="O625" i="19"/>
  <c r="N625" i="19"/>
  <c r="M625" i="19"/>
  <c r="L625" i="19"/>
  <c r="K625" i="19"/>
  <c r="J625" i="19" s="1"/>
  <c r="I625" i="19"/>
  <c r="H625" i="19"/>
  <c r="G625" i="19"/>
  <c r="F625" i="19"/>
  <c r="E625" i="19"/>
  <c r="D625" i="19"/>
  <c r="C625" i="19" s="1"/>
  <c r="B625" i="19"/>
  <c r="A625" i="19"/>
  <c r="T624" i="19"/>
  <c r="S624" i="19"/>
  <c r="U624" i="19" s="1"/>
  <c r="Q624" i="19" s="1"/>
  <c r="R624" i="19"/>
  <c r="P624" i="19"/>
  <c r="O624" i="19"/>
  <c r="N624" i="19"/>
  <c r="M624" i="19"/>
  <c r="L624" i="19"/>
  <c r="K624" i="19"/>
  <c r="J624" i="19" s="1"/>
  <c r="I624" i="19"/>
  <c r="H624" i="19"/>
  <c r="G624" i="19"/>
  <c r="F624" i="19"/>
  <c r="E624" i="19"/>
  <c r="D624" i="19"/>
  <c r="B624" i="19"/>
  <c r="A624" i="19"/>
  <c r="U623" i="19"/>
  <c r="Q623" i="19" s="1"/>
  <c r="T623" i="19"/>
  <c r="S623" i="19"/>
  <c r="R623" i="19"/>
  <c r="P623" i="19"/>
  <c r="O623" i="19"/>
  <c r="N623" i="19"/>
  <c r="M623" i="19"/>
  <c r="L623" i="19"/>
  <c r="K623" i="19"/>
  <c r="I623" i="19"/>
  <c r="H623" i="19"/>
  <c r="G623" i="19"/>
  <c r="F623" i="19"/>
  <c r="E623" i="19"/>
  <c r="D623" i="19"/>
  <c r="B623" i="19"/>
  <c r="A623" i="19"/>
  <c r="T622" i="19"/>
  <c r="S622" i="19"/>
  <c r="R622" i="19"/>
  <c r="U622" i="19" s="1"/>
  <c r="Q622" i="19" s="1"/>
  <c r="P622" i="19"/>
  <c r="O622" i="19"/>
  <c r="N622" i="19"/>
  <c r="M622" i="19"/>
  <c r="L622" i="19"/>
  <c r="K622" i="19"/>
  <c r="I622" i="19"/>
  <c r="H622" i="19"/>
  <c r="G622" i="19"/>
  <c r="F622" i="19"/>
  <c r="E622" i="19"/>
  <c r="D622" i="19"/>
  <c r="C622" i="19"/>
  <c r="B622" i="19"/>
  <c r="A622" i="19"/>
  <c r="U621" i="19"/>
  <c r="T621" i="19"/>
  <c r="S621" i="19"/>
  <c r="R621" i="19"/>
  <c r="Q621" i="19"/>
  <c r="P621" i="19"/>
  <c r="O621" i="19"/>
  <c r="N621" i="19"/>
  <c r="M621" i="19"/>
  <c r="L621" i="19"/>
  <c r="K621" i="19"/>
  <c r="J621" i="19" s="1"/>
  <c r="I621" i="19"/>
  <c r="H621" i="19"/>
  <c r="G621" i="19"/>
  <c r="F621" i="19"/>
  <c r="E621" i="19"/>
  <c r="D621" i="19"/>
  <c r="C621" i="19" s="1"/>
  <c r="B621" i="19"/>
  <c r="A621" i="19"/>
  <c r="U620" i="19"/>
  <c r="Q620" i="19" s="1"/>
  <c r="V620" i="19" s="1"/>
  <c r="T620" i="19"/>
  <c r="S620" i="19"/>
  <c r="R620" i="19"/>
  <c r="P620" i="19"/>
  <c r="O620" i="19"/>
  <c r="N620" i="19"/>
  <c r="J620" i="19" s="1"/>
  <c r="M620" i="19"/>
  <c r="L620" i="19"/>
  <c r="K620" i="19"/>
  <c r="I620" i="19"/>
  <c r="H620" i="19"/>
  <c r="G620" i="19"/>
  <c r="F620" i="19"/>
  <c r="E620" i="19"/>
  <c r="D620" i="19"/>
  <c r="C620" i="19"/>
  <c r="B620" i="19"/>
  <c r="A620" i="19"/>
  <c r="T619" i="19"/>
  <c r="S619" i="19"/>
  <c r="U619" i="19" s="1"/>
  <c r="Q619" i="19" s="1"/>
  <c r="R619" i="19"/>
  <c r="P619" i="19"/>
  <c r="O619" i="19"/>
  <c r="N619" i="19"/>
  <c r="M619" i="19"/>
  <c r="L619" i="19"/>
  <c r="K619" i="19"/>
  <c r="I619" i="19"/>
  <c r="H619" i="19"/>
  <c r="G619" i="19"/>
  <c r="F619" i="19"/>
  <c r="E619" i="19"/>
  <c r="D619" i="19"/>
  <c r="B619" i="19"/>
  <c r="A619" i="19"/>
  <c r="T618" i="19"/>
  <c r="S618" i="19"/>
  <c r="R618" i="19"/>
  <c r="U618" i="19" s="1"/>
  <c r="Q618" i="19" s="1"/>
  <c r="P618" i="19"/>
  <c r="O618" i="19"/>
  <c r="N618" i="19"/>
  <c r="M618" i="19"/>
  <c r="L618" i="19"/>
  <c r="K618" i="19"/>
  <c r="J618" i="19" s="1"/>
  <c r="I618" i="19"/>
  <c r="H618" i="19"/>
  <c r="G618" i="19"/>
  <c r="F618" i="19"/>
  <c r="E618" i="19"/>
  <c r="D618" i="19"/>
  <c r="B618" i="19"/>
  <c r="A618" i="19"/>
  <c r="T617" i="19"/>
  <c r="S617" i="19"/>
  <c r="R617" i="19"/>
  <c r="P617" i="19"/>
  <c r="O617" i="19"/>
  <c r="N617" i="19"/>
  <c r="M617" i="19"/>
  <c r="L617" i="19"/>
  <c r="K617" i="19"/>
  <c r="I617" i="19"/>
  <c r="H617" i="19"/>
  <c r="G617" i="19"/>
  <c r="F617" i="19"/>
  <c r="E617" i="19"/>
  <c r="D617" i="19"/>
  <c r="B617" i="19"/>
  <c r="A617" i="19"/>
  <c r="T616" i="19"/>
  <c r="S616" i="19"/>
  <c r="R616" i="19"/>
  <c r="U616" i="19" s="1"/>
  <c r="Q616" i="19"/>
  <c r="P616" i="19"/>
  <c r="O616" i="19"/>
  <c r="N616" i="19"/>
  <c r="M616" i="19"/>
  <c r="L616" i="19"/>
  <c r="K616" i="19"/>
  <c r="I616" i="19"/>
  <c r="H616" i="19"/>
  <c r="G616" i="19"/>
  <c r="F616" i="19"/>
  <c r="E616" i="19"/>
  <c r="C616" i="19" s="1"/>
  <c r="D616" i="19"/>
  <c r="B616" i="19"/>
  <c r="A616" i="19"/>
  <c r="U615" i="19"/>
  <c r="T615" i="19"/>
  <c r="S615" i="19"/>
  <c r="R615" i="19"/>
  <c r="Q615" i="19"/>
  <c r="P615" i="19"/>
  <c r="O615" i="19"/>
  <c r="N615" i="19"/>
  <c r="M615" i="19"/>
  <c r="L615" i="19"/>
  <c r="K615" i="19"/>
  <c r="J615" i="19" s="1"/>
  <c r="I615" i="19"/>
  <c r="H615" i="19"/>
  <c r="G615" i="19"/>
  <c r="F615" i="19"/>
  <c r="E615" i="19"/>
  <c r="D615" i="19"/>
  <c r="C615" i="19" s="1"/>
  <c r="B615" i="19"/>
  <c r="A615" i="19"/>
  <c r="U614" i="19"/>
  <c r="Q614" i="19" s="1"/>
  <c r="T614" i="19"/>
  <c r="S614" i="19"/>
  <c r="R614" i="19"/>
  <c r="P614" i="19"/>
  <c r="O614" i="19"/>
  <c r="N614" i="19"/>
  <c r="M614" i="19"/>
  <c r="J614" i="19" s="1"/>
  <c r="V614" i="19" s="1"/>
  <c r="L614" i="19"/>
  <c r="K614" i="19"/>
  <c r="I614" i="19"/>
  <c r="H614" i="19"/>
  <c r="G614" i="19"/>
  <c r="F614" i="19"/>
  <c r="E614" i="19"/>
  <c r="D614" i="19"/>
  <c r="C614" i="19"/>
  <c r="B614" i="19"/>
  <c r="A614" i="19"/>
  <c r="T613" i="19"/>
  <c r="S613" i="19"/>
  <c r="U613" i="19" s="1"/>
  <c r="Q613" i="19" s="1"/>
  <c r="R613" i="19"/>
  <c r="P613" i="19"/>
  <c r="O613" i="19"/>
  <c r="N613" i="19"/>
  <c r="M613" i="19"/>
  <c r="L613" i="19"/>
  <c r="K613" i="19"/>
  <c r="I613" i="19"/>
  <c r="H613" i="19"/>
  <c r="G613" i="19"/>
  <c r="F613" i="19"/>
  <c r="E613" i="19"/>
  <c r="D613" i="19"/>
  <c r="B613" i="19"/>
  <c r="A613" i="19"/>
  <c r="U612" i="19"/>
  <c r="Q612" i="19" s="1"/>
  <c r="T612" i="19"/>
  <c r="S612" i="19"/>
  <c r="R612" i="19"/>
  <c r="P612" i="19"/>
  <c r="O612" i="19"/>
  <c r="N612" i="19"/>
  <c r="M612" i="19"/>
  <c r="L612" i="19"/>
  <c r="K612" i="19"/>
  <c r="J612" i="19"/>
  <c r="I612" i="19"/>
  <c r="H612" i="19"/>
  <c r="G612" i="19"/>
  <c r="F612" i="19"/>
  <c r="E612" i="19"/>
  <c r="D612" i="19"/>
  <c r="B612" i="19"/>
  <c r="A612" i="19"/>
  <c r="T611" i="19"/>
  <c r="S611" i="19"/>
  <c r="U611" i="19" s="1"/>
  <c r="Q611" i="19" s="1"/>
  <c r="R611" i="19"/>
  <c r="P611" i="19"/>
  <c r="O611" i="19"/>
  <c r="N611" i="19"/>
  <c r="M611" i="19"/>
  <c r="L611" i="19"/>
  <c r="K611" i="19"/>
  <c r="I611" i="19"/>
  <c r="H611" i="19"/>
  <c r="G611" i="19"/>
  <c r="F611" i="19"/>
  <c r="E611" i="19"/>
  <c r="D611" i="19"/>
  <c r="C611" i="19" s="1"/>
  <c r="B611" i="19"/>
  <c r="A611" i="19"/>
  <c r="T610" i="19"/>
  <c r="S610" i="19"/>
  <c r="R610" i="19"/>
  <c r="P610" i="19"/>
  <c r="O610" i="19"/>
  <c r="N610" i="19"/>
  <c r="M610" i="19"/>
  <c r="L610" i="19"/>
  <c r="K610" i="19"/>
  <c r="I610" i="19"/>
  <c r="H610" i="19"/>
  <c r="G610" i="19"/>
  <c r="C610" i="19" s="1"/>
  <c r="F610" i="19"/>
  <c r="E610" i="19"/>
  <c r="D610" i="19"/>
  <c r="B610" i="19"/>
  <c r="A610" i="19"/>
  <c r="U609" i="19"/>
  <c r="T609" i="19"/>
  <c r="S609" i="19"/>
  <c r="R609" i="19"/>
  <c r="Q609" i="19"/>
  <c r="P609" i="19"/>
  <c r="O609" i="19"/>
  <c r="N609" i="19"/>
  <c r="M609" i="19"/>
  <c r="L609" i="19"/>
  <c r="K609" i="19"/>
  <c r="I609" i="19"/>
  <c r="H609" i="19"/>
  <c r="G609" i="19"/>
  <c r="F609" i="19"/>
  <c r="E609" i="19"/>
  <c r="D609" i="19"/>
  <c r="C609" i="19"/>
  <c r="B609" i="19"/>
  <c r="A609" i="19"/>
  <c r="U608" i="19"/>
  <c r="Q608" i="19" s="1"/>
  <c r="T608" i="19"/>
  <c r="S608" i="19"/>
  <c r="R608" i="19"/>
  <c r="P608" i="19"/>
  <c r="O608" i="19"/>
  <c r="N608" i="19"/>
  <c r="M608" i="19"/>
  <c r="L608" i="19"/>
  <c r="K608" i="19"/>
  <c r="J608" i="19" s="1"/>
  <c r="I608" i="19"/>
  <c r="C608" i="19" s="1"/>
  <c r="H608" i="19"/>
  <c r="G608" i="19"/>
  <c r="F608" i="19"/>
  <c r="E608" i="19"/>
  <c r="D608" i="19"/>
  <c r="B608" i="19"/>
  <c r="A608" i="19"/>
  <c r="U607" i="19"/>
  <c r="Q607" i="19" s="1"/>
  <c r="T607" i="19"/>
  <c r="S607" i="19"/>
  <c r="R607" i="19"/>
  <c r="P607" i="19"/>
  <c r="O607" i="19"/>
  <c r="N607" i="19"/>
  <c r="M607" i="19"/>
  <c r="L607" i="19"/>
  <c r="K607" i="19"/>
  <c r="I607" i="19"/>
  <c r="H607" i="19"/>
  <c r="G607" i="19"/>
  <c r="F607" i="19"/>
  <c r="E607" i="19"/>
  <c r="D607" i="19"/>
  <c r="B607" i="19"/>
  <c r="A607" i="19"/>
  <c r="U606" i="19"/>
  <c r="Q606" i="19" s="1"/>
  <c r="T606" i="19"/>
  <c r="S606" i="19"/>
  <c r="R606" i="19"/>
  <c r="P606" i="19"/>
  <c r="O606" i="19"/>
  <c r="N606" i="19"/>
  <c r="M606" i="19"/>
  <c r="L606" i="19"/>
  <c r="K606" i="19"/>
  <c r="J606" i="19"/>
  <c r="I606" i="19"/>
  <c r="H606" i="19"/>
  <c r="G606" i="19"/>
  <c r="F606" i="19"/>
  <c r="E606" i="19"/>
  <c r="D606" i="19"/>
  <c r="B606" i="19"/>
  <c r="A606" i="19"/>
  <c r="T605" i="19"/>
  <c r="U605" i="19" s="1"/>
  <c r="Q605" i="19" s="1"/>
  <c r="S605" i="19"/>
  <c r="R605" i="19"/>
  <c r="P605" i="19"/>
  <c r="O605" i="19"/>
  <c r="N605" i="19"/>
  <c r="M605" i="19"/>
  <c r="L605" i="19"/>
  <c r="K605" i="19"/>
  <c r="I605" i="19"/>
  <c r="H605" i="19"/>
  <c r="G605" i="19"/>
  <c r="F605" i="19"/>
  <c r="E605" i="19"/>
  <c r="D605" i="19"/>
  <c r="C605" i="19" s="1"/>
  <c r="B605" i="19"/>
  <c r="A605" i="19"/>
  <c r="T604" i="19"/>
  <c r="S604" i="19"/>
  <c r="R604" i="19"/>
  <c r="P604" i="19"/>
  <c r="O604" i="19"/>
  <c r="N604" i="19"/>
  <c r="M604" i="19"/>
  <c r="L604" i="19"/>
  <c r="K604" i="19"/>
  <c r="J604" i="19" s="1"/>
  <c r="I604" i="19"/>
  <c r="H604" i="19"/>
  <c r="G604" i="19"/>
  <c r="F604" i="19"/>
  <c r="C604" i="19" s="1"/>
  <c r="E604" i="19"/>
  <c r="D604" i="19"/>
  <c r="B604" i="19"/>
  <c r="A604" i="19"/>
  <c r="U603" i="19"/>
  <c r="Q603" i="19" s="1"/>
  <c r="T603" i="19"/>
  <c r="S603" i="19"/>
  <c r="R603" i="19"/>
  <c r="P603" i="19"/>
  <c r="O603" i="19"/>
  <c r="N603" i="19"/>
  <c r="M603" i="19"/>
  <c r="L603" i="19"/>
  <c r="K603" i="19"/>
  <c r="I603" i="19"/>
  <c r="H603" i="19"/>
  <c r="G603" i="19"/>
  <c r="F603" i="19"/>
  <c r="E603" i="19"/>
  <c r="D603" i="19"/>
  <c r="C603" i="19" s="1"/>
  <c r="B603" i="19"/>
  <c r="A603" i="19"/>
  <c r="T602" i="19"/>
  <c r="S602" i="19"/>
  <c r="R602" i="19"/>
  <c r="U602" i="19" s="1"/>
  <c r="Q602" i="19" s="1"/>
  <c r="P602" i="19"/>
  <c r="O602" i="19"/>
  <c r="N602" i="19"/>
  <c r="M602" i="19"/>
  <c r="L602" i="19"/>
  <c r="K602" i="19"/>
  <c r="I602" i="19"/>
  <c r="H602" i="19"/>
  <c r="G602" i="19"/>
  <c r="F602" i="19"/>
  <c r="E602" i="19"/>
  <c r="D602" i="19"/>
  <c r="C602" i="19"/>
  <c r="B602" i="19"/>
  <c r="A602" i="19"/>
  <c r="U601" i="19"/>
  <c r="Q601" i="19" s="1"/>
  <c r="T601" i="19"/>
  <c r="S601" i="19"/>
  <c r="R601" i="19"/>
  <c r="P601" i="19"/>
  <c r="O601" i="19"/>
  <c r="N601" i="19"/>
  <c r="M601" i="19"/>
  <c r="L601" i="19"/>
  <c r="K601" i="19"/>
  <c r="J601" i="19" s="1"/>
  <c r="I601" i="19"/>
  <c r="C601" i="19" s="1"/>
  <c r="H601" i="19"/>
  <c r="G601" i="19"/>
  <c r="F601" i="19"/>
  <c r="E601" i="19"/>
  <c r="D601" i="19"/>
  <c r="B601" i="19"/>
  <c r="A601" i="19"/>
  <c r="T600" i="19"/>
  <c r="S600" i="19"/>
  <c r="U600" i="19" s="1"/>
  <c r="Q600" i="19" s="1"/>
  <c r="V600" i="19" s="1"/>
  <c r="R600" i="19"/>
  <c r="P600" i="19"/>
  <c r="O600" i="19"/>
  <c r="N600" i="19"/>
  <c r="M600" i="19"/>
  <c r="L600" i="19"/>
  <c r="K600" i="19"/>
  <c r="J600" i="19" s="1"/>
  <c r="I600" i="19"/>
  <c r="H600" i="19"/>
  <c r="G600" i="19"/>
  <c r="C600" i="19" s="1"/>
  <c r="F600" i="19"/>
  <c r="E600" i="19"/>
  <c r="D600" i="19"/>
  <c r="B600" i="19"/>
  <c r="A600" i="19"/>
  <c r="U599" i="19"/>
  <c r="Q599" i="19" s="1"/>
  <c r="T599" i="19"/>
  <c r="S599" i="19"/>
  <c r="R599" i="19"/>
  <c r="P599" i="19"/>
  <c r="O599" i="19"/>
  <c r="N599" i="19"/>
  <c r="M599" i="19"/>
  <c r="L599" i="19"/>
  <c r="K599" i="19"/>
  <c r="I599" i="19"/>
  <c r="H599" i="19"/>
  <c r="G599" i="19"/>
  <c r="F599" i="19"/>
  <c r="E599" i="19"/>
  <c r="D599" i="19"/>
  <c r="B599" i="19"/>
  <c r="A599" i="19"/>
  <c r="T598" i="19"/>
  <c r="S598" i="19"/>
  <c r="R598" i="19"/>
  <c r="P598" i="19"/>
  <c r="O598" i="19"/>
  <c r="N598" i="19"/>
  <c r="M598" i="19"/>
  <c r="J598" i="19" s="1"/>
  <c r="L598" i="19"/>
  <c r="K598" i="19"/>
  <c r="I598" i="19"/>
  <c r="H598" i="19"/>
  <c r="G598" i="19"/>
  <c r="F598" i="19"/>
  <c r="E598" i="19"/>
  <c r="D598" i="19"/>
  <c r="B598" i="19"/>
  <c r="A598" i="19"/>
  <c r="T597" i="19"/>
  <c r="S597" i="19"/>
  <c r="U597" i="19" s="1"/>
  <c r="Q597" i="19" s="1"/>
  <c r="V597" i="19" s="1"/>
  <c r="R597" i="19"/>
  <c r="P597" i="19"/>
  <c r="O597" i="19"/>
  <c r="N597" i="19"/>
  <c r="M597" i="19"/>
  <c r="L597" i="19"/>
  <c r="K597" i="19"/>
  <c r="J597" i="19" s="1"/>
  <c r="I597" i="19"/>
  <c r="H597" i="19"/>
  <c r="G597" i="19"/>
  <c r="F597" i="19"/>
  <c r="E597" i="19"/>
  <c r="D597" i="19"/>
  <c r="C597" i="19" s="1"/>
  <c r="B597" i="19"/>
  <c r="A597" i="19"/>
  <c r="U596" i="19"/>
  <c r="Q596" i="19" s="1"/>
  <c r="T596" i="19"/>
  <c r="S596" i="19"/>
  <c r="R596" i="19"/>
  <c r="P596" i="19"/>
  <c r="O596" i="19"/>
  <c r="N596" i="19"/>
  <c r="M596" i="19"/>
  <c r="L596" i="19"/>
  <c r="K596" i="19"/>
  <c r="I596" i="19"/>
  <c r="H596" i="19"/>
  <c r="G596" i="19"/>
  <c r="F596" i="19"/>
  <c r="E596" i="19"/>
  <c r="D596" i="19"/>
  <c r="C596" i="19"/>
  <c r="B596" i="19"/>
  <c r="A596" i="19"/>
  <c r="T595" i="19"/>
  <c r="S595" i="19"/>
  <c r="U595" i="19" s="1"/>
  <c r="Q595" i="19" s="1"/>
  <c r="R595" i="19"/>
  <c r="P595" i="19"/>
  <c r="O595" i="19"/>
  <c r="N595" i="19"/>
  <c r="M595" i="19"/>
  <c r="L595" i="19"/>
  <c r="K595" i="19"/>
  <c r="I595" i="19"/>
  <c r="H595" i="19"/>
  <c r="G595" i="19"/>
  <c r="C595" i="19" s="1"/>
  <c r="F595" i="19"/>
  <c r="E595" i="19"/>
  <c r="D595" i="19"/>
  <c r="B595" i="19"/>
  <c r="A595" i="19"/>
  <c r="U594" i="19"/>
  <c r="Q594" i="19" s="1"/>
  <c r="T594" i="19"/>
  <c r="S594" i="19"/>
  <c r="R594" i="19"/>
  <c r="P594" i="19"/>
  <c r="O594" i="19"/>
  <c r="N594" i="19"/>
  <c r="M594" i="19"/>
  <c r="L594" i="19"/>
  <c r="K594" i="19"/>
  <c r="J594" i="19"/>
  <c r="I594" i="19"/>
  <c r="H594" i="19"/>
  <c r="G594" i="19"/>
  <c r="F594" i="19"/>
  <c r="E594" i="19"/>
  <c r="D594" i="19"/>
  <c r="C594" i="19" s="1"/>
  <c r="V594" i="19" s="1"/>
  <c r="B594" i="19"/>
  <c r="A594" i="19"/>
  <c r="T593" i="19"/>
  <c r="S593" i="19"/>
  <c r="R593" i="19"/>
  <c r="P593" i="19"/>
  <c r="O593" i="19"/>
  <c r="N593" i="19"/>
  <c r="M593" i="19"/>
  <c r="L593" i="19"/>
  <c r="K593" i="19"/>
  <c r="I593" i="19"/>
  <c r="H593" i="19"/>
  <c r="G593" i="19"/>
  <c r="F593" i="19"/>
  <c r="E593" i="19"/>
  <c r="D593" i="19"/>
  <c r="B593" i="19"/>
  <c r="A593" i="19"/>
  <c r="T592" i="19"/>
  <c r="S592" i="19"/>
  <c r="U592" i="19" s="1"/>
  <c r="R592" i="19"/>
  <c r="Q592" i="19"/>
  <c r="P592" i="19"/>
  <c r="O592" i="19"/>
  <c r="N592" i="19"/>
  <c r="M592" i="19"/>
  <c r="L592" i="19"/>
  <c r="K592" i="19"/>
  <c r="I592" i="19"/>
  <c r="H592" i="19"/>
  <c r="G592" i="19"/>
  <c r="F592" i="19"/>
  <c r="E592" i="19"/>
  <c r="D592" i="19"/>
  <c r="C592" i="19"/>
  <c r="B592" i="19"/>
  <c r="A592" i="19"/>
  <c r="U591" i="19"/>
  <c r="Q591" i="19" s="1"/>
  <c r="T591" i="19"/>
  <c r="S591" i="19"/>
  <c r="R591" i="19"/>
  <c r="P591" i="19"/>
  <c r="O591" i="19"/>
  <c r="N591" i="19"/>
  <c r="M591" i="19"/>
  <c r="L591" i="19"/>
  <c r="K591" i="19"/>
  <c r="J591" i="19" s="1"/>
  <c r="I591" i="19"/>
  <c r="H591" i="19"/>
  <c r="G591" i="19"/>
  <c r="F591" i="19"/>
  <c r="E591" i="19"/>
  <c r="D591" i="19"/>
  <c r="C591" i="19"/>
  <c r="B591" i="19"/>
  <c r="A591" i="19"/>
  <c r="T590" i="19"/>
  <c r="S590" i="19"/>
  <c r="U590" i="19" s="1"/>
  <c r="Q590" i="19" s="1"/>
  <c r="R590" i="19"/>
  <c r="P590" i="19"/>
  <c r="O590" i="19"/>
  <c r="N590" i="19"/>
  <c r="M590" i="19"/>
  <c r="L590" i="19"/>
  <c r="K590" i="19"/>
  <c r="J590" i="19" s="1"/>
  <c r="I590" i="19"/>
  <c r="H590" i="19"/>
  <c r="G590" i="19"/>
  <c r="C590" i="19" s="1"/>
  <c r="F590" i="19"/>
  <c r="E590" i="19"/>
  <c r="D590" i="19"/>
  <c r="B590" i="19"/>
  <c r="A590" i="19"/>
  <c r="U589" i="19"/>
  <c r="T589" i="19"/>
  <c r="S589" i="19"/>
  <c r="R589" i="19"/>
  <c r="Q589" i="19"/>
  <c r="P589" i="19"/>
  <c r="O589" i="19"/>
  <c r="N589" i="19"/>
  <c r="M589" i="19"/>
  <c r="L589" i="19"/>
  <c r="K589" i="19"/>
  <c r="J589" i="19" s="1"/>
  <c r="I589" i="19"/>
  <c r="H589" i="19"/>
  <c r="G589" i="19"/>
  <c r="F589" i="19"/>
  <c r="E589" i="19"/>
  <c r="D589" i="19"/>
  <c r="B589" i="19"/>
  <c r="A589" i="19"/>
  <c r="U588" i="19"/>
  <c r="Q588" i="19" s="1"/>
  <c r="T588" i="19"/>
  <c r="S588" i="19"/>
  <c r="R588" i="19"/>
  <c r="P588" i="19"/>
  <c r="O588" i="19"/>
  <c r="N588" i="19"/>
  <c r="M588" i="19"/>
  <c r="L588" i="19"/>
  <c r="K588" i="19"/>
  <c r="J588" i="19" s="1"/>
  <c r="I588" i="19"/>
  <c r="H588" i="19"/>
  <c r="G588" i="19"/>
  <c r="C588" i="19" s="1"/>
  <c r="F588" i="19"/>
  <c r="E588" i="19"/>
  <c r="D588" i="19"/>
  <c r="B588" i="19"/>
  <c r="A588" i="19"/>
  <c r="T587" i="19"/>
  <c r="S587" i="19"/>
  <c r="R587" i="19"/>
  <c r="U587" i="19" s="1"/>
  <c r="Q587" i="19"/>
  <c r="P587" i="19"/>
  <c r="O587" i="19"/>
  <c r="N587" i="19"/>
  <c r="M587" i="19"/>
  <c r="L587" i="19"/>
  <c r="K587" i="19"/>
  <c r="I587" i="19"/>
  <c r="H587" i="19"/>
  <c r="G587" i="19"/>
  <c r="F587" i="19"/>
  <c r="E587" i="19"/>
  <c r="D587" i="19"/>
  <c r="C587" i="19" s="1"/>
  <c r="B587" i="19"/>
  <c r="A587" i="19"/>
  <c r="U586" i="19"/>
  <c r="Q586" i="19" s="1"/>
  <c r="T586" i="19"/>
  <c r="S586" i="19"/>
  <c r="R586" i="19"/>
  <c r="P586" i="19"/>
  <c r="O586" i="19"/>
  <c r="N586" i="19"/>
  <c r="M586" i="19"/>
  <c r="L586" i="19"/>
  <c r="K586" i="19"/>
  <c r="I586" i="19"/>
  <c r="H586" i="19"/>
  <c r="G586" i="19"/>
  <c r="F586" i="19"/>
  <c r="E586" i="19"/>
  <c r="D586" i="19"/>
  <c r="C586" i="19"/>
  <c r="B586" i="19"/>
  <c r="A586" i="19"/>
  <c r="T585" i="19"/>
  <c r="S585" i="19"/>
  <c r="U585" i="19" s="1"/>
  <c r="Q585" i="19" s="1"/>
  <c r="R585" i="19"/>
  <c r="P585" i="19"/>
  <c r="O585" i="19"/>
  <c r="N585" i="19"/>
  <c r="M585" i="19"/>
  <c r="L585" i="19"/>
  <c r="K585" i="19"/>
  <c r="I585" i="19"/>
  <c r="H585" i="19"/>
  <c r="G585" i="19"/>
  <c r="C585" i="19" s="1"/>
  <c r="F585" i="19"/>
  <c r="E585" i="19"/>
  <c r="D585" i="19"/>
  <c r="B585" i="19"/>
  <c r="A585" i="19"/>
  <c r="U584" i="19"/>
  <c r="T584" i="19"/>
  <c r="S584" i="19"/>
  <c r="R584" i="19"/>
  <c r="Q584" i="19"/>
  <c r="P584" i="19"/>
  <c r="O584" i="19"/>
  <c r="N584" i="19"/>
  <c r="M584" i="19"/>
  <c r="L584" i="19"/>
  <c r="K584" i="19"/>
  <c r="J584" i="19"/>
  <c r="I584" i="19"/>
  <c r="H584" i="19"/>
  <c r="G584" i="19"/>
  <c r="F584" i="19"/>
  <c r="E584" i="19"/>
  <c r="C584" i="19" s="1"/>
  <c r="D584" i="19"/>
  <c r="B584" i="19"/>
  <c r="A584" i="19"/>
  <c r="T583" i="19"/>
  <c r="S583" i="19"/>
  <c r="U583" i="19" s="1"/>
  <c r="Q583" i="19" s="1"/>
  <c r="R583" i="19"/>
  <c r="P583" i="19"/>
  <c r="O583" i="19"/>
  <c r="N583" i="19"/>
  <c r="M583" i="19"/>
  <c r="L583" i="19"/>
  <c r="K583" i="19"/>
  <c r="J583" i="19" s="1"/>
  <c r="I583" i="19"/>
  <c r="H583" i="19"/>
  <c r="G583" i="19"/>
  <c r="C583" i="19" s="1"/>
  <c r="F583" i="19"/>
  <c r="E583" i="19"/>
  <c r="D583" i="19"/>
  <c r="B583" i="19"/>
  <c r="A583" i="19"/>
  <c r="T582" i="19"/>
  <c r="S582" i="19"/>
  <c r="R582" i="19"/>
  <c r="U582" i="19" s="1"/>
  <c r="Q582" i="19" s="1"/>
  <c r="V582" i="19" s="1"/>
  <c r="P582" i="19"/>
  <c r="O582" i="19"/>
  <c r="N582" i="19"/>
  <c r="M582" i="19"/>
  <c r="J582" i="19" s="1"/>
  <c r="L582" i="19"/>
  <c r="K582" i="19"/>
  <c r="I582" i="19"/>
  <c r="H582" i="19"/>
  <c r="G582" i="19"/>
  <c r="F582" i="19"/>
  <c r="E582" i="19"/>
  <c r="C582" i="19" s="1"/>
  <c r="D582" i="19"/>
  <c r="B582" i="19"/>
  <c r="A582" i="19"/>
  <c r="T581" i="19"/>
  <c r="S581" i="19"/>
  <c r="R581" i="19"/>
  <c r="U581" i="19" s="1"/>
  <c r="Q581" i="19" s="1"/>
  <c r="P581" i="19"/>
  <c r="O581" i="19"/>
  <c r="N581" i="19"/>
  <c r="M581" i="19"/>
  <c r="L581" i="19"/>
  <c r="K581" i="19"/>
  <c r="I581" i="19"/>
  <c r="H581" i="19"/>
  <c r="G581" i="19"/>
  <c r="F581" i="19"/>
  <c r="E581" i="19"/>
  <c r="D581" i="19"/>
  <c r="C581" i="19"/>
  <c r="B581" i="19"/>
  <c r="A581" i="19"/>
  <c r="T580" i="19"/>
  <c r="S580" i="19"/>
  <c r="U580" i="19" s="1"/>
  <c r="Q580" i="19" s="1"/>
  <c r="R580" i="19"/>
  <c r="P580" i="19"/>
  <c r="O580" i="19"/>
  <c r="N580" i="19"/>
  <c r="M580" i="19"/>
  <c r="L580" i="19"/>
  <c r="K580" i="19"/>
  <c r="I580" i="19"/>
  <c r="H580" i="19"/>
  <c r="G580" i="19"/>
  <c r="C580" i="19" s="1"/>
  <c r="F580" i="19"/>
  <c r="E580" i="19"/>
  <c r="D580" i="19"/>
  <c r="B580" i="19"/>
  <c r="A580" i="19"/>
  <c r="U579" i="19"/>
  <c r="Q579" i="19" s="1"/>
  <c r="T579" i="19"/>
  <c r="S579" i="19"/>
  <c r="R579" i="19"/>
  <c r="P579" i="19"/>
  <c r="O579" i="19"/>
  <c r="N579" i="19"/>
  <c r="M579" i="19"/>
  <c r="L579" i="19"/>
  <c r="K579" i="19"/>
  <c r="J579" i="19" s="1"/>
  <c r="I579" i="19"/>
  <c r="H579" i="19"/>
  <c r="G579" i="19"/>
  <c r="F579" i="19"/>
  <c r="E579" i="19"/>
  <c r="D579" i="19"/>
  <c r="B579" i="19"/>
  <c r="A579" i="19"/>
  <c r="U578" i="19"/>
  <c r="Q578" i="19" s="1"/>
  <c r="T578" i="19"/>
  <c r="S578" i="19"/>
  <c r="R578" i="19"/>
  <c r="P578" i="19"/>
  <c r="O578" i="19"/>
  <c r="N578" i="19"/>
  <c r="M578" i="19"/>
  <c r="L578" i="19"/>
  <c r="K578" i="19"/>
  <c r="I578" i="19"/>
  <c r="H578" i="19"/>
  <c r="G578" i="19"/>
  <c r="F578" i="19"/>
  <c r="E578" i="19"/>
  <c r="D578" i="19"/>
  <c r="C578" i="19"/>
  <c r="B578" i="19"/>
  <c r="A578" i="19"/>
  <c r="T577" i="19"/>
  <c r="S577" i="19"/>
  <c r="R577" i="19"/>
  <c r="P577" i="19"/>
  <c r="O577" i="19"/>
  <c r="N577" i="19"/>
  <c r="M577" i="19"/>
  <c r="J577" i="19" s="1"/>
  <c r="L577" i="19"/>
  <c r="K577" i="19"/>
  <c r="I577" i="19"/>
  <c r="H577" i="19"/>
  <c r="G577" i="19"/>
  <c r="F577" i="19"/>
  <c r="E577" i="19"/>
  <c r="D577" i="19"/>
  <c r="B577" i="19"/>
  <c r="A577" i="19"/>
  <c r="T576" i="19"/>
  <c r="S576" i="19"/>
  <c r="U576" i="19" s="1"/>
  <c r="R576" i="19"/>
  <c r="Q576" i="19"/>
  <c r="P576" i="19"/>
  <c r="O576" i="19"/>
  <c r="N576" i="19"/>
  <c r="M576" i="19"/>
  <c r="L576" i="19"/>
  <c r="K576" i="19"/>
  <c r="J576" i="19" s="1"/>
  <c r="I576" i="19"/>
  <c r="H576" i="19"/>
  <c r="G576" i="19"/>
  <c r="F576" i="19"/>
  <c r="E576" i="19"/>
  <c r="D576" i="19"/>
  <c r="C576" i="19" s="1"/>
  <c r="B576" i="19"/>
  <c r="A576" i="19"/>
  <c r="T575" i="19"/>
  <c r="U575" i="19" s="1"/>
  <c r="Q575" i="19" s="1"/>
  <c r="S575" i="19"/>
  <c r="R575" i="19"/>
  <c r="P575" i="19"/>
  <c r="O575" i="19"/>
  <c r="N575" i="19"/>
  <c r="M575" i="19"/>
  <c r="L575" i="19"/>
  <c r="K575" i="19"/>
  <c r="I575" i="19"/>
  <c r="H575" i="19"/>
  <c r="G575" i="19"/>
  <c r="C575" i="19" s="1"/>
  <c r="F575" i="19"/>
  <c r="E575" i="19"/>
  <c r="D575" i="19"/>
  <c r="B575" i="19"/>
  <c r="A575" i="19"/>
  <c r="U574" i="19"/>
  <c r="Q574" i="19" s="1"/>
  <c r="T574" i="19"/>
  <c r="S574" i="19"/>
  <c r="R574" i="19"/>
  <c r="P574" i="19"/>
  <c r="O574" i="19"/>
  <c r="N574" i="19"/>
  <c r="M574" i="19"/>
  <c r="L574" i="19"/>
  <c r="K574" i="19"/>
  <c r="J574" i="19" s="1"/>
  <c r="I574" i="19"/>
  <c r="H574" i="19"/>
  <c r="G574" i="19"/>
  <c r="F574" i="19"/>
  <c r="E574" i="19"/>
  <c r="D574" i="19"/>
  <c r="B574" i="19"/>
  <c r="A574" i="19"/>
  <c r="T573" i="19"/>
  <c r="S573" i="19"/>
  <c r="U573" i="19" s="1"/>
  <c r="Q573" i="19" s="1"/>
  <c r="R573" i="19"/>
  <c r="P573" i="19"/>
  <c r="O573" i="19"/>
  <c r="N573" i="19"/>
  <c r="M573" i="19"/>
  <c r="L573" i="19"/>
  <c r="K573" i="19"/>
  <c r="I573" i="19"/>
  <c r="H573" i="19"/>
  <c r="G573" i="19"/>
  <c r="C573" i="19" s="1"/>
  <c r="F573" i="19"/>
  <c r="E573" i="19"/>
  <c r="D573" i="19"/>
  <c r="B573" i="19"/>
  <c r="A573" i="19"/>
  <c r="T572" i="19"/>
  <c r="S572" i="19"/>
  <c r="R572" i="19"/>
  <c r="P572" i="19"/>
  <c r="O572" i="19"/>
  <c r="N572" i="19"/>
  <c r="M572" i="19"/>
  <c r="J572" i="19" s="1"/>
  <c r="L572" i="19"/>
  <c r="K572" i="19"/>
  <c r="I572" i="19"/>
  <c r="H572" i="19"/>
  <c r="G572" i="19"/>
  <c r="F572" i="19"/>
  <c r="E572" i="19"/>
  <c r="D572" i="19"/>
  <c r="B572" i="19"/>
  <c r="A572" i="19"/>
  <c r="T571" i="19"/>
  <c r="S571" i="19"/>
  <c r="U571" i="19" s="1"/>
  <c r="Q571" i="19" s="1"/>
  <c r="R571" i="19"/>
  <c r="P571" i="19"/>
  <c r="O571" i="19"/>
  <c r="N571" i="19"/>
  <c r="M571" i="19"/>
  <c r="L571" i="19"/>
  <c r="K571" i="19"/>
  <c r="I571" i="19"/>
  <c r="H571" i="19"/>
  <c r="G571" i="19"/>
  <c r="F571" i="19"/>
  <c r="E571" i="19"/>
  <c r="D571" i="19"/>
  <c r="C571" i="19" s="1"/>
  <c r="B571" i="19"/>
  <c r="A571" i="19"/>
  <c r="U570" i="19"/>
  <c r="Q570" i="19" s="1"/>
  <c r="T570" i="19"/>
  <c r="S570" i="19"/>
  <c r="R570" i="19"/>
  <c r="P570" i="19"/>
  <c r="O570" i="19"/>
  <c r="N570" i="19"/>
  <c r="M570" i="19"/>
  <c r="L570" i="19"/>
  <c r="K570" i="19"/>
  <c r="I570" i="19"/>
  <c r="C570" i="19" s="1"/>
  <c r="H570" i="19"/>
  <c r="G570" i="19"/>
  <c r="F570" i="19"/>
  <c r="E570" i="19"/>
  <c r="D570" i="19"/>
  <c r="B570" i="19"/>
  <c r="A570" i="19"/>
  <c r="T569" i="19"/>
  <c r="S569" i="19"/>
  <c r="R569" i="19"/>
  <c r="U569" i="19" s="1"/>
  <c r="Q569" i="19" s="1"/>
  <c r="P569" i="19"/>
  <c r="O569" i="19"/>
  <c r="N569" i="19"/>
  <c r="M569" i="19"/>
  <c r="L569" i="19"/>
  <c r="K569" i="19"/>
  <c r="I569" i="19"/>
  <c r="H569" i="19"/>
  <c r="G569" i="19"/>
  <c r="F569" i="19"/>
  <c r="E569" i="19"/>
  <c r="D569" i="19"/>
  <c r="B569" i="19"/>
  <c r="A569" i="19"/>
  <c r="U568" i="19"/>
  <c r="Q568" i="19" s="1"/>
  <c r="T568" i="19"/>
  <c r="S568" i="19"/>
  <c r="R568" i="19"/>
  <c r="P568" i="19"/>
  <c r="O568" i="19"/>
  <c r="N568" i="19"/>
  <c r="M568" i="19"/>
  <c r="L568" i="19"/>
  <c r="K568" i="19"/>
  <c r="I568" i="19"/>
  <c r="C568" i="19" s="1"/>
  <c r="H568" i="19"/>
  <c r="G568" i="19"/>
  <c r="F568" i="19"/>
  <c r="E568" i="19"/>
  <c r="D568" i="19"/>
  <c r="B568" i="19"/>
  <c r="A568" i="19"/>
  <c r="T567" i="19"/>
  <c r="S567" i="19"/>
  <c r="U567" i="19" s="1"/>
  <c r="R567" i="19"/>
  <c r="Q567" i="19"/>
  <c r="V567" i="19" s="1"/>
  <c r="P567" i="19"/>
  <c r="O567" i="19"/>
  <c r="N567" i="19"/>
  <c r="M567" i="19"/>
  <c r="J567" i="19" s="1"/>
  <c r="L567" i="19"/>
  <c r="K567" i="19"/>
  <c r="I567" i="19"/>
  <c r="H567" i="19"/>
  <c r="G567" i="19"/>
  <c r="F567" i="19"/>
  <c r="E567" i="19"/>
  <c r="C567" i="19" s="1"/>
  <c r="D567" i="19"/>
  <c r="B567" i="19"/>
  <c r="A567" i="19"/>
  <c r="T566" i="19"/>
  <c r="S566" i="19"/>
  <c r="U566" i="19" s="1"/>
  <c r="R566" i="19"/>
  <c r="Q566" i="19"/>
  <c r="P566" i="19"/>
  <c r="O566" i="19"/>
  <c r="N566" i="19"/>
  <c r="M566" i="19"/>
  <c r="L566" i="19"/>
  <c r="K566" i="19"/>
  <c r="J566" i="19" s="1"/>
  <c r="I566" i="19"/>
  <c r="H566" i="19"/>
  <c r="G566" i="19"/>
  <c r="F566" i="19"/>
  <c r="E566" i="19"/>
  <c r="D566" i="19"/>
  <c r="C566" i="19"/>
  <c r="B566" i="19"/>
  <c r="A566" i="19"/>
  <c r="U565" i="19"/>
  <c r="Q565" i="19" s="1"/>
  <c r="T565" i="19"/>
  <c r="S565" i="19"/>
  <c r="R565" i="19"/>
  <c r="P565" i="19"/>
  <c r="O565" i="19"/>
  <c r="N565" i="19"/>
  <c r="M565" i="19"/>
  <c r="L565" i="19"/>
  <c r="K565" i="19"/>
  <c r="J565" i="19" s="1"/>
  <c r="I565" i="19"/>
  <c r="C565" i="19" s="1"/>
  <c r="H565" i="19"/>
  <c r="G565" i="19"/>
  <c r="F565" i="19"/>
  <c r="E565" i="19"/>
  <c r="D565" i="19"/>
  <c r="B565" i="19"/>
  <c r="A565" i="19"/>
  <c r="T564" i="19"/>
  <c r="S564" i="19"/>
  <c r="U564" i="19" s="1"/>
  <c r="Q564" i="19" s="1"/>
  <c r="V564" i="19" s="1"/>
  <c r="R564" i="19"/>
  <c r="P564" i="19"/>
  <c r="O564" i="19"/>
  <c r="N564" i="19"/>
  <c r="M564" i="19"/>
  <c r="L564" i="19"/>
  <c r="K564" i="19"/>
  <c r="J564" i="19" s="1"/>
  <c r="I564" i="19"/>
  <c r="H564" i="19"/>
  <c r="G564" i="19"/>
  <c r="C564" i="19" s="1"/>
  <c r="F564" i="19"/>
  <c r="E564" i="19"/>
  <c r="D564" i="19"/>
  <c r="B564" i="19"/>
  <c r="A564" i="19"/>
  <c r="U563" i="19"/>
  <c r="Q563" i="19" s="1"/>
  <c r="T563" i="19"/>
  <c r="S563" i="19"/>
  <c r="R563" i="19"/>
  <c r="P563" i="19"/>
  <c r="O563" i="19"/>
  <c r="N563" i="19"/>
  <c r="M563" i="19"/>
  <c r="L563" i="19"/>
  <c r="K563" i="19"/>
  <c r="I563" i="19"/>
  <c r="H563" i="19"/>
  <c r="G563" i="19"/>
  <c r="F563" i="19"/>
  <c r="E563" i="19"/>
  <c r="D563" i="19"/>
  <c r="B563" i="19"/>
  <c r="A563" i="19"/>
  <c r="T562" i="19"/>
  <c r="S562" i="19"/>
  <c r="R562" i="19"/>
  <c r="P562" i="19"/>
  <c r="O562" i="19"/>
  <c r="N562" i="19"/>
  <c r="M562" i="19"/>
  <c r="J562" i="19" s="1"/>
  <c r="L562" i="19"/>
  <c r="K562" i="19"/>
  <c r="I562" i="19"/>
  <c r="H562" i="19"/>
  <c r="G562" i="19"/>
  <c r="F562" i="19"/>
  <c r="E562" i="19"/>
  <c r="D562" i="19"/>
  <c r="B562" i="19"/>
  <c r="A562" i="19"/>
  <c r="T561" i="19"/>
  <c r="S561" i="19"/>
  <c r="U561" i="19" s="1"/>
  <c r="Q561" i="19" s="1"/>
  <c r="V561" i="19" s="1"/>
  <c r="R561" i="19"/>
  <c r="P561" i="19"/>
  <c r="O561" i="19"/>
  <c r="N561" i="19"/>
  <c r="M561" i="19"/>
  <c r="L561" i="19"/>
  <c r="K561" i="19"/>
  <c r="J561" i="19" s="1"/>
  <c r="I561" i="19"/>
  <c r="H561" i="19"/>
  <c r="G561" i="19"/>
  <c r="F561" i="19"/>
  <c r="E561" i="19"/>
  <c r="D561" i="19"/>
  <c r="C561" i="19" s="1"/>
  <c r="B561" i="19"/>
  <c r="A561" i="19"/>
  <c r="U560" i="19"/>
  <c r="Q560" i="19" s="1"/>
  <c r="T560" i="19"/>
  <c r="S560" i="19"/>
  <c r="R560" i="19"/>
  <c r="P560" i="19"/>
  <c r="O560" i="19"/>
  <c r="N560" i="19"/>
  <c r="M560" i="19"/>
  <c r="L560" i="19"/>
  <c r="K560" i="19"/>
  <c r="I560" i="19"/>
  <c r="H560" i="19"/>
  <c r="G560" i="19"/>
  <c r="F560" i="19"/>
  <c r="E560" i="19"/>
  <c r="D560" i="19"/>
  <c r="C560" i="19"/>
  <c r="B560" i="19"/>
  <c r="A560" i="19"/>
  <c r="T559" i="19"/>
  <c r="S559" i="19"/>
  <c r="U559" i="19" s="1"/>
  <c r="Q559" i="19" s="1"/>
  <c r="R559" i="19"/>
  <c r="P559" i="19"/>
  <c r="O559" i="19"/>
  <c r="N559" i="19"/>
  <c r="M559" i="19"/>
  <c r="L559" i="19"/>
  <c r="K559" i="19"/>
  <c r="I559" i="19"/>
  <c r="H559" i="19"/>
  <c r="G559" i="19"/>
  <c r="C559" i="19" s="1"/>
  <c r="F559" i="19"/>
  <c r="E559" i="19"/>
  <c r="D559" i="19"/>
  <c r="B559" i="19"/>
  <c r="A559" i="19"/>
  <c r="U558" i="19"/>
  <c r="Q558" i="19" s="1"/>
  <c r="T558" i="19"/>
  <c r="S558" i="19"/>
  <c r="R558" i="19"/>
  <c r="P558" i="19"/>
  <c r="O558" i="19"/>
  <c r="N558" i="19"/>
  <c r="M558" i="19"/>
  <c r="L558" i="19"/>
  <c r="K558" i="19"/>
  <c r="J558" i="19"/>
  <c r="I558" i="19"/>
  <c r="H558" i="19"/>
  <c r="G558" i="19"/>
  <c r="F558" i="19"/>
  <c r="E558" i="19"/>
  <c r="D558" i="19"/>
  <c r="C558" i="19" s="1"/>
  <c r="V558" i="19" s="1"/>
  <c r="B558" i="19"/>
  <c r="A558" i="19"/>
  <c r="T557" i="19"/>
  <c r="S557" i="19"/>
  <c r="R557" i="19"/>
  <c r="P557" i="19"/>
  <c r="O557" i="19"/>
  <c r="N557" i="19"/>
  <c r="M557" i="19"/>
  <c r="L557" i="19"/>
  <c r="K557" i="19"/>
  <c r="I557" i="19"/>
  <c r="H557" i="19"/>
  <c r="G557" i="19"/>
  <c r="F557" i="19"/>
  <c r="E557" i="19"/>
  <c r="D557" i="19"/>
  <c r="B557" i="19"/>
  <c r="A557" i="19"/>
  <c r="T556" i="19"/>
  <c r="S556" i="19"/>
  <c r="U556" i="19" s="1"/>
  <c r="R556" i="19"/>
  <c r="Q556" i="19"/>
  <c r="P556" i="19"/>
  <c r="O556" i="19"/>
  <c r="N556" i="19"/>
  <c r="M556" i="19"/>
  <c r="L556" i="19"/>
  <c r="K556" i="19"/>
  <c r="I556" i="19"/>
  <c r="H556" i="19"/>
  <c r="G556" i="19"/>
  <c r="F556" i="19"/>
  <c r="E556" i="19"/>
  <c r="D556" i="19"/>
  <c r="C556" i="19"/>
  <c r="B556" i="19"/>
  <c r="A556" i="19"/>
  <c r="U555" i="19"/>
  <c r="Q555" i="19" s="1"/>
  <c r="T555" i="19"/>
  <c r="S555" i="19"/>
  <c r="R555" i="19"/>
  <c r="P555" i="19"/>
  <c r="O555" i="19"/>
  <c r="N555" i="19"/>
  <c r="M555" i="19"/>
  <c r="L555" i="19"/>
  <c r="K555" i="19"/>
  <c r="J555" i="19" s="1"/>
  <c r="I555" i="19"/>
  <c r="H555" i="19"/>
  <c r="G555" i="19"/>
  <c r="F555" i="19"/>
  <c r="E555" i="19"/>
  <c r="D555" i="19"/>
  <c r="C555" i="19"/>
  <c r="B555" i="19"/>
  <c r="A555" i="19"/>
  <c r="T554" i="19"/>
  <c r="S554" i="19"/>
  <c r="U554" i="19" s="1"/>
  <c r="Q554" i="19" s="1"/>
  <c r="R554" i="19"/>
  <c r="P554" i="19"/>
  <c r="O554" i="19"/>
  <c r="N554" i="19"/>
  <c r="M554" i="19"/>
  <c r="L554" i="19"/>
  <c r="K554" i="19"/>
  <c r="J554" i="19" s="1"/>
  <c r="I554" i="19"/>
  <c r="H554" i="19"/>
  <c r="G554" i="19"/>
  <c r="C554" i="19" s="1"/>
  <c r="F554" i="19"/>
  <c r="E554" i="19"/>
  <c r="D554" i="19"/>
  <c r="B554" i="19"/>
  <c r="A554" i="19"/>
  <c r="U553" i="19"/>
  <c r="T553" i="19"/>
  <c r="S553" i="19"/>
  <c r="R553" i="19"/>
  <c r="Q553" i="19"/>
  <c r="P553" i="19"/>
  <c r="O553" i="19"/>
  <c r="N553" i="19"/>
  <c r="M553" i="19"/>
  <c r="L553" i="19"/>
  <c r="K553" i="19"/>
  <c r="J553" i="19" s="1"/>
  <c r="I553" i="19"/>
  <c r="H553" i="19"/>
  <c r="G553" i="19"/>
  <c r="F553" i="19"/>
  <c r="E553" i="19"/>
  <c r="D553" i="19"/>
  <c r="B553" i="19"/>
  <c r="A553" i="19"/>
  <c r="U552" i="19"/>
  <c r="Q552" i="19" s="1"/>
  <c r="T552" i="19"/>
  <c r="S552" i="19"/>
  <c r="R552" i="19"/>
  <c r="P552" i="19"/>
  <c r="O552" i="19"/>
  <c r="N552" i="19"/>
  <c r="M552" i="19"/>
  <c r="L552" i="19"/>
  <c r="K552" i="19"/>
  <c r="J552" i="19" s="1"/>
  <c r="I552" i="19"/>
  <c r="H552" i="19"/>
  <c r="G552" i="19"/>
  <c r="C552" i="19" s="1"/>
  <c r="F552" i="19"/>
  <c r="E552" i="19"/>
  <c r="D552" i="19"/>
  <c r="B552" i="19"/>
  <c r="A552" i="19"/>
  <c r="T551" i="19"/>
  <c r="S551" i="19"/>
  <c r="R551" i="19"/>
  <c r="U551" i="19" s="1"/>
  <c r="Q551" i="19"/>
  <c r="P551" i="19"/>
  <c r="O551" i="19"/>
  <c r="N551" i="19"/>
  <c r="M551" i="19"/>
  <c r="L551" i="19"/>
  <c r="K551" i="19"/>
  <c r="I551" i="19"/>
  <c r="H551" i="19"/>
  <c r="G551" i="19"/>
  <c r="F551" i="19"/>
  <c r="E551" i="19"/>
  <c r="D551" i="19"/>
  <c r="C551" i="19" s="1"/>
  <c r="B551" i="19"/>
  <c r="A551" i="19"/>
  <c r="U550" i="19"/>
  <c r="Q550" i="19" s="1"/>
  <c r="T550" i="19"/>
  <c r="S550" i="19"/>
  <c r="R550" i="19"/>
  <c r="P550" i="19"/>
  <c r="O550" i="19"/>
  <c r="N550" i="19"/>
  <c r="M550" i="19"/>
  <c r="L550" i="19"/>
  <c r="K550" i="19"/>
  <c r="I550" i="19"/>
  <c r="H550" i="19"/>
  <c r="G550" i="19"/>
  <c r="F550" i="19"/>
  <c r="E550" i="19"/>
  <c r="D550" i="19"/>
  <c r="C550" i="19"/>
  <c r="B550" i="19"/>
  <c r="A550" i="19"/>
  <c r="T549" i="19"/>
  <c r="S549" i="19"/>
  <c r="U549" i="19" s="1"/>
  <c r="Q549" i="19" s="1"/>
  <c r="R549" i="19"/>
  <c r="P549" i="19"/>
  <c r="O549" i="19"/>
  <c r="N549" i="19"/>
  <c r="M549" i="19"/>
  <c r="L549" i="19"/>
  <c r="K549" i="19"/>
  <c r="I549" i="19"/>
  <c r="H549" i="19"/>
  <c r="G549" i="19"/>
  <c r="C549" i="19" s="1"/>
  <c r="F549" i="19"/>
  <c r="E549" i="19"/>
  <c r="D549" i="19"/>
  <c r="B549" i="19"/>
  <c r="A549" i="19"/>
  <c r="U548" i="19"/>
  <c r="T548" i="19"/>
  <c r="S548" i="19"/>
  <c r="R548" i="19"/>
  <c r="Q548" i="19"/>
  <c r="P548" i="19"/>
  <c r="O548" i="19"/>
  <c r="N548" i="19"/>
  <c r="M548" i="19"/>
  <c r="L548" i="19"/>
  <c r="K548" i="19"/>
  <c r="J548" i="19"/>
  <c r="I548" i="19"/>
  <c r="H548" i="19"/>
  <c r="G548" i="19"/>
  <c r="F548" i="19"/>
  <c r="E548" i="19"/>
  <c r="C548" i="19" s="1"/>
  <c r="D548" i="19"/>
  <c r="B548" i="19"/>
  <c r="A548" i="19"/>
  <c r="T547" i="19"/>
  <c r="S547" i="19"/>
  <c r="U547" i="19" s="1"/>
  <c r="Q547" i="19" s="1"/>
  <c r="R547" i="19"/>
  <c r="P547" i="19"/>
  <c r="O547" i="19"/>
  <c r="N547" i="19"/>
  <c r="M547" i="19"/>
  <c r="L547" i="19"/>
  <c r="K547" i="19"/>
  <c r="J547" i="19" s="1"/>
  <c r="I547" i="19"/>
  <c r="H547" i="19"/>
  <c r="G547" i="19"/>
  <c r="C547" i="19" s="1"/>
  <c r="F547" i="19"/>
  <c r="E547" i="19"/>
  <c r="D547" i="19"/>
  <c r="B547" i="19"/>
  <c r="A547" i="19"/>
  <c r="T546" i="19"/>
  <c r="S546" i="19"/>
  <c r="R546" i="19"/>
  <c r="P546" i="19"/>
  <c r="O546" i="19"/>
  <c r="N546" i="19"/>
  <c r="M546" i="19"/>
  <c r="J546" i="19" s="1"/>
  <c r="L546" i="19"/>
  <c r="K546" i="19"/>
  <c r="I546" i="19"/>
  <c r="H546" i="19"/>
  <c r="G546" i="19"/>
  <c r="F546" i="19"/>
  <c r="E546" i="19"/>
  <c r="C546" i="19" s="1"/>
  <c r="D546" i="19"/>
  <c r="B546" i="19"/>
  <c r="A546" i="19"/>
  <c r="T545" i="19"/>
  <c r="S545" i="19"/>
  <c r="R545" i="19"/>
  <c r="U545" i="19" s="1"/>
  <c r="Q545" i="19" s="1"/>
  <c r="P545" i="19"/>
  <c r="O545" i="19"/>
  <c r="N545" i="19"/>
  <c r="M545" i="19"/>
  <c r="L545" i="19"/>
  <c r="K545" i="19"/>
  <c r="I545" i="19"/>
  <c r="H545" i="19"/>
  <c r="G545" i="19"/>
  <c r="F545" i="19"/>
  <c r="E545" i="19"/>
  <c r="D545" i="19"/>
  <c r="C545" i="19"/>
  <c r="B545" i="19"/>
  <c r="A545" i="19"/>
  <c r="T544" i="19"/>
  <c r="S544" i="19"/>
  <c r="U544" i="19" s="1"/>
  <c r="Q544" i="19" s="1"/>
  <c r="R544" i="19"/>
  <c r="P544" i="19"/>
  <c r="O544" i="19"/>
  <c r="N544" i="19"/>
  <c r="M544" i="19"/>
  <c r="L544" i="19"/>
  <c r="K544" i="19"/>
  <c r="I544" i="19"/>
  <c r="H544" i="19"/>
  <c r="G544" i="19"/>
  <c r="C544" i="19" s="1"/>
  <c r="F544" i="19"/>
  <c r="E544" i="19"/>
  <c r="D544" i="19"/>
  <c r="B544" i="19"/>
  <c r="A544" i="19"/>
  <c r="U543" i="19"/>
  <c r="Q543" i="19" s="1"/>
  <c r="T543" i="19"/>
  <c r="S543" i="19"/>
  <c r="R543" i="19"/>
  <c r="P543" i="19"/>
  <c r="O543" i="19"/>
  <c r="N543" i="19"/>
  <c r="M543" i="19"/>
  <c r="L543" i="19"/>
  <c r="K543" i="19"/>
  <c r="J543" i="19" s="1"/>
  <c r="I543" i="19"/>
  <c r="H543" i="19"/>
  <c r="G543" i="19"/>
  <c r="F543" i="19"/>
  <c r="E543" i="19"/>
  <c r="D543" i="19"/>
  <c r="B543" i="19"/>
  <c r="A543" i="19"/>
  <c r="U542" i="19"/>
  <c r="Q542" i="19" s="1"/>
  <c r="T542" i="19"/>
  <c r="S542" i="19"/>
  <c r="R542" i="19"/>
  <c r="P542" i="19"/>
  <c r="O542" i="19"/>
  <c r="N542" i="19"/>
  <c r="M542" i="19"/>
  <c r="L542" i="19"/>
  <c r="K542" i="19"/>
  <c r="I542" i="19"/>
  <c r="H542" i="19"/>
  <c r="G542" i="19"/>
  <c r="F542" i="19"/>
  <c r="E542" i="19"/>
  <c r="D542" i="19"/>
  <c r="C542" i="19"/>
  <c r="B542" i="19"/>
  <c r="A542" i="19"/>
  <c r="T541" i="19"/>
  <c r="S541" i="19"/>
  <c r="R541" i="19"/>
  <c r="P541" i="19"/>
  <c r="O541" i="19"/>
  <c r="N541" i="19"/>
  <c r="M541" i="19"/>
  <c r="J541" i="19" s="1"/>
  <c r="L541" i="19"/>
  <c r="K541" i="19"/>
  <c r="I541" i="19"/>
  <c r="H541" i="19"/>
  <c r="G541" i="19"/>
  <c r="F541" i="19"/>
  <c r="E541" i="19"/>
  <c r="D541" i="19"/>
  <c r="B541" i="19"/>
  <c r="A541" i="19"/>
  <c r="T540" i="19"/>
  <c r="S540" i="19"/>
  <c r="U540" i="19" s="1"/>
  <c r="R540" i="19"/>
  <c r="Q540" i="19"/>
  <c r="P540" i="19"/>
  <c r="O540" i="19"/>
  <c r="N540" i="19"/>
  <c r="M540" i="19"/>
  <c r="L540" i="19"/>
  <c r="K540" i="19"/>
  <c r="J540" i="19" s="1"/>
  <c r="I540" i="19"/>
  <c r="H540" i="19"/>
  <c r="G540" i="19"/>
  <c r="F540" i="19"/>
  <c r="E540" i="19"/>
  <c r="D540" i="19"/>
  <c r="C540" i="19" s="1"/>
  <c r="B540" i="19"/>
  <c r="A540" i="19"/>
  <c r="T539" i="19"/>
  <c r="U539" i="19" s="1"/>
  <c r="Q539" i="19" s="1"/>
  <c r="S539" i="19"/>
  <c r="R539" i="19"/>
  <c r="P539" i="19"/>
  <c r="O539" i="19"/>
  <c r="N539" i="19"/>
  <c r="M539" i="19"/>
  <c r="L539" i="19"/>
  <c r="K539" i="19"/>
  <c r="I539" i="19"/>
  <c r="H539" i="19"/>
  <c r="G539" i="19"/>
  <c r="C539" i="19" s="1"/>
  <c r="F539" i="19"/>
  <c r="E539" i="19"/>
  <c r="D539" i="19"/>
  <c r="B539" i="19"/>
  <c r="A539" i="19"/>
  <c r="U538" i="19"/>
  <c r="Q538" i="19" s="1"/>
  <c r="T538" i="19"/>
  <c r="S538" i="19"/>
  <c r="R538" i="19"/>
  <c r="P538" i="19"/>
  <c r="O538" i="19"/>
  <c r="N538" i="19"/>
  <c r="M538" i="19"/>
  <c r="L538" i="19"/>
  <c r="K538" i="19"/>
  <c r="J538" i="19" s="1"/>
  <c r="I538" i="19"/>
  <c r="H538" i="19"/>
  <c r="G538" i="19"/>
  <c r="F538" i="19"/>
  <c r="E538" i="19"/>
  <c r="D538" i="19"/>
  <c r="B538" i="19"/>
  <c r="A538" i="19"/>
  <c r="T537" i="19"/>
  <c r="S537" i="19"/>
  <c r="U537" i="19" s="1"/>
  <c r="Q537" i="19" s="1"/>
  <c r="R537" i="19"/>
  <c r="P537" i="19"/>
  <c r="O537" i="19"/>
  <c r="N537" i="19"/>
  <c r="M537" i="19"/>
  <c r="L537" i="19"/>
  <c r="K537" i="19"/>
  <c r="I537" i="19"/>
  <c r="H537" i="19"/>
  <c r="G537" i="19"/>
  <c r="C537" i="19" s="1"/>
  <c r="F537" i="19"/>
  <c r="E537" i="19"/>
  <c r="D537" i="19"/>
  <c r="B537" i="19"/>
  <c r="A537" i="19"/>
  <c r="T536" i="19"/>
  <c r="S536" i="19"/>
  <c r="R536" i="19"/>
  <c r="P536" i="19"/>
  <c r="O536" i="19"/>
  <c r="N536" i="19"/>
  <c r="M536" i="19"/>
  <c r="J536" i="19" s="1"/>
  <c r="L536" i="19"/>
  <c r="K536" i="19"/>
  <c r="I536" i="19"/>
  <c r="H536" i="19"/>
  <c r="G536" i="19"/>
  <c r="F536" i="19"/>
  <c r="E536" i="19"/>
  <c r="D536" i="19"/>
  <c r="B536" i="19"/>
  <c r="A536" i="19"/>
  <c r="T535" i="19"/>
  <c r="S535" i="19"/>
  <c r="U535" i="19" s="1"/>
  <c r="Q535" i="19" s="1"/>
  <c r="R535" i="19"/>
  <c r="P535" i="19"/>
  <c r="O535" i="19"/>
  <c r="N535" i="19"/>
  <c r="M535" i="19"/>
  <c r="L535" i="19"/>
  <c r="K535" i="19"/>
  <c r="I535" i="19"/>
  <c r="H535" i="19"/>
  <c r="G535" i="19"/>
  <c r="F535" i="19"/>
  <c r="E535" i="19"/>
  <c r="D535" i="19"/>
  <c r="C535" i="19" s="1"/>
  <c r="B535" i="19"/>
  <c r="A535" i="19"/>
  <c r="U534" i="19"/>
  <c r="Q534" i="19" s="1"/>
  <c r="T534" i="19"/>
  <c r="S534" i="19"/>
  <c r="R534" i="19"/>
  <c r="P534" i="19"/>
  <c r="O534" i="19"/>
  <c r="N534" i="19"/>
  <c r="M534" i="19"/>
  <c r="L534" i="19"/>
  <c r="K534" i="19"/>
  <c r="I534" i="19"/>
  <c r="C534" i="19" s="1"/>
  <c r="H534" i="19"/>
  <c r="G534" i="19"/>
  <c r="F534" i="19"/>
  <c r="E534" i="19"/>
  <c r="D534" i="19"/>
  <c r="B534" i="19"/>
  <c r="A534" i="19"/>
  <c r="T533" i="19"/>
  <c r="S533" i="19"/>
  <c r="R533" i="19"/>
  <c r="U533" i="19" s="1"/>
  <c r="Q533" i="19" s="1"/>
  <c r="P533" i="19"/>
  <c r="O533" i="19"/>
  <c r="N533" i="19"/>
  <c r="M533" i="19"/>
  <c r="L533" i="19"/>
  <c r="K533" i="19"/>
  <c r="I533" i="19"/>
  <c r="H533" i="19"/>
  <c r="G533" i="19"/>
  <c r="F533" i="19"/>
  <c r="E533" i="19"/>
  <c r="D533" i="19"/>
  <c r="B533" i="19"/>
  <c r="A533" i="19"/>
  <c r="U532" i="19"/>
  <c r="Q532" i="19" s="1"/>
  <c r="T532" i="19"/>
  <c r="S532" i="19"/>
  <c r="R532" i="19"/>
  <c r="P532" i="19"/>
  <c r="O532" i="19"/>
  <c r="N532" i="19"/>
  <c r="M532" i="19"/>
  <c r="L532" i="19"/>
  <c r="K532" i="19"/>
  <c r="I532" i="19"/>
  <c r="C532" i="19" s="1"/>
  <c r="H532" i="19"/>
  <c r="G532" i="19"/>
  <c r="F532" i="19"/>
  <c r="E532" i="19"/>
  <c r="D532" i="19"/>
  <c r="B532" i="19"/>
  <c r="A532" i="19"/>
  <c r="T531" i="19"/>
  <c r="S531" i="19"/>
  <c r="U531" i="19" s="1"/>
  <c r="R531" i="19"/>
  <c r="Q531" i="19"/>
  <c r="V531" i="19" s="1"/>
  <c r="P531" i="19"/>
  <c r="O531" i="19"/>
  <c r="N531" i="19"/>
  <c r="M531" i="19"/>
  <c r="J531" i="19" s="1"/>
  <c r="L531" i="19"/>
  <c r="K531" i="19"/>
  <c r="I531" i="19"/>
  <c r="H531" i="19"/>
  <c r="G531" i="19"/>
  <c r="F531" i="19"/>
  <c r="E531" i="19"/>
  <c r="C531" i="19" s="1"/>
  <c r="D531" i="19"/>
  <c r="B531" i="19"/>
  <c r="A531" i="19"/>
  <c r="T530" i="19"/>
  <c r="S530" i="19"/>
  <c r="U530" i="19" s="1"/>
  <c r="R530" i="19"/>
  <c r="Q530" i="19"/>
  <c r="P530" i="19"/>
  <c r="O530" i="19"/>
  <c r="N530" i="19"/>
  <c r="M530" i="19"/>
  <c r="L530" i="19"/>
  <c r="K530" i="19"/>
  <c r="I530" i="19"/>
  <c r="H530" i="19"/>
  <c r="G530" i="19"/>
  <c r="F530" i="19"/>
  <c r="E530" i="19"/>
  <c r="D530" i="19"/>
  <c r="C530" i="19"/>
  <c r="B530" i="19"/>
  <c r="A530" i="19"/>
  <c r="U529" i="19"/>
  <c r="Q529" i="19" s="1"/>
  <c r="T529" i="19"/>
  <c r="S529" i="19"/>
  <c r="R529" i="19"/>
  <c r="P529" i="19"/>
  <c r="O529" i="19"/>
  <c r="N529" i="19"/>
  <c r="M529" i="19"/>
  <c r="L529" i="19"/>
  <c r="K529" i="19"/>
  <c r="J529" i="19" s="1"/>
  <c r="I529" i="19"/>
  <c r="C529" i="19" s="1"/>
  <c r="H529" i="19"/>
  <c r="G529" i="19"/>
  <c r="F529" i="19"/>
  <c r="E529" i="19"/>
  <c r="D529" i="19"/>
  <c r="B529" i="19"/>
  <c r="A529" i="19"/>
  <c r="T528" i="19"/>
  <c r="S528" i="19"/>
  <c r="U528" i="19" s="1"/>
  <c r="Q528" i="19" s="1"/>
  <c r="R528" i="19"/>
  <c r="P528" i="19"/>
  <c r="O528" i="19"/>
  <c r="N528" i="19"/>
  <c r="M528" i="19"/>
  <c r="L528" i="19"/>
  <c r="K528" i="19"/>
  <c r="I528" i="19"/>
  <c r="H528" i="19"/>
  <c r="G528" i="19"/>
  <c r="C528" i="19" s="1"/>
  <c r="F528" i="19"/>
  <c r="E528" i="19"/>
  <c r="D528" i="19"/>
  <c r="B528" i="19"/>
  <c r="A528" i="19"/>
  <c r="U527" i="19"/>
  <c r="Q527" i="19" s="1"/>
  <c r="T527" i="19"/>
  <c r="S527" i="19"/>
  <c r="R527" i="19"/>
  <c r="P527" i="19"/>
  <c r="O527" i="19"/>
  <c r="N527" i="19"/>
  <c r="M527" i="19"/>
  <c r="L527" i="19"/>
  <c r="K527" i="19"/>
  <c r="I527" i="19"/>
  <c r="H527" i="19"/>
  <c r="G527" i="19"/>
  <c r="F527" i="19"/>
  <c r="E527" i="19"/>
  <c r="D527" i="19"/>
  <c r="B527" i="19"/>
  <c r="A527" i="19"/>
  <c r="T526" i="19"/>
  <c r="S526" i="19"/>
  <c r="R526" i="19"/>
  <c r="P526" i="19"/>
  <c r="O526" i="19"/>
  <c r="N526" i="19"/>
  <c r="M526" i="19"/>
  <c r="J526" i="19" s="1"/>
  <c r="L526" i="19"/>
  <c r="K526" i="19"/>
  <c r="I526" i="19"/>
  <c r="H526" i="19"/>
  <c r="G526" i="19"/>
  <c r="F526" i="19"/>
  <c r="E526" i="19"/>
  <c r="D526" i="19"/>
  <c r="B526" i="19"/>
  <c r="A526" i="19"/>
  <c r="T525" i="19"/>
  <c r="S525" i="19"/>
  <c r="U525" i="19" s="1"/>
  <c r="Q525" i="19" s="1"/>
  <c r="V525" i="19" s="1"/>
  <c r="R525" i="19"/>
  <c r="P525" i="19"/>
  <c r="O525" i="19"/>
  <c r="N525" i="19"/>
  <c r="M525" i="19"/>
  <c r="L525" i="19"/>
  <c r="K525" i="19"/>
  <c r="J525" i="19" s="1"/>
  <c r="I525" i="19"/>
  <c r="H525" i="19"/>
  <c r="G525" i="19"/>
  <c r="F525" i="19"/>
  <c r="E525" i="19"/>
  <c r="D525" i="19"/>
  <c r="C525" i="19" s="1"/>
  <c r="B525" i="19"/>
  <c r="A525" i="19"/>
  <c r="U524" i="19"/>
  <c r="Q524" i="19" s="1"/>
  <c r="T524" i="19"/>
  <c r="S524" i="19"/>
  <c r="R524" i="19"/>
  <c r="P524" i="19"/>
  <c r="O524" i="19"/>
  <c r="N524" i="19"/>
  <c r="M524" i="19"/>
  <c r="L524" i="19"/>
  <c r="K524" i="19"/>
  <c r="I524" i="19"/>
  <c r="H524" i="19"/>
  <c r="G524" i="19"/>
  <c r="F524" i="19"/>
  <c r="E524" i="19"/>
  <c r="D524" i="19"/>
  <c r="C524" i="19"/>
  <c r="B524" i="19"/>
  <c r="A524" i="19"/>
  <c r="T523" i="19"/>
  <c r="S523" i="19"/>
  <c r="U523" i="19" s="1"/>
  <c r="Q523" i="19" s="1"/>
  <c r="R523" i="19"/>
  <c r="P523" i="19"/>
  <c r="O523" i="19"/>
  <c r="N523" i="19"/>
  <c r="M523" i="19"/>
  <c r="L523" i="19"/>
  <c r="K523" i="19"/>
  <c r="I523" i="19"/>
  <c r="H523" i="19"/>
  <c r="G523" i="19"/>
  <c r="C523" i="19" s="1"/>
  <c r="F523" i="19"/>
  <c r="E523" i="19"/>
  <c r="D523" i="19"/>
  <c r="B523" i="19"/>
  <c r="A523" i="19"/>
  <c r="U522" i="19"/>
  <c r="Q522" i="19" s="1"/>
  <c r="T522" i="19"/>
  <c r="S522" i="19"/>
  <c r="R522" i="19"/>
  <c r="P522" i="19"/>
  <c r="O522" i="19"/>
  <c r="N522" i="19"/>
  <c r="M522" i="19"/>
  <c r="L522" i="19"/>
  <c r="K522" i="19"/>
  <c r="J522" i="19"/>
  <c r="I522" i="19"/>
  <c r="H522" i="19"/>
  <c r="G522" i="19"/>
  <c r="F522" i="19"/>
  <c r="E522" i="19"/>
  <c r="D522" i="19"/>
  <c r="C522" i="19" s="1"/>
  <c r="V522" i="19" s="1"/>
  <c r="B522" i="19"/>
  <c r="A522" i="19"/>
  <c r="T521" i="19"/>
  <c r="S521" i="19"/>
  <c r="R521" i="19"/>
  <c r="P521" i="19"/>
  <c r="O521" i="19"/>
  <c r="N521" i="19"/>
  <c r="M521" i="19"/>
  <c r="L521" i="19"/>
  <c r="K521" i="19"/>
  <c r="I521" i="19"/>
  <c r="H521" i="19"/>
  <c r="G521" i="19"/>
  <c r="F521" i="19"/>
  <c r="E521" i="19"/>
  <c r="D521" i="19"/>
  <c r="B521" i="19"/>
  <c r="A521" i="19"/>
  <c r="T520" i="19"/>
  <c r="S520" i="19"/>
  <c r="U520" i="19" s="1"/>
  <c r="R520" i="19"/>
  <c r="Q520" i="19"/>
  <c r="P520" i="19"/>
  <c r="O520" i="19"/>
  <c r="N520" i="19"/>
  <c r="M520" i="19"/>
  <c r="L520" i="19"/>
  <c r="K520" i="19"/>
  <c r="I520" i="19"/>
  <c r="H520" i="19"/>
  <c r="G520" i="19"/>
  <c r="F520" i="19"/>
  <c r="E520" i="19"/>
  <c r="D520" i="19"/>
  <c r="C520" i="19"/>
  <c r="B520" i="19"/>
  <c r="A520" i="19"/>
  <c r="U519" i="19"/>
  <c r="Q519" i="19" s="1"/>
  <c r="T519" i="19"/>
  <c r="S519" i="19"/>
  <c r="R519" i="19"/>
  <c r="P519" i="19"/>
  <c r="O519" i="19"/>
  <c r="N519" i="19"/>
  <c r="M519" i="19"/>
  <c r="L519" i="19"/>
  <c r="K519" i="19"/>
  <c r="J519" i="19" s="1"/>
  <c r="I519" i="19"/>
  <c r="H519" i="19"/>
  <c r="G519" i="19"/>
  <c r="F519" i="19"/>
  <c r="E519" i="19"/>
  <c r="D519" i="19"/>
  <c r="C519" i="19"/>
  <c r="B519" i="19"/>
  <c r="A519" i="19"/>
  <c r="T518" i="19"/>
  <c r="S518" i="19"/>
  <c r="U518" i="19" s="1"/>
  <c r="Q518" i="19" s="1"/>
  <c r="R518" i="19"/>
  <c r="P518" i="19"/>
  <c r="O518" i="19"/>
  <c r="N518" i="19"/>
  <c r="M518" i="19"/>
  <c r="L518" i="19"/>
  <c r="K518" i="19"/>
  <c r="J518" i="19" s="1"/>
  <c r="I518" i="19"/>
  <c r="H518" i="19"/>
  <c r="G518" i="19"/>
  <c r="C518" i="19" s="1"/>
  <c r="F518" i="19"/>
  <c r="E518" i="19"/>
  <c r="D518" i="19"/>
  <c r="B518" i="19"/>
  <c r="A518" i="19"/>
  <c r="U517" i="19"/>
  <c r="T517" i="19"/>
  <c r="S517" i="19"/>
  <c r="R517" i="19"/>
  <c r="Q517" i="19"/>
  <c r="P517" i="19"/>
  <c r="O517" i="19"/>
  <c r="N517" i="19"/>
  <c r="M517" i="19"/>
  <c r="L517" i="19"/>
  <c r="K517" i="19"/>
  <c r="J517" i="19" s="1"/>
  <c r="I517" i="19"/>
  <c r="H517" i="19"/>
  <c r="G517" i="19"/>
  <c r="F517" i="19"/>
  <c r="E517" i="19"/>
  <c r="D517" i="19"/>
  <c r="B517" i="19"/>
  <c r="A517" i="19"/>
  <c r="U516" i="19"/>
  <c r="Q516" i="19" s="1"/>
  <c r="T516" i="19"/>
  <c r="S516" i="19"/>
  <c r="R516" i="19"/>
  <c r="P516" i="19"/>
  <c r="O516" i="19"/>
  <c r="N516" i="19"/>
  <c r="M516" i="19"/>
  <c r="L516" i="19"/>
  <c r="K516" i="19"/>
  <c r="J516" i="19" s="1"/>
  <c r="I516" i="19"/>
  <c r="H516" i="19"/>
  <c r="G516" i="19"/>
  <c r="C516" i="19" s="1"/>
  <c r="F516" i="19"/>
  <c r="E516" i="19"/>
  <c r="D516" i="19"/>
  <c r="B516" i="19"/>
  <c r="A516" i="19"/>
  <c r="T515" i="19"/>
  <c r="S515" i="19"/>
  <c r="R515" i="19"/>
  <c r="U515" i="19" s="1"/>
  <c r="Q515" i="19"/>
  <c r="P515" i="19"/>
  <c r="O515" i="19"/>
  <c r="N515" i="19"/>
  <c r="M515" i="19"/>
  <c r="L515" i="19"/>
  <c r="K515" i="19"/>
  <c r="I515" i="19"/>
  <c r="H515" i="19"/>
  <c r="G515" i="19"/>
  <c r="F515" i="19"/>
  <c r="E515" i="19"/>
  <c r="D515" i="19"/>
  <c r="C515" i="19" s="1"/>
  <c r="B515" i="19"/>
  <c r="A515" i="19"/>
  <c r="U514" i="19"/>
  <c r="Q514" i="19" s="1"/>
  <c r="T514" i="19"/>
  <c r="S514" i="19"/>
  <c r="R514" i="19"/>
  <c r="P514" i="19"/>
  <c r="O514" i="19"/>
  <c r="N514" i="19"/>
  <c r="M514" i="19"/>
  <c r="L514" i="19"/>
  <c r="K514" i="19"/>
  <c r="I514" i="19"/>
  <c r="H514" i="19"/>
  <c r="G514" i="19"/>
  <c r="F514" i="19"/>
  <c r="E514" i="19"/>
  <c r="D514" i="19"/>
  <c r="C514" i="19"/>
  <c r="B514" i="19"/>
  <c r="A514" i="19"/>
  <c r="T513" i="19"/>
  <c r="S513" i="19"/>
  <c r="U513" i="19" s="1"/>
  <c r="Q513" i="19" s="1"/>
  <c r="R513" i="19"/>
  <c r="P513" i="19"/>
  <c r="O513" i="19"/>
  <c r="N513" i="19"/>
  <c r="M513" i="19"/>
  <c r="L513" i="19"/>
  <c r="K513" i="19"/>
  <c r="I513" i="19"/>
  <c r="H513" i="19"/>
  <c r="G513" i="19"/>
  <c r="C513" i="19" s="1"/>
  <c r="F513" i="19"/>
  <c r="E513" i="19"/>
  <c r="D513" i="19"/>
  <c r="B513" i="19"/>
  <c r="A513" i="19"/>
  <c r="U512" i="19"/>
  <c r="T512" i="19"/>
  <c r="S512" i="19"/>
  <c r="R512" i="19"/>
  <c r="Q512" i="19"/>
  <c r="P512" i="19"/>
  <c r="O512" i="19"/>
  <c r="N512" i="19"/>
  <c r="M512" i="19"/>
  <c r="L512" i="19"/>
  <c r="K512" i="19"/>
  <c r="J512" i="19"/>
  <c r="I512" i="19"/>
  <c r="H512" i="19"/>
  <c r="G512" i="19"/>
  <c r="F512" i="19"/>
  <c r="E512" i="19"/>
  <c r="C512" i="19" s="1"/>
  <c r="D512" i="19"/>
  <c r="B512" i="19"/>
  <c r="A512" i="19"/>
  <c r="T511" i="19"/>
  <c r="U511" i="19" s="1"/>
  <c r="Q511" i="19" s="1"/>
  <c r="S511" i="19"/>
  <c r="R511" i="19"/>
  <c r="P511" i="19"/>
  <c r="O511" i="19"/>
  <c r="N511" i="19"/>
  <c r="M511" i="19"/>
  <c r="L511" i="19"/>
  <c r="K511" i="19"/>
  <c r="J511" i="19" s="1"/>
  <c r="I511" i="19"/>
  <c r="H511" i="19"/>
  <c r="G511" i="19"/>
  <c r="C511" i="19" s="1"/>
  <c r="F511" i="19"/>
  <c r="E511" i="19"/>
  <c r="D511" i="19"/>
  <c r="B511" i="19"/>
  <c r="A511" i="19"/>
  <c r="T510" i="19"/>
  <c r="S510" i="19"/>
  <c r="R510" i="19"/>
  <c r="U510" i="19" s="1"/>
  <c r="Q510" i="19" s="1"/>
  <c r="V510" i="19" s="1"/>
  <c r="P510" i="19"/>
  <c r="O510" i="19"/>
  <c r="N510" i="19"/>
  <c r="M510" i="19"/>
  <c r="J510" i="19" s="1"/>
  <c r="L510" i="19"/>
  <c r="K510" i="19"/>
  <c r="I510" i="19"/>
  <c r="H510" i="19"/>
  <c r="G510" i="19"/>
  <c r="F510" i="19"/>
  <c r="E510" i="19"/>
  <c r="C510" i="19" s="1"/>
  <c r="D510" i="19"/>
  <c r="B510" i="19"/>
  <c r="A510" i="19"/>
  <c r="T509" i="19"/>
  <c r="S509" i="19"/>
  <c r="R509" i="19"/>
  <c r="U509" i="19" s="1"/>
  <c r="Q509" i="19" s="1"/>
  <c r="P509" i="19"/>
  <c r="O509" i="19"/>
  <c r="N509" i="19"/>
  <c r="M509" i="19"/>
  <c r="L509" i="19"/>
  <c r="K509" i="19"/>
  <c r="I509" i="19"/>
  <c r="C509" i="19" s="1"/>
  <c r="H509" i="19"/>
  <c r="G509" i="19"/>
  <c r="F509" i="19"/>
  <c r="E509" i="19"/>
  <c r="D509" i="19"/>
  <c r="B509" i="19"/>
  <c r="A509" i="19"/>
  <c r="T508" i="19"/>
  <c r="S508" i="19"/>
  <c r="U508" i="19" s="1"/>
  <c r="Q508" i="19" s="1"/>
  <c r="R508" i="19"/>
  <c r="P508" i="19"/>
  <c r="O508" i="19"/>
  <c r="N508" i="19"/>
  <c r="M508" i="19"/>
  <c r="L508" i="19"/>
  <c r="K508" i="19"/>
  <c r="I508" i="19"/>
  <c r="H508" i="19"/>
  <c r="G508" i="19"/>
  <c r="C508" i="19" s="1"/>
  <c r="F508" i="19"/>
  <c r="E508" i="19"/>
  <c r="D508" i="19"/>
  <c r="B508" i="19"/>
  <c r="A508" i="19"/>
  <c r="U507" i="19"/>
  <c r="Q507" i="19" s="1"/>
  <c r="T507" i="19"/>
  <c r="S507" i="19"/>
  <c r="R507" i="19"/>
  <c r="P507" i="19"/>
  <c r="O507" i="19"/>
  <c r="N507" i="19"/>
  <c r="M507" i="19"/>
  <c r="L507" i="19"/>
  <c r="K507" i="19"/>
  <c r="J507" i="19" s="1"/>
  <c r="I507" i="19"/>
  <c r="H507" i="19"/>
  <c r="G507" i="19"/>
  <c r="F507" i="19"/>
  <c r="E507" i="19"/>
  <c r="D507" i="19"/>
  <c r="B507" i="19"/>
  <c r="A507" i="19"/>
  <c r="U506" i="19"/>
  <c r="Q506" i="19" s="1"/>
  <c r="T506" i="19"/>
  <c r="S506" i="19"/>
  <c r="R506" i="19"/>
  <c r="P506" i="19"/>
  <c r="O506" i="19"/>
  <c r="N506" i="19"/>
  <c r="M506" i="19"/>
  <c r="L506" i="19"/>
  <c r="K506" i="19"/>
  <c r="I506" i="19"/>
  <c r="H506" i="19"/>
  <c r="G506" i="19"/>
  <c r="F506" i="19"/>
  <c r="E506" i="19"/>
  <c r="D506" i="19"/>
  <c r="C506" i="19"/>
  <c r="B506" i="19"/>
  <c r="A506" i="19"/>
  <c r="T505" i="19"/>
  <c r="S505" i="19"/>
  <c r="R505" i="19"/>
  <c r="P505" i="19"/>
  <c r="O505" i="19"/>
  <c r="N505" i="19"/>
  <c r="M505" i="19"/>
  <c r="J505" i="19" s="1"/>
  <c r="L505" i="19"/>
  <c r="K505" i="19"/>
  <c r="I505" i="19"/>
  <c r="H505" i="19"/>
  <c r="G505" i="19"/>
  <c r="F505" i="19"/>
  <c r="E505" i="19"/>
  <c r="D505" i="19"/>
  <c r="B505" i="19"/>
  <c r="A505" i="19"/>
  <c r="T504" i="19"/>
  <c r="S504" i="19"/>
  <c r="U504" i="19" s="1"/>
  <c r="R504" i="19"/>
  <c r="Q504" i="19"/>
  <c r="P504" i="19"/>
  <c r="O504" i="19"/>
  <c r="N504" i="19"/>
  <c r="M504" i="19"/>
  <c r="L504" i="19"/>
  <c r="K504" i="19"/>
  <c r="J504" i="19" s="1"/>
  <c r="I504" i="19"/>
  <c r="H504" i="19"/>
  <c r="G504" i="19"/>
  <c r="F504" i="19"/>
  <c r="E504" i="19"/>
  <c r="D504" i="19"/>
  <c r="C504" i="19" s="1"/>
  <c r="B504" i="19"/>
  <c r="A504" i="19"/>
  <c r="T503" i="19"/>
  <c r="U503" i="19" s="1"/>
  <c r="Q503" i="19" s="1"/>
  <c r="S503" i="19"/>
  <c r="R503" i="19"/>
  <c r="P503" i="19"/>
  <c r="O503" i="19"/>
  <c r="N503" i="19"/>
  <c r="M503" i="19"/>
  <c r="L503" i="19"/>
  <c r="K503" i="19"/>
  <c r="I503" i="19"/>
  <c r="H503" i="19"/>
  <c r="G503" i="19"/>
  <c r="C503" i="19" s="1"/>
  <c r="F503" i="19"/>
  <c r="E503" i="19"/>
  <c r="D503" i="19"/>
  <c r="B503" i="19"/>
  <c r="A503" i="19"/>
  <c r="U502" i="19"/>
  <c r="Q502" i="19" s="1"/>
  <c r="T502" i="19"/>
  <c r="S502" i="19"/>
  <c r="R502" i="19"/>
  <c r="P502" i="19"/>
  <c r="O502" i="19"/>
  <c r="N502" i="19"/>
  <c r="M502" i="19"/>
  <c r="L502" i="19"/>
  <c r="K502" i="19"/>
  <c r="J502" i="19" s="1"/>
  <c r="I502" i="19"/>
  <c r="H502" i="19"/>
  <c r="G502" i="19"/>
  <c r="F502" i="19"/>
  <c r="E502" i="19"/>
  <c r="D502" i="19"/>
  <c r="B502" i="19"/>
  <c r="A502" i="19"/>
  <c r="T501" i="19"/>
  <c r="S501" i="19"/>
  <c r="U501" i="19" s="1"/>
  <c r="Q501" i="19" s="1"/>
  <c r="R501" i="19"/>
  <c r="P501" i="19"/>
  <c r="O501" i="19"/>
  <c r="N501" i="19"/>
  <c r="M501" i="19"/>
  <c r="L501" i="19"/>
  <c r="K501" i="19"/>
  <c r="I501" i="19"/>
  <c r="H501" i="19"/>
  <c r="G501" i="19"/>
  <c r="C501" i="19" s="1"/>
  <c r="F501" i="19"/>
  <c r="E501" i="19"/>
  <c r="D501" i="19"/>
  <c r="B501" i="19"/>
  <c r="A501" i="19"/>
  <c r="T500" i="19"/>
  <c r="S500" i="19"/>
  <c r="R500" i="19"/>
  <c r="P500" i="19"/>
  <c r="O500" i="19"/>
  <c r="N500" i="19"/>
  <c r="M500" i="19"/>
  <c r="J500" i="19" s="1"/>
  <c r="L500" i="19"/>
  <c r="K500" i="19"/>
  <c r="I500" i="19"/>
  <c r="H500" i="19"/>
  <c r="G500" i="19"/>
  <c r="F500" i="19"/>
  <c r="E500" i="19"/>
  <c r="D500" i="19"/>
  <c r="B500" i="19"/>
  <c r="A500" i="19"/>
  <c r="T499" i="19"/>
  <c r="S499" i="19"/>
  <c r="U499" i="19" s="1"/>
  <c r="Q499" i="19" s="1"/>
  <c r="R499" i="19"/>
  <c r="P499" i="19"/>
  <c r="O499" i="19"/>
  <c r="N499" i="19"/>
  <c r="M499" i="19"/>
  <c r="L499" i="19"/>
  <c r="K499" i="19"/>
  <c r="I499" i="19"/>
  <c r="H499" i="19"/>
  <c r="G499" i="19"/>
  <c r="F499" i="19"/>
  <c r="E499" i="19"/>
  <c r="D499" i="19"/>
  <c r="C499" i="19" s="1"/>
  <c r="B499" i="19"/>
  <c r="A499" i="19"/>
  <c r="U498" i="19"/>
  <c r="Q498" i="19" s="1"/>
  <c r="T498" i="19"/>
  <c r="S498" i="19"/>
  <c r="R498" i="19"/>
  <c r="P498" i="19"/>
  <c r="O498" i="19"/>
  <c r="N498" i="19"/>
  <c r="M498" i="19"/>
  <c r="L498" i="19"/>
  <c r="K498" i="19"/>
  <c r="I498" i="19"/>
  <c r="C498" i="19" s="1"/>
  <c r="H498" i="19"/>
  <c r="G498" i="19"/>
  <c r="F498" i="19"/>
  <c r="E498" i="19"/>
  <c r="D498" i="19"/>
  <c r="B498" i="19"/>
  <c r="A498" i="19"/>
  <c r="T497" i="19"/>
  <c r="S497" i="19"/>
  <c r="R497" i="19"/>
  <c r="U497" i="19" s="1"/>
  <c r="Q497" i="19" s="1"/>
  <c r="P497" i="19"/>
  <c r="O497" i="19"/>
  <c r="N497" i="19"/>
  <c r="M497" i="19"/>
  <c r="L497" i="19"/>
  <c r="K497" i="19"/>
  <c r="I497" i="19"/>
  <c r="H497" i="19"/>
  <c r="G497" i="19"/>
  <c r="F497" i="19"/>
  <c r="E497" i="19"/>
  <c r="D497" i="19"/>
  <c r="B497" i="19"/>
  <c r="A497" i="19"/>
  <c r="U496" i="19"/>
  <c r="Q496" i="19" s="1"/>
  <c r="T496" i="19"/>
  <c r="S496" i="19"/>
  <c r="R496" i="19"/>
  <c r="P496" i="19"/>
  <c r="O496" i="19"/>
  <c r="N496" i="19"/>
  <c r="M496" i="19"/>
  <c r="L496" i="19"/>
  <c r="K496" i="19"/>
  <c r="I496" i="19"/>
  <c r="C496" i="19" s="1"/>
  <c r="H496" i="19"/>
  <c r="G496" i="19"/>
  <c r="F496" i="19"/>
  <c r="E496" i="19"/>
  <c r="D496" i="19"/>
  <c r="B496" i="19"/>
  <c r="A496" i="19"/>
  <c r="T495" i="19"/>
  <c r="S495" i="19"/>
  <c r="U495" i="19" s="1"/>
  <c r="R495" i="19"/>
  <c r="Q495" i="19"/>
  <c r="V495" i="19" s="1"/>
  <c r="P495" i="19"/>
  <c r="O495" i="19"/>
  <c r="N495" i="19"/>
  <c r="M495" i="19"/>
  <c r="J495" i="19" s="1"/>
  <c r="L495" i="19"/>
  <c r="K495" i="19"/>
  <c r="I495" i="19"/>
  <c r="H495" i="19"/>
  <c r="G495" i="19"/>
  <c r="F495" i="19"/>
  <c r="E495" i="19"/>
  <c r="C495" i="19" s="1"/>
  <c r="D495" i="19"/>
  <c r="B495" i="19"/>
  <c r="A495" i="19"/>
  <c r="T494" i="19"/>
  <c r="S494" i="19"/>
  <c r="U494" i="19" s="1"/>
  <c r="R494" i="19"/>
  <c r="Q494" i="19"/>
  <c r="P494" i="19"/>
  <c r="O494" i="19"/>
  <c r="N494" i="19"/>
  <c r="M494" i="19"/>
  <c r="L494" i="19"/>
  <c r="K494" i="19"/>
  <c r="I494" i="19"/>
  <c r="H494" i="19"/>
  <c r="G494" i="19"/>
  <c r="F494" i="19"/>
  <c r="E494" i="19"/>
  <c r="D494" i="19"/>
  <c r="C494" i="19"/>
  <c r="B494" i="19"/>
  <c r="A494" i="19"/>
  <c r="U493" i="19"/>
  <c r="Q493" i="19" s="1"/>
  <c r="T493" i="19"/>
  <c r="S493" i="19"/>
  <c r="R493" i="19"/>
  <c r="P493" i="19"/>
  <c r="O493" i="19"/>
  <c r="N493" i="19"/>
  <c r="M493" i="19"/>
  <c r="L493" i="19"/>
  <c r="K493" i="19"/>
  <c r="J493" i="19" s="1"/>
  <c r="I493" i="19"/>
  <c r="C493" i="19" s="1"/>
  <c r="H493" i="19"/>
  <c r="G493" i="19"/>
  <c r="F493" i="19"/>
  <c r="E493" i="19"/>
  <c r="D493" i="19"/>
  <c r="B493" i="19"/>
  <c r="A493" i="19"/>
  <c r="T492" i="19"/>
  <c r="S492" i="19"/>
  <c r="U492" i="19" s="1"/>
  <c r="Q492" i="19" s="1"/>
  <c r="R492" i="19"/>
  <c r="P492" i="19"/>
  <c r="O492" i="19"/>
  <c r="N492" i="19"/>
  <c r="M492" i="19"/>
  <c r="L492" i="19"/>
  <c r="K492" i="19"/>
  <c r="I492" i="19"/>
  <c r="H492" i="19"/>
  <c r="G492" i="19"/>
  <c r="C492" i="19" s="1"/>
  <c r="F492" i="19"/>
  <c r="E492" i="19"/>
  <c r="D492" i="19"/>
  <c r="B492" i="19"/>
  <c r="A492" i="19"/>
  <c r="U491" i="19"/>
  <c r="Q491" i="19" s="1"/>
  <c r="T491" i="19"/>
  <c r="S491" i="19"/>
  <c r="R491" i="19"/>
  <c r="P491" i="19"/>
  <c r="O491" i="19"/>
  <c r="N491" i="19"/>
  <c r="M491" i="19"/>
  <c r="L491" i="19"/>
  <c r="K491" i="19"/>
  <c r="I491" i="19"/>
  <c r="H491" i="19"/>
  <c r="G491" i="19"/>
  <c r="C491" i="19" s="1"/>
  <c r="F491" i="19"/>
  <c r="E491" i="19"/>
  <c r="D491" i="19"/>
  <c r="B491" i="19"/>
  <c r="A491" i="19"/>
  <c r="T490" i="19"/>
  <c r="S490" i="19"/>
  <c r="R490" i="19"/>
  <c r="U490" i="19" s="1"/>
  <c r="Q490" i="19" s="1"/>
  <c r="V490" i="19" s="1"/>
  <c r="P490" i="19"/>
  <c r="O490" i="19"/>
  <c r="N490" i="19"/>
  <c r="M490" i="19"/>
  <c r="J490" i="19" s="1"/>
  <c r="L490" i="19"/>
  <c r="K490" i="19"/>
  <c r="I490" i="19"/>
  <c r="H490" i="19"/>
  <c r="G490" i="19"/>
  <c r="F490" i="19"/>
  <c r="E490" i="19"/>
  <c r="C490" i="19" s="1"/>
  <c r="D490" i="19"/>
  <c r="B490" i="19"/>
  <c r="A490" i="19"/>
  <c r="T489" i="19"/>
  <c r="S489" i="19"/>
  <c r="U489" i="19" s="1"/>
  <c r="Q489" i="19" s="1"/>
  <c r="R489" i="19"/>
  <c r="P489" i="19"/>
  <c r="O489" i="19"/>
  <c r="N489" i="19"/>
  <c r="M489" i="19"/>
  <c r="L489" i="19"/>
  <c r="K489" i="19"/>
  <c r="J489" i="19" s="1"/>
  <c r="I489" i="19"/>
  <c r="H489" i="19"/>
  <c r="G489" i="19"/>
  <c r="F489" i="19"/>
  <c r="E489" i="19"/>
  <c r="D489" i="19"/>
  <c r="C489" i="19" s="1"/>
  <c r="B489" i="19"/>
  <c r="A489" i="19"/>
  <c r="U488" i="19"/>
  <c r="Q488" i="19" s="1"/>
  <c r="T488" i="19"/>
  <c r="S488" i="19"/>
  <c r="R488" i="19"/>
  <c r="P488" i="19"/>
  <c r="O488" i="19"/>
  <c r="N488" i="19"/>
  <c r="M488" i="19"/>
  <c r="L488" i="19"/>
  <c r="K488" i="19"/>
  <c r="I488" i="19"/>
  <c r="H488" i="19"/>
  <c r="G488" i="19"/>
  <c r="F488" i="19"/>
  <c r="E488" i="19"/>
  <c r="D488" i="19"/>
  <c r="C488" i="19"/>
  <c r="B488" i="19"/>
  <c r="A488" i="19"/>
  <c r="T487" i="19"/>
  <c r="S487" i="19"/>
  <c r="U487" i="19" s="1"/>
  <c r="Q487" i="19" s="1"/>
  <c r="R487" i="19"/>
  <c r="P487" i="19"/>
  <c r="O487" i="19"/>
  <c r="N487" i="19"/>
  <c r="M487" i="19"/>
  <c r="L487" i="19"/>
  <c r="K487" i="19"/>
  <c r="I487" i="19"/>
  <c r="H487" i="19"/>
  <c r="G487" i="19"/>
  <c r="C487" i="19" s="1"/>
  <c r="F487" i="19"/>
  <c r="E487" i="19"/>
  <c r="D487" i="19"/>
  <c r="B487" i="19"/>
  <c r="A487" i="19"/>
  <c r="U486" i="19"/>
  <c r="Q486" i="19" s="1"/>
  <c r="V486" i="19" s="1"/>
  <c r="T486" i="19"/>
  <c r="S486" i="19"/>
  <c r="R486" i="19"/>
  <c r="P486" i="19"/>
  <c r="O486" i="19"/>
  <c r="N486" i="19"/>
  <c r="M486" i="19"/>
  <c r="L486" i="19"/>
  <c r="K486" i="19"/>
  <c r="J486" i="19"/>
  <c r="I486" i="19"/>
  <c r="H486" i="19"/>
  <c r="G486" i="19"/>
  <c r="F486" i="19"/>
  <c r="E486" i="19"/>
  <c r="D486" i="19"/>
  <c r="C486" i="19" s="1"/>
  <c r="B486" i="19"/>
  <c r="A486" i="19"/>
  <c r="T485" i="19"/>
  <c r="S485" i="19"/>
  <c r="R485" i="19"/>
  <c r="P485" i="19"/>
  <c r="O485" i="19"/>
  <c r="N485" i="19"/>
  <c r="M485" i="19"/>
  <c r="L485" i="19"/>
  <c r="K485" i="19"/>
  <c r="I485" i="19"/>
  <c r="H485" i="19"/>
  <c r="G485" i="19"/>
  <c r="F485" i="19"/>
  <c r="E485" i="19"/>
  <c r="D485" i="19"/>
  <c r="B485" i="19"/>
  <c r="A485" i="19"/>
  <c r="T484" i="19"/>
  <c r="S484" i="19"/>
  <c r="U484" i="19" s="1"/>
  <c r="R484" i="19"/>
  <c r="Q484" i="19"/>
  <c r="P484" i="19"/>
  <c r="O484" i="19"/>
  <c r="N484" i="19"/>
  <c r="M484" i="19"/>
  <c r="L484" i="19"/>
  <c r="K484" i="19"/>
  <c r="I484" i="19"/>
  <c r="H484" i="19"/>
  <c r="G484" i="19"/>
  <c r="F484" i="19"/>
  <c r="E484" i="19"/>
  <c r="D484" i="19"/>
  <c r="C484" i="19"/>
  <c r="B484" i="19"/>
  <c r="A484" i="19"/>
  <c r="U483" i="19"/>
  <c r="Q483" i="19" s="1"/>
  <c r="T483" i="19"/>
  <c r="S483" i="19"/>
  <c r="R483" i="19"/>
  <c r="P483" i="19"/>
  <c r="O483" i="19"/>
  <c r="N483" i="19"/>
  <c r="M483" i="19"/>
  <c r="L483" i="19"/>
  <c r="K483" i="19"/>
  <c r="J483" i="19" s="1"/>
  <c r="I483" i="19"/>
  <c r="H483" i="19"/>
  <c r="G483" i="19"/>
  <c r="F483" i="19"/>
  <c r="E483" i="19"/>
  <c r="D483" i="19"/>
  <c r="C483" i="19"/>
  <c r="B483" i="19"/>
  <c r="A483" i="19"/>
  <c r="T482" i="19"/>
  <c r="S482" i="19"/>
  <c r="U482" i="19" s="1"/>
  <c r="Q482" i="19" s="1"/>
  <c r="R482" i="19"/>
  <c r="P482" i="19"/>
  <c r="O482" i="19"/>
  <c r="N482" i="19"/>
  <c r="M482" i="19"/>
  <c r="L482" i="19"/>
  <c r="K482" i="19"/>
  <c r="J482" i="19" s="1"/>
  <c r="I482" i="19"/>
  <c r="H482" i="19"/>
  <c r="G482" i="19"/>
  <c r="C482" i="19" s="1"/>
  <c r="F482" i="19"/>
  <c r="E482" i="19"/>
  <c r="D482" i="19"/>
  <c r="B482" i="19"/>
  <c r="A482" i="19"/>
  <c r="U481" i="19"/>
  <c r="T481" i="19"/>
  <c r="S481" i="19"/>
  <c r="R481" i="19"/>
  <c r="Q481" i="19"/>
  <c r="P481" i="19"/>
  <c r="O481" i="19"/>
  <c r="N481" i="19"/>
  <c r="M481" i="19"/>
  <c r="L481" i="19"/>
  <c r="K481" i="19"/>
  <c r="J481" i="19" s="1"/>
  <c r="I481" i="19"/>
  <c r="H481" i="19"/>
  <c r="G481" i="19"/>
  <c r="F481" i="19"/>
  <c r="E481" i="19"/>
  <c r="D481" i="19"/>
  <c r="B481" i="19"/>
  <c r="A481" i="19"/>
  <c r="U480" i="19"/>
  <c r="Q480" i="19" s="1"/>
  <c r="T480" i="19"/>
  <c r="S480" i="19"/>
  <c r="R480" i="19"/>
  <c r="P480" i="19"/>
  <c r="O480" i="19"/>
  <c r="N480" i="19"/>
  <c r="M480" i="19"/>
  <c r="L480" i="19"/>
  <c r="K480" i="19"/>
  <c r="J480" i="19" s="1"/>
  <c r="I480" i="19"/>
  <c r="H480" i="19"/>
  <c r="G480" i="19"/>
  <c r="C480" i="19" s="1"/>
  <c r="F480" i="19"/>
  <c r="E480" i="19"/>
  <c r="D480" i="19"/>
  <c r="B480" i="19"/>
  <c r="A480" i="19"/>
  <c r="T479" i="19"/>
  <c r="S479" i="19"/>
  <c r="R479" i="19"/>
  <c r="U479" i="19" s="1"/>
  <c r="Q479" i="19"/>
  <c r="P479" i="19"/>
  <c r="O479" i="19"/>
  <c r="N479" i="19"/>
  <c r="M479" i="19"/>
  <c r="L479" i="19"/>
  <c r="K479" i="19"/>
  <c r="I479" i="19"/>
  <c r="H479" i="19"/>
  <c r="G479" i="19"/>
  <c r="F479" i="19"/>
  <c r="E479" i="19"/>
  <c r="D479" i="19"/>
  <c r="C479" i="19" s="1"/>
  <c r="B479" i="19"/>
  <c r="A479" i="19"/>
  <c r="U478" i="19"/>
  <c r="Q478" i="19" s="1"/>
  <c r="T478" i="19"/>
  <c r="S478" i="19"/>
  <c r="R478" i="19"/>
  <c r="P478" i="19"/>
  <c r="O478" i="19"/>
  <c r="N478" i="19"/>
  <c r="M478" i="19"/>
  <c r="L478" i="19"/>
  <c r="K478" i="19"/>
  <c r="I478" i="19"/>
  <c r="H478" i="19"/>
  <c r="G478" i="19"/>
  <c r="F478" i="19"/>
  <c r="E478" i="19"/>
  <c r="D478" i="19"/>
  <c r="C478" i="19"/>
  <c r="B478" i="19"/>
  <c r="A478" i="19"/>
  <c r="T477" i="19"/>
  <c r="S477" i="19"/>
  <c r="U477" i="19" s="1"/>
  <c r="Q477" i="19" s="1"/>
  <c r="R477" i="19"/>
  <c r="P477" i="19"/>
  <c r="O477" i="19"/>
  <c r="N477" i="19"/>
  <c r="M477" i="19"/>
  <c r="L477" i="19"/>
  <c r="K477" i="19"/>
  <c r="I477" i="19"/>
  <c r="H477" i="19"/>
  <c r="G477" i="19"/>
  <c r="C477" i="19" s="1"/>
  <c r="F477" i="19"/>
  <c r="E477" i="19"/>
  <c r="D477" i="19"/>
  <c r="B477" i="19"/>
  <c r="A477" i="19"/>
  <c r="U476" i="19"/>
  <c r="T476" i="19"/>
  <c r="S476" i="19"/>
  <c r="R476" i="19"/>
  <c r="Q476" i="19"/>
  <c r="P476" i="19"/>
  <c r="O476" i="19"/>
  <c r="N476" i="19"/>
  <c r="M476" i="19"/>
  <c r="L476" i="19"/>
  <c r="K476" i="19"/>
  <c r="J476" i="19"/>
  <c r="I476" i="19"/>
  <c r="H476" i="19"/>
  <c r="G476" i="19"/>
  <c r="F476" i="19"/>
  <c r="E476" i="19"/>
  <c r="C476" i="19" s="1"/>
  <c r="D476" i="19"/>
  <c r="B476" i="19"/>
  <c r="A476" i="19"/>
  <c r="T475" i="19"/>
  <c r="U475" i="19" s="1"/>
  <c r="Q475" i="19" s="1"/>
  <c r="V475" i="19" s="1"/>
  <c r="S475" i="19"/>
  <c r="R475" i="19"/>
  <c r="P475" i="19"/>
  <c r="O475" i="19"/>
  <c r="N475" i="19"/>
  <c r="M475" i="19"/>
  <c r="L475" i="19"/>
  <c r="K475" i="19"/>
  <c r="J475" i="19" s="1"/>
  <c r="I475" i="19"/>
  <c r="H475" i="19"/>
  <c r="G475" i="19"/>
  <c r="C475" i="19" s="1"/>
  <c r="F475" i="19"/>
  <c r="E475" i="19"/>
  <c r="D475" i="19"/>
  <c r="B475" i="19"/>
  <c r="A475" i="19"/>
  <c r="T474" i="19"/>
  <c r="S474" i="19"/>
  <c r="R474" i="19"/>
  <c r="U474" i="19" s="1"/>
  <c r="Q474" i="19" s="1"/>
  <c r="P474" i="19"/>
  <c r="O474" i="19"/>
  <c r="N474" i="19"/>
  <c r="M474" i="19"/>
  <c r="L474" i="19"/>
  <c r="K474" i="19"/>
  <c r="I474" i="19"/>
  <c r="H474" i="19"/>
  <c r="G474" i="19"/>
  <c r="F474" i="19"/>
  <c r="E474" i="19"/>
  <c r="C474" i="19" s="1"/>
  <c r="D474" i="19"/>
  <c r="B474" i="19"/>
  <c r="A474" i="19"/>
  <c r="T473" i="19"/>
  <c r="S473" i="19"/>
  <c r="R473" i="19"/>
  <c r="U473" i="19" s="1"/>
  <c r="Q473" i="19" s="1"/>
  <c r="P473" i="19"/>
  <c r="O473" i="19"/>
  <c r="N473" i="19"/>
  <c r="M473" i="19"/>
  <c r="L473" i="19"/>
  <c r="K473" i="19"/>
  <c r="I473" i="19"/>
  <c r="H473" i="19"/>
  <c r="G473" i="19"/>
  <c r="F473" i="19"/>
  <c r="E473" i="19"/>
  <c r="D473" i="19"/>
  <c r="C473" i="19"/>
  <c r="B473" i="19"/>
  <c r="A473" i="19"/>
  <c r="T472" i="19"/>
  <c r="S472" i="19"/>
  <c r="U472" i="19" s="1"/>
  <c r="Q472" i="19" s="1"/>
  <c r="R472" i="19"/>
  <c r="P472" i="19"/>
  <c r="O472" i="19"/>
  <c r="N472" i="19"/>
  <c r="M472" i="19"/>
  <c r="L472" i="19"/>
  <c r="K472" i="19"/>
  <c r="I472" i="19"/>
  <c r="H472" i="19"/>
  <c r="G472" i="19"/>
  <c r="C472" i="19" s="1"/>
  <c r="F472" i="19"/>
  <c r="E472" i="19"/>
  <c r="D472" i="19"/>
  <c r="B472" i="19"/>
  <c r="A472" i="19"/>
  <c r="U471" i="19"/>
  <c r="Q471" i="19" s="1"/>
  <c r="T471" i="19"/>
  <c r="S471" i="19"/>
  <c r="R471" i="19"/>
  <c r="P471" i="19"/>
  <c r="O471" i="19"/>
  <c r="N471" i="19"/>
  <c r="M471" i="19"/>
  <c r="L471" i="19"/>
  <c r="K471" i="19"/>
  <c r="J471" i="19" s="1"/>
  <c r="I471" i="19"/>
  <c r="H471" i="19"/>
  <c r="G471" i="19"/>
  <c r="F471" i="19"/>
  <c r="E471" i="19"/>
  <c r="D471" i="19"/>
  <c r="B471" i="19"/>
  <c r="A471" i="19"/>
  <c r="U470" i="19"/>
  <c r="Q470" i="19" s="1"/>
  <c r="T470" i="19"/>
  <c r="S470" i="19"/>
  <c r="R470" i="19"/>
  <c r="P470" i="19"/>
  <c r="O470" i="19"/>
  <c r="N470" i="19"/>
  <c r="M470" i="19"/>
  <c r="L470" i="19"/>
  <c r="K470" i="19"/>
  <c r="I470" i="19"/>
  <c r="H470" i="19"/>
  <c r="G470" i="19"/>
  <c r="F470" i="19"/>
  <c r="E470" i="19"/>
  <c r="D470" i="19"/>
  <c r="C470" i="19"/>
  <c r="B470" i="19"/>
  <c r="A470" i="19"/>
  <c r="T469" i="19"/>
  <c r="S469" i="19"/>
  <c r="R469" i="19"/>
  <c r="P469" i="19"/>
  <c r="O469" i="19"/>
  <c r="N469" i="19"/>
  <c r="M469" i="19"/>
  <c r="J469" i="19" s="1"/>
  <c r="L469" i="19"/>
  <c r="K469" i="19"/>
  <c r="I469" i="19"/>
  <c r="H469" i="19"/>
  <c r="G469" i="19"/>
  <c r="F469" i="19"/>
  <c r="E469" i="19"/>
  <c r="D469" i="19"/>
  <c r="B469" i="19"/>
  <c r="A469" i="19"/>
  <c r="T468" i="19"/>
  <c r="S468" i="19"/>
  <c r="U468" i="19" s="1"/>
  <c r="R468" i="19"/>
  <c r="Q468" i="19"/>
  <c r="P468" i="19"/>
  <c r="O468" i="19"/>
  <c r="N468" i="19"/>
  <c r="M468" i="19"/>
  <c r="L468" i="19"/>
  <c r="K468" i="19"/>
  <c r="J468" i="19" s="1"/>
  <c r="I468" i="19"/>
  <c r="H468" i="19"/>
  <c r="G468" i="19"/>
  <c r="F468" i="19"/>
  <c r="E468" i="19"/>
  <c r="D468" i="19"/>
  <c r="C468" i="19" s="1"/>
  <c r="B468" i="19"/>
  <c r="A468" i="19"/>
  <c r="T467" i="19"/>
  <c r="U467" i="19" s="1"/>
  <c r="Q467" i="19" s="1"/>
  <c r="S467" i="19"/>
  <c r="R467" i="19"/>
  <c r="P467" i="19"/>
  <c r="O467" i="19"/>
  <c r="N467" i="19"/>
  <c r="M467" i="19"/>
  <c r="L467" i="19"/>
  <c r="K467" i="19"/>
  <c r="I467" i="19"/>
  <c r="H467" i="19"/>
  <c r="G467" i="19"/>
  <c r="C467" i="19" s="1"/>
  <c r="F467" i="19"/>
  <c r="E467" i="19"/>
  <c r="D467" i="19"/>
  <c r="B467" i="19"/>
  <c r="A467" i="19"/>
  <c r="U466" i="19"/>
  <c r="Q466" i="19" s="1"/>
  <c r="T466" i="19"/>
  <c r="S466" i="19"/>
  <c r="R466" i="19"/>
  <c r="P466" i="19"/>
  <c r="O466" i="19"/>
  <c r="N466" i="19"/>
  <c r="M466" i="19"/>
  <c r="L466" i="19"/>
  <c r="K466" i="19"/>
  <c r="J466" i="19" s="1"/>
  <c r="I466" i="19"/>
  <c r="H466" i="19"/>
  <c r="G466" i="19"/>
  <c r="F466" i="19"/>
  <c r="E466" i="19"/>
  <c r="D466" i="19"/>
  <c r="B466" i="19"/>
  <c r="A466" i="19"/>
  <c r="T465" i="19"/>
  <c r="S465" i="19"/>
  <c r="U465" i="19" s="1"/>
  <c r="Q465" i="19" s="1"/>
  <c r="R465" i="19"/>
  <c r="P465" i="19"/>
  <c r="O465" i="19"/>
  <c r="N465" i="19"/>
  <c r="M465" i="19"/>
  <c r="L465" i="19"/>
  <c r="K465" i="19"/>
  <c r="I465" i="19"/>
  <c r="H465" i="19"/>
  <c r="G465" i="19"/>
  <c r="C465" i="19" s="1"/>
  <c r="F465" i="19"/>
  <c r="E465" i="19"/>
  <c r="D465" i="19"/>
  <c r="B465" i="19"/>
  <c r="A465" i="19"/>
  <c r="T464" i="19"/>
  <c r="S464" i="19"/>
  <c r="R464" i="19"/>
  <c r="P464" i="19"/>
  <c r="O464" i="19"/>
  <c r="N464" i="19"/>
  <c r="M464" i="19"/>
  <c r="J464" i="19" s="1"/>
  <c r="L464" i="19"/>
  <c r="K464" i="19"/>
  <c r="I464" i="19"/>
  <c r="H464" i="19"/>
  <c r="G464" i="19"/>
  <c r="F464" i="19"/>
  <c r="E464" i="19"/>
  <c r="D464" i="19"/>
  <c r="B464" i="19"/>
  <c r="A464" i="19"/>
  <c r="T463" i="19"/>
  <c r="S463" i="19"/>
  <c r="U463" i="19" s="1"/>
  <c r="Q463" i="19" s="1"/>
  <c r="R463" i="19"/>
  <c r="P463" i="19"/>
  <c r="O463" i="19"/>
  <c r="N463" i="19"/>
  <c r="M463" i="19"/>
  <c r="L463" i="19"/>
  <c r="K463" i="19"/>
  <c r="I463" i="19"/>
  <c r="H463" i="19"/>
  <c r="G463" i="19"/>
  <c r="F463" i="19"/>
  <c r="E463" i="19"/>
  <c r="D463" i="19"/>
  <c r="C463" i="19" s="1"/>
  <c r="B463" i="19"/>
  <c r="A463" i="19"/>
  <c r="U462" i="19"/>
  <c r="Q462" i="19" s="1"/>
  <c r="T462" i="19"/>
  <c r="S462" i="19"/>
  <c r="R462" i="19"/>
  <c r="P462" i="19"/>
  <c r="O462" i="19"/>
  <c r="N462" i="19"/>
  <c r="M462" i="19"/>
  <c r="L462" i="19"/>
  <c r="K462" i="19"/>
  <c r="I462" i="19"/>
  <c r="C462" i="19" s="1"/>
  <c r="H462" i="19"/>
  <c r="G462" i="19"/>
  <c r="F462" i="19"/>
  <c r="E462" i="19"/>
  <c r="D462" i="19"/>
  <c r="B462" i="19"/>
  <c r="A462" i="19"/>
  <c r="T461" i="19"/>
  <c r="S461" i="19"/>
  <c r="R461" i="19"/>
  <c r="U461" i="19" s="1"/>
  <c r="Q461" i="19" s="1"/>
  <c r="P461" i="19"/>
  <c r="O461" i="19"/>
  <c r="N461" i="19"/>
  <c r="M461" i="19"/>
  <c r="L461" i="19"/>
  <c r="K461" i="19"/>
  <c r="I461" i="19"/>
  <c r="H461" i="19"/>
  <c r="G461" i="19"/>
  <c r="F461" i="19"/>
  <c r="E461" i="19"/>
  <c r="D461" i="19"/>
  <c r="B461" i="19"/>
  <c r="A461" i="19"/>
  <c r="U460" i="19"/>
  <c r="Q460" i="19" s="1"/>
  <c r="T460" i="19"/>
  <c r="S460" i="19"/>
  <c r="R460" i="19"/>
  <c r="P460" i="19"/>
  <c r="O460" i="19"/>
  <c r="N460" i="19"/>
  <c r="M460" i="19"/>
  <c r="L460" i="19"/>
  <c r="K460" i="19"/>
  <c r="I460" i="19"/>
  <c r="C460" i="19" s="1"/>
  <c r="H460" i="19"/>
  <c r="G460" i="19"/>
  <c r="F460" i="19"/>
  <c r="E460" i="19"/>
  <c r="D460" i="19"/>
  <c r="B460" i="19"/>
  <c r="A460" i="19"/>
  <c r="T459" i="19"/>
  <c r="S459" i="19"/>
  <c r="U459" i="19" s="1"/>
  <c r="R459" i="19"/>
  <c r="Q459" i="19"/>
  <c r="P459" i="19"/>
  <c r="O459" i="19"/>
  <c r="N459" i="19"/>
  <c r="M459" i="19"/>
  <c r="L459" i="19"/>
  <c r="K459" i="19"/>
  <c r="I459" i="19"/>
  <c r="H459" i="19"/>
  <c r="G459" i="19"/>
  <c r="F459" i="19"/>
  <c r="E459" i="19"/>
  <c r="C459" i="19" s="1"/>
  <c r="D459" i="19"/>
  <c r="B459" i="19"/>
  <c r="A459" i="19"/>
  <c r="T458" i="19"/>
  <c r="S458" i="19"/>
  <c r="U458" i="19" s="1"/>
  <c r="R458" i="19"/>
  <c r="Q458" i="19"/>
  <c r="P458" i="19"/>
  <c r="O458" i="19"/>
  <c r="N458" i="19"/>
  <c r="M458" i="19"/>
  <c r="L458" i="19"/>
  <c r="K458" i="19"/>
  <c r="I458" i="19"/>
  <c r="H458" i="19"/>
  <c r="G458" i="19"/>
  <c r="F458" i="19"/>
  <c r="E458" i="19"/>
  <c r="D458" i="19"/>
  <c r="C458" i="19"/>
  <c r="B458" i="19"/>
  <c r="A458" i="19"/>
  <c r="U457" i="19"/>
  <c r="Q457" i="19" s="1"/>
  <c r="T457" i="19"/>
  <c r="S457" i="19"/>
  <c r="R457" i="19"/>
  <c r="P457" i="19"/>
  <c r="O457" i="19"/>
  <c r="N457" i="19"/>
  <c r="M457" i="19"/>
  <c r="L457" i="19"/>
  <c r="K457" i="19"/>
  <c r="J457" i="19" s="1"/>
  <c r="I457" i="19"/>
  <c r="C457" i="19" s="1"/>
  <c r="H457" i="19"/>
  <c r="G457" i="19"/>
  <c r="F457" i="19"/>
  <c r="E457" i="19"/>
  <c r="D457" i="19"/>
  <c r="B457" i="19"/>
  <c r="A457" i="19"/>
  <c r="T456" i="19"/>
  <c r="S456" i="19"/>
  <c r="U456" i="19" s="1"/>
  <c r="Q456" i="19" s="1"/>
  <c r="R456" i="19"/>
  <c r="P456" i="19"/>
  <c r="O456" i="19"/>
  <c r="N456" i="19"/>
  <c r="M456" i="19"/>
  <c r="L456" i="19"/>
  <c r="K456" i="19"/>
  <c r="I456" i="19"/>
  <c r="H456" i="19"/>
  <c r="G456" i="19"/>
  <c r="C456" i="19" s="1"/>
  <c r="F456" i="19"/>
  <c r="E456" i="19"/>
  <c r="D456" i="19"/>
  <c r="B456" i="19"/>
  <c r="A456" i="19"/>
  <c r="U455" i="19"/>
  <c r="Q455" i="19" s="1"/>
  <c r="T455" i="19"/>
  <c r="S455" i="19"/>
  <c r="R455" i="19"/>
  <c r="P455" i="19"/>
  <c r="O455" i="19"/>
  <c r="N455" i="19"/>
  <c r="M455" i="19"/>
  <c r="L455" i="19"/>
  <c r="K455" i="19"/>
  <c r="I455" i="19"/>
  <c r="H455" i="19"/>
  <c r="G455" i="19"/>
  <c r="C455" i="19" s="1"/>
  <c r="F455" i="19"/>
  <c r="E455" i="19"/>
  <c r="D455" i="19"/>
  <c r="B455" i="19"/>
  <c r="A455" i="19"/>
  <c r="T454" i="19"/>
  <c r="S454" i="19"/>
  <c r="R454" i="19"/>
  <c r="U454" i="19" s="1"/>
  <c r="Q454" i="19" s="1"/>
  <c r="P454" i="19"/>
  <c r="O454" i="19"/>
  <c r="N454" i="19"/>
  <c r="M454" i="19"/>
  <c r="L454" i="19"/>
  <c r="K454" i="19"/>
  <c r="I454" i="19"/>
  <c r="H454" i="19"/>
  <c r="G454" i="19"/>
  <c r="F454" i="19"/>
  <c r="E454" i="19"/>
  <c r="C454" i="19" s="1"/>
  <c r="D454" i="19"/>
  <c r="B454" i="19"/>
  <c r="A454" i="19"/>
  <c r="T453" i="19"/>
  <c r="S453" i="19"/>
  <c r="U453" i="19" s="1"/>
  <c r="Q453" i="19" s="1"/>
  <c r="R453" i="19"/>
  <c r="P453" i="19"/>
  <c r="O453" i="19"/>
  <c r="N453" i="19"/>
  <c r="M453" i="19"/>
  <c r="L453" i="19"/>
  <c r="K453" i="19"/>
  <c r="J453" i="19" s="1"/>
  <c r="I453" i="19"/>
  <c r="H453" i="19"/>
  <c r="G453" i="19"/>
  <c r="F453" i="19"/>
  <c r="E453" i="19"/>
  <c r="D453" i="19"/>
  <c r="C453" i="19" s="1"/>
  <c r="B453" i="19"/>
  <c r="A453" i="19"/>
  <c r="U452" i="19"/>
  <c r="Q452" i="19" s="1"/>
  <c r="T452" i="19"/>
  <c r="S452" i="19"/>
  <c r="R452" i="19"/>
  <c r="P452" i="19"/>
  <c r="O452" i="19"/>
  <c r="N452" i="19"/>
  <c r="M452" i="19"/>
  <c r="L452" i="19"/>
  <c r="K452" i="19"/>
  <c r="I452" i="19"/>
  <c r="H452" i="19"/>
  <c r="G452" i="19"/>
  <c r="F452" i="19"/>
  <c r="E452" i="19"/>
  <c r="D452" i="19"/>
  <c r="C452" i="19"/>
  <c r="B452" i="19"/>
  <c r="A452" i="19"/>
  <c r="T451" i="19"/>
  <c r="S451" i="19"/>
  <c r="U451" i="19" s="1"/>
  <c r="Q451" i="19" s="1"/>
  <c r="R451" i="19"/>
  <c r="P451" i="19"/>
  <c r="O451" i="19"/>
  <c r="N451" i="19"/>
  <c r="M451" i="19"/>
  <c r="L451" i="19"/>
  <c r="K451" i="19"/>
  <c r="I451" i="19"/>
  <c r="H451" i="19"/>
  <c r="G451" i="19"/>
  <c r="C451" i="19" s="1"/>
  <c r="F451" i="19"/>
  <c r="E451" i="19"/>
  <c r="D451" i="19"/>
  <c r="B451" i="19"/>
  <c r="A451" i="19"/>
  <c r="U450" i="19"/>
  <c r="Q450" i="19" s="1"/>
  <c r="T450" i="19"/>
  <c r="S450" i="19"/>
  <c r="R450" i="19"/>
  <c r="P450" i="19"/>
  <c r="O450" i="19"/>
  <c r="N450" i="19"/>
  <c r="M450" i="19"/>
  <c r="L450" i="19"/>
  <c r="K450" i="19"/>
  <c r="J450" i="19"/>
  <c r="I450" i="19"/>
  <c r="H450" i="19"/>
  <c r="G450" i="19"/>
  <c r="F450" i="19"/>
  <c r="E450" i="19"/>
  <c r="D450" i="19"/>
  <c r="B450" i="19"/>
  <c r="A450" i="19"/>
  <c r="T449" i="19"/>
  <c r="S449" i="19"/>
  <c r="R449" i="19"/>
  <c r="P449" i="19"/>
  <c r="O449" i="19"/>
  <c r="N449" i="19"/>
  <c r="M449" i="19"/>
  <c r="L449" i="19"/>
  <c r="K449" i="19"/>
  <c r="I449" i="19"/>
  <c r="H449" i="19"/>
  <c r="G449" i="19"/>
  <c r="F449" i="19"/>
  <c r="E449" i="19"/>
  <c r="D449" i="19"/>
  <c r="B449" i="19"/>
  <c r="A449" i="19"/>
  <c r="T448" i="19"/>
  <c r="S448" i="19"/>
  <c r="U448" i="19" s="1"/>
  <c r="R448" i="19"/>
  <c r="Q448" i="19"/>
  <c r="P448" i="19"/>
  <c r="O448" i="19"/>
  <c r="N448" i="19"/>
  <c r="M448" i="19"/>
  <c r="L448" i="19"/>
  <c r="K448" i="19"/>
  <c r="I448" i="19"/>
  <c r="H448" i="19"/>
  <c r="G448" i="19"/>
  <c r="F448" i="19"/>
  <c r="E448" i="19"/>
  <c r="D448" i="19"/>
  <c r="C448" i="19"/>
  <c r="B448" i="19"/>
  <c r="A448" i="19"/>
  <c r="U447" i="19"/>
  <c r="Q447" i="19" s="1"/>
  <c r="T447" i="19"/>
  <c r="S447" i="19"/>
  <c r="R447" i="19"/>
  <c r="P447" i="19"/>
  <c r="O447" i="19"/>
  <c r="N447" i="19"/>
  <c r="M447" i="19"/>
  <c r="L447" i="19"/>
  <c r="K447" i="19"/>
  <c r="J447" i="19" s="1"/>
  <c r="I447" i="19"/>
  <c r="H447" i="19"/>
  <c r="G447" i="19"/>
  <c r="F447" i="19"/>
  <c r="E447" i="19"/>
  <c r="D447" i="19"/>
  <c r="C447" i="19"/>
  <c r="B447" i="19"/>
  <c r="A447" i="19"/>
  <c r="T446" i="19"/>
  <c r="S446" i="19"/>
  <c r="U446" i="19" s="1"/>
  <c r="Q446" i="19" s="1"/>
  <c r="R446" i="19"/>
  <c r="P446" i="19"/>
  <c r="O446" i="19"/>
  <c r="N446" i="19"/>
  <c r="M446" i="19"/>
  <c r="L446" i="19"/>
  <c r="K446" i="19"/>
  <c r="J446" i="19" s="1"/>
  <c r="I446" i="19"/>
  <c r="H446" i="19"/>
  <c r="G446" i="19"/>
  <c r="C446" i="19" s="1"/>
  <c r="F446" i="19"/>
  <c r="E446" i="19"/>
  <c r="D446" i="19"/>
  <c r="B446" i="19"/>
  <c r="A446" i="19"/>
  <c r="U445" i="19"/>
  <c r="T445" i="19"/>
  <c r="S445" i="19"/>
  <c r="R445" i="19"/>
  <c r="Q445" i="19"/>
  <c r="P445" i="19"/>
  <c r="O445" i="19"/>
  <c r="N445" i="19"/>
  <c r="M445" i="19"/>
  <c r="L445" i="19"/>
  <c r="K445" i="19"/>
  <c r="J445" i="19" s="1"/>
  <c r="I445" i="19"/>
  <c r="H445" i="19"/>
  <c r="G445" i="19"/>
  <c r="F445" i="19"/>
  <c r="E445" i="19"/>
  <c r="D445" i="19"/>
  <c r="B445" i="19"/>
  <c r="A445" i="19"/>
  <c r="U444" i="19"/>
  <c r="Q444" i="19" s="1"/>
  <c r="T444" i="19"/>
  <c r="S444" i="19"/>
  <c r="R444" i="19"/>
  <c r="P444" i="19"/>
  <c r="O444" i="19"/>
  <c r="N444" i="19"/>
  <c r="M444" i="19"/>
  <c r="L444" i="19"/>
  <c r="K444" i="19"/>
  <c r="J444" i="19" s="1"/>
  <c r="I444" i="19"/>
  <c r="H444" i="19"/>
  <c r="G444" i="19"/>
  <c r="C444" i="19" s="1"/>
  <c r="F444" i="19"/>
  <c r="E444" i="19"/>
  <c r="D444" i="19"/>
  <c r="B444" i="19"/>
  <c r="A444" i="19"/>
  <c r="T443" i="19"/>
  <c r="S443" i="19"/>
  <c r="R443" i="19"/>
  <c r="U443" i="19" s="1"/>
  <c r="Q443" i="19"/>
  <c r="P443" i="19"/>
  <c r="O443" i="19"/>
  <c r="N443" i="19"/>
  <c r="M443" i="19"/>
  <c r="L443" i="19"/>
  <c r="K443" i="19"/>
  <c r="I443" i="19"/>
  <c r="H443" i="19"/>
  <c r="G443" i="19"/>
  <c r="F443" i="19"/>
  <c r="E443" i="19"/>
  <c r="D443" i="19"/>
  <c r="C443" i="19" s="1"/>
  <c r="B443" i="19"/>
  <c r="A443" i="19"/>
  <c r="U442" i="19"/>
  <c r="Q442" i="19" s="1"/>
  <c r="T442" i="19"/>
  <c r="S442" i="19"/>
  <c r="R442" i="19"/>
  <c r="P442" i="19"/>
  <c r="O442" i="19"/>
  <c r="N442" i="19"/>
  <c r="M442" i="19"/>
  <c r="L442" i="19"/>
  <c r="K442" i="19"/>
  <c r="I442" i="19"/>
  <c r="H442" i="19"/>
  <c r="G442" i="19"/>
  <c r="F442" i="19"/>
  <c r="E442" i="19"/>
  <c r="D442" i="19"/>
  <c r="C442" i="19"/>
  <c r="B442" i="19"/>
  <c r="A442" i="19"/>
  <c r="T441" i="19"/>
  <c r="S441" i="19"/>
  <c r="U441" i="19" s="1"/>
  <c r="Q441" i="19" s="1"/>
  <c r="R441" i="19"/>
  <c r="P441" i="19"/>
  <c r="O441" i="19"/>
  <c r="N441" i="19"/>
  <c r="M441" i="19"/>
  <c r="L441" i="19"/>
  <c r="K441" i="19"/>
  <c r="I441" i="19"/>
  <c r="H441" i="19"/>
  <c r="G441" i="19"/>
  <c r="C441" i="19" s="1"/>
  <c r="F441" i="19"/>
  <c r="E441" i="19"/>
  <c r="D441" i="19"/>
  <c r="B441" i="19"/>
  <c r="A441" i="19"/>
  <c r="U440" i="19"/>
  <c r="T440" i="19"/>
  <c r="S440" i="19"/>
  <c r="R440" i="19"/>
  <c r="Q440" i="19"/>
  <c r="P440" i="19"/>
  <c r="O440" i="19"/>
  <c r="N440" i="19"/>
  <c r="M440" i="19"/>
  <c r="L440" i="19"/>
  <c r="K440" i="19"/>
  <c r="J440" i="19"/>
  <c r="I440" i="19"/>
  <c r="H440" i="19"/>
  <c r="G440" i="19"/>
  <c r="F440" i="19"/>
  <c r="E440" i="19"/>
  <c r="C440" i="19" s="1"/>
  <c r="D440" i="19"/>
  <c r="B440" i="19"/>
  <c r="A440" i="19"/>
  <c r="T439" i="19"/>
  <c r="U439" i="19" s="1"/>
  <c r="Q439" i="19" s="1"/>
  <c r="S439" i="19"/>
  <c r="R439" i="19"/>
  <c r="P439" i="19"/>
  <c r="O439" i="19"/>
  <c r="N439" i="19"/>
  <c r="M439" i="19"/>
  <c r="L439" i="19"/>
  <c r="K439" i="19"/>
  <c r="J439" i="19" s="1"/>
  <c r="I439" i="19"/>
  <c r="H439" i="19"/>
  <c r="G439" i="19"/>
  <c r="C439" i="19" s="1"/>
  <c r="F439" i="19"/>
  <c r="E439" i="19"/>
  <c r="D439" i="19"/>
  <c r="B439" i="19"/>
  <c r="A439" i="19"/>
  <c r="T438" i="19"/>
  <c r="S438" i="19"/>
  <c r="R438" i="19"/>
  <c r="U438" i="19" s="1"/>
  <c r="Q438" i="19" s="1"/>
  <c r="P438" i="19"/>
  <c r="O438" i="19"/>
  <c r="N438" i="19"/>
  <c r="M438" i="19"/>
  <c r="L438" i="19"/>
  <c r="K438" i="19"/>
  <c r="I438" i="19"/>
  <c r="H438" i="19"/>
  <c r="G438" i="19"/>
  <c r="F438" i="19"/>
  <c r="E438" i="19"/>
  <c r="C438" i="19" s="1"/>
  <c r="D438" i="19"/>
  <c r="B438" i="19"/>
  <c r="A438" i="19"/>
  <c r="T437" i="19"/>
  <c r="S437" i="19"/>
  <c r="R437" i="19"/>
  <c r="U437" i="19" s="1"/>
  <c r="Q437" i="19" s="1"/>
  <c r="P437" i="19"/>
  <c r="O437" i="19"/>
  <c r="N437" i="19"/>
  <c r="M437" i="19"/>
  <c r="L437" i="19"/>
  <c r="K437" i="19"/>
  <c r="I437" i="19"/>
  <c r="H437" i="19"/>
  <c r="G437" i="19"/>
  <c r="F437" i="19"/>
  <c r="E437" i="19"/>
  <c r="D437" i="19"/>
  <c r="C437" i="19"/>
  <c r="B437" i="19"/>
  <c r="A437" i="19"/>
  <c r="T436" i="19"/>
  <c r="S436" i="19"/>
  <c r="U436" i="19" s="1"/>
  <c r="Q436" i="19" s="1"/>
  <c r="R436" i="19"/>
  <c r="P436" i="19"/>
  <c r="O436" i="19"/>
  <c r="N436" i="19"/>
  <c r="M436" i="19"/>
  <c r="L436" i="19"/>
  <c r="K436" i="19"/>
  <c r="I436" i="19"/>
  <c r="H436" i="19"/>
  <c r="G436" i="19"/>
  <c r="C436" i="19" s="1"/>
  <c r="F436" i="19"/>
  <c r="E436" i="19"/>
  <c r="D436" i="19"/>
  <c r="B436" i="19"/>
  <c r="A436" i="19"/>
  <c r="U435" i="19"/>
  <c r="Q435" i="19" s="1"/>
  <c r="T435" i="19"/>
  <c r="S435" i="19"/>
  <c r="R435" i="19"/>
  <c r="P435" i="19"/>
  <c r="O435" i="19"/>
  <c r="N435" i="19"/>
  <c r="M435" i="19"/>
  <c r="L435" i="19"/>
  <c r="K435" i="19"/>
  <c r="J435" i="19" s="1"/>
  <c r="I435" i="19"/>
  <c r="H435" i="19"/>
  <c r="G435" i="19"/>
  <c r="F435" i="19"/>
  <c r="E435" i="19"/>
  <c r="D435" i="19"/>
  <c r="B435" i="19"/>
  <c r="A435" i="19"/>
  <c r="U434" i="19"/>
  <c r="Q434" i="19" s="1"/>
  <c r="T434" i="19"/>
  <c r="S434" i="19"/>
  <c r="R434" i="19"/>
  <c r="P434" i="19"/>
  <c r="O434" i="19"/>
  <c r="N434" i="19"/>
  <c r="M434" i="19"/>
  <c r="L434" i="19"/>
  <c r="K434" i="19"/>
  <c r="I434" i="19"/>
  <c r="H434" i="19"/>
  <c r="G434" i="19"/>
  <c r="F434" i="19"/>
  <c r="E434" i="19"/>
  <c r="D434" i="19"/>
  <c r="C434" i="19"/>
  <c r="B434" i="19"/>
  <c r="A434" i="19"/>
  <c r="T433" i="19"/>
  <c r="S433" i="19"/>
  <c r="R433" i="19"/>
  <c r="P433" i="19"/>
  <c r="O433" i="19"/>
  <c r="N433" i="19"/>
  <c r="M433" i="19"/>
  <c r="L433" i="19"/>
  <c r="K433" i="19"/>
  <c r="J433" i="19" s="1"/>
  <c r="I433" i="19"/>
  <c r="H433" i="19"/>
  <c r="G433" i="19"/>
  <c r="F433" i="19"/>
  <c r="E433" i="19"/>
  <c r="D433" i="19"/>
  <c r="B433" i="19"/>
  <c r="A433" i="19"/>
  <c r="T432" i="19"/>
  <c r="S432" i="19"/>
  <c r="U432" i="19" s="1"/>
  <c r="R432" i="19"/>
  <c r="Q432" i="19"/>
  <c r="P432" i="19"/>
  <c r="O432" i="19"/>
  <c r="N432" i="19"/>
  <c r="M432" i="19"/>
  <c r="L432" i="19"/>
  <c r="K432" i="19"/>
  <c r="J432" i="19" s="1"/>
  <c r="I432" i="19"/>
  <c r="H432" i="19"/>
  <c r="G432" i="19"/>
  <c r="F432" i="19"/>
  <c r="E432" i="19"/>
  <c r="D432" i="19"/>
  <c r="C432" i="19" s="1"/>
  <c r="B432" i="19"/>
  <c r="A432" i="19"/>
  <c r="T431" i="19"/>
  <c r="U431" i="19" s="1"/>
  <c r="Q431" i="19" s="1"/>
  <c r="S431" i="19"/>
  <c r="R431" i="19"/>
  <c r="P431" i="19"/>
  <c r="O431" i="19"/>
  <c r="N431" i="19"/>
  <c r="M431" i="19"/>
  <c r="L431" i="19"/>
  <c r="K431" i="19"/>
  <c r="I431" i="19"/>
  <c r="H431" i="19"/>
  <c r="G431" i="19"/>
  <c r="C431" i="19" s="1"/>
  <c r="F431" i="19"/>
  <c r="E431" i="19"/>
  <c r="D431" i="19"/>
  <c r="B431" i="19"/>
  <c r="A431" i="19"/>
  <c r="U430" i="19"/>
  <c r="Q430" i="19" s="1"/>
  <c r="T430" i="19"/>
  <c r="S430" i="19"/>
  <c r="R430" i="19"/>
  <c r="P430" i="19"/>
  <c r="O430" i="19"/>
  <c r="N430" i="19"/>
  <c r="M430" i="19"/>
  <c r="L430" i="19"/>
  <c r="K430" i="19"/>
  <c r="J430" i="19" s="1"/>
  <c r="I430" i="19"/>
  <c r="H430" i="19"/>
  <c r="G430" i="19"/>
  <c r="F430" i="19"/>
  <c r="E430" i="19"/>
  <c r="D430" i="19"/>
  <c r="B430" i="19"/>
  <c r="A430" i="19"/>
  <c r="T429" i="19"/>
  <c r="S429" i="19"/>
  <c r="U429" i="19" s="1"/>
  <c r="Q429" i="19" s="1"/>
  <c r="R429" i="19"/>
  <c r="P429" i="19"/>
  <c r="O429" i="19"/>
  <c r="N429" i="19"/>
  <c r="M429" i="19"/>
  <c r="L429" i="19"/>
  <c r="K429" i="19"/>
  <c r="I429" i="19"/>
  <c r="H429" i="19"/>
  <c r="G429" i="19"/>
  <c r="C429" i="19" s="1"/>
  <c r="F429" i="19"/>
  <c r="E429" i="19"/>
  <c r="D429" i="19"/>
  <c r="B429" i="19"/>
  <c r="A429" i="19"/>
  <c r="T428" i="19"/>
  <c r="S428" i="19"/>
  <c r="R428" i="19"/>
  <c r="P428" i="19"/>
  <c r="O428" i="19"/>
  <c r="N428" i="19"/>
  <c r="M428" i="19"/>
  <c r="L428" i="19"/>
  <c r="K428" i="19"/>
  <c r="I428" i="19"/>
  <c r="H428" i="19"/>
  <c r="G428" i="19"/>
  <c r="F428" i="19"/>
  <c r="E428" i="19"/>
  <c r="D428" i="19"/>
  <c r="B428" i="19"/>
  <c r="A428" i="19"/>
  <c r="T427" i="19"/>
  <c r="S427" i="19"/>
  <c r="U427" i="19" s="1"/>
  <c r="Q427" i="19" s="1"/>
  <c r="R427" i="19"/>
  <c r="P427" i="19"/>
  <c r="O427" i="19"/>
  <c r="N427" i="19"/>
  <c r="M427" i="19"/>
  <c r="L427" i="19"/>
  <c r="K427" i="19"/>
  <c r="I427" i="19"/>
  <c r="H427" i="19"/>
  <c r="G427" i="19"/>
  <c r="F427" i="19"/>
  <c r="E427" i="19"/>
  <c r="D427" i="19"/>
  <c r="C427" i="19" s="1"/>
  <c r="B427" i="19"/>
  <c r="A427" i="19"/>
  <c r="U426" i="19"/>
  <c r="Q426" i="19" s="1"/>
  <c r="T426" i="19"/>
  <c r="S426" i="19"/>
  <c r="R426" i="19"/>
  <c r="P426" i="19"/>
  <c r="O426" i="19"/>
  <c r="N426" i="19"/>
  <c r="M426" i="19"/>
  <c r="L426" i="19"/>
  <c r="K426" i="19"/>
  <c r="I426" i="19"/>
  <c r="C426" i="19" s="1"/>
  <c r="H426" i="19"/>
  <c r="G426" i="19"/>
  <c r="F426" i="19"/>
  <c r="E426" i="19"/>
  <c r="D426" i="19"/>
  <c r="B426" i="19"/>
  <c r="A426" i="19"/>
  <c r="T425" i="19"/>
  <c r="S425" i="19"/>
  <c r="R425" i="19"/>
  <c r="U425" i="19" s="1"/>
  <c r="Q425" i="19" s="1"/>
  <c r="P425" i="19"/>
  <c r="O425" i="19"/>
  <c r="N425" i="19"/>
  <c r="M425" i="19"/>
  <c r="L425" i="19"/>
  <c r="K425" i="19"/>
  <c r="I425" i="19"/>
  <c r="H425" i="19"/>
  <c r="G425" i="19"/>
  <c r="F425" i="19"/>
  <c r="E425" i="19"/>
  <c r="D425" i="19"/>
  <c r="B425" i="19"/>
  <c r="A425" i="19"/>
  <c r="U424" i="19"/>
  <c r="Q424" i="19" s="1"/>
  <c r="T424" i="19"/>
  <c r="S424" i="19"/>
  <c r="R424" i="19"/>
  <c r="P424" i="19"/>
  <c r="O424" i="19"/>
  <c r="N424" i="19"/>
  <c r="M424" i="19"/>
  <c r="L424" i="19"/>
  <c r="K424" i="19"/>
  <c r="I424" i="19"/>
  <c r="C424" i="19" s="1"/>
  <c r="H424" i="19"/>
  <c r="G424" i="19"/>
  <c r="F424" i="19"/>
  <c r="E424" i="19"/>
  <c r="D424" i="19"/>
  <c r="B424" i="19"/>
  <c r="A424" i="19"/>
  <c r="T423" i="19"/>
  <c r="S423" i="19"/>
  <c r="U423" i="19" s="1"/>
  <c r="R423" i="19"/>
  <c r="Q423" i="19"/>
  <c r="V423" i="19" s="1"/>
  <c r="P423" i="19"/>
  <c r="O423" i="19"/>
  <c r="N423" i="19"/>
  <c r="M423" i="19"/>
  <c r="L423" i="19"/>
  <c r="K423" i="19"/>
  <c r="J423" i="19" s="1"/>
  <c r="I423" i="19"/>
  <c r="H423" i="19"/>
  <c r="G423" i="19"/>
  <c r="F423" i="19"/>
  <c r="E423" i="19"/>
  <c r="C423" i="19" s="1"/>
  <c r="D423" i="19"/>
  <c r="B423" i="19"/>
  <c r="A423" i="19"/>
  <c r="T422" i="19"/>
  <c r="S422" i="19"/>
  <c r="U422" i="19" s="1"/>
  <c r="R422" i="19"/>
  <c r="Q422" i="19"/>
  <c r="P422" i="19"/>
  <c r="O422" i="19"/>
  <c r="N422" i="19"/>
  <c r="M422" i="19"/>
  <c r="L422" i="19"/>
  <c r="K422" i="19"/>
  <c r="I422" i="19"/>
  <c r="H422" i="19"/>
  <c r="G422" i="19"/>
  <c r="F422" i="19"/>
  <c r="E422" i="19"/>
  <c r="D422" i="19"/>
  <c r="C422" i="19"/>
  <c r="B422" i="19"/>
  <c r="A422" i="19"/>
  <c r="U421" i="19"/>
  <c r="Q421" i="19" s="1"/>
  <c r="T421" i="19"/>
  <c r="S421" i="19"/>
  <c r="R421" i="19"/>
  <c r="P421" i="19"/>
  <c r="O421" i="19"/>
  <c r="N421" i="19"/>
  <c r="M421" i="19"/>
  <c r="L421" i="19"/>
  <c r="K421" i="19"/>
  <c r="J421" i="19" s="1"/>
  <c r="I421" i="19"/>
  <c r="C421" i="19" s="1"/>
  <c r="H421" i="19"/>
  <c r="G421" i="19"/>
  <c r="F421" i="19"/>
  <c r="E421" i="19"/>
  <c r="D421" i="19"/>
  <c r="B421" i="19"/>
  <c r="A421" i="19"/>
  <c r="T420" i="19"/>
  <c r="S420" i="19"/>
  <c r="U420" i="19" s="1"/>
  <c r="Q420" i="19" s="1"/>
  <c r="R420" i="19"/>
  <c r="P420" i="19"/>
  <c r="O420" i="19"/>
  <c r="N420" i="19"/>
  <c r="M420" i="19"/>
  <c r="L420" i="19"/>
  <c r="K420" i="19"/>
  <c r="I420" i="19"/>
  <c r="H420" i="19"/>
  <c r="G420" i="19"/>
  <c r="C420" i="19" s="1"/>
  <c r="F420" i="19"/>
  <c r="E420" i="19"/>
  <c r="D420" i="19"/>
  <c r="B420" i="19"/>
  <c r="A420" i="19"/>
  <c r="U419" i="19"/>
  <c r="Q419" i="19" s="1"/>
  <c r="T419" i="19"/>
  <c r="S419" i="19"/>
  <c r="R419" i="19"/>
  <c r="P419" i="19"/>
  <c r="O419" i="19"/>
  <c r="N419" i="19"/>
  <c r="M419" i="19"/>
  <c r="L419" i="19"/>
  <c r="K419" i="19"/>
  <c r="I419" i="19"/>
  <c r="H419" i="19"/>
  <c r="G419" i="19"/>
  <c r="C419" i="19" s="1"/>
  <c r="F419" i="19"/>
  <c r="E419" i="19"/>
  <c r="D419" i="19"/>
  <c r="B419" i="19"/>
  <c r="A419" i="19"/>
  <c r="T418" i="19"/>
  <c r="S418" i="19"/>
  <c r="R418" i="19"/>
  <c r="U418" i="19" s="1"/>
  <c r="Q418" i="19" s="1"/>
  <c r="P418" i="19"/>
  <c r="O418" i="19"/>
  <c r="N418" i="19"/>
  <c r="M418" i="19"/>
  <c r="L418" i="19"/>
  <c r="K418" i="19"/>
  <c r="I418" i="19"/>
  <c r="H418" i="19"/>
  <c r="G418" i="19"/>
  <c r="F418" i="19"/>
  <c r="E418" i="19"/>
  <c r="C418" i="19" s="1"/>
  <c r="D418" i="19"/>
  <c r="B418" i="19"/>
  <c r="A418" i="19"/>
  <c r="T417" i="19"/>
  <c r="S417" i="19"/>
  <c r="U417" i="19" s="1"/>
  <c r="Q417" i="19" s="1"/>
  <c r="R417" i="19"/>
  <c r="P417" i="19"/>
  <c r="O417" i="19"/>
  <c r="N417" i="19"/>
  <c r="M417" i="19"/>
  <c r="L417" i="19"/>
  <c r="K417" i="19"/>
  <c r="J417" i="19" s="1"/>
  <c r="I417" i="19"/>
  <c r="H417" i="19"/>
  <c r="G417" i="19"/>
  <c r="F417" i="19"/>
  <c r="E417" i="19"/>
  <c r="D417" i="19"/>
  <c r="C417" i="19" s="1"/>
  <c r="B417" i="19"/>
  <c r="A417" i="19"/>
  <c r="U416" i="19"/>
  <c r="Q416" i="19" s="1"/>
  <c r="T416" i="19"/>
  <c r="S416" i="19"/>
  <c r="R416" i="19"/>
  <c r="P416" i="19"/>
  <c r="O416" i="19"/>
  <c r="N416" i="19"/>
  <c r="M416" i="19"/>
  <c r="L416" i="19"/>
  <c r="K416" i="19"/>
  <c r="I416" i="19"/>
  <c r="H416" i="19"/>
  <c r="G416" i="19"/>
  <c r="F416" i="19"/>
  <c r="E416" i="19"/>
  <c r="D416" i="19"/>
  <c r="C416" i="19"/>
  <c r="B416" i="19"/>
  <c r="A416" i="19"/>
  <c r="T415" i="19"/>
  <c r="S415" i="19"/>
  <c r="U415" i="19" s="1"/>
  <c r="Q415" i="19" s="1"/>
  <c r="R415" i="19"/>
  <c r="P415" i="19"/>
  <c r="O415" i="19"/>
  <c r="N415" i="19"/>
  <c r="M415" i="19"/>
  <c r="L415" i="19"/>
  <c r="K415" i="19"/>
  <c r="I415" i="19"/>
  <c r="H415" i="19"/>
  <c r="G415" i="19"/>
  <c r="F415" i="19"/>
  <c r="E415" i="19"/>
  <c r="D415" i="19"/>
  <c r="B415" i="19"/>
  <c r="A415" i="19"/>
  <c r="U414" i="19"/>
  <c r="Q414" i="19" s="1"/>
  <c r="V414" i="19" s="1"/>
  <c r="T414" i="19"/>
  <c r="S414" i="19"/>
  <c r="R414" i="19"/>
  <c r="P414" i="19"/>
  <c r="O414" i="19"/>
  <c r="N414" i="19"/>
  <c r="M414" i="19"/>
  <c r="L414" i="19"/>
  <c r="K414" i="19"/>
  <c r="J414" i="19"/>
  <c r="I414" i="19"/>
  <c r="H414" i="19"/>
  <c r="G414" i="19"/>
  <c r="F414" i="19"/>
  <c r="E414" i="19"/>
  <c r="D414" i="19"/>
  <c r="C414" i="19" s="1"/>
  <c r="B414" i="19"/>
  <c r="A414" i="19"/>
  <c r="T413" i="19"/>
  <c r="S413" i="19"/>
  <c r="R413" i="19"/>
  <c r="P413" i="19"/>
  <c r="O413" i="19"/>
  <c r="N413" i="19"/>
  <c r="M413" i="19"/>
  <c r="L413" i="19"/>
  <c r="K413" i="19"/>
  <c r="I413" i="19"/>
  <c r="H413" i="19"/>
  <c r="G413" i="19"/>
  <c r="F413" i="19"/>
  <c r="E413" i="19"/>
  <c r="D413" i="19"/>
  <c r="B413" i="19"/>
  <c r="A413" i="19"/>
  <c r="T412" i="19"/>
  <c r="S412" i="19"/>
  <c r="U412" i="19" s="1"/>
  <c r="R412" i="19"/>
  <c r="Q412" i="19"/>
  <c r="P412" i="19"/>
  <c r="O412" i="19"/>
  <c r="N412" i="19"/>
  <c r="M412" i="19"/>
  <c r="L412" i="19"/>
  <c r="K412" i="19"/>
  <c r="I412" i="19"/>
  <c r="H412" i="19"/>
  <c r="G412" i="19"/>
  <c r="F412" i="19"/>
  <c r="E412" i="19"/>
  <c r="D412" i="19"/>
  <c r="C412" i="19"/>
  <c r="B412" i="19"/>
  <c r="A412" i="19"/>
  <c r="U411" i="19"/>
  <c r="Q411" i="19" s="1"/>
  <c r="T411" i="19"/>
  <c r="S411" i="19"/>
  <c r="R411" i="19"/>
  <c r="P411" i="19"/>
  <c r="O411" i="19"/>
  <c r="N411" i="19"/>
  <c r="M411" i="19"/>
  <c r="L411" i="19"/>
  <c r="K411" i="19"/>
  <c r="J411" i="19" s="1"/>
  <c r="I411" i="19"/>
  <c r="H411" i="19"/>
  <c r="G411" i="19"/>
  <c r="F411" i="19"/>
  <c r="E411" i="19"/>
  <c r="D411" i="19"/>
  <c r="C411" i="19"/>
  <c r="B411" i="19"/>
  <c r="A411" i="19"/>
  <c r="T410" i="19"/>
  <c r="S410" i="19"/>
  <c r="U410" i="19" s="1"/>
  <c r="Q410" i="19" s="1"/>
  <c r="R410" i="19"/>
  <c r="P410" i="19"/>
  <c r="O410" i="19"/>
  <c r="N410" i="19"/>
  <c r="M410" i="19"/>
  <c r="L410" i="19"/>
  <c r="K410" i="19"/>
  <c r="J410" i="19" s="1"/>
  <c r="I410" i="19"/>
  <c r="H410" i="19"/>
  <c r="G410" i="19"/>
  <c r="C410" i="19" s="1"/>
  <c r="F410" i="19"/>
  <c r="E410" i="19"/>
  <c r="D410" i="19"/>
  <c r="B410" i="19"/>
  <c r="A410" i="19"/>
  <c r="U409" i="19"/>
  <c r="T409" i="19"/>
  <c r="S409" i="19"/>
  <c r="R409" i="19"/>
  <c r="Q409" i="19"/>
  <c r="P409" i="19"/>
  <c r="O409" i="19"/>
  <c r="N409" i="19"/>
  <c r="M409" i="19"/>
  <c r="L409" i="19"/>
  <c r="K409" i="19"/>
  <c r="J409" i="19" s="1"/>
  <c r="I409" i="19"/>
  <c r="H409" i="19"/>
  <c r="G409" i="19"/>
  <c r="F409" i="19"/>
  <c r="E409" i="19"/>
  <c r="D409" i="19"/>
  <c r="B409" i="19"/>
  <c r="A409" i="19"/>
  <c r="U408" i="19"/>
  <c r="Q408" i="19" s="1"/>
  <c r="T408" i="19"/>
  <c r="S408" i="19"/>
  <c r="R408" i="19"/>
  <c r="P408" i="19"/>
  <c r="O408" i="19"/>
  <c r="N408" i="19"/>
  <c r="M408" i="19"/>
  <c r="L408" i="19"/>
  <c r="K408" i="19"/>
  <c r="J408" i="19" s="1"/>
  <c r="I408" i="19"/>
  <c r="H408" i="19"/>
  <c r="G408" i="19"/>
  <c r="C408" i="19" s="1"/>
  <c r="F408" i="19"/>
  <c r="E408" i="19"/>
  <c r="D408" i="19"/>
  <c r="B408" i="19"/>
  <c r="A408" i="19"/>
  <c r="T407" i="19"/>
  <c r="S407" i="19"/>
  <c r="R407" i="19"/>
  <c r="U407" i="19" s="1"/>
  <c r="Q407" i="19"/>
  <c r="P407" i="19"/>
  <c r="O407" i="19"/>
  <c r="N407" i="19"/>
  <c r="M407" i="19"/>
  <c r="L407" i="19"/>
  <c r="K407" i="19"/>
  <c r="I407" i="19"/>
  <c r="H407" i="19"/>
  <c r="G407" i="19"/>
  <c r="F407" i="19"/>
  <c r="E407" i="19"/>
  <c r="D407" i="19"/>
  <c r="C407" i="19" s="1"/>
  <c r="B407" i="19"/>
  <c r="A407" i="19"/>
  <c r="U406" i="19"/>
  <c r="Q406" i="19" s="1"/>
  <c r="T406" i="19"/>
  <c r="S406" i="19"/>
  <c r="R406" i="19"/>
  <c r="P406" i="19"/>
  <c r="O406" i="19"/>
  <c r="N406" i="19"/>
  <c r="M406" i="19"/>
  <c r="L406" i="19"/>
  <c r="K406" i="19"/>
  <c r="I406" i="19"/>
  <c r="H406" i="19"/>
  <c r="G406" i="19"/>
  <c r="F406" i="19"/>
  <c r="E406" i="19"/>
  <c r="D406" i="19"/>
  <c r="C406" i="19"/>
  <c r="B406" i="19"/>
  <c r="A406" i="19"/>
  <c r="T405" i="19"/>
  <c r="S405" i="19"/>
  <c r="U405" i="19" s="1"/>
  <c r="Q405" i="19" s="1"/>
  <c r="R405" i="19"/>
  <c r="P405" i="19"/>
  <c r="O405" i="19"/>
  <c r="N405" i="19"/>
  <c r="M405" i="19"/>
  <c r="L405" i="19"/>
  <c r="K405" i="19"/>
  <c r="I405" i="19"/>
  <c r="H405" i="19"/>
  <c r="G405" i="19"/>
  <c r="C405" i="19" s="1"/>
  <c r="F405" i="19"/>
  <c r="E405" i="19"/>
  <c r="D405" i="19"/>
  <c r="B405" i="19"/>
  <c r="A405" i="19"/>
  <c r="U404" i="19"/>
  <c r="T404" i="19"/>
  <c r="S404" i="19"/>
  <c r="R404" i="19"/>
  <c r="Q404" i="19"/>
  <c r="P404" i="19"/>
  <c r="O404" i="19"/>
  <c r="N404" i="19"/>
  <c r="M404" i="19"/>
  <c r="L404" i="19"/>
  <c r="K404" i="19"/>
  <c r="J404" i="19"/>
  <c r="I404" i="19"/>
  <c r="H404" i="19"/>
  <c r="G404" i="19"/>
  <c r="F404" i="19"/>
  <c r="E404" i="19"/>
  <c r="C404" i="19" s="1"/>
  <c r="D404" i="19"/>
  <c r="B404" i="19"/>
  <c r="A404" i="19"/>
  <c r="T403" i="19"/>
  <c r="U403" i="19" s="1"/>
  <c r="Q403" i="19" s="1"/>
  <c r="V403" i="19" s="1"/>
  <c r="S403" i="19"/>
  <c r="R403" i="19"/>
  <c r="P403" i="19"/>
  <c r="O403" i="19"/>
  <c r="N403" i="19"/>
  <c r="M403" i="19"/>
  <c r="L403" i="19"/>
  <c r="K403" i="19"/>
  <c r="J403" i="19" s="1"/>
  <c r="I403" i="19"/>
  <c r="H403" i="19"/>
  <c r="G403" i="19"/>
  <c r="C403" i="19" s="1"/>
  <c r="F403" i="19"/>
  <c r="E403" i="19"/>
  <c r="D403" i="19"/>
  <c r="B403" i="19"/>
  <c r="A403" i="19"/>
  <c r="T402" i="19"/>
  <c r="S402" i="19"/>
  <c r="R402" i="19"/>
  <c r="U402" i="19" s="1"/>
  <c r="Q402" i="19" s="1"/>
  <c r="P402" i="19"/>
  <c r="O402" i="19"/>
  <c r="N402" i="19"/>
  <c r="M402" i="19"/>
  <c r="L402" i="19"/>
  <c r="K402" i="19"/>
  <c r="I402" i="19"/>
  <c r="H402" i="19"/>
  <c r="G402" i="19"/>
  <c r="F402" i="19"/>
  <c r="E402" i="19"/>
  <c r="C402" i="19" s="1"/>
  <c r="D402" i="19"/>
  <c r="B402" i="19"/>
  <c r="A402" i="19"/>
  <c r="T401" i="19"/>
  <c r="S401" i="19"/>
  <c r="R401" i="19"/>
  <c r="U401" i="19" s="1"/>
  <c r="Q401" i="19" s="1"/>
  <c r="P401" i="19"/>
  <c r="O401" i="19"/>
  <c r="N401" i="19"/>
  <c r="M401" i="19"/>
  <c r="L401" i="19"/>
  <c r="K401" i="19"/>
  <c r="I401" i="19"/>
  <c r="H401" i="19"/>
  <c r="G401" i="19"/>
  <c r="F401" i="19"/>
  <c r="E401" i="19"/>
  <c r="D401" i="19"/>
  <c r="C401" i="19"/>
  <c r="B401" i="19"/>
  <c r="A401" i="19"/>
  <c r="T400" i="19"/>
  <c r="S400" i="19"/>
  <c r="U400" i="19" s="1"/>
  <c r="Q400" i="19" s="1"/>
  <c r="R400" i="19"/>
  <c r="P400" i="19"/>
  <c r="O400" i="19"/>
  <c r="N400" i="19"/>
  <c r="M400" i="19"/>
  <c r="L400" i="19"/>
  <c r="K400" i="19"/>
  <c r="I400" i="19"/>
  <c r="H400" i="19"/>
  <c r="G400" i="19"/>
  <c r="C400" i="19" s="1"/>
  <c r="F400" i="19"/>
  <c r="E400" i="19"/>
  <c r="D400" i="19"/>
  <c r="B400" i="19"/>
  <c r="A400" i="19"/>
  <c r="U399" i="19"/>
  <c r="Q399" i="19" s="1"/>
  <c r="T399" i="19"/>
  <c r="S399" i="19"/>
  <c r="R399" i="19"/>
  <c r="P399" i="19"/>
  <c r="O399" i="19"/>
  <c r="N399" i="19"/>
  <c r="M399" i="19"/>
  <c r="L399" i="19"/>
  <c r="K399" i="19"/>
  <c r="J399" i="19" s="1"/>
  <c r="I399" i="19"/>
  <c r="H399" i="19"/>
  <c r="G399" i="19"/>
  <c r="F399" i="19"/>
  <c r="E399" i="19"/>
  <c r="D399" i="19"/>
  <c r="B399" i="19"/>
  <c r="A399" i="19"/>
  <c r="U398" i="19"/>
  <c r="Q398" i="19" s="1"/>
  <c r="T398" i="19"/>
  <c r="S398" i="19"/>
  <c r="R398" i="19"/>
  <c r="P398" i="19"/>
  <c r="O398" i="19"/>
  <c r="N398" i="19"/>
  <c r="M398" i="19"/>
  <c r="L398" i="19"/>
  <c r="K398" i="19"/>
  <c r="I398" i="19"/>
  <c r="H398" i="19"/>
  <c r="G398" i="19"/>
  <c r="F398" i="19"/>
  <c r="E398" i="19"/>
  <c r="D398" i="19"/>
  <c r="C398" i="19"/>
  <c r="B398" i="19"/>
  <c r="A398" i="19"/>
  <c r="T397" i="19"/>
  <c r="S397" i="19"/>
  <c r="R397" i="19"/>
  <c r="P397" i="19"/>
  <c r="O397" i="19"/>
  <c r="N397" i="19"/>
  <c r="M397" i="19"/>
  <c r="L397" i="19"/>
  <c r="K397" i="19"/>
  <c r="J397" i="19" s="1"/>
  <c r="I397" i="19"/>
  <c r="H397" i="19"/>
  <c r="G397" i="19"/>
  <c r="F397" i="19"/>
  <c r="E397" i="19"/>
  <c r="D397" i="19"/>
  <c r="B397" i="19"/>
  <c r="A397" i="19"/>
  <c r="T396" i="19"/>
  <c r="S396" i="19"/>
  <c r="U396" i="19" s="1"/>
  <c r="R396" i="19"/>
  <c r="Q396" i="19"/>
  <c r="P396" i="19"/>
  <c r="O396" i="19"/>
  <c r="N396" i="19"/>
  <c r="M396" i="19"/>
  <c r="L396" i="19"/>
  <c r="K396" i="19"/>
  <c r="J396" i="19" s="1"/>
  <c r="I396" i="19"/>
  <c r="H396" i="19"/>
  <c r="G396" i="19"/>
  <c r="F396" i="19"/>
  <c r="E396" i="19"/>
  <c r="D396" i="19"/>
  <c r="C396" i="19" s="1"/>
  <c r="B396" i="19"/>
  <c r="A396" i="19"/>
  <c r="T395" i="19"/>
  <c r="S395" i="19"/>
  <c r="R395" i="19"/>
  <c r="U395" i="19" s="1"/>
  <c r="Q395" i="19" s="1"/>
  <c r="P395" i="19"/>
  <c r="O395" i="19"/>
  <c r="N395" i="19"/>
  <c r="M395" i="19"/>
  <c r="L395" i="19"/>
  <c r="K395" i="19"/>
  <c r="I395" i="19"/>
  <c r="H395" i="19"/>
  <c r="G395" i="19"/>
  <c r="C395" i="19" s="1"/>
  <c r="F395" i="19"/>
  <c r="E395" i="19"/>
  <c r="D395" i="19"/>
  <c r="B395" i="19"/>
  <c r="A395" i="19"/>
  <c r="U394" i="19"/>
  <c r="T394" i="19"/>
  <c r="S394" i="19"/>
  <c r="R394" i="19"/>
  <c r="Q394" i="19"/>
  <c r="V394" i="19" s="1"/>
  <c r="P394" i="19"/>
  <c r="O394" i="19"/>
  <c r="N394" i="19"/>
  <c r="M394" i="19"/>
  <c r="L394" i="19"/>
  <c r="K394" i="19"/>
  <c r="J394" i="19" s="1"/>
  <c r="I394" i="19"/>
  <c r="H394" i="19"/>
  <c r="G394" i="19"/>
  <c r="F394" i="19"/>
  <c r="E394" i="19"/>
  <c r="C394" i="19" s="1"/>
  <c r="D394" i="19"/>
  <c r="B394" i="19"/>
  <c r="A394" i="19"/>
  <c r="T393" i="19"/>
  <c r="S393" i="19"/>
  <c r="U393" i="19" s="1"/>
  <c r="Q393" i="19" s="1"/>
  <c r="R393" i="19"/>
  <c r="P393" i="19"/>
  <c r="O393" i="19"/>
  <c r="N393" i="19"/>
  <c r="M393" i="19"/>
  <c r="L393" i="19"/>
  <c r="K393" i="19"/>
  <c r="I393" i="19"/>
  <c r="H393" i="19"/>
  <c r="G393" i="19"/>
  <c r="C393" i="19" s="1"/>
  <c r="F393" i="19"/>
  <c r="E393" i="19"/>
  <c r="D393" i="19"/>
  <c r="B393" i="19"/>
  <c r="A393" i="19"/>
  <c r="T392" i="19"/>
  <c r="S392" i="19"/>
  <c r="R392" i="19"/>
  <c r="P392" i="19"/>
  <c r="O392" i="19"/>
  <c r="N392" i="19"/>
  <c r="M392" i="19"/>
  <c r="L392" i="19"/>
  <c r="K392" i="19"/>
  <c r="I392" i="19"/>
  <c r="H392" i="19"/>
  <c r="G392" i="19"/>
  <c r="F392" i="19"/>
  <c r="E392" i="19"/>
  <c r="D392" i="19"/>
  <c r="B392" i="19"/>
  <c r="A392" i="19"/>
  <c r="T391" i="19"/>
  <c r="S391" i="19"/>
  <c r="U391" i="19" s="1"/>
  <c r="Q391" i="19" s="1"/>
  <c r="R391" i="19"/>
  <c r="P391" i="19"/>
  <c r="O391" i="19"/>
  <c r="N391" i="19"/>
  <c r="M391" i="19"/>
  <c r="L391" i="19"/>
  <c r="K391" i="19"/>
  <c r="I391" i="19"/>
  <c r="H391" i="19"/>
  <c r="G391" i="19"/>
  <c r="F391" i="19"/>
  <c r="E391" i="19"/>
  <c r="D391" i="19"/>
  <c r="C391" i="19" s="1"/>
  <c r="B391" i="19"/>
  <c r="A391" i="19"/>
  <c r="U390" i="19"/>
  <c r="Q390" i="19" s="1"/>
  <c r="T390" i="19"/>
  <c r="S390" i="19"/>
  <c r="R390" i="19"/>
  <c r="P390" i="19"/>
  <c r="O390" i="19"/>
  <c r="N390" i="19"/>
  <c r="M390" i="19"/>
  <c r="L390" i="19"/>
  <c r="K390" i="19"/>
  <c r="I390" i="19"/>
  <c r="C390" i="19" s="1"/>
  <c r="H390" i="19"/>
  <c r="G390" i="19"/>
  <c r="F390" i="19"/>
  <c r="E390" i="19"/>
  <c r="D390" i="19"/>
  <c r="B390" i="19"/>
  <c r="A390" i="19"/>
  <c r="T389" i="19"/>
  <c r="S389" i="19"/>
  <c r="R389" i="19"/>
  <c r="U389" i="19" s="1"/>
  <c r="Q389" i="19" s="1"/>
  <c r="P389" i="19"/>
  <c r="O389" i="19"/>
  <c r="N389" i="19"/>
  <c r="M389" i="19"/>
  <c r="L389" i="19"/>
  <c r="K389" i="19"/>
  <c r="I389" i="19"/>
  <c r="H389" i="19"/>
  <c r="G389" i="19"/>
  <c r="F389" i="19"/>
  <c r="E389" i="19"/>
  <c r="D389" i="19"/>
  <c r="B389" i="19"/>
  <c r="A389" i="19"/>
  <c r="U388" i="19"/>
  <c r="Q388" i="19" s="1"/>
  <c r="T388" i="19"/>
  <c r="S388" i="19"/>
  <c r="R388" i="19"/>
  <c r="P388" i="19"/>
  <c r="O388" i="19"/>
  <c r="N388" i="19"/>
  <c r="M388" i="19"/>
  <c r="L388" i="19"/>
  <c r="K388" i="19"/>
  <c r="I388" i="19"/>
  <c r="C388" i="19" s="1"/>
  <c r="H388" i="19"/>
  <c r="G388" i="19"/>
  <c r="F388" i="19"/>
  <c r="E388" i="19"/>
  <c r="D388" i="19"/>
  <c r="B388" i="19"/>
  <c r="A388" i="19"/>
  <c r="T387" i="19"/>
  <c r="S387" i="19"/>
  <c r="U387" i="19" s="1"/>
  <c r="R387" i="19"/>
  <c r="Q387" i="19"/>
  <c r="V387" i="19" s="1"/>
  <c r="P387" i="19"/>
  <c r="O387" i="19"/>
  <c r="N387" i="19"/>
  <c r="M387" i="19"/>
  <c r="L387" i="19"/>
  <c r="K387" i="19"/>
  <c r="J387" i="19" s="1"/>
  <c r="I387" i="19"/>
  <c r="H387" i="19"/>
  <c r="G387" i="19"/>
  <c r="F387" i="19"/>
  <c r="E387" i="19"/>
  <c r="C387" i="19" s="1"/>
  <c r="D387" i="19"/>
  <c r="B387" i="19"/>
  <c r="A387" i="19"/>
  <c r="T386" i="19"/>
  <c r="S386" i="19"/>
  <c r="U386" i="19" s="1"/>
  <c r="R386" i="19"/>
  <c r="Q386" i="19"/>
  <c r="P386" i="19"/>
  <c r="O386" i="19"/>
  <c r="N386" i="19"/>
  <c r="M386" i="19"/>
  <c r="L386" i="19"/>
  <c r="K386" i="19"/>
  <c r="J386" i="19" s="1"/>
  <c r="I386" i="19"/>
  <c r="H386" i="19"/>
  <c r="G386" i="19"/>
  <c r="F386" i="19"/>
  <c r="E386" i="19"/>
  <c r="D386" i="19"/>
  <c r="C386" i="19"/>
  <c r="B386" i="19"/>
  <c r="A386" i="19"/>
  <c r="U385" i="19"/>
  <c r="Q385" i="19" s="1"/>
  <c r="T385" i="19"/>
  <c r="S385" i="19"/>
  <c r="R385" i="19"/>
  <c r="P385" i="19"/>
  <c r="O385" i="19"/>
  <c r="N385" i="19"/>
  <c r="M385" i="19"/>
  <c r="L385" i="19"/>
  <c r="K385" i="19"/>
  <c r="J385" i="19" s="1"/>
  <c r="I385" i="19"/>
  <c r="C385" i="19" s="1"/>
  <c r="H385" i="19"/>
  <c r="G385" i="19"/>
  <c r="F385" i="19"/>
  <c r="E385" i="19"/>
  <c r="D385" i="19"/>
  <c r="B385" i="19"/>
  <c r="A385" i="19"/>
  <c r="T384" i="19"/>
  <c r="S384" i="19"/>
  <c r="U384" i="19" s="1"/>
  <c r="Q384" i="19" s="1"/>
  <c r="R384" i="19"/>
  <c r="P384" i="19"/>
  <c r="O384" i="19"/>
  <c r="N384" i="19"/>
  <c r="M384" i="19"/>
  <c r="L384" i="19"/>
  <c r="K384" i="19"/>
  <c r="I384" i="19"/>
  <c r="H384" i="19"/>
  <c r="G384" i="19"/>
  <c r="C384" i="19" s="1"/>
  <c r="F384" i="19"/>
  <c r="E384" i="19"/>
  <c r="D384" i="19"/>
  <c r="B384" i="19"/>
  <c r="A384" i="19"/>
  <c r="U383" i="19"/>
  <c r="Q383" i="19" s="1"/>
  <c r="T383" i="19"/>
  <c r="S383" i="19"/>
  <c r="R383" i="19"/>
  <c r="P383" i="19"/>
  <c r="O383" i="19"/>
  <c r="N383" i="19"/>
  <c r="M383" i="19"/>
  <c r="L383" i="19"/>
  <c r="K383" i="19"/>
  <c r="I383" i="19"/>
  <c r="H383" i="19"/>
  <c r="G383" i="19"/>
  <c r="F383" i="19"/>
  <c r="E383" i="19"/>
  <c r="D383" i="19"/>
  <c r="B383" i="19"/>
  <c r="A383" i="19"/>
  <c r="T382" i="19"/>
  <c r="S382" i="19"/>
  <c r="R382" i="19"/>
  <c r="P382" i="19"/>
  <c r="O382" i="19"/>
  <c r="N382" i="19"/>
  <c r="M382" i="19"/>
  <c r="L382" i="19"/>
  <c r="K382" i="19"/>
  <c r="I382" i="19"/>
  <c r="H382" i="19"/>
  <c r="G382" i="19"/>
  <c r="F382" i="19"/>
  <c r="E382" i="19"/>
  <c r="D382" i="19"/>
  <c r="B382" i="19"/>
  <c r="A382" i="19"/>
  <c r="T381" i="19"/>
  <c r="S381" i="19"/>
  <c r="U381" i="19" s="1"/>
  <c r="Q381" i="19" s="1"/>
  <c r="V381" i="19" s="1"/>
  <c r="R381" i="19"/>
  <c r="P381" i="19"/>
  <c r="O381" i="19"/>
  <c r="N381" i="19"/>
  <c r="M381" i="19"/>
  <c r="L381" i="19"/>
  <c r="K381" i="19"/>
  <c r="J381" i="19" s="1"/>
  <c r="I381" i="19"/>
  <c r="H381" i="19"/>
  <c r="G381" i="19"/>
  <c r="F381" i="19"/>
  <c r="E381" i="19"/>
  <c r="D381" i="19"/>
  <c r="C381" i="19" s="1"/>
  <c r="B381" i="19"/>
  <c r="A381" i="19"/>
  <c r="U380" i="19"/>
  <c r="Q380" i="19" s="1"/>
  <c r="T380" i="19"/>
  <c r="S380" i="19"/>
  <c r="R380" i="19"/>
  <c r="P380" i="19"/>
  <c r="O380" i="19"/>
  <c r="N380" i="19"/>
  <c r="M380" i="19"/>
  <c r="L380" i="19"/>
  <c r="K380" i="19"/>
  <c r="I380" i="19"/>
  <c r="H380" i="19"/>
  <c r="G380" i="19"/>
  <c r="F380" i="19"/>
  <c r="E380" i="19"/>
  <c r="D380" i="19"/>
  <c r="C380" i="19"/>
  <c r="B380" i="19"/>
  <c r="A380" i="19"/>
  <c r="T379" i="19"/>
  <c r="S379" i="19"/>
  <c r="U379" i="19" s="1"/>
  <c r="Q379" i="19" s="1"/>
  <c r="R379" i="19"/>
  <c r="P379" i="19"/>
  <c r="O379" i="19"/>
  <c r="N379" i="19"/>
  <c r="M379" i="19"/>
  <c r="L379" i="19"/>
  <c r="K379" i="19"/>
  <c r="I379" i="19"/>
  <c r="H379" i="19"/>
  <c r="G379" i="19"/>
  <c r="F379" i="19"/>
  <c r="E379" i="19"/>
  <c r="D379" i="19"/>
  <c r="B379" i="19"/>
  <c r="A379" i="19"/>
  <c r="U378" i="19"/>
  <c r="Q378" i="19" s="1"/>
  <c r="T378" i="19"/>
  <c r="S378" i="19"/>
  <c r="R378" i="19"/>
  <c r="P378" i="19"/>
  <c r="O378" i="19"/>
  <c r="N378" i="19"/>
  <c r="M378" i="19"/>
  <c r="L378" i="19"/>
  <c r="K378" i="19"/>
  <c r="J378" i="19"/>
  <c r="I378" i="19"/>
  <c r="H378" i="19"/>
  <c r="G378" i="19"/>
  <c r="F378" i="19"/>
  <c r="E378" i="19"/>
  <c r="D378" i="19"/>
  <c r="B378" i="19"/>
  <c r="A378" i="19"/>
  <c r="T377" i="19"/>
  <c r="U377" i="19" s="1"/>
  <c r="Q377" i="19" s="1"/>
  <c r="S377" i="19"/>
  <c r="R377" i="19"/>
  <c r="P377" i="19"/>
  <c r="O377" i="19"/>
  <c r="N377" i="19"/>
  <c r="M377" i="19"/>
  <c r="L377" i="19"/>
  <c r="K377" i="19"/>
  <c r="J377" i="19" s="1"/>
  <c r="I377" i="19"/>
  <c r="H377" i="19"/>
  <c r="G377" i="19"/>
  <c r="F377" i="19"/>
  <c r="E377" i="19"/>
  <c r="D377" i="19"/>
  <c r="C377" i="19"/>
  <c r="B377" i="19"/>
  <c r="A377" i="19"/>
  <c r="T376" i="19"/>
  <c r="S376" i="19"/>
  <c r="R376" i="19"/>
  <c r="U376" i="19" s="1"/>
  <c r="Q376" i="19" s="1"/>
  <c r="V376" i="19" s="1"/>
  <c r="P376" i="19"/>
  <c r="O376" i="19"/>
  <c r="N376" i="19"/>
  <c r="M376" i="19"/>
  <c r="L376" i="19"/>
  <c r="K376" i="19"/>
  <c r="J376" i="19" s="1"/>
  <c r="I376" i="19"/>
  <c r="H376" i="19"/>
  <c r="G376" i="19"/>
  <c r="F376" i="19"/>
  <c r="E376" i="19"/>
  <c r="C376" i="19" s="1"/>
  <c r="D376" i="19"/>
  <c r="B376" i="19"/>
  <c r="A376" i="19"/>
  <c r="T375" i="19"/>
  <c r="S375" i="19"/>
  <c r="U375" i="19" s="1"/>
  <c r="R375" i="19"/>
  <c r="Q375" i="19"/>
  <c r="P375" i="19"/>
  <c r="O375" i="19"/>
  <c r="N375" i="19"/>
  <c r="M375" i="19"/>
  <c r="L375" i="19"/>
  <c r="K375" i="19"/>
  <c r="I375" i="19"/>
  <c r="H375" i="19"/>
  <c r="G375" i="19"/>
  <c r="F375" i="19"/>
  <c r="E375" i="19"/>
  <c r="D375" i="19"/>
  <c r="C375" i="19" s="1"/>
  <c r="B375" i="19"/>
  <c r="A375" i="19"/>
  <c r="U374" i="19"/>
  <c r="Q374" i="19" s="1"/>
  <c r="T374" i="19"/>
  <c r="S374" i="19"/>
  <c r="R374" i="19"/>
  <c r="P374" i="19"/>
  <c r="O374" i="19"/>
  <c r="N374" i="19"/>
  <c r="M374" i="19"/>
  <c r="L374" i="19"/>
  <c r="K374" i="19"/>
  <c r="I374" i="19"/>
  <c r="H374" i="19"/>
  <c r="G374" i="19"/>
  <c r="F374" i="19"/>
  <c r="E374" i="19"/>
  <c r="D374" i="19"/>
  <c r="C374" i="19"/>
  <c r="B374" i="19"/>
  <c r="A374" i="19"/>
  <c r="T373" i="19"/>
  <c r="S373" i="19"/>
  <c r="U373" i="19" s="1"/>
  <c r="Q373" i="19" s="1"/>
  <c r="R373" i="19"/>
  <c r="P373" i="19"/>
  <c r="O373" i="19"/>
  <c r="N373" i="19"/>
  <c r="M373" i="19"/>
  <c r="L373" i="19"/>
  <c r="K373" i="19"/>
  <c r="I373" i="19"/>
  <c r="H373" i="19"/>
  <c r="G373" i="19"/>
  <c r="C373" i="19" s="1"/>
  <c r="F373" i="19"/>
  <c r="E373" i="19"/>
  <c r="D373" i="19"/>
  <c r="B373" i="19"/>
  <c r="A373" i="19"/>
  <c r="U372" i="19"/>
  <c r="Q372" i="19" s="1"/>
  <c r="T372" i="19"/>
  <c r="S372" i="19"/>
  <c r="R372" i="19"/>
  <c r="P372" i="19"/>
  <c r="O372" i="19"/>
  <c r="N372" i="19"/>
  <c r="M372" i="19"/>
  <c r="L372" i="19"/>
  <c r="K372" i="19"/>
  <c r="J372" i="19" s="1"/>
  <c r="I372" i="19"/>
  <c r="H372" i="19"/>
  <c r="G372" i="19"/>
  <c r="F372" i="19"/>
  <c r="E372" i="19"/>
  <c r="D372" i="19"/>
  <c r="B372" i="19"/>
  <c r="A372" i="19"/>
  <c r="U371" i="19"/>
  <c r="Q371" i="19" s="1"/>
  <c r="T371" i="19"/>
  <c r="S371" i="19"/>
  <c r="R371" i="19"/>
  <c r="P371" i="19"/>
  <c r="O371" i="19"/>
  <c r="N371" i="19"/>
  <c r="M371" i="19"/>
  <c r="L371" i="19"/>
  <c r="K371" i="19"/>
  <c r="I371" i="19"/>
  <c r="C371" i="19" s="1"/>
  <c r="H371" i="19"/>
  <c r="G371" i="19"/>
  <c r="F371" i="19"/>
  <c r="E371" i="19"/>
  <c r="D371" i="19"/>
  <c r="B371" i="19"/>
  <c r="A371" i="19"/>
  <c r="T370" i="19"/>
  <c r="S370" i="19"/>
  <c r="R370" i="19"/>
  <c r="P370" i="19"/>
  <c r="O370" i="19"/>
  <c r="N370" i="19"/>
  <c r="M370" i="19"/>
  <c r="L370" i="19"/>
  <c r="K370" i="19"/>
  <c r="J370" i="19" s="1"/>
  <c r="I370" i="19"/>
  <c r="H370" i="19"/>
  <c r="G370" i="19"/>
  <c r="F370" i="19"/>
  <c r="E370" i="19"/>
  <c r="D370" i="19"/>
  <c r="B370" i="19"/>
  <c r="A370" i="19"/>
  <c r="T369" i="19"/>
  <c r="S369" i="19"/>
  <c r="U369" i="19" s="1"/>
  <c r="R369" i="19"/>
  <c r="Q369" i="19"/>
  <c r="P369" i="19"/>
  <c r="O369" i="19"/>
  <c r="N369" i="19"/>
  <c r="M369" i="19"/>
  <c r="L369" i="19"/>
  <c r="K369" i="19"/>
  <c r="J369" i="19" s="1"/>
  <c r="I369" i="19"/>
  <c r="H369" i="19"/>
  <c r="G369" i="19"/>
  <c r="F369" i="19"/>
  <c r="E369" i="19"/>
  <c r="D369" i="19"/>
  <c r="C369" i="19" s="1"/>
  <c r="B369" i="19"/>
  <c r="A369" i="19"/>
  <c r="U368" i="19"/>
  <c r="Q368" i="19" s="1"/>
  <c r="T368" i="19"/>
  <c r="S368" i="19"/>
  <c r="R368" i="19"/>
  <c r="P368" i="19"/>
  <c r="O368" i="19"/>
  <c r="N368" i="19"/>
  <c r="M368" i="19"/>
  <c r="L368" i="19"/>
  <c r="K368" i="19"/>
  <c r="I368" i="19"/>
  <c r="H368" i="19"/>
  <c r="G368" i="19"/>
  <c r="F368" i="19"/>
  <c r="E368" i="19"/>
  <c r="D368" i="19"/>
  <c r="C368" i="19"/>
  <c r="B368" i="19"/>
  <c r="A368" i="19"/>
  <c r="T367" i="19"/>
  <c r="S367" i="19"/>
  <c r="U367" i="19" s="1"/>
  <c r="Q367" i="19" s="1"/>
  <c r="R367" i="19"/>
  <c r="P367" i="19"/>
  <c r="O367" i="19"/>
  <c r="N367" i="19"/>
  <c r="M367" i="19"/>
  <c r="L367" i="19"/>
  <c r="K367" i="19"/>
  <c r="I367" i="19"/>
  <c r="H367" i="19"/>
  <c r="G367" i="19"/>
  <c r="C367" i="19" s="1"/>
  <c r="F367" i="19"/>
  <c r="E367" i="19"/>
  <c r="D367" i="19"/>
  <c r="B367" i="19"/>
  <c r="A367" i="19"/>
  <c r="U366" i="19"/>
  <c r="T366" i="19"/>
  <c r="S366" i="19"/>
  <c r="R366" i="19"/>
  <c r="Q366" i="19"/>
  <c r="P366" i="19"/>
  <c r="O366" i="19"/>
  <c r="N366" i="19"/>
  <c r="M366" i="19"/>
  <c r="L366" i="19"/>
  <c r="K366" i="19"/>
  <c r="J366" i="19"/>
  <c r="V366" i="19" s="1"/>
  <c r="I366" i="19"/>
  <c r="H366" i="19"/>
  <c r="G366" i="19"/>
  <c r="F366" i="19"/>
  <c r="E366" i="19"/>
  <c r="C366" i="19" s="1"/>
  <c r="D366" i="19"/>
  <c r="B366" i="19"/>
  <c r="A366" i="19"/>
  <c r="T365" i="19"/>
  <c r="U365" i="19" s="1"/>
  <c r="Q365" i="19" s="1"/>
  <c r="S365" i="19"/>
  <c r="R365" i="19"/>
  <c r="P365" i="19"/>
  <c r="O365" i="19"/>
  <c r="N365" i="19"/>
  <c r="M365" i="19"/>
  <c r="L365" i="19"/>
  <c r="K365" i="19"/>
  <c r="I365" i="19"/>
  <c r="H365" i="19"/>
  <c r="G365" i="19"/>
  <c r="C365" i="19" s="1"/>
  <c r="F365" i="19"/>
  <c r="E365" i="19"/>
  <c r="D365" i="19"/>
  <c r="B365" i="19"/>
  <c r="A365" i="19"/>
  <c r="T364" i="19"/>
  <c r="S364" i="19"/>
  <c r="R364" i="19"/>
  <c r="U364" i="19" s="1"/>
  <c r="Q364" i="19" s="1"/>
  <c r="P364" i="19"/>
  <c r="O364" i="19"/>
  <c r="N364" i="19"/>
  <c r="M364" i="19"/>
  <c r="L364" i="19"/>
  <c r="K364" i="19"/>
  <c r="I364" i="19"/>
  <c r="H364" i="19"/>
  <c r="G364" i="19"/>
  <c r="F364" i="19"/>
  <c r="E364" i="19"/>
  <c r="D364" i="19"/>
  <c r="B364" i="19"/>
  <c r="A364" i="19"/>
  <c r="T363" i="19"/>
  <c r="S363" i="19"/>
  <c r="U363" i="19" s="1"/>
  <c r="Q363" i="19" s="1"/>
  <c r="R363" i="19"/>
  <c r="P363" i="19"/>
  <c r="O363" i="19"/>
  <c r="N363" i="19"/>
  <c r="M363" i="19"/>
  <c r="L363" i="19"/>
  <c r="K363" i="19"/>
  <c r="I363" i="19"/>
  <c r="H363" i="19"/>
  <c r="G363" i="19"/>
  <c r="F363" i="19"/>
  <c r="E363" i="19"/>
  <c r="D363" i="19"/>
  <c r="C363" i="19"/>
  <c r="B363" i="19"/>
  <c r="A363" i="19"/>
  <c r="U362" i="19"/>
  <c r="Q362" i="19" s="1"/>
  <c r="T362" i="19"/>
  <c r="S362" i="19"/>
  <c r="R362" i="19"/>
  <c r="P362" i="19"/>
  <c r="O362" i="19"/>
  <c r="N362" i="19"/>
  <c r="M362" i="19"/>
  <c r="L362" i="19"/>
  <c r="K362" i="19"/>
  <c r="J362" i="19" s="1"/>
  <c r="I362" i="19"/>
  <c r="C362" i="19" s="1"/>
  <c r="H362" i="19"/>
  <c r="G362" i="19"/>
  <c r="F362" i="19"/>
  <c r="E362" i="19"/>
  <c r="D362" i="19"/>
  <c r="B362" i="19"/>
  <c r="A362" i="19"/>
  <c r="T361" i="19"/>
  <c r="S361" i="19"/>
  <c r="U361" i="19" s="1"/>
  <c r="Q361" i="19" s="1"/>
  <c r="R361" i="19"/>
  <c r="P361" i="19"/>
  <c r="O361" i="19"/>
  <c r="N361" i="19"/>
  <c r="M361" i="19"/>
  <c r="L361" i="19"/>
  <c r="K361" i="19"/>
  <c r="I361" i="19"/>
  <c r="H361" i="19"/>
  <c r="G361" i="19"/>
  <c r="F361" i="19"/>
  <c r="E361" i="19"/>
  <c r="C361" i="19" s="1"/>
  <c r="D361" i="19"/>
  <c r="B361" i="19"/>
  <c r="A361" i="19"/>
  <c r="U360" i="19"/>
  <c r="Q360" i="19" s="1"/>
  <c r="T360" i="19"/>
  <c r="S360" i="19"/>
  <c r="R360" i="19"/>
  <c r="P360" i="19"/>
  <c r="O360" i="19"/>
  <c r="N360" i="19"/>
  <c r="M360" i="19"/>
  <c r="L360" i="19"/>
  <c r="K360" i="19"/>
  <c r="J360" i="19"/>
  <c r="I360" i="19"/>
  <c r="H360" i="19"/>
  <c r="G360" i="19"/>
  <c r="F360" i="19"/>
  <c r="E360" i="19"/>
  <c r="D360" i="19"/>
  <c r="B360" i="19"/>
  <c r="A360" i="19"/>
  <c r="T359" i="19"/>
  <c r="U359" i="19" s="1"/>
  <c r="Q359" i="19" s="1"/>
  <c r="S359" i="19"/>
  <c r="R359" i="19"/>
  <c r="P359" i="19"/>
  <c r="O359" i="19"/>
  <c r="N359" i="19"/>
  <c r="M359" i="19"/>
  <c r="L359" i="19"/>
  <c r="K359" i="19"/>
  <c r="I359" i="19"/>
  <c r="H359" i="19"/>
  <c r="G359" i="19"/>
  <c r="C359" i="19" s="1"/>
  <c r="F359" i="19"/>
  <c r="E359" i="19"/>
  <c r="D359" i="19"/>
  <c r="B359" i="19"/>
  <c r="A359" i="19"/>
  <c r="T358" i="19"/>
  <c r="S358" i="19"/>
  <c r="R358" i="19"/>
  <c r="P358" i="19"/>
  <c r="O358" i="19"/>
  <c r="N358" i="19"/>
  <c r="M358" i="19"/>
  <c r="L358" i="19"/>
  <c r="K358" i="19"/>
  <c r="I358" i="19"/>
  <c r="H358" i="19"/>
  <c r="G358" i="19"/>
  <c r="F358" i="19"/>
  <c r="E358" i="19"/>
  <c r="D358" i="19"/>
  <c r="C358" i="19"/>
  <c r="B358" i="19"/>
  <c r="A358" i="19"/>
  <c r="T357" i="19"/>
  <c r="S357" i="19"/>
  <c r="U357" i="19" s="1"/>
  <c r="Q357" i="19" s="1"/>
  <c r="R357" i="19"/>
  <c r="P357" i="19"/>
  <c r="O357" i="19"/>
  <c r="N357" i="19"/>
  <c r="M357" i="19"/>
  <c r="L357" i="19"/>
  <c r="K357" i="19"/>
  <c r="J357" i="19" s="1"/>
  <c r="I357" i="19"/>
  <c r="H357" i="19"/>
  <c r="G357" i="19"/>
  <c r="F357" i="19"/>
  <c r="E357" i="19"/>
  <c r="C357" i="19" s="1"/>
  <c r="D357" i="19"/>
  <c r="B357" i="19"/>
  <c r="A357" i="19"/>
  <c r="U356" i="19"/>
  <c r="Q356" i="19" s="1"/>
  <c r="T356" i="19"/>
  <c r="S356" i="19"/>
  <c r="R356" i="19"/>
  <c r="P356" i="19"/>
  <c r="O356" i="19"/>
  <c r="N356" i="19"/>
  <c r="M356" i="19"/>
  <c r="L356" i="19"/>
  <c r="K356" i="19"/>
  <c r="I356" i="19"/>
  <c r="C356" i="19" s="1"/>
  <c r="H356" i="19"/>
  <c r="G356" i="19"/>
  <c r="F356" i="19"/>
  <c r="E356" i="19"/>
  <c r="D356" i="19"/>
  <c r="B356" i="19"/>
  <c r="A356" i="19"/>
  <c r="U355" i="19"/>
  <c r="Q355" i="19" s="1"/>
  <c r="T355" i="19"/>
  <c r="S355" i="19"/>
  <c r="R355" i="19"/>
  <c r="P355" i="19"/>
  <c r="O355" i="19"/>
  <c r="N355" i="19"/>
  <c r="M355" i="19"/>
  <c r="L355" i="19"/>
  <c r="K355" i="19"/>
  <c r="I355" i="19"/>
  <c r="H355" i="19"/>
  <c r="G355" i="19"/>
  <c r="C355" i="19" s="1"/>
  <c r="F355" i="19"/>
  <c r="E355" i="19"/>
  <c r="D355" i="19"/>
  <c r="B355" i="19"/>
  <c r="A355" i="19"/>
  <c r="U354" i="19"/>
  <c r="Q354" i="19" s="1"/>
  <c r="T354" i="19"/>
  <c r="S354" i="19"/>
  <c r="R354" i="19"/>
  <c r="P354" i="19"/>
  <c r="O354" i="19"/>
  <c r="N354" i="19"/>
  <c r="M354" i="19"/>
  <c r="L354" i="19"/>
  <c r="K354" i="19"/>
  <c r="J354" i="19"/>
  <c r="I354" i="19"/>
  <c r="H354" i="19"/>
  <c r="G354" i="19"/>
  <c r="F354" i="19"/>
  <c r="E354" i="19"/>
  <c r="D354" i="19"/>
  <c r="B354" i="19"/>
  <c r="A354" i="19"/>
  <c r="T353" i="19"/>
  <c r="U353" i="19" s="1"/>
  <c r="Q353" i="19" s="1"/>
  <c r="S353" i="19"/>
  <c r="R353" i="19"/>
  <c r="P353" i="19"/>
  <c r="O353" i="19"/>
  <c r="N353" i="19"/>
  <c r="M353" i="19"/>
  <c r="L353" i="19"/>
  <c r="K353" i="19"/>
  <c r="J353" i="19" s="1"/>
  <c r="I353" i="19"/>
  <c r="H353" i="19"/>
  <c r="G353" i="19"/>
  <c r="F353" i="19"/>
  <c r="E353" i="19"/>
  <c r="D353" i="19"/>
  <c r="C353" i="19"/>
  <c r="B353" i="19"/>
  <c r="A353" i="19"/>
  <c r="T352" i="19"/>
  <c r="S352" i="19"/>
  <c r="R352" i="19"/>
  <c r="P352" i="19"/>
  <c r="O352" i="19"/>
  <c r="N352" i="19"/>
  <c r="M352" i="19"/>
  <c r="L352" i="19"/>
  <c r="K352" i="19"/>
  <c r="I352" i="19"/>
  <c r="H352" i="19"/>
  <c r="G352" i="19"/>
  <c r="F352" i="19"/>
  <c r="E352" i="19"/>
  <c r="C352" i="19" s="1"/>
  <c r="D352" i="19"/>
  <c r="B352" i="19"/>
  <c r="A352" i="19"/>
  <c r="T351" i="19"/>
  <c r="S351" i="19"/>
  <c r="U351" i="19" s="1"/>
  <c r="Q351" i="19" s="1"/>
  <c r="R351" i="19"/>
  <c r="P351" i="19"/>
  <c r="O351" i="19"/>
  <c r="N351" i="19"/>
  <c r="M351" i="19"/>
  <c r="L351" i="19"/>
  <c r="K351" i="19"/>
  <c r="I351" i="19"/>
  <c r="H351" i="19"/>
  <c r="G351" i="19"/>
  <c r="F351" i="19"/>
  <c r="E351" i="19"/>
  <c r="C351" i="19" s="1"/>
  <c r="D351" i="19"/>
  <c r="B351" i="19"/>
  <c r="A351" i="19"/>
  <c r="U350" i="19"/>
  <c r="Q350" i="19" s="1"/>
  <c r="T350" i="19"/>
  <c r="S350" i="19"/>
  <c r="R350" i="19"/>
  <c r="P350" i="19"/>
  <c r="O350" i="19"/>
  <c r="N350" i="19"/>
  <c r="M350" i="19"/>
  <c r="L350" i="19"/>
  <c r="K350" i="19"/>
  <c r="I350" i="19"/>
  <c r="C350" i="19" s="1"/>
  <c r="H350" i="19"/>
  <c r="G350" i="19"/>
  <c r="F350" i="19"/>
  <c r="E350" i="19"/>
  <c r="D350" i="19"/>
  <c r="B350" i="19"/>
  <c r="A350" i="19"/>
  <c r="U349" i="19"/>
  <c r="Q349" i="19" s="1"/>
  <c r="T349" i="19"/>
  <c r="S349" i="19"/>
  <c r="R349" i="19"/>
  <c r="P349" i="19"/>
  <c r="O349" i="19"/>
  <c r="N349" i="19"/>
  <c r="M349" i="19"/>
  <c r="L349" i="19"/>
  <c r="K349" i="19"/>
  <c r="I349" i="19"/>
  <c r="H349" i="19"/>
  <c r="G349" i="19"/>
  <c r="F349" i="19"/>
  <c r="E349" i="19"/>
  <c r="D349" i="19"/>
  <c r="B349" i="19"/>
  <c r="A349" i="19"/>
  <c r="U348" i="19"/>
  <c r="T348" i="19"/>
  <c r="S348" i="19"/>
  <c r="R348" i="19"/>
  <c r="Q348" i="19"/>
  <c r="P348" i="19"/>
  <c r="O348" i="19"/>
  <c r="N348" i="19"/>
  <c r="M348" i="19"/>
  <c r="L348" i="19"/>
  <c r="K348" i="19"/>
  <c r="J348" i="19"/>
  <c r="I348" i="19"/>
  <c r="H348" i="19"/>
  <c r="G348" i="19"/>
  <c r="F348" i="19"/>
  <c r="E348" i="19"/>
  <c r="C348" i="19" s="1"/>
  <c r="D348" i="19"/>
  <c r="B348" i="19"/>
  <c r="A348" i="19"/>
  <c r="T347" i="19"/>
  <c r="U347" i="19" s="1"/>
  <c r="Q347" i="19" s="1"/>
  <c r="S347" i="19"/>
  <c r="R347" i="19"/>
  <c r="P347" i="19"/>
  <c r="O347" i="19"/>
  <c r="N347" i="19"/>
  <c r="M347" i="19"/>
  <c r="L347" i="19"/>
  <c r="K347" i="19"/>
  <c r="J347" i="19" s="1"/>
  <c r="I347" i="19"/>
  <c r="H347" i="19"/>
  <c r="G347" i="19"/>
  <c r="F347" i="19"/>
  <c r="E347" i="19"/>
  <c r="C347" i="19" s="1"/>
  <c r="D347" i="19"/>
  <c r="B347" i="19"/>
  <c r="A347" i="19"/>
  <c r="T346" i="19"/>
  <c r="S346" i="19"/>
  <c r="R346" i="19"/>
  <c r="P346" i="19"/>
  <c r="O346" i="19"/>
  <c r="N346" i="19"/>
  <c r="M346" i="19"/>
  <c r="L346" i="19"/>
  <c r="K346" i="19"/>
  <c r="I346" i="19"/>
  <c r="H346" i="19"/>
  <c r="G346" i="19"/>
  <c r="F346" i="19"/>
  <c r="E346" i="19"/>
  <c r="D346" i="19"/>
  <c r="B346" i="19"/>
  <c r="A346" i="19"/>
  <c r="U345" i="19"/>
  <c r="T345" i="19"/>
  <c r="S345" i="19"/>
  <c r="R345" i="19"/>
  <c r="Q345" i="19"/>
  <c r="P345" i="19"/>
  <c r="O345" i="19"/>
  <c r="N345" i="19"/>
  <c r="M345" i="19"/>
  <c r="L345" i="19"/>
  <c r="K345" i="19"/>
  <c r="I345" i="19"/>
  <c r="H345" i="19"/>
  <c r="G345" i="19"/>
  <c r="F345" i="19"/>
  <c r="E345" i="19"/>
  <c r="D345" i="19"/>
  <c r="C345" i="19"/>
  <c r="B345" i="19"/>
  <c r="A345" i="19"/>
  <c r="U344" i="19"/>
  <c r="Q344" i="19" s="1"/>
  <c r="T344" i="19"/>
  <c r="S344" i="19"/>
  <c r="R344" i="19"/>
  <c r="P344" i="19"/>
  <c r="O344" i="19"/>
  <c r="N344" i="19"/>
  <c r="M344" i="19"/>
  <c r="L344" i="19"/>
  <c r="K344" i="19"/>
  <c r="J344" i="19" s="1"/>
  <c r="I344" i="19"/>
  <c r="C344" i="19" s="1"/>
  <c r="H344" i="19"/>
  <c r="G344" i="19"/>
  <c r="F344" i="19"/>
  <c r="E344" i="19"/>
  <c r="D344" i="19"/>
  <c r="B344" i="19"/>
  <c r="A344" i="19"/>
  <c r="T343" i="19"/>
  <c r="S343" i="19"/>
  <c r="U343" i="19" s="1"/>
  <c r="Q343" i="19" s="1"/>
  <c r="R343" i="19"/>
  <c r="P343" i="19"/>
  <c r="O343" i="19"/>
  <c r="N343" i="19"/>
  <c r="M343" i="19"/>
  <c r="L343" i="19"/>
  <c r="K343" i="19"/>
  <c r="I343" i="19"/>
  <c r="H343" i="19"/>
  <c r="G343" i="19"/>
  <c r="F343" i="19"/>
  <c r="E343" i="19"/>
  <c r="D343" i="19"/>
  <c r="B343" i="19"/>
  <c r="A343" i="19"/>
  <c r="U342" i="19"/>
  <c r="Q342" i="19" s="1"/>
  <c r="T342" i="19"/>
  <c r="S342" i="19"/>
  <c r="R342" i="19"/>
  <c r="P342" i="19"/>
  <c r="O342" i="19"/>
  <c r="N342" i="19"/>
  <c r="M342" i="19"/>
  <c r="L342" i="19"/>
  <c r="K342" i="19"/>
  <c r="J342" i="19" s="1"/>
  <c r="I342" i="19"/>
  <c r="H342" i="19"/>
  <c r="G342" i="19"/>
  <c r="F342" i="19"/>
  <c r="E342" i="19"/>
  <c r="D342" i="19"/>
  <c r="B342" i="19"/>
  <c r="A342" i="19"/>
  <c r="U341" i="19"/>
  <c r="T341" i="19"/>
  <c r="S341" i="19"/>
  <c r="R341" i="19"/>
  <c r="Q341" i="19"/>
  <c r="P341" i="19"/>
  <c r="O341" i="19"/>
  <c r="N341" i="19"/>
  <c r="M341" i="19"/>
  <c r="L341" i="19"/>
  <c r="K341" i="19"/>
  <c r="J341" i="19" s="1"/>
  <c r="I341" i="19"/>
  <c r="H341" i="19"/>
  <c r="G341" i="19"/>
  <c r="F341" i="19"/>
  <c r="E341" i="19"/>
  <c r="D341" i="19"/>
  <c r="B341" i="19"/>
  <c r="A341" i="19"/>
  <c r="T340" i="19"/>
  <c r="S340" i="19"/>
  <c r="R340" i="19"/>
  <c r="U340" i="19" s="1"/>
  <c r="Q340" i="19"/>
  <c r="P340" i="19"/>
  <c r="O340" i="19"/>
  <c r="N340" i="19"/>
  <c r="M340" i="19"/>
  <c r="L340" i="19"/>
  <c r="K340" i="19"/>
  <c r="I340" i="19"/>
  <c r="H340" i="19"/>
  <c r="G340" i="19"/>
  <c r="F340" i="19"/>
  <c r="E340" i="19"/>
  <c r="C340" i="19" s="1"/>
  <c r="D340" i="19"/>
  <c r="B340" i="19"/>
  <c r="A340" i="19"/>
  <c r="T339" i="19"/>
  <c r="S339" i="19"/>
  <c r="U339" i="19" s="1"/>
  <c r="Q339" i="19" s="1"/>
  <c r="R339" i="19"/>
  <c r="P339" i="19"/>
  <c r="O339" i="19"/>
  <c r="N339" i="19"/>
  <c r="M339" i="19"/>
  <c r="L339" i="19"/>
  <c r="K339" i="19"/>
  <c r="J339" i="19" s="1"/>
  <c r="I339" i="19"/>
  <c r="H339" i="19"/>
  <c r="G339" i="19"/>
  <c r="F339" i="19"/>
  <c r="E339" i="19"/>
  <c r="D339" i="19"/>
  <c r="C339" i="19" s="1"/>
  <c r="B339" i="19"/>
  <c r="A339" i="19"/>
  <c r="U338" i="19"/>
  <c r="Q338" i="19" s="1"/>
  <c r="T338" i="19"/>
  <c r="S338" i="19"/>
  <c r="R338" i="19"/>
  <c r="P338" i="19"/>
  <c r="O338" i="19"/>
  <c r="N338" i="19"/>
  <c r="M338" i="19"/>
  <c r="L338" i="19"/>
  <c r="K338" i="19"/>
  <c r="I338" i="19"/>
  <c r="H338" i="19"/>
  <c r="G338" i="19"/>
  <c r="F338" i="19"/>
  <c r="E338" i="19"/>
  <c r="D338" i="19"/>
  <c r="C338" i="19"/>
  <c r="B338" i="19"/>
  <c r="A338" i="19"/>
  <c r="U337" i="19"/>
  <c r="Q337" i="19" s="1"/>
  <c r="T337" i="19"/>
  <c r="S337" i="19"/>
  <c r="R337" i="19"/>
  <c r="P337" i="19"/>
  <c r="O337" i="19"/>
  <c r="N337" i="19"/>
  <c r="M337" i="19"/>
  <c r="L337" i="19"/>
  <c r="K337" i="19"/>
  <c r="I337" i="19"/>
  <c r="H337" i="19"/>
  <c r="G337" i="19"/>
  <c r="F337" i="19"/>
  <c r="E337" i="19"/>
  <c r="D337" i="19"/>
  <c r="B337" i="19"/>
  <c r="A337" i="19"/>
  <c r="U336" i="19"/>
  <c r="Q336" i="19" s="1"/>
  <c r="T336" i="19"/>
  <c r="S336" i="19"/>
  <c r="R336" i="19"/>
  <c r="P336" i="19"/>
  <c r="O336" i="19"/>
  <c r="N336" i="19"/>
  <c r="M336" i="19"/>
  <c r="L336" i="19"/>
  <c r="K336" i="19"/>
  <c r="J336" i="19"/>
  <c r="I336" i="19"/>
  <c r="H336" i="19"/>
  <c r="G336" i="19"/>
  <c r="F336" i="19"/>
  <c r="E336" i="19"/>
  <c r="D336" i="19"/>
  <c r="B336" i="19"/>
  <c r="A336" i="19"/>
  <c r="T335" i="19"/>
  <c r="S335" i="19"/>
  <c r="U335" i="19" s="1"/>
  <c r="Q335" i="19" s="1"/>
  <c r="R335" i="19"/>
  <c r="P335" i="19"/>
  <c r="O335" i="19"/>
  <c r="N335" i="19"/>
  <c r="M335" i="19"/>
  <c r="L335" i="19"/>
  <c r="K335" i="19"/>
  <c r="I335" i="19"/>
  <c r="H335" i="19"/>
  <c r="G335" i="19"/>
  <c r="F335" i="19"/>
  <c r="E335" i="19"/>
  <c r="C335" i="19" s="1"/>
  <c r="D335" i="19"/>
  <c r="B335" i="19"/>
  <c r="A335" i="19"/>
  <c r="T334" i="19"/>
  <c r="S334" i="19"/>
  <c r="R334" i="19"/>
  <c r="U334" i="19" s="1"/>
  <c r="Q334" i="19" s="1"/>
  <c r="P334" i="19"/>
  <c r="O334" i="19"/>
  <c r="N334" i="19"/>
  <c r="M334" i="19"/>
  <c r="L334" i="19"/>
  <c r="K334" i="19"/>
  <c r="I334" i="19"/>
  <c r="H334" i="19"/>
  <c r="G334" i="19"/>
  <c r="F334" i="19"/>
  <c r="E334" i="19"/>
  <c r="D334" i="19"/>
  <c r="B334" i="19"/>
  <c r="A334" i="19"/>
  <c r="T333" i="19"/>
  <c r="S333" i="19"/>
  <c r="U333" i="19" s="1"/>
  <c r="Q333" i="19" s="1"/>
  <c r="R333" i="19"/>
  <c r="P333" i="19"/>
  <c r="O333" i="19"/>
  <c r="N333" i="19"/>
  <c r="M333" i="19"/>
  <c r="L333" i="19"/>
  <c r="K333" i="19"/>
  <c r="I333" i="19"/>
  <c r="H333" i="19"/>
  <c r="G333" i="19"/>
  <c r="F333" i="19"/>
  <c r="E333" i="19"/>
  <c r="D333" i="19"/>
  <c r="C333" i="19" s="1"/>
  <c r="B333" i="19"/>
  <c r="A333" i="19"/>
  <c r="U332" i="19"/>
  <c r="Q332" i="19" s="1"/>
  <c r="T332" i="19"/>
  <c r="S332" i="19"/>
  <c r="R332" i="19"/>
  <c r="P332" i="19"/>
  <c r="O332" i="19"/>
  <c r="N332" i="19"/>
  <c r="M332" i="19"/>
  <c r="L332" i="19"/>
  <c r="K332" i="19"/>
  <c r="I332" i="19"/>
  <c r="C332" i="19" s="1"/>
  <c r="H332" i="19"/>
  <c r="G332" i="19"/>
  <c r="F332" i="19"/>
  <c r="E332" i="19"/>
  <c r="D332" i="19"/>
  <c r="B332" i="19"/>
  <c r="A332" i="19"/>
  <c r="T331" i="19"/>
  <c r="S331" i="19"/>
  <c r="U331" i="19" s="1"/>
  <c r="Q331" i="19" s="1"/>
  <c r="V331" i="19" s="1"/>
  <c r="R331" i="19"/>
  <c r="P331" i="19"/>
  <c r="O331" i="19"/>
  <c r="N331" i="19"/>
  <c r="M331" i="19"/>
  <c r="L331" i="19"/>
  <c r="K331" i="19"/>
  <c r="J331" i="19" s="1"/>
  <c r="I331" i="19"/>
  <c r="C331" i="19" s="1"/>
  <c r="H331" i="19"/>
  <c r="G331" i="19"/>
  <c r="F331" i="19"/>
  <c r="E331" i="19"/>
  <c r="D331" i="19"/>
  <c r="B331" i="19"/>
  <c r="A331" i="19"/>
  <c r="T330" i="19"/>
  <c r="S330" i="19"/>
  <c r="U330" i="19" s="1"/>
  <c r="Q330" i="19" s="1"/>
  <c r="R330" i="19"/>
  <c r="P330" i="19"/>
  <c r="O330" i="19"/>
  <c r="N330" i="19"/>
  <c r="M330" i="19"/>
  <c r="L330" i="19"/>
  <c r="K330" i="19"/>
  <c r="J330" i="19"/>
  <c r="I330" i="19"/>
  <c r="H330" i="19"/>
  <c r="G330" i="19"/>
  <c r="F330" i="19"/>
  <c r="E330" i="19"/>
  <c r="D330" i="19"/>
  <c r="B330" i="19"/>
  <c r="A330" i="19"/>
  <c r="T329" i="19"/>
  <c r="U329" i="19" s="1"/>
  <c r="Q329" i="19" s="1"/>
  <c r="S329" i="19"/>
  <c r="R329" i="19"/>
  <c r="P329" i="19"/>
  <c r="O329" i="19"/>
  <c r="N329" i="19"/>
  <c r="M329" i="19"/>
  <c r="L329" i="19"/>
  <c r="K329" i="19"/>
  <c r="I329" i="19"/>
  <c r="H329" i="19"/>
  <c r="G329" i="19"/>
  <c r="F329" i="19"/>
  <c r="E329" i="19"/>
  <c r="D329" i="19"/>
  <c r="C329" i="19"/>
  <c r="B329" i="19"/>
  <c r="A329" i="19"/>
  <c r="T328" i="19"/>
  <c r="S328" i="19"/>
  <c r="R328" i="19"/>
  <c r="U328" i="19" s="1"/>
  <c r="Q328" i="19" s="1"/>
  <c r="P328" i="19"/>
  <c r="O328" i="19"/>
  <c r="N328" i="19"/>
  <c r="M328" i="19"/>
  <c r="L328" i="19"/>
  <c r="K328" i="19"/>
  <c r="J328" i="19" s="1"/>
  <c r="I328" i="19"/>
  <c r="H328" i="19"/>
  <c r="G328" i="19"/>
  <c r="F328" i="19"/>
  <c r="E328" i="19"/>
  <c r="C328" i="19" s="1"/>
  <c r="D328" i="19"/>
  <c r="B328" i="19"/>
  <c r="A328" i="19"/>
  <c r="T327" i="19"/>
  <c r="S327" i="19"/>
  <c r="U327" i="19" s="1"/>
  <c r="Q327" i="19" s="1"/>
  <c r="R327" i="19"/>
  <c r="P327" i="19"/>
  <c r="O327" i="19"/>
  <c r="N327" i="19"/>
  <c r="M327" i="19"/>
  <c r="L327" i="19"/>
  <c r="K327" i="19"/>
  <c r="I327" i="19"/>
  <c r="H327" i="19"/>
  <c r="G327" i="19"/>
  <c r="F327" i="19"/>
  <c r="E327" i="19"/>
  <c r="D327" i="19"/>
  <c r="B327" i="19"/>
  <c r="A327" i="19"/>
  <c r="U326" i="19"/>
  <c r="Q326" i="19" s="1"/>
  <c r="T326" i="19"/>
  <c r="S326" i="19"/>
  <c r="R326" i="19"/>
  <c r="P326" i="19"/>
  <c r="O326" i="19"/>
  <c r="N326" i="19"/>
  <c r="M326" i="19"/>
  <c r="L326" i="19"/>
  <c r="K326" i="19"/>
  <c r="I326" i="19"/>
  <c r="C326" i="19" s="1"/>
  <c r="H326" i="19"/>
  <c r="G326" i="19"/>
  <c r="F326" i="19"/>
  <c r="E326" i="19"/>
  <c r="D326" i="19"/>
  <c r="B326" i="19"/>
  <c r="A326" i="19"/>
  <c r="T325" i="19"/>
  <c r="S325" i="19"/>
  <c r="U325" i="19" s="1"/>
  <c r="Q325" i="19" s="1"/>
  <c r="R325" i="19"/>
  <c r="P325" i="19"/>
  <c r="O325" i="19"/>
  <c r="N325" i="19"/>
  <c r="M325" i="19"/>
  <c r="L325" i="19"/>
  <c r="K325" i="19"/>
  <c r="J325" i="19" s="1"/>
  <c r="I325" i="19"/>
  <c r="H325" i="19"/>
  <c r="G325" i="19"/>
  <c r="F325" i="19"/>
  <c r="E325" i="19"/>
  <c r="D325" i="19"/>
  <c r="B325" i="19"/>
  <c r="A325" i="19"/>
  <c r="T324" i="19"/>
  <c r="S324" i="19"/>
  <c r="U324" i="19" s="1"/>
  <c r="Q324" i="19" s="1"/>
  <c r="R324" i="19"/>
  <c r="P324" i="19"/>
  <c r="O324" i="19"/>
  <c r="N324" i="19"/>
  <c r="M324" i="19"/>
  <c r="L324" i="19"/>
  <c r="K324" i="19"/>
  <c r="J324" i="19" s="1"/>
  <c r="I324" i="19"/>
  <c r="H324" i="19"/>
  <c r="G324" i="19"/>
  <c r="F324" i="19"/>
  <c r="E324" i="19"/>
  <c r="D324" i="19"/>
  <c r="B324" i="19"/>
  <c r="A324" i="19"/>
  <c r="T323" i="19"/>
  <c r="U323" i="19" s="1"/>
  <c r="S323" i="19"/>
  <c r="R323" i="19"/>
  <c r="Q323" i="19"/>
  <c r="P323" i="19"/>
  <c r="O323" i="19"/>
  <c r="N323" i="19"/>
  <c r="M323" i="19"/>
  <c r="L323" i="19"/>
  <c r="K323" i="19"/>
  <c r="I323" i="19"/>
  <c r="H323" i="19"/>
  <c r="G323" i="19"/>
  <c r="F323" i="19"/>
  <c r="E323" i="19"/>
  <c r="D323" i="19"/>
  <c r="C323" i="19"/>
  <c r="B323" i="19"/>
  <c r="A323" i="19"/>
  <c r="T322" i="19"/>
  <c r="S322" i="19"/>
  <c r="R322" i="19"/>
  <c r="U322" i="19" s="1"/>
  <c r="Q322" i="19" s="1"/>
  <c r="P322" i="19"/>
  <c r="O322" i="19"/>
  <c r="N322" i="19"/>
  <c r="M322" i="19"/>
  <c r="L322" i="19"/>
  <c r="K322" i="19"/>
  <c r="I322" i="19"/>
  <c r="H322" i="19"/>
  <c r="G322" i="19"/>
  <c r="F322" i="19"/>
  <c r="E322" i="19"/>
  <c r="D322" i="19"/>
  <c r="B322" i="19"/>
  <c r="A322" i="19"/>
  <c r="U321" i="19"/>
  <c r="Q321" i="19" s="1"/>
  <c r="T321" i="19"/>
  <c r="S321" i="19"/>
  <c r="R321" i="19"/>
  <c r="P321" i="19"/>
  <c r="J321" i="19" s="1"/>
  <c r="O321" i="19"/>
  <c r="N321" i="19"/>
  <c r="M321" i="19"/>
  <c r="L321" i="19"/>
  <c r="K321" i="19"/>
  <c r="I321" i="19"/>
  <c r="H321" i="19"/>
  <c r="G321" i="19"/>
  <c r="F321" i="19"/>
  <c r="E321" i="19"/>
  <c r="D321" i="19"/>
  <c r="C321" i="19" s="1"/>
  <c r="B321" i="19"/>
  <c r="A321" i="19"/>
  <c r="T320" i="19"/>
  <c r="S320" i="19"/>
  <c r="U320" i="19" s="1"/>
  <c r="Q320" i="19" s="1"/>
  <c r="R320" i="19"/>
  <c r="P320" i="19"/>
  <c r="O320" i="19"/>
  <c r="N320" i="19"/>
  <c r="M320" i="19"/>
  <c r="L320" i="19"/>
  <c r="K320" i="19"/>
  <c r="I320" i="19"/>
  <c r="H320" i="19"/>
  <c r="G320" i="19"/>
  <c r="F320" i="19"/>
  <c r="E320" i="19"/>
  <c r="C320" i="19" s="1"/>
  <c r="D320" i="19"/>
  <c r="B320" i="19"/>
  <c r="A320" i="19"/>
  <c r="T319" i="19"/>
  <c r="S319" i="19"/>
  <c r="U319" i="19" s="1"/>
  <c r="Q319" i="19" s="1"/>
  <c r="R319" i="19"/>
  <c r="P319" i="19"/>
  <c r="O319" i="19"/>
  <c r="N319" i="19"/>
  <c r="M319" i="19"/>
  <c r="L319" i="19"/>
  <c r="K319" i="19"/>
  <c r="I319" i="19"/>
  <c r="H319" i="19"/>
  <c r="G319" i="19"/>
  <c r="F319" i="19"/>
  <c r="E319" i="19"/>
  <c r="D319" i="19"/>
  <c r="B319" i="19"/>
  <c r="A319" i="19"/>
  <c r="T318" i="19"/>
  <c r="S318" i="19"/>
  <c r="U318" i="19" s="1"/>
  <c r="Q318" i="19" s="1"/>
  <c r="R318" i="19"/>
  <c r="P318" i="19"/>
  <c r="O318" i="19"/>
  <c r="N318" i="19"/>
  <c r="M318" i="19"/>
  <c r="L318" i="19"/>
  <c r="K318" i="19"/>
  <c r="J318" i="19" s="1"/>
  <c r="V318" i="19" s="1"/>
  <c r="I318" i="19"/>
  <c r="H318" i="19"/>
  <c r="G318" i="19"/>
  <c r="F318" i="19"/>
  <c r="E318" i="19"/>
  <c r="D318" i="19"/>
  <c r="C318" i="19" s="1"/>
  <c r="B318" i="19"/>
  <c r="A318" i="19"/>
  <c r="T317" i="19"/>
  <c r="S317" i="19"/>
  <c r="U317" i="19" s="1"/>
  <c r="Q317" i="19" s="1"/>
  <c r="R317" i="19"/>
  <c r="P317" i="19"/>
  <c r="O317" i="19"/>
  <c r="N317" i="19"/>
  <c r="M317" i="19"/>
  <c r="L317" i="19"/>
  <c r="K317" i="19"/>
  <c r="I317" i="19"/>
  <c r="H317" i="19"/>
  <c r="G317" i="19"/>
  <c r="F317" i="19"/>
  <c r="E317" i="19"/>
  <c r="D317" i="19"/>
  <c r="B317" i="19"/>
  <c r="A317" i="19"/>
  <c r="U316" i="19"/>
  <c r="Q316" i="19" s="1"/>
  <c r="T316" i="19"/>
  <c r="S316" i="19"/>
  <c r="R316" i="19"/>
  <c r="P316" i="19"/>
  <c r="O316" i="19"/>
  <c r="N316" i="19"/>
  <c r="M316" i="19"/>
  <c r="L316" i="19"/>
  <c r="K316" i="19"/>
  <c r="I316" i="19"/>
  <c r="H316" i="19"/>
  <c r="G316" i="19"/>
  <c r="F316" i="19"/>
  <c r="E316" i="19"/>
  <c r="D316" i="19"/>
  <c r="C316" i="19"/>
  <c r="B316" i="19"/>
  <c r="A316" i="19"/>
  <c r="U315" i="19"/>
  <c r="Q315" i="19" s="1"/>
  <c r="V315" i="19" s="1"/>
  <c r="T315" i="19"/>
  <c r="S315" i="19"/>
  <c r="R315" i="19"/>
  <c r="P315" i="19"/>
  <c r="O315" i="19"/>
  <c r="N315" i="19"/>
  <c r="M315" i="19"/>
  <c r="L315" i="19"/>
  <c r="K315" i="19"/>
  <c r="J315" i="19"/>
  <c r="I315" i="19"/>
  <c r="H315" i="19"/>
  <c r="G315" i="19"/>
  <c r="F315" i="19"/>
  <c r="E315" i="19"/>
  <c r="D315" i="19"/>
  <c r="C315" i="19" s="1"/>
  <c r="B315" i="19"/>
  <c r="A315" i="19"/>
  <c r="T314" i="19"/>
  <c r="S314" i="19"/>
  <c r="U314" i="19" s="1"/>
  <c r="Q314" i="19" s="1"/>
  <c r="R314" i="19"/>
  <c r="P314" i="19"/>
  <c r="O314" i="19"/>
  <c r="N314" i="19"/>
  <c r="M314" i="19"/>
  <c r="L314" i="19"/>
  <c r="K314" i="19"/>
  <c r="I314" i="19"/>
  <c r="H314" i="19"/>
  <c r="G314" i="19"/>
  <c r="F314" i="19"/>
  <c r="E314" i="19"/>
  <c r="C314" i="19" s="1"/>
  <c r="D314" i="19"/>
  <c r="B314" i="19"/>
  <c r="A314" i="19"/>
  <c r="T313" i="19"/>
  <c r="S313" i="19"/>
  <c r="R313" i="19"/>
  <c r="U313" i="19" s="1"/>
  <c r="Q313" i="19" s="1"/>
  <c r="P313" i="19"/>
  <c r="O313" i="19"/>
  <c r="N313" i="19"/>
  <c r="M313" i="19"/>
  <c r="L313" i="19"/>
  <c r="K313" i="19"/>
  <c r="I313" i="19"/>
  <c r="H313" i="19"/>
  <c r="G313" i="19"/>
  <c r="F313" i="19"/>
  <c r="E313" i="19"/>
  <c r="C313" i="19" s="1"/>
  <c r="D313" i="19"/>
  <c r="B313" i="19"/>
  <c r="A313" i="19"/>
  <c r="U312" i="19"/>
  <c r="Q312" i="19" s="1"/>
  <c r="V312" i="19" s="1"/>
  <c r="T312" i="19"/>
  <c r="S312" i="19"/>
  <c r="R312" i="19"/>
  <c r="P312" i="19"/>
  <c r="O312" i="19"/>
  <c r="J312" i="19" s="1"/>
  <c r="N312" i="19"/>
  <c r="M312" i="19"/>
  <c r="L312" i="19"/>
  <c r="K312" i="19"/>
  <c r="I312" i="19"/>
  <c r="H312" i="19"/>
  <c r="G312" i="19"/>
  <c r="F312" i="19"/>
  <c r="E312" i="19"/>
  <c r="D312" i="19"/>
  <c r="C312" i="19"/>
  <c r="B312" i="19"/>
  <c r="A312" i="19"/>
  <c r="U311" i="19"/>
  <c r="T311" i="19"/>
  <c r="S311" i="19"/>
  <c r="R311" i="19"/>
  <c r="Q311" i="19"/>
  <c r="P311" i="19"/>
  <c r="O311" i="19"/>
  <c r="N311" i="19"/>
  <c r="M311" i="19"/>
  <c r="L311" i="19"/>
  <c r="K311" i="19"/>
  <c r="I311" i="19"/>
  <c r="H311" i="19"/>
  <c r="G311" i="19"/>
  <c r="F311" i="19"/>
  <c r="E311" i="19"/>
  <c r="D311" i="19"/>
  <c r="C311" i="19" s="1"/>
  <c r="B311" i="19"/>
  <c r="A311" i="19"/>
  <c r="T310" i="19"/>
  <c r="S310" i="19"/>
  <c r="R310" i="19"/>
  <c r="U310" i="19" s="1"/>
  <c r="Q310" i="19" s="1"/>
  <c r="P310" i="19"/>
  <c r="O310" i="19"/>
  <c r="N310" i="19"/>
  <c r="M310" i="19"/>
  <c r="L310" i="19"/>
  <c r="K310" i="19"/>
  <c r="J310" i="19"/>
  <c r="I310" i="19"/>
  <c r="H310" i="19"/>
  <c r="G310" i="19"/>
  <c r="F310" i="19"/>
  <c r="E310" i="19"/>
  <c r="D310" i="19"/>
  <c r="B310" i="19"/>
  <c r="A310" i="19"/>
  <c r="T309" i="19"/>
  <c r="S309" i="19"/>
  <c r="R309" i="19"/>
  <c r="P309" i="19"/>
  <c r="O309" i="19"/>
  <c r="N309" i="19"/>
  <c r="M309" i="19"/>
  <c r="L309" i="19"/>
  <c r="K309" i="19"/>
  <c r="I309" i="19"/>
  <c r="H309" i="19"/>
  <c r="G309" i="19"/>
  <c r="F309" i="19"/>
  <c r="E309" i="19"/>
  <c r="D309" i="19"/>
  <c r="C309" i="19" s="1"/>
  <c r="B309" i="19"/>
  <c r="A309" i="19"/>
  <c r="T308" i="19"/>
  <c r="S308" i="19"/>
  <c r="R308" i="19"/>
  <c r="U308" i="19" s="1"/>
  <c r="Q308" i="19" s="1"/>
  <c r="P308" i="19"/>
  <c r="O308" i="19"/>
  <c r="N308" i="19"/>
  <c r="M308" i="19"/>
  <c r="L308" i="19"/>
  <c r="J308" i="19" s="1"/>
  <c r="K308" i="19"/>
  <c r="I308" i="19"/>
  <c r="H308" i="19"/>
  <c r="G308" i="19"/>
  <c r="F308" i="19"/>
  <c r="E308" i="19"/>
  <c r="D308" i="19"/>
  <c r="B308" i="19"/>
  <c r="A308" i="19"/>
  <c r="T307" i="19"/>
  <c r="S307" i="19"/>
  <c r="R307" i="19"/>
  <c r="P307" i="19"/>
  <c r="O307" i="19"/>
  <c r="N307" i="19"/>
  <c r="M307" i="19"/>
  <c r="L307" i="19"/>
  <c r="K307" i="19"/>
  <c r="I307" i="19"/>
  <c r="H307" i="19"/>
  <c r="G307" i="19"/>
  <c r="F307" i="19"/>
  <c r="E307" i="19"/>
  <c r="D307" i="19"/>
  <c r="C307" i="19"/>
  <c r="B307" i="19"/>
  <c r="A307" i="19"/>
  <c r="T306" i="19"/>
  <c r="S306" i="19"/>
  <c r="R306" i="19"/>
  <c r="U306" i="19" s="1"/>
  <c r="Q306" i="19" s="1"/>
  <c r="P306" i="19"/>
  <c r="O306" i="19"/>
  <c r="N306" i="19"/>
  <c r="M306" i="19"/>
  <c r="J306" i="19" s="1"/>
  <c r="L306" i="19"/>
  <c r="K306" i="19"/>
  <c r="I306" i="19"/>
  <c r="H306" i="19"/>
  <c r="G306" i="19"/>
  <c r="F306" i="19"/>
  <c r="E306" i="19"/>
  <c r="D306" i="19"/>
  <c r="C306" i="19" s="1"/>
  <c r="B306" i="19"/>
  <c r="A306" i="19"/>
  <c r="T305" i="19"/>
  <c r="S305" i="19"/>
  <c r="U305" i="19" s="1"/>
  <c r="Q305" i="19" s="1"/>
  <c r="R305" i="19"/>
  <c r="P305" i="19"/>
  <c r="O305" i="19"/>
  <c r="N305" i="19"/>
  <c r="M305" i="19"/>
  <c r="L305" i="19"/>
  <c r="K305" i="19"/>
  <c r="J305" i="19" s="1"/>
  <c r="I305" i="19"/>
  <c r="H305" i="19"/>
  <c r="G305" i="19"/>
  <c r="F305" i="19"/>
  <c r="E305" i="19"/>
  <c r="D305" i="19"/>
  <c r="B305" i="19"/>
  <c r="A305" i="19"/>
  <c r="T304" i="19"/>
  <c r="S304" i="19"/>
  <c r="R304" i="19"/>
  <c r="P304" i="19"/>
  <c r="O304" i="19"/>
  <c r="N304" i="19"/>
  <c r="M304" i="19"/>
  <c r="L304" i="19"/>
  <c r="J304" i="19" s="1"/>
  <c r="K304" i="19"/>
  <c r="I304" i="19"/>
  <c r="H304" i="19"/>
  <c r="G304" i="19"/>
  <c r="F304" i="19"/>
  <c r="E304" i="19"/>
  <c r="D304" i="19"/>
  <c r="C304" i="19" s="1"/>
  <c r="B304" i="19"/>
  <c r="A304" i="19"/>
  <c r="T303" i="19"/>
  <c r="U303" i="19" s="1"/>
  <c r="S303" i="19"/>
  <c r="R303" i="19"/>
  <c r="Q303" i="19"/>
  <c r="P303" i="19"/>
  <c r="O303" i="19"/>
  <c r="N303" i="19"/>
  <c r="M303" i="19"/>
  <c r="L303" i="19"/>
  <c r="J303" i="19" s="1"/>
  <c r="K303" i="19"/>
  <c r="I303" i="19"/>
  <c r="H303" i="19"/>
  <c r="G303" i="19"/>
  <c r="F303" i="19"/>
  <c r="E303" i="19"/>
  <c r="D303" i="19"/>
  <c r="B303" i="19"/>
  <c r="A303" i="19"/>
  <c r="T302" i="19"/>
  <c r="S302" i="19"/>
  <c r="R302" i="19"/>
  <c r="P302" i="19"/>
  <c r="O302" i="19"/>
  <c r="N302" i="19"/>
  <c r="J302" i="19" s="1"/>
  <c r="M302" i="19"/>
  <c r="L302" i="19"/>
  <c r="K302" i="19"/>
  <c r="I302" i="19"/>
  <c r="H302" i="19"/>
  <c r="C302" i="19" s="1"/>
  <c r="G302" i="19"/>
  <c r="F302" i="19"/>
  <c r="E302" i="19"/>
  <c r="D302" i="19"/>
  <c r="B302" i="19"/>
  <c r="A302" i="19"/>
  <c r="T301" i="19"/>
  <c r="S301" i="19"/>
  <c r="R301" i="19"/>
  <c r="P301" i="19"/>
  <c r="O301" i="19"/>
  <c r="N301" i="19"/>
  <c r="M301" i="19"/>
  <c r="L301" i="19"/>
  <c r="K301" i="19"/>
  <c r="J301" i="19"/>
  <c r="I301" i="19"/>
  <c r="H301" i="19"/>
  <c r="G301" i="19"/>
  <c r="F301" i="19"/>
  <c r="E301" i="19"/>
  <c r="D301" i="19"/>
  <c r="C301" i="19" s="1"/>
  <c r="B301" i="19"/>
  <c r="A301" i="19"/>
  <c r="T300" i="19"/>
  <c r="S300" i="19"/>
  <c r="R300" i="19"/>
  <c r="U300" i="19" s="1"/>
  <c r="Q300" i="19" s="1"/>
  <c r="P300" i="19"/>
  <c r="O300" i="19"/>
  <c r="N300" i="19"/>
  <c r="M300" i="19"/>
  <c r="L300" i="19"/>
  <c r="K300" i="19"/>
  <c r="J300" i="19"/>
  <c r="I300" i="19"/>
  <c r="H300" i="19"/>
  <c r="G300" i="19"/>
  <c r="F300" i="19"/>
  <c r="E300" i="19"/>
  <c r="D300" i="19"/>
  <c r="B300" i="19"/>
  <c r="A300" i="19"/>
  <c r="T299" i="19"/>
  <c r="S299" i="19"/>
  <c r="U299" i="19" s="1"/>
  <c r="R299" i="19"/>
  <c r="Q299" i="19"/>
  <c r="P299" i="19"/>
  <c r="O299" i="19"/>
  <c r="N299" i="19"/>
  <c r="M299" i="19"/>
  <c r="L299" i="19"/>
  <c r="K299" i="19"/>
  <c r="I299" i="19"/>
  <c r="H299" i="19"/>
  <c r="G299" i="19"/>
  <c r="F299" i="19"/>
  <c r="E299" i="19"/>
  <c r="D299" i="19"/>
  <c r="C299" i="19" s="1"/>
  <c r="B299" i="19"/>
  <c r="A299" i="19"/>
  <c r="T298" i="19"/>
  <c r="S298" i="19"/>
  <c r="R298" i="19"/>
  <c r="U298" i="19" s="1"/>
  <c r="Q298" i="19" s="1"/>
  <c r="P298" i="19"/>
  <c r="O298" i="19"/>
  <c r="N298" i="19"/>
  <c r="M298" i="19"/>
  <c r="L298" i="19"/>
  <c r="K298" i="19"/>
  <c r="I298" i="19"/>
  <c r="H298" i="19"/>
  <c r="G298" i="19"/>
  <c r="F298" i="19"/>
  <c r="E298" i="19"/>
  <c r="D298" i="19"/>
  <c r="C298" i="19" s="1"/>
  <c r="B298" i="19"/>
  <c r="A298" i="19"/>
  <c r="T297" i="19"/>
  <c r="U297" i="19" s="1"/>
  <c r="Q297" i="19" s="1"/>
  <c r="S297" i="19"/>
  <c r="R297" i="19"/>
  <c r="P297" i="19"/>
  <c r="O297" i="19"/>
  <c r="N297" i="19"/>
  <c r="M297" i="19"/>
  <c r="L297" i="19"/>
  <c r="K297" i="19"/>
  <c r="I297" i="19"/>
  <c r="H297" i="19"/>
  <c r="G297" i="19"/>
  <c r="F297" i="19"/>
  <c r="E297" i="19"/>
  <c r="D297" i="19"/>
  <c r="C297" i="19"/>
  <c r="B297" i="19"/>
  <c r="A297" i="19"/>
  <c r="T296" i="19"/>
  <c r="S296" i="19"/>
  <c r="R296" i="19"/>
  <c r="U296" i="19" s="1"/>
  <c r="Q296" i="19" s="1"/>
  <c r="P296" i="19"/>
  <c r="O296" i="19"/>
  <c r="N296" i="19"/>
  <c r="M296" i="19"/>
  <c r="L296" i="19"/>
  <c r="J296" i="19" s="1"/>
  <c r="K296" i="19"/>
  <c r="I296" i="19"/>
  <c r="H296" i="19"/>
  <c r="G296" i="19"/>
  <c r="F296" i="19"/>
  <c r="E296" i="19"/>
  <c r="C296" i="19" s="1"/>
  <c r="D296" i="19"/>
  <c r="B296" i="19"/>
  <c r="A296" i="19"/>
  <c r="T295" i="19"/>
  <c r="S295" i="19"/>
  <c r="R295" i="19"/>
  <c r="P295" i="19"/>
  <c r="O295" i="19"/>
  <c r="N295" i="19"/>
  <c r="M295" i="19"/>
  <c r="L295" i="19"/>
  <c r="K295" i="19"/>
  <c r="J295" i="19" s="1"/>
  <c r="I295" i="19"/>
  <c r="H295" i="19"/>
  <c r="G295" i="19"/>
  <c r="F295" i="19"/>
  <c r="E295" i="19"/>
  <c r="D295" i="19"/>
  <c r="B295" i="19"/>
  <c r="A295" i="19"/>
  <c r="U294" i="19"/>
  <c r="Q294" i="19" s="1"/>
  <c r="T294" i="19"/>
  <c r="S294" i="19"/>
  <c r="R294" i="19"/>
  <c r="P294" i="19"/>
  <c r="O294" i="19"/>
  <c r="N294" i="19"/>
  <c r="J294" i="19" s="1"/>
  <c r="M294" i="19"/>
  <c r="L294" i="19"/>
  <c r="K294" i="19"/>
  <c r="I294" i="19"/>
  <c r="H294" i="19"/>
  <c r="G294" i="19"/>
  <c r="F294" i="19"/>
  <c r="E294" i="19"/>
  <c r="D294" i="19"/>
  <c r="B294" i="19"/>
  <c r="A294" i="19"/>
  <c r="T293" i="19"/>
  <c r="S293" i="19"/>
  <c r="R293" i="19"/>
  <c r="P293" i="19"/>
  <c r="O293" i="19"/>
  <c r="N293" i="19"/>
  <c r="M293" i="19"/>
  <c r="L293" i="19"/>
  <c r="K293" i="19"/>
  <c r="I293" i="19"/>
  <c r="H293" i="19"/>
  <c r="G293" i="19"/>
  <c r="F293" i="19"/>
  <c r="E293" i="19"/>
  <c r="D293" i="19"/>
  <c r="C293" i="19" s="1"/>
  <c r="B293" i="19"/>
  <c r="A293" i="19"/>
  <c r="U292" i="19"/>
  <c r="Q292" i="19" s="1"/>
  <c r="T292" i="19"/>
  <c r="S292" i="19"/>
  <c r="R292" i="19"/>
  <c r="P292" i="19"/>
  <c r="O292" i="19"/>
  <c r="N292" i="19"/>
  <c r="M292" i="19"/>
  <c r="L292" i="19"/>
  <c r="K292" i="19"/>
  <c r="J292" i="19"/>
  <c r="V292" i="19" s="1"/>
  <c r="I292" i="19"/>
  <c r="H292" i="19"/>
  <c r="G292" i="19"/>
  <c r="F292" i="19"/>
  <c r="E292" i="19"/>
  <c r="D292" i="19"/>
  <c r="C292" i="19" s="1"/>
  <c r="B292" i="19"/>
  <c r="A292" i="19"/>
  <c r="T291" i="19"/>
  <c r="U291" i="19" s="1"/>
  <c r="Q291" i="19" s="1"/>
  <c r="S291" i="19"/>
  <c r="R291" i="19"/>
  <c r="P291" i="19"/>
  <c r="O291" i="19"/>
  <c r="N291" i="19"/>
  <c r="M291" i="19"/>
  <c r="L291" i="19"/>
  <c r="J291" i="19" s="1"/>
  <c r="V291" i="19" s="1"/>
  <c r="K291" i="19"/>
  <c r="I291" i="19"/>
  <c r="H291" i="19"/>
  <c r="G291" i="19"/>
  <c r="F291" i="19"/>
  <c r="E291" i="19"/>
  <c r="D291" i="19"/>
  <c r="C291" i="19" s="1"/>
  <c r="B291" i="19"/>
  <c r="A291" i="19"/>
  <c r="T290" i="19"/>
  <c r="S290" i="19"/>
  <c r="R290" i="19"/>
  <c r="P290" i="19"/>
  <c r="O290" i="19"/>
  <c r="N290" i="19"/>
  <c r="M290" i="19"/>
  <c r="L290" i="19"/>
  <c r="K290" i="19"/>
  <c r="I290" i="19"/>
  <c r="H290" i="19"/>
  <c r="G290" i="19"/>
  <c r="F290" i="19"/>
  <c r="E290" i="19"/>
  <c r="C290" i="19" s="1"/>
  <c r="D290" i="19"/>
  <c r="B290" i="19"/>
  <c r="A290" i="19"/>
  <c r="T289" i="19"/>
  <c r="U289" i="19" s="1"/>
  <c r="Q289" i="19" s="1"/>
  <c r="S289" i="19"/>
  <c r="R289" i="19"/>
  <c r="P289" i="19"/>
  <c r="J289" i="19" s="1"/>
  <c r="O289" i="19"/>
  <c r="N289" i="19"/>
  <c r="M289" i="19"/>
  <c r="L289" i="19"/>
  <c r="K289" i="19"/>
  <c r="I289" i="19"/>
  <c r="H289" i="19"/>
  <c r="G289" i="19"/>
  <c r="F289" i="19"/>
  <c r="E289" i="19"/>
  <c r="D289" i="19"/>
  <c r="B289" i="19"/>
  <c r="A289" i="19"/>
  <c r="T288" i="19"/>
  <c r="S288" i="19"/>
  <c r="R288" i="19"/>
  <c r="U288" i="19" s="1"/>
  <c r="Q288" i="19" s="1"/>
  <c r="P288" i="19"/>
  <c r="O288" i="19"/>
  <c r="N288" i="19"/>
  <c r="M288" i="19"/>
  <c r="J288" i="19" s="1"/>
  <c r="L288" i="19"/>
  <c r="K288" i="19"/>
  <c r="I288" i="19"/>
  <c r="H288" i="19"/>
  <c r="G288" i="19"/>
  <c r="F288" i="19"/>
  <c r="E288" i="19"/>
  <c r="D288" i="19"/>
  <c r="B288" i="19"/>
  <c r="A288" i="19"/>
  <c r="U287" i="19"/>
  <c r="T287" i="19"/>
  <c r="S287" i="19"/>
  <c r="R287" i="19"/>
  <c r="Q287" i="19"/>
  <c r="P287" i="19"/>
  <c r="O287" i="19"/>
  <c r="N287" i="19"/>
  <c r="M287" i="19"/>
  <c r="L287" i="19"/>
  <c r="K287" i="19"/>
  <c r="J287" i="19" s="1"/>
  <c r="I287" i="19"/>
  <c r="H287" i="19"/>
  <c r="G287" i="19"/>
  <c r="F287" i="19"/>
  <c r="E287" i="19"/>
  <c r="D287" i="19"/>
  <c r="C287" i="19" s="1"/>
  <c r="B287" i="19"/>
  <c r="A287" i="19"/>
  <c r="T286" i="19"/>
  <c r="S286" i="19"/>
  <c r="R286" i="19"/>
  <c r="U286" i="19" s="1"/>
  <c r="Q286" i="19" s="1"/>
  <c r="P286" i="19"/>
  <c r="O286" i="19"/>
  <c r="N286" i="19"/>
  <c r="M286" i="19"/>
  <c r="L286" i="19"/>
  <c r="J286" i="19" s="1"/>
  <c r="K286" i="19"/>
  <c r="I286" i="19"/>
  <c r="H286" i="19"/>
  <c r="G286" i="19"/>
  <c r="F286" i="19"/>
  <c r="E286" i="19"/>
  <c r="D286" i="19"/>
  <c r="B286" i="19"/>
  <c r="A286" i="19"/>
  <c r="T285" i="19"/>
  <c r="S285" i="19"/>
  <c r="U285" i="19" s="1"/>
  <c r="Q285" i="19" s="1"/>
  <c r="R285" i="19"/>
  <c r="P285" i="19"/>
  <c r="O285" i="19"/>
  <c r="N285" i="19"/>
  <c r="M285" i="19"/>
  <c r="L285" i="19"/>
  <c r="J285" i="19" s="1"/>
  <c r="K285" i="19"/>
  <c r="I285" i="19"/>
  <c r="H285" i="19"/>
  <c r="G285" i="19"/>
  <c r="F285" i="19"/>
  <c r="E285" i="19"/>
  <c r="D285" i="19"/>
  <c r="B285" i="19"/>
  <c r="A285" i="19"/>
  <c r="U284" i="19"/>
  <c r="Q284" i="19" s="1"/>
  <c r="T284" i="19"/>
  <c r="S284" i="19"/>
  <c r="R284" i="19"/>
  <c r="P284" i="19"/>
  <c r="O284" i="19"/>
  <c r="N284" i="19"/>
  <c r="M284" i="19"/>
  <c r="L284" i="19"/>
  <c r="K284" i="19"/>
  <c r="J284" i="19"/>
  <c r="I284" i="19"/>
  <c r="H284" i="19"/>
  <c r="G284" i="19"/>
  <c r="F284" i="19"/>
  <c r="E284" i="19"/>
  <c r="D284" i="19"/>
  <c r="B284" i="19"/>
  <c r="A284" i="19"/>
  <c r="T283" i="19"/>
  <c r="S283" i="19"/>
  <c r="R283" i="19"/>
  <c r="U283" i="19" s="1"/>
  <c r="Q283" i="19" s="1"/>
  <c r="P283" i="19"/>
  <c r="O283" i="19"/>
  <c r="N283" i="19"/>
  <c r="M283" i="19"/>
  <c r="L283" i="19"/>
  <c r="K283" i="19"/>
  <c r="I283" i="19"/>
  <c r="H283" i="19"/>
  <c r="G283" i="19"/>
  <c r="F283" i="19"/>
  <c r="E283" i="19"/>
  <c r="D283" i="19"/>
  <c r="C283" i="19" s="1"/>
  <c r="B283" i="19"/>
  <c r="A283" i="19"/>
  <c r="T282" i="19"/>
  <c r="S282" i="19"/>
  <c r="R282" i="19"/>
  <c r="U282" i="19" s="1"/>
  <c r="Q282" i="19"/>
  <c r="P282" i="19"/>
  <c r="O282" i="19"/>
  <c r="N282" i="19"/>
  <c r="M282" i="19"/>
  <c r="J282" i="19" s="1"/>
  <c r="L282" i="19"/>
  <c r="K282" i="19"/>
  <c r="I282" i="19"/>
  <c r="H282" i="19"/>
  <c r="G282" i="19"/>
  <c r="F282" i="19"/>
  <c r="E282" i="19"/>
  <c r="D282" i="19"/>
  <c r="B282" i="19"/>
  <c r="A282" i="19"/>
  <c r="T281" i="19"/>
  <c r="S281" i="19"/>
  <c r="U281" i="19" s="1"/>
  <c r="Q281" i="19" s="1"/>
  <c r="R281" i="19"/>
  <c r="P281" i="19"/>
  <c r="O281" i="19"/>
  <c r="N281" i="19"/>
  <c r="M281" i="19"/>
  <c r="L281" i="19"/>
  <c r="K281" i="19"/>
  <c r="I281" i="19"/>
  <c r="H281" i="19"/>
  <c r="G281" i="19"/>
  <c r="F281" i="19"/>
  <c r="E281" i="19"/>
  <c r="D281" i="19"/>
  <c r="B281" i="19"/>
  <c r="A281" i="19"/>
  <c r="T280" i="19"/>
  <c r="S280" i="19"/>
  <c r="R280" i="19"/>
  <c r="P280" i="19"/>
  <c r="O280" i="19"/>
  <c r="N280" i="19"/>
  <c r="M280" i="19"/>
  <c r="L280" i="19"/>
  <c r="J280" i="19" s="1"/>
  <c r="K280" i="19"/>
  <c r="I280" i="19"/>
  <c r="H280" i="19"/>
  <c r="G280" i="19"/>
  <c r="F280" i="19"/>
  <c r="E280" i="19"/>
  <c r="D280" i="19"/>
  <c r="C280" i="19" s="1"/>
  <c r="B280" i="19"/>
  <c r="A280" i="19"/>
  <c r="U279" i="19"/>
  <c r="Q279" i="19" s="1"/>
  <c r="T279" i="19"/>
  <c r="S279" i="19"/>
  <c r="R279" i="19"/>
  <c r="P279" i="19"/>
  <c r="O279" i="19"/>
  <c r="N279" i="19"/>
  <c r="M279" i="19"/>
  <c r="L279" i="19"/>
  <c r="K279" i="19"/>
  <c r="J279" i="19"/>
  <c r="I279" i="19"/>
  <c r="H279" i="19"/>
  <c r="G279" i="19"/>
  <c r="F279" i="19"/>
  <c r="E279" i="19"/>
  <c r="D279" i="19"/>
  <c r="B279" i="19"/>
  <c r="A279" i="19"/>
  <c r="T278" i="19"/>
  <c r="S278" i="19"/>
  <c r="R278" i="19"/>
  <c r="U278" i="19" s="1"/>
  <c r="Q278" i="19" s="1"/>
  <c r="V278" i="19" s="1"/>
  <c r="P278" i="19"/>
  <c r="O278" i="19"/>
  <c r="N278" i="19"/>
  <c r="M278" i="19"/>
  <c r="L278" i="19"/>
  <c r="J278" i="19" s="1"/>
  <c r="K278" i="19"/>
  <c r="I278" i="19"/>
  <c r="H278" i="19"/>
  <c r="G278" i="19"/>
  <c r="F278" i="19"/>
  <c r="E278" i="19"/>
  <c r="D278" i="19"/>
  <c r="C278" i="19"/>
  <c r="B278" i="19"/>
  <c r="A278" i="19"/>
  <c r="T277" i="19"/>
  <c r="S277" i="19"/>
  <c r="R277" i="19"/>
  <c r="U277" i="19" s="1"/>
  <c r="Q277" i="19" s="1"/>
  <c r="P277" i="19"/>
  <c r="O277" i="19"/>
  <c r="N277" i="19"/>
  <c r="M277" i="19"/>
  <c r="L277" i="19"/>
  <c r="J277" i="19" s="1"/>
  <c r="K277" i="19"/>
  <c r="I277" i="19"/>
  <c r="H277" i="19"/>
  <c r="G277" i="19"/>
  <c r="F277" i="19"/>
  <c r="E277" i="19"/>
  <c r="D277" i="19"/>
  <c r="C277" i="19" s="1"/>
  <c r="B277" i="19"/>
  <c r="A277" i="19"/>
  <c r="U276" i="19"/>
  <c r="Q276" i="19" s="1"/>
  <c r="V276" i="19" s="1"/>
  <c r="T276" i="19"/>
  <c r="S276" i="19"/>
  <c r="R276" i="19"/>
  <c r="P276" i="19"/>
  <c r="O276" i="19"/>
  <c r="N276" i="19"/>
  <c r="M276" i="19"/>
  <c r="L276" i="19"/>
  <c r="K276" i="19"/>
  <c r="J276" i="19"/>
  <c r="I276" i="19"/>
  <c r="H276" i="19"/>
  <c r="G276" i="19"/>
  <c r="F276" i="19"/>
  <c r="E276" i="19"/>
  <c r="D276" i="19"/>
  <c r="C276" i="19" s="1"/>
  <c r="B276" i="19"/>
  <c r="A276" i="19"/>
  <c r="T275" i="19"/>
  <c r="S275" i="19"/>
  <c r="R275" i="19"/>
  <c r="U275" i="19" s="1"/>
  <c r="Q275" i="19" s="1"/>
  <c r="P275" i="19"/>
  <c r="O275" i="19"/>
  <c r="N275" i="19"/>
  <c r="M275" i="19"/>
  <c r="L275" i="19"/>
  <c r="K275" i="19"/>
  <c r="I275" i="19"/>
  <c r="H275" i="19"/>
  <c r="G275" i="19"/>
  <c r="F275" i="19"/>
  <c r="E275" i="19"/>
  <c r="D275" i="19"/>
  <c r="B275" i="19"/>
  <c r="A275" i="19"/>
  <c r="U274" i="19"/>
  <c r="Q274" i="19" s="1"/>
  <c r="T274" i="19"/>
  <c r="S274" i="19"/>
  <c r="R274" i="19"/>
  <c r="P274" i="19"/>
  <c r="O274" i="19"/>
  <c r="N274" i="19"/>
  <c r="M274" i="19"/>
  <c r="L274" i="19"/>
  <c r="K274" i="19"/>
  <c r="I274" i="19"/>
  <c r="H274" i="19"/>
  <c r="G274" i="19"/>
  <c r="F274" i="19"/>
  <c r="E274" i="19"/>
  <c r="D274" i="19"/>
  <c r="C274" i="19"/>
  <c r="B274" i="19"/>
  <c r="A274" i="19"/>
  <c r="T273" i="19"/>
  <c r="S273" i="19"/>
  <c r="R273" i="19"/>
  <c r="P273" i="19"/>
  <c r="O273" i="19"/>
  <c r="N273" i="19"/>
  <c r="M273" i="19"/>
  <c r="L273" i="19"/>
  <c r="K273" i="19"/>
  <c r="J273" i="19"/>
  <c r="I273" i="19"/>
  <c r="H273" i="19"/>
  <c r="G273" i="19"/>
  <c r="F273" i="19"/>
  <c r="E273" i="19"/>
  <c r="D273" i="19"/>
  <c r="C273" i="19"/>
  <c r="B273" i="19"/>
  <c r="A273" i="19"/>
  <c r="T272" i="19"/>
  <c r="S272" i="19"/>
  <c r="R272" i="19"/>
  <c r="U272" i="19" s="1"/>
  <c r="Q272" i="19" s="1"/>
  <c r="P272" i="19"/>
  <c r="O272" i="19"/>
  <c r="N272" i="19"/>
  <c r="J272" i="19" s="1"/>
  <c r="M272" i="19"/>
  <c r="L272" i="19"/>
  <c r="K272" i="19"/>
  <c r="I272" i="19"/>
  <c r="H272" i="19"/>
  <c r="G272" i="19"/>
  <c r="F272" i="19"/>
  <c r="E272" i="19"/>
  <c r="D272" i="19"/>
  <c r="B272" i="19"/>
  <c r="A272" i="19"/>
  <c r="U271" i="19"/>
  <c r="Q271" i="19" s="1"/>
  <c r="T271" i="19"/>
  <c r="S271" i="19"/>
  <c r="R271" i="19"/>
  <c r="P271" i="19"/>
  <c r="O271" i="19"/>
  <c r="N271" i="19"/>
  <c r="M271" i="19"/>
  <c r="L271" i="19"/>
  <c r="K271" i="19"/>
  <c r="J271" i="19"/>
  <c r="I271" i="19"/>
  <c r="H271" i="19"/>
  <c r="G271" i="19"/>
  <c r="F271" i="19"/>
  <c r="E271" i="19"/>
  <c r="D271" i="19"/>
  <c r="C271" i="19"/>
  <c r="B271" i="19"/>
  <c r="A271" i="19"/>
  <c r="T270" i="19"/>
  <c r="S270" i="19"/>
  <c r="R270" i="19"/>
  <c r="U270" i="19" s="1"/>
  <c r="Q270" i="19" s="1"/>
  <c r="P270" i="19"/>
  <c r="O270" i="19"/>
  <c r="N270" i="19"/>
  <c r="M270" i="19"/>
  <c r="J270" i="19" s="1"/>
  <c r="L270" i="19"/>
  <c r="K270" i="19"/>
  <c r="I270" i="19"/>
  <c r="H270" i="19"/>
  <c r="G270" i="19"/>
  <c r="F270" i="19"/>
  <c r="E270" i="19"/>
  <c r="D270" i="19"/>
  <c r="B270" i="19"/>
  <c r="A270" i="19"/>
  <c r="U269" i="19"/>
  <c r="Q269" i="19" s="1"/>
  <c r="T269" i="19"/>
  <c r="S269" i="19"/>
  <c r="R269" i="19"/>
  <c r="P269" i="19"/>
  <c r="O269" i="19"/>
  <c r="N269" i="19"/>
  <c r="M269" i="19"/>
  <c r="L269" i="19"/>
  <c r="K269" i="19"/>
  <c r="I269" i="19"/>
  <c r="H269" i="19"/>
  <c r="G269" i="19"/>
  <c r="F269" i="19"/>
  <c r="E269" i="19"/>
  <c r="D269" i="19"/>
  <c r="B269" i="19"/>
  <c r="A269" i="19"/>
  <c r="T268" i="19"/>
  <c r="S268" i="19"/>
  <c r="R268" i="19"/>
  <c r="P268" i="19"/>
  <c r="O268" i="19"/>
  <c r="J268" i="19" s="1"/>
  <c r="N268" i="19"/>
  <c r="M268" i="19"/>
  <c r="L268" i="19"/>
  <c r="K268" i="19"/>
  <c r="I268" i="19"/>
  <c r="H268" i="19"/>
  <c r="G268" i="19"/>
  <c r="F268" i="19"/>
  <c r="E268" i="19"/>
  <c r="D268" i="19"/>
  <c r="C268" i="19" s="1"/>
  <c r="B268" i="19"/>
  <c r="A268" i="19"/>
  <c r="T267" i="19"/>
  <c r="U267" i="19" s="1"/>
  <c r="S267" i="19"/>
  <c r="R267" i="19"/>
  <c r="Q267" i="19"/>
  <c r="P267" i="19"/>
  <c r="O267" i="19"/>
  <c r="N267" i="19"/>
  <c r="M267" i="19"/>
  <c r="L267" i="19"/>
  <c r="K267" i="19"/>
  <c r="I267" i="19"/>
  <c r="H267" i="19"/>
  <c r="G267" i="19"/>
  <c r="F267" i="19"/>
  <c r="E267" i="19"/>
  <c r="D267" i="19"/>
  <c r="B267" i="19"/>
  <c r="A267" i="19"/>
  <c r="U266" i="19"/>
  <c r="Q266" i="19" s="1"/>
  <c r="T266" i="19"/>
  <c r="S266" i="19"/>
  <c r="R266" i="19"/>
  <c r="P266" i="19"/>
  <c r="O266" i="19"/>
  <c r="N266" i="19"/>
  <c r="M266" i="19"/>
  <c r="L266" i="19"/>
  <c r="K266" i="19"/>
  <c r="I266" i="19"/>
  <c r="H266" i="19"/>
  <c r="G266" i="19"/>
  <c r="C266" i="19" s="1"/>
  <c r="F266" i="19"/>
  <c r="E266" i="19"/>
  <c r="D266" i="19"/>
  <c r="B266" i="19"/>
  <c r="A266" i="19"/>
  <c r="T265" i="19"/>
  <c r="S265" i="19"/>
  <c r="R265" i="19"/>
  <c r="U265" i="19" s="1"/>
  <c r="Q265" i="19" s="1"/>
  <c r="P265" i="19"/>
  <c r="O265" i="19"/>
  <c r="N265" i="19"/>
  <c r="M265" i="19"/>
  <c r="L265" i="19"/>
  <c r="K265" i="19"/>
  <c r="J265" i="19" s="1"/>
  <c r="I265" i="19"/>
  <c r="H265" i="19"/>
  <c r="G265" i="19"/>
  <c r="F265" i="19"/>
  <c r="E265" i="19"/>
  <c r="D265" i="19"/>
  <c r="B265" i="19"/>
  <c r="A265" i="19"/>
  <c r="V264" i="19"/>
  <c r="T264" i="19"/>
  <c r="S264" i="19"/>
  <c r="R264" i="19"/>
  <c r="U264" i="19" s="1"/>
  <c r="Q264" i="19" s="1"/>
  <c r="P264" i="19"/>
  <c r="J264" i="19" s="1"/>
  <c r="O264" i="19"/>
  <c r="N264" i="19"/>
  <c r="M264" i="19"/>
  <c r="L264" i="19"/>
  <c r="K264" i="19"/>
  <c r="I264" i="19"/>
  <c r="H264" i="19"/>
  <c r="G264" i="19"/>
  <c r="F264" i="19"/>
  <c r="E264" i="19"/>
  <c r="D264" i="19"/>
  <c r="C264" i="19" s="1"/>
  <c r="B264" i="19"/>
  <c r="A264" i="19"/>
  <c r="T263" i="19"/>
  <c r="S263" i="19"/>
  <c r="U263" i="19" s="1"/>
  <c r="Q263" i="19" s="1"/>
  <c r="R263" i="19"/>
  <c r="P263" i="19"/>
  <c r="O263" i="19"/>
  <c r="N263" i="19"/>
  <c r="M263" i="19"/>
  <c r="L263" i="19"/>
  <c r="K263" i="19"/>
  <c r="J263" i="19" s="1"/>
  <c r="I263" i="19"/>
  <c r="H263" i="19"/>
  <c r="G263" i="19"/>
  <c r="F263" i="19"/>
  <c r="E263" i="19"/>
  <c r="D263" i="19"/>
  <c r="C263" i="19" s="1"/>
  <c r="B263" i="19"/>
  <c r="A263" i="19"/>
  <c r="U262" i="19"/>
  <c r="Q262" i="19" s="1"/>
  <c r="T262" i="19"/>
  <c r="S262" i="19"/>
  <c r="R262" i="19"/>
  <c r="P262" i="19"/>
  <c r="O262" i="19"/>
  <c r="N262" i="19"/>
  <c r="M262" i="19"/>
  <c r="L262" i="19"/>
  <c r="K262" i="19"/>
  <c r="J262" i="19"/>
  <c r="I262" i="19"/>
  <c r="H262" i="19"/>
  <c r="G262" i="19"/>
  <c r="F262" i="19"/>
  <c r="E262" i="19"/>
  <c r="D262" i="19"/>
  <c r="B262" i="19"/>
  <c r="A262" i="19"/>
  <c r="T261" i="19"/>
  <c r="S261" i="19"/>
  <c r="U261" i="19" s="1"/>
  <c r="Q261" i="19" s="1"/>
  <c r="R261" i="19"/>
  <c r="P261" i="19"/>
  <c r="O261" i="19"/>
  <c r="N261" i="19"/>
  <c r="M261" i="19"/>
  <c r="L261" i="19"/>
  <c r="K261" i="19"/>
  <c r="I261" i="19"/>
  <c r="H261" i="19"/>
  <c r="G261" i="19"/>
  <c r="C261" i="19" s="1"/>
  <c r="F261" i="19"/>
  <c r="E261" i="19"/>
  <c r="D261" i="19"/>
  <c r="B261" i="19"/>
  <c r="A261" i="19"/>
  <c r="T260" i="19"/>
  <c r="S260" i="19"/>
  <c r="U260" i="19" s="1"/>
  <c r="Q260" i="19" s="1"/>
  <c r="R260" i="19"/>
  <c r="P260" i="19"/>
  <c r="O260" i="19"/>
  <c r="N260" i="19"/>
  <c r="M260" i="19"/>
  <c r="L260" i="19"/>
  <c r="K260" i="19"/>
  <c r="J260" i="19" s="1"/>
  <c r="I260" i="19"/>
  <c r="H260" i="19"/>
  <c r="G260" i="19"/>
  <c r="F260" i="19"/>
  <c r="E260" i="19"/>
  <c r="C260" i="19" s="1"/>
  <c r="D260" i="19"/>
  <c r="B260" i="19"/>
  <c r="A260" i="19"/>
  <c r="T259" i="19"/>
  <c r="S259" i="19"/>
  <c r="R259" i="19"/>
  <c r="U259" i="19" s="1"/>
  <c r="Q259" i="19" s="1"/>
  <c r="P259" i="19"/>
  <c r="O259" i="19"/>
  <c r="N259" i="19"/>
  <c r="M259" i="19"/>
  <c r="L259" i="19"/>
  <c r="J259" i="19" s="1"/>
  <c r="K259" i="19"/>
  <c r="I259" i="19"/>
  <c r="H259" i="19"/>
  <c r="G259" i="19"/>
  <c r="F259" i="19"/>
  <c r="E259" i="19"/>
  <c r="D259" i="19"/>
  <c r="C259" i="19" s="1"/>
  <c r="B259" i="19"/>
  <c r="A259" i="19"/>
  <c r="T258" i="19"/>
  <c r="S258" i="19"/>
  <c r="R258" i="19"/>
  <c r="U258" i="19" s="1"/>
  <c r="Q258" i="19" s="1"/>
  <c r="P258" i="19"/>
  <c r="O258" i="19"/>
  <c r="N258" i="19"/>
  <c r="M258" i="19"/>
  <c r="L258" i="19"/>
  <c r="K258" i="19"/>
  <c r="J258" i="19"/>
  <c r="I258" i="19"/>
  <c r="H258" i="19"/>
  <c r="G258" i="19"/>
  <c r="F258" i="19"/>
  <c r="E258" i="19"/>
  <c r="D258" i="19"/>
  <c r="B258" i="19"/>
  <c r="A258" i="19"/>
  <c r="T257" i="19"/>
  <c r="S257" i="19"/>
  <c r="U257" i="19" s="1"/>
  <c r="Q257" i="19" s="1"/>
  <c r="R257" i="19"/>
  <c r="P257" i="19"/>
  <c r="O257" i="19"/>
  <c r="N257" i="19"/>
  <c r="M257" i="19"/>
  <c r="L257" i="19"/>
  <c r="K257" i="19"/>
  <c r="I257" i="19"/>
  <c r="H257" i="19"/>
  <c r="G257" i="19"/>
  <c r="F257" i="19"/>
  <c r="E257" i="19"/>
  <c r="D257" i="19"/>
  <c r="C257" i="19" s="1"/>
  <c r="B257" i="19"/>
  <c r="A257" i="19"/>
  <c r="T256" i="19"/>
  <c r="S256" i="19"/>
  <c r="R256" i="19"/>
  <c r="U256" i="19" s="1"/>
  <c r="Q256" i="19" s="1"/>
  <c r="P256" i="19"/>
  <c r="O256" i="19"/>
  <c r="N256" i="19"/>
  <c r="M256" i="19"/>
  <c r="L256" i="19"/>
  <c r="K256" i="19"/>
  <c r="J256" i="19" s="1"/>
  <c r="I256" i="19"/>
  <c r="H256" i="19"/>
  <c r="G256" i="19"/>
  <c r="F256" i="19"/>
  <c r="E256" i="19"/>
  <c r="D256" i="19"/>
  <c r="C256" i="19" s="1"/>
  <c r="B256" i="19"/>
  <c r="A256" i="19"/>
  <c r="U255" i="19"/>
  <c r="Q255" i="19" s="1"/>
  <c r="T255" i="19"/>
  <c r="S255" i="19"/>
  <c r="R255" i="19"/>
  <c r="P255" i="19"/>
  <c r="O255" i="19"/>
  <c r="N255" i="19"/>
  <c r="M255" i="19"/>
  <c r="L255" i="19"/>
  <c r="K255" i="19"/>
  <c r="I255" i="19"/>
  <c r="H255" i="19"/>
  <c r="G255" i="19"/>
  <c r="F255" i="19"/>
  <c r="E255" i="19"/>
  <c r="D255" i="19"/>
  <c r="B255" i="19"/>
  <c r="A255" i="19"/>
  <c r="T254" i="19"/>
  <c r="S254" i="19"/>
  <c r="R254" i="19"/>
  <c r="U254" i="19" s="1"/>
  <c r="Q254" i="19" s="1"/>
  <c r="P254" i="19"/>
  <c r="O254" i="19"/>
  <c r="N254" i="19"/>
  <c r="M254" i="19"/>
  <c r="L254" i="19"/>
  <c r="K254" i="19"/>
  <c r="J254" i="19" s="1"/>
  <c r="I254" i="19"/>
  <c r="H254" i="19"/>
  <c r="G254" i="19"/>
  <c r="F254" i="19"/>
  <c r="E254" i="19"/>
  <c r="D254" i="19"/>
  <c r="B254" i="19"/>
  <c r="A254" i="19"/>
  <c r="T253" i="19"/>
  <c r="U253" i="19" s="1"/>
  <c r="Q253" i="19" s="1"/>
  <c r="S253" i="19"/>
  <c r="R253" i="19"/>
  <c r="P253" i="19"/>
  <c r="O253" i="19"/>
  <c r="N253" i="19"/>
  <c r="M253" i="19"/>
  <c r="L253" i="19"/>
  <c r="K253" i="19"/>
  <c r="J253" i="19"/>
  <c r="I253" i="19"/>
  <c r="H253" i="19"/>
  <c r="G253" i="19"/>
  <c r="F253" i="19"/>
  <c r="E253" i="19"/>
  <c r="D253" i="19"/>
  <c r="B253" i="19"/>
  <c r="A253" i="19"/>
  <c r="T252" i="19"/>
  <c r="S252" i="19"/>
  <c r="R252" i="19"/>
  <c r="U252" i="19" s="1"/>
  <c r="Q252" i="19"/>
  <c r="P252" i="19"/>
  <c r="O252" i="19"/>
  <c r="N252" i="19"/>
  <c r="M252" i="19"/>
  <c r="L252" i="19"/>
  <c r="K252" i="19"/>
  <c r="I252" i="19"/>
  <c r="H252" i="19"/>
  <c r="G252" i="19"/>
  <c r="F252" i="19"/>
  <c r="E252" i="19"/>
  <c r="C252" i="19" s="1"/>
  <c r="D252" i="19"/>
  <c r="B252" i="19"/>
  <c r="A252" i="19"/>
  <c r="T251" i="19"/>
  <c r="U251" i="19" s="1"/>
  <c r="Q251" i="19" s="1"/>
  <c r="S251" i="19"/>
  <c r="R251" i="19"/>
  <c r="P251" i="19"/>
  <c r="O251" i="19"/>
  <c r="N251" i="19"/>
  <c r="M251" i="19"/>
  <c r="L251" i="19"/>
  <c r="K251" i="19"/>
  <c r="I251" i="19"/>
  <c r="C251" i="19" s="1"/>
  <c r="H251" i="19"/>
  <c r="G251" i="19"/>
  <c r="F251" i="19"/>
  <c r="E251" i="19"/>
  <c r="D251" i="19"/>
  <c r="B251" i="19"/>
  <c r="A251" i="19"/>
  <c r="T250" i="19"/>
  <c r="S250" i="19"/>
  <c r="U250" i="19" s="1"/>
  <c r="Q250" i="19" s="1"/>
  <c r="R250" i="19"/>
  <c r="P250" i="19"/>
  <c r="O250" i="19"/>
  <c r="N250" i="19"/>
  <c r="M250" i="19"/>
  <c r="L250" i="19"/>
  <c r="K250" i="19"/>
  <c r="I250" i="19"/>
  <c r="H250" i="19"/>
  <c r="G250" i="19"/>
  <c r="F250" i="19"/>
  <c r="E250" i="19"/>
  <c r="D250" i="19"/>
  <c r="B250" i="19"/>
  <c r="A250" i="19"/>
  <c r="U249" i="19"/>
  <c r="Q249" i="19" s="1"/>
  <c r="T249" i="19"/>
  <c r="S249" i="19"/>
  <c r="R249" i="19"/>
  <c r="P249" i="19"/>
  <c r="J249" i="19" s="1"/>
  <c r="O249" i="19"/>
  <c r="N249" i="19"/>
  <c r="M249" i="19"/>
  <c r="L249" i="19"/>
  <c r="K249" i="19"/>
  <c r="I249" i="19"/>
  <c r="H249" i="19"/>
  <c r="G249" i="19"/>
  <c r="F249" i="19"/>
  <c r="E249" i="19"/>
  <c r="D249" i="19"/>
  <c r="B249" i="19"/>
  <c r="A249" i="19"/>
  <c r="T248" i="19"/>
  <c r="S248" i="19"/>
  <c r="R248" i="19"/>
  <c r="U248" i="19" s="1"/>
  <c r="Q248" i="19" s="1"/>
  <c r="P248" i="19"/>
  <c r="O248" i="19"/>
  <c r="N248" i="19"/>
  <c r="J248" i="19" s="1"/>
  <c r="M248" i="19"/>
  <c r="L248" i="19"/>
  <c r="K248" i="19"/>
  <c r="I248" i="19"/>
  <c r="H248" i="19"/>
  <c r="G248" i="19"/>
  <c r="F248" i="19"/>
  <c r="E248" i="19"/>
  <c r="D248" i="19"/>
  <c r="B248" i="19"/>
  <c r="A248" i="19"/>
  <c r="T247" i="19"/>
  <c r="S247" i="19"/>
  <c r="R247" i="19"/>
  <c r="P247" i="19"/>
  <c r="O247" i="19"/>
  <c r="N247" i="19"/>
  <c r="M247" i="19"/>
  <c r="L247" i="19"/>
  <c r="K247" i="19"/>
  <c r="I247" i="19"/>
  <c r="H247" i="19"/>
  <c r="G247" i="19"/>
  <c r="F247" i="19"/>
  <c r="E247" i="19"/>
  <c r="D247" i="19"/>
  <c r="C247" i="19"/>
  <c r="B247" i="19"/>
  <c r="A247" i="19"/>
  <c r="U246" i="19"/>
  <c r="Q246" i="19" s="1"/>
  <c r="T246" i="19"/>
  <c r="S246" i="19"/>
  <c r="R246" i="19"/>
  <c r="P246" i="19"/>
  <c r="O246" i="19"/>
  <c r="N246" i="19"/>
  <c r="M246" i="19"/>
  <c r="L246" i="19"/>
  <c r="K246" i="19"/>
  <c r="I246" i="19"/>
  <c r="H246" i="19"/>
  <c r="G246" i="19"/>
  <c r="F246" i="19"/>
  <c r="E246" i="19"/>
  <c r="D246" i="19"/>
  <c r="C246" i="19"/>
  <c r="B246" i="19"/>
  <c r="A246" i="19"/>
  <c r="T245" i="19"/>
  <c r="S245" i="19"/>
  <c r="R245" i="19"/>
  <c r="U245" i="19" s="1"/>
  <c r="Q245" i="19" s="1"/>
  <c r="P245" i="19"/>
  <c r="O245" i="19"/>
  <c r="N245" i="19"/>
  <c r="M245" i="19"/>
  <c r="L245" i="19"/>
  <c r="K245" i="19"/>
  <c r="I245" i="19"/>
  <c r="H245" i="19"/>
  <c r="G245" i="19"/>
  <c r="F245" i="19"/>
  <c r="E245" i="19"/>
  <c r="D245" i="19"/>
  <c r="B245" i="19"/>
  <c r="A245" i="19"/>
  <c r="T244" i="19"/>
  <c r="S244" i="19"/>
  <c r="R244" i="19"/>
  <c r="U244" i="19" s="1"/>
  <c r="Q244" i="19" s="1"/>
  <c r="P244" i="19"/>
  <c r="O244" i="19"/>
  <c r="N244" i="19"/>
  <c r="J244" i="19" s="1"/>
  <c r="M244" i="19"/>
  <c r="L244" i="19"/>
  <c r="K244" i="19"/>
  <c r="I244" i="19"/>
  <c r="H244" i="19"/>
  <c r="G244" i="19"/>
  <c r="F244" i="19"/>
  <c r="E244" i="19"/>
  <c r="D244" i="19"/>
  <c r="C244" i="19" s="1"/>
  <c r="B244" i="19"/>
  <c r="A244" i="19"/>
  <c r="T243" i="19"/>
  <c r="U243" i="19" s="1"/>
  <c r="Q243" i="19" s="1"/>
  <c r="S243" i="19"/>
  <c r="R243" i="19"/>
  <c r="P243" i="19"/>
  <c r="O243" i="19"/>
  <c r="N243" i="19"/>
  <c r="M243" i="19"/>
  <c r="L243" i="19"/>
  <c r="K243" i="19"/>
  <c r="I243" i="19"/>
  <c r="H243" i="19"/>
  <c r="G243" i="19"/>
  <c r="F243" i="19"/>
  <c r="E243" i="19"/>
  <c r="D243" i="19"/>
  <c r="B243" i="19"/>
  <c r="A243" i="19"/>
  <c r="T242" i="19"/>
  <c r="S242" i="19"/>
  <c r="R242" i="19"/>
  <c r="P242" i="19"/>
  <c r="O242" i="19"/>
  <c r="N242" i="19"/>
  <c r="M242" i="19"/>
  <c r="L242" i="19"/>
  <c r="K242" i="19"/>
  <c r="I242" i="19"/>
  <c r="H242" i="19"/>
  <c r="G242" i="19"/>
  <c r="F242" i="19"/>
  <c r="E242" i="19"/>
  <c r="D242" i="19"/>
  <c r="C242" i="19"/>
  <c r="B242" i="19"/>
  <c r="A242" i="19"/>
  <c r="U241" i="19"/>
  <c r="T241" i="19"/>
  <c r="S241" i="19"/>
  <c r="R241" i="19"/>
  <c r="Q241" i="19"/>
  <c r="P241" i="19"/>
  <c r="O241" i="19"/>
  <c r="N241" i="19"/>
  <c r="M241" i="19"/>
  <c r="L241" i="19"/>
  <c r="K241" i="19"/>
  <c r="J241" i="19" s="1"/>
  <c r="I241" i="19"/>
  <c r="H241" i="19"/>
  <c r="G241" i="19"/>
  <c r="F241" i="19"/>
  <c r="E241" i="19"/>
  <c r="D241" i="19"/>
  <c r="C241" i="19"/>
  <c r="B241" i="19"/>
  <c r="A241" i="19"/>
  <c r="U240" i="19"/>
  <c r="Q240" i="19" s="1"/>
  <c r="T240" i="19"/>
  <c r="S240" i="19"/>
  <c r="R240" i="19"/>
  <c r="P240" i="19"/>
  <c r="J240" i="19" s="1"/>
  <c r="O240" i="19"/>
  <c r="N240" i="19"/>
  <c r="M240" i="19"/>
  <c r="L240" i="19"/>
  <c r="K240" i="19"/>
  <c r="I240" i="19"/>
  <c r="H240" i="19"/>
  <c r="G240" i="19"/>
  <c r="F240" i="19"/>
  <c r="E240" i="19"/>
  <c r="D240" i="19"/>
  <c r="B240" i="19"/>
  <c r="A240" i="19"/>
  <c r="T239" i="19"/>
  <c r="S239" i="19"/>
  <c r="R239" i="19"/>
  <c r="U239" i="19" s="1"/>
  <c r="Q239" i="19"/>
  <c r="P239" i="19"/>
  <c r="O239" i="19"/>
  <c r="N239" i="19"/>
  <c r="M239" i="19"/>
  <c r="L239" i="19"/>
  <c r="K239" i="19"/>
  <c r="I239" i="19"/>
  <c r="H239" i="19"/>
  <c r="G239" i="19"/>
  <c r="F239" i="19"/>
  <c r="E239" i="19"/>
  <c r="D239" i="19"/>
  <c r="C239" i="19" s="1"/>
  <c r="B239" i="19"/>
  <c r="A239" i="19"/>
  <c r="T238" i="19"/>
  <c r="S238" i="19"/>
  <c r="R238" i="19"/>
  <c r="U238" i="19" s="1"/>
  <c r="Q238" i="19" s="1"/>
  <c r="P238" i="19"/>
  <c r="O238" i="19"/>
  <c r="N238" i="19"/>
  <c r="M238" i="19"/>
  <c r="L238" i="19"/>
  <c r="K238" i="19"/>
  <c r="I238" i="19"/>
  <c r="H238" i="19"/>
  <c r="G238" i="19"/>
  <c r="F238" i="19"/>
  <c r="E238" i="19"/>
  <c r="D238" i="19"/>
  <c r="C238" i="19"/>
  <c r="B238" i="19"/>
  <c r="A238" i="19"/>
  <c r="T237" i="19"/>
  <c r="S237" i="19"/>
  <c r="U237" i="19" s="1"/>
  <c r="Q237" i="19" s="1"/>
  <c r="R237" i="19"/>
  <c r="P237" i="19"/>
  <c r="O237" i="19"/>
  <c r="N237" i="19"/>
  <c r="M237" i="19"/>
  <c r="L237" i="19"/>
  <c r="K237" i="19"/>
  <c r="I237" i="19"/>
  <c r="H237" i="19"/>
  <c r="G237" i="19"/>
  <c r="C237" i="19" s="1"/>
  <c r="F237" i="19"/>
  <c r="E237" i="19"/>
  <c r="D237" i="19"/>
  <c r="B237" i="19"/>
  <c r="A237" i="19"/>
  <c r="U236" i="19"/>
  <c r="T236" i="19"/>
  <c r="S236" i="19"/>
  <c r="R236" i="19"/>
  <c r="Q236" i="19"/>
  <c r="V236" i="19" s="1"/>
  <c r="P236" i="19"/>
  <c r="O236" i="19"/>
  <c r="N236" i="19"/>
  <c r="M236" i="19"/>
  <c r="L236" i="19"/>
  <c r="K236" i="19"/>
  <c r="J236" i="19"/>
  <c r="I236" i="19"/>
  <c r="H236" i="19"/>
  <c r="G236" i="19"/>
  <c r="F236" i="19"/>
  <c r="E236" i="19"/>
  <c r="C236" i="19" s="1"/>
  <c r="D236" i="19"/>
  <c r="B236" i="19"/>
  <c r="A236" i="19"/>
  <c r="T235" i="19"/>
  <c r="S235" i="19"/>
  <c r="U235" i="19" s="1"/>
  <c r="Q235" i="19" s="1"/>
  <c r="R235" i="19"/>
  <c r="P235" i="19"/>
  <c r="O235" i="19"/>
  <c r="N235" i="19"/>
  <c r="M235" i="19"/>
  <c r="L235" i="19"/>
  <c r="K235" i="19"/>
  <c r="J235" i="19"/>
  <c r="I235" i="19"/>
  <c r="H235" i="19"/>
  <c r="G235" i="19"/>
  <c r="F235" i="19"/>
  <c r="E235" i="19"/>
  <c r="D235" i="19"/>
  <c r="C235" i="19" s="1"/>
  <c r="B235" i="19"/>
  <c r="A235" i="19"/>
  <c r="T234" i="19"/>
  <c r="S234" i="19"/>
  <c r="R234" i="19"/>
  <c r="U234" i="19" s="1"/>
  <c r="Q234" i="19"/>
  <c r="P234" i="19"/>
  <c r="J234" i="19" s="1"/>
  <c r="O234" i="19"/>
  <c r="N234" i="19"/>
  <c r="M234" i="19"/>
  <c r="L234" i="19"/>
  <c r="K234" i="19"/>
  <c r="I234" i="19"/>
  <c r="H234" i="19"/>
  <c r="G234" i="19"/>
  <c r="F234" i="19"/>
  <c r="E234" i="19"/>
  <c r="D234" i="19"/>
  <c r="B234" i="19"/>
  <c r="A234" i="19"/>
  <c r="T233" i="19"/>
  <c r="S233" i="19"/>
  <c r="R233" i="19"/>
  <c r="U233" i="19" s="1"/>
  <c r="Q233" i="19" s="1"/>
  <c r="P233" i="19"/>
  <c r="O233" i="19"/>
  <c r="N233" i="19"/>
  <c r="M233" i="19"/>
  <c r="L233" i="19"/>
  <c r="K233" i="19"/>
  <c r="I233" i="19"/>
  <c r="H233" i="19"/>
  <c r="G233" i="19"/>
  <c r="C233" i="19" s="1"/>
  <c r="F233" i="19"/>
  <c r="E233" i="19"/>
  <c r="D233" i="19"/>
  <c r="B233" i="19"/>
  <c r="A233" i="19"/>
  <c r="T232" i="19"/>
  <c r="S232" i="19"/>
  <c r="R232" i="19"/>
  <c r="U232" i="19" s="1"/>
  <c r="Q232" i="19" s="1"/>
  <c r="P232" i="19"/>
  <c r="O232" i="19"/>
  <c r="N232" i="19"/>
  <c r="M232" i="19"/>
  <c r="L232" i="19"/>
  <c r="K232" i="19"/>
  <c r="J232" i="19"/>
  <c r="V232" i="19" s="1"/>
  <c r="I232" i="19"/>
  <c r="H232" i="19"/>
  <c r="G232" i="19"/>
  <c r="F232" i="19"/>
  <c r="E232" i="19"/>
  <c r="D232" i="19"/>
  <c r="C232" i="19" s="1"/>
  <c r="B232" i="19"/>
  <c r="A232" i="19"/>
  <c r="T231" i="19"/>
  <c r="U231" i="19" s="1"/>
  <c r="Q231" i="19" s="1"/>
  <c r="S231" i="19"/>
  <c r="R231" i="19"/>
  <c r="P231" i="19"/>
  <c r="O231" i="19"/>
  <c r="N231" i="19"/>
  <c r="J231" i="19" s="1"/>
  <c r="M231" i="19"/>
  <c r="L231" i="19"/>
  <c r="K231" i="19"/>
  <c r="I231" i="19"/>
  <c r="H231" i="19"/>
  <c r="G231" i="19"/>
  <c r="F231" i="19"/>
  <c r="E231" i="19"/>
  <c r="D231" i="19"/>
  <c r="C231" i="19" s="1"/>
  <c r="B231" i="19"/>
  <c r="A231" i="19"/>
  <c r="T230" i="19"/>
  <c r="S230" i="19"/>
  <c r="R230" i="19"/>
  <c r="U230" i="19" s="1"/>
  <c r="Q230" i="19" s="1"/>
  <c r="V230" i="19" s="1"/>
  <c r="P230" i="19"/>
  <c r="O230" i="19"/>
  <c r="N230" i="19"/>
  <c r="M230" i="19"/>
  <c r="L230" i="19"/>
  <c r="K230" i="19"/>
  <c r="J230" i="19" s="1"/>
  <c r="I230" i="19"/>
  <c r="H230" i="19"/>
  <c r="G230" i="19"/>
  <c r="F230" i="19"/>
  <c r="E230" i="19"/>
  <c r="D230" i="19"/>
  <c r="C230" i="19"/>
  <c r="B230" i="19"/>
  <c r="A230" i="19"/>
  <c r="U229" i="19"/>
  <c r="Q229" i="19" s="1"/>
  <c r="T229" i="19"/>
  <c r="S229" i="19"/>
  <c r="R229" i="19"/>
  <c r="P229" i="19"/>
  <c r="O229" i="19"/>
  <c r="N229" i="19"/>
  <c r="M229" i="19"/>
  <c r="L229" i="19"/>
  <c r="K229" i="19"/>
  <c r="I229" i="19"/>
  <c r="H229" i="19"/>
  <c r="G229" i="19"/>
  <c r="F229" i="19"/>
  <c r="E229" i="19"/>
  <c r="D229" i="19"/>
  <c r="B229" i="19"/>
  <c r="A229" i="19"/>
  <c r="T228" i="19"/>
  <c r="S228" i="19"/>
  <c r="R228" i="19"/>
  <c r="U228" i="19" s="1"/>
  <c r="Q228" i="19" s="1"/>
  <c r="P228" i="19"/>
  <c r="O228" i="19"/>
  <c r="N228" i="19"/>
  <c r="M228" i="19"/>
  <c r="L228" i="19"/>
  <c r="K228" i="19"/>
  <c r="J228" i="19" s="1"/>
  <c r="I228" i="19"/>
  <c r="H228" i="19"/>
  <c r="G228" i="19"/>
  <c r="F228" i="19"/>
  <c r="E228" i="19"/>
  <c r="D228" i="19"/>
  <c r="B228" i="19"/>
  <c r="A228" i="19"/>
  <c r="T227" i="19"/>
  <c r="S227" i="19"/>
  <c r="U227" i="19" s="1"/>
  <c r="Q227" i="19" s="1"/>
  <c r="R227" i="19"/>
  <c r="P227" i="19"/>
  <c r="O227" i="19"/>
  <c r="N227" i="19"/>
  <c r="M227" i="19"/>
  <c r="L227" i="19"/>
  <c r="K227" i="19"/>
  <c r="I227" i="19"/>
  <c r="H227" i="19"/>
  <c r="G227" i="19"/>
  <c r="F227" i="19"/>
  <c r="E227" i="19"/>
  <c r="D227" i="19"/>
  <c r="C227" i="19" s="1"/>
  <c r="B227" i="19"/>
  <c r="A227" i="19"/>
  <c r="T226" i="19"/>
  <c r="S226" i="19"/>
  <c r="R226" i="19"/>
  <c r="U226" i="19" s="1"/>
  <c r="Q226" i="19"/>
  <c r="P226" i="19"/>
  <c r="O226" i="19"/>
  <c r="N226" i="19"/>
  <c r="M226" i="19"/>
  <c r="L226" i="19"/>
  <c r="J226" i="19" s="1"/>
  <c r="K226" i="19"/>
  <c r="I226" i="19"/>
  <c r="H226" i="19"/>
  <c r="G226" i="19"/>
  <c r="F226" i="19"/>
  <c r="E226" i="19"/>
  <c r="D226" i="19"/>
  <c r="B226" i="19"/>
  <c r="A226" i="19"/>
  <c r="T225" i="19"/>
  <c r="U225" i="19" s="1"/>
  <c r="Q225" i="19" s="1"/>
  <c r="S225" i="19"/>
  <c r="R225" i="19"/>
  <c r="P225" i="19"/>
  <c r="O225" i="19"/>
  <c r="N225" i="19"/>
  <c r="M225" i="19"/>
  <c r="L225" i="19"/>
  <c r="K225" i="19"/>
  <c r="I225" i="19"/>
  <c r="H225" i="19"/>
  <c r="G225" i="19"/>
  <c r="F225" i="19"/>
  <c r="E225" i="19"/>
  <c r="D225" i="19"/>
  <c r="C225" i="19"/>
  <c r="B225" i="19"/>
  <c r="A225" i="19"/>
  <c r="T224" i="19"/>
  <c r="S224" i="19"/>
  <c r="U224" i="19" s="1"/>
  <c r="Q224" i="19" s="1"/>
  <c r="R224" i="19"/>
  <c r="P224" i="19"/>
  <c r="O224" i="19"/>
  <c r="N224" i="19"/>
  <c r="M224" i="19"/>
  <c r="L224" i="19"/>
  <c r="K224" i="19"/>
  <c r="I224" i="19"/>
  <c r="H224" i="19"/>
  <c r="G224" i="19"/>
  <c r="F224" i="19"/>
  <c r="E224" i="19"/>
  <c r="D224" i="19"/>
  <c r="B224" i="19"/>
  <c r="A224" i="19"/>
  <c r="U223" i="19"/>
  <c r="Q223" i="19" s="1"/>
  <c r="T223" i="19"/>
  <c r="S223" i="19"/>
  <c r="R223" i="19"/>
  <c r="P223" i="19"/>
  <c r="O223" i="19"/>
  <c r="N223" i="19"/>
  <c r="M223" i="19"/>
  <c r="L223" i="19"/>
  <c r="K223" i="19"/>
  <c r="J223" i="19"/>
  <c r="I223" i="19"/>
  <c r="H223" i="19"/>
  <c r="G223" i="19"/>
  <c r="F223" i="19"/>
  <c r="E223" i="19"/>
  <c r="D223" i="19"/>
  <c r="B223" i="19"/>
  <c r="A223" i="19"/>
  <c r="T222" i="19"/>
  <c r="S222" i="19"/>
  <c r="R222" i="19"/>
  <c r="U222" i="19" s="1"/>
  <c r="Q222" i="19" s="1"/>
  <c r="P222" i="19"/>
  <c r="O222" i="19"/>
  <c r="N222" i="19"/>
  <c r="J222" i="19" s="1"/>
  <c r="M222" i="19"/>
  <c r="L222" i="19"/>
  <c r="K222" i="19"/>
  <c r="I222" i="19"/>
  <c r="H222" i="19"/>
  <c r="G222" i="19"/>
  <c r="F222" i="19"/>
  <c r="E222" i="19"/>
  <c r="D222" i="19"/>
  <c r="B222" i="19"/>
  <c r="A222" i="19"/>
  <c r="T221" i="19"/>
  <c r="S221" i="19"/>
  <c r="U221" i="19" s="1"/>
  <c r="Q221" i="19" s="1"/>
  <c r="R221" i="19"/>
  <c r="P221" i="19"/>
  <c r="O221" i="19"/>
  <c r="N221" i="19"/>
  <c r="M221" i="19"/>
  <c r="L221" i="19"/>
  <c r="K221" i="19"/>
  <c r="I221" i="19"/>
  <c r="H221" i="19"/>
  <c r="G221" i="19"/>
  <c r="F221" i="19"/>
  <c r="E221" i="19"/>
  <c r="D221" i="19"/>
  <c r="C221" i="19" s="1"/>
  <c r="B221" i="19"/>
  <c r="A221" i="19"/>
  <c r="T220" i="19"/>
  <c r="S220" i="19"/>
  <c r="R220" i="19"/>
  <c r="U220" i="19" s="1"/>
  <c r="Q220" i="19" s="1"/>
  <c r="P220" i="19"/>
  <c r="O220" i="19"/>
  <c r="N220" i="19"/>
  <c r="M220" i="19"/>
  <c r="L220" i="19"/>
  <c r="K220" i="19"/>
  <c r="I220" i="19"/>
  <c r="H220" i="19"/>
  <c r="G220" i="19"/>
  <c r="C220" i="19" s="1"/>
  <c r="F220" i="19"/>
  <c r="E220" i="19"/>
  <c r="D220" i="19"/>
  <c r="B220" i="19"/>
  <c r="A220" i="19"/>
  <c r="U219" i="19"/>
  <c r="Q219" i="19" s="1"/>
  <c r="T219" i="19"/>
  <c r="S219" i="19"/>
  <c r="R219" i="19"/>
  <c r="P219" i="19"/>
  <c r="O219" i="19"/>
  <c r="N219" i="19"/>
  <c r="M219" i="19"/>
  <c r="L219" i="19"/>
  <c r="K219" i="19"/>
  <c r="J219" i="19"/>
  <c r="I219" i="19"/>
  <c r="H219" i="19"/>
  <c r="G219" i="19"/>
  <c r="F219" i="19"/>
  <c r="E219" i="19"/>
  <c r="D219" i="19"/>
  <c r="B219" i="19"/>
  <c r="A219" i="19"/>
  <c r="T218" i="19"/>
  <c r="S218" i="19"/>
  <c r="R218" i="19"/>
  <c r="P218" i="19"/>
  <c r="O218" i="19"/>
  <c r="N218" i="19"/>
  <c r="J218" i="19" s="1"/>
  <c r="M218" i="19"/>
  <c r="L218" i="19"/>
  <c r="K218" i="19"/>
  <c r="I218" i="19"/>
  <c r="H218" i="19"/>
  <c r="G218" i="19"/>
  <c r="F218" i="19"/>
  <c r="C218" i="19" s="1"/>
  <c r="E218" i="19"/>
  <c r="D218" i="19"/>
  <c r="B218" i="19"/>
  <c r="A218" i="19"/>
  <c r="T217" i="19"/>
  <c r="S217" i="19"/>
  <c r="R217" i="19"/>
  <c r="U217" i="19" s="1"/>
  <c r="Q217" i="19"/>
  <c r="P217" i="19"/>
  <c r="O217" i="19"/>
  <c r="N217" i="19"/>
  <c r="M217" i="19"/>
  <c r="L217" i="19"/>
  <c r="K217" i="19"/>
  <c r="I217" i="19"/>
  <c r="H217" i="19"/>
  <c r="G217" i="19"/>
  <c r="F217" i="19"/>
  <c r="E217" i="19"/>
  <c r="D217" i="19"/>
  <c r="C217" i="19" s="1"/>
  <c r="B217" i="19"/>
  <c r="A217" i="19"/>
  <c r="T216" i="19"/>
  <c r="S216" i="19"/>
  <c r="R216" i="19"/>
  <c r="P216" i="19"/>
  <c r="O216" i="19"/>
  <c r="N216" i="19"/>
  <c r="M216" i="19"/>
  <c r="L216" i="19"/>
  <c r="K216" i="19"/>
  <c r="I216" i="19"/>
  <c r="H216" i="19"/>
  <c r="G216" i="19"/>
  <c r="F216" i="19"/>
  <c r="E216" i="19"/>
  <c r="D216" i="19"/>
  <c r="C216" i="19"/>
  <c r="B216" i="19"/>
  <c r="A216" i="19"/>
  <c r="T215" i="19"/>
  <c r="S215" i="19"/>
  <c r="U215" i="19" s="1"/>
  <c r="Q215" i="19" s="1"/>
  <c r="R215" i="19"/>
  <c r="P215" i="19"/>
  <c r="O215" i="19"/>
  <c r="N215" i="19"/>
  <c r="M215" i="19"/>
  <c r="L215" i="19"/>
  <c r="K215" i="19"/>
  <c r="I215" i="19"/>
  <c r="C215" i="19" s="1"/>
  <c r="H215" i="19"/>
  <c r="G215" i="19"/>
  <c r="F215" i="19"/>
  <c r="E215" i="19"/>
  <c r="D215" i="19"/>
  <c r="B215" i="19"/>
  <c r="A215" i="19"/>
  <c r="T214" i="19"/>
  <c r="S214" i="19"/>
  <c r="U214" i="19" s="1"/>
  <c r="Q214" i="19" s="1"/>
  <c r="R214" i="19"/>
  <c r="P214" i="19"/>
  <c r="O214" i="19"/>
  <c r="N214" i="19"/>
  <c r="M214" i="19"/>
  <c r="L214" i="19"/>
  <c r="K214" i="19"/>
  <c r="J214" i="19" s="1"/>
  <c r="I214" i="19"/>
  <c r="H214" i="19"/>
  <c r="G214" i="19"/>
  <c r="F214" i="19"/>
  <c r="E214" i="19"/>
  <c r="D214" i="19"/>
  <c r="B214" i="19"/>
  <c r="A214" i="19"/>
  <c r="T213" i="19"/>
  <c r="U213" i="19" s="1"/>
  <c r="Q213" i="19" s="1"/>
  <c r="S213" i="19"/>
  <c r="R213" i="19"/>
  <c r="P213" i="19"/>
  <c r="O213" i="19"/>
  <c r="N213" i="19"/>
  <c r="M213" i="19"/>
  <c r="L213" i="19"/>
  <c r="K213" i="19"/>
  <c r="I213" i="19"/>
  <c r="H213" i="19"/>
  <c r="G213" i="19"/>
  <c r="F213" i="19"/>
  <c r="E213" i="19"/>
  <c r="D213" i="19"/>
  <c r="C213" i="19" s="1"/>
  <c r="B213" i="19"/>
  <c r="A213" i="19"/>
  <c r="T212" i="19"/>
  <c r="S212" i="19"/>
  <c r="R212" i="19"/>
  <c r="U212" i="19" s="1"/>
  <c r="Q212" i="19" s="1"/>
  <c r="P212" i="19"/>
  <c r="O212" i="19"/>
  <c r="J212" i="19" s="1"/>
  <c r="V212" i="19" s="1"/>
  <c r="N212" i="19"/>
  <c r="M212" i="19"/>
  <c r="L212" i="19"/>
  <c r="K212" i="19"/>
  <c r="I212" i="19"/>
  <c r="H212" i="19"/>
  <c r="G212" i="19"/>
  <c r="F212" i="19"/>
  <c r="E212" i="19"/>
  <c r="D212" i="19"/>
  <c r="C212" i="19"/>
  <c r="B212" i="19"/>
  <c r="A212" i="19"/>
  <c r="T211" i="19"/>
  <c r="S211" i="19"/>
  <c r="R211" i="19"/>
  <c r="P211" i="19"/>
  <c r="O211" i="19"/>
  <c r="N211" i="19"/>
  <c r="M211" i="19"/>
  <c r="L211" i="19"/>
  <c r="K211" i="19"/>
  <c r="J211" i="19" s="1"/>
  <c r="I211" i="19"/>
  <c r="H211" i="19"/>
  <c r="G211" i="19"/>
  <c r="C211" i="19" s="1"/>
  <c r="F211" i="19"/>
  <c r="E211" i="19"/>
  <c r="D211" i="19"/>
  <c r="B211" i="19"/>
  <c r="A211" i="19"/>
  <c r="U210" i="19"/>
  <c r="T210" i="19"/>
  <c r="S210" i="19"/>
  <c r="R210" i="19"/>
  <c r="Q210" i="19"/>
  <c r="P210" i="19"/>
  <c r="O210" i="19"/>
  <c r="N210" i="19"/>
  <c r="M210" i="19"/>
  <c r="L210" i="19"/>
  <c r="K210" i="19"/>
  <c r="J210" i="19"/>
  <c r="I210" i="19"/>
  <c r="H210" i="19"/>
  <c r="G210" i="19"/>
  <c r="F210" i="19"/>
  <c r="E210" i="19"/>
  <c r="C210" i="19" s="1"/>
  <c r="D210" i="19"/>
  <c r="B210" i="19"/>
  <c r="A210" i="19"/>
  <c r="T209" i="19"/>
  <c r="S209" i="19"/>
  <c r="R209" i="19"/>
  <c r="P209" i="19"/>
  <c r="O209" i="19"/>
  <c r="N209" i="19"/>
  <c r="M209" i="19"/>
  <c r="L209" i="19"/>
  <c r="K209" i="19"/>
  <c r="I209" i="19"/>
  <c r="H209" i="19"/>
  <c r="G209" i="19"/>
  <c r="F209" i="19"/>
  <c r="E209" i="19"/>
  <c r="D209" i="19"/>
  <c r="B209" i="19"/>
  <c r="A209" i="19"/>
  <c r="T208" i="19"/>
  <c r="S208" i="19"/>
  <c r="R208" i="19"/>
  <c r="U208" i="19" s="1"/>
  <c r="Q208" i="19" s="1"/>
  <c r="P208" i="19"/>
  <c r="O208" i="19"/>
  <c r="N208" i="19"/>
  <c r="J208" i="19" s="1"/>
  <c r="M208" i="19"/>
  <c r="L208" i="19"/>
  <c r="K208" i="19"/>
  <c r="I208" i="19"/>
  <c r="H208" i="19"/>
  <c r="G208" i="19"/>
  <c r="F208" i="19"/>
  <c r="E208" i="19"/>
  <c r="D208" i="19"/>
  <c r="C208" i="19" s="1"/>
  <c r="B208" i="19"/>
  <c r="A208" i="19"/>
  <c r="T207" i="19"/>
  <c r="U207" i="19" s="1"/>
  <c r="Q207" i="19" s="1"/>
  <c r="S207" i="19"/>
  <c r="R207" i="19"/>
  <c r="P207" i="19"/>
  <c r="O207" i="19"/>
  <c r="N207" i="19"/>
  <c r="M207" i="19"/>
  <c r="L207" i="19"/>
  <c r="K207" i="19"/>
  <c r="I207" i="19"/>
  <c r="H207" i="19"/>
  <c r="G207" i="19"/>
  <c r="F207" i="19"/>
  <c r="E207" i="19"/>
  <c r="D207" i="19"/>
  <c r="B207" i="19"/>
  <c r="A207" i="19"/>
  <c r="T206" i="19"/>
  <c r="S206" i="19"/>
  <c r="R206" i="19"/>
  <c r="P206" i="19"/>
  <c r="O206" i="19"/>
  <c r="N206" i="19"/>
  <c r="M206" i="19"/>
  <c r="L206" i="19"/>
  <c r="K206" i="19"/>
  <c r="J206" i="19" s="1"/>
  <c r="I206" i="19"/>
  <c r="H206" i="19"/>
  <c r="G206" i="19"/>
  <c r="F206" i="19"/>
  <c r="E206" i="19"/>
  <c r="C206" i="19" s="1"/>
  <c r="D206" i="19"/>
  <c r="B206" i="19"/>
  <c r="A206" i="19"/>
  <c r="T205" i="19"/>
  <c r="U205" i="19" s="1"/>
  <c r="Q205" i="19" s="1"/>
  <c r="S205" i="19"/>
  <c r="R205" i="19"/>
  <c r="P205" i="19"/>
  <c r="O205" i="19"/>
  <c r="N205" i="19"/>
  <c r="M205" i="19"/>
  <c r="L205" i="19"/>
  <c r="K205" i="19"/>
  <c r="I205" i="19"/>
  <c r="H205" i="19"/>
  <c r="G205" i="19"/>
  <c r="F205" i="19"/>
  <c r="E205" i="19"/>
  <c r="D205" i="19"/>
  <c r="C205" i="19"/>
  <c r="B205" i="19"/>
  <c r="A205" i="19"/>
  <c r="T204" i="19"/>
  <c r="S204" i="19"/>
  <c r="R204" i="19"/>
  <c r="U204" i="19" s="1"/>
  <c r="Q204" i="19" s="1"/>
  <c r="P204" i="19"/>
  <c r="J204" i="19" s="1"/>
  <c r="O204" i="19"/>
  <c r="N204" i="19"/>
  <c r="M204" i="19"/>
  <c r="L204" i="19"/>
  <c r="K204" i="19"/>
  <c r="I204" i="19"/>
  <c r="H204" i="19"/>
  <c r="G204" i="19"/>
  <c r="F204" i="19"/>
  <c r="E204" i="19"/>
  <c r="D204" i="19"/>
  <c r="C204" i="19" s="1"/>
  <c r="B204" i="19"/>
  <c r="A204" i="19"/>
  <c r="U203" i="19"/>
  <c r="Q203" i="19" s="1"/>
  <c r="T203" i="19"/>
  <c r="S203" i="19"/>
  <c r="R203" i="19"/>
  <c r="P203" i="19"/>
  <c r="O203" i="19"/>
  <c r="N203" i="19"/>
  <c r="M203" i="19"/>
  <c r="L203" i="19"/>
  <c r="K203" i="19"/>
  <c r="I203" i="19"/>
  <c r="H203" i="19"/>
  <c r="G203" i="19"/>
  <c r="F203" i="19"/>
  <c r="E203" i="19"/>
  <c r="D203" i="19"/>
  <c r="B203" i="19"/>
  <c r="A203" i="19"/>
  <c r="T202" i="19"/>
  <c r="S202" i="19"/>
  <c r="R202" i="19"/>
  <c r="U202" i="19" s="1"/>
  <c r="Q202" i="19" s="1"/>
  <c r="P202" i="19"/>
  <c r="O202" i="19"/>
  <c r="N202" i="19"/>
  <c r="M202" i="19"/>
  <c r="L202" i="19"/>
  <c r="K202" i="19"/>
  <c r="J202" i="19"/>
  <c r="V202" i="19" s="1"/>
  <c r="I202" i="19"/>
  <c r="H202" i="19"/>
  <c r="G202" i="19"/>
  <c r="F202" i="19"/>
  <c r="E202" i="19"/>
  <c r="D202" i="19"/>
  <c r="C202" i="19" s="1"/>
  <c r="B202" i="19"/>
  <c r="A202" i="19"/>
  <c r="T201" i="19"/>
  <c r="S201" i="19"/>
  <c r="R201" i="19"/>
  <c r="P201" i="19"/>
  <c r="O201" i="19"/>
  <c r="N201" i="19"/>
  <c r="M201" i="19"/>
  <c r="L201" i="19"/>
  <c r="K201" i="19"/>
  <c r="I201" i="19"/>
  <c r="H201" i="19"/>
  <c r="G201" i="19"/>
  <c r="F201" i="19"/>
  <c r="E201" i="19"/>
  <c r="D201" i="19"/>
  <c r="C201" i="19"/>
  <c r="B201" i="19"/>
  <c r="A201" i="19"/>
  <c r="T200" i="19"/>
  <c r="S200" i="19"/>
  <c r="R200" i="19"/>
  <c r="U200" i="19" s="1"/>
  <c r="Q200" i="19" s="1"/>
  <c r="P200" i="19"/>
  <c r="O200" i="19"/>
  <c r="N200" i="19"/>
  <c r="M200" i="19"/>
  <c r="L200" i="19"/>
  <c r="K200" i="19"/>
  <c r="J200" i="19" s="1"/>
  <c r="I200" i="19"/>
  <c r="H200" i="19"/>
  <c r="G200" i="19"/>
  <c r="F200" i="19"/>
  <c r="E200" i="19"/>
  <c r="C200" i="19" s="1"/>
  <c r="D200" i="19"/>
  <c r="B200" i="19"/>
  <c r="A200" i="19"/>
  <c r="T199" i="19"/>
  <c r="S199" i="19"/>
  <c r="U199" i="19" s="1"/>
  <c r="Q199" i="19" s="1"/>
  <c r="R199" i="19"/>
  <c r="P199" i="19"/>
  <c r="O199" i="19"/>
  <c r="J199" i="19" s="1"/>
  <c r="N199" i="19"/>
  <c r="M199" i="19"/>
  <c r="L199" i="19"/>
  <c r="K199" i="19"/>
  <c r="I199" i="19"/>
  <c r="H199" i="19"/>
  <c r="G199" i="19"/>
  <c r="F199" i="19"/>
  <c r="E199" i="19"/>
  <c r="D199" i="19"/>
  <c r="C199" i="19"/>
  <c r="B199" i="19"/>
  <c r="A199" i="19"/>
  <c r="T198" i="19"/>
  <c r="S198" i="19"/>
  <c r="R198" i="19"/>
  <c r="P198" i="19"/>
  <c r="O198" i="19"/>
  <c r="N198" i="19"/>
  <c r="M198" i="19"/>
  <c r="L198" i="19"/>
  <c r="K198" i="19"/>
  <c r="I198" i="19"/>
  <c r="H198" i="19"/>
  <c r="G198" i="19"/>
  <c r="F198" i="19"/>
  <c r="E198" i="19"/>
  <c r="D198" i="19"/>
  <c r="B198" i="19"/>
  <c r="A198" i="19"/>
  <c r="U197" i="19"/>
  <c r="Q197" i="19" s="1"/>
  <c r="T197" i="19"/>
  <c r="S197" i="19"/>
  <c r="R197" i="19"/>
  <c r="P197" i="19"/>
  <c r="O197" i="19"/>
  <c r="N197" i="19"/>
  <c r="M197" i="19"/>
  <c r="L197" i="19"/>
  <c r="K197" i="19"/>
  <c r="I197" i="19"/>
  <c r="H197" i="19"/>
  <c r="G197" i="19"/>
  <c r="F197" i="19"/>
  <c r="E197" i="19"/>
  <c r="D197" i="19"/>
  <c r="C197" i="19"/>
  <c r="B197" i="19"/>
  <c r="A197" i="19"/>
  <c r="T196" i="19"/>
  <c r="S196" i="19"/>
  <c r="R196" i="19"/>
  <c r="U196" i="19" s="1"/>
  <c r="Q196" i="19"/>
  <c r="P196" i="19"/>
  <c r="O196" i="19"/>
  <c r="N196" i="19"/>
  <c r="M196" i="19"/>
  <c r="L196" i="19"/>
  <c r="J196" i="19" s="1"/>
  <c r="K196" i="19"/>
  <c r="I196" i="19"/>
  <c r="H196" i="19"/>
  <c r="G196" i="19"/>
  <c r="F196" i="19"/>
  <c r="E196" i="19"/>
  <c r="D196" i="19"/>
  <c r="B196" i="19"/>
  <c r="A196" i="19"/>
  <c r="T195" i="19"/>
  <c r="U195" i="19" s="1"/>
  <c r="Q195" i="19" s="1"/>
  <c r="S195" i="19"/>
  <c r="R195" i="19"/>
  <c r="P195" i="19"/>
  <c r="O195" i="19"/>
  <c r="N195" i="19"/>
  <c r="J195" i="19" s="1"/>
  <c r="M195" i="19"/>
  <c r="L195" i="19"/>
  <c r="K195" i="19"/>
  <c r="I195" i="19"/>
  <c r="H195" i="19"/>
  <c r="G195" i="19"/>
  <c r="F195" i="19"/>
  <c r="E195" i="19"/>
  <c r="D195" i="19"/>
  <c r="C195" i="19" s="1"/>
  <c r="B195" i="19"/>
  <c r="A195" i="19"/>
  <c r="T194" i="19"/>
  <c r="S194" i="19"/>
  <c r="R194" i="19"/>
  <c r="U194" i="19" s="1"/>
  <c r="Q194" i="19" s="1"/>
  <c r="P194" i="19"/>
  <c r="O194" i="19"/>
  <c r="N194" i="19"/>
  <c r="M194" i="19"/>
  <c r="L194" i="19"/>
  <c r="K194" i="19"/>
  <c r="I194" i="19"/>
  <c r="H194" i="19"/>
  <c r="G194" i="19"/>
  <c r="C194" i="19" s="1"/>
  <c r="F194" i="19"/>
  <c r="E194" i="19"/>
  <c r="D194" i="19"/>
  <c r="B194" i="19"/>
  <c r="A194" i="19"/>
  <c r="U193" i="19"/>
  <c r="T193" i="19"/>
  <c r="S193" i="19"/>
  <c r="R193" i="19"/>
  <c r="Q193" i="19"/>
  <c r="P193" i="19"/>
  <c r="O193" i="19"/>
  <c r="N193" i="19"/>
  <c r="M193" i="19"/>
  <c r="L193" i="19"/>
  <c r="K193" i="19"/>
  <c r="J193" i="19"/>
  <c r="I193" i="19"/>
  <c r="H193" i="19"/>
  <c r="G193" i="19"/>
  <c r="F193" i="19"/>
  <c r="E193" i="19"/>
  <c r="D193" i="19"/>
  <c r="B193" i="19"/>
  <c r="A193" i="19"/>
  <c r="T192" i="19"/>
  <c r="S192" i="19"/>
  <c r="R192" i="19"/>
  <c r="P192" i="19"/>
  <c r="O192" i="19"/>
  <c r="N192" i="19"/>
  <c r="J192" i="19" s="1"/>
  <c r="M192" i="19"/>
  <c r="L192" i="19"/>
  <c r="K192" i="19"/>
  <c r="I192" i="19"/>
  <c r="H192" i="19"/>
  <c r="G192" i="19"/>
  <c r="F192" i="19"/>
  <c r="E192" i="19"/>
  <c r="D192" i="19"/>
  <c r="B192" i="19"/>
  <c r="A192" i="19"/>
  <c r="T191" i="19"/>
  <c r="S191" i="19"/>
  <c r="U191" i="19" s="1"/>
  <c r="R191" i="19"/>
  <c r="Q191" i="19"/>
  <c r="P191" i="19"/>
  <c r="O191" i="19"/>
  <c r="N191" i="19"/>
  <c r="M191" i="19"/>
  <c r="L191" i="19"/>
  <c r="K191" i="19"/>
  <c r="I191" i="19"/>
  <c r="H191" i="19"/>
  <c r="G191" i="19"/>
  <c r="F191" i="19"/>
  <c r="E191" i="19"/>
  <c r="D191" i="19"/>
  <c r="C191" i="19"/>
  <c r="B191" i="19"/>
  <c r="A191" i="19"/>
  <c r="T190" i="19"/>
  <c r="S190" i="19"/>
  <c r="R190" i="19"/>
  <c r="U190" i="19" s="1"/>
  <c r="Q190" i="19" s="1"/>
  <c r="P190" i="19"/>
  <c r="O190" i="19"/>
  <c r="N190" i="19"/>
  <c r="M190" i="19"/>
  <c r="L190" i="19"/>
  <c r="K190" i="19"/>
  <c r="I190" i="19"/>
  <c r="H190" i="19"/>
  <c r="G190" i="19"/>
  <c r="F190" i="19"/>
  <c r="E190" i="19"/>
  <c r="D190" i="19"/>
  <c r="C190" i="19" s="1"/>
  <c r="B190" i="19"/>
  <c r="A190" i="19"/>
  <c r="V189" i="19"/>
  <c r="T189" i="19"/>
  <c r="S189" i="19"/>
  <c r="U189" i="19" s="1"/>
  <c r="Q189" i="19" s="1"/>
  <c r="R189" i="19"/>
  <c r="P189" i="19"/>
  <c r="O189" i="19"/>
  <c r="N189" i="19"/>
  <c r="M189" i="19"/>
  <c r="L189" i="19"/>
  <c r="K189" i="19"/>
  <c r="J189" i="19"/>
  <c r="I189" i="19"/>
  <c r="C189" i="19" s="1"/>
  <c r="H189" i="19"/>
  <c r="G189" i="19"/>
  <c r="F189" i="19"/>
  <c r="E189" i="19"/>
  <c r="D189" i="19"/>
  <c r="B189" i="19"/>
  <c r="A189" i="19"/>
  <c r="T188" i="19"/>
  <c r="U188" i="19" s="1"/>
  <c r="Q188" i="19" s="1"/>
  <c r="S188" i="19"/>
  <c r="R188" i="19"/>
  <c r="P188" i="19"/>
  <c r="O188" i="19"/>
  <c r="N188" i="19"/>
  <c r="M188" i="19"/>
  <c r="L188" i="19"/>
  <c r="K188" i="19"/>
  <c r="J188" i="19" s="1"/>
  <c r="I188" i="19"/>
  <c r="H188" i="19"/>
  <c r="G188" i="19"/>
  <c r="F188" i="19"/>
  <c r="E188" i="19"/>
  <c r="D188" i="19"/>
  <c r="B188" i="19"/>
  <c r="A188" i="19"/>
  <c r="T187" i="19"/>
  <c r="S187" i="19"/>
  <c r="R187" i="19"/>
  <c r="U187" i="19" s="1"/>
  <c r="Q187" i="19"/>
  <c r="P187" i="19"/>
  <c r="O187" i="19"/>
  <c r="N187" i="19"/>
  <c r="M187" i="19"/>
  <c r="L187" i="19"/>
  <c r="K187" i="19"/>
  <c r="I187" i="19"/>
  <c r="H187" i="19"/>
  <c r="G187" i="19"/>
  <c r="F187" i="19"/>
  <c r="E187" i="19"/>
  <c r="D187" i="19"/>
  <c r="C187" i="19" s="1"/>
  <c r="B187" i="19"/>
  <c r="A187" i="19"/>
  <c r="T186" i="19"/>
  <c r="S186" i="19"/>
  <c r="R186" i="19"/>
  <c r="U186" i="19" s="1"/>
  <c r="Q186" i="19" s="1"/>
  <c r="P186" i="19"/>
  <c r="O186" i="19"/>
  <c r="N186" i="19"/>
  <c r="J186" i="19" s="1"/>
  <c r="M186" i="19"/>
  <c r="L186" i="19"/>
  <c r="K186" i="19"/>
  <c r="I186" i="19"/>
  <c r="H186" i="19"/>
  <c r="G186" i="19"/>
  <c r="F186" i="19"/>
  <c r="E186" i="19"/>
  <c r="D186" i="19"/>
  <c r="C186" i="19" s="1"/>
  <c r="B186" i="19"/>
  <c r="A186" i="19"/>
  <c r="T185" i="19"/>
  <c r="S185" i="19"/>
  <c r="U185" i="19" s="1"/>
  <c r="Q185" i="19" s="1"/>
  <c r="R185" i="19"/>
  <c r="P185" i="19"/>
  <c r="O185" i="19"/>
  <c r="N185" i="19"/>
  <c r="M185" i="19"/>
  <c r="L185" i="19"/>
  <c r="K185" i="19"/>
  <c r="J185" i="19" s="1"/>
  <c r="I185" i="19"/>
  <c r="H185" i="19"/>
  <c r="G185" i="19"/>
  <c r="F185" i="19"/>
  <c r="E185" i="19"/>
  <c r="D185" i="19"/>
  <c r="B185" i="19"/>
  <c r="A185" i="19"/>
  <c r="V184" i="19"/>
  <c r="U184" i="19"/>
  <c r="Q184" i="19" s="1"/>
  <c r="T184" i="19"/>
  <c r="S184" i="19"/>
  <c r="R184" i="19"/>
  <c r="P184" i="19"/>
  <c r="O184" i="19"/>
  <c r="N184" i="19"/>
  <c r="M184" i="19"/>
  <c r="L184" i="19"/>
  <c r="K184" i="19"/>
  <c r="J184" i="19" s="1"/>
  <c r="I184" i="19"/>
  <c r="H184" i="19"/>
  <c r="G184" i="19"/>
  <c r="F184" i="19"/>
  <c r="E184" i="19"/>
  <c r="D184" i="19"/>
  <c r="C184" i="19"/>
  <c r="B184" i="19"/>
  <c r="A184" i="19"/>
  <c r="T183" i="19"/>
  <c r="S183" i="19"/>
  <c r="U183" i="19" s="1"/>
  <c r="R183" i="19"/>
  <c r="Q183" i="19"/>
  <c r="P183" i="19"/>
  <c r="O183" i="19"/>
  <c r="N183" i="19"/>
  <c r="M183" i="19"/>
  <c r="L183" i="19"/>
  <c r="K183" i="19"/>
  <c r="I183" i="19"/>
  <c r="H183" i="19"/>
  <c r="G183" i="19"/>
  <c r="F183" i="19"/>
  <c r="E183" i="19"/>
  <c r="D183" i="19"/>
  <c r="B183" i="19"/>
  <c r="A183" i="19"/>
  <c r="T182" i="19"/>
  <c r="S182" i="19"/>
  <c r="R182" i="19"/>
  <c r="U182" i="19" s="1"/>
  <c r="Q182" i="19" s="1"/>
  <c r="P182" i="19"/>
  <c r="O182" i="19"/>
  <c r="N182" i="19"/>
  <c r="M182" i="19"/>
  <c r="L182" i="19"/>
  <c r="K182" i="19"/>
  <c r="I182" i="19"/>
  <c r="H182" i="19"/>
  <c r="G182" i="19"/>
  <c r="F182" i="19"/>
  <c r="E182" i="19"/>
  <c r="D182" i="19"/>
  <c r="C182" i="19"/>
  <c r="B182" i="19"/>
  <c r="A182" i="19"/>
  <c r="T181" i="19"/>
  <c r="S181" i="19"/>
  <c r="R181" i="19"/>
  <c r="U181" i="19" s="1"/>
  <c r="Q181" i="19" s="1"/>
  <c r="P181" i="19"/>
  <c r="O181" i="19"/>
  <c r="N181" i="19"/>
  <c r="M181" i="19"/>
  <c r="L181" i="19"/>
  <c r="K181" i="19"/>
  <c r="I181" i="19"/>
  <c r="H181" i="19"/>
  <c r="G181" i="19"/>
  <c r="F181" i="19"/>
  <c r="E181" i="19"/>
  <c r="D181" i="19"/>
  <c r="B181" i="19"/>
  <c r="A181" i="19"/>
  <c r="T180" i="19"/>
  <c r="S180" i="19"/>
  <c r="R180" i="19"/>
  <c r="P180" i="19"/>
  <c r="O180" i="19"/>
  <c r="N180" i="19"/>
  <c r="M180" i="19"/>
  <c r="L180" i="19"/>
  <c r="K180" i="19"/>
  <c r="J180" i="19"/>
  <c r="I180" i="19"/>
  <c r="H180" i="19"/>
  <c r="G180" i="19"/>
  <c r="F180" i="19"/>
  <c r="E180" i="19"/>
  <c r="C180" i="19" s="1"/>
  <c r="D180" i="19"/>
  <c r="B180" i="19"/>
  <c r="A180" i="19"/>
  <c r="T179" i="19"/>
  <c r="S179" i="19"/>
  <c r="U179" i="19" s="1"/>
  <c r="Q179" i="19" s="1"/>
  <c r="R179" i="19"/>
  <c r="P179" i="19"/>
  <c r="O179" i="19"/>
  <c r="N179" i="19"/>
  <c r="M179" i="19"/>
  <c r="L179" i="19"/>
  <c r="K179" i="19"/>
  <c r="I179" i="19"/>
  <c r="H179" i="19"/>
  <c r="G179" i="19"/>
  <c r="F179" i="19"/>
  <c r="C179" i="19" s="1"/>
  <c r="E179" i="19"/>
  <c r="D179" i="19"/>
  <c r="B179" i="19"/>
  <c r="A179" i="19"/>
  <c r="T178" i="19"/>
  <c r="S178" i="19"/>
  <c r="U178" i="19" s="1"/>
  <c r="R178" i="19"/>
  <c r="Q178" i="19"/>
  <c r="P178" i="19"/>
  <c r="O178" i="19"/>
  <c r="N178" i="19"/>
  <c r="M178" i="19"/>
  <c r="L178" i="19"/>
  <c r="K178" i="19"/>
  <c r="I178" i="19"/>
  <c r="H178" i="19"/>
  <c r="G178" i="19"/>
  <c r="F178" i="19"/>
  <c r="E178" i="19"/>
  <c r="D178" i="19"/>
  <c r="C178" i="19" s="1"/>
  <c r="B178" i="19"/>
  <c r="A178" i="19"/>
  <c r="T177" i="19"/>
  <c r="U177" i="19" s="1"/>
  <c r="Q177" i="19" s="1"/>
  <c r="S177" i="19"/>
  <c r="R177" i="19"/>
  <c r="P177" i="19"/>
  <c r="O177" i="19"/>
  <c r="N177" i="19"/>
  <c r="M177" i="19"/>
  <c r="L177" i="19"/>
  <c r="K177" i="19"/>
  <c r="I177" i="19"/>
  <c r="H177" i="19"/>
  <c r="G177" i="19"/>
  <c r="F177" i="19"/>
  <c r="E177" i="19"/>
  <c r="D177" i="19"/>
  <c r="B177" i="19"/>
  <c r="A177" i="19"/>
  <c r="T176" i="19"/>
  <c r="S176" i="19"/>
  <c r="R176" i="19"/>
  <c r="U176" i="19" s="1"/>
  <c r="Q176" i="19" s="1"/>
  <c r="P176" i="19"/>
  <c r="O176" i="19"/>
  <c r="N176" i="19"/>
  <c r="M176" i="19"/>
  <c r="L176" i="19"/>
  <c r="J176" i="19" s="1"/>
  <c r="K176" i="19"/>
  <c r="I176" i="19"/>
  <c r="H176" i="19"/>
  <c r="G176" i="19"/>
  <c r="F176" i="19"/>
  <c r="E176" i="19"/>
  <c r="D176" i="19"/>
  <c r="B176" i="19"/>
  <c r="A176" i="19"/>
  <c r="T175" i="19"/>
  <c r="S175" i="19"/>
  <c r="R175" i="19"/>
  <c r="P175" i="19"/>
  <c r="O175" i="19"/>
  <c r="N175" i="19"/>
  <c r="M175" i="19"/>
  <c r="L175" i="19"/>
  <c r="K175" i="19"/>
  <c r="I175" i="19"/>
  <c r="H175" i="19"/>
  <c r="G175" i="19"/>
  <c r="F175" i="19"/>
  <c r="E175" i="19"/>
  <c r="D175" i="19"/>
  <c r="C175" i="19"/>
  <c r="B175" i="19"/>
  <c r="A175" i="19"/>
  <c r="T174" i="19"/>
  <c r="S174" i="19"/>
  <c r="R174" i="19"/>
  <c r="U174" i="19" s="1"/>
  <c r="Q174" i="19"/>
  <c r="P174" i="19"/>
  <c r="O174" i="19"/>
  <c r="N174" i="19"/>
  <c r="M174" i="19"/>
  <c r="L174" i="19"/>
  <c r="K174" i="19"/>
  <c r="J174" i="19" s="1"/>
  <c r="I174" i="19"/>
  <c r="H174" i="19"/>
  <c r="G174" i="19"/>
  <c r="F174" i="19"/>
  <c r="E174" i="19"/>
  <c r="C174" i="19" s="1"/>
  <c r="D174" i="19"/>
  <c r="B174" i="19"/>
  <c r="A174" i="19"/>
  <c r="T173" i="19"/>
  <c r="S173" i="19"/>
  <c r="R173" i="19"/>
  <c r="U173" i="19" s="1"/>
  <c r="Q173" i="19" s="1"/>
  <c r="P173" i="19"/>
  <c r="O173" i="19"/>
  <c r="N173" i="19"/>
  <c r="M173" i="19"/>
  <c r="L173" i="19"/>
  <c r="K173" i="19"/>
  <c r="I173" i="19"/>
  <c r="H173" i="19"/>
  <c r="G173" i="19"/>
  <c r="F173" i="19"/>
  <c r="E173" i="19"/>
  <c r="D173" i="19"/>
  <c r="B173" i="19"/>
  <c r="A173" i="19"/>
  <c r="T172" i="19"/>
  <c r="S172" i="19"/>
  <c r="R172" i="19"/>
  <c r="U172" i="19" s="1"/>
  <c r="Q172" i="19" s="1"/>
  <c r="P172" i="19"/>
  <c r="O172" i="19"/>
  <c r="N172" i="19"/>
  <c r="M172" i="19"/>
  <c r="L172" i="19"/>
  <c r="K172" i="19"/>
  <c r="J172" i="19"/>
  <c r="V172" i="19" s="1"/>
  <c r="I172" i="19"/>
  <c r="H172" i="19"/>
  <c r="G172" i="19"/>
  <c r="F172" i="19"/>
  <c r="E172" i="19"/>
  <c r="D172" i="19"/>
  <c r="C172" i="19" s="1"/>
  <c r="B172" i="19"/>
  <c r="A172" i="19"/>
  <c r="U171" i="19"/>
  <c r="Q171" i="19" s="1"/>
  <c r="T171" i="19"/>
  <c r="S171" i="19"/>
  <c r="R171" i="19"/>
  <c r="P171" i="19"/>
  <c r="J171" i="19" s="1"/>
  <c r="O171" i="19"/>
  <c r="N171" i="19"/>
  <c r="M171" i="19"/>
  <c r="L171" i="19"/>
  <c r="K171" i="19"/>
  <c r="I171" i="19"/>
  <c r="H171" i="19"/>
  <c r="G171" i="19"/>
  <c r="F171" i="19"/>
  <c r="E171" i="19"/>
  <c r="D171" i="19"/>
  <c r="C171" i="19" s="1"/>
  <c r="B171" i="19"/>
  <c r="A171" i="19"/>
  <c r="T170" i="19"/>
  <c r="S170" i="19"/>
  <c r="R170" i="19"/>
  <c r="P170" i="19"/>
  <c r="O170" i="19"/>
  <c r="N170" i="19"/>
  <c r="M170" i="19"/>
  <c r="L170" i="19"/>
  <c r="K170" i="19"/>
  <c r="J170" i="19" s="1"/>
  <c r="I170" i="19"/>
  <c r="H170" i="19"/>
  <c r="G170" i="19"/>
  <c r="F170" i="19"/>
  <c r="E170" i="19"/>
  <c r="D170" i="19"/>
  <c r="B170" i="19"/>
  <c r="A170" i="19"/>
  <c r="U169" i="19"/>
  <c r="T169" i="19"/>
  <c r="S169" i="19"/>
  <c r="R169" i="19"/>
  <c r="Q169" i="19"/>
  <c r="P169" i="19"/>
  <c r="O169" i="19"/>
  <c r="N169" i="19"/>
  <c r="M169" i="19"/>
  <c r="L169" i="19"/>
  <c r="K169" i="19"/>
  <c r="I169" i="19"/>
  <c r="H169" i="19"/>
  <c r="G169" i="19"/>
  <c r="F169" i="19"/>
  <c r="E169" i="19"/>
  <c r="D169" i="19"/>
  <c r="C169" i="19" s="1"/>
  <c r="B169" i="19"/>
  <c r="A169" i="19"/>
  <c r="U168" i="19"/>
  <c r="Q168" i="19" s="1"/>
  <c r="T168" i="19"/>
  <c r="S168" i="19"/>
  <c r="R168" i="19"/>
  <c r="P168" i="19"/>
  <c r="O168" i="19"/>
  <c r="N168" i="19"/>
  <c r="M168" i="19"/>
  <c r="J168" i="19" s="1"/>
  <c r="L168" i="19"/>
  <c r="K168" i="19"/>
  <c r="I168" i="19"/>
  <c r="H168" i="19"/>
  <c r="G168" i="19"/>
  <c r="F168" i="19"/>
  <c r="E168" i="19"/>
  <c r="D168" i="19"/>
  <c r="B168" i="19"/>
  <c r="A168" i="19"/>
  <c r="U167" i="19"/>
  <c r="T167" i="19"/>
  <c r="S167" i="19"/>
  <c r="R167" i="19"/>
  <c r="Q167" i="19"/>
  <c r="P167" i="19"/>
  <c r="O167" i="19"/>
  <c r="N167" i="19"/>
  <c r="M167" i="19"/>
  <c r="L167" i="19"/>
  <c r="K167" i="19"/>
  <c r="J167" i="19" s="1"/>
  <c r="I167" i="19"/>
  <c r="H167" i="19"/>
  <c r="G167" i="19"/>
  <c r="F167" i="19"/>
  <c r="E167" i="19"/>
  <c r="D167" i="19"/>
  <c r="B167" i="19"/>
  <c r="A167" i="19"/>
  <c r="T166" i="19"/>
  <c r="S166" i="19"/>
  <c r="R166" i="19"/>
  <c r="U166" i="19" s="1"/>
  <c r="Q166" i="19" s="1"/>
  <c r="P166" i="19"/>
  <c r="O166" i="19"/>
  <c r="N166" i="19"/>
  <c r="J166" i="19" s="1"/>
  <c r="M166" i="19"/>
  <c r="L166" i="19"/>
  <c r="K166" i="19"/>
  <c r="I166" i="19"/>
  <c r="H166" i="19"/>
  <c r="G166" i="19"/>
  <c r="F166" i="19"/>
  <c r="E166" i="19"/>
  <c r="D166" i="19"/>
  <c r="C166" i="19" s="1"/>
  <c r="B166" i="19"/>
  <c r="A166" i="19"/>
  <c r="T165" i="19"/>
  <c r="S165" i="19"/>
  <c r="U165" i="19" s="1"/>
  <c r="R165" i="19"/>
  <c r="Q165" i="19"/>
  <c r="P165" i="19"/>
  <c r="O165" i="19"/>
  <c r="N165" i="19"/>
  <c r="M165" i="19"/>
  <c r="L165" i="19"/>
  <c r="K165" i="19"/>
  <c r="I165" i="19"/>
  <c r="H165" i="19"/>
  <c r="G165" i="19"/>
  <c r="F165" i="19"/>
  <c r="E165" i="19"/>
  <c r="D165" i="19"/>
  <c r="C165" i="19"/>
  <c r="B165" i="19"/>
  <c r="A165" i="19"/>
  <c r="U164" i="19"/>
  <c r="Q164" i="19" s="1"/>
  <c r="T164" i="19"/>
  <c r="S164" i="19"/>
  <c r="R164" i="19"/>
  <c r="P164" i="19"/>
  <c r="O164" i="19"/>
  <c r="N164" i="19"/>
  <c r="M164" i="19"/>
  <c r="L164" i="19"/>
  <c r="K164" i="19"/>
  <c r="I164" i="19"/>
  <c r="H164" i="19"/>
  <c r="G164" i="19"/>
  <c r="F164" i="19"/>
  <c r="E164" i="19"/>
  <c r="D164" i="19"/>
  <c r="C164" i="19"/>
  <c r="B164" i="19"/>
  <c r="A164" i="19"/>
  <c r="T163" i="19"/>
  <c r="S163" i="19"/>
  <c r="U163" i="19" s="1"/>
  <c r="Q163" i="19" s="1"/>
  <c r="R163" i="19"/>
  <c r="P163" i="19"/>
  <c r="O163" i="19"/>
  <c r="N163" i="19"/>
  <c r="M163" i="19"/>
  <c r="L163" i="19"/>
  <c r="K163" i="19"/>
  <c r="J163" i="19"/>
  <c r="I163" i="19"/>
  <c r="H163" i="19"/>
  <c r="G163" i="19"/>
  <c r="F163" i="19"/>
  <c r="E163" i="19"/>
  <c r="D163" i="19"/>
  <c r="C163" i="19" s="1"/>
  <c r="B163" i="19"/>
  <c r="A163" i="19"/>
  <c r="U162" i="19"/>
  <c r="Q162" i="19" s="1"/>
  <c r="T162" i="19"/>
  <c r="S162" i="19"/>
  <c r="R162" i="19"/>
  <c r="P162" i="19"/>
  <c r="J162" i="19" s="1"/>
  <c r="O162" i="19"/>
  <c r="N162" i="19"/>
  <c r="M162" i="19"/>
  <c r="L162" i="19"/>
  <c r="K162" i="19"/>
  <c r="I162" i="19"/>
  <c r="H162" i="19"/>
  <c r="G162" i="19"/>
  <c r="F162" i="19"/>
  <c r="E162" i="19"/>
  <c r="D162" i="19"/>
  <c r="C162" i="19" s="1"/>
  <c r="B162" i="19"/>
  <c r="A162" i="19"/>
  <c r="T161" i="19"/>
  <c r="S161" i="19"/>
  <c r="R161" i="19"/>
  <c r="U161" i="19" s="1"/>
  <c r="Q161" i="19"/>
  <c r="P161" i="19"/>
  <c r="O161" i="19"/>
  <c r="N161" i="19"/>
  <c r="M161" i="19"/>
  <c r="L161" i="19"/>
  <c r="K161" i="19"/>
  <c r="I161" i="19"/>
  <c r="H161" i="19"/>
  <c r="G161" i="19"/>
  <c r="F161" i="19"/>
  <c r="E161" i="19"/>
  <c r="D161" i="19"/>
  <c r="C161" i="19"/>
  <c r="B161" i="19"/>
  <c r="A161" i="19"/>
  <c r="T160" i="19"/>
  <c r="S160" i="19"/>
  <c r="R160" i="19"/>
  <c r="U160" i="19" s="1"/>
  <c r="Q160" i="19" s="1"/>
  <c r="P160" i="19"/>
  <c r="O160" i="19"/>
  <c r="N160" i="19"/>
  <c r="M160" i="19"/>
  <c r="L160" i="19"/>
  <c r="K160" i="19"/>
  <c r="I160" i="19"/>
  <c r="H160" i="19"/>
  <c r="G160" i="19"/>
  <c r="F160" i="19"/>
  <c r="E160" i="19"/>
  <c r="D160" i="19"/>
  <c r="C160" i="19" s="1"/>
  <c r="B160" i="19"/>
  <c r="A160" i="19"/>
  <c r="T159" i="19"/>
  <c r="U159" i="19" s="1"/>
  <c r="Q159" i="19" s="1"/>
  <c r="V159" i="19" s="1"/>
  <c r="S159" i="19"/>
  <c r="R159" i="19"/>
  <c r="P159" i="19"/>
  <c r="O159" i="19"/>
  <c r="N159" i="19"/>
  <c r="M159" i="19"/>
  <c r="L159" i="19"/>
  <c r="K159" i="19"/>
  <c r="J159" i="19" s="1"/>
  <c r="I159" i="19"/>
  <c r="H159" i="19"/>
  <c r="G159" i="19"/>
  <c r="F159" i="19"/>
  <c r="E159" i="19"/>
  <c r="D159" i="19"/>
  <c r="C159" i="19" s="1"/>
  <c r="B159" i="19"/>
  <c r="A159" i="19"/>
  <c r="T158" i="19"/>
  <c r="U158" i="19" s="1"/>
  <c r="Q158" i="19" s="1"/>
  <c r="S158" i="19"/>
  <c r="R158" i="19"/>
  <c r="P158" i="19"/>
  <c r="O158" i="19"/>
  <c r="N158" i="19"/>
  <c r="M158" i="19"/>
  <c r="L158" i="19"/>
  <c r="K158" i="19"/>
  <c r="I158" i="19"/>
  <c r="H158" i="19"/>
  <c r="G158" i="19"/>
  <c r="F158" i="19"/>
  <c r="E158" i="19"/>
  <c r="D158" i="19"/>
  <c r="C158" i="19"/>
  <c r="B158" i="19"/>
  <c r="A158" i="19"/>
  <c r="T157" i="19"/>
  <c r="S157" i="19"/>
  <c r="R157" i="19"/>
  <c r="U157" i="19" s="1"/>
  <c r="Q157" i="19" s="1"/>
  <c r="P157" i="19"/>
  <c r="O157" i="19"/>
  <c r="N157" i="19"/>
  <c r="M157" i="19"/>
  <c r="L157" i="19"/>
  <c r="K157" i="19"/>
  <c r="J157" i="19" s="1"/>
  <c r="I157" i="19"/>
  <c r="H157" i="19"/>
  <c r="G157" i="19"/>
  <c r="F157" i="19"/>
  <c r="E157" i="19"/>
  <c r="D157" i="19"/>
  <c r="B157" i="19"/>
  <c r="A157" i="19"/>
  <c r="T156" i="19"/>
  <c r="S156" i="19"/>
  <c r="R156" i="19"/>
  <c r="U156" i="19" s="1"/>
  <c r="Q156" i="19" s="1"/>
  <c r="V156" i="19" s="1"/>
  <c r="P156" i="19"/>
  <c r="J156" i="19" s="1"/>
  <c r="O156" i="19"/>
  <c r="N156" i="19"/>
  <c r="M156" i="19"/>
  <c r="L156" i="19"/>
  <c r="K156" i="19"/>
  <c r="I156" i="19"/>
  <c r="H156" i="19"/>
  <c r="G156" i="19"/>
  <c r="F156" i="19"/>
  <c r="E156" i="19"/>
  <c r="D156" i="19"/>
  <c r="C156" i="19" s="1"/>
  <c r="B156" i="19"/>
  <c r="A156" i="19"/>
  <c r="T155" i="19"/>
  <c r="S155" i="19"/>
  <c r="U155" i="19" s="1"/>
  <c r="Q155" i="19" s="1"/>
  <c r="R155" i="19"/>
  <c r="P155" i="19"/>
  <c r="O155" i="19"/>
  <c r="N155" i="19"/>
  <c r="M155" i="19"/>
  <c r="L155" i="19"/>
  <c r="K155" i="19"/>
  <c r="I155" i="19"/>
  <c r="H155" i="19"/>
  <c r="G155" i="19"/>
  <c r="F155" i="19"/>
  <c r="E155" i="19"/>
  <c r="D155" i="19"/>
  <c r="C155" i="19" s="1"/>
  <c r="B155" i="19"/>
  <c r="A155" i="19"/>
  <c r="U154" i="19"/>
  <c r="Q154" i="19" s="1"/>
  <c r="T154" i="19"/>
  <c r="S154" i="19"/>
  <c r="R154" i="19"/>
  <c r="P154" i="19"/>
  <c r="O154" i="19"/>
  <c r="N154" i="19"/>
  <c r="M154" i="19"/>
  <c r="L154" i="19"/>
  <c r="K154" i="19"/>
  <c r="J154" i="19"/>
  <c r="I154" i="19"/>
  <c r="H154" i="19"/>
  <c r="G154" i="19"/>
  <c r="F154" i="19"/>
  <c r="E154" i="19"/>
  <c r="D154" i="19"/>
  <c r="B154" i="19"/>
  <c r="A154" i="19"/>
  <c r="T153" i="19"/>
  <c r="S153" i="19"/>
  <c r="U153" i="19" s="1"/>
  <c r="Q153" i="19" s="1"/>
  <c r="R153" i="19"/>
  <c r="P153" i="19"/>
  <c r="O153" i="19"/>
  <c r="N153" i="19"/>
  <c r="M153" i="19"/>
  <c r="L153" i="19"/>
  <c r="K153" i="19"/>
  <c r="I153" i="19"/>
  <c r="H153" i="19"/>
  <c r="G153" i="19"/>
  <c r="C153" i="19" s="1"/>
  <c r="F153" i="19"/>
  <c r="E153" i="19"/>
  <c r="D153" i="19"/>
  <c r="B153" i="19"/>
  <c r="A153" i="19"/>
  <c r="T152" i="19"/>
  <c r="S152" i="19"/>
  <c r="U152" i="19" s="1"/>
  <c r="Q152" i="19" s="1"/>
  <c r="R152" i="19"/>
  <c r="P152" i="19"/>
  <c r="O152" i="19"/>
  <c r="N152" i="19"/>
  <c r="M152" i="19"/>
  <c r="L152" i="19"/>
  <c r="K152" i="19"/>
  <c r="J152" i="19" s="1"/>
  <c r="I152" i="19"/>
  <c r="H152" i="19"/>
  <c r="G152" i="19"/>
  <c r="F152" i="19"/>
  <c r="E152" i="19"/>
  <c r="C152" i="19" s="1"/>
  <c r="D152" i="19"/>
  <c r="B152" i="19"/>
  <c r="A152" i="19"/>
  <c r="T151" i="19"/>
  <c r="S151" i="19"/>
  <c r="R151" i="19"/>
  <c r="U151" i="19" s="1"/>
  <c r="Q151" i="19" s="1"/>
  <c r="P151" i="19"/>
  <c r="O151" i="19"/>
  <c r="N151" i="19"/>
  <c r="M151" i="19"/>
  <c r="L151" i="19"/>
  <c r="J151" i="19" s="1"/>
  <c r="K151" i="19"/>
  <c r="I151" i="19"/>
  <c r="H151" i="19"/>
  <c r="G151" i="19"/>
  <c r="F151" i="19"/>
  <c r="E151" i="19"/>
  <c r="D151" i="19"/>
  <c r="C151" i="19" s="1"/>
  <c r="B151" i="19"/>
  <c r="A151" i="19"/>
  <c r="T150" i="19"/>
  <c r="S150" i="19"/>
  <c r="R150" i="19"/>
  <c r="U150" i="19" s="1"/>
  <c r="Q150" i="19" s="1"/>
  <c r="P150" i="19"/>
  <c r="O150" i="19"/>
  <c r="N150" i="19"/>
  <c r="M150" i="19"/>
  <c r="L150" i="19"/>
  <c r="K150" i="19"/>
  <c r="J150" i="19"/>
  <c r="I150" i="19"/>
  <c r="H150" i="19"/>
  <c r="G150" i="19"/>
  <c r="F150" i="19"/>
  <c r="E150" i="19"/>
  <c r="D150" i="19"/>
  <c r="B150" i="19"/>
  <c r="A150" i="19"/>
  <c r="T149" i="19"/>
  <c r="S149" i="19"/>
  <c r="U149" i="19" s="1"/>
  <c r="Q149" i="19" s="1"/>
  <c r="R149" i="19"/>
  <c r="P149" i="19"/>
  <c r="O149" i="19"/>
  <c r="N149" i="19"/>
  <c r="M149" i="19"/>
  <c r="L149" i="19"/>
  <c r="K149" i="19"/>
  <c r="I149" i="19"/>
  <c r="H149" i="19"/>
  <c r="G149" i="19"/>
  <c r="F149" i="19"/>
  <c r="E149" i="19"/>
  <c r="D149" i="19"/>
  <c r="C149" i="19" s="1"/>
  <c r="B149" i="19"/>
  <c r="A149" i="19"/>
  <c r="T148" i="19"/>
  <c r="S148" i="19"/>
  <c r="R148" i="19"/>
  <c r="U148" i="19" s="1"/>
  <c r="Q148" i="19" s="1"/>
  <c r="P148" i="19"/>
  <c r="O148" i="19"/>
  <c r="N148" i="19"/>
  <c r="M148" i="19"/>
  <c r="L148" i="19"/>
  <c r="K148" i="19"/>
  <c r="J148" i="19" s="1"/>
  <c r="I148" i="19"/>
  <c r="H148" i="19"/>
  <c r="G148" i="19"/>
  <c r="F148" i="19"/>
  <c r="E148" i="19"/>
  <c r="D148" i="19"/>
  <c r="C148" i="19" s="1"/>
  <c r="B148" i="19"/>
  <c r="A148" i="19"/>
  <c r="U147" i="19"/>
  <c r="Q147" i="19" s="1"/>
  <c r="T147" i="19"/>
  <c r="S147" i="19"/>
  <c r="R147" i="19"/>
  <c r="P147" i="19"/>
  <c r="O147" i="19"/>
  <c r="N147" i="19"/>
  <c r="M147" i="19"/>
  <c r="L147" i="19"/>
  <c r="K147" i="19"/>
  <c r="I147" i="19"/>
  <c r="H147" i="19"/>
  <c r="G147" i="19"/>
  <c r="F147" i="19"/>
  <c r="E147" i="19"/>
  <c r="D147" i="19"/>
  <c r="B147" i="19"/>
  <c r="A147" i="19"/>
  <c r="T146" i="19"/>
  <c r="S146" i="19"/>
  <c r="R146" i="19"/>
  <c r="U146" i="19" s="1"/>
  <c r="Q146" i="19" s="1"/>
  <c r="P146" i="19"/>
  <c r="O146" i="19"/>
  <c r="N146" i="19"/>
  <c r="M146" i="19"/>
  <c r="L146" i="19"/>
  <c r="K146" i="19"/>
  <c r="J146" i="19"/>
  <c r="I146" i="19"/>
  <c r="H146" i="19"/>
  <c r="G146" i="19"/>
  <c r="F146" i="19"/>
  <c r="E146" i="19"/>
  <c r="D146" i="19"/>
  <c r="B146" i="19"/>
  <c r="A146" i="19"/>
  <c r="U145" i="19"/>
  <c r="Q145" i="19" s="1"/>
  <c r="T145" i="19"/>
  <c r="S145" i="19"/>
  <c r="R145" i="19"/>
  <c r="P145" i="19"/>
  <c r="O145" i="19"/>
  <c r="N145" i="19"/>
  <c r="M145" i="19"/>
  <c r="L145" i="19"/>
  <c r="K145" i="19"/>
  <c r="J145" i="19"/>
  <c r="I145" i="19"/>
  <c r="H145" i="19"/>
  <c r="G145" i="19"/>
  <c r="F145" i="19"/>
  <c r="E145" i="19"/>
  <c r="D145" i="19"/>
  <c r="B145" i="19"/>
  <c r="A145" i="19"/>
  <c r="T144" i="19"/>
  <c r="S144" i="19"/>
  <c r="R144" i="19"/>
  <c r="U144" i="19" s="1"/>
  <c r="Q144" i="19" s="1"/>
  <c r="P144" i="19"/>
  <c r="O144" i="19"/>
  <c r="N144" i="19"/>
  <c r="M144" i="19"/>
  <c r="L144" i="19"/>
  <c r="K144" i="19"/>
  <c r="J144" i="19" s="1"/>
  <c r="I144" i="19"/>
  <c r="H144" i="19"/>
  <c r="G144" i="19"/>
  <c r="F144" i="19"/>
  <c r="E144" i="19"/>
  <c r="C144" i="19" s="1"/>
  <c r="D144" i="19"/>
  <c r="B144" i="19"/>
  <c r="A144" i="19"/>
  <c r="T143" i="19"/>
  <c r="U143" i="19" s="1"/>
  <c r="Q143" i="19" s="1"/>
  <c r="S143" i="19"/>
  <c r="R143" i="19"/>
  <c r="P143" i="19"/>
  <c r="O143" i="19"/>
  <c r="N143" i="19"/>
  <c r="M143" i="19"/>
  <c r="L143" i="19"/>
  <c r="K143" i="19"/>
  <c r="I143" i="19"/>
  <c r="H143" i="19"/>
  <c r="G143" i="19"/>
  <c r="F143" i="19"/>
  <c r="E143" i="19"/>
  <c r="D143" i="19"/>
  <c r="C143" i="19"/>
  <c r="B143" i="19"/>
  <c r="A143" i="19"/>
  <c r="T142" i="19"/>
  <c r="S142" i="19"/>
  <c r="U142" i="19" s="1"/>
  <c r="Q142" i="19" s="1"/>
  <c r="R142" i="19"/>
  <c r="P142" i="19"/>
  <c r="O142" i="19"/>
  <c r="N142" i="19"/>
  <c r="M142" i="19"/>
  <c r="L142" i="19"/>
  <c r="K142" i="19"/>
  <c r="I142" i="19"/>
  <c r="H142" i="19"/>
  <c r="G142" i="19"/>
  <c r="F142" i="19"/>
  <c r="E142" i="19"/>
  <c r="D142" i="19"/>
  <c r="B142" i="19"/>
  <c r="A142" i="19"/>
  <c r="U141" i="19"/>
  <c r="Q141" i="19" s="1"/>
  <c r="T141" i="19"/>
  <c r="S141" i="19"/>
  <c r="R141" i="19"/>
  <c r="P141" i="19"/>
  <c r="J141" i="19" s="1"/>
  <c r="O141" i="19"/>
  <c r="N141" i="19"/>
  <c r="M141" i="19"/>
  <c r="L141" i="19"/>
  <c r="K141" i="19"/>
  <c r="I141" i="19"/>
  <c r="H141" i="19"/>
  <c r="G141" i="19"/>
  <c r="F141" i="19"/>
  <c r="E141" i="19"/>
  <c r="D141" i="19"/>
  <c r="C141" i="19" s="1"/>
  <c r="B141" i="19"/>
  <c r="A141" i="19"/>
  <c r="T140" i="19"/>
  <c r="S140" i="19"/>
  <c r="R140" i="19"/>
  <c r="U140" i="19" s="1"/>
  <c r="Q140" i="19" s="1"/>
  <c r="P140" i="19"/>
  <c r="O140" i="19"/>
  <c r="N140" i="19"/>
  <c r="J140" i="19" s="1"/>
  <c r="M140" i="19"/>
  <c r="L140" i="19"/>
  <c r="K140" i="19"/>
  <c r="I140" i="19"/>
  <c r="H140" i="19"/>
  <c r="G140" i="19"/>
  <c r="F140" i="19"/>
  <c r="E140" i="19"/>
  <c r="D140" i="19"/>
  <c r="B140" i="19"/>
  <c r="A140" i="19"/>
  <c r="T139" i="19"/>
  <c r="S139" i="19"/>
  <c r="R139" i="19"/>
  <c r="P139" i="19"/>
  <c r="O139" i="19"/>
  <c r="N139" i="19"/>
  <c r="M139" i="19"/>
  <c r="L139" i="19"/>
  <c r="K139" i="19"/>
  <c r="J139" i="19" s="1"/>
  <c r="I139" i="19"/>
  <c r="H139" i="19"/>
  <c r="G139" i="19"/>
  <c r="F139" i="19"/>
  <c r="E139" i="19"/>
  <c r="C139" i="19" s="1"/>
  <c r="D139" i="19"/>
  <c r="B139" i="19"/>
  <c r="A139" i="19"/>
  <c r="U138" i="19"/>
  <c r="T138" i="19"/>
  <c r="S138" i="19"/>
  <c r="R138" i="19"/>
  <c r="Q138" i="19"/>
  <c r="P138" i="19"/>
  <c r="O138" i="19"/>
  <c r="N138" i="19"/>
  <c r="M138" i="19"/>
  <c r="L138" i="19"/>
  <c r="K138" i="19"/>
  <c r="I138" i="19"/>
  <c r="H138" i="19"/>
  <c r="G138" i="19"/>
  <c r="F138" i="19"/>
  <c r="E138" i="19"/>
  <c r="C138" i="19" s="1"/>
  <c r="D138" i="19"/>
  <c r="B138" i="19"/>
  <c r="A138" i="19"/>
  <c r="T137" i="19"/>
  <c r="S137" i="19"/>
  <c r="R137" i="19"/>
  <c r="U137" i="19" s="1"/>
  <c r="Q137" i="19" s="1"/>
  <c r="P137" i="19"/>
  <c r="O137" i="19"/>
  <c r="N137" i="19"/>
  <c r="M137" i="19"/>
  <c r="L137" i="19"/>
  <c r="K137" i="19"/>
  <c r="I137" i="19"/>
  <c r="H137" i="19"/>
  <c r="G137" i="19"/>
  <c r="F137" i="19"/>
  <c r="E137" i="19"/>
  <c r="D137" i="19"/>
  <c r="B137" i="19"/>
  <c r="A137" i="19"/>
  <c r="T136" i="19"/>
  <c r="S136" i="19"/>
  <c r="R136" i="19"/>
  <c r="P136" i="19"/>
  <c r="O136" i="19"/>
  <c r="N136" i="19"/>
  <c r="J136" i="19" s="1"/>
  <c r="M136" i="19"/>
  <c r="L136" i="19"/>
  <c r="K136" i="19"/>
  <c r="I136" i="19"/>
  <c r="H136" i="19"/>
  <c r="G136" i="19"/>
  <c r="F136" i="19"/>
  <c r="E136" i="19"/>
  <c r="D136" i="19"/>
  <c r="B136" i="19"/>
  <c r="A136" i="19"/>
  <c r="T135" i="19"/>
  <c r="U135" i="19" s="1"/>
  <c r="S135" i="19"/>
  <c r="R135" i="19"/>
  <c r="Q135" i="19"/>
  <c r="P135" i="19"/>
  <c r="O135" i="19"/>
  <c r="N135" i="19"/>
  <c r="M135" i="19"/>
  <c r="L135" i="19"/>
  <c r="J135" i="19" s="1"/>
  <c r="K135" i="19"/>
  <c r="I135" i="19"/>
  <c r="H135" i="19"/>
  <c r="G135" i="19"/>
  <c r="F135" i="19"/>
  <c r="E135" i="19"/>
  <c r="D135" i="19"/>
  <c r="B135" i="19"/>
  <c r="A135" i="19"/>
  <c r="T134" i="19"/>
  <c r="S134" i="19"/>
  <c r="R134" i="19"/>
  <c r="P134" i="19"/>
  <c r="O134" i="19"/>
  <c r="N134" i="19"/>
  <c r="M134" i="19"/>
  <c r="J134" i="19" s="1"/>
  <c r="L134" i="19"/>
  <c r="K134" i="19"/>
  <c r="I134" i="19"/>
  <c r="H134" i="19"/>
  <c r="G134" i="19"/>
  <c r="F134" i="19"/>
  <c r="E134" i="19"/>
  <c r="D134" i="19"/>
  <c r="C134" i="19"/>
  <c r="B134" i="19"/>
  <c r="A134" i="19"/>
  <c r="T133" i="19"/>
  <c r="U133" i="19" s="1"/>
  <c r="Q133" i="19" s="1"/>
  <c r="S133" i="19"/>
  <c r="R133" i="19"/>
  <c r="P133" i="19"/>
  <c r="O133" i="19"/>
  <c r="N133" i="19"/>
  <c r="M133" i="19"/>
  <c r="L133" i="19"/>
  <c r="K133" i="19"/>
  <c r="I133" i="19"/>
  <c r="H133" i="19"/>
  <c r="G133" i="19"/>
  <c r="F133" i="19"/>
  <c r="E133" i="19"/>
  <c r="D133" i="19"/>
  <c r="C133" i="19"/>
  <c r="B133" i="19"/>
  <c r="A133" i="19"/>
  <c r="U132" i="19"/>
  <c r="Q132" i="19" s="1"/>
  <c r="T132" i="19"/>
  <c r="S132" i="19"/>
  <c r="R132" i="19"/>
  <c r="P132" i="19"/>
  <c r="O132" i="19"/>
  <c r="N132" i="19"/>
  <c r="M132" i="19"/>
  <c r="L132" i="19"/>
  <c r="K132" i="19"/>
  <c r="J132" i="19"/>
  <c r="I132" i="19"/>
  <c r="H132" i="19"/>
  <c r="G132" i="19"/>
  <c r="F132" i="19"/>
  <c r="E132" i="19"/>
  <c r="D132" i="19"/>
  <c r="B132" i="19"/>
  <c r="A132" i="19"/>
  <c r="T131" i="19"/>
  <c r="S131" i="19"/>
  <c r="R131" i="19"/>
  <c r="U131" i="19" s="1"/>
  <c r="Q131" i="19" s="1"/>
  <c r="P131" i="19"/>
  <c r="O131" i="19"/>
  <c r="N131" i="19"/>
  <c r="M131" i="19"/>
  <c r="L131" i="19"/>
  <c r="K131" i="19"/>
  <c r="I131" i="19"/>
  <c r="H131" i="19"/>
  <c r="G131" i="19"/>
  <c r="F131" i="19"/>
  <c r="E131" i="19"/>
  <c r="D131" i="19"/>
  <c r="B131" i="19"/>
  <c r="A131" i="19"/>
  <c r="T130" i="19"/>
  <c r="S130" i="19"/>
  <c r="R130" i="19"/>
  <c r="U130" i="19" s="1"/>
  <c r="Q130" i="19" s="1"/>
  <c r="P130" i="19"/>
  <c r="O130" i="19"/>
  <c r="N130" i="19"/>
  <c r="J130" i="19" s="1"/>
  <c r="V130" i="19" s="1"/>
  <c r="M130" i="19"/>
  <c r="L130" i="19"/>
  <c r="K130" i="19"/>
  <c r="I130" i="19"/>
  <c r="H130" i="19"/>
  <c r="G130" i="19"/>
  <c r="F130" i="19"/>
  <c r="E130" i="19"/>
  <c r="D130" i="19"/>
  <c r="C130" i="19" s="1"/>
  <c r="B130" i="19"/>
  <c r="A130" i="19"/>
  <c r="T129" i="19"/>
  <c r="S129" i="19"/>
  <c r="U129" i="19" s="1"/>
  <c r="Q129" i="19" s="1"/>
  <c r="R129" i="19"/>
  <c r="P129" i="19"/>
  <c r="O129" i="19"/>
  <c r="N129" i="19"/>
  <c r="M129" i="19"/>
  <c r="L129" i="19"/>
  <c r="K129" i="19"/>
  <c r="I129" i="19"/>
  <c r="H129" i="19"/>
  <c r="G129" i="19"/>
  <c r="F129" i="19"/>
  <c r="E129" i="19"/>
  <c r="D129" i="19"/>
  <c r="C129" i="19"/>
  <c r="B129" i="19"/>
  <c r="A129" i="19"/>
  <c r="U128" i="19"/>
  <c r="T128" i="19"/>
  <c r="S128" i="19"/>
  <c r="R128" i="19"/>
  <c r="Q128" i="19"/>
  <c r="P128" i="19"/>
  <c r="O128" i="19"/>
  <c r="N128" i="19"/>
  <c r="M128" i="19"/>
  <c r="J128" i="19" s="1"/>
  <c r="L128" i="19"/>
  <c r="K128" i="19"/>
  <c r="I128" i="19"/>
  <c r="H128" i="19"/>
  <c r="G128" i="19"/>
  <c r="F128" i="19"/>
  <c r="E128" i="19"/>
  <c r="C128" i="19" s="1"/>
  <c r="D128" i="19"/>
  <c r="B128" i="19"/>
  <c r="A128" i="19"/>
  <c r="T127" i="19"/>
  <c r="U127" i="19" s="1"/>
  <c r="Q127" i="19" s="1"/>
  <c r="S127" i="19"/>
  <c r="R127" i="19"/>
  <c r="P127" i="19"/>
  <c r="O127" i="19"/>
  <c r="N127" i="19"/>
  <c r="M127" i="19"/>
  <c r="L127" i="19"/>
  <c r="K127" i="19"/>
  <c r="J127" i="19"/>
  <c r="I127" i="19"/>
  <c r="H127" i="19"/>
  <c r="G127" i="19"/>
  <c r="F127" i="19"/>
  <c r="E127" i="19"/>
  <c r="D127" i="19"/>
  <c r="B127" i="19"/>
  <c r="A127" i="19"/>
  <c r="T126" i="19"/>
  <c r="S126" i="19"/>
  <c r="R126" i="19"/>
  <c r="U126" i="19" s="1"/>
  <c r="Q126" i="19" s="1"/>
  <c r="P126" i="19"/>
  <c r="J126" i="19" s="1"/>
  <c r="O126" i="19"/>
  <c r="N126" i="19"/>
  <c r="M126" i="19"/>
  <c r="L126" i="19"/>
  <c r="K126" i="19"/>
  <c r="I126" i="19"/>
  <c r="H126" i="19"/>
  <c r="G126" i="19"/>
  <c r="F126" i="19"/>
  <c r="E126" i="19"/>
  <c r="D126" i="19"/>
  <c r="B126" i="19"/>
  <c r="A126" i="19"/>
  <c r="T125" i="19"/>
  <c r="S125" i="19"/>
  <c r="R125" i="19"/>
  <c r="P125" i="19"/>
  <c r="O125" i="19"/>
  <c r="N125" i="19"/>
  <c r="M125" i="19"/>
  <c r="L125" i="19"/>
  <c r="K125" i="19"/>
  <c r="I125" i="19"/>
  <c r="H125" i="19"/>
  <c r="G125" i="19"/>
  <c r="C125" i="19" s="1"/>
  <c r="F125" i="19"/>
  <c r="E125" i="19"/>
  <c r="D125" i="19"/>
  <c r="B125" i="19"/>
  <c r="A125" i="19"/>
  <c r="V124" i="19"/>
  <c r="T124" i="19"/>
  <c r="S124" i="19"/>
  <c r="R124" i="19"/>
  <c r="U124" i="19" s="1"/>
  <c r="Q124" i="19" s="1"/>
  <c r="P124" i="19"/>
  <c r="O124" i="19"/>
  <c r="N124" i="19"/>
  <c r="M124" i="19"/>
  <c r="L124" i="19"/>
  <c r="K124" i="19"/>
  <c r="J124" i="19"/>
  <c r="I124" i="19"/>
  <c r="H124" i="19"/>
  <c r="G124" i="19"/>
  <c r="F124" i="19"/>
  <c r="E124" i="19"/>
  <c r="D124" i="19"/>
  <c r="C124" i="19" s="1"/>
  <c r="B124" i="19"/>
  <c r="A124" i="19"/>
  <c r="T123" i="19"/>
  <c r="U123" i="19" s="1"/>
  <c r="Q123" i="19" s="1"/>
  <c r="S123" i="19"/>
  <c r="R123" i="19"/>
  <c r="P123" i="19"/>
  <c r="O123" i="19"/>
  <c r="N123" i="19"/>
  <c r="M123" i="19"/>
  <c r="L123" i="19"/>
  <c r="K123" i="19"/>
  <c r="J123" i="19"/>
  <c r="I123" i="19"/>
  <c r="H123" i="19"/>
  <c r="G123" i="19"/>
  <c r="F123" i="19"/>
  <c r="E123" i="19"/>
  <c r="D123" i="19"/>
  <c r="B123" i="19"/>
  <c r="A123" i="19"/>
  <c r="T122" i="19"/>
  <c r="S122" i="19"/>
  <c r="R122" i="19"/>
  <c r="P122" i="19"/>
  <c r="O122" i="19"/>
  <c r="N122" i="19"/>
  <c r="M122" i="19"/>
  <c r="L122" i="19"/>
  <c r="K122" i="19"/>
  <c r="I122" i="19"/>
  <c r="H122" i="19"/>
  <c r="G122" i="19"/>
  <c r="F122" i="19"/>
  <c r="E122" i="19"/>
  <c r="D122" i="19"/>
  <c r="C122" i="19"/>
  <c r="B122" i="19"/>
  <c r="A122" i="19"/>
  <c r="U121" i="19"/>
  <c r="T121" i="19"/>
  <c r="S121" i="19"/>
  <c r="R121" i="19"/>
  <c r="Q121" i="19"/>
  <c r="P121" i="19"/>
  <c r="O121" i="19"/>
  <c r="N121" i="19"/>
  <c r="M121" i="19"/>
  <c r="J121" i="19" s="1"/>
  <c r="L121" i="19"/>
  <c r="K121" i="19"/>
  <c r="I121" i="19"/>
  <c r="H121" i="19"/>
  <c r="G121" i="19"/>
  <c r="F121" i="19"/>
  <c r="E121" i="19"/>
  <c r="D121" i="19"/>
  <c r="B121" i="19"/>
  <c r="A121" i="19"/>
  <c r="T120" i="19"/>
  <c r="S120" i="19"/>
  <c r="R120" i="19"/>
  <c r="U120" i="19" s="1"/>
  <c r="Q120" i="19" s="1"/>
  <c r="P120" i="19"/>
  <c r="O120" i="19"/>
  <c r="N120" i="19"/>
  <c r="M120" i="19"/>
  <c r="L120" i="19"/>
  <c r="K120" i="19"/>
  <c r="J120" i="19" s="1"/>
  <c r="I120" i="19"/>
  <c r="H120" i="19"/>
  <c r="G120" i="19"/>
  <c r="F120" i="19"/>
  <c r="E120" i="19"/>
  <c r="D120" i="19"/>
  <c r="B120" i="19"/>
  <c r="A120" i="19"/>
  <c r="S119" i="19"/>
  <c r="S118" i="19"/>
  <c r="S117" i="19"/>
  <c r="S116" i="19"/>
  <c r="S115" i="19"/>
  <c r="S114" i="19"/>
  <c r="S113" i="19"/>
  <c r="S112" i="19"/>
  <c r="S111" i="19"/>
  <c r="S110" i="19"/>
  <c r="S109" i="19"/>
  <c r="S108" i="19"/>
  <c r="S107" i="19"/>
  <c r="S106" i="19"/>
  <c r="S105" i="19"/>
  <c r="S104" i="19"/>
  <c r="S103" i="19"/>
  <c r="S102" i="19"/>
  <c r="S101" i="19"/>
  <c r="S100" i="19"/>
  <c r="S99" i="19"/>
  <c r="S98" i="19"/>
  <c r="S97" i="19"/>
  <c r="S96" i="19"/>
  <c r="S95" i="19"/>
  <c r="S94" i="19"/>
  <c r="S93" i="19"/>
  <c r="S92" i="19"/>
  <c r="S91" i="19"/>
  <c r="S90" i="19"/>
  <c r="S89" i="19"/>
  <c r="S88" i="19"/>
  <c r="S87" i="19"/>
  <c r="S86" i="19"/>
  <c r="S85" i="19"/>
  <c r="S84" i="19"/>
  <c r="S83" i="19"/>
  <c r="S82" i="19"/>
  <c r="S81" i="19"/>
  <c r="S80" i="19"/>
  <c r="S79" i="19"/>
  <c r="S78" i="19"/>
  <c r="S77" i="19"/>
  <c r="S76" i="19"/>
  <c r="S75" i="19"/>
  <c r="S74" i="19"/>
  <c r="S73" i="19"/>
  <c r="S72" i="19"/>
  <c r="S71" i="19"/>
  <c r="S70" i="19"/>
  <c r="S69" i="19"/>
  <c r="S68" i="19"/>
  <c r="S67" i="19"/>
  <c r="S66" i="19"/>
  <c r="S65" i="19"/>
  <c r="S64" i="19"/>
  <c r="S63" i="19"/>
  <c r="S62" i="19"/>
  <c r="S61" i="19"/>
  <c r="S60" i="19"/>
  <c r="S59" i="19"/>
  <c r="S58" i="19"/>
  <c r="S57" i="19"/>
  <c r="S56" i="19"/>
  <c r="S55" i="19"/>
  <c r="S54" i="19"/>
  <c r="S53" i="19"/>
  <c r="S52" i="19"/>
  <c r="S51" i="19"/>
  <c r="S50" i="19"/>
  <c r="S49" i="19"/>
  <c r="S48" i="19"/>
  <c r="S47" i="19"/>
  <c r="S46" i="19"/>
  <c r="S45" i="19"/>
  <c r="S44" i="19"/>
  <c r="S43" i="19"/>
  <c r="S42" i="19"/>
  <c r="S41" i="19"/>
  <c r="S40" i="19"/>
  <c r="S39" i="19"/>
  <c r="S38" i="19"/>
  <c r="S37" i="19"/>
  <c r="S36" i="19"/>
  <c r="S35" i="19"/>
  <c r="S34" i="19"/>
  <c r="S33" i="19"/>
  <c r="S32" i="19"/>
  <c r="S31" i="19"/>
  <c r="S30" i="19"/>
  <c r="S29" i="19"/>
  <c r="S28" i="19"/>
  <c r="S27" i="19"/>
  <c r="S26" i="19"/>
  <c r="S25" i="19"/>
  <c r="S24" i="19"/>
  <c r="T23" i="19"/>
  <c r="S23" i="19"/>
  <c r="R23" i="19"/>
  <c r="U23" i="19" s="1"/>
  <c r="Q23" i="19" s="1"/>
  <c r="V23" i="19" s="1"/>
  <c r="P23" i="19"/>
  <c r="O23" i="19"/>
  <c r="N23" i="19"/>
  <c r="M23" i="19"/>
  <c r="L23" i="19"/>
  <c r="K23" i="19"/>
  <c r="J23" i="19"/>
  <c r="I23" i="19"/>
  <c r="H23" i="19"/>
  <c r="G23" i="19"/>
  <c r="F23" i="19"/>
  <c r="E23" i="19"/>
  <c r="D23" i="19"/>
  <c r="C23" i="19" s="1"/>
  <c r="B23" i="19"/>
  <c r="A23" i="19"/>
  <c r="S22" i="19"/>
  <c r="S21" i="19"/>
  <c r="S20" i="19"/>
  <c r="S19" i="19"/>
  <c r="S18" i="19"/>
  <c r="S17" i="19"/>
  <c r="S16" i="19"/>
  <c r="S15" i="19"/>
  <c r="S14" i="19"/>
  <c r="S13" i="19"/>
  <c r="S12" i="19"/>
  <c r="S11" i="19"/>
  <c r="S10" i="19"/>
  <c r="S9" i="19"/>
  <c r="S8" i="19"/>
  <c r="S7" i="19"/>
  <c r="S6" i="19"/>
  <c r="S5" i="19"/>
  <c r="S4" i="19"/>
  <c r="S3" i="19"/>
  <c r="S2" i="19"/>
  <c r="H78" i="18"/>
  <c r="G78" i="18"/>
  <c r="F78" i="18"/>
  <c r="E78" i="18"/>
  <c r="D78" i="18"/>
  <c r="C78" i="18"/>
  <c r="B78" i="18"/>
  <c r="A78" i="18"/>
  <c r="H77" i="18"/>
  <c r="G77" i="18"/>
  <c r="F77" i="18"/>
  <c r="E77" i="18"/>
  <c r="D77" i="18"/>
  <c r="C77" i="18"/>
  <c r="B77" i="18"/>
  <c r="A77" i="18"/>
  <c r="H76" i="18"/>
  <c r="G76" i="18"/>
  <c r="F76" i="18"/>
  <c r="E76" i="18"/>
  <c r="D76" i="18"/>
  <c r="C76" i="18"/>
  <c r="B76" i="18"/>
  <c r="A76" i="18"/>
  <c r="H75" i="18"/>
  <c r="G75" i="18"/>
  <c r="F75" i="18"/>
  <c r="E75" i="18"/>
  <c r="D75" i="18"/>
  <c r="C75" i="18"/>
  <c r="B75" i="18"/>
  <c r="A75" i="18"/>
  <c r="H74" i="18"/>
  <c r="G74" i="18"/>
  <c r="F74" i="18"/>
  <c r="E74" i="18"/>
  <c r="D74" i="18"/>
  <c r="C74" i="18"/>
  <c r="B74" i="18"/>
  <c r="A74" i="18"/>
  <c r="H73" i="18"/>
  <c r="G73" i="18"/>
  <c r="F73" i="18"/>
  <c r="E73" i="18"/>
  <c r="D73" i="18"/>
  <c r="C73" i="18"/>
  <c r="B73" i="18"/>
  <c r="A73" i="18"/>
  <c r="H72" i="18"/>
  <c r="G72" i="18"/>
  <c r="F72" i="18"/>
  <c r="E72" i="18"/>
  <c r="D72" i="18"/>
  <c r="C72" i="18"/>
  <c r="B72" i="18"/>
  <c r="A72" i="18"/>
  <c r="H71" i="18"/>
  <c r="G71" i="18"/>
  <c r="F71" i="18"/>
  <c r="E71" i="18"/>
  <c r="D71" i="18"/>
  <c r="C71" i="18"/>
  <c r="B71" i="18"/>
  <c r="A71" i="18"/>
  <c r="H70" i="18"/>
  <c r="G70" i="18"/>
  <c r="F70" i="18"/>
  <c r="E70" i="18"/>
  <c r="D70" i="18"/>
  <c r="C70" i="18"/>
  <c r="B70" i="18"/>
  <c r="A70" i="18"/>
  <c r="H69" i="18"/>
  <c r="G69" i="18"/>
  <c r="F69" i="18"/>
  <c r="E69" i="18"/>
  <c r="D69" i="18"/>
  <c r="C69" i="18"/>
  <c r="B69" i="18"/>
  <c r="A69" i="18"/>
  <c r="H68" i="18"/>
  <c r="G68" i="18"/>
  <c r="F68" i="18"/>
  <c r="E68" i="18"/>
  <c r="D68" i="18"/>
  <c r="C68" i="18"/>
  <c r="B68" i="18"/>
  <c r="A68" i="18"/>
  <c r="H67" i="18"/>
  <c r="G67" i="18"/>
  <c r="F67" i="18"/>
  <c r="E67" i="18"/>
  <c r="D67" i="18"/>
  <c r="C67" i="18"/>
  <c r="B67" i="18"/>
  <c r="A67" i="18"/>
  <c r="H66" i="18"/>
  <c r="G66" i="18"/>
  <c r="F66" i="18"/>
  <c r="E66" i="18"/>
  <c r="D66" i="18"/>
  <c r="C66" i="18"/>
  <c r="B66" i="18"/>
  <c r="A66" i="18"/>
  <c r="H65" i="18"/>
  <c r="G65" i="18"/>
  <c r="F65" i="18"/>
  <c r="E65" i="18"/>
  <c r="D65" i="18"/>
  <c r="C65" i="18"/>
  <c r="B65" i="18"/>
  <c r="A65" i="18"/>
  <c r="H64" i="18"/>
  <c r="G64" i="18"/>
  <c r="F64" i="18"/>
  <c r="E64" i="18"/>
  <c r="D64" i="18"/>
  <c r="C64" i="18"/>
  <c r="B64" i="18"/>
  <c r="A64" i="18"/>
  <c r="H63" i="18"/>
  <c r="G63" i="18"/>
  <c r="F63" i="18"/>
  <c r="E63" i="18"/>
  <c r="D63" i="18"/>
  <c r="C63" i="18"/>
  <c r="B63" i="18"/>
  <c r="A63" i="18"/>
  <c r="H62" i="18"/>
  <c r="G62" i="18"/>
  <c r="F62" i="18"/>
  <c r="E62" i="18"/>
  <c r="D62" i="18"/>
  <c r="C62" i="18"/>
  <c r="B62" i="18"/>
  <c r="A62" i="18"/>
  <c r="H61" i="18"/>
  <c r="G61" i="18"/>
  <c r="F61" i="18"/>
  <c r="E61" i="18"/>
  <c r="D61" i="18"/>
  <c r="C61" i="18"/>
  <c r="B61" i="18"/>
  <c r="A61" i="18"/>
  <c r="H60" i="18"/>
  <c r="G60" i="18"/>
  <c r="F60" i="18"/>
  <c r="E60" i="18"/>
  <c r="D60" i="18"/>
  <c r="C60" i="18"/>
  <c r="B60" i="18"/>
  <c r="A60" i="18"/>
  <c r="H59" i="18"/>
  <c r="G59" i="18"/>
  <c r="F59" i="18"/>
  <c r="E59" i="18"/>
  <c r="D59" i="18"/>
  <c r="C59" i="18"/>
  <c r="B59" i="18"/>
  <c r="A59" i="18"/>
  <c r="H58" i="18"/>
  <c r="G58" i="18"/>
  <c r="F58" i="18"/>
  <c r="E58" i="18"/>
  <c r="D58" i="18"/>
  <c r="C58" i="18"/>
  <c r="B58" i="18"/>
  <c r="A58" i="18"/>
  <c r="H57" i="18"/>
  <c r="G57" i="18"/>
  <c r="F57" i="18"/>
  <c r="E57" i="18"/>
  <c r="D57" i="18"/>
  <c r="C57" i="18"/>
  <c r="B57" i="18"/>
  <c r="A57" i="18"/>
  <c r="H56" i="18"/>
  <c r="G56" i="18"/>
  <c r="F56" i="18"/>
  <c r="E56" i="18"/>
  <c r="D56" i="18"/>
  <c r="C56" i="18"/>
  <c r="B56" i="18"/>
  <c r="A56" i="18"/>
  <c r="H55" i="18"/>
  <c r="G55" i="18"/>
  <c r="F55" i="18"/>
  <c r="E55" i="18"/>
  <c r="D55" i="18"/>
  <c r="C55" i="18"/>
  <c r="B55" i="18"/>
  <c r="A55" i="18"/>
  <c r="H54" i="18"/>
  <c r="G54" i="18"/>
  <c r="F54" i="18"/>
  <c r="E54" i="18"/>
  <c r="D54" i="18"/>
  <c r="C54" i="18"/>
  <c r="B54" i="18"/>
  <c r="A54" i="18"/>
  <c r="H53" i="18"/>
  <c r="G53" i="18"/>
  <c r="F53" i="18"/>
  <c r="E53" i="18"/>
  <c r="D53" i="18"/>
  <c r="C53" i="18"/>
  <c r="B53" i="18"/>
  <c r="A53" i="18"/>
  <c r="H52" i="18"/>
  <c r="G52" i="18"/>
  <c r="F52" i="18"/>
  <c r="E52" i="18"/>
  <c r="D52" i="18"/>
  <c r="C52" i="18"/>
  <c r="B52" i="18"/>
  <c r="A52" i="18"/>
  <c r="H51" i="18"/>
  <c r="G51" i="18"/>
  <c r="F51" i="18"/>
  <c r="E51" i="18"/>
  <c r="D51" i="18"/>
  <c r="C51" i="18"/>
  <c r="B51" i="18"/>
  <c r="A51" i="18"/>
  <c r="H50" i="18"/>
  <c r="G50" i="18"/>
  <c r="F50" i="18"/>
  <c r="E50" i="18"/>
  <c r="D50" i="18"/>
  <c r="C50" i="18"/>
  <c r="B50" i="18"/>
  <c r="A50" i="18"/>
  <c r="H49" i="18"/>
  <c r="G49" i="18"/>
  <c r="F49" i="18"/>
  <c r="E49" i="18"/>
  <c r="D49" i="18"/>
  <c r="C49" i="18"/>
  <c r="B49" i="18"/>
  <c r="A49" i="18"/>
  <c r="H48" i="18"/>
  <c r="G48" i="18"/>
  <c r="F48" i="18"/>
  <c r="E48" i="18"/>
  <c r="D48" i="18"/>
  <c r="C48" i="18"/>
  <c r="B48" i="18"/>
  <c r="A48" i="18"/>
  <c r="H47" i="18"/>
  <c r="G47" i="18"/>
  <c r="F47" i="18"/>
  <c r="E47" i="18"/>
  <c r="D47" i="18"/>
  <c r="C47" i="18"/>
  <c r="B47" i="18"/>
  <c r="A47" i="18"/>
  <c r="H46" i="18"/>
  <c r="G46" i="18"/>
  <c r="F46" i="18"/>
  <c r="E46" i="18"/>
  <c r="D46" i="18"/>
  <c r="C46" i="18"/>
  <c r="B46" i="18"/>
  <c r="A46" i="18"/>
  <c r="H45" i="18"/>
  <c r="G45" i="18"/>
  <c r="F45" i="18"/>
  <c r="E45" i="18"/>
  <c r="D45" i="18"/>
  <c r="C45" i="18"/>
  <c r="B45" i="18"/>
  <c r="A45" i="18"/>
  <c r="H44" i="18"/>
  <c r="G44" i="18"/>
  <c r="F44" i="18"/>
  <c r="E44" i="18"/>
  <c r="D44" i="18"/>
  <c r="C44" i="18"/>
  <c r="B44" i="18"/>
  <c r="A44" i="18"/>
  <c r="H43" i="18"/>
  <c r="G43" i="18"/>
  <c r="F43" i="18"/>
  <c r="E43" i="18"/>
  <c r="D43" i="18"/>
  <c r="C43" i="18"/>
  <c r="B43" i="18"/>
  <c r="A43" i="18"/>
  <c r="H42" i="18"/>
  <c r="G42" i="18"/>
  <c r="F42" i="18"/>
  <c r="E42" i="18"/>
  <c r="D42" i="18"/>
  <c r="C42" i="18"/>
  <c r="B42" i="18"/>
  <c r="A42" i="18"/>
  <c r="H41" i="18"/>
  <c r="G41" i="18"/>
  <c r="F41" i="18"/>
  <c r="E41" i="18"/>
  <c r="D41" i="18"/>
  <c r="C41" i="18"/>
  <c r="B41" i="18"/>
  <c r="A41" i="18"/>
  <c r="H40" i="18"/>
  <c r="G40" i="18"/>
  <c r="F40" i="18"/>
  <c r="E40" i="18"/>
  <c r="D40" i="18"/>
  <c r="C40" i="18"/>
  <c r="B40" i="18"/>
  <c r="A40" i="18"/>
  <c r="H39" i="18"/>
  <c r="G39" i="18"/>
  <c r="F39" i="18"/>
  <c r="E39" i="18"/>
  <c r="D39" i="18"/>
  <c r="C39" i="18"/>
  <c r="B39" i="18"/>
  <c r="A39" i="18"/>
  <c r="H38" i="18"/>
  <c r="G38" i="18"/>
  <c r="F38" i="18"/>
  <c r="E38" i="18"/>
  <c r="D38" i="18"/>
  <c r="C38" i="18"/>
  <c r="B38" i="18"/>
  <c r="A38" i="18"/>
  <c r="H37" i="18"/>
  <c r="G37" i="18"/>
  <c r="F37" i="18"/>
  <c r="E37" i="18"/>
  <c r="D37" i="18"/>
  <c r="C37" i="18"/>
  <c r="B37" i="18"/>
  <c r="A37" i="18"/>
  <c r="H36" i="18"/>
  <c r="G36" i="18"/>
  <c r="F36" i="18"/>
  <c r="E36" i="18"/>
  <c r="D36" i="18"/>
  <c r="C36" i="18"/>
  <c r="B36" i="18"/>
  <c r="A36" i="18"/>
  <c r="H35" i="18"/>
  <c r="G35" i="18"/>
  <c r="F35" i="18"/>
  <c r="E35" i="18"/>
  <c r="D35" i="18"/>
  <c r="C35" i="18"/>
  <c r="B35" i="18"/>
  <c r="A35" i="18"/>
  <c r="H34" i="18"/>
  <c r="G34" i="18"/>
  <c r="F34" i="18"/>
  <c r="E34" i="18"/>
  <c r="D34" i="18"/>
  <c r="C34" i="18"/>
  <c r="B34" i="18"/>
  <c r="A34" i="18"/>
  <c r="H33" i="18"/>
  <c r="G33" i="18"/>
  <c r="F33" i="18"/>
  <c r="E33" i="18"/>
  <c r="D33" i="18"/>
  <c r="C33" i="18"/>
  <c r="B33" i="18"/>
  <c r="A33" i="18"/>
  <c r="H32" i="18"/>
  <c r="G32" i="18"/>
  <c r="F32" i="18"/>
  <c r="E32" i="18"/>
  <c r="D32" i="18"/>
  <c r="C32" i="18"/>
  <c r="B32" i="18"/>
  <c r="A32" i="18"/>
  <c r="H31" i="18"/>
  <c r="G31" i="18"/>
  <c r="F31" i="18"/>
  <c r="E31" i="18"/>
  <c r="D31" i="18"/>
  <c r="C31" i="18"/>
  <c r="B31" i="18"/>
  <c r="A31" i="18"/>
  <c r="H30" i="18"/>
  <c r="G30" i="18"/>
  <c r="F30" i="18"/>
  <c r="E30" i="18"/>
  <c r="D30" i="18"/>
  <c r="C30" i="18"/>
  <c r="B30" i="18"/>
  <c r="A30" i="18"/>
  <c r="H29" i="18"/>
  <c r="G29" i="18"/>
  <c r="F29" i="18"/>
  <c r="E29" i="18"/>
  <c r="D29" i="18"/>
  <c r="C29" i="18"/>
  <c r="B29" i="18"/>
  <c r="A29" i="18"/>
  <c r="H28" i="18"/>
  <c r="G28" i="18"/>
  <c r="F28" i="18"/>
  <c r="E28" i="18"/>
  <c r="D28" i="18"/>
  <c r="C28" i="18"/>
  <c r="B28" i="18"/>
  <c r="A28" i="18"/>
  <c r="H27" i="18"/>
  <c r="G27" i="18"/>
  <c r="F27" i="18"/>
  <c r="E27" i="18"/>
  <c r="D27" i="18"/>
  <c r="C27" i="18"/>
  <c r="B27" i="18"/>
  <c r="A27" i="18"/>
  <c r="H26" i="18"/>
  <c r="G26" i="18"/>
  <c r="F26" i="18"/>
  <c r="E26" i="18"/>
  <c r="D26" i="18"/>
  <c r="C26" i="18"/>
  <c r="B26" i="18"/>
  <c r="A26" i="18"/>
  <c r="H25" i="18"/>
  <c r="G25" i="18"/>
  <c r="F25" i="18"/>
  <c r="E25" i="18"/>
  <c r="D25" i="18"/>
  <c r="C25" i="18"/>
  <c r="B25" i="18"/>
  <c r="A25" i="18"/>
  <c r="H24" i="18"/>
  <c r="G24" i="18"/>
  <c r="F24" i="18"/>
  <c r="E24" i="18"/>
  <c r="D24" i="18"/>
  <c r="C24" i="18"/>
  <c r="B24" i="18"/>
  <c r="A24" i="18"/>
  <c r="H23" i="18"/>
  <c r="G23" i="18"/>
  <c r="F23" i="18"/>
  <c r="E23" i="18"/>
  <c r="D23" i="18"/>
  <c r="C23" i="18"/>
  <c r="B23" i="18"/>
  <c r="A23" i="18"/>
  <c r="H22" i="18"/>
  <c r="G22" i="18"/>
  <c r="F22" i="18"/>
  <c r="E22" i="18"/>
  <c r="D22" i="18"/>
  <c r="C22" i="18"/>
  <c r="B22" i="18"/>
  <c r="A22" i="18"/>
  <c r="H21" i="18"/>
  <c r="G21" i="18"/>
  <c r="F21" i="18"/>
  <c r="E21" i="18"/>
  <c r="D21" i="18"/>
  <c r="C21" i="18"/>
  <c r="B21" i="18"/>
  <c r="A21" i="18"/>
  <c r="H20" i="18"/>
  <c r="G20" i="18"/>
  <c r="F20" i="18"/>
  <c r="E20" i="18"/>
  <c r="D20" i="18"/>
  <c r="C20" i="18"/>
  <c r="B20" i="18"/>
  <c r="A20" i="18"/>
  <c r="H19" i="18"/>
  <c r="G19" i="18"/>
  <c r="F19" i="18"/>
  <c r="E19" i="18"/>
  <c r="D19" i="18"/>
  <c r="C19" i="18"/>
  <c r="B19" i="18"/>
  <c r="A19" i="18"/>
  <c r="H18" i="18"/>
  <c r="G18" i="18"/>
  <c r="F18" i="18"/>
  <c r="E18" i="18"/>
  <c r="D18" i="18"/>
  <c r="C18" i="18"/>
  <c r="B18" i="18"/>
  <c r="A18" i="18"/>
  <c r="H17" i="18"/>
  <c r="G17" i="18"/>
  <c r="F17" i="18"/>
  <c r="E17" i="18"/>
  <c r="D17" i="18"/>
  <c r="C17" i="18"/>
  <c r="B17" i="18"/>
  <c r="A17" i="18"/>
  <c r="H16" i="18"/>
  <c r="G16" i="18"/>
  <c r="F16" i="18"/>
  <c r="E16" i="18"/>
  <c r="D16" i="18"/>
  <c r="C16" i="18"/>
  <c r="B16" i="18"/>
  <c r="A16" i="18"/>
  <c r="H15" i="18"/>
  <c r="G15" i="18"/>
  <c r="F15" i="18"/>
  <c r="E15" i="18"/>
  <c r="D15" i="18"/>
  <c r="C15" i="18"/>
  <c r="B15" i="18"/>
  <c r="A15" i="18"/>
  <c r="H14" i="18"/>
  <c r="G14" i="18"/>
  <c r="F14" i="18"/>
  <c r="E14" i="18"/>
  <c r="D14" i="18"/>
  <c r="C14" i="18"/>
  <c r="B14" i="18"/>
  <c r="A14" i="18"/>
  <c r="H13" i="18"/>
  <c r="G13" i="18"/>
  <c r="F13" i="18"/>
  <c r="E13" i="18"/>
  <c r="D13" i="18"/>
  <c r="C13" i="18"/>
  <c r="B13" i="18"/>
  <c r="A13" i="18"/>
  <c r="H12" i="18"/>
  <c r="G12" i="18"/>
  <c r="F12" i="18"/>
  <c r="E12" i="18"/>
  <c r="D12" i="18"/>
  <c r="C12" i="18"/>
  <c r="B12" i="18"/>
  <c r="A12" i="18"/>
  <c r="H11" i="18"/>
  <c r="G11" i="18"/>
  <c r="F11" i="18"/>
  <c r="E11" i="18"/>
  <c r="D11" i="18"/>
  <c r="C11" i="18"/>
  <c r="B11" i="18"/>
  <c r="A11" i="18"/>
  <c r="H10" i="18"/>
  <c r="G10" i="18"/>
  <c r="F10" i="18"/>
  <c r="E10" i="18"/>
  <c r="D10" i="18"/>
  <c r="C10" i="18"/>
  <c r="B10" i="18"/>
  <c r="A10" i="18"/>
  <c r="H9" i="18"/>
  <c r="G9" i="18"/>
  <c r="F9" i="18"/>
  <c r="E9" i="18"/>
  <c r="D9" i="18"/>
  <c r="C9" i="18"/>
  <c r="B9" i="18"/>
  <c r="A9" i="18"/>
  <c r="H8" i="18"/>
  <c r="G8" i="18"/>
  <c r="F8" i="18"/>
  <c r="E8" i="18"/>
  <c r="D8" i="18"/>
  <c r="C8" i="18"/>
  <c r="B8" i="18"/>
  <c r="A8" i="18"/>
  <c r="H7" i="18"/>
  <c r="G7" i="18"/>
  <c r="F7" i="18"/>
  <c r="E7" i="18"/>
  <c r="D7" i="18"/>
  <c r="C7" i="18"/>
  <c r="B7" i="18"/>
  <c r="A7" i="18"/>
  <c r="H6" i="18"/>
  <c r="G6" i="18"/>
  <c r="F6" i="18"/>
  <c r="E6" i="18"/>
  <c r="D6" i="18"/>
  <c r="C6" i="18"/>
  <c r="B6" i="18"/>
  <c r="A6" i="18"/>
  <c r="H5" i="18"/>
  <c r="G5" i="18"/>
  <c r="F5" i="18"/>
  <c r="E5" i="18"/>
  <c r="D5" i="18"/>
  <c r="C5" i="18"/>
  <c r="B5" i="18"/>
  <c r="A5" i="18"/>
  <c r="H4" i="18"/>
  <c r="G4" i="18"/>
  <c r="F4" i="18"/>
  <c r="E4" i="18"/>
  <c r="D4" i="18"/>
  <c r="C4" i="18"/>
  <c r="B4" i="18"/>
  <c r="A4" i="18"/>
  <c r="H3" i="18"/>
  <c r="G3" i="18"/>
  <c r="F3" i="18"/>
  <c r="E3" i="18"/>
  <c r="D3" i="18"/>
  <c r="C3" i="18"/>
  <c r="B3" i="18"/>
  <c r="A3" i="18"/>
  <c r="H2" i="18"/>
  <c r="G2" i="18"/>
  <c r="F2" i="18"/>
  <c r="E2" i="18"/>
  <c r="D2" i="18"/>
  <c r="C2" i="18"/>
  <c r="B2" i="18"/>
  <c r="A2" i="18"/>
  <c r="J1" i="18"/>
  <c r="I1" i="18"/>
  <c r="H1" i="18"/>
  <c r="G1" i="18"/>
  <c r="F1" i="18"/>
  <c r="E1" i="18"/>
  <c r="D1" i="18"/>
  <c r="C1" i="18"/>
  <c r="B1" i="18"/>
  <c r="A1" i="18"/>
  <c r="K55" i="17"/>
  <c r="K54" i="17"/>
  <c r="K53" i="17"/>
  <c r="K52" i="17"/>
  <c r="K51" i="17"/>
  <c r="K50" i="17"/>
  <c r="K49" i="17"/>
  <c r="K48" i="17"/>
  <c r="K47" i="17"/>
  <c r="K46" i="17"/>
  <c r="K45" i="17"/>
  <c r="K44" i="17"/>
  <c r="K43" i="17"/>
  <c r="K42" i="17"/>
  <c r="K41" i="17"/>
  <c r="K40" i="17"/>
  <c r="K39" i="17"/>
  <c r="K38" i="17"/>
  <c r="K37" i="17"/>
  <c r="K36" i="17"/>
  <c r="K35" i="17"/>
  <c r="K34" i="17"/>
  <c r="K33" i="17"/>
  <c r="K32" i="17"/>
  <c r="K31" i="17"/>
  <c r="K30" i="17"/>
  <c r="K29" i="17"/>
  <c r="K28" i="17"/>
  <c r="K27" i="17"/>
  <c r="K26" i="17"/>
  <c r="K25" i="17"/>
  <c r="K24" i="17"/>
  <c r="K23" i="17"/>
  <c r="K22" i="17"/>
  <c r="K21" i="17"/>
  <c r="K20" i="17"/>
  <c r="K19" i="17"/>
  <c r="K18" i="17"/>
  <c r="K17" i="17"/>
  <c r="K16" i="17"/>
  <c r="K15" i="17"/>
  <c r="K14" i="17"/>
  <c r="K13" i="17"/>
  <c r="K12" i="17"/>
  <c r="K11" i="17"/>
  <c r="K10" i="17"/>
  <c r="K9" i="17"/>
  <c r="K8" i="17"/>
  <c r="K7" i="17"/>
  <c r="K6" i="17"/>
  <c r="K5" i="17"/>
  <c r="K4" i="17"/>
  <c r="K3" i="17"/>
  <c r="K2" i="17"/>
  <c r="I1" i="17"/>
  <c r="H1" i="17"/>
  <c r="G1" i="17"/>
  <c r="F1" i="17"/>
  <c r="E1" i="17"/>
  <c r="D1" i="17"/>
  <c r="C1" i="17"/>
  <c r="B1" i="17"/>
  <c r="A1" i="17"/>
  <c r="E53" i="16"/>
  <c r="D53" i="16"/>
  <c r="B53" i="16"/>
  <c r="A53" i="16"/>
  <c r="E52" i="16"/>
  <c r="D52" i="16"/>
  <c r="B52" i="16"/>
  <c r="A52" i="16"/>
  <c r="E51" i="16"/>
  <c r="D51" i="16"/>
  <c r="B51" i="16"/>
  <c r="A51" i="16"/>
  <c r="E50" i="16"/>
  <c r="D50" i="16"/>
  <c r="B50" i="16"/>
  <c r="A50" i="16"/>
  <c r="E49" i="16"/>
  <c r="D49" i="16"/>
  <c r="B49" i="16"/>
  <c r="A49" i="16"/>
  <c r="E48" i="16"/>
  <c r="D48" i="16"/>
  <c r="B48" i="16"/>
  <c r="A48" i="16"/>
  <c r="E47" i="16"/>
  <c r="D47" i="16"/>
  <c r="B47" i="16"/>
  <c r="A47" i="16"/>
  <c r="E46" i="16"/>
  <c r="D46" i="16"/>
  <c r="B46" i="16"/>
  <c r="A46" i="16"/>
  <c r="E45" i="16"/>
  <c r="D45" i="16"/>
  <c r="B45" i="16"/>
  <c r="A45" i="16"/>
  <c r="E44" i="16"/>
  <c r="D44" i="16"/>
  <c r="B44" i="16"/>
  <c r="A44" i="16"/>
  <c r="E43" i="16"/>
  <c r="D43" i="16"/>
  <c r="B43" i="16"/>
  <c r="A43" i="16"/>
  <c r="E42" i="16"/>
  <c r="D42" i="16"/>
  <c r="B42" i="16"/>
  <c r="A42" i="16"/>
  <c r="E41" i="16"/>
  <c r="D41" i="16"/>
  <c r="B41" i="16"/>
  <c r="A41" i="16"/>
  <c r="E40" i="16"/>
  <c r="D40" i="16"/>
  <c r="B40" i="16"/>
  <c r="A40" i="16"/>
  <c r="E39" i="16"/>
  <c r="D39" i="16"/>
  <c r="B39" i="16"/>
  <c r="A39" i="16"/>
  <c r="E38" i="16"/>
  <c r="D38" i="16"/>
  <c r="B38" i="16"/>
  <c r="A38" i="16"/>
  <c r="E37" i="16"/>
  <c r="D37" i="16"/>
  <c r="B37" i="16"/>
  <c r="A37" i="16"/>
  <c r="E36" i="16"/>
  <c r="D36" i="16"/>
  <c r="B36" i="16"/>
  <c r="A36" i="16"/>
  <c r="E35" i="16"/>
  <c r="D35" i="16"/>
  <c r="B35" i="16"/>
  <c r="A35" i="16"/>
  <c r="E34" i="16"/>
  <c r="D34" i="16"/>
  <c r="B34" i="16"/>
  <c r="A34" i="16"/>
  <c r="E33" i="16"/>
  <c r="D33" i="16"/>
  <c r="B33" i="16"/>
  <c r="A33" i="16"/>
  <c r="E32" i="16"/>
  <c r="D32" i="16"/>
  <c r="B32" i="16"/>
  <c r="A32" i="16"/>
  <c r="E31" i="16"/>
  <c r="D31" i="16"/>
  <c r="B31" i="16"/>
  <c r="A31" i="16"/>
  <c r="E30" i="16"/>
  <c r="D30" i="16"/>
  <c r="B30" i="16"/>
  <c r="A30" i="16"/>
  <c r="E29" i="16"/>
  <c r="D29" i="16"/>
  <c r="B29" i="16"/>
  <c r="A29" i="16"/>
  <c r="C28" i="16"/>
  <c r="B28" i="16"/>
  <c r="A28" i="16"/>
  <c r="E27" i="16"/>
  <c r="D27" i="16"/>
  <c r="B27" i="16"/>
  <c r="A27" i="16"/>
  <c r="E26" i="16"/>
  <c r="D26" i="16"/>
  <c r="B26" i="16"/>
  <c r="A26" i="16"/>
  <c r="E25" i="16"/>
  <c r="D25" i="16"/>
  <c r="B25" i="16"/>
  <c r="A25" i="16"/>
  <c r="E24" i="16"/>
  <c r="D24" i="16"/>
  <c r="B24" i="16"/>
  <c r="A24" i="16"/>
  <c r="E23" i="16"/>
  <c r="D23" i="16"/>
  <c r="B23" i="16"/>
  <c r="A23" i="16"/>
  <c r="E22" i="16"/>
  <c r="D22" i="16"/>
  <c r="B22" i="16"/>
  <c r="A22" i="16"/>
  <c r="E21" i="16"/>
  <c r="D21" i="16"/>
  <c r="B21" i="16"/>
  <c r="A21" i="16"/>
  <c r="E20" i="16"/>
  <c r="D20" i="16"/>
  <c r="B20" i="16"/>
  <c r="A20" i="16"/>
  <c r="E19" i="16"/>
  <c r="D19" i="16"/>
  <c r="B19" i="16"/>
  <c r="A19" i="16"/>
  <c r="E18" i="16"/>
  <c r="D18" i="16"/>
  <c r="B18" i="16"/>
  <c r="A18" i="16"/>
  <c r="E17" i="16"/>
  <c r="D17" i="16"/>
  <c r="B17" i="16"/>
  <c r="A17" i="16"/>
  <c r="E16" i="16"/>
  <c r="D16" i="16"/>
  <c r="B16" i="16"/>
  <c r="A16" i="16"/>
  <c r="E15" i="16"/>
  <c r="D15" i="16"/>
  <c r="B15" i="16"/>
  <c r="A15" i="16"/>
  <c r="E14" i="16"/>
  <c r="D14" i="16"/>
  <c r="B14" i="16"/>
  <c r="A14" i="16"/>
  <c r="E13" i="16"/>
  <c r="D13" i="16"/>
  <c r="B13" i="16"/>
  <c r="A13" i="16"/>
  <c r="E12" i="16"/>
  <c r="D12" i="16"/>
  <c r="B12" i="16"/>
  <c r="A12" i="16"/>
  <c r="E11" i="16"/>
  <c r="D11" i="16"/>
  <c r="B11" i="16"/>
  <c r="A11" i="16"/>
  <c r="E10" i="16"/>
  <c r="D10" i="16"/>
  <c r="B10" i="16"/>
  <c r="A10" i="16"/>
  <c r="E9" i="16"/>
  <c r="D9" i="16"/>
  <c r="B9" i="16"/>
  <c r="A9" i="16"/>
  <c r="E8" i="16"/>
  <c r="D8" i="16"/>
  <c r="B8" i="16"/>
  <c r="A8" i="16"/>
  <c r="E7" i="16"/>
  <c r="D7" i="16"/>
  <c r="B7" i="16"/>
  <c r="A7" i="16"/>
  <c r="E6" i="16"/>
  <c r="D6" i="16"/>
  <c r="B6" i="16"/>
  <c r="A6" i="16"/>
  <c r="E5" i="16"/>
  <c r="D5" i="16"/>
  <c r="B5" i="16"/>
  <c r="A5" i="16"/>
  <c r="E4" i="16"/>
  <c r="D4" i="16"/>
  <c r="B4" i="16"/>
  <c r="A4" i="16"/>
  <c r="E3" i="16"/>
  <c r="D3" i="16"/>
  <c r="B3" i="16"/>
  <c r="A3" i="16"/>
  <c r="E2" i="16"/>
  <c r="D2" i="16"/>
  <c r="B2" i="16"/>
  <c r="A2" i="16"/>
  <c r="C1" i="16"/>
  <c r="B1" i="16"/>
  <c r="A1" i="16"/>
  <c r="H3" i="12"/>
  <c r="G3" i="12"/>
  <c r="F3" i="12"/>
  <c r="E3" i="12"/>
  <c r="D3" i="12"/>
  <c r="C3" i="12"/>
  <c r="H2" i="12"/>
  <c r="G2" i="12"/>
  <c r="F2" i="12"/>
  <c r="E2" i="12"/>
  <c r="D2" i="12"/>
  <c r="C2" i="12"/>
  <c r="AU2910" i="11"/>
  <c r="AT2910" i="11"/>
  <c r="AU2909" i="11"/>
  <c r="AT2909" i="11"/>
  <c r="AU2908" i="11"/>
  <c r="AT2908" i="11"/>
  <c r="AU2907" i="11"/>
  <c r="AT2907" i="11"/>
  <c r="AU2906" i="11"/>
  <c r="AT2906" i="11"/>
  <c r="AU2905" i="11"/>
  <c r="AT2905" i="11"/>
  <c r="AU2904" i="11"/>
  <c r="AT2904" i="11"/>
  <c r="AU2903" i="11"/>
  <c r="AT2903" i="11"/>
  <c r="AU2902" i="11"/>
  <c r="AT2902" i="11"/>
  <c r="AU2901" i="11"/>
  <c r="AT2901" i="11"/>
  <c r="AU2900" i="11"/>
  <c r="AT2900" i="11"/>
  <c r="AU2899" i="11"/>
  <c r="AT2899" i="11"/>
  <c r="AU2898" i="11"/>
  <c r="AT2898" i="11"/>
  <c r="AU2897" i="11"/>
  <c r="AT2897" i="11"/>
  <c r="AU2896" i="11"/>
  <c r="AT2896" i="11"/>
  <c r="AU2895" i="11"/>
  <c r="AT2895" i="11"/>
  <c r="AU2894" i="11"/>
  <c r="AT2894" i="11"/>
  <c r="AU2893" i="11"/>
  <c r="AT2893" i="11"/>
  <c r="AU2892" i="11"/>
  <c r="AT2892" i="11"/>
  <c r="AU2891" i="11"/>
  <c r="AT2891" i="11"/>
  <c r="AU2890" i="11"/>
  <c r="AT2890" i="11"/>
  <c r="AU2889" i="11"/>
  <c r="AT2889" i="11"/>
  <c r="AU2888" i="11"/>
  <c r="AT2888" i="11"/>
  <c r="AU2887" i="11"/>
  <c r="AT2887" i="11"/>
  <c r="AU2886" i="11"/>
  <c r="AT2886" i="11"/>
  <c r="AU2885" i="11"/>
  <c r="AT2885" i="11"/>
  <c r="AU2884" i="11"/>
  <c r="AT2884" i="11"/>
  <c r="AU2883" i="11"/>
  <c r="AT2883" i="11"/>
  <c r="AU2882" i="11"/>
  <c r="AT2882" i="11"/>
  <c r="AU2881" i="11"/>
  <c r="AT2881" i="11"/>
  <c r="AU2880" i="11"/>
  <c r="AT2880" i="11"/>
  <c r="AU2879" i="11"/>
  <c r="AT2879" i="11"/>
  <c r="AU2878" i="11"/>
  <c r="AT2878" i="11"/>
  <c r="AU2877" i="11"/>
  <c r="AT2877" i="11"/>
  <c r="AU2876" i="11"/>
  <c r="AT2876" i="11"/>
  <c r="AU2875" i="11"/>
  <c r="AT2875" i="11"/>
  <c r="AU2874" i="11"/>
  <c r="AT2874" i="11"/>
  <c r="AU2873" i="11"/>
  <c r="AT2873" i="11"/>
  <c r="AU2872" i="11"/>
  <c r="AT2872" i="11"/>
  <c r="AU2871" i="11"/>
  <c r="AT2871" i="11"/>
  <c r="AU2870" i="11"/>
  <c r="AT2870" i="11"/>
  <c r="AU2869" i="11"/>
  <c r="AT2869" i="11"/>
  <c r="AU2868" i="11"/>
  <c r="AT2868" i="11"/>
  <c r="AU2867" i="11"/>
  <c r="AT2867" i="11"/>
  <c r="AU2866" i="11"/>
  <c r="AT2866" i="11"/>
  <c r="AU2865" i="11"/>
  <c r="AT2865" i="11"/>
  <c r="AU2864" i="11"/>
  <c r="AT2864" i="11"/>
  <c r="AU2863" i="11"/>
  <c r="AT2863" i="11"/>
  <c r="AU2862" i="11"/>
  <c r="AT2862" i="11"/>
  <c r="AU2861" i="11"/>
  <c r="AT2861" i="11"/>
  <c r="AU2860" i="11"/>
  <c r="AT2860" i="11"/>
  <c r="AU2859" i="11"/>
  <c r="AT2859" i="11"/>
  <c r="AU2858" i="11"/>
  <c r="AT2858" i="11"/>
  <c r="AU2857" i="11"/>
  <c r="AT2857" i="11"/>
  <c r="AU2856" i="11"/>
  <c r="AT2856" i="11"/>
  <c r="AU2855" i="11"/>
  <c r="AT2855" i="11"/>
  <c r="AU2854" i="11"/>
  <c r="AT2854" i="11"/>
  <c r="AU2853" i="11"/>
  <c r="AT2853" i="11"/>
  <c r="AU2852" i="11"/>
  <c r="AT2852" i="11"/>
  <c r="AU2851" i="11"/>
  <c r="AT2851" i="11"/>
  <c r="AU2850" i="11"/>
  <c r="AT2850" i="11"/>
  <c r="AU2849" i="11"/>
  <c r="AT2849" i="11"/>
  <c r="AU2848" i="11"/>
  <c r="AT2848" i="11"/>
  <c r="AU2847" i="11"/>
  <c r="AT2847" i="11"/>
  <c r="AU2846" i="11"/>
  <c r="AT2846" i="11"/>
  <c r="AU2845" i="11"/>
  <c r="AT2845" i="11"/>
  <c r="AU2844" i="11"/>
  <c r="AT2844" i="11"/>
  <c r="AU2843" i="11"/>
  <c r="AT2843" i="11"/>
  <c r="AU2842" i="11"/>
  <c r="AT2842" i="11"/>
  <c r="AU2841" i="11"/>
  <c r="AT2841" i="11"/>
  <c r="AU2840" i="11"/>
  <c r="AT2840" i="11"/>
  <c r="AU2839" i="11"/>
  <c r="AT2839" i="11"/>
  <c r="AU2838" i="11"/>
  <c r="AT2838" i="11"/>
  <c r="AU2837" i="11"/>
  <c r="AT2837" i="11"/>
  <c r="AU2836" i="11"/>
  <c r="AT2836" i="11"/>
  <c r="AU2835" i="11"/>
  <c r="AT2835" i="11"/>
  <c r="AU2834" i="11"/>
  <c r="AT2834" i="11"/>
  <c r="AU2833" i="11"/>
  <c r="AT2833" i="11"/>
  <c r="AU2832" i="11"/>
  <c r="AT2832" i="11"/>
  <c r="AU2831" i="11"/>
  <c r="AT2831" i="11"/>
  <c r="AU2830" i="11"/>
  <c r="AT2830" i="11"/>
  <c r="AU2829" i="11"/>
  <c r="AT2829" i="11"/>
  <c r="AU2828" i="11"/>
  <c r="AT2828" i="11"/>
  <c r="AU2827" i="11"/>
  <c r="AT2827" i="11"/>
  <c r="AU2826" i="11"/>
  <c r="AT2826" i="11"/>
  <c r="AU2825" i="11"/>
  <c r="AT2825" i="11"/>
  <c r="AU2824" i="11"/>
  <c r="AT2824" i="11"/>
  <c r="AU2823" i="11"/>
  <c r="AT2823" i="11"/>
  <c r="AU2822" i="11"/>
  <c r="AT2822" i="11"/>
  <c r="AU2821" i="11"/>
  <c r="AT2821" i="11"/>
  <c r="AU2820" i="11"/>
  <c r="AT2820" i="11"/>
  <c r="AU2819" i="11"/>
  <c r="AT2819" i="11"/>
  <c r="AU2818" i="11"/>
  <c r="AT2818" i="11"/>
  <c r="AU2817" i="11"/>
  <c r="AT2817" i="11"/>
  <c r="AU2816" i="11"/>
  <c r="AT2816" i="11"/>
  <c r="AU2815" i="11"/>
  <c r="AT2815" i="11"/>
  <c r="AU2814" i="11"/>
  <c r="AT2814" i="11"/>
  <c r="AU2813" i="11"/>
  <c r="AT2813" i="11"/>
  <c r="AU2812" i="11"/>
  <c r="AT2812" i="11"/>
  <c r="AU2811" i="11"/>
  <c r="AT2811" i="11"/>
  <c r="AU2810" i="11"/>
  <c r="AT2810" i="11"/>
  <c r="AU2809" i="11"/>
  <c r="AT2809" i="11"/>
  <c r="AU2808" i="11"/>
  <c r="AT2808" i="11"/>
  <c r="AU2807" i="11"/>
  <c r="AT2807" i="11"/>
  <c r="AU2806" i="11"/>
  <c r="AT2806" i="11"/>
  <c r="AU2805" i="11"/>
  <c r="AT2805" i="11"/>
  <c r="AU2804" i="11"/>
  <c r="AT2804" i="11"/>
  <c r="AU2803" i="11"/>
  <c r="AT2803" i="11"/>
  <c r="AU2802" i="11"/>
  <c r="AT2802" i="11"/>
  <c r="AU2801" i="11"/>
  <c r="AT2801" i="11"/>
  <c r="AU2800" i="11"/>
  <c r="AT2800" i="11"/>
  <c r="AU2799" i="11"/>
  <c r="AT2799" i="11"/>
  <c r="AU2798" i="11"/>
  <c r="AT2798" i="11"/>
  <c r="AU2797" i="11"/>
  <c r="AT2797" i="11"/>
  <c r="AU2796" i="11"/>
  <c r="AT2796" i="11"/>
  <c r="AU2795" i="11"/>
  <c r="AT2795" i="11"/>
  <c r="AU2794" i="11"/>
  <c r="AT2794" i="11"/>
  <c r="AU2793" i="11"/>
  <c r="AT2793" i="11"/>
  <c r="AU2792" i="11"/>
  <c r="AT2792" i="11"/>
  <c r="AU2791" i="11"/>
  <c r="AT2791" i="11"/>
  <c r="AU2790" i="11"/>
  <c r="AT2790" i="11"/>
  <c r="AU2789" i="11"/>
  <c r="AT2789" i="11"/>
  <c r="AU2788" i="11"/>
  <c r="AT2788" i="11"/>
  <c r="AU2787" i="11"/>
  <c r="AT2787" i="11"/>
  <c r="AU2786" i="11"/>
  <c r="AT2786" i="11"/>
  <c r="AU2785" i="11"/>
  <c r="AT2785" i="11"/>
  <c r="AU2784" i="11"/>
  <c r="AT2784" i="11"/>
  <c r="AU2783" i="11"/>
  <c r="AT2783" i="11"/>
  <c r="AU2782" i="11"/>
  <c r="AT2782" i="11"/>
  <c r="AU2781" i="11"/>
  <c r="AT2781" i="11"/>
  <c r="AU2780" i="11"/>
  <c r="AT2780" i="11"/>
  <c r="AU2779" i="11"/>
  <c r="AT2779" i="11"/>
  <c r="AU2778" i="11"/>
  <c r="AT2778" i="11"/>
  <c r="AU2777" i="11"/>
  <c r="AT2777" i="11"/>
  <c r="AU2776" i="11"/>
  <c r="AT2776" i="11"/>
  <c r="AU2775" i="11"/>
  <c r="AT2775" i="11"/>
  <c r="AU2774" i="11"/>
  <c r="AT2774" i="11"/>
  <c r="AU2773" i="11"/>
  <c r="AT2773" i="11"/>
  <c r="AU2772" i="11"/>
  <c r="AT2772" i="11"/>
  <c r="AU2771" i="11"/>
  <c r="AT2771" i="11"/>
  <c r="AU2770" i="11"/>
  <c r="AT2770" i="11"/>
  <c r="AU2769" i="11"/>
  <c r="AT2769" i="11"/>
  <c r="AU2768" i="11"/>
  <c r="AT2768" i="11"/>
  <c r="AU2767" i="11"/>
  <c r="AT2767" i="11"/>
  <c r="AU2766" i="11"/>
  <c r="AT2766" i="11"/>
  <c r="AU2765" i="11"/>
  <c r="AT2765" i="11"/>
  <c r="AU2764" i="11"/>
  <c r="AT2764" i="11"/>
  <c r="AU2763" i="11"/>
  <c r="AT2763" i="11"/>
  <c r="AU2762" i="11"/>
  <c r="AT2762" i="11"/>
  <c r="AU2761" i="11"/>
  <c r="AT2761" i="11"/>
  <c r="AU2760" i="11"/>
  <c r="AT2760" i="11"/>
  <c r="AU2759" i="11"/>
  <c r="AT2759" i="11"/>
  <c r="AU2758" i="11"/>
  <c r="AT2758" i="11"/>
  <c r="AU2757" i="11"/>
  <c r="AT2757" i="11"/>
  <c r="AU2756" i="11"/>
  <c r="AT2756" i="11"/>
  <c r="AU2755" i="11"/>
  <c r="AT2755" i="11"/>
  <c r="AU2754" i="11"/>
  <c r="AT2754" i="11"/>
  <c r="AU2753" i="11"/>
  <c r="AT2753" i="11"/>
  <c r="AU2752" i="11"/>
  <c r="AT2752" i="11"/>
  <c r="AU2751" i="11"/>
  <c r="AT2751" i="11"/>
  <c r="AU2750" i="11"/>
  <c r="AT2750" i="11"/>
  <c r="AU2749" i="11"/>
  <c r="AT2749" i="11"/>
  <c r="AU2748" i="11"/>
  <c r="AT2748" i="11"/>
  <c r="AU2747" i="11"/>
  <c r="AT2747" i="11"/>
  <c r="AU2746" i="11"/>
  <c r="AT2746" i="11"/>
  <c r="AU2745" i="11"/>
  <c r="AT2745" i="11"/>
  <c r="AU2744" i="11"/>
  <c r="AT2744" i="11"/>
  <c r="AU2743" i="11"/>
  <c r="AT2743" i="11"/>
  <c r="AU2742" i="11"/>
  <c r="AT2742" i="11"/>
  <c r="AU2741" i="11"/>
  <c r="AT2741" i="11"/>
  <c r="AU2740" i="11"/>
  <c r="AT2740" i="11"/>
  <c r="AU2739" i="11"/>
  <c r="AT2739" i="11"/>
  <c r="AU2738" i="11"/>
  <c r="AT2738" i="11"/>
  <c r="AU2737" i="11"/>
  <c r="AT2737" i="11"/>
  <c r="AU2736" i="11"/>
  <c r="AT2736" i="11"/>
  <c r="AU2735" i="11"/>
  <c r="AT2735" i="11"/>
  <c r="AU2734" i="11"/>
  <c r="AT2734" i="11"/>
  <c r="AU2733" i="11"/>
  <c r="AT2733" i="11"/>
  <c r="AU2732" i="11"/>
  <c r="AT2732" i="11"/>
  <c r="AU2731" i="11"/>
  <c r="AT2731" i="11"/>
  <c r="AU2730" i="11"/>
  <c r="AT2730" i="11"/>
  <c r="AU2729" i="11"/>
  <c r="AT2729" i="11"/>
  <c r="AU2728" i="11"/>
  <c r="AT2728" i="11"/>
  <c r="AU2727" i="11"/>
  <c r="AT2727" i="11"/>
  <c r="AU2726" i="11"/>
  <c r="AT2726" i="11"/>
  <c r="AU2725" i="11"/>
  <c r="AT2725" i="11"/>
  <c r="AU2724" i="11"/>
  <c r="AT2724" i="11"/>
  <c r="AU2723" i="11"/>
  <c r="AT2723" i="11"/>
  <c r="AU2722" i="11"/>
  <c r="AT2722" i="11"/>
  <c r="AU2721" i="11"/>
  <c r="AT2721" i="11"/>
  <c r="AU2720" i="11"/>
  <c r="AT2720" i="11"/>
  <c r="AU2719" i="11"/>
  <c r="AT2719" i="11"/>
  <c r="AU2718" i="11"/>
  <c r="AT2718" i="11"/>
  <c r="AU2717" i="11"/>
  <c r="AT2717" i="11"/>
  <c r="AU2716" i="11"/>
  <c r="AT2716" i="11"/>
  <c r="AU2715" i="11"/>
  <c r="AT2715" i="11"/>
  <c r="AU2714" i="11"/>
  <c r="AT2714" i="11"/>
  <c r="AU2713" i="11"/>
  <c r="AT2713" i="11"/>
  <c r="AU2712" i="11"/>
  <c r="AT2712" i="11"/>
  <c r="AU2711" i="11"/>
  <c r="AT2711" i="11"/>
  <c r="AU2710" i="11"/>
  <c r="AT2710" i="11"/>
  <c r="AU2709" i="11"/>
  <c r="AT2709" i="11"/>
  <c r="AU2708" i="11"/>
  <c r="AT2708" i="11"/>
  <c r="AU2707" i="11"/>
  <c r="AT2707" i="11"/>
  <c r="AU2706" i="11"/>
  <c r="AT2706" i="11"/>
  <c r="AU2705" i="11"/>
  <c r="AT2705" i="11"/>
  <c r="AU2704" i="11"/>
  <c r="AT2704" i="11"/>
  <c r="AU2703" i="11"/>
  <c r="AT2703" i="11"/>
  <c r="AU2702" i="11"/>
  <c r="AT2702" i="11"/>
  <c r="AU2701" i="11"/>
  <c r="AT2701" i="11"/>
  <c r="AU2700" i="11"/>
  <c r="AT2700" i="11"/>
  <c r="AU2699" i="11"/>
  <c r="AT2699" i="11"/>
  <c r="AU2698" i="11"/>
  <c r="AT2698" i="11"/>
  <c r="AU2697" i="11"/>
  <c r="AT2697" i="11"/>
  <c r="AU2696" i="11"/>
  <c r="AT2696" i="11"/>
  <c r="AU2695" i="11"/>
  <c r="AT2695" i="11"/>
  <c r="AU2694" i="11"/>
  <c r="AT2694" i="11"/>
  <c r="AU2693" i="11"/>
  <c r="AT2693" i="11"/>
  <c r="AU2692" i="11"/>
  <c r="AT2692" i="11"/>
  <c r="AU2691" i="11"/>
  <c r="AT2691" i="11"/>
  <c r="AU2690" i="11"/>
  <c r="AT2690" i="11"/>
  <c r="AU2689" i="11"/>
  <c r="AT2689" i="11"/>
  <c r="AU2688" i="11"/>
  <c r="AT2688" i="11"/>
  <c r="AU2687" i="11"/>
  <c r="AT2687" i="11"/>
  <c r="AU2686" i="11"/>
  <c r="AT2686" i="11"/>
  <c r="AU2685" i="11"/>
  <c r="AT2685" i="11"/>
  <c r="AU2684" i="11"/>
  <c r="AT2684" i="11"/>
  <c r="AU2683" i="11"/>
  <c r="AT2683" i="11"/>
  <c r="AU2682" i="11"/>
  <c r="AT2682" i="11"/>
  <c r="AU2681" i="11"/>
  <c r="AT2681" i="11"/>
  <c r="AU2680" i="11"/>
  <c r="AT2680" i="11"/>
  <c r="AU2679" i="11"/>
  <c r="AT2679" i="11"/>
  <c r="AU2678" i="11"/>
  <c r="AT2678" i="11"/>
  <c r="AU2677" i="11"/>
  <c r="AT2677" i="11"/>
  <c r="AU2676" i="11"/>
  <c r="AT2676" i="11"/>
  <c r="AU2675" i="11"/>
  <c r="AT2675" i="11"/>
  <c r="AU2674" i="11"/>
  <c r="AT2674" i="11"/>
  <c r="AU2673" i="11"/>
  <c r="AT2673" i="11"/>
  <c r="AU2672" i="11"/>
  <c r="AT2672" i="11"/>
  <c r="AU2671" i="11"/>
  <c r="AT2671" i="11"/>
  <c r="AU2670" i="11"/>
  <c r="AT2670" i="11"/>
  <c r="AU2669" i="11"/>
  <c r="AT2669" i="11"/>
  <c r="AU2668" i="11"/>
  <c r="AT2668" i="11"/>
  <c r="AU2667" i="11"/>
  <c r="AT2667" i="11"/>
  <c r="AU2666" i="11"/>
  <c r="AT2666" i="11"/>
  <c r="AU2665" i="11"/>
  <c r="AT2665" i="11"/>
  <c r="AU2664" i="11"/>
  <c r="AT2664" i="11"/>
  <c r="AU2663" i="11"/>
  <c r="AT2663" i="11"/>
  <c r="AU2662" i="11"/>
  <c r="AT2662" i="11"/>
  <c r="AU2661" i="11"/>
  <c r="AT2661" i="11"/>
  <c r="AU2660" i="11"/>
  <c r="AT2660" i="11"/>
  <c r="AU2659" i="11"/>
  <c r="AT2659" i="11"/>
  <c r="AU2658" i="11"/>
  <c r="AT2658" i="11"/>
  <c r="AU2657" i="11"/>
  <c r="AT2657" i="11"/>
  <c r="AU2656" i="11"/>
  <c r="AT2656" i="11"/>
  <c r="AU2655" i="11"/>
  <c r="AT2655" i="11"/>
  <c r="AU2654" i="11"/>
  <c r="AT2654" i="11"/>
  <c r="AU2653" i="11"/>
  <c r="AT2653" i="11"/>
  <c r="AU2652" i="11"/>
  <c r="AT2652" i="11"/>
  <c r="AU2651" i="11"/>
  <c r="AT2651" i="11"/>
  <c r="AU2650" i="11"/>
  <c r="AT2650" i="11"/>
  <c r="AU2649" i="11"/>
  <c r="AT2649" i="11"/>
  <c r="AU2648" i="11"/>
  <c r="AT2648" i="11"/>
  <c r="AU2647" i="11"/>
  <c r="AT2647" i="11"/>
  <c r="AU2646" i="11"/>
  <c r="AT2646" i="11"/>
  <c r="AU2645" i="11"/>
  <c r="AT2645" i="11"/>
  <c r="AU2644" i="11"/>
  <c r="AT2644" i="11"/>
  <c r="AU2643" i="11"/>
  <c r="AT2643" i="11"/>
  <c r="AU2642" i="11"/>
  <c r="AT2642" i="11"/>
  <c r="AU2641" i="11"/>
  <c r="AT2641" i="11"/>
  <c r="AU2640" i="11"/>
  <c r="AT2640" i="11"/>
  <c r="AU2639" i="11"/>
  <c r="AT2639" i="11"/>
  <c r="AU2638" i="11"/>
  <c r="AT2638" i="11"/>
  <c r="AU2637" i="11"/>
  <c r="AT2637" i="11"/>
  <c r="AU2636" i="11"/>
  <c r="AT2636" i="11"/>
  <c r="AU2635" i="11"/>
  <c r="AT2635" i="11"/>
  <c r="AU2634" i="11"/>
  <c r="AT2634" i="11"/>
  <c r="AU2633" i="11"/>
  <c r="AT2633" i="11"/>
  <c r="AU2632" i="11"/>
  <c r="AT2632" i="11"/>
  <c r="AU2631" i="11"/>
  <c r="AT2631" i="11"/>
  <c r="AU2630" i="11"/>
  <c r="AT2630" i="11"/>
  <c r="AU2629" i="11"/>
  <c r="AT2629" i="11"/>
  <c r="AU2628" i="11"/>
  <c r="AT2628" i="11"/>
  <c r="AU2627" i="11"/>
  <c r="AT2627" i="11"/>
  <c r="AU2626" i="11"/>
  <c r="AT2626" i="11"/>
  <c r="AU2625" i="11"/>
  <c r="AT2625" i="11"/>
  <c r="AU2624" i="11"/>
  <c r="AT2624" i="11"/>
  <c r="AU2623" i="11"/>
  <c r="AT2623" i="11"/>
  <c r="AU2622" i="11"/>
  <c r="AT2622" i="11"/>
  <c r="AU2621" i="11"/>
  <c r="AT2621" i="11"/>
  <c r="AU2620" i="11"/>
  <c r="AT2620" i="11"/>
  <c r="AU2619" i="11"/>
  <c r="AT2619" i="11"/>
  <c r="AU2618" i="11"/>
  <c r="AT2618" i="11"/>
  <c r="AU2617" i="11"/>
  <c r="AT2617" i="11"/>
  <c r="AU2616" i="11"/>
  <c r="AT2616" i="11"/>
  <c r="AU2615" i="11"/>
  <c r="AT2615" i="11"/>
  <c r="AU2614" i="11"/>
  <c r="AT2614" i="11"/>
  <c r="AU2613" i="11"/>
  <c r="AT2613" i="11"/>
  <c r="AU2612" i="11"/>
  <c r="AT2612" i="11"/>
  <c r="AU2611" i="11"/>
  <c r="AT2611" i="11"/>
  <c r="AU2610" i="11"/>
  <c r="AT2610" i="11"/>
  <c r="AU2609" i="11"/>
  <c r="AT2609" i="11"/>
  <c r="AU2608" i="11"/>
  <c r="AT2608" i="11"/>
  <c r="AU2607" i="11"/>
  <c r="AT2607" i="11"/>
  <c r="AU2606" i="11"/>
  <c r="AT2606" i="11"/>
  <c r="AU2605" i="11"/>
  <c r="AT2605" i="11"/>
  <c r="AU2604" i="11"/>
  <c r="AT2604" i="11"/>
  <c r="AU2603" i="11"/>
  <c r="AT2603" i="11"/>
  <c r="AU2602" i="11"/>
  <c r="AT2602" i="11"/>
  <c r="AU2601" i="11"/>
  <c r="AT2601" i="11"/>
  <c r="AU2600" i="11"/>
  <c r="AT2600" i="11"/>
  <c r="AU2599" i="11"/>
  <c r="AT2599" i="11"/>
  <c r="AU2598" i="11"/>
  <c r="AT2598" i="11"/>
  <c r="AU2597" i="11"/>
  <c r="AT2597" i="11"/>
  <c r="AU2596" i="11"/>
  <c r="AT2596" i="11"/>
  <c r="AU2595" i="11"/>
  <c r="AT2595" i="11"/>
  <c r="AU2594" i="11"/>
  <c r="AT2594" i="11"/>
  <c r="AU2593" i="11"/>
  <c r="AT2593" i="11"/>
  <c r="AU2592" i="11"/>
  <c r="AT2592" i="11"/>
  <c r="AU2591" i="11"/>
  <c r="AT2591" i="11"/>
  <c r="AU2590" i="11"/>
  <c r="AT2590" i="11"/>
  <c r="AU2589" i="11"/>
  <c r="AT2589" i="11"/>
  <c r="AU2588" i="11"/>
  <c r="AT2588" i="11"/>
  <c r="AU2587" i="11"/>
  <c r="AT2587" i="11"/>
  <c r="AU2586" i="11"/>
  <c r="AT2586" i="11"/>
  <c r="AU2585" i="11"/>
  <c r="AT2585" i="11"/>
  <c r="AU2584" i="11"/>
  <c r="AT2584" i="11"/>
  <c r="AU2583" i="11"/>
  <c r="AT2583" i="11"/>
  <c r="AU2582" i="11"/>
  <c r="AT2582" i="11"/>
  <c r="AU2581" i="11"/>
  <c r="AT2581" i="11"/>
  <c r="AU2580" i="11"/>
  <c r="AT2580" i="11"/>
  <c r="AU2579" i="11"/>
  <c r="AT2579" i="11"/>
  <c r="AU2578" i="11"/>
  <c r="AT2578" i="11"/>
  <c r="AU2577" i="11"/>
  <c r="AT2577" i="11"/>
  <c r="AU2576" i="11"/>
  <c r="AT2576" i="11"/>
  <c r="AU2575" i="11"/>
  <c r="AT2575" i="11"/>
  <c r="AU2574" i="11"/>
  <c r="AT2574" i="11"/>
  <c r="AU2573" i="11"/>
  <c r="AT2573" i="11"/>
  <c r="AU2572" i="11"/>
  <c r="AT2572" i="11"/>
  <c r="AU2571" i="11"/>
  <c r="AT2571" i="11"/>
  <c r="AU2570" i="11"/>
  <c r="AT2570" i="11"/>
  <c r="AU2569" i="11"/>
  <c r="AT2569" i="11"/>
  <c r="AU2568" i="11"/>
  <c r="AT2568" i="11"/>
  <c r="AU2567" i="11"/>
  <c r="AT2567" i="11"/>
  <c r="AU2566" i="11"/>
  <c r="AT2566" i="11"/>
  <c r="AU2565" i="11"/>
  <c r="AT2565" i="11"/>
  <c r="AU2564" i="11"/>
  <c r="AT2564" i="11"/>
  <c r="AU2563" i="11"/>
  <c r="AT2563" i="11"/>
  <c r="AU2562" i="11"/>
  <c r="AT2562" i="11"/>
  <c r="AU2561" i="11"/>
  <c r="AT2561" i="11"/>
  <c r="AU2560" i="11"/>
  <c r="AT2560" i="11"/>
  <c r="AU2559" i="11"/>
  <c r="AT2559" i="11"/>
  <c r="AU2558" i="11"/>
  <c r="AT2558" i="11"/>
  <c r="AU2557" i="11"/>
  <c r="AT2557" i="11"/>
  <c r="AU2556" i="11"/>
  <c r="AT2556" i="11"/>
  <c r="AU2555" i="11"/>
  <c r="AT2555" i="11"/>
  <c r="AU2554" i="11"/>
  <c r="AT2554" i="11"/>
  <c r="AU2553" i="11"/>
  <c r="AT2553" i="11"/>
  <c r="AU2552" i="11"/>
  <c r="AT2552" i="11"/>
  <c r="AU2551" i="11"/>
  <c r="AT2551" i="11"/>
  <c r="AU2550" i="11"/>
  <c r="AT2550" i="11"/>
  <c r="AU2549" i="11"/>
  <c r="AT2549" i="11"/>
  <c r="AU2548" i="11"/>
  <c r="AT2548" i="11"/>
  <c r="AU2547" i="11"/>
  <c r="AT2547" i="11"/>
  <c r="AU2546" i="11"/>
  <c r="AT2546" i="11"/>
  <c r="AU2545" i="11"/>
  <c r="AT2545" i="11"/>
  <c r="AU2544" i="11"/>
  <c r="AT2544" i="11"/>
  <c r="AU2543" i="11"/>
  <c r="AT2543" i="11"/>
  <c r="AU2542" i="11"/>
  <c r="AT2542" i="11"/>
  <c r="AU2541" i="11"/>
  <c r="AT2541" i="11"/>
  <c r="AU2540" i="11"/>
  <c r="AT2540" i="11"/>
  <c r="AU2539" i="11"/>
  <c r="AT2539" i="11"/>
  <c r="AU2538" i="11"/>
  <c r="AT2538" i="11"/>
  <c r="AU2537" i="11"/>
  <c r="AT2537" i="11"/>
  <c r="AU2536" i="11"/>
  <c r="AT2536" i="11"/>
  <c r="AU2535" i="11"/>
  <c r="AT2535" i="11"/>
  <c r="AU2534" i="11"/>
  <c r="AT2534" i="11"/>
  <c r="AU2533" i="11"/>
  <c r="AT2533" i="11"/>
  <c r="AU2532" i="11"/>
  <c r="AT2532" i="11"/>
  <c r="AU2531" i="11"/>
  <c r="AT2531" i="11"/>
  <c r="AU2530" i="11"/>
  <c r="AT2530" i="11"/>
  <c r="AU2529" i="11"/>
  <c r="AT2529" i="11"/>
  <c r="AU2528" i="11"/>
  <c r="AT2528" i="11"/>
  <c r="AU2527" i="11"/>
  <c r="AT2527" i="11"/>
  <c r="AU2526" i="11"/>
  <c r="AT2526" i="11"/>
  <c r="AU2525" i="11"/>
  <c r="AT2525" i="11"/>
  <c r="AU2524" i="11"/>
  <c r="AT2524" i="11"/>
  <c r="AU2523" i="11"/>
  <c r="AT2523" i="11"/>
  <c r="AU2522" i="11"/>
  <c r="AT2522" i="11"/>
  <c r="AU2521" i="11"/>
  <c r="AT2521" i="11"/>
  <c r="AU2520" i="11"/>
  <c r="AT2520" i="11"/>
  <c r="AU2519" i="11"/>
  <c r="AT2519" i="11"/>
  <c r="AU2518" i="11"/>
  <c r="AT2518" i="11"/>
  <c r="AU2517" i="11"/>
  <c r="AT2517" i="11"/>
  <c r="AU2516" i="11"/>
  <c r="AT2516" i="11"/>
  <c r="AU2515" i="11"/>
  <c r="AT2515" i="11"/>
  <c r="AU2514" i="11"/>
  <c r="AT2514" i="11"/>
  <c r="AU2513" i="11"/>
  <c r="AT2513" i="11"/>
  <c r="AU2512" i="11"/>
  <c r="AT2512" i="11"/>
  <c r="AU2511" i="11"/>
  <c r="AT2511" i="11"/>
  <c r="AU2510" i="11"/>
  <c r="AT2510" i="11"/>
  <c r="AU2509" i="11"/>
  <c r="AT2509" i="11"/>
  <c r="AU2508" i="11"/>
  <c r="AT2508" i="11"/>
  <c r="AU2507" i="11"/>
  <c r="AT2507" i="11"/>
  <c r="AU2506" i="11"/>
  <c r="AT2506" i="11"/>
  <c r="AU2505" i="11"/>
  <c r="AT2505" i="11"/>
  <c r="AU2504" i="11"/>
  <c r="AT2504" i="11"/>
  <c r="AU2503" i="11"/>
  <c r="AT2503" i="11"/>
  <c r="AU2502" i="11"/>
  <c r="AT2502" i="11"/>
  <c r="AU2501" i="11"/>
  <c r="AT2501" i="11"/>
  <c r="AU2500" i="11"/>
  <c r="AT2500" i="11"/>
  <c r="AU2499" i="11"/>
  <c r="AT2499" i="11"/>
  <c r="AU2498" i="11"/>
  <c r="AT2498" i="11"/>
  <c r="AU2497" i="11"/>
  <c r="AT2497" i="11"/>
  <c r="AU2496" i="11"/>
  <c r="AT2496" i="11"/>
  <c r="AU2495" i="11"/>
  <c r="AT2495" i="11"/>
  <c r="AU2494" i="11"/>
  <c r="AT2494" i="11"/>
  <c r="AU2493" i="11"/>
  <c r="AT2493" i="11"/>
  <c r="AU2492" i="11"/>
  <c r="AT2492" i="11"/>
  <c r="AU2491" i="11"/>
  <c r="AT2491" i="11"/>
  <c r="AU2490" i="11"/>
  <c r="AT2490" i="11"/>
  <c r="AU2489" i="11"/>
  <c r="AT2489" i="11"/>
  <c r="AU2488" i="11"/>
  <c r="AT2488" i="11"/>
  <c r="AU2487" i="11"/>
  <c r="AT2487" i="11"/>
  <c r="AU2486" i="11"/>
  <c r="AT2486" i="11"/>
  <c r="AU2485" i="11"/>
  <c r="AT2485" i="11"/>
  <c r="AU2484" i="11"/>
  <c r="AT2484" i="11"/>
  <c r="AU2483" i="11"/>
  <c r="AT2483" i="11"/>
  <c r="AU2482" i="11"/>
  <c r="AT2482" i="11"/>
  <c r="AU2481" i="11"/>
  <c r="AT2481" i="11"/>
  <c r="AU2480" i="11"/>
  <c r="AT2480" i="11"/>
  <c r="AU2479" i="11"/>
  <c r="AT2479" i="11"/>
  <c r="AU2478" i="11"/>
  <c r="AT2478" i="11"/>
  <c r="AU2477" i="11"/>
  <c r="AT2477" i="11"/>
  <c r="AU2476" i="11"/>
  <c r="AT2476" i="11"/>
  <c r="AU2475" i="11"/>
  <c r="AT2475" i="11"/>
  <c r="AU2474" i="11"/>
  <c r="AT2474" i="11"/>
  <c r="AU2473" i="11"/>
  <c r="AT2473" i="11"/>
  <c r="AU2472" i="11"/>
  <c r="AT2472" i="11"/>
  <c r="AU2471" i="11"/>
  <c r="AT2471" i="11"/>
  <c r="AU2470" i="11"/>
  <c r="AT2470" i="11"/>
  <c r="AU2469" i="11"/>
  <c r="AT2469" i="11"/>
  <c r="AU2468" i="11"/>
  <c r="AT2468" i="11"/>
  <c r="AU2467" i="11"/>
  <c r="AT2467" i="11"/>
  <c r="AU2466" i="11"/>
  <c r="AT2466" i="11"/>
  <c r="AU2465" i="11"/>
  <c r="AT2465" i="11"/>
  <c r="AU2464" i="11"/>
  <c r="AT2464" i="11"/>
  <c r="AU2463" i="11"/>
  <c r="AT2463" i="11"/>
  <c r="AU2462" i="11"/>
  <c r="AT2462" i="11"/>
  <c r="AU2461" i="11"/>
  <c r="AT2461" i="11"/>
  <c r="AU2460" i="11"/>
  <c r="AT2460" i="11"/>
  <c r="AU2459" i="11"/>
  <c r="AT2459" i="11"/>
  <c r="AU2458" i="11"/>
  <c r="AT2458" i="11"/>
  <c r="AU2457" i="11"/>
  <c r="AT2457" i="11"/>
  <c r="AU2456" i="11"/>
  <c r="AT2456" i="11"/>
  <c r="AU2455" i="11"/>
  <c r="AT2455" i="11"/>
  <c r="AU2454" i="11"/>
  <c r="AT2454" i="11"/>
  <c r="AU2453" i="11"/>
  <c r="AT2453" i="11"/>
  <c r="AU2452" i="11"/>
  <c r="AT2452" i="11"/>
  <c r="AU2451" i="11"/>
  <c r="AT2451" i="11"/>
  <c r="AU2450" i="11"/>
  <c r="AT2450" i="11"/>
  <c r="AU2449" i="11"/>
  <c r="AT2449" i="11"/>
  <c r="AU2448" i="11"/>
  <c r="AT2448" i="11"/>
  <c r="AU2447" i="11"/>
  <c r="AT2447" i="11"/>
  <c r="AU2446" i="11"/>
  <c r="AT2446" i="11"/>
  <c r="AU2445" i="11"/>
  <c r="AT2445" i="11"/>
  <c r="AU2444" i="11"/>
  <c r="AT2444" i="11"/>
  <c r="AU2443" i="11"/>
  <c r="AT2443" i="11"/>
  <c r="AU2442" i="11"/>
  <c r="AT2442" i="11"/>
  <c r="AU2441" i="11"/>
  <c r="AT2441" i="11"/>
  <c r="AU2440" i="11"/>
  <c r="AT2440" i="11"/>
  <c r="AU2439" i="11"/>
  <c r="AT2439" i="11"/>
  <c r="AU2438" i="11"/>
  <c r="AT2438" i="11"/>
  <c r="AU2437" i="11"/>
  <c r="AT2437" i="11"/>
  <c r="AU2436" i="11"/>
  <c r="AT2436" i="11"/>
  <c r="AU2435" i="11"/>
  <c r="AT2435" i="11"/>
  <c r="AU2434" i="11"/>
  <c r="AT2434" i="11"/>
  <c r="AU2433" i="11"/>
  <c r="AT2433" i="11"/>
  <c r="AU2432" i="11"/>
  <c r="AT2432" i="11"/>
  <c r="AU2431" i="11"/>
  <c r="AT2431" i="11"/>
  <c r="AU2430" i="11"/>
  <c r="AT2430" i="11"/>
  <c r="AU2429" i="11"/>
  <c r="AT2429" i="11"/>
  <c r="AU2428" i="11"/>
  <c r="AT2428" i="11"/>
  <c r="AU2427" i="11"/>
  <c r="AT2427" i="11"/>
  <c r="AU2426" i="11"/>
  <c r="AT2426" i="11"/>
  <c r="AU2425" i="11"/>
  <c r="AT2425" i="11"/>
  <c r="AU2424" i="11"/>
  <c r="AT2424" i="11"/>
  <c r="AU2423" i="11"/>
  <c r="AT2423" i="11"/>
  <c r="AU2422" i="11"/>
  <c r="AT2422" i="11"/>
  <c r="AU2421" i="11"/>
  <c r="AT2421" i="11"/>
  <c r="AU2420" i="11"/>
  <c r="AT2420" i="11"/>
  <c r="AU2419" i="11"/>
  <c r="AT2419" i="11"/>
  <c r="AU2418" i="11"/>
  <c r="AT2418" i="11"/>
  <c r="AU2417" i="11"/>
  <c r="AT2417" i="11"/>
  <c r="AU2416" i="11"/>
  <c r="AT2416" i="11"/>
  <c r="AU2415" i="11"/>
  <c r="AT2415" i="11"/>
  <c r="AU2414" i="11"/>
  <c r="AT2414" i="11"/>
  <c r="AU2413" i="11"/>
  <c r="AT2413" i="11"/>
  <c r="AU2412" i="11"/>
  <c r="AT2412" i="11"/>
  <c r="AU2411" i="11"/>
  <c r="AT2411" i="11"/>
  <c r="AU2410" i="11"/>
  <c r="AT2410" i="11"/>
  <c r="AU2409" i="11"/>
  <c r="AT2409" i="11"/>
  <c r="AU2408" i="11"/>
  <c r="AT2408" i="11"/>
  <c r="AU2407" i="11"/>
  <c r="AT2407" i="11"/>
  <c r="AU2406" i="11"/>
  <c r="AT2406" i="11"/>
  <c r="AU2405" i="11"/>
  <c r="AT2405" i="11"/>
  <c r="AU2404" i="11"/>
  <c r="AT2404" i="11"/>
  <c r="AU2403" i="11"/>
  <c r="AT2403" i="11"/>
  <c r="AU2402" i="11"/>
  <c r="AT2402" i="11"/>
  <c r="AU2401" i="11"/>
  <c r="AT2401" i="11"/>
  <c r="AU2400" i="11"/>
  <c r="AT2400" i="11"/>
  <c r="AU2399" i="11"/>
  <c r="AT2399" i="11"/>
  <c r="AU2398" i="11"/>
  <c r="AT2398" i="11"/>
  <c r="AU2397" i="11"/>
  <c r="AT2397" i="11"/>
  <c r="AU2396" i="11"/>
  <c r="AT2396" i="11"/>
  <c r="AU2395" i="11"/>
  <c r="AT2395" i="11"/>
  <c r="AU2394" i="11"/>
  <c r="AT2394" i="11"/>
  <c r="AU2393" i="11"/>
  <c r="AT2393" i="11"/>
  <c r="AU2392" i="11"/>
  <c r="AT2392" i="11"/>
  <c r="AU2391" i="11"/>
  <c r="AT2391" i="11"/>
  <c r="AU2390" i="11"/>
  <c r="AT2390" i="11"/>
  <c r="AU2389" i="11"/>
  <c r="AT2389" i="11"/>
  <c r="AU2388" i="11"/>
  <c r="AT2388" i="11"/>
  <c r="AU2387" i="11"/>
  <c r="AT2387" i="11"/>
  <c r="AU2386" i="11"/>
  <c r="AT2386" i="11"/>
  <c r="AU2385" i="11"/>
  <c r="AT2385" i="11"/>
  <c r="AU2384" i="11"/>
  <c r="AT2384" i="11"/>
  <c r="AU2383" i="11"/>
  <c r="AT2383" i="11"/>
  <c r="AU2382" i="11"/>
  <c r="AT2382" i="11"/>
  <c r="AU2381" i="11"/>
  <c r="AT2381" i="11"/>
  <c r="AU2380" i="11"/>
  <c r="AT2380" i="11"/>
  <c r="AU2379" i="11"/>
  <c r="AT2379" i="11"/>
  <c r="AU2378" i="11"/>
  <c r="AT2378" i="11"/>
  <c r="AU2377" i="11"/>
  <c r="AT2377" i="11"/>
  <c r="AU2376" i="11"/>
  <c r="AT2376" i="11"/>
  <c r="AU2375" i="11"/>
  <c r="AT2375" i="11"/>
  <c r="AU2374" i="11"/>
  <c r="AT2374" i="11"/>
  <c r="AU2373" i="11"/>
  <c r="AT2373" i="11"/>
  <c r="AU2372" i="11"/>
  <c r="AT2372" i="11"/>
  <c r="AU2371" i="11"/>
  <c r="AT2371" i="11"/>
  <c r="AU2370" i="11"/>
  <c r="AT2370" i="11"/>
  <c r="AU2369" i="11"/>
  <c r="AT2369" i="11"/>
  <c r="AU2368" i="11"/>
  <c r="AT2368" i="11"/>
  <c r="AU2367" i="11"/>
  <c r="AT2367" i="11"/>
  <c r="AU2366" i="11"/>
  <c r="AT2366" i="11"/>
  <c r="AU2365" i="11"/>
  <c r="AT2365" i="11"/>
  <c r="AU2364" i="11"/>
  <c r="AT2364" i="11"/>
  <c r="AU2363" i="11"/>
  <c r="AT2363" i="11"/>
  <c r="AU2362" i="11"/>
  <c r="AT2362" i="11"/>
  <c r="AU2361" i="11"/>
  <c r="AT2361" i="11"/>
  <c r="AU2360" i="11"/>
  <c r="AT2360" i="11"/>
  <c r="AU2359" i="11"/>
  <c r="AT2359" i="11"/>
  <c r="AU2358" i="11"/>
  <c r="AT2358" i="11"/>
  <c r="AU2357" i="11"/>
  <c r="AT2357" i="11"/>
  <c r="AU2356" i="11"/>
  <c r="AT2356" i="11"/>
  <c r="AU2355" i="11"/>
  <c r="AT2355" i="11"/>
  <c r="AU2354" i="11"/>
  <c r="AT2354" i="11"/>
  <c r="AU2353" i="11"/>
  <c r="AT2353" i="11"/>
  <c r="AU2352" i="11"/>
  <c r="AT2352" i="11"/>
  <c r="AU2351" i="11"/>
  <c r="AT2351" i="11"/>
  <c r="AU2350" i="11"/>
  <c r="AT2350" i="11"/>
  <c r="AU2349" i="11"/>
  <c r="AT2349" i="11"/>
  <c r="AU2348" i="11"/>
  <c r="AT2348" i="11"/>
  <c r="AU2347" i="11"/>
  <c r="AT2347" i="11"/>
  <c r="AU2346" i="11"/>
  <c r="AT2346" i="11"/>
  <c r="AU2345" i="11"/>
  <c r="AT2345" i="11"/>
  <c r="AU2344" i="11"/>
  <c r="AT2344" i="11"/>
  <c r="AU2343" i="11"/>
  <c r="AT2343" i="11"/>
  <c r="AU2342" i="11"/>
  <c r="AT2342" i="11"/>
  <c r="AU2341" i="11"/>
  <c r="AT2341" i="11"/>
  <c r="AU2340" i="11"/>
  <c r="AT2340" i="11"/>
  <c r="AU2339" i="11"/>
  <c r="AT2339" i="11"/>
  <c r="AU2338" i="11"/>
  <c r="AT2338" i="11"/>
  <c r="AU2337" i="11"/>
  <c r="AT2337" i="11"/>
  <c r="AU2336" i="11"/>
  <c r="AT2336" i="11"/>
  <c r="AU2335" i="11"/>
  <c r="AT2335" i="11"/>
  <c r="AU2334" i="11"/>
  <c r="AT2334" i="11"/>
  <c r="AU2333" i="11"/>
  <c r="AT2333" i="11"/>
  <c r="AU2332" i="11"/>
  <c r="AT2332" i="11"/>
  <c r="AU2331" i="11"/>
  <c r="AT2331" i="11"/>
  <c r="AU2330" i="11"/>
  <c r="AT2330" i="11"/>
  <c r="AU2329" i="11"/>
  <c r="AT2329" i="11"/>
  <c r="AU2328" i="11"/>
  <c r="AT2328" i="11"/>
  <c r="AU2327" i="11"/>
  <c r="AT2327" i="11"/>
  <c r="AU2326" i="11"/>
  <c r="AT2326" i="11"/>
  <c r="AU2325" i="11"/>
  <c r="AT2325" i="11"/>
  <c r="AU2324" i="11"/>
  <c r="AT2324" i="11"/>
  <c r="AU2323" i="11"/>
  <c r="AT2323" i="11"/>
  <c r="AU2322" i="11"/>
  <c r="AT2322" i="11"/>
  <c r="AU2321" i="11"/>
  <c r="AT2321" i="11"/>
  <c r="AU2320" i="11"/>
  <c r="AT2320" i="11"/>
  <c r="AU2319" i="11"/>
  <c r="AT2319" i="11"/>
  <c r="AU2318" i="11"/>
  <c r="AT2318" i="11"/>
  <c r="AU2317" i="11"/>
  <c r="AT2317" i="11"/>
  <c r="AU2316" i="11"/>
  <c r="AT2316" i="11"/>
  <c r="AU2315" i="11"/>
  <c r="AT2315" i="11"/>
  <c r="AU2314" i="11"/>
  <c r="AT2314" i="11"/>
  <c r="AU2313" i="11"/>
  <c r="AT2313" i="11"/>
  <c r="AU2312" i="11"/>
  <c r="AT2312" i="11"/>
  <c r="AU2311" i="11"/>
  <c r="AT2311" i="11"/>
  <c r="AU2310" i="11"/>
  <c r="AT2310" i="11"/>
  <c r="AU2309" i="11"/>
  <c r="AT2309" i="11"/>
  <c r="AU2308" i="11"/>
  <c r="AT2308" i="11"/>
  <c r="AU2307" i="11"/>
  <c r="AT2307" i="11"/>
  <c r="AU2306" i="11"/>
  <c r="AT2306" i="11"/>
  <c r="AU2305" i="11"/>
  <c r="AT2305" i="11"/>
  <c r="AU2304" i="11"/>
  <c r="AT2304" i="11"/>
  <c r="AU2303" i="11"/>
  <c r="AT2303" i="11"/>
  <c r="AU2302" i="11"/>
  <c r="AT2302" i="11"/>
  <c r="AU2301" i="11"/>
  <c r="AT2301" i="11"/>
  <c r="AU2300" i="11"/>
  <c r="AT2300" i="11"/>
  <c r="AU2299" i="11"/>
  <c r="AT2299" i="11"/>
  <c r="AU2298" i="11"/>
  <c r="AT2298" i="11"/>
  <c r="AU2297" i="11"/>
  <c r="AT2297" i="11"/>
  <c r="AU2296" i="11"/>
  <c r="AT2296" i="11"/>
  <c r="AU2295" i="11"/>
  <c r="AT2295" i="11"/>
  <c r="AU2294" i="11"/>
  <c r="AT2294" i="11"/>
  <c r="AU2293" i="11"/>
  <c r="AT2293" i="11"/>
  <c r="AU2292" i="11"/>
  <c r="AT2292" i="11"/>
  <c r="AU2291" i="11"/>
  <c r="AT2291" i="11"/>
  <c r="AU2290" i="11"/>
  <c r="AT2290" i="11"/>
  <c r="AU2289" i="11"/>
  <c r="AT2289" i="11"/>
  <c r="AU2288" i="11"/>
  <c r="AT2288" i="11"/>
  <c r="AU2287" i="11"/>
  <c r="AT2287" i="11"/>
  <c r="AU2286" i="11"/>
  <c r="AT2286" i="11"/>
  <c r="AU2285" i="11"/>
  <c r="AT2285" i="11"/>
  <c r="AU2284" i="11"/>
  <c r="AT2284" i="11"/>
  <c r="AU2283" i="11"/>
  <c r="AT2283" i="11"/>
  <c r="AU2282" i="11"/>
  <c r="AT2282" i="11"/>
  <c r="AU2281" i="11"/>
  <c r="AT2281" i="11"/>
  <c r="AU2280" i="11"/>
  <c r="AT2280" i="11"/>
  <c r="AU2279" i="11"/>
  <c r="AT2279" i="11"/>
  <c r="AU2278" i="11"/>
  <c r="AT2278" i="11"/>
  <c r="AU2277" i="11"/>
  <c r="AT2277" i="11"/>
  <c r="AU2276" i="11"/>
  <c r="AT2276" i="11"/>
  <c r="AU2275" i="11"/>
  <c r="AT2275" i="11"/>
  <c r="AU2274" i="11"/>
  <c r="AT2274" i="11"/>
  <c r="AU2273" i="11"/>
  <c r="AT2273" i="11"/>
  <c r="AU2272" i="11"/>
  <c r="AT2272" i="11"/>
  <c r="AU2271" i="11"/>
  <c r="AT2271" i="11"/>
  <c r="AU2270" i="11"/>
  <c r="AT2270" i="11"/>
  <c r="AU2269" i="11"/>
  <c r="AT2269" i="11"/>
  <c r="AU2268" i="11"/>
  <c r="AT2268" i="11"/>
  <c r="AU2267" i="11"/>
  <c r="AT2267" i="11"/>
  <c r="AU2266" i="11"/>
  <c r="AT2266" i="11"/>
  <c r="AU2265" i="11"/>
  <c r="AT2265" i="11"/>
  <c r="AU2264" i="11"/>
  <c r="AT2264" i="11"/>
  <c r="AU2263" i="11"/>
  <c r="AT2263" i="11"/>
  <c r="AU2262" i="11"/>
  <c r="AT2262" i="11"/>
  <c r="AU2261" i="11"/>
  <c r="AT2261" i="11"/>
  <c r="AU2260" i="11"/>
  <c r="AT2260" i="11"/>
  <c r="AU2259" i="11"/>
  <c r="AT2259" i="11"/>
  <c r="AU2258" i="11"/>
  <c r="AT2258" i="11"/>
  <c r="AU2257" i="11"/>
  <c r="AT2257" i="11"/>
  <c r="AU2256" i="11"/>
  <c r="AT2256" i="11"/>
  <c r="AU2255" i="11"/>
  <c r="AT2255" i="11"/>
  <c r="AU2254" i="11"/>
  <c r="AT2254" i="11"/>
  <c r="AU2253" i="11"/>
  <c r="AT2253" i="11"/>
  <c r="AU2252" i="11"/>
  <c r="AT2252" i="11"/>
  <c r="AU2251" i="11"/>
  <c r="AT2251" i="11"/>
  <c r="AU2250" i="11"/>
  <c r="AT2250" i="11"/>
  <c r="AU2249" i="11"/>
  <c r="AT2249" i="11"/>
  <c r="AU2248" i="11"/>
  <c r="AT2248" i="11"/>
  <c r="AU2247" i="11"/>
  <c r="AT2247" i="11"/>
  <c r="AU2246" i="11"/>
  <c r="AT2246" i="11"/>
  <c r="AU2245" i="11"/>
  <c r="AT2245" i="11"/>
  <c r="AU2244" i="11"/>
  <c r="AT2244" i="11"/>
  <c r="AU2243" i="11"/>
  <c r="AT2243" i="11"/>
  <c r="AU2242" i="11"/>
  <c r="AT2242" i="11"/>
  <c r="AU2241" i="11"/>
  <c r="AT2241" i="11"/>
  <c r="AU2240" i="11"/>
  <c r="AT2240" i="11"/>
  <c r="AU2239" i="11"/>
  <c r="AT2239" i="11"/>
  <c r="AU2238" i="11"/>
  <c r="AT2238" i="11"/>
  <c r="AU2237" i="11"/>
  <c r="AT2237" i="11"/>
  <c r="AU2236" i="11"/>
  <c r="AT2236" i="11"/>
  <c r="AU2235" i="11"/>
  <c r="AT2235" i="11"/>
  <c r="AU2234" i="11"/>
  <c r="AT2234" i="11"/>
  <c r="AU2233" i="11"/>
  <c r="AT2233" i="11"/>
  <c r="AU2232" i="11"/>
  <c r="AT2232" i="11"/>
  <c r="AU2231" i="11"/>
  <c r="AT2231" i="11"/>
  <c r="AU2230" i="11"/>
  <c r="AT2230" i="11"/>
  <c r="AU2229" i="11"/>
  <c r="AT2229" i="11"/>
  <c r="AU2228" i="11"/>
  <c r="AT2228" i="11"/>
  <c r="AU2227" i="11"/>
  <c r="AT2227" i="11"/>
  <c r="AU2226" i="11"/>
  <c r="AT2226" i="11"/>
  <c r="AU2225" i="11"/>
  <c r="AT2225" i="11"/>
  <c r="AU2224" i="11"/>
  <c r="AT2224" i="11"/>
  <c r="AU2223" i="11"/>
  <c r="AT2223" i="11"/>
  <c r="AU2222" i="11"/>
  <c r="AT2222" i="11"/>
  <c r="AU2221" i="11"/>
  <c r="AT2221" i="11"/>
  <c r="AU2220" i="11"/>
  <c r="AT2220" i="11"/>
  <c r="AU2219" i="11"/>
  <c r="AT2219" i="11"/>
  <c r="AU2218" i="11"/>
  <c r="AT2218" i="11"/>
  <c r="AU2217" i="11"/>
  <c r="AT2217" i="11"/>
  <c r="AU2216" i="11"/>
  <c r="AT2216" i="11"/>
  <c r="AU2215" i="11"/>
  <c r="AT2215" i="11"/>
  <c r="AU2214" i="11"/>
  <c r="AT2214" i="11"/>
  <c r="AU2213" i="11"/>
  <c r="AT2213" i="11"/>
  <c r="AU2212" i="11"/>
  <c r="AT2212" i="11"/>
  <c r="AU2211" i="11"/>
  <c r="AT2211" i="11"/>
  <c r="AU2210" i="11"/>
  <c r="AT2210" i="11"/>
  <c r="AU2209" i="11"/>
  <c r="AT2209" i="11"/>
  <c r="AU2208" i="11"/>
  <c r="AT2208" i="11"/>
  <c r="AU2207" i="11"/>
  <c r="AT2207" i="11"/>
  <c r="AU2206" i="11"/>
  <c r="AT2206" i="11"/>
  <c r="AU2205" i="11"/>
  <c r="AT2205" i="11"/>
  <c r="AU2204" i="11"/>
  <c r="AT2204" i="11"/>
  <c r="AU2203" i="11"/>
  <c r="AT2203" i="11"/>
  <c r="AU2202" i="11"/>
  <c r="AT2202" i="11"/>
  <c r="AU2201" i="11"/>
  <c r="AT2201" i="11"/>
  <c r="AU2200" i="11"/>
  <c r="AT2200" i="11"/>
  <c r="AU2199" i="11"/>
  <c r="AT2199" i="11"/>
  <c r="AU2198" i="11"/>
  <c r="AT2198" i="11"/>
  <c r="AU2197" i="11"/>
  <c r="AT2197" i="11"/>
  <c r="AU2196" i="11"/>
  <c r="AT2196" i="11"/>
  <c r="AU2195" i="11"/>
  <c r="AT2195" i="11"/>
  <c r="AU2194" i="11"/>
  <c r="AT2194" i="11"/>
  <c r="AU2193" i="11"/>
  <c r="AT2193" i="11"/>
  <c r="AU2192" i="11"/>
  <c r="AT2192" i="11"/>
  <c r="AU2191" i="11"/>
  <c r="AT2191" i="11"/>
  <c r="AU2190" i="11"/>
  <c r="AT2190" i="11"/>
  <c r="AU2189" i="11"/>
  <c r="AT2189" i="11"/>
  <c r="AU2188" i="11"/>
  <c r="AT2188" i="11"/>
  <c r="AU2187" i="11"/>
  <c r="AT2187" i="11"/>
  <c r="AU2186" i="11"/>
  <c r="AT2186" i="11"/>
  <c r="AU2185" i="11"/>
  <c r="AT2185" i="11"/>
  <c r="AU2184" i="11"/>
  <c r="AT2184" i="11"/>
  <c r="AU2183" i="11"/>
  <c r="AT2183" i="11"/>
  <c r="AU2182" i="11"/>
  <c r="AT2182" i="11"/>
  <c r="AU2181" i="11"/>
  <c r="AT2181" i="11"/>
  <c r="AU2180" i="11"/>
  <c r="AT2180" i="11"/>
  <c r="AU2179" i="11"/>
  <c r="AT2179" i="11"/>
  <c r="AU2178" i="11"/>
  <c r="AT2178" i="11"/>
  <c r="AU2177" i="11"/>
  <c r="AT2177" i="11"/>
  <c r="AU2176" i="11"/>
  <c r="AT2176" i="11"/>
  <c r="AU2175" i="11"/>
  <c r="AT2175" i="11"/>
  <c r="AU2174" i="11"/>
  <c r="AT2174" i="11"/>
  <c r="AU2173" i="11"/>
  <c r="AT2173" i="11"/>
  <c r="AU2172" i="11"/>
  <c r="AT2172" i="11"/>
  <c r="AU2171" i="11"/>
  <c r="AT2171" i="11"/>
  <c r="AU2170" i="11"/>
  <c r="AT2170" i="11"/>
  <c r="AU2169" i="11"/>
  <c r="AT2169" i="11"/>
  <c r="AU2168" i="11"/>
  <c r="AT2168" i="11"/>
  <c r="AU2167" i="11"/>
  <c r="AT2167" i="11"/>
  <c r="AU2166" i="11"/>
  <c r="AT2166" i="11"/>
  <c r="AU2165" i="11"/>
  <c r="AT2165" i="11"/>
  <c r="AU2164" i="11"/>
  <c r="AT2164" i="11"/>
  <c r="AU2163" i="11"/>
  <c r="AT2163" i="11"/>
  <c r="AU2162" i="11"/>
  <c r="AT2162" i="11"/>
  <c r="AU2161" i="11"/>
  <c r="AT2161" i="11"/>
  <c r="AU2160" i="11"/>
  <c r="AT2160" i="11"/>
  <c r="AU2159" i="11"/>
  <c r="AT2159" i="11"/>
  <c r="AU2158" i="11"/>
  <c r="AT2158" i="11"/>
  <c r="AU2157" i="11"/>
  <c r="AT2157" i="11"/>
  <c r="AU2156" i="11"/>
  <c r="AT2156" i="11"/>
  <c r="AU2155" i="11"/>
  <c r="AT2155" i="11"/>
  <c r="AU2154" i="11"/>
  <c r="AT2154" i="11"/>
  <c r="AU2153" i="11"/>
  <c r="AT2153" i="11"/>
  <c r="AU2152" i="11"/>
  <c r="AT2152" i="11"/>
  <c r="AU2151" i="11"/>
  <c r="AT2151" i="11"/>
  <c r="AU2150" i="11"/>
  <c r="AT2150" i="11"/>
  <c r="AU2149" i="11"/>
  <c r="AT2149" i="11"/>
  <c r="AU2148" i="11"/>
  <c r="AT2148" i="11"/>
  <c r="AU2147" i="11"/>
  <c r="AT2147" i="11"/>
  <c r="AU2146" i="11"/>
  <c r="AT2146" i="11"/>
  <c r="AU2145" i="11"/>
  <c r="AT2145" i="11"/>
  <c r="AU2144" i="11"/>
  <c r="AT2144" i="11"/>
  <c r="AU2143" i="11"/>
  <c r="AT2143" i="11"/>
  <c r="AU2142" i="11"/>
  <c r="AT2142" i="11"/>
  <c r="AU2141" i="11"/>
  <c r="AT2141" i="11"/>
  <c r="AU2140" i="11"/>
  <c r="AT2140" i="11"/>
  <c r="AU2139" i="11"/>
  <c r="AT2139" i="11"/>
  <c r="AU2138" i="11"/>
  <c r="AT2138" i="11"/>
  <c r="AU2137" i="11"/>
  <c r="AT2137" i="11"/>
  <c r="AU2136" i="11"/>
  <c r="AT2136" i="11"/>
  <c r="AU2135" i="11"/>
  <c r="AT2135" i="11"/>
  <c r="AU2134" i="11"/>
  <c r="AT2134" i="11"/>
  <c r="AU2133" i="11"/>
  <c r="AT2133" i="11"/>
  <c r="AU2132" i="11"/>
  <c r="AT2132" i="11"/>
  <c r="AU2131" i="11"/>
  <c r="AT2131" i="11"/>
  <c r="AU2130" i="11"/>
  <c r="AT2130" i="11"/>
  <c r="AU2129" i="11"/>
  <c r="AT2129" i="11"/>
  <c r="AU2128" i="11"/>
  <c r="AT2128" i="11"/>
  <c r="AU2127" i="11"/>
  <c r="AT2127" i="11"/>
  <c r="AU2126" i="11"/>
  <c r="AT2126" i="11"/>
  <c r="AU2125" i="11"/>
  <c r="AT2125" i="11"/>
  <c r="AU2124" i="11"/>
  <c r="AT2124" i="11"/>
  <c r="AU2123" i="11"/>
  <c r="AT2123" i="11"/>
  <c r="AU2122" i="11"/>
  <c r="AT2122" i="11"/>
  <c r="AU2121" i="11"/>
  <c r="AT2121" i="11"/>
  <c r="AU2120" i="11"/>
  <c r="AT2120" i="11"/>
  <c r="AU2119" i="11"/>
  <c r="AT2119" i="11"/>
  <c r="AU2118" i="11"/>
  <c r="AT2118" i="11"/>
  <c r="AU2117" i="11"/>
  <c r="AT2117" i="11"/>
  <c r="AU2116" i="11"/>
  <c r="AT2116" i="11"/>
  <c r="AU2115" i="11"/>
  <c r="AT2115" i="11"/>
  <c r="AU2114" i="11"/>
  <c r="AT2114" i="11"/>
  <c r="AU2113" i="11"/>
  <c r="AT2113" i="11"/>
  <c r="AU2112" i="11"/>
  <c r="AT2112" i="11"/>
  <c r="AU2111" i="11"/>
  <c r="AT2111" i="11"/>
  <c r="AU2110" i="11"/>
  <c r="AT2110" i="11"/>
  <c r="AU2109" i="11"/>
  <c r="AT2109" i="11"/>
  <c r="AU2108" i="11"/>
  <c r="AT2108" i="11"/>
  <c r="AU2107" i="11"/>
  <c r="AT2107" i="11"/>
  <c r="AU2106" i="11"/>
  <c r="AT2106" i="11"/>
  <c r="AU2105" i="11"/>
  <c r="AT2105" i="11"/>
  <c r="AU2104" i="11"/>
  <c r="AT2104" i="11"/>
  <c r="AU2103" i="11"/>
  <c r="AT2103" i="11"/>
  <c r="AU2102" i="11"/>
  <c r="AT2102" i="11"/>
  <c r="AU2101" i="11"/>
  <c r="AT2101" i="11"/>
  <c r="AU2100" i="11"/>
  <c r="AT2100" i="11"/>
  <c r="AU2099" i="11"/>
  <c r="AT2099" i="11"/>
  <c r="AU2098" i="11"/>
  <c r="AT2098" i="11"/>
  <c r="AU2097" i="11"/>
  <c r="AT2097" i="11"/>
  <c r="AU2096" i="11"/>
  <c r="AT2096" i="11"/>
  <c r="AU2095" i="11"/>
  <c r="AT2095" i="11"/>
  <c r="AU2094" i="11"/>
  <c r="AT2094" i="11"/>
  <c r="AU2093" i="11"/>
  <c r="AT2093" i="11"/>
  <c r="AU2092" i="11"/>
  <c r="AT2092" i="11"/>
  <c r="AU2091" i="11"/>
  <c r="AT2091" i="11"/>
  <c r="AU2090" i="11"/>
  <c r="AT2090" i="11"/>
  <c r="AU2089" i="11"/>
  <c r="AT2089" i="11"/>
  <c r="AU2088" i="11"/>
  <c r="AT2088" i="11"/>
  <c r="AU2087" i="11"/>
  <c r="AT2087" i="11"/>
  <c r="AU2086" i="11"/>
  <c r="AT2086" i="11"/>
  <c r="AU2085" i="11"/>
  <c r="AT2085" i="11"/>
  <c r="AU2084" i="11"/>
  <c r="AT2084" i="11"/>
  <c r="AU2083" i="11"/>
  <c r="AT2083" i="11"/>
  <c r="AU2082" i="11"/>
  <c r="AT2082" i="11"/>
  <c r="AU2081" i="11"/>
  <c r="AT2081" i="11"/>
  <c r="AU2080" i="11"/>
  <c r="AT2080" i="11"/>
  <c r="AU2079" i="11"/>
  <c r="AT2079" i="11"/>
  <c r="AU2078" i="11"/>
  <c r="AT2078" i="11"/>
  <c r="AU2077" i="11"/>
  <c r="AT2077" i="11"/>
  <c r="AU2076" i="11"/>
  <c r="AT2076" i="11"/>
  <c r="AU2075" i="11"/>
  <c r="AT2075" i="11"/>
  <c r="AU2074" i="11"/>
  <c r="AT2074" i="11"/>
  <c r="AU2073" i="11"/>
  <c r="AT2073" i="11"/>
  <c r="AU2072" i="11"/>
  <c r="AT2072" i="11"/>
  <c r="AU2071" i="11"/>
  <c r="AT2071" i="11"/>
  <c r="AU2070" i="11"/>
  <c r="AT2070" i="11"/>
  <c r="AU2069" i="11"/>
  <c r="AT2069" i="11"/>
  <c r="AU2068" i="11"/>
  <c r="AT2068" i="11"/>
  <c r="AU2067" i="11"/>
  <c r="AT2067" i="11"/>
  <c r="AU2066" i="11"/>
  <c r="AT2066" i="11"/>
  <c r="AU2065" i="11"/>
  <c r="AT2065" i="11"/>
  <c r="AU2064" i="11"/>
  <c r="AT2064" i="11"/>
  <c r="AU2063" i="11"/>
  <c r="AT2063" i="11"/>
  <c r="AU2062" i="11"/>
  <c r="AT2062" i="11"/>
  <c r="AU2061" i="11"/>
  <c r="AT2061" i="11"/>
  <c r="AU2060" i="11"/>
  <c r="AT2060" i="11"/>
  <c r="AU2059" i="11"/>
  <c r="AT2059" i="11"/>
  <c r="AU2058" i="11"/>
  <c r="AT2058" i="11"/>
  <c r="AU2057" i="11"/>
  <c r="AT2057" i="11"/>
  <c r="AU2056" i="11"/>
  <c r="AT2056" i="11"/>
  <c r="AU2055" i="11"/>
  <c r="AT2055" i="11"/>
  <c r="AU2054" i="11"/>
  <c r="AT2054" i="11"/>
  <c r="AU2053" i="11"/>
  <c r="AT2053" i="11"/>
  <c r="AU2052" i="11"/>
  <c r="AT2052" i="11"/>
  <c r="AU2051" i="11"/>
  <c r="AT2051" i="11"/>
  <c r="AU2050" i="11"/>
  <c r="AT2050" i="11"/>
  <c r="AU2049" i="11"/>
  <c r="AT2049" i="11"/>
  <c r="AU2048" i="11"/>
  <c r="AT2048" i="11"/>
  <c r="AU2047" i="11"/>
  <c r="AT2047" i="11"/>
  <c r="AU2046" i="11"/>
  <c r="AT2046" i="11"/>
  <c r="AU2045" i="11"/>
  <c r="AT2045" i="11"/>
  <c r="AU2044" i="11"/>
  <c r="AT2044" i="11"/>
  <c r="AU2043" i="11"/>
  <c r="AT2043" i="11"/>
  <c r="AU2042" i="11"/>
  <c r="AT2042" i="11"/>
  <c r="AU2041" i="11"/>
  <c r="AT2041" i="11"/>
  <c r="AU2040" i="11"/>
  <c r="AT2040" i="11"/>
  <c r="AU2039" i="11"/>
  <c r="AT2039" i="11"/>
  <c r="AU2038" i="11"/>
  <c r="AT2038" i="11"/>
  <c r="AU2037" i="11"/>
  <c r="AT2037" i="11"/>
  <c r="AU2036" i="11"/>
  <c r="AT2036" i="11"/>
  <c r="AU2035" i="11"/>
  <c r="AT2035" i="11"/>
  <c r="AU2034" i="11"/>
  <c r="AT2034" i="11"/>
  <c r="AU2033" i="11"/>
  <c r="AT2033" i="11"/>
  <c r="AU2032" i="11"/>
  <c r="AT2032" i="11"/>
  <c r="AU2031" i="11"/>
  <c r="AT2031" i="11"/>
  <c r="AU2030" i="11"/>
  <c r="AT2030" i="11"/>
  <c r="AU2029" i="11"/>
  <c r="AT2029" i="11"/>
  <c r="AU2028" i="11"/>
  <c r="AT2028" i="11"/>
  <c r="AU2027" i="11"/>
  <c r="AT2027" i="11"/>
  <c r="AU2026" i="11"/>
  <c r="AT2026" i="11"/>
  <c r="AU2025" i="11"/>
  <c r="AT2025" i="11"/>
  <c r="AU2024" i="11"/>
  <c r="AT2024" i="11"/>
  <c r="AU2023" i="11"/>
  <c r="AT2023" i="11"/>
  <c r="AU2022" i="11"/>
  <c r="AT2022" i="11"/>
  <c r="AU2021" i="11"/>
  <c r="AT2021" i="11"/>
  <c r="AU2020" i="11"/>
  <c r="AT2020" i="11"/>
  <c r="AU2019" i="11"/>
  <c r="AT2019" i="11"/>
  <c r="AU2018" i="11"/>
  <c r="AT2018" i="11"/>
  <c r="AU2017" i="11"/>
  <c r="AT2017" i="11"/>
  <c r="AU2016" i="11"/>
  <c r="AT2016" i="11"/>
  <c r="AU2015" i="11"/>
  <c r="AT2015" i="11"/>
  <c r="AU2014" i="11"/>
  <c r="AT2014" i="11"/>
  <c r="AU2013" i="11"/>
  <c r="AT2013" i="11"/>
  <c r="AU2012" i="11"/>
  <c r="AT2012" i="11"/>
  <c r="AU2011" i="11"/>
  <c r="AT2011" i="11"/>
  <c r="AU2010" i="11"/>
  <c r="AT2010" i="11"/>
  <c r="AU2009" i="11"/>
  <c r="AT2009" i="11"/>
  <c r="AU2008" i="11"/>
  <c r="AT2008" i="11"/>
  <c r="AU2007" i="11"/>
  <c r="AT2007" i="11"/>
  <c r="AU2006" i="11"/>
  <c r="AT2006" i="11"/>
  <c r="AU2005" i="11"/>
  <c r="AT2005" i="11"/>
  <c r="AU2004" i="11"/>
  <c r="AT2004" i="11"/>
  <c r="AU2003" i="11"/>
  <c r="AT2003" i="11"/>
  <c r="AU2002" i="11"/>
  <c r="AT2002" i="11"/>
  <c r="AU2001" i="11"/>
  <c r="AT2001" i="11"/>
  <c r="AU2000" i="11"/>
  <c r="AT2000" i="11"/>
  <c r="AU1999" i="11"/>
  <c r="AT1999" i="11"/>
  <c r="AU1998" i="11"/>
  <c r="AT1998" i="11"/>
  <c r="AU1997" i="11"/>
  <c r="AT1997" i="11"/>
  <c r="AU1996" i="11"/>
  <c r="AT1996" i="11"/>
  <c r="AU1995" i="11"/>
  <c r="AT1995" i="11"/>
  <c r="AU1994" i="11"/>
  <c r="AT1994" i="11"/>
  <c r="AU1993" i="11"/>
  <c r="AT1993" i="11"/>
  <c r="AU1992" i="11"/>
  <c r="AT1992" i="11"/>
  <c r="AU1991" i="11"/>
  <c r="AT1991" i="11"/>
  <c r="AU1990" i="11"/>
  <c r="AT1990" i="11"/>
  <c r="AU1989" i="11"/>
  <c r="AT1989" i="11"/>
  <c r="AU1988" i="11"/>
  <c r="AT1988" i="11"/>
  <c r="AU1987" i="11"/>
  <c r="AT1987" i="11"/>
  <c r="AU1986" i="11"/>
  <c r="AT1986" i="11"/>
  <c r="AU1985" i="11"/>
  <c r="AT1985" i="11"/>
  <c r="AU1984" i="11"/>
  <c r="AT1984" i="11"/>
  <c r="AU1983" i="11"/>
  <c r="AT1983" i="11"/>
  <c r="AU1982" i="11"/>
  <c r="AT1982" i="11"/>
  <c r="AU1981" i="11"/>
  <c r="AT1981" i="11"/>
  <c r="AU1980" i="11"/>
  <c r="AT1980" i="11"/>
  <c r="AU1979" i="11"/>
  <c r="AT1979" i="11"/>
  <c r="AU1978" i="11"/>
  <c r="AT1978" i="11"/>
  <c r="AU1977" i="11"/>
  <c r="AT1977" i="11"/>
  <c r="AU1976" i="11"/>
  <c r="AT1976" i="11"/>
  <c r="AU1975" i="11"/>
  <c r="AT1975" i="11"/>
  <c r="AU1974" i="11"/>
  <c r="AT1974" i="11"/>
  <c r="AU1973" i="11"/>
  <c r="AT1973" i="11"/>
  <c r="AU1972" i="11"/>
  <c r="AT1972" i="11"/>
  <c r="AU1971" i="11"/>
  <c r="AT1971" i="11"/>
  <c r="AU1970" i="11"/>
  <c r="AT1970" i="11"/>
  <c r="AU1969" i="11"/>
  <c r="AT1969" i="11"/>
  <c r="AU1968" i="11"/>
  <c r="AT1968" i="11"/>
  <c r="AU1967" i="11"/>
  <c r="AT1967" i="11"/>
  <c r="AU1966" i="11"/>
  <c r="AT1966" i="11"/>
  <c r="AU1965" i="11"/>
  <c r="AT1965" i="11"/>
  <c r="AU1964" i="11"/>
  <c r="AT1964" i="11"/>
  <c r="AU1963" i="11"/>
  <c r="AT1963" i="11"/>
  <c r="AU1962" i="11"/>
  <c r="AT1962" i="11"/>
  <c r="AU1961" i="11"/>
  <c r="AT1961" i="11"/>
  <c r="AU1960" i="11"/>
  <c r="AT1960" i="11"/>
  <c r="AU1959" i="11"/>
  <c r="AT1959" i="11"/>
  <c r="AU1958" i="11"/>
  <c r="AT1958" i="11"/>
  <c r="AU1957" i="11"/>
  <c r="AT1957" i="11"/>
  <c r="AU1956" i="11"/>
  <c r="AT1956" i="11"/>
  <c r="AU1955" i="11"/>
  <c r="AT1955" i="11"/>
  <c r="AU1954" i="11"/>
  <c r="AT1954" i="11"/>
  <c r="AU1953" i="11"/>
  <c r="AT1953" i="11"/>
  <c r="AU1952" i="11"/>
  <c r="AT1952" i="11"/>
  <c r="AU1951" i="11"/>
  <c r="AT1951" i="11"/>
  <c r="AU1950" i="11"/>
  <c r="AT1950" i="11"/>
  <c r="AU1949" i="11"/>
  <c r="AT1949" i="11"/>
  <c r="AU1948" i="11"/>
  <c r="AT1948" i="11"/>
  <c r="AU1947" i="11"/>
  <c r="AT1947" i="11"/>
  <c r="AU1946" i="11"/>
  <c r="AT1946" i="11"/>
  <c r="AU1945" i="11"/>
  <c r="AT1945" i="11"/>
  <c r="AU1944" i="11"/>
  <c r="AT1944" i="11"/>
  <c r="AU1943" i="11"/>
  <c r="AT1943" i="11"/>
  <c r="AU1942" i="11"/>
  <c r="AT1942" i="11"/>
  <c r="AU1941" i="11"/>
  <c r="AT1941" i="11"/>
  <c r="AU1940" i="11"/>
  <c r="AT1940" i="11"/>
  <c r="AU1939" i="11"/>
  <c r="AT1939" i="11"/>
  <c r="AU1938" i="11"/>
  <c r="AT1938" i="11"/>
  <c r="AU1937" i="11"/>
  <c r="AT1937" i="11"/>
  <c r="AU1936" i="11"/>
  <c r="AT1936" i="11"/>
  <c r="AU1935" i="11"/>
  <c r="AT1935" i="11"/>
  <c r="AU1934" i="11"/>
  <c r="AT1934" i="11"/>
  <c r="AU1933" i="11"/>
  <c r="AT1933" i="11"/>
  <c r="AU1932" i="11"/>
  <c r="AT1932" i="11"/>
  <c r="AU1931" i="11"/>
  <c r="AT1931" i="11"/>
  <c r="AU1930" i="11"/>
  <c r="AT1930" i="11"/>
  <c r="AU1929" i="11"/>
  <c r="AT1929" i="11"/>
  <c r="AU1928" i="11"/>
  <c r="AT1928" i="11"/>
  <c r="AU1927" i="11"/>
  <c r="AT1927" i="11"/>
  <c r="AU1926" i="11"/>
  <c r="AT1926" i="11"/>
  <c r="AU1925" i="11"/>
  <c r="AT1925" i="11"/>
  <c r="AU1924" i="11"/>
  <c r="AT1924" i="11"/>
  <c r="AU1923" i="11"/>
  <c r="AT1923" i="11"/>
  <c r="AU1922" i="11"/>
  <c r="AT1922" i="11"/>
  <c r="AU1921" i="11"/>
  <c r="AT1921" i="11"/>
  <c r="AU1920" i="11"/>
  <c r="AT1920" i="11"/>
  <c r="AU1919" i="11"/>
  <c r="AT1919" i="11"/>
  <c r="AU1918" i="11"/>
  <c r="AT1918" i="11"/>
  <c r="AU1917" i="11"/>
  <c r="AT1917" i="11"/>
  <c r="AU1916" i="11"/>
  <c r="AT1916" i="11"/>
  <c r="AU1915" i="11"/>
  <c r="AT1915" i="11"/>
  <c r="AU1914" i="11"/>
  <c r="AT1914" i="11"/>
  <c r="AU1913" i="11"/>
  <c r="AT1913" i="11"/>
  <c r="AU1912" i="11"/>
  <c r="AT1912" i="11"/>
  <c r="AU1911" i="11"/>
  <c r="AT1911" i="11"/>
  <c r="AU1910" i="11"/>
  <c r="AT1910" i="11"/>
  <c r="AU1909" i="11"/>
  <c r="AT1909" i="11"/>
  <c r="AU1908" i="11"/>
  <c r="AT1908" i="11"/>
  <c r="AU1907" i="11"/>
  <c r="AT1907" i="11"/>
  <c r="AU1906" i="11"/>
  <c r="AT1906" i="11"/>
  <c r="AU1905" i="11"/>
  <c r="AT1905" i="11"/>
  <c r="AU1904" i="11"/>
  <c r="AT1904" i="11"/>
  <c r="AU1903" i="11"/>
  <c r="AT1903" i="11"/>
  <c r="AU1902" i="11"/>
  <c r="AT1902" i="11"/>
  <c r="AU1901" i="11"/>
  <c r="AT1901" i="11"/>
  <c r="AU1900" i="11"/>
  <c r="AT1900" i="11"/>
  <c r="AU1899" i="11"/>
  <c r="AT1899" i="11"/>
  <c r="AU1898" i="11"/>
  <c r="AT1898" i="11"/>
  <c r="AU1897" i="11"/>
  <c r="AT1897" i="11"/>
  <c r="AU1896" i="11"/>
  <c r="AT1896" i="11"/>
  <c r="AU1895" i="11"/>
  <c r="AT1895" i="11"/>
  <c r="AU1894" i="11"/>
  <c r="AT1894" i="11"/>
  <c r="AU1893" i="11"/>
  <c r="AT1893" i="11"/>
  <c r="AU1892" i="11"/>
  <c r="AT1892" i="11"/>
  <c r="AU1891" i="11"/>
  <c r="AT1891" i="11"/>
  <c r="AU1890" i="11"/>
  <c r="AT1890" i="11"/>
  <c r="AU1889" i="11"/>
  <c r="AT1889" i="11"/>
  <c r="AU1888" i="11"/>
  <c r="AT1888" i="11"/>
  <c r="AU1887" i="11"/>
  <c r="AT1887" i="11"/>
  <c r="AU1886" i="11"/>
  <c r="AT1886" i="11"/>
  <c r="AU1885" i="11"/>
  <c r="AT1885" i="11"/>
  <c r="AU1884" i="11"/>
  <c r="AT1884" i="11"/>
  <c r="AU1883" i="11"/>
  <c r="AT1883" i="11"/>
  <c r="AU1882" i="11"/>
  <c r="AT1882" i="11"/>
  <c r="AU1881" i="11"/>
  <c r="AT1881" i="11"/>
  <c r="AU1880" i="11"/>
  <c r="AT1880" i="11"/>
  <c r="AU1879" i="11"/>
  <c r="AT1879" i="11"/>
  <c r="AU1878" i="11"/>
  <c r="AT1878" i="11"/>
  <c r="AU1877" i="11"/>
  <c r="AT1877" i="11"/>
  <c r="AU1876" i="11"/>
  <c r="AT1876" i="11"/>
  <c r="AU1875" i="11"/>
  <c r="AT1875" i="11"/>
  <c r="AU1874" i="11"/>
  <c r="AT1874" i="11"/>
  <c r="AU1873" i="11"/>
  <c r="AT1873" i="11"/>
  <c r="AU1872" i="11"/>
  <c r="AT1872" i="11"/>
  <c r="AU1871" i="11"/>
  <c r="AT1871" i="11"/>
  <c r="AU1870" i="11"/>
  <c r="AT1870" i="11"/>
  <c r="AU1869" i="11"/>
  <c r="AT1869" i="11"/>
  <c r="AU1868" i="11"/>
  <c r="AT1868" i="11"/>
  <c r="AU1867" i="11"/>
  <c r="AT1867" i="11"/>
  <c r="AU1866" i="11"/>
  <c r="AT1866" i="11"/>
  <c r="AU1865" i="11"/>
  <c r="AT1865" i="11"/>
  <c r="AU1864" i="11"/>
  <c r="AT1864" i="11"/>
  <c r="AU1863" i="11"/>
  <c r="AT1863" i="11"/>
  <c r="AU1862" i="11"/>
  <c r="AT1862" i="11"/>
  <c r="AU1861" i="11"/>
  <c r="AT1861" i="11"/>
  <c r="AU1860" i="11"/>
  <c r="AT1860" i="11"/>
  <c r="AU1859" i="11"/>
  <c r="AT1859" i="11"/>
  <c r="AU1858" i="11"/>
  <c r="AT1858" i="11"/>
  <c r="AU1857" i="11"/>
  <c r="AT1857" i="11"/>
  <c r="AU1856" i="11"/>
  <c r="AT1856" i="11"/>
  <c r="AU1855" i="11"/>
  <c r="AT1855" i="11"/>
  <c r="AU1854" i="11"/>
  <c r="AT1854" i="11"/>
  <c r="AU1853" i="11"/>
  <c r="AT1853" i="11"/>
  <c r="AU1852" i="11"/>
  <c r="AT1852" i="11"/>
  <c r="AU1851" i="11"/>
  <c r="AT1851" i="11"/>
  <c r="AU1850" i="11"/>
  <c r="AT1850" i="11"/>
  <c r="AU1849" i="11"/>
  <c r="AT1849" i="11"/>
  <c r="AU1848" i="11"/>
  <c r="AT1848" i="11"/>
  <c r="AU1847" i="11"/>
  <c r="AT1847" i="11"/>
  <c r="AU1846" i="11"/>
  <c r="AT1846" i="11"/>
  <c r="AU1845" i="11"/>
  <c r="AT1845" i="11"/>
  <c r="AU1844" i="11"/>
  <c r="AT1844" i="11"/>
  <c r="AU1843" i="11"/>
  <c r="AT1843" i="11"/>
  <c r="AU1842" i="11"/>
  <c r="AT1842" i="11"/>
  <c r="AU1841" i="11"/>
  <c r="AT1841" i="11"/>
  <c r="AU1840" i="11"/>
  <c r="AT1840" i="11"/>
  <c r="AU1839" i="11"/>
  <c r="AT1839" i="11"/>
  <c r="AU1838" i="11"/>
  <c r="AT1838" i="11"/>
  <c r="AU1837" i="11"/>
  <c r="AT1837" i="11"/>
  <c r="AU1836" i="11"/>
  <c r="AT1836" i="11"/>
  <c r="AU1835" i="11"/>
  <c r="AT1835" i="11"/>
  <c r="AU1834" i="11"/>
  <c r="AT1834" i="11"/>
  <c r="AU1833" i="11"/>
  <c r="AT1833" i="11"/>
  <c r="AU1832" i="11"/>
  <c r="AT1832" i="11"/>
  <c r="AU1831" i="11"/>
  <c r="AT1831" i="11"/>
  <c r="AU1830" i="11"/>
  <c r="AT1830" i="11"/>
  <c r="AU1829" i="11"/>
  <c r="AT1829" i="11"/>
  <c r="AU1828" i="11"/>
  <c r="AT1828" i="11"/>
  <c r="AU1827" i="11"/>
  <c r="AT1827" i="11"/>
  <c r="AU1826" i="11"/>
  <c r="AT1826" i="11"/>
  <c r="AU1825" i="11"/>
  <c r="AT1825" i="11"/>
  <c r="AU1824" i="11"/>
  <c r="AT1824" i="11"/>
  <c r="AU1823" i="11"/>
  <c r="AT1823" i="11"/>
  <c r="AU1822" i="11"/>
  <c r="AT1822" i="11"/>
  <c r="AU1821" i="11"/>
  <c r="AT1821" i="11"/>
  <c r="AU1820" i="11"/>
  <c r="AT1820" i="11"/>
  <c r="AU1819" i="11"/>
  <c r="AT1819" i="11"/>
  <c r="AU1818" i="11"/>
  <c r="AT1818" i="11"/>
  <c r="AU1817" i="11"/>
  <c r="AT1817" i="11"/>
  <c r="AU1816" i="11"/>
  <c r="AT1816" i="11"/>
  <c r="AU1815" i="11"/>
  <c r="AT1815" i="11"/>
  <c r="AU1814" i="11"/>
  <c r="AT1814" i="11"/>
  <c r="AU1813" i="11"/>
  <c r="AT1813" i="11"/>
  <c r="AU1812" i="11"/>
  <c r="AT1812" i="11"/>
  <c r="AU1811" i="11"/>
  <c r="AT1811" i="11"/>
  <c r="AU1810" i="11"/>
  <c r="AT1810" i="11"/>
  <c r="AU1809" i="11"/>
  <c r="AT1809" i="11"/>
  <c r="AU1808" i="11"/>
  <c r="AT1808" i="11"/>
  <c r="AU1807" i="11"/>
  <c r="AT1807" i="11"/>
  <c r="AU1806" i="11"/>
  <c r="AT1806" i="11"/>
  <c r="AU1805" i="11"/>
  <c r="AT1805" i="11"/>
  <c r="AU1804" i="11"/>
  <c r="AT1804" i="11"/>
  <c r="AU1803" i="11"/>
  <c r="AT1803" i="11"/>
  <c r="AU1802" i="11"/>
  <c r="AT1802" i="11"/>
  <c r="AU1801" i="11"/>
  <c r="AT1801" i="11"/>
  <c r="AU1800" i="11"/>
  <c r="AT1800" i="11"/>
  <c r="AU1799" i="11"/>
  <c r="AT1799" i="11"/>
  <c r="AU1798" i="11"/>
  <c r="AT1798" i="11"/>
  <c r="AU1797" i="11"/>
  <c r="AT1797" i="11"/>
  <c r="AU1796" i="11"/>
  <c r="AT1796" i="11"/>
  <c r="AU1795" i="11"/>
  <c r="AT1795" i="11"/>
  <c r="AU1794" i="11"/>
  <c r="AT1794" i="11"/>
  <c r="AU1793" i="11"/>
  <c r="AT1793" i="11"/>
  <c r="AU1792" i="11"/>
  <c r="AT1792" i="11"/>
  <c r="AU1791" i="11"/>
  <c r="AT1791" i="11"/>
  <c r="AU1790" i="11"/>
  <c r="AT1790" i="11"/>
  <c r="AU1789" i="11"/>
  <c r="AT1789" i="11"/>
  <c r="AU1788" i="11"/>
  <c r="AT1788" i="11"/>
  <c r="AU1787" i="11"/>
  <c r="AT1787" i="11"/>
  <c r="AU1786" i="11"/>
  <c r="AT1786" i="11"/>
  <c r="AU1785" i="11"/>
  <c r="AT1785" i="11"/>
  <c r="AU1784" i="11"/>
  <c r="AT1784" i="11"/>
  <c r="AU1783" i="11"/>
  <c r="AT1783" i="11"/>
  <c r="AU1782" i="11"/>
  <c r="AT1782" i="11"/>
  <c r="AU1781" i="11"/>
  <c r="AT1781" i="11"/>
  <c r="AU1780" i="11"/>
  <c r="AT1780" i="11"/>
  <c r="AU1779" i="11"/>
  <c r="AT1779" i="11"/>
  <c r="AU1778" i="11"/>
  <c r="AT1778" i="11"/>
  <c r="AU1777" i="11"/>
  <c r="AT1777" i="11"/>
  <c r="AU1776" i="11"/>
  <c r="AT1776" i="11"/>
  <c r="AU1775" i="11"/>
  <c r="AT1775" i="11"/>
  <c r="AU1774" i="11"/>
  <c r="AT1774" i="11"/>
  <c r="AU1773" i="11"/>
  <c r="AT1773" i="11"/>
  <c r="AU1772" i="11"/>
  <c r="AT1772" i="11"/>
  <c r="AU1771" i="11"/>
  <c r="AT1771" i="11"/>
  <c r="AU1770" i="11"/>
  <c r="AT1770" i="11"/>
  <c r="AU1769" i="11"/>
  <c r="AT1769" i="11"/>
  <c r="AU1768" i="11"/>
  <c r="AT1768" i="11"/>
  <c r="AU1767" i="11"/>
  <c r="AT1767" i="11"/>
  <c r="AU1766" i="11"/>
  <c r="AT1766" i="11"/>
  <c r="AU1765" i="11"/>
  <c r="AT1765" i="11"/>
  <c r="AU1764" i="11"/>
  <c r="AT1764" i="11"/>
  <c r="AU1763" i="11"/>
  <c r="AT1763" i="11"/>
  <c r="AU1762" i="11"/>
  <c r="AT1762" i="11"/>
  <c r="AU1761" i="11"/>
  <c r="AT1761" i="11"/>
  <c r="AU1760" i="11"/>
  <c r="AT1760" i="11"/>
  <c r="AU1759" i="11"/>
  <c r="AT1759" i="11"/>
  <c r="AU1758" i="11"/>
  <c r="AT1758" i="11"/>
  <c r="AU1757" i="11"/>
  <c r="AT1757" i="11"/>
  <c r="AU1756" i="11"/>
  <c r="AT1756" i="11"/>
  <c r="AU1755" i="11"/>
  <c r="AT1755" i="11"/>
  <c r="AU1754" i="11"/>
  <c r="AT1754" i="11"/>
  <c r="AU1753" i="11"/>
  <c r="AT1753" i="11"/>
  <c r="AU1752" i="11"/>
  <c r="AT1752" i="11"/>
  <c r="AU1751" i="11"/>
  <c r="AT1751" i="11"/>
  <c r="AU1750" i="11"/>
  <c r="AT1750" i="11"/>
  <c r="AU1749" i="11"/>
  <c r="AT1749" i="11"/>
  <c r="AU1748" i="11"/>
  <c r="AT1748" i="11"/>
  <c r="AU1747" i="11"/>
  <c r="AT1747" i="11"/>
  <c r="AU1746" i="11"/>
  <c r="AT1746" i="11"/>
  <c r="AU1745" i="11"/>
  <c r="AT1745" i="11"/>
  <c r="AU1744" i="11"/>
  <c r="AT1744" i="11"/>
  <c r="AU1743" i="11"/>
  <c r="AT1743" i="11"/>
  <c r="AU1742" i="11"/>
  <c r="AT1742" i="11"/>
  <c r="AU1741" i="11"/>
  <c r="AT1741" i="11"/>
  <c r="AU1740" i="11"/>
  <c r="AT1740" i="11"/>
  <c r="AU1739" i="11"/>
  <c r="AT1739" i="11"/>
  <c r="AU1738" i="11"/>
  <c r="AT1738" i="11"/>
  <c r="AU1737" i="11"/>
  <c r="AT1737" i="11"/>
  <c r="AU1736" i="11"/>
  <c r="AT1736" i="11"/>
  <c r="AU1735" i="11"/>
  <c r="AT1735" i="11"/>
  <c r="AU1734" i="11"/>
  <c r="AT1734" i="11"/>
  <c r="AU1733" i="11"/>
  <c r="AT1733" i="11"/>
  <c r="AU1732" i="11"/>
  <c r="AT1732" i="11"/>
  <c r="AU1731" i="11"/>
  <c r="AT1731" i="11"/>
  <c r="AU1730" i="11"/>
  <c r="AT1730" i="11"/>
  <c r="AU1729" i="11"/>
  <c r="AT1729" i="11"/>
  <c r="AU1728" i="11"/>
  <c r="AT1728" i="11"/>
  <c r="AU1727" i="11"/>
  <c r="AT1727" i="11"/>
  <c r="AU1726" i="11"/>
  <c r="AT1726" i="11"/>
  <c r="AU1725" i="11"/>
  <c r="AT1725" i="11"/>
  <c r="AU1724" i="11"/>
  <c r="AT1724" i="11"/>
  <c r="AU1723" i="11"/>
  <c r="AT1723" i="11"/>
  <c r="AU1722" i="11"/>
  <c r="AT1722" i="11"/>
  <c r="AU1721" i="11"/>
  <c r="AT1721" i="11"/>
  <c r="AU1720" i="11"/>
  <c r="AT1720" i="11"/>
  <c r="AU1719" i="11"/>
  <c r="AT1719" i="11"/>
  <c r="AU1718" i="11"/>
  <c r="AT1718" i="11"/>
  <c r="AU1717" i="11"/>
  <c r="AT1717" i="11"/>
  <c r="AU1716" i="11"/>
  <c r="AT1716" i="11"/>
  <c r="AU1715" i="11"/>
  <c r="AT1715" i="11"/>
  <c r="AU1714" i="11"/>
  <c r="AT1714" i="11"/>
  <c r="AU1713" i="11"/>
  <c r="AT1713" i="11"/>
  <c r="AU1712" i="11"/>
  <c r="AT1712" i="11"/>
  <c r="AU1711" i="11"/>
  <c r="AT1711" i="11"/>
  <c r="AU1710" i="11"/>
  <c r="AT1710" i="11"/>
  <c r="AU1709" i="11"/>
  <c r="AT1709" i="11"/>
  <c r="AU1708" i="11"/>
  <c r="AT1708" i="11"/>
  <c r="AU1707" i="11"/>
  <c r="AT1707" i="11"/>
  <c r="AU1706" i="11"/>
  <c r="AT1706" i="11"/>
  <c r="AU1705" i="11"/>
  <c r="AT1705" i="11"/>
  <c r="AU1704" i="11"/>
  <c r="AT1704" i="11"/>
  <c r="AU1703" i="11"/>
  <c r="AT1703" i="11"/>
  <c r="AU1702" i="11"/>
  <c r="AT1702" i="11"/>
  <c r="AU1701" i="11"/>
  <c r="AT1701" i="11"/>
  <c r="AU1700" i="11"/>
  <c r="AT1700" i="11"/>
  <c r="AU1699" i="11"/>
  <c r="AT1699" i="11"/>
  <c r="AU1698" i="11"/>
  <c r="AT1698" i="11"/>
  <c r="AU1697" i="11"/>
  <c r="AT1697" i="11"/>
  <c r="AU1696" i="11"/>
  <c r="AT1696" i="11"/>
  <c r="AU1695" i="11"/>
  <c r="AT1695" i="11"/>
  <c r="AU1694" i="11"/>
  <c r="AT1694" i="11"/>
  <c r="AU1693" i="11"/>
  <c r="AT1693" i="11"/>
  <c r="AU1692" i="11"/>
  <c r="AT1692" i="11"/>
  <c r="AU1691" i="11"/>
  <c r="AT1691" i="11"/>
  <c r="AU1690" i="11"/>
  <c r="AT1690" i="11"/>
  <c r="AU1689" i="11"/>
  <c r="AT1689" i="11"/>
  <c r="AU1688" i="11"/>
  <c r="AT1688" i="11"/>
  <c r="AU1687" i="11"/>
  <c r="AT1687" i="11"/>
  <c r="AU1686" i="11"/>
  <c r="AT1686" i="11"/>
  <c r="AU1685" i="11"/>
  <c r="AT1685" i="11"/>
  <c r="AU1684" i="11"/>
  <c r="AT1684" i="11"/>
  <c r="AU1683" i="11"/>
  <c r="AT1683" i="11"/>
  <c r="AU1682" i="11"/>
  <c r="AT1682" i="11"/>
  <c r="AU1681" i="11"/>
  <c r="AT1681" i="11"/>
  <c r="AU1680" i="11"/>
  <c r="AT1680" i="11"/>
  <c r="AU1679" i="11"/>
  <c r="AT1679" i="11"/>
  <c r="AU1678" i="11"/>
  <c r="AT1678" i="11"/>
  <c r="AU1677" i="11"/>
  <c r="AT1677" i="11"/>
  <c r="AU1676" i="11"/>
  <c r="AT1676" i="11"/>
  <c r="AU1675" i="11"/>
  <c r="AT1675" i="11"/>
  <c r="AU1674" i="11"/>
  <c r="AT1674" i="11"/>
  <c r="AU1673" i="11"/>
  <c r="AT1673" i="11"/>
  <c r="AU1672" i="11"/>
  <c r="AT1672" i="11"/>
  <c r="AU1671" i="11"/>
  <c r="AT1671" i="11"/>
  <c r="AU1670" i="11"/>
  <c r="AT1670" i="11"/>
  <c r="AU1669" i="11"/>
  <c r="AT1669" i="11"/>
  <c r="AU1668" i="11"/>
  <c r="AT1668" i="11"/>
  <c r="AU1667" i="11"/>
  <c r="AT1667" i="11"/>
  <c r="AU1666" i="11"/>
  <c r="AT1666" i="11"/>
  <c r="AU1665" i="11"/>
  <c r="AT1665" i="11"/>
  <c r="AU1664" i="11"/>
  <c r="AT1664" i="11"/>
  <c r="AU1663" i="11"/>
  <c r="AT1663" i="11"/>
  <c r="AU1662" i="11"/>
  <c r="AT1662" i="11"/>
  <c r="AU1661" i="11"/>
  <c r="AT1661" i="11"/>
  <c r="AU1660" i="11"/>
  <c r="AT1660" i="11"/>
  <c r="AU1659" i="11"/>
  <c r="AT1659" i="11"/>
  <c r="AU1658" i="11"/>
  <c r="AT1658" i="11"/>
  <c r="AU1657" i="11"/>
  <c r="AT1657" i="11"/>
  <c r="AU1656" i="11"/>
  <c r="AT1656" i="11"/>
  <c r="AU1655" i="11"/>
  <c r="AT1655" i="11"/>
  <c r="AU1654" i="11"/>
  <c r="AT1654" i="11"/>
  <c r="AU1653" i="11"/>
  <c r="AT1653" i="11"/>
  <c r="AU1652" i="11"/>
  <c r="AT1652" i="11"/>
  <c r="AU1651" i="11"/>
  <c r="AT1651" i="11"/>
  <c r="AU1650" i="11"/>
  <c r="AT1650" i="11"/>
  <c r="AU1649" i="11"/>
  <c r="AT1649" i="11"/>
  <c r="AU1648" i="11"/>
  <c r="AT1648" i="11"/>
  <c r="AU1647" i="11"/>
  <c r="AT1647" i="11"/>
  <c r="AU1646" i="11"/>
  <c r="AT1646" i="11"/>
  <c r="AU1645" i="11"/>
  <c r="AT1645" i="11"/>
  <c r="AU1644" i="11"/>
  <c r="AT1644" i="11"/>
  <c r="AU1643" i="11"/>
  <c r="AT1643" i="11"/>
  <c r="AU1642" i="11"/>
  <c r="AT1642" i="11"/>
  <c r="AU1641" i="11"/>
  <c r="AT1641" i="11"/>
  <c r="AU1640" i="11"/>
  <c r="AT1640" i="11"/>
  <c r="AU1639" i="11"/>
  <c r="AT1639" i="11"/>
  <c r="AU1638" i="11"/>
  <c r="AT1638" i="11"/>
  <c r="AU1637" i="11"/>
  <c r="AT1637" i="11"/>
  <c r="AU1636" i="11"/>
  <c r="AT1636" i="11"/>
  <c r="AU1635" i="11"/>
  <c r="AT1635" i="11"/>
  <c r="AU1634" i="11"/>
  <c r="AT1634" i="11"/>
  <c r="AU1633" i="11"/>
  <c r="AT1633" i="11"/>
  <c r="AU1632" i="11"/>
  <c r="AT1632" i="11"/>
  <c r="AU1631" i="11"/>
  <c r="AT1631" i="11"/>
  <c r="AU1630" i="11"/>
  <c r="AT1630" i="11"/>
  <c r="AU1629" i="11"/>
  <c r="AT1629" i="11"/>
  <c r="AU1628" i="11"/>
  <c r="AT1628" i="11"/>
  <c r="AU1627" i="11"/>
  <c r="AT1627" i="11"/>
  <c r="AU1626" i="11"/>
  <c r="AT1626" i="11"/>
  <c r="AU1625" i="11"/>
  <c r="AT1625" i="11"/>
  <c r="AU1624" i="11"/>
  <c r="AT1624" i="11"/>
  <c r="AU1623" i="11"/>
  <c r="AT1623" i="11"/>
  <c r="AU1622" i="11"/>
  <c r="AT1622" i="11"/>
  <c r="AU1621" i="11"/>
  <c r="AT1621" i="11"/>
  <c r="AU1620" i="11"/>
  <c r="AT1620" i="11"/>
  <c r="AU1619" i="11"/>
  <c r="AT1619" i="11"/>
  <c r="AU1618" i="11"/>
  <c r="AT1618" i="11"/>
  <c r="AU1617" i="11"/>
  <c r="AT1617" i="11"/>
  <c r="AU1616" i="11"/>
  <c r="AT1616" i="11"/>
  <c r="AU1615" i="11"/>
  <c r="AT1615" i="11"/>
  <c r="AU1614" i="11"/>
  <c r="AT1614" i="11"/>
  <c r="AU1613" i="11"/>
  <c r="AT1613" i="11"/>
  <c r="AU1612" i="11"/>
  <c r="AT1612" i="11"/>
  <c r="AU1611" i="11"/>
  <c r="AT1611" i="11"/>
  <c r="AU1610" i="11"/>
  <c r="AT1610" i="11"/>
  <c r="AU1609" i="11"/>
  <c r="AT1609" i="11"/>
  <c r="AU1608" i="11"/>
  <c r="AT1608" i="11"/>
  <c r="AU1607" i="11"/>
  <c r="AT1607" i="11"/>
  <c r="AU1606" i="11"/>
  <c r="AT1606" i="11"/>
  <c r="AU1605" i="11"/>
  <c r="AT1605" i="11"/>
  <c r="AU1604" i="11"/>
  <c r="AT1604" i="11"/>
  <c r="AU1603" i="11"/>
  <c r="AT1603" i="11"/>
  <c r="AU1602" i="11"/>
  <c r="AT1602" i="11"/>
  <c r="AU1601" i="11"/>
  <c r="AT1601" i="11"/>
  <c r="AU1600" i="11"/>
  <c r="AT1600" i="11"/>
  <c r="AU1599" i="11"/>
  <c r="AT1599" i="11"/>
  <c r="AU1598" i="11"/>
  <c r="AT1598" i="11"/>
  <c r="AU1597" i="11"/>
  <c r="AT1597" i="11"/>
  <c r="AU1596" i="11"/>
  <c r="AT1596" i="11"/>
  <c r="AU1595" i="11"/>
  <c r="AT1595" i="11"/>
  <c r="AU1594" i="11"/>
  <c r="AT1594" i="11"/>
  <c r="AU1593" i="11"/>
  <c r="AT1593" i="11"/>
  <c r="AU1592" i="11"/>
  <c r="AT1592" i="11"/>
  <c r="AU1591" i="11"/>
  <c r="AT1591" i="11"/>
  <c r="AU1590" i="11"/>
  <c r="AT1590" i="11"/>
  <c r="AU1589" i="11"/>
  <c r="AT1589" i="11"/>
  <c r="AU1588" i="11"/>
  <c r="AT1588" i="11"/>
  <c r="AU1587" i="11"/>
  <c r="AT1587" i="11"/>
  <c r="AU1586" i="11"/>
  <c r="AT1586" i="11"/>
  <c r="AU1585" i="11"/>
  <c r="AT1585" i="11"/>
  <c r="AU1584" i="11"/>
  <c r="AT1584" i="11"/>
  <c r="AU1583" i="11"/>
  <c r="AT1583" i="11"/>
  <c r="AU1582" i="11"/>
  <c r="AT1582" i="11"/>
  <c r="AU1581" i="11"/>
  <c r="AT1581" i="11"/>
  <c r="AU1580" i="11"/>
  <c r="AT1580" i="11"/>
  <c r="AU1579" i="11"/>
  <c r="AT1579" i="11"/>
  <c r="AU1578" i="11"/>
  <c r="AT1578" i="11"/>
  <c r="AU1577" i="11"/>
  <c r="AT1577" i="11"/>
  <c r="AU1576" i="11"/>
  <c r="AT1576" i="11"/>
  <c r="AU1575" i="11"/>
  <c r="AT1575" i="11"/>
  <c r="AU1574" i="11"/>
  <c r="AT1574" i="11"/>
  <c r="AU1573" i="11"/>
  <c r="AT1573" i="11"/>
  <c r="AU1572" i="11"/>
  <c r="AT1572" i="11"/>
  <c r="AU1571" i="11"/>
  <c r="AT1571" i="11"/>
  <c r="AU1570" i="11"/>
  <c r="AT1570" i="11"/>
  <c r="AU1569" i="11"/>
  <c r="AT1569" i="11"/>
  <c r="AU1568" i="11"/>
  <c r="AT1568" i="11"/>
  <c r="AU1567" i="11"/>
  <c r="AT1567" i="11"/>
  <c r="AU1566" i="11"/>
  <c r="AT1566" i="11"/>
  <c r="AU1565" i="11"/>
  <c r="AT1565" i="11"/>
  <c r="AU1564" i="11"/>
  <c r="AT1564" i="11"/>
  <c r="AU1563" i="11"/>
  <c r="AT1563" i="11"/>
  <c r="AU1562" i="11"/>
  <c r="AT1562" i="11"/>
  <c r="AU1561" i="11"/>
  <c r="AT1561" i="11"/>
  <c r="AU1560" i="11"/>
  <c r="AT1560" i="11"/>
  <c r="AU1559" i="11"/>
  <c r="AT1559" i="11"/>
  <c r="AU1558" i="11"/>
  <c r="AT1558" i="11"/>
  <c r="AU1557" i="11"/>
  <c r="AT1557" i="11"/>
  <c r="AU1556" i="11"/>
  <c r="AT1556" i="11"/>
  <c r="AU1555" i="11"/>
  <c r="AT1555" i="11"/>
  <c r="AU1554" i="11"/>
  <c r="AT1554" i="11"/>
  <c r="AU1553" i="11"/>
  <c r="AT1553" i="11"/>
  <c r="AU1552" i="11"/>
  <c r="AT1552" i="11"/>
  <c r="AU1551" i="11"/>
  <c r="AT1551" i="11"/>
  <c r="AU1550" i="11"/>
  <c r="AT1550" i="11"/>
  <c r="AU1549" i="11"/>
  <c r="AT1549" i="11"/>
  <c r="AU1548" i="11"/>
  <c r="AT1548" i="11"/>
  <c r="AU1547" i="11"/>
  <c r="AT1547" i="11"/>
  <c r="AU1546" i="11"/>
  <c r="AT1546" i="11"/>
  <c r="AU1545" i="11"/>
  <c r="AT1545" i="11"/>
  <c r="AU1544" i="11"/>
  <c r="AT1544" i="11"/>
  <c r="AU1543" i="11"/>
  <c r="AT1543" i="11"/>
  <c r="AU1542" i="11"/>
  <c r="AT1542" i="11"/>
  <c r="AU1541" i="11"/>
  <c r="AT1541" i="11"/>
  <c r="AU1540" i="11"/>
  <c r="AT1540" i="11"/>
  <c r="AU1539" i="11"/>
  <c r="AT1539" i="11"/>
  <c r="AU1538" i="11"/>
  <c r="AT1538" i="11"/>
  <c r="AU1537" i="11"/>
  <c r="AT1537" i="11"/>
  <c r="AU1536" i="11"/>
  <c r="AT1536" i="11"/>
  <c r="AU1535" i="11"/>
  <c r="AT1535" i="11"/>
  <c r="AU1534" i="11"/>
  <c r="AT1534" i="11"/>
  <c r="AU1533" i="11"/>
  <c r="AT1533" i="11"/>
  <c r="AU1532" i="11"/>
  <c r="AT1532" i="11"/>
  <c r="AU1531" i="11"/>
  <c r="AT1531" i="11"/>
  <c r="AU1530" i="11"/>
  <c r="AT1530" i="11"/>
  <c r="AU1529" i="11"/>
  <c r="AT1529" i="11"/>
  <c r="AU1528" i="11"/>
  <c r="AT1528" i="11"/>
  <c r="AU1527" i="11"/>
  <c r="AT1527" i="11"/>
  <c r="AU1526" i="11"/>
  <c r="AT1526" i="11"/>
  <c r="AU1525" i="11"/>
  <c r="AT1525" i="11"/>
  <c r="AU1524" i="11"/>
  <c r="AT1524" i="11"/>
  <c r="AU1523" i="11"/>
  <c r="AT1523" i="11"/>
  <c r="AU1522" i="11"/>
  <c r="AT1522" i="11"/>
  <c r="AU1521" i="11"/>
  <c r="AT1521" i="11"/>
  <c r="AU1520" i="11"/>
  <c r="AT1520" i="11"/>
  <c r="AU1519" i="11"/>
  <c r="AT1519" i="11"/>
  <c r="AU1518" i="11"/>
  <c r="AT1518" i="11"/>
  <c r="AU1517" i="11"/>
  <c r="AT1517" i="11"/>
  <c r="AU1516" i="11"/>
  <c r="AT1516" i="11"/>
  <c r="AU1515" i="11"/>
  <c r="AT1515" i="11"/>
  <c r="AU1514" i="11"/>
  <c r="AT1514" i="11"/>
  <c r="AU1513" i="11"/>
  <c r="AT1513" i="11"/>
  <c r="AU1512" i="11"/>
  <c r="AT1512" i="11"/>
  <c r="AU1511" i="11"/>
  <c r="AT1511" i="11"/>
  <c r="AU1510" i="11"/>
  <c r="AT1510" i="11"/>
  <c r="AU1509" i="11"/>
  <c r="AT1509" i="11"/>
  <c r="AU1508" i="11"/>
  <c r="AT1508" i="11"/>
  <c r="AU1507" i="11"/>
  <c r="AT1507" i="11"/>
  <c r="AU1506" i="11"/>
  <c r="AT1506" i="11"/>
  <c r="AU1505" i="11"/>
  <c r="AT1505" i="11"/>
  <c r="AU1504" i="11"/>
  <c r="AT1504" i="11"/>
  <c r="AU1503" i="11"/>
  <c r="AT1503" i="11"/>
  <c r="AU1502" i="11"/>
  <c r="AT1502" i="11"/>
  <c r="AU1501" i="11"/>
  <c r="AT1501" i="11"/>
  <c r="AU1500" i="11"/>
  <c r="AT1500" i="11"/>
  <c r="AU1499" i="11"/>
  <c r="AT1499" i="11"/>
  <c r="AU1498" i="11"/>
  <c r="AT1498" i="11"/>
  <c r="AU1497" i="11"/>
  <c r="AT1497" i="11"/>
  <c r="AU1496" i="11"/>
  <c r="AT1496" i="11"/>
  <c r="AU1495" i="11"/>
  <c r="AT1495" i="11"/>
  <c r="AU1494" i="11"/>
  <c r="AT1494" i="11"/>
  <c r="AU1493" i="11"/>
  <c r="AT1493" i="11"/>
  <c r="AU1492" i="11"/>
  <c r="AT1492" i="11"/>
  <c r="AU1491" i="11"/>
  <c r="AT1491" i="11"/>
  <c r="AU1490" i="11"/>
  <c r="AT1490" i="11"/>
  <c r="AU1489" i="11"/>
  <c r="AT1489" i="11"/>
  <c r="AU1488" i="11"/>
  <c r="AT1488" i="11"/>
  <c r="AU1487" i="11"/>
  <c r="AT1487" i="11"/>
  <c r="AU1486" i="11"/>
  <c r="AT1486" i="11"/>
  <c r="AU1485" i="11"/>
  <c r="AT1485" i="11"/>
  <c r="AU1484" i="11"/>
  <c r="AT1484" i="11"/>
  <c r="AU1483" i="11"/>
  <c r="AT1483" i="11"/>
  <c r="AU1482" i="11"/>
  <c r="AT1482" i="11"/>
  <c r="AU1481" i="11"/>
  <c r="AT1481" i="11"/>
  <c r="AU1480" i="11"/>
  <c r="AT1480" i="11"/>
  <c r="AU1479" i="11"/>
  <c r="AT1479" i="11"/>
  <c r="AU1478" i="11"/>
  <c r="AT1478" i="11"/>
  <c r="AU1477" i="11"/>
  <c r="AT1477" i="11"/>
  <c r="AU1476" i="11"/>
  <c r="AT1476" i="11"/>
  <c r="AU1475" i="11"/>
  <c r="AT1475" i="11"/>
  <c r="AU1474" i="11"/>
  <c r="AT1474" i="11"/>
  <c r="AU1473" i="11"/>
  <c r="AT1473" i="11"/>
  <c r="AU1472" i="11"/>
  <c r="AT1472" i="11"/>
  <c r="AU1471" i="11"/>
  <c r="AT1471" i="11"/>
  <c r="AU1470" i="11"/>
  <c r="AT1470" i="11"/>
  <c r="AU1469" i="11"/>
  <c r="AT1469" i="11"/>
  <c r="AU1468" i="11"/>
  <c r="AT1468" i="11"/>
  <c r="AU1467" i="11"/>
  <c r="AT1467" i="11"/>
  <c r="AU1466" i="11"/>
  <c r="AT1466" i="11"/>
  <c r="AU1465" i="11"/>
  <c r="AT1465" i="11"/>
  <c r="AU1464" i="11"/>
  <c r="AT1464" i="11"/>
  <c r="AU1463" i="11"/>
  <c r="AT1463" i="11"/>
  <c r="AU1462" i="11"/>
  <c r="AT1462" i="11"/>
  <c r="AU1461" i="11"/>
  <c r="AT1461" i="11"/>
  <c r="AU1460" i="11"/>
  <c r="AT1460" i="11"/>
  <c r="AU1459" i="11"/>
  <c r="AT1459" i="11"/>
  <c r="AU1458" i="11"/>
  <c r="AT1458" i="11"/>
  <c r="AU1457" i="11"/>
  <c r="AT1457" i="11"/>
  <c r="AU1456" i="11"/>
  <c r="AT1456" i="11"/>
  <c r="AU1455" i="11"/>
  <c r="AT1455" i="11"/>
  <c r="AU1454" i="11"/>
  <c r="AT1454" i="11"/>
  <c r="AU1453" i="11"/>
  <c r="AT1453" i="11"/>
  <c r="AU1452" i="11"/>
  <c r="AT1452" i="11"/>
  <c r="AU1451" i="11"/>
  <c r="AT1451" i="11"/>
  <c r="AU1450" i="11"/>
  <c r="AT1450" i="11"/>
  <c r="AU1449" i="11"/>
  <c r="AT1449" i="11"/>
  <c r="AU1448" i="11"/>
  <c r="AT1448" i="11"/>
  <c r="AU1447" i="11"/>
  <c r="AT1447" i="11"/>
  <c r="AU1446" i="11"/>
  <c r="AT1446" i="11"/>
  <c r="AU1445" i="11"/>
  <c r="AT1445" i="11"/>
  <c r="AU1444" i="11"/>
  <c r="AT1444" i="11"/>
  <c r="AU1443" i="11"/>
  <c r="AT1443" i="11"/>
  <c r="AU1442" i="11"/>
  <c r="AT1442" i="11"/>
  <c r="AU1441" i="11"/>
  <c r="AT1441" i="11"/>
  <c r="AU1440" i="11"/>
  <c r="AT1440" i="11"/>
  <c r="AU1439" i="11"/>
  <c r="AT1439" i="11"/>
  <c r="AU1438" i="11"/>
  <c r="AT1438" i="11"/>
  <c r="AU1437" i="11"/>
  <c r="AT1437" i="11"/>
  <c r="AU1436" i="11"/>
  <c r="AT1436" i="11"/>
  <c r="AU1435" i="11"/>
  <c r="AT1435" i="11"/>
  <c r="AU1434" i="11"/>
  <c r="AT1434" i="11"/>
  <c r="AU1433" i="11"/>
  <c r="AT1433" i="11"/>
  <c r="AU1432" i="11"/>
  <c r="AT1432" i="11"/>
  <c r="AU1431" i="11"/>
  <c r="AT1431" i="11"/>
  <c r="AU1430" i="11"/>
  <c r="AT1430" i="11"/>
  <c r="AU1429" i="11"/>
  <c r="AT1429" i="11"/>
  <c r="AU1428" i="11"/>
  <c r="AT1428" i="11"/>
  <c r="AU1427" i="11"/>
  <c r="AT1427" i="11"/>
  <c r="AU1426" i="11"/>
  <c r="AT1426" i="11"/>
  <c r="AU1425" i="11"/>
  <c r="AT1425" i="11"/>
  <c r="AU1424" i="11"/>
  <c r="AT1424" i="11"/>
  <c r="AU1423" i="11"/>
  <c r="AT1423" i="11"/>
  <c r="AU1422" i="11"/>
  <c r="AT1422" i="11"/>
  <c r="AU1421" i="11"/>
  <c r="AT1421" i="11"/>
  <c r="AU1420" i="11"/>
  <c r="AT1420" i="11"/>
  <c r="AU1419" i="11"/>
  <c r="AT1419" i="11"/>
  <c r="AU1418" i="11"/>
  <c r="AT1418" i="11"/>
  <c r="AU1417" i="11"/>
  <c r="AT1417" i="11"/>
  <c r="AU1416" i="11"/>
  <c r="AT1416" i="11"/>
  <c r="AU1415" i="11"/>
  <c r="AT1415" i="11"/>
  <c r="AU1414" i="11"/>
  <c r="AT1414" i="11"/>
  <c r="AU1413" i="11"/>
  <c r="AT1413" i="11"/>
  <c r="AU1412" i="11"/>
  <c r="AT1412" i="11"/>
  <c r="AU1411" i="11"/>
  <c r="AT1411" i="11"/>
  <c r="AU1410" i="11"/>
  <c r="AT1410" i="11"/>
  <c r="AU1409" i="11"/>
  <c r="AT1409" i="11"/>
  <c r="AU1408" i="11"/>
  <c r="AT1408" i="11"/>
  <c r="AU1407" i="11"/>
  <c r="AT1407" i="11"/>
  <c r="AU1406" i="11"/>
  <c r="AT1406" i="11"/>
  <c r="AU1405" i="11"/>
  <c r="AT1405" i="11"/>
  <c r="AU1404" i="11"/>
  <c r="AT1404" i="11"/>
  <c r="AU1403" i="11"/>
  <c r="AT1403" i="11"/>
  <c r="AU1402" i="11"/>
  <c r="AT1402" i="11"/>
  <c r="AU1401" i="11"/>
  <c r="AT1401" i="11"/>
  <c r="AU1400" i="11"/>
  <c r="AT1400" i="11"/>
  <c r="AU1399" i="11"/>
  <c r="AT1399" i="11"/>
  <c r="AU1398" i="11"/>
  <c r="AT1398" i="11"/>
  <c r="AU1397" i="11"/>
  <c r="AT1397" i="11"/>
  <c r="AU1396" i="11"/>
  <c r="AT1396" i="11"/>
  <c r="AU1395" i="11"/>
  <c r="AT1395" i="11"/>
  <c r="AU1394" i="11"/>
  <c r="AT1394" i="11"/>
  <c r="AU1393" i="11"/>
  <c r="AT1393" i="11"/>
  <c r="AU1392" i="11"/>
  <c r="AT1392" i="11"/>
  <c r="AU1391" i="11"/>
  <c r="AT1391" i="11"/>
  <c r="AU1390" i="11"/>
  <c r="AT1390" i="11"/>
  <c r="AU1389" i="11"/>
  <c r="AT1389" i="11"/>
  <c r="AU1388" i="11"/>
  <c r="AT1388" i="11"/>
  <c r="AU1387" i="11"/>
  <c r="AT1387" i="11"/>
  <c r="AU1386" i="11"/>
  <c r="AT1386" i="11"/>
  <c r="AU1385" i="11"/>
  <c r="AT1385" i="11"/>
  <c r="AU1384" i="11"/>
  <c r="AT1384" i="11"/>
  <c r="AU1383" i="11"/>
  <c r="AT1383" i="11"/>
  <c r="AU1382" i="11"/>
  <c r="AT1382" i="11"/>
  <c r="AU1381" i="11"/>
  <c r="AT1381" i="11"/>
  <c r="AU1380" i="11"/>
  <c r="AT1380" i="11"/>
  <c r="AU1379" i="11"/>
  <c r="AT1379" i="11"/>
  <c r="AU1378" i="11"/>
  <c r="AT1378" i="11"/>
  <c r="AU1377" i="11"/>
  <c r="AT1377" i="11"/>
  <c r="AU1376" i="11"/>
  <c r="AT1376" i="11"/>
  <c r="AU1375" i="11"/>
  <c r="AT1375" i="11"/>
  <c r="AU1374" i="11"/>
  <c r="AT1374" i="11"/>
  <c r="AU1373" i="11"/>
  <c r="AT1373" i="11"/>
  <c r="AU1372" i="11"/>
  <c r="AT1372" i="11"/>
  <c r="AU1371" i="11"/>
  <c r="AT1371" i="11"/>
  <c r="AU1370" i="11"/>
  <c r="AT1370" i="11"/>
  <c r="AU1369" i="11"/>
  <c r="AT1369" i="11"/>
  <c r="AU1368" i="11"/>
  <c r="AT1368" i="11"/>
  <c r="AU1367" i="11"/>
  <c r="AT1367" i="11"/>
  <c r="AU1366" i="11"/>
  <c r="AT1366" i="11"/>
  <c r="AU1365" i="11"/>
  <c r="AT1365" i="11"/>
  <c r="AU1364" i="11"/>
  <c r="AT1364" i="11"/>
  <c r="AU1363" i="11"/>
  <c r="AT1363" i="11"/>
  <c r="AU1362" i="11"/>
  <c r="AT1362" i="11"/>
  <c r="AU1361" i="11"/>
  <c r="AT1361" i="11"/>
  <c r="AU1360" i="11"/>
  <c r="AT1360" i="11"/>
  <c r="AU1359" i="11"/>
  <c r="AT1359" i="11"/>
  <c r="AU1358" i="11"/>
  <c r="AT1358" i="11"/>
  <c r="AU1357" i="11"/>
  <c r="AT1357" i="11"/>
  <c r="AU1356" i="11"/>
  <c r="AT1356" i="11"/>
  <c r="AU1355" i="11"/>
  <c r="AT1355" i="11"/>
  <c r="AU1354" i="11"/>
  <c r="AT1354" i="11"/>
  <c r="AU1353" i="11"/>
  <c r="AT1353" i="11"/>
  <c r="AU1352" i="11"/>
  <c r="AT1352" i="11"/>
  <c r="AU1351" i="11"/>
  <c r="AT1351" i="11"/>
  <c r="AU1350" i="11"/>
  <c r="AT1350" i="11"/>
  <c r="AU1349" i="11"/>
  <c r="AT1349" i="11"/>
  <c r="AU1348" i="11"/>
  <c r="AT1348" i="11"/>
  <c r="AU1347" i="11"/>
  <c r="AT1347" i="11"/>
  <c r="AU1346" i="11"/>
  <c r="AT1346" i="11"/>
  <c r="AU1345" i="11"/>
  <c r="AT1345" i="11"/>
  <c r="AU1344" i="11"/>
  <c r="AT1344" i="11"/>
  <c r="AU1343" i="11"/>
  <c r="AT1343" i="11"/>
  <c r="AU1342" i="11"/>
  <c r="AT1342" i="11"/>
  <c r="AU1341" i="11"/>
  <c r="AT1341" i="11"/>
  <c r="AU1340" i="11"/>
  <c r="AT1340" i="11"/>
  <c r="AU1339" i="11"/>
  <c r="AT1339" i="11"/>
  <c r="AU1338" i="11"/>
  <c r="AT1338" i="11"/>
  <c r="AU1337" i="11"/>
  <c r="AT1337" i="11"/>
  <c r="AU1336" i="11"/>
  <c r="AT1336" i="11"/>
  <c r="AU1335" i="11"/>
  <c r="AT1335" i="11"/>
  <c r="AU1334" i="11"/>
  <c r="AT1334" i="11"/>
  <c r="AU1333" i="11"/>
  <c r="AT1333" i="11"/>
  <c r="AU1332" i="11"/>
  <c r="AT1332" i="11"/>
  <c r="AU1331" i="11"/>
  <c r="AT1331" i="11"/>
  <c r="AU1330" i="11"/>
  <c r="AT1330" i="11"/>
  <c r="AU1329" i="11"/>
  <c r="AT1329" i="11"/>
  <c r="AU1328" i="11"/>
  <c r="AT1328" i="11"/>
  <c r="AU1327" i="11"/>
  <c r="AT1327" i="11"/>
  <c r="AU1326" i="11"/>
  <c r="AT1326" i="11"/>
  <c r="AU1325" i="11"/>
  <c r="AT1325" i="11"/>
  <c r="AU1324" i="11"/>
  <c r="AT1324" i="11"/>
  <c r="AU1323" i="11"/>
  <c r="AT1323" i="11"/>
  <c r="AU1322" i="11"/>
  <c r="AT1322" i="11"/>
  <c r="AU1321" i="11"/>
  <c r="AT1321" i="11"/>
  <c r="AU1320" i="11"/>
  <c r="AT1320" i="11"/>
  <c r="AU1319" i="11"/>
  <c r="AT1319" i="11"/>
  <c r="AU1318" i="11"/>
  <c r="AT1318" i="11"/>
  <c r="AU1317" i="11"/>
  <c r="AT1317" i="11"/>
  <c r="AU1316" i="11"/>
  <c r="AT1316" i="11"/>
  <c r="AU1315" i="11"/>
  <c r="AT1315" i="11"/>
  <c r="AU1314" i="11"/>
  <c r="AT1314" i="11"/>
  <c r="AU1313" i="11"/>
  <c r="AT1313" i="11"/>
  <c r="AU1312" i="11"/>
  <c r="AT1312" i="11"/>
  <c r="AU1311" i="11"/>
  <c r="AT1311" i="11"/>
  <c r="AU1310" i="11"/>
  <c r="AT1310" i="11"/>
  <c r="AU1309" i="11"/>
  <c r="AT1309" i="11"/>
  <c r="AU1308" i="11"/>
  <c r="AT1308" i="11"/>
  <c r="AU1307" i="11"/>
  <c r="AT1307" i="11"/>
  <c r="AU1306" i="11"/>
  <c r="AT1306" i="11"/>
  <c r="AU1305" i="11"/>
  <c r="AT1305" i="11"/>
  <c r="AU1304" i="11"/>
  <c r="AT1304" i="11"/>
  <c r="AU1303" i="11"/>
  <c r="AT1303" i="11"/>
  <c r="AU1302" i="11"/>
  <c r="AT1302" i="11"/>
  <c r="AU1301" i="11"/>
  <c r="AT1301" i="11"/>
  <c r="AU1300" i="11"/>
  <c r="AT1300" i="11"/>
  <c r="AU1299" i="11"/>
  <c r="AT1299" i="11"/>
  <c r="AU1298" i="11"/>
  <c r="AT1298" i="11"/>
  <c r="AU1297" i="11"/>
  <c r="AT1297" i="11"/>
  <c r="AU1296" i="11"/>
  <c r="AT1296" i="11"/>
  <c r="AU1295" i="11"/>
  <c r="AT1295" i="11"/>
  <c r="AU1294" i="11"/>
  <c r="AT1294" i="11"/>
  <c r="AU1293" i="11"/>
  <c r="AT1293" i="11"/>
  <c r="AU1292" i="11"/>
  <c r="AT1292" i="11"/>
  <c r="AU1291" i="11"/>
  <c r="AT1291" i="11"/>
  <c r="AU1290" i="11"/>
  <c r="AT1290" i="11"/>
  <c r="AU1289" i="11"/>
  <c r="AT1289" i="11"/>
  <c r="AU1288" i="11"/>
  <c r="AT1288" i="11"/>
  <c r="AU1287" i="11"/>
  <c r="AT1287" i="11"/>
  <c r="AU1286" i="11"/>
  <c r="AT1286" i="11"/>
  <c r="AU1285" i="11"/>
  <c r="AT1285" i="11"/>
  <c r="AU1284" i="11"/>
  <c r="AT1284" i="11"/>
  <c r="AU1283" i="11"/>
  <c r="AT1283" i="11"/>
  <c r="AU1282" i="11"/>
  <c r="AT1282" i="11"/>
  <c r="AU1281" i="11"/>
  <c r="AT1281" i="11"/>
  <c r="AU1280" i="11"/>
  <c r="AT1280" i="11"/>
  <c r="AU1279" i="11"/>
  <c r="AT1279" i="11"/>
  <c r="AU1278" i="11"/>
  <c r="AT1278" i="11"/>
  <c r="AU1277" i="11"/>
  <c r="AT1277" i="11"/>
  <c r="AU1276" i="11"/>
  <c r="AT1276" i="11"/>
  <c r="AU1275" i="11"/>
  <c r="AT1275" i="11"/>
  <c r="AU1274" i="11"/>
  <c r="AT1274" i="11"/>
  <c r="AU1273" i="11"/>
  <c r="AT1273" i="11"/>
  <c r="AU1272" i="11"/>
  <c r="AT1272" i="11"/>
  <c r="AU1271" i="11"/>
  <c r="AT1271" i="11"/>
  <c r="AU1270" i="11"/>
  <c r="AT1270" i="11"/>
  <c r="AU1269" i="11"/>
  <c r="AT1269" i="11"/>
  <c r="AU1268" i="11"/>
  <c r="AT1268" i="11"/>
  <c r="AU1267" i="11"/>
  <c r="AT1267" i="11"/>
  <c r="AU1266" i="11"/>
  <c r="AT1266" i="11"/>
  <c r="AU1265" i="11"/>
  <c r="AT1265" i="11"/>
  <c r="AU1264" i="11"/>
  <c r="AT1264" i="11"/>
  <c r="AU1263" i="11"/>
  <c r="AT1263" i="11"/>
  <c r="AU1262" i="11"/>
  <c r="AT1262" i="11"/>
  <c r="AU1261" i="11"/>
  <c r="AT1261" i="11"/>
  <c r="AU1260" i="11"/>
  <c r="AT1260" i="11"/>
  <c r="AU1259" i="11"/>
  <c r="AT1259" i="11"/>
  <c r="AU1258" i="11"/>
  <c r="AT1258" i="11"/>
  <c r="AU1257" i="11"/>
  <c r="AT1257" i="11"/>
  <c r="AU1256" i="11"/>
  <c r="AT1256" i="11"/>
  <c r="AU1255" i="11"/>
  <c r="AT1255" i="11"/>
  <c r="AU1254" i="11"/>
  <c r="AT1254" i="11"/>
  <c r="AU1253" i="11"/>
  <c r="AT1253" i="11"/>
  <c r="AU1252" i="11"/>
  <c r="AT1252" i="11"/>
  <c r="AU1251" i="11"/>
  <c r="AT1251" i="11"/>
  <c r="AU1250" i="11"/>
  <c r="AT1250" i="11"/>
  <c r="AU1249" i="11"/>
  <c r="AT1249" i="11"/>
  <c r="AU1248" i="11"/>
  <c r="AT1248" i="11"/>
  <c r="AU1247" i="11"/>
  <c r="AT1247" i="11"/>
  <c r="AU1246" i="11"/>
  <c r="AT1246" i="11"/>
  <c r="AU1245" i="11"/>
  <c r="AT1245" i="11"/>
  <c r="AU1244" i="11"/>
  <c r="AT1244" i="11"/>
  <c r="AU1243" i="11"/>
  <c r="AT1243" i="11"/>
  <c r="AU1242" i="11"/>
  <c r="AT1242" i="11"/>
  <c r="AU1241" i="11"/>
  <c r="AT1241" i="11"/>
  <c r="AU1240" i="11"/>
  <c r="AT1240" i="11"/>
  <c r="AU1239" i="11"/>
  <c r="AT1239" i="11"/>
  <c r="AU1238" i="11"/>
  <c r="AT1238" i="11"/>
  <c r="AU1237" i="11"/>
  <c r="AT1237" i="11"/>
  <c r="AU1236" i="11"/>
  <c r="AT1236" i="11"/>
  <c r="AU1235" i="11"/>
  <c r="AT1235" i="11"/>
  <c r="AU1234" i="11"/>
  <c r="AT1234" i="11"/>
  <c r="AU1233" i="11"/>
  <c r="AT1233" i="11"/>
  <c r="AU1232" i="11"/>
  <c r="AT1232" i="11"/>
  <c r="AU1231" i="11"/>
  <c r="AT1231" i="11"/>
  <c r="AU1230" i="11"/>
  <c r="AT1230" i="11"/>
  <c r="AU1229" i="11"/>
  <c r="AT1229" i="11"/>
  <c r="AU1228" i="11"/>
  <c r="AT1228" i="11"/>
  <c r="AU1227" i="11"/>
  <c r="AT1227" i="11"/>
  <c r="AU1226" i="11"/>
  <c r="AT1226" i="11"/>
  <c r="AU1225" i="11"/>
  <c r="AT1225" i="11"/>
  <c r="AU1224" i="11"/>
  <c r="AT1224" i="11"/>
  <c r="AU1223" i="11"/>
  <c r="AT1223" i="11"/>
  <c r="AU1222" i="11"/>
  <c r="AT1222" i="11"/>
  <c r="AU1221" i="11"/>
  <c r="AT1221" i="11"/>
  <c r="AU1220" i="11"/>
  <c r="AT1220" i="11"/>
  <c r="AU1219" i="11"/>
  <c r="AT1219" i="11"/>
  <c r="AU1218" i="11"/>
  <c r="AT1218" i="11"/>
  <c r="AU1217" i="11"/>
  <c r="AT1217" i="11"/>
  <c r="AU1216" i="11"/>
  <c r="AT1216" i="11"/>
  <c r="AU1215" i="11"/>
  <c r="AT1215" i="11"/>
  <c r="AU1214" i="11"/>
  <c r="AT1214" i="11"/>
  <c r="AU1213" i="11"/>
  <c r="AT1213" i="11"/>
  <c r="AU1212" i="11"/>
  <c r="AT1212" i="11"/>
  <c r="AU1211" i="11"/>
  <c r="AT1211" i="11"/>
  <c r="AU1210" i="11"/>
  <c r="AT1210" i="11"/>
  <c r="AU1209" i="11"/>
  <c r="AT1209" i="11"/>
  <c r="AU1208" i="11"/>
  <c r="AT1208" i="11"/>
  <c r="AU1207" i="11"/>
  <c r="AT1207" i="11"/>
  <c r="AU1206" i="11"/>
  <c r="AT1206" i="11"/>
  <c r="AU1205" i="11"/>
  <c r="AT1205" i="11"/>
  <c r="AU1204" i="11"/>
  <c r="AT1204" i="11"/>
  <c r="AU1203" i="11"/>
  <c r="AT1203" i="11"/>
  <c r="AU1202" i="11"/>
  <c r="AT1202" i="11"/>
  <c r="AU1201" i="11"/>
  <c r="AT1201" i="11"/>
  <c r="AU1200" i="11"/>
  <c r="AT1200" i="11"/>
  <c r="AU1199" i="11"/>
  <c r="AT1199" i="11"/>
  <c r="AU1198" i="11"/>
  <c r="AT1198" i="11"/>
  <c r="AU1197" i="11"/>
  <c r="AT1197" i="11"/>
  <c r="AU1196" i="11"/>
  <c r="AT1196" i="11"/>
  <c r="AU1195" i="11"/>
  <c r="AT1195" i="11"/>
  <c r="AU1194" i="11"/>
  <c r="AT1194" i="11"/>
  <c r="AU1193" i="11"/>
  <c r="AT1193" i="11"/>
  <c r="AU1192" i="11"/>
  <c r="AT1192" i="11"/>
  <c r="AU1191" i="11"/>
  <c r="AT1191" i="11"/>
  <c r="AU1190" i="11"/>
  <c r="AT1190" i="11"/>
  <c r="AU1189" i="11"/>
  <c r="AT1189" i="11"/>
  <c r="AU1188" i="11"/>
  <c r="AT1188" i="11"/>
  <c r="AU1187" i="11"/>
  <c r="AT1187" i="11"/>
  <c r="AU1186" i="11"/>
  <c r="AT1186" i="11"/>
  <c r="AU1185" i="11"/>
  <c r="AT1185" i="11"/>
  <c r="AU1184" i="11"/>
  <c r="AT1184" i="11"/>
  <c r="AU1183" i="11"/>
  <c r="AT1183" i="11"/>
  <c r="AU1182" i="11"/>
  <c r="AT1182" i="11"/>
  <c r="AU1181" i="11"/>
  <c r="AT1181" i="11"/>
  <c r="AU1180" i="11"/>
  <c r="AT1180" i="11"/>
  <c r="AU1179" i="11"/>
  <c r="AT1179" i="11"/>
  <c r="AU1178" i="11"/>
  <c r="AT1178" i="11"/>
  <c r="AU1177" i="11"/>
  <c r="AT1177" i="11"/>
  <c r="AU1176" i="11"/>
  <c r="AT1176" i="11"/>
  <c r="AU1175" i="11"/>
  <c r="AT1175" i="11"/>
  <c r="AU1174" i="11"/>
  <c r="AT1174" i="11"/>
  <c r="AU1173" i="11"/>
  <c r="AT1173" i="11"/>
  <c r="AU1172" i="11"/>
  <c r="AT1172" i="11"/>
  <c r="AU1171" i="11"/>
  <c r="AT1171" i="11"/>
  <c r="AU1170" i="11"/>
  <c r="AT1170" i="11"/>
  <c r="AU1169" i="11"/>
  <c r="AT1169" i="11"/>
  <c r="AU1168" i="11"/>
  <c r="AT1168" i="11"/>
  <c r="AU1167" i="11"/>
  <c r="AT1167" i="11"/>
  <c r="AU1166" i="11"/>
  <c r="AT1166" i="11"/>
  <c r="AU1165" i="11"/>
  <c r="AT1165" i="11"/>
  <c r="AU1164" i="11"/>
  <c r="AT1164" i="11"/>
  <c r="AU1163" i="11"/>
  <c r="AT1163" i="11"/>
  <c r="AU1162" i="11"/>
  <c r="AT1162" i="11"/>
  <c r="AU1161" i="11"/>
  <c r="AT1161" i="11"/>
  <c r="AU1160" i="11"/>
  <c r="AT1160" i="11"/>
  <c r="AU1159" i="11"/>
  <c r="AT1159" i="11"/>
  <c r="AU1158" i="11"/>
  <c r="AT1158" i="11"/>
  <c r="AU1157" i="11"/>
  <c r="AT1157" i="11"/>
  <c r="AU1156" i="11"/>
  <c r="AT1156" i="11"/>
  <c r="AU1155" i="11"/>
  <c r="AT1155" i="11"/>
  <c r="AU1154" i="11"/>
  <c r="AT1154" i="11"/>
  <c r="AU1153" i="11"/>
  <c r="AT1153" i="11"/>
  <c r="AU1152" i="11"/>
  <c r="AT1152" i="11"/>
  <c r="AU1151" i="11"/>
  <c r="AT1151" i="11"/>
  <c r="AU1150" i="11"/>
  <c r="AT1150" i="11"/>
  <c r="AU1149" i="11"/>
  <c r="AT1149" i="11"/>
  <c r="AU1148" i="11"/>
  <c r="AT1148" i="11"/>
  <c r="AU1147" i="11"/>
  <c r="AT1147" i="11"/>
  <c r="AU1146" i="11"/>
  <c r="AT1146" i="11"/>
  <c r="AU1145" i="11"/>
  <c r="AT1145" i="11"/>
  <c r="AU1144" i="11"/>
  <c r="AT1144" i="11"/>
  <c r="AU1143" i="11"/>
  <c r="AT1143" i="11"/>
  <c r="AU1142" i="11"/>
  <c r="AT1142" i="11"/>
  <c r="AU1141" i="11"/>
  <c r="AT1141" i="11"/>
  <c r="AU1140" i="11"/>
  <c r="AT1140" i="11"/>
  <c r="AU1139" i="11"/>
  <c r="AT1139" i="11"/>
  <c r="AU1138" i="11"/>
  <c r="AT1138" i="11"/>
  <c r="AU1137" i="11"/>
  <c r="AT1137" i="11"/>
  <c r="AU1136" i="11"/>
  <c r="AT1136" i="11"/>
  <c r="AU1135" i="11"/>
  <c r="AT1135" i="11"/>
  <c r="AU1134" i="11"/>
  <c r="AT1134" i="11"/>
  <c r="AU1133" i="11"/>
  <c r="AT1133" i="11"/>
  <c r="AU1132" i="11"/>
  <c r="AT1132" i="11"/>
  <c r="AU1131" i="11"/>
  <c r="AT1131" i="11"/>
  <c r="AU1130" i="11"/>
  <c r="AT1130" i="11"/>
  <c r="AU1129" i="11"/>
  <c r="AT1129" i="11"/>
  <c r="AU1128" i="11"/>
  <c r="AT1128" i="11"/>
  <c r="AU1127" i="11"/>
  <c r="AT1127" i="11"/>
  <c r="AU1126" i="11"/>
  <c r="AT1126" i="11"/>
  <c r="AU1125" i="11"/>
  <c r="AT1125" i="11"/>
  <c r="AU1124" i="11"/>
  <c r="AT1124" i="11"/>
  <c r="AU1123" i="11"/>
  <c r="AT1123" i="11"/>
  <c r="AU1122" i="11"/>
  <c r="AT1122" i="11"/>
  <c r="AU1121" i="11"/>
  <c r="AT1121" i="11"/>
  <c r="AU1120" i="11"/>
  <c r="AT1120" i="11"/>
  <c r="AU1119" i="11"/>
  <c r="AT1119" i="11"/>
  <c r="AU1118" i="11"/>
  <c r="AT1118" i="11"/>
  <c r="AU1117" i="11"/>
  <c r="AT1117" i="11"/>
  <c r="AU1116" i="11"/>
  <c r="AT1116" i="11"/>
  <c r="AU1115" i="11"/>
  <c r="AT1115" i="11"/>
  <c r="AU1114" i="11"/>
  <c r="AT1114" i="11"/>
  <c r="AU1113" i="11"/>
  <c r="AT1113" i="11"/>
  <c r="AU1112" i="11"/>
  <c r="AT1112" i="11"/>
  <c r="AU1111" i="11"/>
  <c r="AT1111" i="11"/>
  <c r="AU1110" i="11"/>
  <c r="AT1110" i="11"/>
  <c r="AU1109" i="11"/>
  <c r="AT1109" i="11"/>
  <c r="AU1108" i="11"/>
  <c r="AT1108" i="11"/>
  <c r="AU1107" i="11"/>
  <c r="AT1107" i="11"/>
  <c r="AU1106" i="11"/>
  <c r="AT1106" i="11"/>
  <c r="AU1105" i="11"/>
  <c r="AT1105" i="11"/>
  <c r="AU1104" i="11"/>
  <c r="AT1104" i="11"/>
  <c r="AU1103" i="11"/>
  <c r="AT1103" i="11"/>
  <c r="AU1102" i="11"/>
  <c r="AT1102" i="11"/>
  <c r="AU1101" i="11"/>
  <c r="AT1101" i="11"/>
  <c r="AU1100" i="11"/>
  <c r="AT1100" i="11"/>
  <c r="AU1099" i="11"/>
  <c r="AT1099" i="11"/>
  <c r="AU1098" i="11"/>
  <c r="AT1098" i="11"/>
  <c r="AU1097" i="11"/>
  <c r="AT1097" i="11"/>
  <c r="AU1096" i="11"/>
  <c r="AT1096" i="11"/>
  <c r="AU1095" i="11"/>
  <c r="AT1095" i="11"/>
  <c r="AU1094" i="11"/>
  <c r="AT1094" i="11"/>
  <c r="AU1093" i="11"/>
  <c r="AT1093" i="11"/>
  <c r="AU1092" i="11"/>
  <c r="AT1092" i="11"/>
  <c r="AU1091" i="11"/>
  <c r="AT1091" i="11"/>
  <c r="AU1090" i="11"/>
  <c r="AT1090" i="11"/>
  <c r="AU1089" i="11"/>
  <c r="AT1089" i="11"/>
  <c r="AU1088" i="11"/>
  <c r="AT1088" i="11"/>
  <c r="AU1087" i="11"/>
  <c r="AT1087" i="11"/>
  <c r="AU1086" i="11"/>
  <c r="AT1086" i="11"/>
  <c r="AU1085" i="11"/>
  <c r="AT1085" i="11"/>
  <c r="AU1084" i="11"/>
  <c r="AT1084" i="11"/>
  <c r="AU1083" i="11"/>
  <c r="AT1083" i="11"/>
  <c r="AU1082" i="11"/>
  <c r="AT1082" i="11"/>
  <c r="AU1081" i="11"/>
  <c r="AT1081" i="11"/>
  <c r="AU1080" i="11"/>
  <c r="AT1080" i="11"/>
  <c r="AU1079" i="11"/>
  <c r="AT1079" i="11"/>
  <c r="AU1078" i="11"/>
  <c r="AT1078" i="11"/>
  <c r="AU1077" i="11"/>
  <c r="AT1077" i="11"/>
  <c r="AU1076" i="11"/>
  <c r="AT1076" i="11"/>
  <c r="AU1075" i="11"/>
  <c r="AT1075" i="11"/>
  <c r="AU1074" i="11"/>
  <c r="AT1074" i="11"/>
  <c r="AU1073" i="11"/>
  <c r="AT1073" i="11"/>
  <c r="AU1072" i="11"/>
  <c r="AT1072" i="11"/>
  <c r="AU1071" i="11"/>
  <c r="AT1071" i="11"/>
  <c r="AU1070" i="11"/>
  <c r="AT1070" i="11"/>
  <c r="AU1069" i="11"/>
  <c r="AT1069" i="11"/>
  <c r="AU1068" i="11"/>
  <c r="AT1068" i="11"/>
  <c r="AU1067" i="11"/>
  <c r="AT1067" i="11"/>
  <c r="AU1066" i="11"/>
  <c r="AT1066" i="11"/>
  <c r="AU1065" i="11"/>
  <c r="AT1065" i="11"/>
  <c r="AU1064" i="11"/>
  <c r="AT1064" i="11"/>
  <c r="AU1063" i="11"/>
  <c r="AT1063" i="11"/>
  <c r="AU1062" i="11"/>
  <c r="AT1062" i="11"/>
  <c r="AU1061" i="11"/>
  <c r="AT1061" i="11"/>
  <c r="AU1060" i="11"/>
  <c r="AT1060" i="11"/>
  <c r="AU1059" i="11"/>
  <c r="AT1059" i="11"/>
  <c r="AU1058" i="11"/>
  <c r="AT1058" i="11"/>
  <c r="AU1057" i="11"/>
  <c r="AT1057" i="11"/>
  <c r="AU1056" i="11"/>
  <c r="AT1056" i="11"/>
  <c r="AU1055" i="11"/>
  <c r="AT1055" i="11"/>
  <c r="AU1054" i="11"/>
  <c r="AT1054" i="11"/>
  <c r="AU1053" i="11"/>
  <c r="AT1053" i="11"/>
  <c r="AU1052" i="11"/>
  <c r="AT1052" i="11"/>
  <c r="AU1051" i="11"/>
  <c r="AT1051" i="11"/>
  <c r="AU1050" i="11"/>
  <c r="AT1050" i="11"/>
  <c r="AU1049" i="11"/>
  <c r="AT1049" i="11"/>
  <c r="AU1048" i="11"/>
  <c r="AT1048" i="11"/>
  <c r="AU1047" i="11"/>
  <c r="AT1047" i="11"/>
  <c r="AU1046" i="11"/>
  <c r="AT1046" i="11"/>
  <c r="AU1045" i="11"/>
  <c r="AT1045" i="11"/>
  <c r="AU1044" i="11"/>
  <c r="AT1044" i="11"/>
  <c r="AU1043" i="11"/>
  <c r="AT1043" i="11"/>
  <c r="AU1042" i="11"/>
  <c r="AT1042" i="11"/>
  <c r="AU1041" i="11"/>
  <c r="AT1041" i="11"/>
  <c r="AU1040" i="11"/>
  <c r="AT1040" i="11"/>
  <c r="AU1039" i="11"/>
  <c r="AT1039" i="11"/>
  <c r="AU1038" i="11"/>
  <c r="AT1038" i="11"/>
  <c r="AU1037" i="11"/>
  <c r="AT1037" i="11"/>
  <c r="AU1036" i="11"/>
  <c r="AT1036" i="11"/>
  <c r="AU1035" i="11"/>
  <c r="AT1035" i="11"/>
  <c r="AU1034" i="11"/>
  <c r="AT1034" i="11"/>
  <c r="AU1033" i="11"/>
  <c r="AT1033" i="11"/>
  <c r="AU1032" i="11"/>
  <c r="AT1032" i="11"/>
  <c r="AU1031" i="11"/>
  <c r="AT1031" i="11"/>
  <c r="AU1030" i="11"/>
  <c r="AT1030" i="11"/>
  <c r="AU1029" i="11"/>
  <c r="AT1029" i="11"/>
  <c r="AU1028" i="11"/>
  <c r="AT1028" i="11"/>
  <c r="AU1027" i="11"/>
  <c r="AT1027" i="11"/>
  <c r="AU1026" i="11"/>
  <c r="AT1026" i="11"/>
  <c r="AU1025" i="11"/>
  <c r="AT1025" i="11"/>
  <c r="AU1024" i="11"/>
  <c r="AT1024" i="11"/>
  <c r="AU1023" i="11"/>
  <c r="AT1023" i="11"/>
  <c r="AU1022" i="11"/>
  <c r="AT1022" i="11"/>
  <c r="AU1021" i="11"/>
  <c r="AT1021" i="11"/>
  <c r="AU1020" i="11"/>
  <c r="AT1020" i="11"/>
  <c r="AU1019" i="11"/>
  <c r="AT1019" i="11"/>
  <c r="AU1018" i="11"/>
  <c r="AT1018" i="11"/>
  <c r="AU1017" i="11"/>
  <c r="AT1017" i="11"/>
  <c r="AU1016" i="11"/>
  <c r="AT1016" i="11"/>
  <c r="AU1015" i="11"/>
  <c r="AT1015" i="11"/>
  <c r="AU1014" i="11"/>
  <c r="AT1014" i="11"/>
  <c r="AU1013" i="11"/>
  <c r="AT1013" i="11"/>
  <c r="AU1012" i="11"/>
  <c r="AT1012" i="11"/>
  <c r="AU1011" i="11"/>
  <c r="AT1011" i="11"/>
  <c r="AU1010" i="11"/>
  <c r="AT1010" i="11"/>
  <c r="AU1009" i="11"/>
  <c r="AT1009" i="11"/>
  <c r="AU1008" i="11"/>
  <c r="AT1008" i="11"/>
  <c r="AU1007" i="11"/>
  <c r="AT1007" i="11"/>
  <c r="AU1006" i="11"/>
  <c r="AT1006" i="11"/>
  <c r="AU1005" i="11"/>
  <c r="AT1005" i="11"/>
  <c r="AU1004" i="11"/>
  <c r="AT1004" i="11"/>
  <c r="AU1003" i="11"/>
  <c r="AT1003" i="11"/>
  <c r="AU1002" i="11"/>
  <c r="AT1002" i="11"/>
  <c r="BR1001" i="11"/>
  <c r="BQ1001" i="11"/>
  <c r="BP1001" i="11"/>
  <c r="BN1001" i="11"/>
  <c r="BM1001" i="11"/>
  <c r="BL1001" i="11"/>
  <c r="BK1001" i="11"/>
  <c r="BJ1001" i="11"/>
  <c r="BH1001" i="11"/>
  <c r="BI1001" i="11" s="1"/>
  <c r="BG1001" i="11"/>
  <c r="BE1001" i="11"/>
  <c r="BD1001" i="11"/>
  <c r="BF1001" i="11" s="1"/>
  <c r="BC1001" i="11"/>
  <c r="BB1001" i="11"/>
  <c r="BA1001" i="11"/>
  <c r="AZ1001" i="11"/>
  <c r="AY1001" i="11"/>
  <c r="AX1001" i="11"/>
  <c r="AW1001" i="11"/>
  <c r="AU1001" i="11"/>
  <c r="AT1001" i="11"/>
  <c r="BR1000" i="11"/>
  <c r="BQ1000" i="11"/>
  <c r="BP1000" i="11"/>
  <c r="BN1000" i="11"/>
  <c r="BM1000" i="11"/>
  <c r="BL1000" i="11"/>
  <c r="BK1000" i="11"/>
  <c r="BJ1000" i="11"/>
  <c r="BI1000" i="11"/>
  <c r="BH1000" i="11"/>
  <c r="BG1000" i="11"/>
  <c r="BE1000" i="11"/>
  <c r="BD1000" i="11"/>
  <c r="BB1000" i="11"/>
  <c r="BC1000" i="11" s="1"/>
  <c r="BA1000" i="11"/>
  <c r="AY1000" i="11"/>
  <c r="AX1000" i="11"/>
  <c r="AW1000" i="11"/>
  <c r="AU1000" i="11"/>
  <c r="AT1000" i="11"/>
  <c r="BR999" i="11"/>
  <c r="BQ999" i="11"/>
  <c r="BP999" i="11"/>
  <c r="BN999" i="11"/>
  <c r="BM999" i="11"/>
  <c r="BL999" i="11"/>
  <c r="BK999" i="11"/>
  <c r="BJ999" i="11"/>
  <c r="BI999" i="11"/>
  <c r="BH999" i="11"/>
  <c r="BG999" i="11"/>
  <c r="BE999" i="11"/>
  <c r="BD999" i="11"/>
  <c r="BF999" i="11" s="1"/>
  <c r="BC999" i="11"/>
  <c r="BB999" i="11"/>
  <c r="BA999" i="11"/>
  <c r="AY999" i="11"/>
  <c r="AX999" i="11"/>
  <c r="AZ999" i="11" s="1"/>
  <c r="AW999" i="11"/>
  <c r="AU999" i="11"/>
  <c r="AT999" i="11"/>
  <c r="BR998" i="11"/>
  <c r="BQ998" i="11"/>
  <c r="BP998" i="11"/>
  <c r="BN998" i="11"/>
  <c r="BM998" i="11"/>
  <c r="BL998" i="11"/>
  <c r="BK998" i="11"/>
  <c r="BJ998" i="11"/>
  <c r="BH998" i="11"/>
  <c r="BI998" i="11" s="1"/>
  <c r="BG998" i="11"/>
  <c r="BE998" i="11"/>
  <c r="BD998" i="11"/>
  <c r="BF998" i="11" s="1"/>
  <c r="BC998" i="11"/>
  <c r="BB998" i="11"/>
  <c r="BA998" i="11"/>
  <c r="AY998" i="11"/>
  <c r="AX998" i="11"/>
  <c r="AZ998" i="11" s="1"/>
  <c r="AW998" i="11"/>
  <c r="AU998" i="11"/>
  <c r="AT998" i="11"/>
  <c r="BR997" i="11"/>
  <c r="BQ997" i="11"/>
  <c r="BP997" i="11"/>
  <c r="BN997" i="11"/>
  <c r="BM997" i="11"/>
  <c r="BL997" i="11"/>
  <c r="BK997" i="11"/>
  <c r="BJ997" i="11"/>
  <c r="BH997" i="11"/>
  <c r="BG997" i="11"/>
  <c r="BE997" i="11"/>
  <c r="BD997" i="11"/>
  <c r="BF997" i="11" s="1"/>
  <c r="BC997" i="11"/>
  <c r="BB997" i="11"/>
  <c r="BA997" i="11"/>
  <c r="AY997" i="11"/>
  <c r="AZ997" i="11" s="1"/>
  <c r="AX997" i="11"/>
  <c r="AW997" i="11"/>
  <c r="AU997" i="11"/>
  <c r="AT997" i="11"/>
  <c r="BR996" i="11"/>
  <c r="BQ996" i="11"/>
  <c r="BP996" i="11"/>
  <c r="BN996" i="11"/>
  <c r="BM996" i="11"/>
  <c r="BL996" i="11"/>
  <c r="BK996" i="11"/>
  <c r="BJ996" i="11"/>
  <c r="BH996" i="11"/>
  <c r="BG996" i="11"/>
  <c r="BI996" i="11" s="1"/>
  <c r="BF996" i="11"/>
  <c r="BE996" i="11"/>
  <c r="BD996" i="11"/>
  <c r="BB996" i="11"/>
  <c r="BC996" i="11" s="1"/>
  <c r="BA996" i="11"/>
  <c r="AZ996" i="11"/>
  <c r="AY996" i="11"/>
  <c r="AX996" i="11"/>
  <c r="AW996" i="11"/>
  <c r="AU996" i="11"/>
  <c r="AT996" i="11"/>
  <c r="BR995" i="11"/>
  <c r="BQ995" i="11"/>
  <c r="BP995" i="11"/>
  <c r="BN995" i="11"/>
  <c r="BM995" i="11"/>
  <c r="BL995" i="11"/>
  <c r="BK995" i="11"/>
  <c r="BJ995" i="11"/>
  <c r="BH995" i="11"/>
  <c r="BG995" i="11"/>
  <c r="BI995" i="11" s="1"/>
  <c r="BE995" i="11"/>
  <c r="BF995" i="11" s="1"/>
  <c r="BD995" i="11"/>
  <c r="BB995" i="11"/>
  <c r="BC995" i="11" s="1"/>
  <c r="BA995" i="11"/>
  <c r="AZ995" i="11"/>
  <c r="AY995" i="11"/>
  <c r="AX995" i="11"/>
  <c r="AW995" i="11"/>
  <c r="AU995" i="11"/>
  <c r="AT995" i="11"/>
  <c r="BR994" i="11"/>
  <c r="BQ994" i="11"/>
  <c r="BP994" i="11"/>
  <c r="BN994" i="11"/>
  <c r="BM994" i="11"/>
  <c r="BL994" i="11"/>
  <c r="BK994" i="11"/>
  <c r="BJ994" i="11"/>
  <c r="BH994" i="11"/>
  <c r="BI994" i="11" s="1"/>
  <c r="BG994" i="11"/>
  <c r="BE994" i="11"/>
  <c r="BD994" i="11"/>
  <c r="BB994" i="11"/>
  <c r="BC994" i="11" s="1"/>
  <c r="BA994" i="11"/>
  <c r="AZ994" i="11"/>
  <c r="AY994" i="11"/>
  <c r="AX994" i="11"/>
  <c r="AW994" i="11"/>
  <c r="AU994" i="11"/>
  <c r="AT994" i="11"/>
  <c r="BR993" i="11"/>
  <c r="BQ993" i="11"/>
  <c r="BP993" i="11"/>
  <c r="BN993" i="11"/>
  <c r="BM993" i="11"/>
  <c r="BL993" i="11"/>
  <c r="BK993" i="11"/>
  <c r="BJ993" i="11"/>
  <c r="BI993" i="11"/>
  <c r="BH993" i="11"/>
  <c r="BG993" i="11"/>
  <c r="BE993" i="11"/>
  <c r="BD993" i="11"/>
  <c r="BF993" i="11" s="1"/>
  <c r="BC993" i="11"/>
  <c r="BB993" i="11"/>
  <c r="BA993" i="11"/>
  <c r="AY993" i="11"/>
  <c r="AX993" i="11"/>
  <c r="AZ993" i="11" s="1"/>
  <c r="AW993" i="11"/>
  <c r="AU993" i="11"/>
  <c r="AT993" i="11"/>
  <c r="BR992" i="11"/>
  <c r="BQ992" i="11"/>
  <c r="BP992" i="11"/>
  <c r="BN992" i="11"/>
  <c r="BM992" i="11"/>
  <c r="BL992" i="11"/>
  <c r="BK992" i="11"/>
  <c r="BJ992" i="11"/>
  <c r="BI992" i="11"/>
  <c r="BH992" i="11"/>
  <c r="BG992" i="11"/>
  <c r="BE992" i="11"/>
  <c r="BD992" i="11"/>
  <c r="BF992" i="11" s="1"/>
  <c r="BC992" i="11"/>
  <c r="BB992" i="11"/>
  <c r="BA992" i="11"/>
  <c r="AY992" i="11"/>
  <c r="AX992" i="11"/>
  <c r="AZ992" i="11" s="1"/>
  <c r="AW992" i="11"/>
  <c r="AU992" i="11"/>
  <c r="AT992" i="11"/>
  <c r="BR991" i="11"/>
  <c r="BQ991" i="11"/>
  <c r="BP991" i="11"/>
  <c r="BN991" i="11"/>
  <c r="BM991" i="11"/>
  <c r="BL991" i="11"/>
  <c r="BK991" i="11"/>
  <c r="BJ991" i="11"/>
  <c r="BI991" i="11"/>
  <c r="BH991" i="11"/>
  <c r="BG991" i="11"/>
  <c r="BE991" i="11"/>
  <c r="BD991" i="11"/>
  <c r="BF991" i="11" s="1"/>
  <c r="BB991" i="11"/>
  <c r="BC991" i="11" s="1"/>
  <c r="BA991" i="11"/>
  <c r="AY991" i="11"/>
  <c r="AX991" i="11"/>
  <c r="AZ991" i="11" s="1"/>
  <c r="AW991" i="11"/>
  <c r="AU991" i="11"/>
  <c r="AT991" i="11"/>
  <c r="BR990" i="11"/>
  <c r="BQ990" i="11"/>
  <c r="BP990" i="11"/>
  <c r="BN990" i="11"/>
  <c r="BM990" i="11"/>
  <c r="BL990" i="11"/>
  <c r="BK990" i="11"/>
  <c r="BJ990" i="11"/>
  <c r="BH990" i="11"/>
  <c r="BG990" i="11"/>
  <c r="BE990" i="11"/>
  <c r="BF990" i="11" s="1"/>
  <c r="BD990" i="11"/>
  <c r="BC990" i="11"/>
  <c r="BB990" i="11"/>
  <c r="BA990" i="11"/>
  <c r="AZ990" i="11"/>
  <c r="AY990" i="11"/>
  <c r="AX990" i="11"/>
  <c r="AW990" i="11"/>
  <c r="AU990" i="11"/>
  <c r="AT990" i="11"/>
  <c r="BR989" i="11"/>
  <c r="BQ989" i="11"/>
  <c r="BP989" i="11"/>
  <c r="BN989" i="11"/>
  <c r="BM989" i="11"/>
  <c r="BL989" i="11"/>
  <c r="BK989" i="11"/>
  <c r="BJ989" i="11"/>
  <c r="BH989" i="11"/>
  <c r="BG989" i="11"/>
  <c r="BI989" i="11" s="1"/>
  <c r="BF989" i="11"/>
  <c r="BE989" i="11"/>
  <c r="BD989" i="11"/>
  <c r="BB989" i="11"/>
  <c r="BC989" i="11" s="1"/>
  <c r="BA989" i="11"/>
  <c r="AZ989" i="11"/>
  <c r="AY989" i="11"/>
  <c r="AX989" i="11"/>
  <c r="AW989" i="11"/>
  <c r="AU989" i="11"/>
  <c r="AT989" i="11"/>
  <c r="BR988" i="11"/>
  <c r="BQ988" i="11"/>
  <c r="BP988" i="11"/>
  <c r="BN988" i="11"/>
  <c r="BM988" i="11"/>
  <c r="BL988" i="11"/>
  <c r="BK988" i="11"/>
  <c r="BJ988" i="11"/>
  <c r="BH988" i="11"/>
  <c r="BG988" i="11"/>
  <c r="BI988" i="11" s="1"/>
  <c r="BF988" i="11"/>
  <c r="BE988" i="11"/>
  <c r="BD988" i="11"/>
  <c r="BC988" i="11"/>
  <c r="BB988" i="11"/>
  <c r="BA988" i="11"/>
  <c r="AY988" i="11"/>
  <c r="AX988" i="11"/>
  <c r="AZ988" i="11" s="1"/>
  <c r="AW988" i="11"/>
  <c r="AU988" i="11"/>
  <c r="AT988" i="11"/>
  <c r="BR987" i="11"/>
  <c r="BQ987" i="11"/>
  <c r="BP987" i="11"/>
  <c r="BN987" i="11"/>
  <c r="BM987" i="11"/>
  <c r="BL987" i="11"/>
  <c r="BK987" i="11"/>
  <c r="BJ987" i="11"/>
  <c r="BI987" i="11"/>
  <c r="BH987" i="11"/>
  <c r="BG987" i="11"/>
  <c r="BE987" i="11"/>
  <c r="BD987" i="11"/>
  <c r="BF987" i="11" s="1"/>
  <c r="BB987" i="11"/>
  <c r="BC987" i="11" s="1"/>
  <c r="BA987" i="11"/>
  <c r="AZ987" i="11"/>
  <c r="AY987" i="11"/>
  <c r="AX987" i="11"/>
  <c r="AW987" i="11"/>
  <c r="AU987" i="11"/>
  <c r="AT987" i="11"/>
  <c r="BR986" i="11"/>
  <c r="BQ986" i="11"/>
  <c r="BP986" i="11"/>
  <c r="BN986" i="11"/>
  <c r="BM986" i="11"/>
  <c r="BL986" i="11"/>
  <c r="BK986" i="11"/>
  <c r="BJ986" i="11"/>
  <c r="BI986" i="11"/>
  <c r="BH986" i="11"/>
  <c r="BG986" i="11"/>
  <c r="BE986" i="11"/>
  <c r="BD986" i="11"/>
  <c r="BF986" i="11" s="1"/>
  <c r="BC986" i="11"/>
  <c r="BB986" i="11"/>
  <c r="BA986" i="11"/>
  <c r="AY986" i="11"/>
  <c r="AX986" i="11"/>
  <c r="AW986" i="11"/>
  <c r="AU986" i="11"/>
  <c r="AT986" i="11"/>
  <c r="BR985" i="11"/>
  <c r="BQ985" i="11"/>
  <c r="BP985" i="11"/>
  <c r="BN985" i="11"/>
  <c r="BM985" i="11"/>
  <c r="BL985" i="11"/>
  <c r="BK985" i="11"/>
  <c r="BJ985" i="11"/>
  <c r="BH985" i="11"/>
  <c r="BG985" i="11"/>
  <c r="BI985" i="11" s="1"/>
  <c r="BE985" i="11"/>
  <c r="BD985" i="11"/>
  <c r="BF985" i="11" s="1"/>
  <c r="BB985" i="11"/>
  <c r="BC985" i="11" s="1"/>
  <c r="BA985" i="11"/>
  <c r="AZ985" i="11"/>
  <c r="AY985" i="11"/>
  <c r="AX985" i="11"/>
  <c r="AW985" i="11"/>
  <c r="AU985" i="11"/>
  <c r="AT985" i="11"/>
  <c r="BR984" i="11"/>
  <c r="BQ984" i="11"/>
  <c r="BP984" i="11"/>
  <c r="BN984" i="11"/>
  <c r="BM984" i="11"/>
  <c r="BL984" i="11"/>
  <c r="BK984" i="11"/>
  <c r="BJ984" i="11"/>
  <c r="BH984" i="11"/>
  <c r="BG984" i="11"/>
  <c r="BI984" i="11" s="1"/>
  <c r="BF984" i="11"/>
  <c r="BE984" i="11"/>
  <c r="BD984" i="11"/>
  <c r="BB984" i="11"/>
  <c r="BC984" i="11" s="1"/>
  <c r="BA984" i="11"/>
  <c r="AY984" i="11"/>
  <c r="AZ984" i="11" s="1"/>
  <c r="AX984" i="11"/>
  <c r="AW984" i="11"/>
  <c r="AU984" i="11"/>
  <c r="AT984" i="11"/>
  <c r="BR983" i="11"/>
  <c r="BQ983" i="11"/>
  <c r="BP983" i="11"/>
  <c r="BN983" i="11"/>
  <c r="BM983" i="11"/>
  <c r="BL983" i="11"/>
  <c r="BK983" i="11"/>
  <c r="BJ983" i="11"/>
  <c r="BH983" i="11"/>
  <c r="BG983" i="11"/>
  <c r="BI983" i="11" s="1"/>
  <c r="BF983" i="11"/>
  <c r="BE983" i="11"/>
  <c r="BD983" i="11"/>
  <c r="BB983" i="11"/>
  <c r="BC983" i="11" s="1"/>
  <c r="BA983" i="11"/>
  <c r="AZ983" i="11"/>
  <c r="AY983" i="11"/>
  <c r="AX983" i="11"/>
  <c r="AW983" i="11"/>
  <c r="AU983" i="11"/>
  <c r="AT983" i="11"/>
  <c r="BR982" i="11"/>
  <c r="BQ982" i="11"/>
  <c r="BP982" i="11"/>
  <c r="BN982" i="11"/>
  <c r="BM982" i="11"/>
  <c r="BL982" i="11"/>
  <c r="BK982" i="11"/>
  <c r="BJ982" i="11"/>
  <c r="BI982" i="11"/>
  <c r="BH982" i="11"/>
  <c r="BG982" i="11"/>
  <c r="BE982" i="11"/>
  <c r="BD982" i="11"/>
  <c r="BF982" i="11" s="1"/>
  <c r="BB982" i="11"/>
  <c r="BC982" i="11" s="1"/>
  <c r="BA982" i="11"/>
  <c r="AZ982" i="11"/>
  <c r="AY982" i="11"/>
  <c r="AX982" i="11"/>
  <c r="AW982" i="11"/>
  <c r="AU982" i="11"/>
  <c r="AT982" i="11"/>
  <c r="BR981" i="11"/>
  <c r="BQ981" i="11"/>
  <c r="BP981" i="11"/>
  <c r="BN981" i="11"/>
  <c r="BM981" i="11"/>
  <c r="BL981" i="11"/>
  <c r="BK981" i="11"/>
  <c r="BJ981" i="11"/>
  <c r="BH981" i="11"/>
  <c r="BI981" i="11" s="1"/>
  <c r="BG981" i="11"/>
  <c r="BF981" i="11"/>
  <c r="BE981" i="11"/>
  <c r="BD981" i="11"/>
  <c r="BC981" i="11"/>
  <c r="BB981" i="11"/>
  <c r="BA981" i="11"/>
  <c r="AY981" i="11"/>
  <c r="AX981" i="11"/>
  <c r="AW981" i="11"/>
  <c r="AU981" i="11"/>
  <c r="AT981" i="11"/>
  <c r="BR980" i="11"/>
  <c r="BQ980" i="11"/>
  <c r="BP980" i="11"/>
  <c r="BN980" i="11"/>
  <c r="BM980" i="11"/>
  <c r="BL980" i="11"/>
  <c r="BK980" i="11"/>
  <c r="BJ980" i="11"/>
  <c r="BH980" i="11"/>
  <c r="BG980" i="11"/>
  <c r="BI980" i="11" s="1"/>
  <c r="BE980" i="11"/>
  <c r="BD980" i="11"/>
  <c r="BF980" i="11" s="1"/>
  <c r="BC980" i="11"/>
  <c r="BB980" i="11"/>
  <c r="BA980" i="11"/>
  <c r="AY980" i="11"/>
  <c r="AX980" i="11"/>
  <c r="AZ980" i="11" s="1"/>
  <c r="AW980" i="11"/>
  <c r="AU980" i="11"/>
  <c r="AT980" i="11"/>
  <c r="BR979" i="11"/>
  <c r="BQ979" i="11"/>
  <c r="BP979" i="11"/>
  <c r="BN979" i="11"/>
  <c r="BM979" i="11"/>
  <c r="BL979" i="11"/>
  <c r="BK979" i="11"/>
  <c r="BJ979" i="11"/>
  <c r="BH979" i="11"/>
  <c r="BI979" i="11" s="1"/>
  <c r="BG979" i="11"/>
  <c r="BE979" i="11"/>
  <c r="BD979" i="11"/>
  <c r="BF979" i="11" s="1"/>
  <c r="BB979" i="11"/>
  <c r="BC979" i="11" s="1"/>
  <c r="BA979" i="11"/>
  <c r="AY979" i="11"/>
  <c r="AX979" i="11"/>
  <c r="AZ979" i="11" s="1"/>
  <c r="AW979" i="11"/>
  <c r="AU979" i="11"/>
  <c r="AT979" i="11"/>
  <c r="BR978" i="11"/>
  <c r="BQ978" i="11"/>
  <c r="BP978" i="11"/>
  <c r="BN978" i="11"/>
  <c r="BM978" i="11"/>
  <c r="BL978" i="11"/>
  <c r="BK978" i="11"/>
  <c r="BJ978" i="11"/>
  <c r="BH978" i="11"/>
  <c r="BG978" i="11"/>
  <c r="BE978" i="11"/>
  <c r="BF978" i="11" s="1"/>
  <c r="BD978" i="11"/>
  <c r="BC978" i="11"/>
  <c r="BB978" i="11"/>
  <c r="BA978" i="11"/>
  <c r="AZ978" i="11"/>
  <c r="AY978" i="11"/>
  <c r="AX978" i="11"/>
  <c r="AW978" i="11"/>
  <c r="AU978" i="11"/>
  <c r="AT978" i="11"/>
  <c r="BR977" i="11"/>
  <c r="BQ977" i="11"/>
  <c r="BP977" i="11"/>
  <c r="BN977" i="11"/>
  <c r="BM977" i="11"/>
  <c r="BL977" i="11"/>
  <c r="BK977" i="11"/>
  <c r="BJ977" i="11"/>
  <c r="BH977" i="11"/>
  <c r="BG977" i="11"/>
  <c r="BI977" i="11" s="1"/>
  <c r="BF977" i="11"/>
  <c r="BE977" i="11"/>
  <c r="BD977" i="11"/>
  <c r="BB977" i="11"/>
  <c r="BC977" i="11" s="1"/>
  <c r="BA977" i="11"/>
  <c r="AZ977" i="11"/>
  <c r="AY977" i="11"/>
  <c r="AX977" i="11"/>
  <c r="AW977" i="11"/>
  <c r="AU977" i="11"/>
  <c r="AT977" i="11"/>
  <c r="BR976" i="11"/>
  <c r="BQ976" i="11"/>
  <c r="BP976" i="11"/>
  <c r="BN976" i="11"/>
  <c r="BM976" i="11"/>
  <c r="BL976" i="11"/>
  <c r="BK976" i="11"/>
  <c r="BJ976" i="11"/>
  <c r="BH976" i="11"/>
  <c r="BG976" i="11"/>
  <c r="BI976" i="11" s="1"/>
  <c r="BF976" i="11"/>
  <c r="BE976" i="11"/>
  <c r="BD976" i="11"/>
  <c r="BC976" i="11"/>
  <c r="BB976" i="11"/>
  <c r="BA976" i="11"/>
  <c r="AY976" i="11"/>
  <c r="AX976" i="11"/>
  <c r="AZ976" i="11" s="1"/>
  <c r="AW976" i="11"/>
  <c r="AU976" i="11"/>
  <c r="AT976" i="11"/>
  <c r="BR975" i="11"/>
  <c r="BQ975" i="11"/>
  <c r="BP975" i="11"/>
  <c r="BN975" i="11"/>
  <c r="BM975" i="11"/>
  <c r="BL975" i="11"/>
  <c r="BK975" i="11"/>
  <c r="BJ975" i="11"/>
  <c r="BI975" i="11"/>
  <c r="BH975" i="11"/>
  <c r="BG975" i="11"/>
  <c r="BE975" i="11"/>
  <c r="BD975" i="11"/>
  <c r="BF975" i="11" s="1"/>
  <c r="BB975" i="11"/>
  <c r="BC975" i="11" s="1"/>
  <c r="BA975" i="11"/>
  <c r="AZ975" i="11"/>
  <c r="AY975" i="11"/>
  <c r="AX975" i="11"/>
  <c r="AW975" i="11"/>
  <c r="AU975" i="11"/>
  <c r="AT975" i="11"/>
  <c r="BR974" i="11"/>
  <c r="BQ974" i="11"/>
  <c r="BP974" i="11"/>
  <c r="BN974" i="11"/>
  <c r="BM974" i="11"/>
  <c r="BL974" i="11"/>
  <c r="BK974" i="11"/>
  <c r="BJ974" i="11"/>
  <c r="BI974" i="11"/>
  <c r="BH974" i="11"/>
  <c r="BG974" i="11"/>
  <c r="BE974" i="11"/>
  <c r="BD974" i="11"/>
  <c r="BF974" i="11" s="1"/>
  <c r="BC974" i="11"/>
  <c r="BB974" i="11"/>
  <c r="BA974" i="11"/>
  <c r="AY974" i="11"/>
  <c r="AX974" i="11"/>
  <c r="AW974" i="11"/>
  <c r="AU974" i="11"/>
  <c r="AT974" i="11"/>
  <c r="BR973" i="11"/>
  <c r="BQ973" i="11"/>
  <c r="BP973" i="11"/>
  <c r="BN973" i="11"/>
  <c r="BM973" i="11"/>
  <c r="BL973" i="11"/>
  <c r="BK973" i="11"/>
  <c r="BJ973" i="11"/>
  <c r="BH973" i="11"/>
  <c r="BG973" i="11"/>
  <c r="BI973" i="11" s="1"/>
  <c r="BE973" i="11"/>
  <c r="BD973" i="11"/>
  <c r="BF973" i="11" s="1"/>
  <c r="BB973" i="11"/>
  <c r="BC973" i="11" s="1"/>
  <c r="BA973" i="11"/>
  <c r="AZ973" i="11"/>
  <c r="AY973" i="11"/>
  <c r="AX973" i="11"/>
  <c r="AW973" i="11"/>
  <c r="AU973" i="11"/>
  <c r="AT973" i="11"/>
  <c r="BR972" i="11"/>
  <c r="BQ972" i="11"/>
  <c r="BP972" i="11"/>
  <c r="BN972" i="11"/>
  <c r="BM972" i="11"/>
  <c r="BL972" i="11"/>
  <c r="BK972" i="11"/>
  <c r="BJ972" i="11"/>
  <c r="BH972" i="11"/>
  <c r="BG972" i="11"/>
  <c r="BI972" i="11" s="1"/>
  <c r="BF972" i="11"/>
  <c r="BE972" i="11"/>
  <c r="BD972" i="11"/>
  <c r="BB972" i="11"/>
  <c r="BC972" i="11" s="1"/>
  <c r="BA972" i="11"/>
  <c r="AY972" i="11"/>
  <c r="AZ972" i="11" s="1"/>
  <c r="AX972" i="11"/>
  <c r="AW972" i="11"/>
  <c r="AU972" i="11"/>
  <c r="AT972" i="11"/>
  <c r="BR971" i="11"/>
  <c r="BQ971" i="11"/>
  <c r="BP971" i="11"/>
  <c r="BN971" i="11"/>
  <c r="BM971" i="11"/>
  <c r="BL971" i="11"/>
  <c r="BK971" i="11"/>
  <c r="BJ971" i="11"/>
  <c r="BH971" i="11"/>
  <c r="BG971" i="11"/>
  <c r="BI971" i="11" s="1"/>
  <c r="BF971" i="11"/>
  <c r="BE971" i="11"/>
  <c r="BD971" i="11"/>
  <c r="BB971" i="11"/>
  <c r="BC971" i="11" s="1"/>
  <c r="BA971" i="11"/>
  <c r="AZ971" i="11"/>
  <c r="AY971" i="11"/>
  <c r="AX971" i="11"/>
  <c r="AW971" i="11"/>
  <c r="AU971" i="11"/>
  <c r="AT971" i="11"/>
  <c r="BR970" i="11"/>
  <c r="BQ970" i="11"/>
  <c r="BP970" i="11"/>
  <c r="BN970" i="11"/>
  <c r="BM970" i="11"/>
  <c r="BL970" i="11"/>
  <c r="BK970" i="11"/>
  <c r="BJ970" i="11"/>
  <c r="BI970" i="11"/>
  <c r="BH970" i="11"/>
  <c r="BG970" i="11"/>
  <c r="BE970" i="11"/>
  <c r="BD970" i="11"/>
  <c r="BF970" i="11" s="1"/>
  <c r="BB970" i="11"/>
  <c r="BC970" i="11" s="1"/>
  <c r="BA970" i="11"/>
  <c r="AZ970" i="11"/>
  <c r="AY970" i="11"/>
  <c r="AX970" i="11"/>
  <c r="AW970" i="11"/>
  <c r="AU970" i="11"/>
  <c r="AT970" i="11"/>
  <c r="BR969" i="11"/>
  <c r="BQ969" i="11"/>
  <c r="BP969" i="11"/>
  <c r="BN969" i="11"/>
  <c r="BM969" i="11"/>
  <c r="BL969" i="11"/>
  <c r="BK969" i="11"/>
  <c r="BJ969" i="11"/>
  <c r="BH969" i="11"/>
  <c r="BI969" i="11" s="1"/>
  <c r="BG969" i="11"/>
  <c r="BF969" i="11"/>
  <c r="BE969" i="11"/>
  <c r="BD969" i="11"/>
  <c r="BC969" i="11"/>
  <c r="BB969" i="11"/>
  <c r="BA969" i="11"/>
  <c r="AY969" i="11"/>
  <c r="AX969" i="11"/>
  <c r="AW969" i="11"/>
  <c r="AU969" i="11"/>
  <c r="AT969" i="11"/>
  <c r="BR968" i="11"/>
  <c r="BQ968" i="11"/>
  <c r="BP968" i="11"/>
  <c r="BN968" i="11"/>
  <c r="BM968" i="11"/>
  <c r="BL968" i="11"/>
  <c r="BK968" i="11"/>
  <c r="BJ968" i="11"/>
  <c r="BH968" i="11"/>
  <c r="BG968" i="11"/>
  <c r="BI968" i="11" s="1"/>
  <c r="BE968" i="11"/>
  <c r="BD968" i="11"/>
  <c r="BF968" i="11" s="1"/>
  <c r="BC968" i="11"/>
  <c r="BB968" i="11"/>
  <c r="BA968" i="11"/>
  <c r="AY968" i="11"/>
  <c r="AX968" i="11"/>
  <c r="AZ968" i="11" s="1"/>
  <c r="AW968" i="11"/>
  <c r="AU968" i="11"/>
  <c r="AT968" i="11"/>
  <c r="BR967" i="11"/>
  <c r="BQ967" i="11"/>
  <c r="BP967" i="11"/>
  <c r="BN967" i="11"/>
  <c r="BM967" i="11"/>
  <c r="BL967" i="11"/>
  <c r="BK967" i="11"/>
  <c r="BJ967" i="11"/>
  <c r="BH967" i="11"/>
  <c r="BI967" i="11" s="1"/>
  <c r="BG967" i="11"/>
  <c r="BE967" i="11"/>
  <c r="BD967" i="11"/>
  <c r="BF967" i="11" s="1"/>
  <c r="BB967" i="11"/>
  <c r="BC967" i="11" s="1"/>
  <c r="BA967" i="11"/>
  <c r="AY967" i="11"/>
  <c r="AX967" i="11"/>
  <c r="AZ967" i="11" s="1"/>
  <c r="AW967" i="11"/>
  <c r="AU967" i="11"/>
  <c r="AT967" i="11"/>
  <c r="BR966" i="11"/>
  <c r="BQ966" i="11"/>
  <c r="BP966" i="11"/>
  <c r="BN966" i="11"/>
  <c r="BM966" i="11"/>
  <c r="BL966" i="11"/>
  <c r="BK966" i="11"/>
  <c r="BJ966" i="11"/>
  <c r="BH966" i="11"/>
  <c r="BG966" i="11"/>
  <c r="BE966" i="11"/>
  <c r="BF966" i="11" s="1"/>
  <c r="BD966" i="11"/>
  <c r="BC966" i="11"/>
  <c r="BB966" i="11"/>
  <c r="BA966" i="11"/>
  <c r="AZ966" i="11"/>
  <c r="AY966" i="11"/>
  <c r="AX966" i="11"/>
  <c r="AW966" i="11"/>
  <c r="AU966" i="11"/>
  <c r="AT966" i="11"/>
  <c r="BR965" i="11"/>
  <c r="BQ965" i="11"/>
  <c r="BP965" i="11"/>
  <c r="BN965" i="11"/>
  <c r="BM965" i="11"/>
  <c r="BL965" i="11"/>
  <c r="BK965" i="11"/>
  <c r="BJ965" i="11"/>
  <c r="BH965" i="11"/>
  <c r="BG965" i="11"/>
  <c r="BI965" i="11" s="1"/>
  <c r="BF965" i="11"/>
  <c r="BE965" i="11"/>
  <c r="BD965" i="11"/>
  <c r="BB965" i="11"/>
  <c r="BC965" i="11" s="1"/>
  <c r="BA965" i="11"/>
  <c r="AZ965" i="11"/>
  <c r="AY965" i="11"/>
  <c r="AX965" i="11"/>
  <c r="AW965" i="11"/>
  <c r="AU965" i="11"/>
  <c r="AT965" i="11"/>
  <c r="BR964" i="11"/>
  <c r="BQ964" i="11"/>
  <c r="BP964" i="11"/>
  <c r="BN964" i="11"/>
  <c r="BM964" i="11"/>
  <c r="BL964" i="11"/>
  <c r="BK964" i="11"/>
  <c r="BJ964" i="11"/>
  <c r="BH964" i="11"/>
  <c r="BG964" i="11"/>
  <c r="BI964" i="11" s="1"/>
  <c r="BF964" i="11"/>
  <c r="BE964" i="11"/>
  <c r="BD964" i="11"/>
  <c r="BC964" i="11"/>
  <c r="BB964" i="11"/>
  <c r="BA964" i="11"/>
  <c r="AY964" i="11"/>
  <c r="AX964" i="11"/>
  <c r="AZ964" i="11" s="1"/>
  <c r="AW964" i="11"/>
  <c r="AU964" i="11"/>
  <c r="AT964" i="11"/>
  <c r="BR963" i="11"/>
  <c r="BQ963" i="11"/>
  <c r="BP963" i="11"/>
  <c r="BN963" i="11"/>
  <c r="BM963" i="11"/>
  <c r="BL963" i="11"/>
  <c r="BK963" i="11"/>
  <c r="BJ963" i="11"/>
  <c r="BI963" i="11"/>
  <c r="BH963" i="11"/>
  <c r="BG963" i="11"/>
  <c r="BE963" i="11"/>
  <c r="BD963" i="11"/>
  <c r="BF963" i="11" s="1"/>
  <c r="BB963" i="11"/>
  <c r="BC963" i="11" s="1"/>
  <c r="BA963" i="11"/>
  <c r="AZ963" i="11"/>
  <c r="AY963" i="11"/>
  <c r="AX963" i="11"/>
  <c r="AW963" i="11"/>
  <c r="AU963" i="11"/>
  <c r="AT963" i="11"/>
  <c r="BR962" i="11"/>
  <c r="BQ962" i="11"/>
  <c r="BP962" i="11"/>
  <c r="BN962" i="11"/>
  <c r="BM962" i="11"/>
  <c r="BL962" i="11"/>
  <c r="BK962" i="11"/>
  <c r="BJ962" i="11"/>
  <c r="BI962" i="11"/>
  <c r="BH962" i="11"/>
  <c r="BG962" i="11"/>
  <c r="BE962" i="11"/>
  <c r="BD962" i="11"/>
  <c r="BF962" i="11" s="1"/>
  <c r="BC962" i="11"/>
  <c r="BB962" i="11"/>
  <c r="BA962" i="11"/>
  <c r="AY962" i="11"/>
  <c r="AX962" i="11"/>
  <c r="AW962" i="11"/>
  <c r="AU962" i="11"/>
  <c r="AT962" i="11"/>
  <c r="BR961" i="11"/>
  <c r="BQ961" i="11"/>
  <c r="BP961" i="11"/>
  <c r="BN961" i="11"/>
  <c r="BM961" i="11"/>
  <c r="BL961" i="11"/>
  <c r="BK961" i="11"/>
  <c r="BJ961" i="11"/>
  <c r="BH961" i="11"/>
  <c r="BG961" i="11"/>
  <c r="BI961" i="11" s="1"/>
  <c r="BE961" i="11"/>
  <c r="BD961" i="11"/>
  <c r="BF961" i="11" s="1"/>
  <c r="BB961" i="11"/>
  <c r="BC961" i="11" s="1"/>
  <c r="BA961" i="11"/>
  <c r="AZ961" i="11"/>
  <c r="AY961" i="11"/>
  <c r="AX961" i="11"/>
  <c r="AW961" i="11"/>
  <c r="AU961" i="11"/>
  <c r="AT961" i="11"/>
  <c r="BR960" i="11"/>
  <c r="BQ960" i="11"/>
  <c r="BP960" i="11"/>
  <c r="BN960" i="11"/>
  <c r="BM960" i="11"/>
  <c r="BL960" i="11"/>
  <c r="BK960" i="11"/>
  <c r="BJ960" i="11"/>
  <c r="BH960" i="11"/>
  <c r="BG960" i="11"/>
  <c r="BI960" i="11" s="1"/>
  <c r="BF960" i="11"/>
  <c r="BE960" i="11"/>
  <c r="BD960" i="11"/>
  <c r="BB960" i="11"/>
  <c r="BC960" i="11" s="1"/>
  <c r="BA960" i="11"/>
  <c r="AY960" i="11"/>
  <c r="AZ960" i="11" s="1"/>
  <c r="AX960" i="11"/>
  <c r="AW960" i="11"/>
  <c r="AU960" i="11"/>
  <c r="AT960" i="11"/>
  <c r="BR959" i="11"/>
  <c r="BQ959" i="11"/>
  <c r="BP959" i="11"/>
  <c r="BN959" i="11"/>
  <c r="BM959" i="11"/>
  <c r="BL959" i="11"/>
  <c r="BK959" i="11"/>
  <c r="BJ959" i="11"/>
  <c r="BH959" i="11"/>
  <c r="BG959" i="11"/>
  <c r="BI959" i="11" s="1"/>
  <c r="BF959" i="11"/>
  <c r="BE959" i="11"/>
  <c r="BD959" i="11"/>
  <c r="BB959" i="11"/>
  <c r="BC959" i="11" s="1"/>
  <c r="BA959" i="11"/>
  <c r="AZ959" i="11"/>
  <c r="AY959" i="11"/>
  <c r="AX959" i="11"/>
  <c r="AW959" i="11"/>
  <c r="AU959" i="11"/>
  <c r="AT959" i="11"/>
  <c r="BR958" i="11"/>
  <c r="BQ958" i="11"/>
  <c r="BP958" i="11"/>
  <c r="BN958" i="11"/>
  <c r="BM958" i="11"/>
  <c r="BL958" i="11"/>
  <c r="BK958" i="11"/>
  <c r="BJ958" i="11"/>
  <c r="BI958" i="11"/>
  <c r="BH958" i="11"/>
  <c r="BG958" i="11"/>
  <c r="BE958" i="11"/>
  <c r="BD958" i="11"/>
  <c r="BF958" i="11" s="1"/>
  <c r="BB958" i="11"/>
  <c r="BC958" i="11" s="1"/>
  <c r="BA958" i="11"/>
  <c r="AY958" i="11"/>
  <c r="AZ958" i="11" s="1"/>
  <c r="AX958" i="11"/>
  <c r="AW958" i="11"/>
  <c r="AU958" i="11"/>
  <c r="AT958" i="11"/>
  <c r="BR957" i="11"/>
  <c r="BQ957" i="11"/>
  <c r="BP957" i="11"/>
  <c r="BN957" i="11"/>
  <c r="BM957" i="11"/>
  <c r="BL957" i="11"/>
  <c r="BK957" i="11"/>
  <c r="BJ957" i="11"/>
  <c r="BH957" i="11"/>
  <c r="BI957" i="11" s="1"/>
  <c r="BG957" i="11"/>
  <c r="BF957" i="11"/>
  <c r="BE957" i="11"/>
  <c r="BD957" i="11"/>
  <c r="BC957" i="11"/>
  <c r="BB957" i="11"/>
  <c r="BA957" i="11"/>
  <c r="AY957" i="11"/>
  <c r="AX957" i="11"/>
  <c r="AW957" i="11"/>
  <c r="AU957" i="11"/>
  <c r="AT957" i="11"/>
  <c r="BR956" i="11"/>
  <c r="BQ956" i="11"/>
  <c r="BP956" i="11"/>
  <c r="BN956" i="11"/>
  <c r="BM956" i="11"/>
  <c r="BL956" i="11"/>
  <c r="BK956" i="11"/>
  <c r="BJ956" i="11"/>
  <c r="BH956" i="11"/>
  <c r="BG956" i="11"/>
  <c r="BI956" i="11" s="1"/>
  <c r="BE956" i="11"/>
  <c r="BD956" i="11"/>
  <c r="BF956" i="11" s="1"/>
  <c r="BC956" i="11"/>
  <c r="BB956" i="11"/>
  <c r="BA956" i="11"/>
  <c r="AY956" i="11"/>
  <c r="AX956" i="11"/>
  <c r="AZ956" i="11" s="1"/>
  <c r="AW956" i="11"/>
  <c r="AU956" i="11"/>
  <c r="AT956" i="11"/>
  <c r="BR955" i="11"/>
  <c r="BQ955" i="11"/>
  <c r="BP955" i="11"/>
  <c r="BN955" i="11"/>
  <c r="BM955" i="11"/>
  <c r="BL955" i="11"/>
  <c r="BK955" i="11"/>
  <c r="BJ955" i="11"/>
  <c r="BH955" i="11"/>
  <c r="BI955" i="11" s="1"/>
  <c r="BG955" i="11"/>
  <c r="BE955" i="11"/>
  <c r="BD955" i="11"/>
  <c r="BF955" i="11" s="1"/>
  <c r="BB955" i="11"/>
  <c r="BC955" i="11" s="1"/>
  <c r="BA955" i="11"/>
  <c r="AY955" i="11"/>
  <c r="AX955" i="11"/>
  <c r="AZ955" i="11" s="1"/>
  <c r="AW955" i="11"/>
  <c r="AU955" i="11"/>
  <c r="AT955" i="11"/>
  <c r="BR954" i="11"/>
  <c r="BQ954" i="11"/>
  <c r="BP954" i="11"/>
  <c r="BN954" i="11"/>
  <c r="BM954" i="11"/>
  <c r="BL954" i="11"/>
  <c r="BK954" i="11"/>
  <c r="BJ954" i="11"/>
  <c r="BH954" i="11"/>
  <c r="BG954" i="11"/>
  <c r="BE954" i="11"/>
  <c r="BF954" i="11" s="1"/>
  <c r="BD954" i="11"/>
  <c r="BC954" i="11"/>
  <c r="BB954" i="11"/>
  <c r="BA954" i="11"/>
  <c r="AZ954" i="11"/>
  <c r="AY954" i="11"/>
  <c r="AX954" i="11"/>
  <c r="AW954" i="11"/>
  <c r="AU954" i="11"/>
  <c r="AT954" i="11"/>
  <c r="BR953" i="11"/>
  <c r="BQ953" i="11"/>
  <c r="BP953" i="11"/>
  <c r="BN953" i="11"/>
  <c r="BM953" i="11"/>
  <c r="BL953" i="11"/>
  <c r="BK953" i="11"/>
  <c r="BJ953" i="11"/>
  <c r="BH953" i="11"/>
  <c r="BG953" i="11"/>
  <c r="BI953" i="11" s="1"/>
  <c r="BF953" i="11"/>
  <c r="BE953" i="11"/>
  <c r="BD953" i="11"/>
  <c r="BB953" i="11"/>
  <c r="BC953" i="11" s="1"/>
  <c r="BA953" i="11"/>
  <c r="AZ953" i="11"/>
  <c r="AY953" i="11"/>
  <c r="AX953" i="11"/>
  <c r="AW953" i="11"/>
  <c r="AU953" i="11"/>
  <c r="AT953" i="11"/>
  <c r="BR952" i="11"/>
  <c r="BQ952" i="11"/>
  <c r="BP952" i="11"/>
  <c r="BN952" i="11"/>
  <c r="BM952" i="11"/>
  <c r="BL952" i="11"/>
  <c r="BK952" i="11"/>
  <c r="BJ952" i="11"/>
  <c r="BH952" i="11"/>
  <c r="BG952" i="11"/>
  <c r="BI952" i="11" s="1"/>
  <c r="BF952" i="11"/>
  <c r="BE952" i="11"/>
  <c r="BD952" i="11"/>
  <c r="BC952" i="11"/>
  <c r="BB952" i="11"/>
  <c r="BA952" i="11"/>
  <c r="AY952" i="11"/>
  <c r="AX952" i="11"/>
  <c r="AZ952" i="11" s="1"/>
  <c r="AW952" i="11"/>
  <c r="AU952" i="11"/>
  <c r="AT952" i="11"/>
  <c r="BR951" i="11"/>
  <c r="BQ951" i="11"/>
  <c r="BP951" i="11"/>
  <c r="BN951" i="11"/>
  <c r="BM951" i="11"/>
  <c r="BL951" i="11"/>
  <c r="BK951" i="11"/>
  <c r="BJ951" i="11"/>
  <c r="BI951" i="11"/>
  <c r="BH951" i="11"/>
  <c r="BG951" i="11"/>
  <c r="BE951" i="11"/>
  <c r="BD951" i="11"/>
  <c r="BF951" i="11" s="1"/>
  <c r="BB951" i="11"/>
  <c r="BC951" i="11" s="1"/>
  <c r="BA951" i="11"/>
  <c r="AZ951" i="11"/>
  <c r="AY951" i="11"/>
  <c r="AX951" i="11"/>
  <c r="AW951" i="11"/>
  <c r="AU951" i="11"/>
  <c r="AT951" i="11"/>
  <c r="BR950" i="11"/>
  <c r="BQ950" i="11"/>
  <c r="BP950" i="11"/>
  <c r="BN950" i="11"/>
  <c r="BM950" i="11"/>
  <c r="BL950" i="11"/>
  <c r="BK950" i="11"/>
  <c r="BJ950" i="11"/>
  <c r="BI950" i="11"/>
  <c r="BH950" i="11"/>
  <c r="BG950" i="11"/>
  <c r="BE950" i="11"/>
  <c r="BD950" i="11"/>
  <c r="BF950" i="11" s="1"/>
  <c r="BC950" i="11"/>
  <c r="BB950" i="11"/>
  <c r="BA950" i="11"/>
  <c r="AY950" i="11"/>
  <c r="AX950" i="11"/>
  <c r="AW950" i="11"/>
  <c r="AU950" i="11"/>
  <c r="AT950" i="11"/>
  <c r="BR949" i="11"/>
  <c r="BQ949" i="11"/>
  <c r="BP949" i="11"/>
  <c r="BN949" i="11"/>
  <c r="BM949" i="11"/>
  <c r="BL949" i="11"/>
  <c r="BK949" i="11"/>
  <c r="BJ949" i="11"/>
  <c r="BH949" i="11"/>
  <c r="BG949" i="11"/>
  <c r="BI949" i="11" s="1"/>
  <c r="BE949" i="11"/>
  <c r="BD949" i="11"/>
  <c r="BF949" i="11" s="1"/>
  <c r="BB949" i="11"/>
  <c r="BC949" i="11" s="1"/>
  <c r="BA949" i="11"/>
  <c r="AZ949" i="11"/>
  <c r="AY949" i="11"/>
  <c r="AX949" i="11"/>
  <c r="AW949" i="11"/>
  <c r="AU949" i="11"/>
  <c r="AT949" i="11"/>
  <c r="BR948" i="11"/>
  <c r="BQ948" i="11"/>
  <c r="BP948" i="11"/>
  <c r="BN948" i="11"/>
  <c r="BM948" i="11"/>
  <c r="BL948" i="11"/>
  <c r="BK948" i="11"/>
  <c r="BJ948" i="11"/>
  <c r="BH948" i="11"/>
  <c r="BG948" i="11"/>
  <c r="BI948" i="11" s="1"/>
  <c r="BF948" i="11"/>
  <c r="BE948" i="11"/>
  <c r="BD948" i="11"/>
  <c r="BB948" i="11"/>
  <c r="BC948" i="11" s="1"/>
  <c r="BA948" i="11"/>
  <c r="AY948" i="11"/>
  <c r="AZ948" i="11" s="1"/>
  <c r="AX948" i="11"/>
  <c r="AW948" i="11"/>
  <c r="AU948" i="11"/>
  <c r="AT948" i="11"/>
  <c r="BR947" i="11"/>
  <c r="BQ947" i="11"/>
  <c r="BP947" i="11"/>
  <c r="BN947" i="11"/>
  <c r="BM947" i="11"/>
  <c r="BL947" i="11"/>
  <c r="BK947" i="11"/>
  <c r="BJ947" i="11"/>
  <c r="BH947" i="11"/>
  <c r="BG947" i="11"/>
  <c r="BI947" i="11" s="1"/>
  <c r="BF947" i="11"/>
  <c r="BE947" i="11"/>
  <c r="BD947" i="11"/>
  <c r="BB947" i="11"/>
  <c r="BC947" i="11" s="1"/>
  <c r="BA947" i="11"/>
  <c r="AZ947" i="11"/>
  <c r="AY947" i="11"/>
  <c r="AX947" i="11"/>
  <c r="AW947" i="11"/>
  <c r="AU947" i="11"/>
  <c r="AT947" i="11"/>
  <c r="BR946" i="11"/>
  <c r="BQ946" i="11"/>
  <c r="BP946" i="11"/>
  <c r="BN946" i="11"/>
  <c r="BM946" i="11"/>
  <c r="BL946" i="11"/>
  <c r="BK946" i="11"/>
  <c r="BJ946" i="11"/>
  <c r="BI946" i="11"/>
  <c r="BH946" i="11"/>
  <c r="BG946" i="11"/>
  <c r="BE946" i="11"/>
  <c r="BD946" i="11"/>
  <c r="BF946" i="11" s="1"/>
  <c r="BB946" i="11"/>
  <c r="BC946" i="11" s="1"/>
  <c r="BA946" i="11"/>
  <c r="AZ946" i="11"/>
  <c r="AY946" i="11"/>
  <c r="AX946" i="11"/>
  <c r="AW946" i="11"/>
  <c r="AU946" i="11"/>
  <c r="AT946" i="11"/>
  <c r="BR945" i="11"/>
  <c r="BQ945" i="11"/>
  <c r="BP945" i="11"/>
  <c r="BN945" i="11"/>
  <c r="BM945" i="11"/>
  <c r="BL945" i="11"/>
  <c r="BK945" i="11"/>
  <c r="BJ945" i="11"/>
  <c r="BH945" i="11"/>
  <c r="BI945" i="11" s="1"/>
  <c r="BG945" i="11"/>
  <c r="BF945" i="11"/>
  <c r="BE945" i="11"/>
  <c r="BD945" i="11"/>
  <c r="BC945" i="11"/>
  <c r="BB945" i="11"/>
  <c r="BA945" i="11"/>
  <c r="AY945" i="11"/>
  <c r="AX945" i="11"/>
  <c r="AW945" i="11"/>
  <c r="AU945" i="11"/>
  <c r="AT945" i="11"/>
  <c r="BR944" i="11"/>
  <c r="BQ944" i="11"/>
  <c r="BP944" i="11"/>
  <c r="BN944" i="11"/>
  <c r="BM944" i="11"/>
  <c r="BL944" i="11"/>
  <c r="BK944" i="11"/>
  <c r="BJ944" i="11"/>
  <c r="BH944" i="11"/>
  <c r="BG944" i="11"/>
  <c r="BI944" i="11" s="1"/>
  <c r="BE944" i="11"/>
  <c r="BD944" i="11"/>
  <c r="BF944" i="11" s="1"/>
  <c r="BC944" i="11"/>
  <c r="BB944" i="11"/>
  <c r="BA944" i="11"/>
  <c r="AY944" i="11"/>
  <c r="AX944" i="11"/>
  <c r="AZ944" i="11" s="1"/>
  <c r="AW944" i="11"/>
  <c r="AU944" i="11"/>
  <c r="AT944" i="11"/>
  <c r="BR943" i="11"/>
  <c r="BQ943" i="11"/>
  <c r="BP943" i="11"/>
  <c r="BN943" i="11"/>
  <c r="BM943" i="11"/>
  <c r="BL943" i="11"/>
  <c r="BK943" i="11"/>
  <c r="BJ943" i="11"/>
  <c r="BH943" i="11"/>
  <c r="BI943" i="11" s="1"/>
  <c r="BG943" i="11"/>
  <c r="BE943" i="11"/>
  <c r="BD943" i="11"/>
  <c r="BF943" i="11" s="1"/>
  <c r="BB943" i="11"/>
  <c r="BC943" i="11" s="1"/>
  <c r="BA943" i="11"/>
  <c r="AY943" i="11"/>
  <c r="AX943" i="11"/>
  <c r="AZ943" i="11" s="1"/>
  <c r="AW943" i="11"/>
  <c r="AU943" i="11"/>
  <c r="AT943" i="11"/>
  <c r="BR942" i="11"/>
  <c r="BQ942" i="11"/>
  <c r="BP942" i="11"/>
  <c r="BN942" i="11"/>
  <c r="BM942" i="11"/>
  <c r="BL942" i="11"/>
  <c r="BK942" i="11"/>
  <c r="BJ942" i="11"/>
  <c r="BH942" i="11"/>
  <c r="BG942" i="11"/>
  <c r="BE942" i="11"/>
  <c r="BF942" i="11" s="1"/>
  <c r="BD942" i="11"/>
  <c r="BC942" i="11"/>
  <c r="BB942" i="11"/>
  <c r="BA942" i="11"/>
  <c r="AZ942" i="11"/>
  <c r="AY942" i="11"/>
  <c r="AX942" i="11"/>
  <c r="AW942" i="11"/>
  <c r="AU942" i="11"/>
  <c r="AT942" i="11"/>
  <c r="BR941" i="11"/>
  <c r="BQ941" i="11"/>
  <c r="BP941" i="11"/>
  <c r="BN941" i="11"/>
  <c r="BM941" i="11"/>
  <c r="BL941" i="11"/>
  <c r="BK941" i="11"/>
  <c r="BJ941" i="11"/>
  <c r="BH941" i="11"/>
  <c r="BG941" i="11"/>
  <c r="BI941" i="11" s="1"/>
  <c r="BF941" i="11"/>
  <c r="BE941" i="11"/>
  <c r="BD941" i="11"/>
  <c r="BB941" i="11"/>
  <c r="BC941" i="11" s="1"/>
  <c r="BA941" i="11"/>
  <c r="AZ941" i="11"/>
  <c r="AY941" i="11"/>
  <c r="AX941" i="11"/>
  <c r="AW941" i="11"/>
  <c r="AU941" i="11"/>
  <c r="AT941" i="11"/>
  <c r="BR940" i="11"/>
  <c r="BQ940" i="11"/>
  <c r="BP940" i="11"/>
  <c r="BN940" i="11"/>
  <c r="BM940" i="11"/>
  <c r="BL940" i="11"/>
  <c r="BK940" i="11"/>
  <c r="BJ940" i="11"/>
  <c r="BH940" i="11"/>
  <c r="BG940" i="11"/>
  <c r="BI940" i="11" s="1"/>
  <c r="BF940" i="11"/>
  <c r="BE940" i="11"/>
  <c r="BD940" i="11"/>
  <c r="BC940" i="11"/>
  <c r="BB940" i="11"/>
  <c r="BA940" i="11"/>
  <c r="AY940" i="11"/>
  <c r="AX940" i="11"/>
  <c r="AZ940" i="11" s="1"/>
  <c r="AW940" i="11"/>
  <c r="AU940" i="11"/>
  <c r="AT940" i="11"/>
  <c r="BR939" i="11"/>
  <c r="BQ939" i="11"/>
  <c r="BP939" i="11"/>
  <c r="BN939" i="11"/>
  <c r="BM939" i="11"/>
  <c r="BL939" i="11"/>
  <c r="BK939" i="11"/>
  <c r="BJ939" i="11"/>
  <c r="BI939" i="11"/>
  <c r="BH939" i="11"/>
  <c r="BG939" i="11"/>
  <c r="BE939" i="11"/>
  <c r="BD939" i="11"/>
  <c r="BF939" i="11" s="1"/>
  <c r="BB939" i="11"/>
  <c r="BC939" i="11" s="1"/>
  <c r="BA939" i="11"/>
  <c r="AZ939" i="11"/>
  <c r="AY939" i="11"/>
  <c r="AX939" i="11"/>
  <c r="AW939" i="11"/>
  <c r="AU939" i="11"/>
  <c r="AT939" i="11"/>
  <c r="BR938" i="11"/>
  <c r="BQ938" i="11"/>
  <c r="BP938" i="11"/>
  <c r="BN938" i="11"/>
  <c r="BM938" i="11"/>
  <c r="BL938" i="11"/>
  <c r="BK938" i="11"/>
  <c r="BJ938" i="11"/>
  <c r="BI938" i="11"/>
  <c r="BH938" i="11"/>
  <c r="BG938" i="11"/>
  <c r="BE938" i="11"/>
  <c r="BD938" i="11"/>
  <c r="BF938" i="11" s="1"/>
  <c r="BC938" i="11"/>
  <c r="BB938" i="11"/>
  <c r="BA938" i="11"/>
  <c r="AY938" i="11"/>
  <c r="AX938" i="11"/>
  <c r="AW938" i="11"/>
  <c r="AU938" i="11"/>
  <c r="AT938" i="11"/>
  <c r="BR937" i="11"/>
  <c r="BQ937" i="11"/>
  <c r="BP937" i="11"/>
  <c r="BN937" i="11"/>
  <c r="BM937" i="11"/>
  <c r="BL937" i="11"/>
  <c r="BK937" i="11"/>
  <c r="BJ937" i="11"/>
  <c r="BH937" i="11"/>
  <c r="BG937" i="11"/>
  <c r="BI937" i="11" s="1"/>
  <c r="BE937" i="11"/>
  <c r="BD937" i="11"/>
  <c r="BF937" i="11" s="1"/>
  <c r="BB937" i="11"/>
  <c r="BC937" i="11" s="1"/>
  <c r="BA937" i="11"/>
  <c r="AZ937" i="11"/>
  <c r="AY937" i="11"/>
  <c r="AX937" i="11"/>
  <c r="AW937" i="11"/>
  <c r="AU937" i="11"/>
  <c r="AT937" i="11"/>
  <c r="BR936" i="11"/>
  <c r="BQ936" i="11"/>
  <c r="BP936" i="11"/>
  <c r="BN936" i="11"/>
  <c r="BM936" i="11"/>
  <c r="BL936" i="11"/>
  <c r="BK936" i="11"/>
  <c r="BJ936" i="11"/>
  <c r="BH936" i="11"/>
  <c r="BG936" i="11"/>
  <c r="BI936" i="11" s="1"/>
  <c r="BF936" i="11"/>
  <c r="BE936" i="11"/>
  <c r="BD936" i="11"/>
  <c r="BB936" i="11"/>
  <c r="BC936" i="11" s="1"/>
  <c r="BA936" i="11"/>
  <c r="AY936" i="11"/>
  <c r="AZ936" i="11" s="1"/>
  <c r="AX936" i="11"/>
  <c r="AW936" i="11"/>
  <c r="AU936" i="11"/>
  <c r="AT936" i="11"/>
  <c r="BR935" i="11"/>
  <c r="BQ935" i="11"/>
  <c r="BP935" i="11"/>
  <c r="BN935" i="11"/>
  <c r="BM935" i="11"/>
  <c r="BL935" i="11"/>
  <c r="BK935" i="11"/>
  <c r="BJ935" i="11"/>
  <c r="BH935" i="11"/>
  <c r="BG935" i="11"/>
  <c r="BI935" i="11" s="1"/>
  <c r="BF935" i="11"/>
  <c r="BE935" i="11"/>
  <c r="BD935" i="11"/>
  <c r="BB935" i="11"/>
  <c r="BC935" i="11" s="1"/>
  <c r="BA935" i="11"/>
  <c r="AZ935" i="11"/>
  <c r="AY935" i="11"/>
  <c r="AX935" i="11"/>
  <c r="AW935" i="11"/>
  <c r="AU935" i="11"/>
  <c r="AT935" i="11"/>
  <c r="BR934" i="11"/>
  <c r="BQ934" i="11"/>
  <c r="BP934" i="11"/>
  <c r="BN934" i="11"/>
  <c r="BM934" i="11"/>
  <c r="BL934" i="11"/>
  <c r="BK934" i="11"/>
  <c r="BJ934" i="11"/>
  <c r="BI934" i="11"/>
  <c r="BH934" i="11"/>
  <c r="BG934" i="11"/>
  <c r="BE934" i="11"/>
  <c r="BD934" i="11"/>
  <c r="BF934" i="11" s="1"/>
  <c r="BC934" i="11"/>
  <c r="BB934" i="11"/>
  <c r="BA934" i="11"/>
  <c r="AZ934" i="11"/>
  <c r="AY934" i="11"/>
  <c r="AX934" i="11"/>
  <c r="AW934" i="11"/>
  <c r="AU934" i="11"/>
  <c r="AT934" i="11"/>
  <c r="BR933" i="11"/>
  <c r="BQ933" i="11"/>
  <c r="BP933" i="11"/>
  <c r="BN933" i="11"/>
  <c r="BM933" i="11"/>
  <c r="BL933" i="11"/>
  <c r="BK933" i="11"/>
  <c r="BJ933" i="11"/>
  <c r="BH933" i="11"/>
  <c r="BG933" i="11"/>
  <c r="BI933" i="11" s="1"/>
  <c r="BF933" i="11"/>
  <c r="BE933" i="11"/>
  <c r="BD933" i="11"/>
  <c r="BC933" i="11"/>
  <c r="BB933" i="11"/>
  <c r="BA933" i="11"/>
  <c r="AY933" i="11"/>
  <c r="AX933" i="11"/>
  <c r="AZ933" i="11" s="1"/>
  <c r="AW933" i="11"/>
  <c r="AU933" i="11"/>
  <c r="AT933" i="11"/>
  <c r="BR932" i="11"/>
  <c r="BQ932" i="11"/>
  <c r="BP932" i="11"/>
  <c r="BN932" i="11"/>
  <c r="BM932" i="11"/>
  <c r="BL932" i="11"/>
  <c r="BK932" i="11"/>
  <c r="BJ932" i="11"/>
  <c r="BI932" i="11"/>
  <c r="BH932" i="11"/>
  <c r="BG932" i="11"/>
  <c r="BE932" i="11"/>
  <c r="BD932" i="11"/>
  <c r="BF932" i="11" s="1"/>
  <c r="BC932" i="11"/>
  <c r="BB932" i="11"/>
  <c r="BA932" i="11"/>
  <c r="AY932" i="11"/>
  <c r="AX932" i="11"/>
  <c r="AZ932" i="11" s="1"/>
  <c r="AW932" i="11"/>
  <c r="AU932" i="11"/>
  <c r="AT932" i="11"/>
  <c r="BR931" i="11"/>
  <c r="BQ931" i="11"/>
  <c r="BP931" i="11"/>
  <c r="BN931" i="11"/>
  <c r="BM931" i="11"/>
  <c r="BL931" i="11"/>
  <c r="BK931" i="11"/>
  <c r="BJ931" i="11"/>
  <c r="BI931" i="11"/>
  <c r="BH931" i="11"/>
  <c r="BG931" i="11"/>
  <c r="BF931" i="11"/>
  <c r="BE931" i="11"/>
  <c r="BD931" i="11"/>
  <c r="BB931" i="11"/>
  <c r="BC931" i="11" s="1"/>
  <c r="BA931" i="11"/>
  <c r="AY931" i="11"/>
  <c r="AX931" i="11"/>
  <c r="AZ931" i="11" s="1"/>
  <c r="AW931" i="11"/>
  <c r="AU931" i="11"/>
  <c r="AT931" i="11"/>
  <c r="BR930" i="11"/>
  <c r="BQ930" i="11"/>
  <c r="BP930" i="11"/>
  <c r="BN930" i="11"/>
  <c r="BM930" i="11"/>
  <c r="BL930" i="11"/>
  <c r="BK930" i="11"/>
  <c r="BJ930" i="11"/>
  <c r="BH930" i="11"/>
  <c r="BG930" i="11"/>
  <c r="BI930" i="11" s="1"/>
  <c r="BE930" i="11"/>
  <c r="BD930" i="11"/>
  <c r="BF930" i="11" s="1"/>
  <c r="BC930" i="11"/>
  <c r="BB930" i="11"/>
  <c r="BA930" i="11"/>
  <c r="AZ930" i="11"/>
  <c r="AY930" i="11"/>
  <c r="AX930" i="11"/>
  <c r="AW930" i="11"/>
  <c r="AU930" i="11"/>
  <c r="AT930" i="11"/>
  <c r="BR929" i="11"/>
  <c r="BQ929" i="11"/>
  <c r="BP929" i="11"/>
  <c r="BN929" i="11"/>
  <c r="BM929" i="11"/>
  <c r="BL929" i="11"/>
  <c r="BK929" i="11"/>
  <c r="BJ929" i="11"/>
  <c r="BH929" i="11"/>
  <c r="BG929" i="11"/>
  <c r="BI929" i="11" s="1"/>
  <c r="BF929" i="11"/>
  <c r="BE929" i="11"/>
  <c r="BD929" i="11"/>
  <c r="BB929" i="11"/>
  <c r="BC929" i="11" s="1"/>
  <c r="BA929" i="11"/>
  <c r="AZ929" i="11"/>
  <c r="AY929" i="11"/>
  <c r="AX929" i="11"/>
  <c r="AW929" i="11"/>
  <c r="AU929" i="11"/>
  <c r="AT929" i="11"/>
  <c r="BR928" i="11"/>
  <c r="BQ928" i="11"/>
  <c r="BP928" i="11"/>
  <c r="BN928" i="11"/>
  <c r="BM928" i="11"/>
  <c r="BL928" i="11"/>
  <c r="BK928" i="11"/>
  <c r="BJ928" i="11"/>
  <c r="BH928" i="11"/>
  <c r="BG928" i="11"/>
  <c r="BI928" i="11" s="1"/>
  <c r="BE928" i="11"/>
  <c r="BF928" i="11" s="1"/>
  <c r="BD928" i="11"/>
  <c r="BC928" i="11"/>
  <c r="BB928" i="11"/>
  <c r="BA928" i="11"/>
  <c r="AY928" i="11"/>
  <c r="AX928" i="11"/>
  <c r="AZ928" i="11" s="1"/>
  <c r="AW928" i="11"/>
  <c r="AU928" i="11"/>
  <c r="AT928" i="11"/>
  <c r="BR927" i="11"/>
  <c r="BQ927" i="11"/>
  <c r="BP927" i="11"/>
  <c r="BN927" i="11"/>
  <c r="BM927" i="11"/>
  <c r="BL927" i="11"/>
  <c r="BK927" i="11"/>
  <c r="BJ927" i="11"/>
  <c r="BI927" i="11"/>
  <c r="BH927" i="11"/>
  <c r="BG927" i="11"/>
  <c r="BE927" i="11"/>
  <c r="BD927" i="11"/>
  <c r="BF927" i="11" s="1"/>
  <c r="BB927" i="11"/>
  <c r="BC927" i="11" s="1"/>
  <c r="BA927" i="11"/>
  <c r="AZ927" i="11"/>
  <c r="AY927" i="11"/>
  <c r="AX927" i="11"/>
  <c r="AW927" i="11"/>
  <c r="AU927" i="11"/>
  <c r="AT927" i="11"/>
  <c r="BR926" i="11"/>
  <c r="BQ926" i="11"/>
  <c r="BP926" i="11"/>
  <c r="BN926" i="11"/>
  <c r="BM926" i="11"/>
  <c r="BL926" i="11"/>
  <c r="BK926" i="11"/>
  <c r="BJ926" i="11"/>
  <c r="BH926" i="11"/>
  <c r="BI926" i="11" s="1"/>
  <c r="BG926" i="11"/>
  <c r="BE926" i="11"/>
  <c r="BD926" i="11"/>
  <c r="BF926" i="11" s="1"/>
  <c r="BC926" i="11"/>
  <c r="BB926" i="11"/>
  <c r="BA926" i="11"/>
  <c r="AY926" i="11"/>
  <c r="AX926" i="11"/>
  <c r="AZ926" i="11" s="1"/>
  <c r="AW926" i="11"/>
  <c r="AU926" i="11"/>
  <c r="AT926" i="11"/>
  <c r="BR925" i="11"/>
  <c r="BQ925" i="11"/>
  <c r="BP925" i="11"/>
  <c r="BN925" i="11"/>
  <c r="BM925" i="11"/>
  <c r="BL925" i="11"/>
  <c r="BK925" i="11"/>
  <c r="BJ925" i="11"/>
  <c r="BH925" i="11"/>
  <c r="BG925" i="11"/>
  <c r="BI925" i="11" s="1"/>
  <c r="BE925" i="11"/>
  <c r="BD925" i="11"/>
  <c r="BF925" i="11" s="1"/>
  <c r="BB925" i="11"/>
  <c r="BC925" i="11" s="1"/>
  <c r="BA925" i="11"/>
  <c r="AY925" i="11"/>
  <c r="AX925" i="11"/>
  <c r="AZ925" i="11" s="1"/>
  <c r="AW925" i="11"/>
  <c r="AU925" i="11"/>
  <c r="AT925" i="11"/>
  <c r="BR924" i="11"/>
  <c r="BQ924" i="11"/>
  <c r="BP924" i="11"/>
  <c r="BN924" i="11"/>
  <c r="BM924" i="11"/>
  <c r="BL924" i="11"/>
  <c r="BK924" i="11"/>
  <c r="BJ924" i="11"/>
  <c r="BI924" i="11"/>
  <c r="BH924" i="11"/>
  <c r="BG924" i="11"/>
  <c r="BF924" i="11"/>
  <c r="BE924" i="11"/>
  <c r="BD924" i="11"/>
  <c r="BB924" i="11"/>
  <c r="BC924" i="11" s="1"/>
  <c r="BA924" i="11"/>
  <c r="AY924" i="11"/>
  <c r="AX924" i="11"/>
  <c r="AZ924" i="11" s="1"/>
  <c r="AW924" i="11"/>
  <c r="AU924" i="11"/>
  <c r="AT924" i="11"/>
  <c r="BR923" i="11"/>
  <c r="BQ923" i="11"/>
  <c r="BP923" i="11"/>
  <c r="BN923" i="11"/>
  <c r="BM923" i="11"/>
  <c r="BL923" i="11"/>
  <c r="BK923" i="11"/>
  <c r="BJ923" i="11"/>
  <c r="BH923" i="11"/>
  <c r="BG923" i="11"/>
  <c r="BE923" i="11"/>
  <c r="BF923" i="11" s="1"/>
  <c r="BD923" i="11"/>
  <c r="BB923" i="11"/>
  <c r="BC923" i="11" s="1"/>
  <c r="BA923" i="11"/>
  <c r="AZ923" i="11"/>
  <c r="AY923" i="11"/>
  <c r="AX923" i="11"/>
  <c r="AW923" i="11"/>
  <c r="AU923" i="11"/>
  <c r="AT923" i="11"/>
  <c r="BR922" i="11"/>
  <c r="BQ922" i="11"/>
  <c r="BP922" i="11"/>
  <c r="BN922" i="11"/>
  <c r="BM922" i="11"/>
  <c r="BL922" i="11"/>
  <c r="BK922" i="11"/>
  <c r="BJ922" i="11"/>
  <c r="BH922" i="11"/>
  <c r="BG922" i="11"/>
  <c r="BI922" i="11" s="1"/>
  <c r="BE922" i="11"/>
  <c r="BD922" i="11"/>
  <c r="BC922" i="11"/>
  <c r="BB922" i="11"/>
  <c r="BA922" i="11"/>
  <c r="AY922" i="11"/>
  <c r="AZ922" i="11" s="1"/>
  <c r="AX922" i="11"/>
  <c r="AW922" i="11"/>
  <c r="AU922" i="11"/>
  <c r="AT922" i="11"/>
  <c r="BR921" i="11"/>
  <c r="BQ921" i="11"/>
  <c r="BP921" i="11"/>
  <c r="BN921" i="11"/>
  <c r="BM921" i="11"/>
  <c r="BL921" i="11"/>
  <c r="BK921" i="11"/>
  <c r="BJ921" i="11"/>
  <c r="BH921" i="11"/>
  <c r="BG921" i="11"/>
  <c r="BE921" i="11"/>
  <c r="BD921" i="11"/>
  <c r="BF921" i="11" s="1"/>
  <c r="BC921" i="11"/>
  <c r="BB921" i="11"/>
  <c r="BA921" i="11"/>
  <c r="AY921" i="11"/>
  <c r="AX921" i="11"/>
  <c r="AW921" i="11"/>
  <c r="AU921" i="11"/>
  <c r="AT921" i="11"/>
  <c r="BR920" i="11"/>
  <c r="BQ920" i="11"/>
  <c r="BP920" i="11"/>
  <c r="BN920" i="11"/>
  <c r="BM920" i="11"/>
  <c r="BL920" i="11"/>
  <c r="BK920" i="11"/>
  <c r="BJ920" i="11"/>
  <c r="BI920" i="11"/>
  <c r="BH920" i="11"/>
  <c r="BG920" i="11"/>
  <c r="BE920" i="11"/>
  <c r="BD920" i="11"/>
  <c r="BB920" i="11"/>
  <c r="BC920" i="11" s="1"/>
  <c r="BA920" i="11"/>
  <c r="AY920" i="11"/>
  <c r="AX920" i="11"/>
  <c r="AZ920" i="11" s="1"/>
  <c r="AW920" i="11"/>
  <c r="AU920" i="11"/>
  <c r="AT920" i="11"/>
  <c r="BR919" i="11"/>
  <c r="BQ919" i="11"/>
  <c r="BP919" i="11"/>
  <c r="BN919" i="11"/>
  <c r="BM919" i="11"/>
  <c r="BL919" i="11"/>
  <c r="BK919" i="11"/>
  <c r="BJ919" i="11"/>
  <c r="BI919" i="11"/>
  <c r="BH919" i="11"/>
  <c r="BG919" i="11"/>
  <c r="BF919" i="11"/>
  <c r="BE919" i="11"/>
  <c r="BD919" i="11"/>
  <c r="BB919" i="11"/>
  <c r="BC919" i="11" s="1"/>
  <c r="BA919" i="11"/>
  <c r="AZ919" i="11"/>
  <c r="AY919" i="11"/>
  <c r="AX919" i="11"/>
  <c r="AW919" i="11"/>
  <c r="AU919" i="11"/>
  <c r="AT919" i="11"/>
  <c r="BR918" i="11"/>
  <c r="BQ918" i="11"/>
  <c r="BP918" i="11"/>
  <c r="BN918" i="11"/>
  <c r="BM918" i="11"/>
  <c r="BL918" i="11"/>
  <c r="BK918" i="11"/>
  <c r="BJ918" i="11"/>
  <c r="BH918" i="11"/>
  <c r="BG918" i="11"/>
  <c r="BI918" i="11" s="1"/>
  <c r="BE918" i="11"/>
  <c r="BD918" i="11"/>
  <c r="BC918" i="11"/>
  <c r="BB918" i="11"/>
  <c r="BA918" i="11"/>
  <c r="AZ918" i="11"/>
  <c r="AY918" i="11"/>
  <c r="AX918" i="11"/>
  <c r="AW918" i="11"/>
  <c r="AU918" i="11"/>
  <c r="AT918" i="11"/>
  <c r="BR917" i="11"/>
  <c r="BQ917" i="11"/>
  <c r="BP917" i="11"/>
  <c r="BN917" i="11"/>
  <c r="BM917" i="11"/>
  <c r="BL917" i="11"/>
  <c r="BK917" i="11"/>
  <c r="BJ917" i="11"/>
  <c r="BH917" i="11"/>
  <c r="BG917" i="11"/>
  <c r="BI917" i="11" s="1"/>
  <c r="BE917" i="11"/>
  <c r="BD917" i="11"/>
  <c r="BF917" i="11" s="1"/>
  <c r="BB917" i="11"/>
  <c r="BC917" i="11" s="1"/>
  <c r="BA917" i="11"/>
  <c r="AZ917" i="11"/>
  <c r="AY917" i="11"/>
  <c r="AX917" i="11"/>
  <c r="AW917" i="11"/>
  <c r="AU917" i="11"/>
  <c r="AT917" i="11"/>
  <c r="BR916" i="11"/>
  <c r="BQ916" i="11"/>
  <c r="BP916" i="11"/>
  <c r="BN916" i="11"/>
  <c r="BM916" i="11"/>
  <c r="BL916" i="11"/>
  <c r="BK916" i="11"/>
  <c r="BJ916" i="11"/>
  <c r="BI916" i="11"/>
  <c r="BH916" i="11"/>
  <c r="BG916" i="11"/>
  <c r="BF916" i="11"/>
  <c r="BE916" i="11"/>
  <c r="BD916" i="11"/>
  <c r="BC916" i="11"/>
  <c r="BB916" i="11"/>
  <c r="BA916" i="11"/>
  <c r="AY916" i="11"/>
  <c r="AX916" i="11"/>
  <c r="AZ916" i="11" s="1"/>
  <c r="AW916" i="11"/>
  <c r="AU916" i="11"/>
  <c r="AT916" i="11"/>
  <c r="BR915" i="11"/>
  <c r="BQ915" i="11"/>
  <c r="BP915" i="11"/>
  <c r="BN915" i="11"/>
  <c r="BM915" i="11"/>
  <c r="BL915" i="11"/>
  <c r="BK915" i="11"/>
  <c r="BJ915" i="11"/>
  <c r="BI915" i="11"/>
  <c r="BH915" i="11"/>
  <c r="BG915" i="11"/>
  <c r="BE915" i="11"/>
  <c r="BD915" i="11"/>
  <c r="BF915" i="11" s="1"/>
  <c r="BB915" i="11"/>
  <c r="BC915" i="11" s="1"/>
  <c r="BA915" i="11"/>
  <c r="AY915" i="11"/>
  <c r="AX915" i="11"/>
  <c r="AZ915" i="11" s="1"/>
  <c r="AW915" i="11"/>
  <c r="AU915" i="11"/>
  <c r="AT915" i="11"/>
  <c r="BR914" i="11"/>
  <c r="BQ914" i="11"/>
  <c r="BP914" i="11"/>
  <c r="BN914" i="11"/>
  <c r="BM914" i="11"/>
  <c r="BL914" i="11"/>
  <c r="BK914" i="11"/>
  <c r="BJ914" i="11"/>
  <c r="BI914" i="11"/>
  <c r="BH914" i="11"/>
  <c r="BG914" i="11"/>
  <c r="BE914" i="11"/>
  <c r="BD914" i="11"/>
  <c r="BF914" i="11" s="1"/>
  <c r="BC914" i="11"/>
  <c r="BB914" i="11"/>
  <c r="BA914" i="11"/>
  <c r="AY914" i="11"/>
  <c r="AX914" i="11"/>
  <c r="AW914" i="11"/>
  <c r="AU914" i="11"/>
  <c r="AT914" i="11"/>
  <c r="BR913" i="11"/>
  <c r="BQ913" i="11"/>
  <c r="BP913" i="11"/>
  <c r="BN913" i="11"/>
  <c r="BM913" i="11"/>
  <c r="BL913" i="11"/>
  <c r="BK913" i="11"/>
  <c r="BJ913" i="11"/>
  <c r="BH913" i="11"/>
  <c r="BG913" i="11"/>
  <c r="BI913" i="11" s="1"/>
  <c r="BE913" i="11"/>
  <c r="BD913" i="11"/>
  <c r="BF913" i="11" s="1"/>
  <c r="BC913" i="11"/>
  <c r="BB913" i="11"/>
  <c r="BA913" i="11"/>
  <c r="AZ913" i="11"/>
  <c r="AY913" i="11"/>
  <c r="AX913" i="11"/>
  <c r="AW913" i="11"/>
  <c r="AU913" i="11"/>
  <c r="AT913" i="11"/>
  <c r="BR912" i="11"/>
  <c r="BQ912" i="11"/>
  <c r="BP912" i="11"/>
  <c r="BN912" i="11"/>
  <c r="BM912" i="11"/>
  <c r="BL912" i="11"/>
  <c r="BK912" i="11"/>
  <c r="BJ912" i="11"/>
  <c r="BI912" i="11"/>
  <c r="BH912" i="11"/>
  <c r="BG912" i="11"/>
  <c r="BF912" i="11"/>
  <c r="BE912" i="11"/>
  <c r="BD912" i="11"/>
  <c r="BB912" i="11"/>
  <c r="BC912" i="11" s="1"/>
  <c r="BA912" i="11"/>
  <c r="AY912" i="11"/>
  <c r="AX912" i="11"/>
  <c r="AZ912" i="11" s="1"/>
  <c r="AW912" i="11"/>
  <c r="AU912" i="11"/>
  <c r="AT912" i="11"/>
  <c r="BR911" i="11"/>
  <c r="BQ911" i="11"/>
  <c r="BP911" i="11"/>
  <c r="BN911" i="11"/>
  <c r="BM911" i="11"/>
  <c r="BL911" i="11"/>
  <c r="BK911" i="11"/>
  <c r="BJ911" i="11"/>
  <c r="BH911" i="11"/>
  <c r="BG911" i="11"/>
  <c r="BI911" i="11" s="1"/>
  <c r="BE911" i="11"/>
  <c r="BF911" i="11" s="1"/>
  <c r="BD911" i="11"/>
  <c r="BB911" i="11"/>
  <c r="BC911" i="11" s="1"/>
  <c r="BA911" i="11"/>
  <c r="AY911" i="11"/>
  <c r="AX911" i="11"/>
  <c r="AZ911" i="11" s="1"/>
  <c r="AW911" i="11"/>
  <c r="AU911" i="11"/>
  <c r="AT911" i="11"/>
  <c r="BR910" i="11"/>
  <c r="BQ910" i="11"/>
  <c r="BP910" i="11"/>
  <c r="BN910" i="11"/>
  <c r="BM910" i="11"/>
  <c r="BL910" i="11"/>
  <c r="BK910" i="11"/>
  <c r="BJ910" i="11"/>
  <c r="BI910" i="11"/>
  <c r="BH910" i="11"/>
  <c r="BG910" i="11"/>
  <c r="BE910" i="11"/>
  <c r="BD910" i="11"/>
  <c r="BF910" i="11" s="1"/>
  <c r="BC910" i="11"/>
  <c r="BB910" i="11"/>
  <c r="BA910" i="11"/>
  <c r="AZ910" i="11"/>
  <c r="AY910" i="11"/>
  <c r="AX910" i="11"/>
  <c r="AW910" i="11"/>
  <c r="AU910" i="11"/>
  <c r="AT910" i="11"/>
  <c r="BR909" i="11"/>
  <c r="BQ909" i="11"/>
  <c r="BP909" i="11"/>
  <c r="BN909" i="11"/>
  <c r="BM909" i="11"/>
  <c r="BL909" i="11"/>
  <c r="BK909" i="11"/>
  <c r="BJ909" i="11"/>
  <c r="BH909" i="11"/>
  <c r="BG909" i="11"/>
  <c r="BI909" i="11" s="1"/>
  <c r="BF909" i="11"/>
  <c r="BE909" i="11"/>
  <c r="BD909" i="11"/>
  <c r="BC909" i="11"/>
  <c r="BB909" i="11"/>
  <c r="BA909" i="11"/>
  <c r="AY909" i="11"/>
  <c r="AX909" i="11"/>
  <c r="AZ909" i="11" s="1"/>
  <c r="AW909" i="11"/>
  <c r="AU909" i="11"/>
  <c r="AT909" i="11"/>
  <c r="BR908" i="11"/>
  <c r="BQ908" i="11"/>
  <c r="BP908" i="11"/>
  <c r="BN908" i="11"/>
  <c r="BM908" i="11"/>
  <c r="BL908" i="11"/>
  <c r="BK908" i="11"/>
  <c r="BJ908" i="11"/>
  <c r="BI908" i="11"/>
  <c r="BH908" i="11"/>
  <c r="BG908" i="11"/>
  <c r="BE908" i="11"/>
  <c r="BD908" i="11"/>
  <c r="BF908" i="11" s="1"/>
  <c r="BC908" i="11"/>
  <c r="BB908" i="11"/>
  <c r="BA908" i="11"/>
  <c r="AY908" i="11"/>
  <c r="AX908" i="11"/>
  <c r="AZ908" i="11" s="1"/>
  <c r="AW908" i="11"/>
  <c r="AU908" i="11"/>
  <c r="AT908" i="11"/>
  <c r="BR907" i="11"/>
  <c r="BQ907" i="11"/>
  <c r="BP907" i="11"/>
  <c r="BN907" i="11"/>
  <c r="BM907" i="11"/>
  <c r="BL907" i="11"/>
  <c r="BK907" i="11"/>
  <c r="BJ907" i="11"/>
  <c r="BI907" i="11"/>
  <c r="BH907" i="11"/>
  <c r="BG907" i="11"/>
  <c r="BF907" i="11"/>
  <c r="BE907" i="11"/>
  <c r="BD907" i="11"/>
  <c r="BB907" i="11"/>
  <c r="BC907" i="11" s="1"/>
  <c r="BA907" i="11"/>
  <c r="AZ907" i="11"/>
  <c r="AY907" i="11"/>
  <c r="AX907" i="11"/>
  <c r="AW907" i="11"/>
  <c r="AU907" i="11"/>
  <c r="AT907" i="11"/>
  <c r="BR906" i="11"/>
  <c r="BQ906" i="11"/>
  <c r="BP906" i="11"/>
  <c r="BN906" i="11"/>
  <c r="BM906" i="11"/>
  <c r="BL906" i="11"/>
  <c r="BK906" i="11"/>
  <c r="BJ906" i="11"/>
  <c r="BH906" i="11"/>
  <c r="BG906" i="11"/>
  <c r="BI906" i="11" s="1"/>
  <c r="BE906" i="11"/>
  <c r="BD906" i="11"/>
  <c r="BC906" i="11"/>
  <c r="BB906" i="11"/>
  <c r="BA906" i="11"/>
  <c r="AZ906" i="11"/>
  <c r="AY906" i="11"/>
  <c r="AX906" i="11"/>
  <c r="AW906" i="11"/>
  <c r="AU906" i="11"/>
  <c r="AT906" i="11"/>
  <c r="BR905" i="11"/>
  <c r="BQ905" i="11"/>
  <c r="BP905" i="11"/>
  <c r="BN905" i="11"/>
  <c r="BM905" i="11"/>
  <c r="BL905" i="11"/>
  <c r="BK905" i="11"/>
  <c r="BJ905" i="11"/>
  <c r="BH905" i="11"/>
  <c r="BG905" i="11"/>
  <c r="BI905" i="11" s="1"/>
  <c r="BE905" i="11"/>
  <c r="BD905" i="11"/>
  <c r="BF905" i="11" s="1"/>
  <c r="BB905" i="11"/>
  <c r="BC905" i="11" s="1"/>
  <c r="BA905" i="11"/>
  <c r="AY905" i="11"/>
  <c r="AZ905" i="11" s="1"/>
  <c r="AX905" i="11"/>
  <c r="AW905" i="11"/>
  <c r="AU905" i="11"/>
  <c r="AT905" i="11"/>
  <c r="BR904" i="11"/>
  <c r="BQ904" i="11"/>
  <c r="BP904" i="11"/>
  <c r="BN904" i="11"/>
  <c r="BM904" i="11"/>
  <c r="BL904" i="11"/>
  <c r="BK904" i="11"/>
  <c r="BJ904" i="11"/>
  <c r="BI904" i="11"/>
  <c r="BH904" i="11"/>
  <c r="BG904" i="11"/>
  <c r="BE904" i="11"/>
  <c r="BF904" i="11" s="1"/>
  <c r="BD904" i="11"/>
  <c r="BC904" i="11"/>
  <c r="BB904" i="11"/>
  <c r="BA904" i="11"/>
  <c r="AY904" i="11"/>
  <c r="AX904" i="11"/>
  <c r="AZ904" i="11" s="1"/>
  <c r="AW904" i="11"/>
  <c r="AU904" i="11"/>
  <c r="AT904" i="11"/>
  <c r="BR903" i="11"/>
  <c r="BQ903" i="11"/>
  <c r="BP903" i="11"/>
  <c r="BN903" i="11"/>
  <c r="BM903" i="11"/>
  <c r="BL903" i="11"/>
  <c r="BK903" i="11"/>
  <c r="BJ903" i="11"/>
  <c r="BI903" i="11"/>
  <c r="BH903" i="11"/>
  <c r="BG903" i="11"/>
  <c r="BE903" i="11"/>
  <c r="BD903" i="11"/>
  <c r="BF903" i="11" s="1"/>
  <c r="BB903" i="11"/>
  <c r="BC903" i="11" s="1"/>
  <c r="BA903" i="11"/>
  <c r="AY903" i="11"/>
  <c r="AX903" i="11"/>
  <c r="AZ903" i="11" s="1"/>
  <c r="AW903" i="11"/>
  <c r="AU903" i="11"/>
  <c r="AT903" i="11"/>
  <c r="BR902" i="11"/>
  <c r="BQ902" i="11"/>
  <c r="BP902" i="11"/>
  <c r="BN902" i="11"/>
  <c r="BM902" i="11"/>
  <c r="BL902" i="11"/>
  <c r="BK902" i="11"/>
  <c r="BJ902" i="11"/>
  <c r="BH902" i="11"/>
  <c r="BI902" i="11" s="1"/>
  <c r="BG902" i="11"/>
  <c r="BE902" i="11"/>
  <c r="BD902" i="11"/>
  <c r="BF902" i="11" s="1"/>
  <c r="BC902" i="11"/>
  <c r="BB902" i="11"/>
  <c r="BA902" i="11"/>
  <c r="AY902" i="11"/>
  <c r="AX902" i="11"/>
  <c r="AZ902" i="11" s="1"/>
  <c r="AW902" i="11"/>
  <c r="AU902" i="11"/>
  <c r="AT902" i="11"/>
  <c r="BR901" i="11"/>
  <c r="BQ901" i="11"/>
  <c r="BP901" i="11"/>
  <c r="BN901" i="11"/>
  <c r="BM901" i="11"/>
  <c r="BL901" i="11"/>
  <c r="BK901" i="11"/>
  <c r="BJ901" i="11"/>
  <c r="BH901" i="11"/>
  <c r="BG901" i="11"/>
  <c r="BF901" i="11"/>
  <c r="BE901" i="11"/>
  <c r="BD901" i="11"/>
  <c r="BB901" i="11"/>
  <c r="BC901" i="11" s="1"/>
  <c r="BA901" i="11"/>
  <c r="AZ901" i="11"/>
  <c r="AY901" i="11"/>
  <c r="AX901" i="11"/>
  <c r="AW901" i="11"/>
  <c r="AU901" i="11"/>
  <c r="AT901" i="11"/>
  <c r="BR900" i="11"/>
  <c r="BQ900" i="11"/>
  <c r="BP900" i="11"/>
  <c r="BN900" i="11"/>
  <c r="BM900" i="11"/>
  <c r="BL900" i="11"/>
  <c r="BK900" i="11"/>
  <c r="BJ900" i="11"/>
  <c r="BH900" i="11"/>
  <c r="BG900" i="11"/>
  <c r="BI900" i="11" s="1"/>
  <c r="BF900" i="11"/>
  <c r="BE900" i="11"/>
  <c r="BD900" i="11"/>
  <c r="BB900" i="11"/>
  <c r="BC900" i="11" s="1"/>
  <c r="BA900" i="11"/>
  <c r="AY900" i="11"/>
  <c r="AX900" i="11"/>
  <c r="AZ900" i="11" s="1"/>
  <c r="AW900" i="11"/>
  <c r="AU900" i="11"/>
  <c r="AT900" i="11"/>
  <c r="BR899" i="11"/>
  <c r="BQ899" i="11"/>
  <c r="BP899" i="11"/>
  <c r="BN899" i="11"/>
  <c r="BM899" i="11"/>
  <c r="BL899" i="11"/>
  <c r="BK899" i="11"/>
  <c r="BJ899" i="11"/>
  <c r="BH899" i="11"/>
  <c r="BG899" i="11"/>
  <c r="BE899" i="11"/>
  <c r="BF899" i="11" s="1"/>
  <c r="BD899" i="11"/>
  <c r="BB899" i="11"/>
  <c r="BC899" i="11" s="1"/>
  <c r="BA899" i="11"/>
  <c r="AY899" i="11"/>
  <c r="AX899" i="11"/>
  <c r="AZ899" i="11" s="1"/>
  <c r="AW899" i="11"/>
  <c r="AU899" i="11"/>
  <c r="AT899" i="11"/>
  <c r="BR898" i="11"/>
  <c r="BQ898" i="11"/>
  <c r="BP898" i="11"/>
  <c r="BN898" i="11"/>
  <c r="BM898" i="11"/>
  <c r="BL898" i="11"/>
  <c r="BK898" i="11"/>
  <c r="BJ898" i="11"/>
  <c r="BI898" i="11"/>
  <c r="BH898" i="11"/>
  <c r="BG898" i="11"/>
  <c r="BE898" i="11"/>
  <c r="BD898" i="11"/>
  <c r="BC898" i="11"/>
  <c r="BB898" i="11"/>
  <c r="BA898" i="11"/>
  <c r="AZ898" i="11"/>
  <c r="AY898" i="11"/>
  <c r="AX898" i="11"/>
  <c r="AW898" i="11"/>
  <c r="AU898" i="11"/>
  <c r="AT898" i="11"/>
  <c r="BR897" i="11"/>
  <c r="BQ897" i="11"/>
  <c r="BP897" i="11"/>
  <c r="BN897" i="11"/>
  <c r="BM897" i="11"/>
  <c r="BL897" i="11"/>
  <c r="BK897" i="11"/>
  <c r="BJ897" i="11"/>
  <c r="BH897" i="11"/>
  <c r="BG897" i="11"/>
  <c r="BI897" i="11" s="1"/>
  <c r="BF897" i="11"/>
  <c r="BE897" i="11"/>
  <c r="BD897" i="11"/>
  <c r="BC897" i="11"/>
  <c r="BB897" i="11"/>
  <c r="BA897" i="11"/>
  <c r="AY897" i="11"/>
  <c r="AX897" i="11"/>
  <c r="AZ897" i="11" s="1"/>
  <c r="AW897" i="11"/>
  <c r="AU897" i="11"/>
  <c r="AT897" i="11"/>
  <c r="BR896" i="11"/>
  <c r="BQ896" i="11"/>
  <c r="BP896" i="11"/>
  <c r="BN896" i="11"/>
  <c r="BM896" i="11"/>
  <c r="BL896" i="11"/>
  <c r="BK896" i="11"/>
  <c r="BJ896" i="11"/>
  <c r="BI896" i="11"/>
  <c r="BH896" i="11"/>
  <c r="BG896" i="11"/>
  <c r="BE896" i="11"/>
  <c r="BD896" i="11"/>
  <c r="BF896" i="11" s="1"/>
  <c r="BC896" i="11"/>
  <c r="BB896" i="11"/>
  <c r="BA896" i="11"/>
  <c r="AY896" i="11"/>
  <c r="AX896" i="11"/>
  <c r="AZ896" i="11" s="1"/>
  <c r="AW896" i="11"/>
  <c r="AU896" i="11"/>
  <c r="AT896" i="11"/>
  <c r="BR895" i="11"/>
  <c r="BQ895" i="11"/>
  <c r="BP895" i="11"/>
  <c r="BN895" i="11"/>
  <c r="BM895" i="11"/>
  <c r="BL895" i="11"/>
  <c r="BK895" i="11"/>
  <c r="BJ895" i="11"/>
  <c r="BI895" i="11"/>
  <c r="BH895" i="11"/>
  <c r="BG895" i="11"/>
  <c r="BF895" i="11"/>
  <c r="BE895" i="11"/>
  <c r="BD895" i="11"/>
  <c r="BB895" i="11"/>
  <c r="BC895" i="11" s="1"/>
  <c r="BA895" i="11"/>
  <c r="AZ895" i="11"/>
  <c r="AY895" i="11"/>
  <c r="AX895" i="11"/>
  <c r="AW895" i="11"/>
  <c r="AU895" i="11"/>
  <c r="AT895" i="11"/>
  <c r="BR894" i="11"/>
  <c r="BQ894" i="11"/>
  <c r="BP894" i="11"/>
  <c r="BN894" i="11"/>
  <c r="BM894" i="11"/>
  <c r="BL894" i="11"/>
  <c r="BK894" i="11"/>
  <c r="BJ894" i="11"/>
  <c r="BH894" i="11"/>
  <c r="BG894" i="11"/>
  <c r="BI894" i="11" s="1"/>
  <c r="BE894" i="11"/>
  <c r="BD894" i="11"/>
  <c r="BC894" i="11"/>
  <c r="BB894" i="11"/>
  <c r="BA894" i="11"/>
  <c r="AZ894" i="11"/>
  <c r="AY894" i="11"/>
  <c r="AX894" i="11"/>
  <c r="AW894" i="11"/>
  <c r="AU894" i="11"/>
  <c r="AT894" i="11"/>
  <c r="BR893" i="11"/>
  <c r="BQ893" i="11"/>
  <c r="BP893" i="11"/>
  <c r="BN893" i="11"/>
  <c r="BM893" i="11"/>
  <c r="BL893" i="11"/>
  <c r="BK893" i="11"/>
  <c r="BJ893" i="11"/>
  <c r="BH893" i="11"/>
  <c r="BG893" i="11"/>
  <c r="BI893" i="11" s="1"/>
  <c r="BE893" i="11"/>
  <c r="BD893" i="11"/>
  <c r="BF893" i="11" s="1"/>
  <c r="BB893" i="11"/>
  <c r="BC893" i="11" s="1"/>
  <c r="BA893" i="11"/>
  <c r="AY893" i="11"/>
  <c r="AZ893" i="11" s="1"/>
  <c r="AX893" i="11"/>
  <c r="AW893" i="11"/>
  <c r="AU893" i="11"/>
  <c r="AT893" i="11"/>
  <c r="BR892" i="11"/>
  <c r="BQ892" i="11"/>
  <c r="BP892" i="11"/>
  <c r="BN892" i="11"/>
  <c r="BM892" i="11"/>
  <c r="BL892" i="11"/>
  <c r="BK892" i="11"/>
  <c r="BJ892" i="11"/>
  <c r="BI892" i="11"/>
  <c r="BH892" i="11"/>
  <c r="BG892" i="11"/>
  <c r="BE892" i="11"/>
  <c r="BF892" i="11" s="1"/>
  <c r="BD892" i="11"/>
  <c r="BC892" i="11"/>
  <c r="BB892" i="11"/>
  <c r="BA892" i="11"/>
  <c r="AY892" i="11"/>
  <c r="AX892" i="11"/>
  <c r="AZ892" i="11" s="1"/>
  <c r="AW892" i="11"/>
  <c r="AU892" i="11"/>
  <c r="AT892" i="11"/>
  <c r="BR891" i="11"/>
  <c r="BQ891" i="11"/>
  <c r="BP891" i="11"/>
  <c r="BN891" i="11"/>
  <c r="BM891" i="11"/>
  <c r="BL891" i="11"/>
  <c r="BK891" i="11"/>
  <c r="BJ891" i="11"/>
  <c r="BI891" i="11"/>
  <c r="BH891" i="11"/>
  <c r="BG891" i="11"/>
  <c r="BE891" i="11"/>
  <c r="BD891" i="11"/>
  <c r="BB891" i="11"/>
  <c r="BC891" i="11" s="1"/>
  <c r="BA891" i="11"/>
  <c r="AY891" i="11"/>
  <c r="AX891" i="11"/>
  <c r="AZ891" i="11" s="1"/>
  <c r="AW891" i="11"/>
  <c r="AU891" i="11"/>
  <c r="AT891" i="11"/>
  <c r="BR890" i="11"/>
  <c r="BQ890" i="11"/>
  <c r="BP890" i="11"/>
  <c r="BN890" i="11"/>
  <c r="BM890" i="11"/>
  <c r="BL890" i="11"/>
  <c r="BK890" i="11"/>
  <c r="BJ890" i="11"/>
  <c r="BI890" i="11"/>
  <c r="BH890" i="11"/>
  <c r="BG890" i="11"/>
  <c r="BE890" i="11"/>
  <c r="BD890" i="11"/>
  <c r="BF890" i="11" s="1"/>
  <c r="BC890" i="11"/>
  <c r="BB890" i="11"/>
  <c r="BA890" i="11"/>
  <c r="AY890" i="11"/>
  <c r="AX890" i="11"/>
  <c r="AW890" i="11"/>
  <c r="AU890" i="11"/>
  <c r="AT890" i="11"/>
  <c r="BR889" i="11"/>
  <c r="BQ889" i="11"/>
  <c r="BP889" i="11"/>
  <c r="BN889" i="11"/>
  <c r="BM889" i="11"/>
  <c r="BL889" i="11"/>
  <c r="BK889" i="11"/>
  <c r="BJ889" i="11"/>
  <c r="BH889" i="11"/>
  <c r="BG889" i="11"/>
  <c r="BF889" i="11"/>
  <c r="BE889" i="11"/>
  <c r="BD889" i="11"/>
  <c r="BB889" i="11"/>
  <c r="BC889" i="11" s="1"/>
  <c r="BA889" i="11"/>
  <c r="AZ889" i="11"/>
  <c r="AY889" i="11"/>
  <c r="AX889" i="11"/>
  <c r="AW889" i="11"/>
  <c r="AU889" i="11"/>
  <c r="AT889" i="11"/>
  <c r="BR888" i="11"/>
  <c r="BQ888" i="11"/>
  <c r="BP888" i="11"/>
  <c r="BN888" i="11"/>
  <c r="BM888" i="11"/>
  <c r="BL888" i="11"/>
  <c r="BK888" i="11"/>
  <c r="BJ888" i="11"/>
  <c r="BH888" i="11"/>
  <c r="BG888" i="11"/>
  <c r="BI888" i="11" s="1"/>
  <c r="BF888" i="11"/>
  <c r="BE888" i="11"/>
  <c r="BD888" i="11"/>
  <c r="BB888" i="11"/>
  <c r="BC888" i="11" s="1"/>
  <c r="BA888" i="11"/>
  <c r="AY888" i="11"/>
  <c r="AX888" i="11"/>
  <c r="AZ888" i="11" s="1"/>
  <c r="AW888" i="11"/>
  <c r="AU888" i="11"/>
  <c r="AT888" i="11"/>
  <c r="BR887" i="11"/>
  <c r="BQ887" i="11"/>
  <c r="BP887" i="11"/>
  <c r="BN887" i="11"/>
  <c r="BM887" i="11"/>
  <c r="BL887" i="11"/>
  <c r="BK887" i="11"/>
  <c r="BJ887" i="11"/>
  <c r="BH887" i="11"/>
  <c r="BG887" i="11"/>
  <c r="BI887" i="11" s="1"/>
  <c r="BF887" i="11"/>
  <c r="BE887" i="11"/>
  <c r="BD887" i="11"/>
  <c r="BB887" i="11"/>
  <c r="BC887" i="11" s="1"/>
  <c r="BA887" i="11"/>
  <c r="AZ887" i="11"/>
  <c r="AY887" i="11"/>
  <c r="AX887" i="11"/>
  <c r="AW887" i="11"/>
  <c r="AU887" i="11"/>
  <c r="AT887" i="11"/>
  <c r="BR886" i="11"/>
  <c r="BQ886" i="11"/>
  <c r="BP886" i="11"/>
  <c r="BN886" i="11"/>
  <c r="BM886" i="11"/>
  <c r="BL886" i="11"/>
  <c r="BK886" i="11"/>
  <c r="BJ886" i="11"/>
  <c r="BI886" i="11"/>
  <c r="BH886" i="11"/>
  <c r="BG886" i="11"/>
  <c r="BE886" i="11"/>
  <c r="BD886" i="11"/>
  <c r="BF886" i="11" s="1"/>
  <c r="BC886" i="11"/>
  <c r="BB886" i="11"/>
  <c r="BA886" i="11"/>
  <c r="AZ886" i="11"/>
  <c r="AY886" i="11"/>
  <c r="AX886" i="11"/>
  <c r="AW886" i="11"/>
  <c r="AU886" i="11"/>
  <c r="AT886" i="11"/>
  <c r="BR885" i="11"/>
  <c r="BQ885" i="11"/>
  <c r="BP885" i="11"/>
  <c r="BN885" i="11"/>
  <c r="BM885" i="11"/>
  <c r="BL885" i="11"/>
  <c r="BK885" i="11"/>
  <c r="BJ885" i="11"/>
  <c r="BH885" i="11"/>
  <c r="BG885" i="11"/>
  <c r="BI885" i="11" s="1"/>
  <c r="BF885" i="11"/>
  <c r="BE885" i="11"/>
  <c r="BD885" i="11"/>
  <c r="BC885" i="11"/>
  <c r="BB885" i="11"/>
  <c r="BA885" i="11"/>
  <c r="AY885" i="11"/>
  <c r="AX885" i="11"/>
  <c r="AZ885" i="11" s="1"/>
  <c r="AW885" i="11"/>
  <c r="AU885" i="11"/>
  <c r="AT885" i="11"/>
  <c r="BR884" i="11"/>
  <c r="BQ884" i="11"/>
  <c r="BP884" i="11"/>
  <c r="BN884" i="11"/>
  <c r="BM884" i="11"/>
  <c r="BL884" i="11"/>
  <c r="BK884" i="11"/>
  <c r="BJ884" i="11"/>
  <c r="BI884" i="11"/>
  <c r="BH884" i="11"/>
  <c r="BG884" i="11"/>
  <c r="BE884" i="11"/>
  <c r="BD884" i="11"/>
  <c r="BF884" i="11" s="1"/>
  <c r="BC884" i="11"/>
  <c r="BB884" i="11"/>
  <c r="BA884" i="11"/>
  <c r="AY884" i="11"/>
  <c r="AX884" i="11"/>
  <c r="AZ884" i="11" s="1"/>
  <c r="AW884" i="11"/>
  <c r="AU884" i="11"/>
  <c r="AT884" i="11"/>
  <c r="BR883" i="11"/>
  <c r="BQ883" i="11"/>
  <c r="BP883" i="11"/>
  <c r="BN883" i="11"/>
  <c r="BM883" i="11"/>
  <c r="BL883" i="11"/>
  <c r="BK883" i="11"/>
  <c r="BJ883" i="11"/>
  <c r="BI883" i="11"/>
  <c r="BH883" i="11"/>
  <c r="BG883" i="11"/>
  <c r="BF883" i="11"/>
  <c r="BE883" i="11"/>
  <c r="BD883" i="11"/>
  <c r="BB883" i="11"/>
  <c r="BC883" i="11" s="1"/>
  <c r="BA883" i="11"/>
  <c r="AZ883" i="11"/>
  <c r="AY883" i="11"/>
  <c r="AX883" i="11"/>
  <c r="AW883" i="11"/>
  <c r="AU883" i="11"/>
  <c r="AT883" i="11"/>
  <c r="BR882" i="11"/>
  <c r="BQ882" i="11"/>
  <c r="BP882" i="11"/>
  <c r="BN882" i="11"/>
  <c r="BM882" i="11"/>
  <c r="BL882" i="11"/>
  <c r="BK882" i="11"/>
  <c r="BJ882" i="11"/>
  <c r="BH882" i="11"/>
  <c r="BG882" i="11"/>
  <c r="BI882" i="11" s="1"/>
  <c r="BE882" i="11"/>
  <c r="BD882" i="11"/>
  <c r="BC882" i="11"/>
  <c r="BB882" i="11"/>
  <c r="BA882" i="11"/>
  <c r="AZ882" i="11"/>
  <c r="AY882" i="11"/>
  <c r="AX882" i="11"/>
  <c r="AW882" i="11"/>
  <c r="AU882" i="11"/>
  <c r="AT882" i="11"/>
  <c r="BR881" i="11"/>
  <c r="BQ881" i="11"/>
  <c r="BP881" i="11"/>
  <c r="BN881" i="11"/>
  <c r="BM881" i="11"/>
  <c r="BL881" i="11"/>
  <c r="BK881" i="11"/>
  <c r="BJ881" i="11"/>
  <c r="BH881" i="11"/>
  <c r="BG881" i="11"/>
  <c r="BI881" i="11" s="1"/>
  <c r="BE881" i="11"/>
  <c r="BD881" i="11"/>
  <c r="BF881" i="11" s="1"/>
  <c r="BB881" i="11"/>
  <c r="BC881" i="11" s="1"/>
  <c r="BA881" i="11"/>
  <c r="AY881" i="11"/>
  <c r="AZ881" i="11" s="1"/>
  <c r="AX881" i="11"/>
  <c r="AW881" i="11"/>
  <c r="AU881" i="11"/>
  <c r="AT881" i="11"/>
  <c r="BR880" i="11"/>
  <c r="BQ880" i="11"/>
  <c r="BP880" i="11"/>
  <c r="BN880" i="11"/>
  <c r="BM880" i="11"/>
  <c r="BL880" i="11"/>
  <c r="BK880" i="11"/>
  <c r="BJ880" i="11"/>
  <c r="BI880" i="11"/>
  <c r="BH880" i="11"/>
  <c r="BG880" i="11"/>
  <c r="BF880" i="11"/>
  <c r="BE880" i="11"/>
  <c r="BD880" i="11"/>
  <c r="BC880" i="11"/>
  <c r="BB880" i="11"/>
  <c r="BA880" i="11"/>
  <c r="AY880" i="11"/>
  <c r="AX880" i="11"/>
  <c r="AW880" i="11"/>
  <c r="AU880" i="11"/>
  <c r="AT880" i="11"/>
  <c r="BR879" i="11"/>
  <c r="BQ879" i="11"/>
  <c r="BP879" i="11"/>
  <c r="BN879" i="11"/>
  <c r="BM879" i="11"/>
  <c r="BL879" i="11"/>
  <c r="BK879" i="11"/>
  <c r="BJ879" i="11"/>
  <c r="BI879" i="11"/>
  <c r="BH879" i="11"/>
  <c r="BG879" i="11"/>
  <c r="BE879" i="11"/>
  <c r="BD879" i="11"/>
  <c r="BF879" i="11" s="1"/>
  <c r="BB879" i="11"/>
  <c r="BC879" i="11" s="1"/>
  <c r="BA879" i="11"/>
  <c r="AY879" i="11"/>
  <c r="AX879" i="11"/>
  <c r="AZ879" i="11" s="1"/>
  <c r="AW879" i="11"/>
  <c r="AU879" i="11"/>
  <c r="AT879" i="11"/>
  <c r="BR878" i="11"/>
  <c r="BQ878" i="11"/>
  <c r="BP878" i="11"/>
  <c r="BN878" i="11"/>
  <c r="BM878" i="11"/>
  <c r="BL878" i="11"/>
  <c r="BK878" i="11"/>
  <c r="BJ878" i="11"/>
  <c r="BH878" i="11"/>
  <c r="BI878" i="11" s="1"/>
  <c r="BG878" i="11"/>
  <c r="BE878" i="11"/>
  <c r="BD878" i="11"/>
  <c r="BF878" i="11" s="1"/>
  <c r="BC878" i="11"/>
  <c r="BB878" i="11"/>
  <c r="BA878" i="11"/>
  <c r="AY878" i="11"/>
  <c r="AX878" i="11"/>
  <c r="AW878" i="11"/>
  <c r="AU878" i="11"/>
  <c r="AT878" i="11"/>
  <c r="BR877" i="11"/>
  <c r="BQ877" i="11"/>
  <c r="BP877" i="11"/>
  <c r="BN877" i="11"/>
  <c r="BM877" i="11"/>
  <c r="BL877" i="11"/>
  <c r="BK877" i="11"/>
  <c r="BJ877" i="11"/>
  <c r="BH877" i="11"/>
  <c r="BG877" i="11"/>
  <c r="BF877" i="11"/>
  <c r="BE877" i="11"/>
  <c r="BD877" i="11"/>
  <c r="BC877" i="11"/>
  <c r="BB877" i="11"/>
  <c r="BA877" i="11"/>
  <c r="AZ877" i="11"/>
  <c r="AY877" i="11"/>
  <c r="AX877" i="11"/>
  <c r="AW877" i="11"/>
  <c r="AU877" i="11"/>
  <c r="AT877" i="11"/>
  <c r="BR876" i="11"/>
  <c r="BQ876" i="11"/>
  <c r="BP876" i="11"/>
  <c r="BN876" i="11"/>
  <c r="BM876" i="11"/>
  <c r="BL876" i="11"/>
  <c r="BK876" i="11"/>
  <c r="BJ876" i="11"/>
  <c r="BI876" i="11"/>
  <c r="BH876" i="11"/>
  <c r="BG876" i="11"/>
  <c r="BF876" i="11"/>
  <c r="BE876" i="11"/>
  <c r="BD876" i="11"/>
  <c r="BB876" i="11"/>
  <c r="BC876" i="11" s="1"/>
  <c r="BA876" i="11"/>
  <c r="AY876" i="11"/>
  <c r="AX876" i="11"/>
  <c r="AZ876" i="11" s="1"/>
  <c r="AW876" i="11"/>
  <c r="AU876" i="11"/>
  <c r="AT876" i="11"/>
  <c r="BR875" i="11"/>
  <c r="BQ875" i="11"/>
  <c r="BP875" i="11"/>
  <c r="BN875" i="11"/>
  <c r="BM875" i="11"/>
  <c r="BL875" i="11"/>
  <c r="BK875" i="11"/>
  <c r="BJ875" i="11"/>
  <c r="BH875" i="11"/>
  <c r="BG875" i="11"/>
  <c r="BI875" i="11" s="1"/>
  <c r="BE875" i="11"/>
  <c r="BF875" i="11" s="1"/>
  <c r="BD875" i="11"/>
  <c r="BB875" i="11"/>
  <c r="BC875" i="11" s="1"/>
  <c r="BA875" i="11"/>
  <c r="AY875" i="11"/>
  <c r="AX875" i="11"/>
  <c r="AZ875" i="11" s="1"/>
  <c r="AW875" i="11"/>
  <c r="AU875" i="11"/>
  <c r="AT875" i="11"/>
  <c r="BR874" i="11"/>
  <c r="BQ874" i="11"/>
  <c r="BP874" i="11"/>
  <c r="BN874" i="11"/>
  <c r="BM874" i="11"/>
  <c r="BL874" i="11"/>
  <c r="BK874" i="11"/>
  <c r="BJ874" i="11"/>
  <c r="BI874" i="11"/>
  <c r="BH874" i="11"/>
  <c r="BG874" i="11"/>
  <c r="BE874" i="11"/>
  <c r="BD874" i="11"/>
  <c r="BC874" i="11"/>
  <c r="BB874" i="11"/>
  <c r="BA874" i="11"/>
  <c r="AZ874" i="11"/>
  <c r="AY874" i="11"/>
  <c r="AX874" i="11"/>
  <c r="AW874" i="11"/>
  <c r="AU874" i="11"/>
  <c r="AT874" i="11"/>
  <c r="BR873" i="11"/>
  <c r="BQ873" i="11"/>
  <c r="BP873" i="11"/>
  <c r="BN873" i="11"/>
  <c r="BM873" i="11"/>
  <c r="BL873" i="11"/>
  <c r="BK873" i="11"/>
  <c r="BJ873" i="11"/>
  <c r="BH873" i="11"/>
  <c r="BG873" i="11"/>
  <c r="BI873" i="11" s="1"/>
  <c r="BF873" i="11"/>
  <c r="BE873" i="11"/>
  <c r="BD873" i="11"/>
  <c r="BC873" i="11"/>
  <c r="BB873" i="11"/>
  <c r="BA873" i="11"/>
  <c r="AY873" i="11"/>
  <c r="AX873" i="11"/>
  <c r="AZ873" i="11" s="1"/>
  <c r="AW873" i="11"/>
  <c r="AU873" i="11"/>
  <c r="AT873" i="11"/>
  <c r="BR872" i="11"/>
  <c r="BQ872" i="11"/>
  <c r="BP872" i="11"/>
  <c r="BN872" i="11"/>
  <c r="BM872" i="11"/>
  <c r="BL872" i="11"/>
  <c r="BK872" i="11"/>
  <c r="BJ872" i="11"/>
  <c r="BI872" i="11"/>
  <c r="BH872" i="11"/>
  <c r="BG872" i="11"/>
  <c r="BE872" i="11"/>
  <c r="BD872" i="11"/>
  <c r="BF872" i="11" s="1"/>
  <c r="BC872" i="11"/>
  <c r="BB872" i="11"/>
  <c r="BA872" i="11"/>
  <c r="AY872" i="11"/>
  <c r="AX872" i="11"/>
  <c r="AZ872" i="11" s="1"/>
  <c r="AW872" i="11"/>
  <c r="AU872" i="11"/>
  <c r="AT872" i="11"/>
  <c r="BR871" i="11"/>
  <c r="BQ871" i="11"/>
  <c r="BP871" i="11"/>
  <c r="BN871" i="11"/>
  <c r="BM871" i="11"/>
  <c r="BL871" i="11"/>
  <c r="BK871" i="11"/>
  <c r="BJ871" i="11"/>
  <c r="BI871" i="11"/>
  <c r="BH871" i="11"/>
  <c r="BG871" i="11"/>
  <c r="BF871" i="11"/>
  <c r="BE871" i="11"/>
  <c r="BD871" i="11"/>
  <c r="BB871" i="11"/>
  <c r="BC871" i="11" s="1"/>
  <c r="BA871" i="11"/>
  <c r="AZ871" i="11"/>
  <c r="AY871" i="11"/>
  <c r="AX871" i="11"/>
  <c r="AW871" i="11"/>
  <c r="AV871" i="11"/>
  <c r="AU871" i="11"/>
  <c r="AT871" i="11"/>
  <c r="BR870" i="11"/>
  <c r="BQ870" i="11"/>
  <c r="BP870" i="11"/>
  <c r="BN870" i="11"/>
  <c r="BM870" i="11"/>
  <c r="BL870" i="11"/>
  <c r="BK870" i="11"/>
  <c r="BJ870" i="11"/>
  <c r="BI870" i="11"/>
  <c r="BH870" i="11"/>
  <c r="BG870" i="11"/>
  <c r="BF870" i="11"/>
  <c r="BE870" i="11"/>
  <c r="BD870" i="11"/>
  <c r="BB870" i="11"/>
  <c r="BC870" i="11" s="1"/>
  <c r="BA870" i="11"/>
  <c r="AZ870" i="11"/>
  <c r="AY870" i="11"/>
  <c r="AX870" i="11"/>
  <c r="AW870" i="11"/>
  <c r="AV870" i="11"/>
  <c r="AU870" i="11"/>
  <c r="AT870" i="11"/>
  <c r="BR869" i="11"/>
  <c r="BQ869" i="11"/>
  <c r="BP869" i="11"/>
  <c r="BN869" i="11"/>
  <c r="BM869" i="11"/>
  <c r="BL869" i="11"/>
  <c r="BK869" i="11"/>
  <c r="BJ869" i="11"/>
  <c r="BH869" i="11"/>
  <c r="BI869" i="11" s="1"/>
  <c r="BG869" i="11"/>
  <c r="BE869" i="11"/>
  <c r="BD869" i="11"/>
  <c r="BF869" i="11" s="1"/>
  <c r="BB869" i="11"/>
  <c r="BC869" i="11" s="1"/>
  <c r="BA869" i="11"/>
  <c r="AZ869" i="11"/>
  <c r="AY869" i="11"/>
  <c r="AX869" i="11"/>
  <c r="AW869" i="11"/>
  <c r="AV869" i="11"/>
  <c r="AU869" i="11"/>
  <c r="AT869" i="11"/>
  <c r="BR868" i="11"/>
  <c r="BQ868" i="11"/>
  <c r="BP868" i="11"/>
  <c r="BN868" i="11"/>
  <c r="BM868" i="11"/>
  <c r="BL868" i="11"/>
  <c r="BK868" i="11"/>
  <c r="BJ868" i="11"/>
  <c r="BI868" i="11"/>
  <c r="BH868" i="11"/>
  <c r="BG868" i="11"/>
  <c r="BF868" i="11"/>
  <c r="BE868" i="11"/>
  <c r="BD868" i="11"/>
  <c r="BB868" i="11"/>
  <c r="BC868" i="11" s="1"/>
  <c r="BA868" i="11"/>
  <c r="AZ868" i="11"/>
  <c r="AY868" i="11"/>
  <c r="AX868" i="11"/>
  <c r="AW868" i="11"/>
  <c r="AV868" i="11"/>
  <c r="AU868" i="11"/>
  <c r="AT868" i="11"/>
  <c r="BR867" i="11"/>
  <c r="BQ867" i="11"/>
  <c r="BP867" i="11"/>
  <c r="BN867" i="11"/>
  <c r="BM867" i="11"/>
  <c r="BL867" i="11"/>
  <c r="BK867" i="11"/>
  <c r="BJ867" i="11"/>
  <c r="BI867" i="11"/>
  <c r="BH867" i="11"/>
  <c r="BG867" i="11"/>
  <c r="BF867" i="11"/>
  <c r="BE867" i="11"/>
  <c r="BD867" i="11"/>
  <c r="BB867" i="11"/>
  <c r="BC867" i="11" s="1"/>
  <c r="BA867" i="11"/>
  <c r="AZ867" i="11"/>
  <c r="AY867" i="11"/>
  <c r="AX867" i="11"/>
  <c r="AW867" i="11"/>
  <c r="AV867" i="11"/>
  <c r="AU867" i="11"/>
  <c r="AT867" i="11"/>
  <c r="BR866" i="11"/>
  <c r="BQ866" i="11"/>
  <c r="BP866" i="11"/>
  <c r="BN866" i="11"/>
  <c r="BM866" i="11"/>
  <c r="BL866" i="11"/>
  <c r="BK866" i="11"/>
  <c r="BJ866" i="11"/>
  <c r="BH866" i="11"/>
  <c r="BI866" i="11" s="1"/>
  <c r="BG866" i="11"/>
  <c r="BE866" i="11"/>
  <c r="BD866" i="11"/>
  <c r="BF866" i="11" s="1"/>
  <c r="BB866" i="11"/>
  <c r="BC866" i="11" s="1"/>
  <c r="BA866" i="11"/>
  <c r="AZ866" i="11"/>
  <c r="AY866" i="11"/>
  <c r="AX866" i="11"/>
  <c r="AW866" i="11"/>
  <c r="AV866" i="11"/>
  <c r="AU866" i="11"/>
  <c r="AT866" i="11"/>
  <c r="BR865" i="11"/>
  <c r="BQ865" i="11"/>
  <c r="BP865" i="11"/>
  <c r="BN865" i="11"/>
  <c r="BM865" i="11"/>
  <c r="BL865" i="11"/>
  <c r="BK865" i="11"/>
  <c r="BJ865" i="11"/>
  <c r="BH865" i="11"/>
  <c r="BI865" i="11" s="1"/>
  <c r="BG865" i="11"/>
  <c r="BE865" i="11"/>
  <c r="BD865" i="11"/>
  <c r="BF865" i="11" s="1"/>
  <c r="BB865" i="11"/>
  <c r="BC865" i="11" s="1"/>
  <c r="BA865" i="11"/>
  <c r="AZ865" i="11"/>
  <c r="AY865" i="11"/>
  <c r="AX865" i="11"/>
  <c r="AW865" i="11"/>
  <c r="AV865" i="11"/>
  <c r="AU865" i="11"/>
  <c r="AT865" i="11"/>
  <c r="BR864" i="11"/>
  <c r="BQ864" i="11"/>
  <c r="BP864" i="11"/>
  <c r="BN864" i="11"/>
  <c r="BM864" i="11"/>
  <c r="BL864" i="11"/>
  <c r="BK864" i="11"/>
  <c r="BJ864" i="11"/>
  <c r="BH864" i="11"/>
  <c r="BI864" i="11" s="1"/>
  <c r="BG864" i="11"/>
  <c r="BF864" i="11"/>
  <c r="BE864" i="11"/>
  <c r="BD864" i="11"/>
  <c r="BB864" i="11"/>
  <c r="BC864" i="11" s="1"/>
  <c r="BA864" i="11"/>
  <c r="AZ864" i="11"/>
  <c r="AY864" i="11"/>
  <c r="AX864" i="11"/>
  <c r="AW864" i="11"/>
  <c r="AV864" i="11"/>
  <c r="AU864" i="11"/>
  <c r="AT864" i="11"/>
  <c r="BR863" i="11"/>
  <c r="BQ863" i="11"/>
  <c r="BP863" i="11"/>
  <c r="BN863" i="11"/>
  <c r="BM863" i="11"/>
  <c r="BL863" i="11"/>
  <c r="BK863" i="11"/>
  <c r="BJ863" i="11"/>
  <c r="BI863" i="11"/>
  <c r="BH863" i="11"/>
  <c r="BG863" i="11"/>
  <c r="BF863" i="11"/>
  <c r="BE863" i="11"/>
  <c r="BD863" i="11"/>
  <c r="BB863" i="11"/>
  <c r="BC863" i="11" s="1"/>
  <c r="BA863" i="11"/>
  <c r="AZ863" i="11"/>
  <c r="AY863" i="11"/>
  <c r="AX863" i="11"/>
  <c r="AW863" i="11"/>
  <c r="AV863" i="11"/>
  <c r="AU863" i="11"/>
  <c r="AT863" i="11"/>
  <c r="BR862" i="11"/>
  <c r="BQ862" i="11"/>
  <c r="BP862" i="11"/>
  <c r="BN862" i="11"/>
  <c r="BM862" i="11"/>
  <c r="BL862" i="11"/>
  <c r="BK862" i="11"/>
  <c r="BJ862" i="11"/>
  <c r="BI862" i="11"/>
  <c r="BH862" i="11"/>
  <c r="BG862" i="11"/>
  <c r="BE862" i="11"/>
  <c r="BD862" i="11"/>
  <c r="BF862" i="11" s="1"/>
  <c r="BB862" i="11"/>
  <c r="BC862" i="11" s="1"/>
  <c r="BA862" i="11"/>
  <c r="AZ862" i="11"/>
  <c r="AY862" i="11"/>
  <c r="AX862" i="11"/>
  <c r="AW862" i="11"/>
  <c r="AV862" i="11"/>
  <c r="AU862" i="11"/>
  <c r="AT862" i="11"/>
  <c r="BR861" i="11"/>
  <c r="BQ861" i="11"/>
  <c r="BP861" i="11"/>
  <c r="BN861" i="11"/>
  <c r="BM861" i="11"/>
  <c r="BL861" i="11"/>
  <c r="BK861" i="11"/>
  <c r="BJ861" i="11"/>
  <c r="BH861" i="11"/>
  <c r="BI861" i="11" s="1"/>
  <c r="BG861" i="11"/>
  <c r="BE861" i="11"/>
  <c r="BD861" i="11"/>
  <c r="BF861" i="11" s="1"/>
  <c r="BB861" i="11"/>
  <c r="BC861" i="11" s="1"/>
  <c r="BA861" i="11"/>
  <c r="AZ861" i="11"/>
  <c r="AY861" i="11"/>
  <c r="AX861" i="11"/>
  <c r="AW861" i="11"/>
  <c r="AV861" i="11"/>
  <c r="AU861" i="11"/>
  <c r="AT861" i="11"/>
  <c r="BR860" i="11"/>
  <c r="BQ860" i="11"/>
  <c r="BP860" i="11"/>
  <c r="BN860" i="11"/>
  <c r="BM860" i="11"/>
  <c r="BL860" i="11"/>
  <c r="BK860" i="11"/>
  <c r="BJ860" i="11"/>
  <c r="BH860" i="11"/>
  <c r="BI860" i="11" s="1"/>
  <c r="BG860" i="11"/>
  <c r="BF860" i="11"/>
  <c r="BE860" i="11"/>
  <c r="BD860" i="11"/>
  <c r="BB860" i="11"/>
  <c r="BC860" i="11" s="1"/>
  <c r="BA860" i="11"/>
  <c r="AZ860" i="11"/>
  <c r="AY860" i="11"/>
  <c r="AX860" i="11"/>
  <c r="AW860" i="11"/>
  <c r="AV860" i="11"/>
  <c r="AU860" i="11"/>
  <c r="AT860" i="11"/>
  <c r="BR859" i="11"/>
  <c r="BQ859" i="11"/>
  <c r="BP859" i="11"/>
  <c r="BN859" i="11"/>
  <c r="BM859" i="11"/>
  <c r="BL859" i="11"/>
  <c r="BK859" i="11"/>
  <c r="BJ859" i="11"/>
  <c r="BI859" i="11"/>
  <c r="BH859" i="11"/>
  <c r="BG859" i="11"/>
  <c r="BF859" i="11"/>
  <c r="BE859" i="11"/>
  <c r="BD859" i="11"/>
  <c r="BB859" i="11"/>
  <c r="BC859" i="11" s="1"/>
  <c r="BA859" i="11"/>
  <c r="AZ859" i="11"/>
  <c r="AY859" i="11"/>
  <c r="AX859" i="11"/>
  <c r="AW859" i="11"/>
  <c r="AV859" i="11"/>
  <c r="AU859" i="11"/>
  <c r="AT859" i="11"/>
  <c r="BR858" i="11"/>
  <c r="BQ858" i="11"/>
  <c r="BP858" i="11"/>
  <c r="BN858" i="11"/>
  <c r="BM858" i="11"/>
  <c r="BL858" i="11"/>
  <c r="BK858" i="11"/>
  <c r="BJ858" i="11"/>
  <c r="BH858" i="11"/>
  <c r="BI858" i="11" s="1"/>
  <c r="BG858" i="11"/>
  <c r="BF858" i="11"/>
  <c r="BE858" i="11"/>
  <c r="BD858" i="11"/>
  <c r="BB858" i="11"/>
  <c r="BC858" i="11" s="1"/>
  <c r="BA858" i="11"/>
  <c r="AZ858" i="11"/>
  <c r="AY858" i="11"/>
  <c r="AX858" i="11"/>
  <c r="AW858" i="11"/>
  <c r="AV858" i="11"/>
  <c r="AU858" i="11"/>
  <c r="AT858" i="11"/>
  <c r="BR857" i="11"/>
  <c r="BQ857" i="11"/>
  <c r="BP857" i="11"/>
  <c r="BN857" i="11"/>
  <c r="BM857" i="11"/>
  <c r="BL857" i="11"/>
  <c r="BK857" i="11"/>
  <c r="BJ857" i="11"/>
  <c r="BH857" i="11"/>
  <c r="BI857" i="11" s="1"/>
  <c r="BG857" i="11"/>
  <c r="BE857" i="11"/>
  <c r="BD857" i="11"/>
  <c r="BF857" i="11" s="1"/>
  <c r="BB857" i="11"/>
  <c r="BC857" i="11" s="1"/>
  <c r="BA857" i="11"/>
  <c r="AZ857" i="11"/>
  <c r="AY857" i="11"/>
  <c r="AX857" i="11"/>
  <c r="AW857" i="11"/>
  <c r="AV857" i="11"/>
  <c r="AU857" i="11"/>
  <c r="AT857" i="11"/>
  <c r="BR856" i="11"/>
  <c r="BQ856" i="11"/>
  <c r="BP856" i="11"/>
  <c r="BN856" i="11"/>
  <c r="BM856" i="11"/>
  <c r="BL856" i="11"/>
  <c r="BK856" i="11"/>
  <c r="BJ856" i="11"/>
  <c r="BI856" i="11"/>
  <c r="BH856" i="11"/>
  <c r="BG856" i="11"/>
  <c r="BF856" i="11"/>
  <c r="BE856" i="11"/>
  <c r="BD856" i="11"/>
  <c r="BB856" i="11"/>
  <c r="BC856" i="11" s="1"/>
  <c r="BA856" i="11"/>
  <c r="AZ856" i="11"/>
  <c r="AY856" i="11"/>
  <c r="AX856" i="11"/>
  <c r="AW856" i="11"/>
  <c r="AV856" i="11"/>
  <c r="AU856" i="11"/>
  <c r="AT856" i="11"/>
  <c r="BR855" i="11"/>
  <c r="BQ855" i="11"/>
  <c r="BP855" i="11"/>
  <c r="BN855" i="11"/>
  <c r="BM855" i="11"/>
  <c r="BL855" i="11"/>
  <c r="BK855" i="11"/>
  <c r="BJ855" i="11"/>
  <c r="BI855" i="11"/>
  <c r="BH855" i="11"/>
  <c r="BG855" i="11"/>
  <c r="BF855" i="11"/>
  <c r="BE855" i="11"/>
  <c r="BD855" i="11"/>
  <c r="BB855" i="11"/>
  <c r="BC855" i="11" s="1"/>
  <c r="BA855" i="11"/>
  <c r="AZ855" i="11"/>
  <c r="AY855" i="11"/>
  <c r="AX855" i="11"/>
  <c r="AW855" i="11"/>
  <c r="AV855" i="11"/>
  <c r="AU855" i="11"/>
  <c r="AT855" i="11"/>
  <c r="BR854" i="11"/>
  <c r="BQ854" i="11"/>
  <c r="BP854" i="11"/>
  <c r="BN854" i="11"/>
  <c r="BM854" i="11"/>
  <c r="BL854" i="11"/>
  <c r="BK854" i="11"/>
  <c r="BJ854" i="11"/>
  <c r="BH854" i="11"/>
  <c r="BI854" i="11" s="1"/>
  <c r="BG854" i="11"/>
  <c r="BE854" i="11"/>
  <c r="BD854" i="11"/>
  <c r="BF854" i="11" s="1"/>
  <c r="BB854" i="11"/>
  <c r="BC854" i="11" s="1"/>
  <c r="BA854" i="11"/>
  <c r="AZ854" i="11"/>
  <c r="AY854" i="11"/>
  <c r="AX854" i="11"/>
  <c r="AW854" i="11"/>
  <c r="AV854" i="11"/>
  <c r="AU854" i="11"/>
  <c r="AT854" i="11"/>
  <c r="BR853" i="11"/>
  <c r="BQ853" i="11"/>
  <c r="BP853" i="11"/>
  <c r="BN853" i="11"/>
  <c r="BM853" i="11"/>
  <c r="BL853" i="11"/>
  <c r="BK853" i="11"/>
  <c r="BJ853" i="11"/>
  <c r="BH853" i="11"/>
  <c r="BI853" i="11" s="1"/>
  <c r="BG853" i="11"/>
  <c r="BE853" i="11"/>
  <c r="BD853" i="11"/>
  <c r="BF853" i="11" s="1"/>
  <c r="BB853" i="11"/>
  <c r="BC853" i="11" s="1"/>
  <c r="BA853" i="11"/>
  <c r="AZ853" i="11"/>
  <c r="AY853" i="11"/>
  <c r="AX853" i="11"/>
  <c r="AW853" i="11"/>
  <c r="AV853" i="11"/>
  <c r="AU853" i="11"/>
  <c r="AT853" i="11"/>
  <c r="BR852" i="11"/>
  <c r="BQ852" i="11"/>
  <c r="BP852" i="11"/>
  <c r="BN852" i="11"/>
  <c r="BM852" i="11"/>
  <c r="BL852" i="11"/>
  <c r="BK852" i="11"/>
  <c r="BJ852" i="11"/>
  <c r="BH852" i="11"/>
  <c r="BI852" i="11" s="1"/>
  <c r="BG852" i="11"/>
  <c r="BF852" i="11"/>
  <c r="BE852" i="11"/>
  <c r="BD852" i="11"/>
  <c r="BB852" i="11"/>
  <c r="BC852" i="11" s="1"/>
  <c r="BA852" i="11"/>
  <c r="AZ852" i="11"/>
  <c r="AY852" i="11"/>
  <c r="AX852" i="11"/>
  <c r="AW852" i="11"/>
  <c r="AV852" i="11"/>
  <c r="AU852" i="11"/>
  <c r="AT852" i="11"/>
  <c r="BR851" i="11"/>
  <c r="BQ851" i="11"/>
  <c r="BP851" i="11"/>
  <c r="BN851" i="11"/>
  <c r="BM851" i="11"/>
  <c r="BL851" i="11"/>
  <c r="BK851" i="11"/>
  <c r="BJ851" i="11"/>
  <c r="BI851" i="11"/>
  <c r="BH851" i="11"/>
  <c r="BG851" i="11"/>
  <c r="BF851" i="11"/>
  <c r="BE851" i="11"/>
  <c r="BD851" i="11"/>
  <c r="BB851" i="11"/>
  <c r="BC851" i="11" s="1"/>
  <c r="BA851" i="11"/>
  <c r="AZ851" i="11"/>
  <c r="AY851" i="11"/>
  <c r="AX851" i="11"/>
  <c r="AW851" i="11"/>
  <c r="AV851" i="11"/>
  <c r="AU851" i="11"/>
  <c r="AT851" i="11"/>
  <c r="BR850" i="11"/>
  <c r="BQ850" i="11"/>
  <c r="BP850" i="11"/>
  <c r="BN850" i="11"/>
  <c r="BM850" i="11"/>
  <c r="BL850" i="11"/>
  <c r="BK850" i="11"/>
  <c r="BJ850" i="11"/>
  <c r="BI850" i="11"/>
  <c r="BH850" i="11"/>
  <c r="BG850" i="11"/>
  <c r="BE850" i="11"/>
  <c r="BD850" i="11"/>
  <c r="BF850" i="11" s="1"/>
  <c r="BB850" i="11"/>
  <c r="BC850" i="11" s="1"/>
  <c r="BA850" i="11"/>
  <c r="AZ850" i="11"/>
  <c r="AY850" i="11"/>
  <c r="AX850" i="11"/>
  <c r="AW850" i="11"/>
  <c r="AV850" i="11"/>
  <c r="AU850" i="11"/>
  <c r="AT850" i="11"/>
  <c r="BR849" i="11"/>
  <c r="BQ849" i="11"/>
  <c r="BP849" i="11"/>
  <c r="BN849" i="11"/>
  <c r="BM849" i="11"/>
  <c r="BL849" i="11"/>
  <c r="BK849" i="11"/>
  <c r="BJ849" i="11"/>
  <c r="BH849" i="11"/>
  <c r="BI849" i="11" s="1"/>
  <c r="BG849" i="11"/>
  <c r="BE849" i="11"/>
  <c r="BD849" i="11"/>
  <c r="BF849" i="11" s="1"/>
  <c r="BB849" i="11"/>
  <c r="BC849" i="11" s="1"/>
  <c r="BA849" i="11"/>
  <c r="AZ849" i="11"/>
  <c r="AY849" i="11"/>
  <c r="AX849" i="11"/>
  <c r="AW849" i="11"/>
  <c r="AV849" i="11"/>
  <c r="AU849" i="11"/>
  <c r="AT849" i="11"/>
  <c r="BR848" i="11"/>
  <c r="BQ848" i="11"/>
  <c r="BP848" i="11"/>
  <c r="BN848" i="11"/>
  <c r="BM848" i="11"/>
  <c r="BL848" i="11"/>
  <c r="BK848" i="11"/>
  <c r="BJ848" i="11"/>
  <c r="BH848" i="11"/>
  <c r="BI848" i="11" s="1"/>
  <c r="BG848" i="11"/>
  <c r="BF848" i="11"/>
  <c r="BE848" i="11"/>
  <c r="BD848" i="11"/>
  <c r="BB848" i="11"/>
  <c r="BC848" i="11" s="1"/>
  <c r="BA848" i="11"/>
  <c r="AZ848" i="11"/>
  <c r="AY848" i="11"/>
  <c r="AX848" i="11"/>
  <c r="AW848" i="11"/>
  <c r="AV848" i="11"/>
  <c r="AU848" i="11"/>
  <c r="AT848" i="11"/>
  <c r="BR847" i="11"/>
  <c r="BQ847" i="11"/>
  <c r="BP847" i="11"/>
  <c r="BN847" i="11"/>
  <c r="BM847" i="11"/>
  <c r="BL847" i="11"/>
  <c r="BK847" i="11"/>
  <c r="BJ847" i="11"/>
  <c r="BI847" i="11"/>
  <c r="BH847" i="11"/>
  <c r="BG847" i="11"/>
  <c r="BF847" i="11"/>
  <c r="BE847" i="11"/>
  <c r="BD847" i="11"/>
  <c r="BB847" i="11"/>
  <c r="BC847" i="11" s="1"/>
  <c r="BA847" i="11"/>
  <c r="AZ847" i="11"/>
  <c r="AY847" i="11"/>
  <c r="AX847" i="11"/>
  <c r="AW847" i="11"/>
  <c r="AV847" i="11"/>
  <c r="AU847" i="11"/>
  <c r="AT847" i="11"/>
  <c r="BR846" i="11"/>
  <c r="BQ846" i="11"/>
  <c r="BP846" i="11"/>
  <c r="BN846" i="11"/>
  <c r="BM846" i="11"/>
  <c r="BL846" i="11"/>
  <c r="BK846" i="11"/>
  <c r="BJ846" i="11"/>
  <c r="BH846" i="11"/>
  <c r="BI846" i="11" s="1"/>
  <c r="BG846" i="11"/>
  <c r="BF846" i="11"/>
  <c r="BE846" i="11"/>
  <c r="BD846" i="11"/>
  <c r="BB846" i="11"/>
  <c r="BC846" i="11" s="1"/>
  <c r="BA846" i="11"/>
  <c r="AZ846" i="11"/>
  <c r="AY846" i="11"/>
  <c r="AX846" i="11"/>
  <c r="AW846" i="11"/>
  <c r="AV846" i="11"/>
  <c r="AU846" i="11"/>
  <c r="AT846" i="11"/>
  <c r="BR845" i="11"/>
  <c r="BQ845" i="11"/>
  <c r="BP845" i="11"/>
  <c r="BN845" i="11"/>
  <c r="BM845" i="11"/>
  <c r="BL845" i="11"/>
  <c r="BK845" i="11"/>
  <c r="BJ845" i="11"/>
  <c r="BH845" i="11"/>
  <c r="BI845" i="11" s="1"/>
  <c r="BG845" i="11"/>
  <c r="BE845" i="11"/>
  <c r="BD845" i="11"/>
  <c r="BF845" i="11" s="1"/>
  <c r="BB845" i="11"/>
  <c r="BC845" i="11" s="1"/>
  <c r="BA845" i="11"/>
  <c r="AZ845" i="11"/>
  <c r="AY845" i="11"/>
  <c r="AX845" i="11"/>
  <c r="AW845" i="11"/>
  <c r="AV845" i="11"/>
  <c r="AU845" i="11"/>
  <c r="AT845" i="11"/>
  <c r="BR844" i="11"/>
  <c r="BQ844" i="11"/>
  <c r="BP844" i="11"/>
  <c r="BN844" i="11"/>
  <c r="BM844" i="11"/>
  <c r="BL844" i="11"/>
  <c r="BK844" i="11"/>
  <c r="BJ844" i="11"/>
  <c r="BI844" i="11"/>
  <c r="BH844" i="11"/>
  <c r="BG844" i="11"/>
  <c r="BF844" i="11"/>
  <c r="BE844" i="11"/>
  <c r="BD844" i="11"/>
  <c r="BB844" i="11"/>
  <c r="BC844" i="11" s="1"/>
  <c r="BA844" i="11"/>
  <c r="AZ844" i="11"/>
  <c r="AY844" i="11"/>
  <c r="AX844" i="11"/>
  <c r="AW844" i="11"/>
  <c r="AV844" i="11"/>
  <c r="AU844" i="11"/>
  <c r="AT844" i="11"/>
  <c r="BR843" i="11"/>
  <c r="BQ843" i="11"/>
  <c r="BP843" i="11"/>
  <c r="BN843" i="11"/>
  <c r="BM843" i="11"/>
  <c r="BL843" i="11"/>
  <c r="BK843" i="11"/>
  <c r="BJ843" i="11"/>
  <c r="BI843" i="11"/>
  <c r="BH843" i="11"/>
  <c r="BG843" i="11"/>
  <c r="BF843" i="11"/>
  <c r="BE843" i="11"/>
  <c r="BD843" i="11"/>
  <c r="BB843" i="11"/>
  <c r="BC843" i="11" s="1"/>
  <c r="BA843" i="11"/>
  <c r="AZ843" i="11"/>
  <c r="AY843" i="11"/>
  <c r="AX843" i="11"/>
  <c r="AW843" i="11"/>
  <c r="AV843" i="11"/>
  <c r="AU843" i="11"/>
  <c r="AT843" i="11"/>
  <c r="BR842" i="11"/>
  <c r="BQ842" i="11"/>
  <c r="BP842" i="11"/>
  <c r="BN842" i="11"/>
  <c r="BM842" i="11"/>
  <c r="BL842" i="11"/>
  <c r="BK842" i="11"/>
  <c r="BJ842" i="11"/>
  <c r="BI842" i="11"/>
  <c r="BH842" i="11"/>
  <c r="BG842" i="11"/>
  <c r="BF842" i="11"/>
  <c r="BE842" i="11"/>
  <c r="BD842" i="11"/>
  <c r="BB842" i="11"/>
  <c r="BC842" i="11" s="1"/>
  <c r="BA842" i="11"/>
  <c r="AZ842" i="11"/>
  <c r="AY842" i="11"/>
  <c r="AX842" i="11"/>
  <c r="AW842" i="11"/>
  <c r="AV842" i="11"/>
  <c r="AU842" i="11"/>
  <c r="AT842" i="11"/>
  <c r="BR841" i="11"/>
  <c r="BQ841" i="11"/>
  <c r="BP841" i="11"/>
  <c r="BN841" i="11"/>
  <c r="BM841" i="11"/>
  <c r="BL841" i="11"/>
  <c r="BK841" i="11"/>
  <c r="BJ841" i="11"/>
  <c r="BI841" i="11"/>
  <c r="BH841" i="11"/>
  <c r="BG841" i="11"/>
  <c r="BF841" i="11"/>
  <c r="BE841" i="11"/>
  <c r="BD841" i="11"/>
  <c r="BB841" i="11"/>
  <c r="BC841" i="11" s="1"/>
  <c r="BA841" i="11"/>
  <c r="AZ841" i="11"/>
  <c r="AY841" i="11"/>
  <c r="AX841" i="11"/>
  <c r="AW841" i="11"/>
  <c r="AV841" i="11"/>
  <c r="AU841" i="11"/>
  <c r="AT841" i="11"/>
  <c r="BR840" i="11"/>
  <c r="BQ840" i="11"/>
  <c r="BP840" i="11"/>
  <c r="BN840" i="11"/>
  <c r="BM840" i="11"/>
  <c r="BL840" i="11"/>
  <c r="BK840" i="11"/>
  <c r="BJ840" i="11"/>
  <c r="BI840" i="11"/>
  <c r="BH840" i="11"/>
  <c r="BG840" i="11"/>
  <c r="BF840" i="11"/>
  <c r="BE840" i="11"/>
  <c r="BD840" i="11"/>
  <c r="BB840" i="11"/>
  <c r="BC840" i="11" s="1"/>
  <c r="BA840" i="11"/>
  <c r="AZ840" i="11"/>
  <c r="AY840" i="11"/>
  <c r="AX840" i="11"/>
  <c r="AW840" i="11"/>
  <c r="AV840" i="11"/>
  <c r="AU840" i="11"/>
  <c r="AT840" i="11"/>
  <c r="BR839" i="11"/>
  <c r="BQ839" i="11"/>
  <c r="BP839" i="11"/>
  <c r="BN839" i="11"/>
  <c r="BM839" i="11"/>
  <c r="BL839" i="11"/>
  <c r="BK839" i="11"/>
  <c r="BJ839" i="11"/>
  <c r="BI839" i="11"/>
  <c r="BH839" i="11"/>
  <c r="BG839" i="11"/>
  <c r="BF839" i="11"/>
  <c r="BE839" i="11"/>
  <c r="BD839" i="11"/>
  <c r="BB839" i="11"/>
  <c r="BC839" i="11" s="1"/>
  <c r="BA839" i="11"/>
  <c r="AZ839" i="11"/>
  <c r="AY839" i="11"/>
  <c r="AX839" i="11"/>
  <c r="AW839" i="11"/>
  <c r="AV839" i="11"/>
  <c r="AU839" i="11"/>
  <c r="AT839" i="11"/>
  <c r="BR838" i="11"/>
  <c r="BQ838" i="11"/>
  <c r="BP838" i="11"/>
  <c r="BN838" i="11"/>
  <c r="BM838" i="11"/>
  <c r="BL838" i="11"/>
  <c r="BK838" i="11"/>
  <c r="BJ838" i="11"/>
  <c r="BI838" i="11"/>
  <c r="BH838" i="11"/>
  <c r="BG838" i="11"/>
  <c r="BF838" i="11"/>
  <c r="BE838" i="11"/>
  <c r="BD838" i="11"/>
  <c r="BB838" i="11"/>
  <c r="BC838" i="11" s="1"/>
  <c r="BA838" i="11"/>
  <c r="AZ838" i="11"/>
  <c r="AY838" i="11"/>
  <c r="AX838" i="11"/>
  <c r="AW838" i="11"/>
  <c r="AV838" i="11"/>
  <c r="AU838" i="11"/>
  <c r="AT838" i="11"/>
  <c r="BR837" i="11"/>
  <c r="BQ837" i="11"/>
  <c r="BP837" i="11"/>
  <c r="BN837" i="11"/>
  <c r="BM837" i="11"/>
  <c r="BL837" i="11"/>
  <c r="BK837" i="11"/>
  <c r="BJ837" i="11"/>
  <c r="BI837" i="11"/>
  <c r="BH837" i="11"/>
  <c r="BG837" i="11"/>
  <c r="BF837" i="11"/>
  <c r="BE837" i="11"/>
  <c r="BD837" i="11"/>
  <c r="BB837" i="11"/>
  <c r="BC837" i="11" s="1"/>
  <c r="BA837" i="11"/>
  <c r="AZ837" i="11"/>
  <c r="AY837" i="11"/>
  <c r="AX837" i="11"/>
  <c r="AW837" i="11"/>
  <c r="AV837" i="11"/>
  <c r="AU837" i="11"/>
  <c r="AT837" i="11"/>
  <c r="BR836" i="11"/>
  <c r="BQ836" i="11"/>
  <c r="BP836" i="11"/>
  <c r="BN836" i="11"/>
  <c r="BM836" i="11"/>
  <c r="BL836" i="11"/>
  <c r="BK836" i="11"/>
  <c r="BJ836" i="11"/>
  <c r="BI836" i="11"/>
  <c r="BH836" i="11"/>
  <c r="BG836" i="11"/>
  <c r="BF836" i="11"/>
  <c r="BE836" i="11"/>
  <c r="BD836" i="11"/>
  <c r="BB836" i="11"/>
  <c r="BC836" i="11" s="1"/>
  <c r="BA836" i="11"/>
  <c r="AZ836" i="11"/>
  <c r="AY836" i="11"/>
  <c r="AX836" i="11"/>
  <c r="AW836" i="11"/>
  <c r="AV836" i="11"/>
  <c r="AU836" i="11"/>
  <c r="AT836" i="11"/>
  <c r="BR835" i="11"/>
  <c r="BQ835" i="11"/>
  <c r="BP835" i="11"/>
  <c r="BN835" i="11"/>
  <c r="BM835" i="11"/>
  <c r="BL835" i="11"/>
  <c r="BK835" i="11"/>
  <c r="BJ835" i="11"/>
  <c r="BI835" i="11"/>
  <c r="BH835" i="11"/>
  <c r="BG835" i="11"/>
  <c r="BF835" i="11"/>
  <c r="BE835" i="11"/>
  <c r="BD835" i="11"/>
  <c r="BB835" i="11"/>
  <c r="BC835" i="11" s="1"/>
  <c r="BA835" i="11"/>
  <c r="AZ835" i="11"/>
  <c r="AY835" i="11"/>
  <c r="AX835" i="11"/>
  <c r="AW835" i="11"/>
  <c r="AV835" i="11"/>
  <c r="AU835" i="11"/>
  <c r="AT835" i="11"/>
  <c r="BR834" i="11"/>
  <c r="BQ834" i="11"/>
  <c r="BP834" i="11"/>
  <c r="BN834" i="11"/>
  <c r="BM834" i="11"/>
  <c r="BL834" i="11"/>
  <c r="BK834" i="11"/>
  <c r="BJ834" i="11"/>
  <c r="BI834" i="11"/>
  <c r="BH834" i="11"/>
  <c r="BG834" i="11"/>
  <c r="BF834" i="11"/>
  <c r="BE834" i="11"/>
  <c r="BD834" i="11"/>
  <c r="BB834" i="11"/>
  <c r="BC834" i="11" s="1"/>
  <c r="BA834" i="11"/>
  <c r="AZ834" i="11"/>
  <c r="AY834" i="11"/>
  <c r="AX834" i="11"/>
  <c r="AW834" i="11"/>
  <c r="AV834" i="11"/>
  <c r="AU834" i="11"/>
  <c r="AT834" i="11"/>
  <c r="BR833" i="11"/>
  <c r="BQ833" i="11"/>
  <c r="BP833" i="11"/>
  <c r="BN833" i="11"/>
  <c r="BM833" i="11"/>
  <c r="BL833" i="11"/>
  <c r="BK833" i="11"/>
  <c r="BJ833" i="11"/>
  <c r="BI833" i="11"/>
  <c r="BH833" i="11"/>
  <c r="BG833" i="11"/>
  <c r="BF833" i="11"/>
  <c r="BE833" i="11"/>
  <c r="BD833" i="11"/>
  <c r="BB833" i="11"/>
  <c r="BC833" i="11" s="1"/>
  <c r="BA833" i="11"/>
  <c r="AZ833" i="11"/>
  <c r="AY833" i="11"/>
  <c r="AX833" i="11"/>
  <c r="AW833" i="11"/>
  <c r="AV833" i="11"/>
  <c r="AU833" i="11"/>
  <c r="AT833" i="11"/>
  <c r="BR832" i="11"/>
  <c r="BQ832" i="11"/>
  <c r="BP832" i="11"/>
  <c r="BN832" i="11"/>
  <c r="BM832" i="11"/>
  <c r="BL832" i="11"/>
  <c r="BK832" i="11"/>
  <c r="BJ832" i="11"/>
  <c r="BI832" i="11"/>
  <c r="BH832" i="11"/>
  <c r="BG832" i="11"/>
  <c r="BF832" i="11"/>
  <c r="BE832" i="11"/>
  <c r="BD832" i="11"/>
  <c r="BB832" i="11"/>
  <c r="BC832" i="11" s="1"/>
  <c r="BA832" i="11"/>
  <c r="AZ832" i="11"/>
  <c r="AY832" i="11"/>
  <c r="AX832" i="11"/>
  <c r="AW832" i="11"/>
  <c r="AV832" i="11"/>
  <c r="AU832" i="11"/>
  <c r="AT832" i="11"/>
  <c r="BR831" i="11"/>
  <c r="BQ831" i="11"/>
  <c r="BP831" i="11"/>
  <c r="BN831" i="11"/>
  <c r="BM831" i="11"/>
  <c r="BL831" i="11"/>
  <c r="BK831" i="11"/>
  <c r="BJ831" i="11"/>
  <c r="BI831" i="11"/>
  <c r="BH831" i="11"/>
  <c r="BG831" i="11"/>
  <c r="BF831" i="11"/>
  <c r="BE831" i="11"/>
  <c r="BD831" i="11"/>
  <c r="BB831" i="11"/>
  <c r="BC831" i="11" s="1"/>
  <c r="BA831" i="11"/>
  <c r="AZ831" i="11"/>
  <c r="AY831" i="11"/>
  <c r="AX831" i="11"/>
  <c r="AW831" i="11"/>
  <c r="AV831" i="11"/>
  <c r="AU831" i="11"/>
  <c r="AT831" i="11"/>
  <c r="BR830" i="11"/>
  <c r="BQ830" i="11"/>
  <c r="BP830" i="11"/>
  <c r="BN830" i="11"/>
  <c r="BM830" i="11"/>
  <c r="BL830" i="11"/>
  <c r="BK830" i="11"/>
  <c r="BJ830" i="11"/>
  <c r="BI830" i="11"/>
  <c r="BH830" i="11"/>
  <c r="BG830" i="11"/>
  <c r="BF830" i="11"/>
  <c r="BE830" i="11"/>
  <c r="BD830" i="11"/>
  <c r="BB830" i="11"/>
  <c r="BC830" i="11" s="1"/>
  <c r="BA830" i="11"/>
  <c r="AZ830" i="11"/>
  <c r="AY830" i="11"/>
  <c r="AX830" i="11"/>
  <c r="AW830" i="11"/>
  <c r="AV830" i="11"/>
  <c r="AU830" i="11"/>
  <c r="AT830" i="11"/>
  <c r="BR829" i="11"/>
  <c r="BQ829" i="11"/>
  <c r="BP829" i="11"/>
  <c r="BN829" i="11"/>
  <c r="BM829" i="11"/>
  <c r="BL829" i="11"/>
  <c r="BK829" i="11"/>
  <c r="BJ829" i="11"/>
  <c r="BI829" i="11"/>
  <c r="BH829" i="11"/>
  <c r="BG829" i="11"/>
  <c r="BF829" i="11"/>
  <c r="BE829" i="11"/>
  <c r="BD829" i="11"/>
  <c r="BB829" i="11"/>
  <c r="BC829" i="11" s="1"/>
  <c r="BA829" i="11"/>
  <c r="AZ829" i="11"/>
  <c r="AY829" i="11"/>
  <c r="AX829" i="11"/>
  <c r="AW829" i="11"/>
  <c r="AV829" i="11"/>
  <c r="AU829" i="11"/>
  <c r="AT829" i="11"/>
  <c r="BR828" i="11"/>
  <c r="BQ828" i="11"/>
  <c r="BP828" i="11"/>
  <c r="BN828" i="11"/>
  <c r="BM828" i="11"/>
  <c r="BL828" i="11"/>
  <c r="BK828" i="11"/>
  <c r="BJ828" i="11"/>
  <c r="BI828" i="11"/>
  <c r="BH828" i="11"/>
  <c r="BG828" i="11"/>
  <c r="BF828" i="11"/>
  <c r="BE828" i="11"/>
  <c r="BD828" i="11"/>
  <c r="BB828" i="11"/>
  <c r="BC828" i="11" s="1"/>
  <c r="BA828" i="11"/>
  <c r="AZ828" i="11"/>
  <c r="AY828" i="11"/>
  <c r="AX828" i="11"/>
  <c r="AW828" i="11"/>
  <c r="AV828" i="11"/>
  <c r="AU828" i="11"/>
  <c r="AT828" i="11"/>
  <c r="BR827" i="11"/>
  <c r="BQ827" i="11"/>
  <c r="BP827" i="11"/>
  <c r="BN827" i="11"/>
  <c r="BM827" i="11"/>
  <c r="BL827" i="11"/>
  <c r="BK827" i="11"/>
  <c r="BJ827" i="11"/>
  <c r="BI827" i="11"/>
  <c r="BH827" i="11"/>
  <c r="BG827" i="11"/>
  <c r="BF827" i="11"/>
  <c r="BE827" i="11"/>
  <c r="BD827" i="11"/>
  <c r="BB827" i="11"/>
  <c r="BC827" i="11" s="1"/>
  <c r="BA827" i="11"/>
  <c r="AZ827" i="11"/>
  <c r="AY827" i="11"/>
  <c r="AX827" i="11"/>
  <c r="AW827" i="11"/>
  <c r="AV827" i="11"/>
  <c r="AU827" i="11"/>
  <c r="AT827" i="11"/>
  <c r="BR826" i="11"/>
  <c r="BQ826" i="11"/>
  <c r="BP826" i="11"/>
  <c r="BN826" i="11"/>
  <c r="BM826" i="11"/>
  <c r="BL826" i="11"/>
  <c r="BK826" i="11"/>
  <c r="BJ826" i="11"/>
  <c r="BI826" i="11"/>
  <c r="BH826" i="11"/>
  <c r="BG826" i="11"/>
  <c r="BF826" i="11"/>
  <c r="BE826" i="11"/>
  <c r="BD826" i="11"/>
  <c r="BB826" i="11"/>
  <c r="BC826" i="11" s="1"/>
  <c r="BA826" i="11"/>
  <c r="AZ826" i="11"/>
  <c r="AY826" i="11"/>
  <c r="AX826" i="11"/>
  <c r="AW826" i="11"/>
  <c r="AV826" i="11"/>
  <c r="AU826" i="11"/>
  <c r="AT826" i="11"/>
  <c r="BR825" i="11"/>
  <c r="BQ825" i="11"/>
  <c r="BP825" i="11"/>
  <c r="BN825" i="11"/>
  <c r="BM825" i="11"/>
  <c r="BL825" i="11"/>
  <c r="BK825" i="11"/>
  <c r="BJ825" i="11"/>
  <c r="BI825" i="11"/>
  <c r="BH825" i="11"/>
  <c r="BG825" i="11"/>
  <c r="BF825" i="11"/>
  <c r="BE825" i="11"/>
  <c r="BD825" i="11"/>
  <c r="BB825" i="11"/>
  <c r="BC825" i="11" s="1"/>
  <c r="BA825" i="11"/>
  <c r="AZ825" i="11"/>
  <c r="AY825" i="11"/>
  <c r="AX825" i="11"/>
  <c r="AW825" i="11"/>
  <c r="AV825" i="11"/>
  <c r="AU825" i="11"/>
  <c r="AT825" i="11"/>
  <c r="BR824" i="11"/>
  <c r="BQ824" i="11"/>
  <c r="BP824" i="11"/>
  <c r="BN824" i="11"/>
  <c r="BM824" i="11"/>
  <c r="BL824" i="11"/>
  <c r="BK824" i="11"/>
  <c r="BJ824" i="11"/>
  <c r="BI824" i="11"/>
  <c r="BH824" i="11"/>
  <c r="BG824" i="11"/>
  <c r="BF824" i="11"/>
  <c r="BE824" i="11"/>
  <c r="BD824" i="11"/>
  <c r="BB824" i="11"/>
  <c r="BC824" i="11" s="1"/>
  <c r="BA824" i="11"/>
  <c r="AZ824" i="11"/>
  <c r="AY824" i="11"/>
  <c r="AX824" i="11"/>
  <c r="AW824" i="11"/>
  <c r="AV824" i="11"/>
  <c r="AU824" i="11"/>
  <c r="AT824" i="11"/>
  <c r="BR823" i="11"/>
  <c r="BQ823" i="11"/>
  <c r="BP823" i="11"/>
  <c r="BN823" i="11"/>
  <c r="BM823" i="11"/>
  <c r="BL823" i="11"/>
  <c r="BK823" i="11"/>
  <c r="BJ823" i="11"/>
  <c r="BI823" i="11"/>
  <c r="BH823" i="11"/>
  <c r="BG823" i="11"/>
  <c r="BF823" i="11"/>
  <c r="BE823" i="11"/>
  <c r="BD823" i="11"/>
  <c r="BB823" i="11"/>
  <c r="BC823" i="11" s="1"/>
  <c r="BA823" i="11"/>
  <c r="AZ823" i="11"/>
  <c r="AY823" i="11"/>
  <c r="AX823" i="11"/>
  <c r="AW823" i="11"/>
  <c r="AV823" i="11"/>
  <c r="AU823" i="11"/>
  <c r="AT823" i="11"/>
  <c r="BR822" i="11"/>
  <c r="BQ822" i="11"/>
  <c r="BP822" i="11"/>
  <c r="BN822" i="11"/>
  <c r="BM822" i="11"/>
  <c r="BL822" i="11"/>
  <c r="BK822" i="11"/>
  <c r="BJ822" i="11"/>
  <c r="BI822" i="11"/>
  <c r="BH822" i="11"/>
  <c r="BG822" i="11"/>
  <c r="BF822" i="11"/>
  <c r="BE822" i="11"/>
  <c r="BD822" i="11"/>
  <c r="BB822" i="11"/>
  <c r="BC822" i="11" s="1"/>
  <c r="BA822" i="11"/>
  <c r="AZ822" i="11"/>
  <c r="AY822" i="11"/>
  <c r="AX822" i="11"/>
  <c r="AW822" i="11"/>
  <c r="AV822" i="11"/>
  <c r="AU822" i="11"/>
  <c r="AT822" i="11"/>
  <c r="BR821" i="11"/>
  <c r="BQ821" i="11"/>
  <c r="BP821" i="11"/>
  <c r="BN821" i="11"/>
  <c r="BM821" i="11"/>
  <c r="BL821" i="11"/>
  <c r="BK821" i="11"/>
  <c r="BJ821" i="11"/>
  <c r="BI821" i="11"/>
  <c r="BH821" i="11"/>
  <c r="BG821" i="11"/>
  <c r="BF821" i="11"/>
  <c r="BE821" i="11"/>
  <c r="BD821" i="11"/>
  <c r="BB821" i="11"/>
  <c r="BC821" i="11" s="1"/>
  <c r="BA821" i="11"/>
  <c r="AZ821" i="11"/>
  <c r="AY821" i="11"/>
  <c r="AX821" i="11"/>
  <c r="AW821" i="11"/>
  <c r="AV821" i="11"/>
  <c r="AU821" i="11"/>
  <c r="AT821" i="11"/>
  <c r="BR820" i="11"/>
  <c r="BQ820" i="11"/>
  <c r="BP820" i="11"/>
  <c r="BN820" i="11"/>
  <c r="BM820" i="11"/>
  <c r="BL820" i="11"/>
  <c r="BK820" i="11"/>
  <c r="BJ820" i="11"/>
  <c r="BI820" i="11"/>
  <c r="BH820" i="11"/>
  <c r="BG820" i="11"/>
  <c r="BF820" i="11"/>
  <c r="BE820" i="11"/>
  <c r="BD820" i="11"/>
  <c r="BB820" i="11"/>
  <c r="BC820" i="11" s="1"/>
  <c r="BA820" i="11"/>
  <c r="AZ820" i="11"/>
  <c r="AY820" i="11"/>
  <c r="AX820" i="11"/>
  <c r="AW820" i="11"/>
  <c r="AV820" i="11"/>
  <c r="AU820" i="11"/>
  <c r="AT820" i="11"/>
  <c r="BR819" i="11"/>
  <c r="BQ819" i="11"/>
  <c r="BP819" i="11"/>
  <c r="BN819" i="11"/>
  <c r="BM819" i="11"/>
  <c r="BL819" i="11"/>
  <c r="BK819" i="11"/>
  <c r="BJ819" i="11"/>
  <c r="BI819" i="11"/>
  <c r="BH819" i="11"/>
  <c r="BG819" i="11"/>
  <c r="BF819" i="11"/>
  <c r="BE819" i="11"/>
  <c r="BD819" i="11"/>
  <c r="BB819" i="11"/>
  <c r="BC819" i="11" s="1"/>
  <c r="BA819" i="11"/>
  <c r="AZ819" i="11"/>
  <c r="AY819" i="11"/>
  <c r="AX819" i="11"/>
  <c r="AW819" i="11"/>
  <c r="AV819" i="11"/>
  <c r="AU819" i="11"/>
  <c r="AT819" i="11"/>
  <c r="BR818" i="11"/>
  <c r="BQ818" i="11"/>
  <c r="BP818" i="11"/>
  <c r="BN818" i="11"/>
  <c r="BM818" i="11"/>
  <c r="BL818" i="11"/>
  <c r="BK818" i="11"/>
  <c r="BJ818" i="11"/>
  <c r="BI818" i="11"/>
  <c r="BH818" i="11"/>
  <c r="BG818" i="11"/>
  <c r="BF818" i="11"/>
  <c r="BE818" i="11"/>
  <c r="BD818" i="11"/>
  <c r="BB818" i="11"/>
  <c r="BC818" i="11" s="1"/>
  <c r="BA818" i="11"/>
  <c r="AZ818" i="11"/>
  <c r="AY818" i="11"/>
  <c r="AX818" i="11"/>
  <c r="AW818" i="11"/>
  <c r="AV818" i="11"/>
  <c r="AU818" i="11"/>
  <c r="AT818" i="11"/>
  <c r="BR817" i="11"/>
  <c r="BQ817" i="11"/>
  <c r="BP817" i="11"/>
  <c r="BN817" i="11"/>
  <c r="BM817" i="11"/>
  <c r="BL817" i="11"/>
  <c r="BK817" i="11"/>
  <c r="BJ817" i="11"/>
  <c r="BI817" i="11"/>
  <c r="BH817" i="11"/>
  <c r="BG817" i="11"/>
  <c r="BF817" i="11"/>
  <c r="BE817" i="11"/>
  <c r="BD817" i="11"/>
  <c r="BB817" i="11"/>
  <c r="BC817" i="11" s="1"/>
  <c r="BA817" i="11"/>
  <c r="AZ817" i="11"/>
  <c r="AY817" i="11"/>
  <c r="AX817" i="11"/>
  <c r="AW817" i="11"/>
  <c r="AV817" i="11"/>
  <c r="AU817" i="11"/>
  <c r="AT817" i="11"/>
  <c r="BR816" i="11"/>
  <c r="BQ816" i="11"/>
  <c r="BP816" i="11"/>
  <c r="BN816" i="11"/>
  <c r="BM816" i="11"/>
  <c r="BL816" i="11"/>
  <c r="BK816" i="11"/>
  <c r="BJ816" i="11"/>
  <c r="BI816" i="11"/>
  <c r="BH816" i="11"/>
  <c r="BG816" i="11"/>
  <c r="BF816" i="11"/>
  <c r="BE816" i="11"/>
  <c r="BD816" i="11"/>
  <c r="BB816" i="11"/>
  <c r="BC816" i="11" s="1"/>
  <c r="BA816" i="11"/>
  <c r="AZ816" i="11"/>
  <c r="AY816" i="11"/>
  <c r="AX816" i="11"/>
  <c r="AW816" i="11"/>
  <c r="AV816" i="11"/>
  <c r="AU816" i="11"/>
  <c r="AT816" i="11"/>
  <c r="BR815" i="11"/>
  <c r="BQ815" i="11"/>
  <c r="BP815" i="11"/>
  <c r="BN815" i="11"/>
  <c r="BM815" i="11"/>
  <c r="BL815" i="11"/>
  <c r="BK815" i="11"/>
  <c r="BJ815" i="11"/>
  <c r="BI815" i="11"/>
  <c r="BH815" i="11"/>
  <c r="BG815" i="11"/>
  <c r="BF815" i="11"/>
  <c r="BE815" i="11"/>
  <c r="BD815" i="11"/>
  <c r="BB815" i="11"/>
  <c r="BC815" i="11" s="1"/>
  <c r="BA815" i="11"/>
  <c r="AZ815" i="11"/>
  <c r="AY815" i="11"/>
  <c r="AX815" i="11"/>
  <c r="AW815" i="11"/>
  <c r="AV815" i="11"/>
  <c r="AU815" i="11"/>
  <c r="AT815" i="11"/>
  <c r="BR814" i="11"/>
  <c r="BQ814" i="11"/>
  <c r="BP814" i="11"/>
  <c r="BN814" i="11"/>
  <c r="BM814" i="11"/>
  <c r="BL814" i="11"/>
  <c r="BK814" i="11"/>
  <c r="BJ814" i="11"/>
  <c r="BI814" i="11"/>
  <c r="BH814" i="11"/>
  <c r="BG814" i="11"/>
  <c r="BF814" i="11"/>
  <c r="BE814" i="11"/>
  <c r="BD814" i="11"/>
  <c r="BB814" i="11"/>
  <c r="BC814" i="11" s="1"/>
  <c r="BA814" i="11"/>
  <c r="AZ814" i="11"/>
  <c r="AY814" i="11"/>
  <c r="AX814" i="11"/>
  <c r="AW814" i="11"/>
  <c r="AV814" i="11"/>
  <c r="AU814" i="11"/>
  <c r="AT814" i="11"/>
  <c r="BR813" i="11"/>
  <c r="BQ813" i="11"/>
  <c r="BP813" i="11"/>
  <c r="BN813" i="11"/>
  <c r="BM813" i="11"/>
  <c r="BL813" i="11"/>
  <c r="BK813" i="11"/>
  <c r="BJ813" i="11"/>
  <c r="BI813" i="11"/>
  <c r="BH813" i="11"/>
  <c r="BG813" i="11"/>
  <c r="BF813" i="11"/>
  <c r="BE813" i="11"/>
  <c r="BD813" i="11"/>
  <c r="BB813" i="11"/>
  <c r="BC813" i="11" s="1"/>
  <c r="BA813" i="11"/>
  <c r="AZ813" i="11"/>
  <c r="AY813" i="11"/>
  <c r="AX813" i="11"/>
  <c r="AW813" i="11"/>
  <c r="AV813" i="11"/>
  <c r="AU813" i="11"/>
  <c r="AT813" i="11"/>
  <c r="BR812" i="11"/>
  <c r="BQ812" i="11"/>
  <c r="BP812" i="11"/>
  <c r="BN812" i="11"/>
  <c r="BM812" i="11"/>
  <c r="BL812" i="11"/>
  <c r="BK812" i="11"/>
  <c r="BJ812" i="11"/>
  <c r="BI812" i="11"/>
  <c r="BH812" i="11"/>
  <c r="BG812" i="11"/>
  <c r="BF812" i="11"/>
  <c r="BE812" i="11"/>
  <c r="BD812" i="11"/>
  <c r="BB812" i="11"/>
  <c r="BC812" i="11" s="1"/>
  <c r="BA812" i="11"/>
  <c r="AZ812" i="11"/>
  <c r="AY812" i="11"/>
  <c r="AX812" i="11"/>
  <c r="AW812" i="11"/>
  <c r="AV812" i="11"/>
  <c r="AU812" i="11"/>
  <c r="AT812" i="11"/>
  <c r="BR811" i="11"/>
  <c r="BQ811" i="11"/>
  <c r="BP811" i="11"/>
  <c r="BN811" i="11"/>
  <c r="BM811" i="11"/>
  <c r="BL811" i="11"/>
  <c r="BK811" i="11"/>
  <c r="BJ811" i="11"/>
  <c r="BI811" i="11"/>
  <c r="BH811" i="11"/>
  <c r="BG811" i="11"/>
  <c r="BF811" i="11"/>
  <c r="BE811" i="11"/>
  <c r="BD811" i="11"/>
  <c r="BB811" i="11"/>
  <c r="BC811" i="11" s="1"/>
  <c r="BA811" i="11"/>
  <c r="AZ811" i="11"/>
  <c r="AY811" i="11"/>
  <c r="AX811" i="11"/>
  <c r="AW811" i="11"/>
  <c r="AV811" i="11"/>
  <c r="AU811" i="11"/>
  <c r="AT811" i="11"/>
  <c r="BR810" i="11"/>
  <c r="BQ810" i="11"/>
  <c r="BP810" i="11"/>
  <c r="BN810" i="11"/>
  <c r="BM810" i="11"/>
  <c r="BL810" i="11"/>
  <c r="BK810" i="11"/>
  <c r="BJ810" i="11"/>
  <c r="BI810" i="11"/>
  <c r="BH810" i="11"/>
  <c r="BG810" i="11"/>
  <c r="BF810" i="11"/>
  <c r="BE810" i="11"/>
  <c r="BD810" i="11"/>
  <c r="BB810" i="11"/>
  <c r="BC810" i="11" s="1"/>
  <c r="BA810" i="11"/>
  <c r="AZ810" i="11"/>
  <c r="AY810" i="11"/>
  <c r="AX810" i="11"/>
  <c r="AW810" i="11"/>
  <c r="AV810" i="11"/>
  <c r="AU810" i="11"/>
  <c r="AT810" i="11"/>
  <c r="BR809" i="11"/>
  <c r="BQ809" i="11"/>
  <c r="BP809" i="11"/>
  <c r="BN809" i="11"/>
  <c r="BM809" i="11"/>
  <c r="BL809" i="11"/>
  <c r="BK809" i="11"/>
  <c r="BJ809" i="11"/>
  <c r="BI809" i="11"/>
  <c r="BH809" i="11"/>
  <c r="BG809" i="11"/>
  <c r="BF809" i="11"/>
  <c r="BE809" i="11"/>
  <c r="BD809" i="11"/>
  <c r="BB809" i="11"/>
  <c r="BC809" i="11" s="1"/>
  <c r="BA809" i="11"/>
  <c r="AZ809" i="11"/>
  <c r="AY809" i="11"/>
  <c r="AX809" i="11"/>
  <c r="AW809" i="11"/>
  <c r="AV809" i="11"/>
  <c r="AU809" i="11"/>
  <c r="AT809" i="11"/>
  <c r="BR808" i="11"/>
  <c r="BQ808" i="11"/>
  <c r="BP808" i="11"/>
  <c r="BN808" i="11"/>
  <c r="BM808" i="11"/>
  <c r="BL808" i="11"/>
  <c r="BK808" i="11"/>
  <c r="BJ808" i="11"/>
  <c r="BI808" i="11"/>
  <c r="BH808" i="11"/>
  <c r="BG808" i="11"/>
  <c r="BF808" i="11"/>
  <c r="BE808" i="11"/>
  <c r="BD808" i="11"/>
  <c r="BB808" i="11"/>
  <c r="BC808" i="11" s="1"/>
  <c r="BA808" i="11"/>
  <c r="AZ808" i="11"/>
  <c r="AY808" i="11"/>
  <c r="AX808" i="11"/>
  <c r="AW808" i="11"/>
  <c r="AV808" i="11"/>
  <c r="AU808" i="11"/>
  <c r="AT808" i="11"/>
  <c r="BR807" i="11"/>
  <c r="BQ807" i="11"/>
  <c r="BP807" i="11"/>
  <c r="BN807" i="11"/>
  <c r="BM807" i="11"/>
  <c r="BL807" i="11"/>
  <c r="BK807" i="11"/>
  <c r="BJ807" i="11"/>
  <c r="BI807" i="11"/>
  <c r="BH807" i="11"/>
  <c r="BG807" i="11"/>
  <c r="BF807" i="11"/>
  <c r="BE807" i="11"/>
  <c r="BD807" i="11"/>
  <c r="BB807" i="11"/>
  <c r="BC807" i="11" s="1"/>
  <c r="BA807" i="11"/>
  <c r="AZ807" i="11"/>
  <c r="AY807" i="11"/>
  <c r="AX807" i="11"/>
  <c r="AW807" i="11"/>
  <c r="AV807" i="11"/>
  <c r="AU807" i="11"/>
  <c r="AT807" i="11"/>
  <c r="BR806" i="11"/>
  <c r="BQ806" i="11"/>
  <c r="BP806" i="11"/>
  <c r="BN806" i="11"/>
  <c r="BM806" i="11"/>
  <c r="BL806" i="11"/>
  <c r="BK806" i="11"/>
  <c r="BJ806" i="11"/>
  <c r="BI806" i="11"/>
  <c r="BH806" i="11"/>
  <c r="BG806" i="11"/>
  <c r="BF806" i="11"/>
  <c r="BE806" i="11"/>
  <c r="BD806" i="11"/>
  <c r="BB806" i="11"/>
  <c r="BC806" i="11" s="1"/>
  <c r="BA806" i="11"/>
  <c r="AZ806" i="11"/>
  <c r="AY806" i="11"/>
  <c r="AX806" i="11"/>
  <c r="AW806" i="11"/>
  <c r="AV806" i="11"/>
  <c r="AU806" i="11"/>
  <c r="AT806" i="11"/>
  <c r="BR805" i="11"/>
  <c r="BQ805" i="11"/>
  <c r="BP805" i="11"/>
  <c r="BN805" i="11"/>
  <c r="BM805" i="11"/>
  <c r="BL805" i="11"/>
  <c r="BK805" i="11"/>
  <c r="BJ805" i="11"/>
  <c r="BI805" i="11"/>
  <c r="BH805" i="11"/>
  <c r="BG805" i="11"/>
  <c r="BF805" i="11"/>
  <c r="BE805" i="11"/>
  <c r="BD805" i="11"/>
  <c r="BB805" i="11"/>
  <c r="BC805" i="11" s="1"/>
  <c r="BA805" i="11"/>
  <c r="AZ805" i="11"/>
  <c r="AY805" i="11"/>
  <c r="AX805" i="11"/>
  <c r="AW805" i="11"/>
  <c r="AV805" i="11"/>
  <c r="AU805" i="11"/>
  <c r="AT805" i="11"/>
  <c r="BR804" i="11"/>
  <c r="BQ804" i="11"/>
  <c r="BP804" i="11"/>
  <c r="BN804" i="11"/>
  <c r="BM804" i="11"/>
  <c r="BL804" i="11"/>
  <c r="BK804" i="11"/>
  <c r="BJ804" i="11"/>
  <c r="BI804" i="11"/>
  <c r="BH804" i="11"/>
  <c r="BG804" i="11"/>
  <c r="BF804" i="11"/>
  <c r="BE804" i="11"/>
  <c r="BD804" i="11"/>
  <c r="BB804" i="11"/>
  <c r="BC804" i="11" s="1"/>
  <c r="BA804" i="11"/>
  <c r="AZ804" i="11"/>
  <c r="AY804" i="11"/>
  <c r="AX804" i="11"/>
  <c r="AW804" i="11"/>
  <c r="AV804" i="11"/>
  <c r="AU804" i="11"/>
  <c r="AT804" i="11"/>
  <c r="BR803" i="11"/>
  <c r="BQ803" i="11"/>
  <c r="BP803" i="11"/>
  <c r="BN803" i="11"/>
  <c r="BM803" i="11"/>
  <c r="BL803" i="11"/>
  <c r="BK803" i="11"/>
  <c r="BJ803" i="11"/>
  <c r="BI803" i="11"/>
  <c r="BH803" i="11"/>
  <c r="BG803" i="11"/>
  <c r="BF803" i="11"/>
  <c r="BE803" i="11"/>
  <c r="BD803" i="11"/>
  <c r="BB803" i="11"/>
  <c r="BC803" i="11" s="1"/>
  <c r="BA803" i="11"/>
  <c r="AZ803" i="11"/>
  <c r="AY803" i="11"/>
  <c r="AX803" i="11"/>
  <c r="AW803" i="11"/>
  <c r="AV803" i="11"/>
  <c r="AU803" i="11"/>
  <c r="AT803" i="11"/>
  <c r="BR802" i="11"/>
  <c r="BQ802" i="11"/>
  <c r="BP802" i="11"/>
  <c r="BN802" i="11"/>
  <c r="BM802" i="11"/>
  <c r="BL802" i="11"/>
  <c r="BK802" i="11"/>
  <c r="BJ802" i="11"/>
  <c r="BI802" i="11"/>
  <c r="BH802" i="11"/>
  <c r="BG802" i="11"/>
  <c r="BF802" i="11"/>
  <c r="BE802" i="11"/>
  <c r="BD802" i="11"/>
  <c r="BB802" i="11"/>
  <c r="BC802" i="11" s="1"/>
  <c r="BA802" i="11"/>
  <c r="AZ802" i="11"/>
  <c r="AY802" i="11"/>
  <c r="AX802" i="11"/>
  <c r="AW802" i="11"/>
  <c r="AV802" i="11"/>
  <c r="AU802" i="11"/>
  <c r="AT802" i="11"/>
  <c r="BR801" i="11"/>
  <c r="BQ801" i="11"/>
  <c r="BP801" i="11"/>
  <c r="BN801" i="11"/>
  <c r="BM801" i="11"/>
  <c r="BL801" i="11"/>
  <c r="BK801" i="11"/>
  <c r="BJ801" i="11"/>
  <c r="BI801" i="11"/>
  <c r="BH801" i="11"/>
  <c r="BG801" i="11"/>
  <c r="BF801" i="11"/>
  <c r="BE801" i="11"/>
  <c r="BD801" i="11"/>
  <c r="BB801" i="11"/>
  <c r="BC801" i="11" s="1"/>
  <c r="BA801" i="11"/>
  <c r="AZ801" i="11"/>
  <c r="AY801" i="11"/>
  <c r="AX801" i="11"/>
  <c r="AW801" i="11"/>
  <c r="AV801" i="11"/>
  <c r="AU801" i="11"/>
  <c r="AT801" i="11"/>
  <c r="BR800" i="11"/>
  <c r="BQ800" i="11"/>
  <c r="BP800" i="11"/>
  <c r="BN800" i="11"/>
  <c r="BM800" i="11"/>
  <c r="BL800" i="11"/>
  <c r="BK800" i="11"/>
  <c r="BJ800" i="11"/>
  <c r="BI800" i="11"/>
  <c r="BH800" i="11"/>
  <c r="BG800" i="11"/>
  <c r="BF800" i="11"/>
  <c r="BE800" i="11"/>
  <c r="BD800" i="11"/>
  <c r="BB800" i="11"/>
  <c r="BC800" i="11" s="1"/>
  <c r="BA800" i="11"/>
  <c r="AZ800" i="11"/>
  <c r="AY800" i="11"/>
  <c r="AX800" i="11"/>
  <c r="AW800" i="11"/>
  <c r="AV800" i="11"/>
  <c r="AU800" i="11"/>
  <c r="AT800" i="11"/>
  <c r="BR799" i="11"/>
  <c r="BQ799" i="11"/>
  <c r="BP799" i="11"/>
  <c r="BN799" i="11"/>
  <c r="BM799" i="11"/>
  <c r="BL799" i="11"/>
  <c r="BK799" i="11"/>
  <c r="BJ799" i="11"/>
  <c r="BI799" i="11"/>
  <c r="BH799" i="11"/>
  <c r="BG799" i="11"/>
  <c r="BF799" i="11"/>
  <c r="BE799" i="11"/>
  <c r="BD799" i="11"/>
  <c r="BB799" i="11"/>
  <c r="BC799" i="11" s="1"/>
  <c r="BA799" i="11"/>
  <c r="AZ799" i="11"/>
  <c r="AY799" i="11"/>
  <c r="AX799" i="11"/>
  <c r="AW799" i="11"/>
  <c r="AV799" i="11"/>
  <c r="AU799" i="11"/>
  <c r="AT799" i="11"/>
  <c r="BR798" i="11"/>
  <c r="BQ798" i="11"/>
  <c r="BP798" i="11"/>
  <c r="BN798" i="11"/>
  <c r="BM798" i="11"/>
  <c r="BL798" i="11"/>
  <c r="BK798" i="11"/>
  <c r="BJ798" i="11"/>
  <c r="BI798" i="11"/>
  <c r="BH798" i="11"/>
  <c r="BG798" i="11"/>
  <c r="BF798" i="11"/>
  <c r="BE798" i="11"/>
  <c r="BD798" i="11"/>
  <c r="BB798" i="11"/>
  <c r="BC798" i="11" s="1"/>
  <c r="BA798" i="11"/>
  <c r="AZ798" i="11"/>
  <c r="AY798" i="11"/>
  <c r="AX798" i="11"/>
  <c r="AW798" i="11"/>
  <c r="AV798" i="11"/>
  <c r="AU798" i="11"/>
  <c r="AT798" i="11"/>
  <c r="BR797" i="11"/>
  <c r="BQ797" i="11"/>
  <c r="BP797" i="11"/>
  <c r="BN797" i="11"/>
  <c r="BM797" i="11"/>
  <c r="BL797" i="11"/>
  <c r="BK797" i="11"/>
  <c r="BJ797" i="11"/>
  <c r="BI797" i="11"/>
  <c r="BH797" i="11"/>
  <c r="BG797" i="11"/>
  <c r="BF797" i="11"/>
  <c r="BE797" i="11"/>
  <c r="BD797" i="11"/>
  <c r="BB797" i="11"/>
  <c r="BC797" i="11" s="1"/>
  <c r="BA797" i="11"/>
  <c r="AZ797" i="11"/>
  <c r="AY797" i="11"/>
  <c r="AX797" i="11"/>
  <c r="AW797" i="11"/>
  <c r="AV797" i="11"/>
  <c r="AU797" i="11"/>
  <c r="AT797" i="11"/>
  <c r="BR796" i="11"/>
  <c r="BQ796" i="11"/>
  <c r="BP796" i="11"/>
  <c r="BN796" i="11"/>
  <c r="BM796" i="11"/>
  <c r="BL796" i="11"/>
  <c r="BK796" i="11"/>
  <c r="BJ796" i="11"/>
  <c r="BI796" i="11"/>
  <c r="BH796" i="11"/>
  <c r="BG796" i="11"/>
  <c r="BF796" i="11"/>
  <c r="BE796" i="11"/>
  <c r="BD796" i="11"/>
  <c r="BB796" i="11"/>
  <c r="BC796" i="11" s="1"/>
  <c r="BA796" i="11"/>
  <c r="AZ796" i="11"/>
  <c r="AY796" i="11"/>
  <c r="AX796" i="11"/>
  <c r="AW796" i="11"/>
  <c r="AV796" i="11"/>
  <c r="AU796" i="11"/>
  <c r="AT796" i="11"/>
  <c r="BR795" i="11"/>
  <c r="BQ795" i="11"/>
  <c r="BP795" i="11"/>
  <c r="BN795" i="11"/>
  <c r="BM795" i="11"/>
  <c r="BL795" i="11"/>
  <c r="BK795" i="11"/>
  <c r="BJ795" i="11"/>
  <c r="BI795" i="11"/>
  <c r="BH795" i="11"/>
  <c r="BG795" i="11"/>
  <c r="BF795" i="11"/>
  <c r="BE795" i="11"/>
  <c r="BD795" i="11"/>
  <c r="BB795" i="11"/>
  <c r="BC795" i="11" s="1"/>
  <c r="BA795" i="11"/>
  <c r="AZ795" i="11"/>
  <c r="AY795" i="11"/>
  <c r="AX795" i="11"/>
  <c r="AW795" i="11"/>
  <c r="AV795" i="11"/>
  <c r="AU795" i="11"/>
  <c r="AT795" i="11"/>
  <c r="BR794" i="11"/>
  <c r="BQ794" i="11"/>
  <c r="BP794" i="11"/>
  <c r="BN794" i="11"/>
  <c r="BM794" i="11"/>
  <c r="BL794" i="11"/>
  <c r="BK794" i="11"/>
  <c r="BJ794" i="11"/>
  <c r="BI794" i="11"/>
  <c r="BH794" i="11"/>
  <c r="BG794" i="11"/>
  <c r="BF794" i="11"/>
  <c r="BE794" i="11"/>
  <c r="BD794" i="11"/>
  <c r="BB794" i="11"/>
  <c r="BC794" i="11" s="1"/>
  <c r="BA794" i="11"/>
  <c r="AZ794" i="11"/>
  <c r="AY794" i="11"/>
  <c r="AX794" i="11"/>
  <c r="AW794" i="11"/>
  <c r="AV794" i="11"/>
  <c r="AU794" i="11"/>
  <c r="AT794" i="11"/>
  <c r="BR793" i="11"/>
  <c r="BQ793" i="11"/>
  <c r="BP793" i="11"/>
  <c r="BN793" i="11"/>
  <c r="BM793" i="11"/>
  <c r="BL793" i="11"/>
  <c r="BK793" i="11"/>
  <c r="BJ793" i="11"/>
  <c r="BI793" i="11"/>
  <c r="BH793" i="11"/>
  <c r="BG793" i="11"/>
  <c r="BF793" i="11"/>
  <c r="BE793" i="11"/>
  <c r="BD793" i="11"/>
  <c r="BB793" i="11"/>
  <c r="BC793" i="11" s="1"/>
  <c r="BA793" i="11"/>
  <c r="AZ793" i="11"/>
  <c r="AY793" i="11"/>
  <c r="AX793" i="11"/>
  <c r="AW793" i="11"/>
  <c r="AV793" i="11"/>
  <c r="AU793" i="11"/>
  <c r="AT793" i="11"/>
  <c r="BR792" i="11"/>
  <c r="BQ792" i="11"/>
  <c r="BP792" i="11"/>
  <c r="BN792" i="11"/>
  <c r="BM792" i="11"/>
  <c r="BL792" i="11"/>
  <c r="BK792" i="11"/>
  <c r="BJ792" i="11"/>
  <c r="BI792" i="11"/>
  <c r="BH792" i="11"/>
  <c r="BG792" i="11"/>
  <c r="BF792" i="11"/>
  <c r="BE792" i="11"/>
  <c r="BD792" i="11"/>
  <c r="BB792" i="11"/>
  <c r="BC792" i="11" s="1"/>
  <c r="BA792" i="11"/>
  <c r="AZ792" i="11"/>
  <c r="AY792" i="11"/>
  <c r="AX792" i="11"/>
  <c r="AW792" i="11"/>
  <c r="AV792" i="11"/>
  <c r="AU792" i="11"/>
  <c r="AT792" i="11"/>
  <c r="BR791" i="11"/>
  <c r="BQ791" i="11"/>
  <c r="BP791" i="11"/>
  <c r="BN791" i="11"/>
  <c r="BM791" i="11"/>
  <c r="BL791" i="11"/>
  <c r="BK791" i="11"/>
  <c r="BJ791" i="11"/>
  <c r="BI791" i="11"/>
  <c r="BH791" i="11"/>
  <c r="BG791" i="11"/>
  <c r="BF791" i="11"/>
  <c r="BE791" i="11"/>
  <c r="BD791" i="11"/>
  <c r="BB791" i="11"/>
  <c r="BC791" i="11" s="1"/>
  <c r="BA791" i="11"/>
  <c r="AZ791" i="11"/>
  <c r="AY791" i="11"/>
  <c r="AX791" i="11"/>
  <c r="AW791" i="11"/>
  <c r="AV791" i="11"/>
  <c r="AU791" i="11"/>
  <c r="AT791" i="11"/>
  <c r="BR790" i="11"/>
  <c r="BQ790" i="11"/>
  <c r="BP790" i="11"/>
  <c r="BN790" i="11"/>
  <c r="BM790" i="11"/>
  <c r="BL790" i="11"/>
  <c r="BK790" i="11"/>
  <c r="BJ790" i="11"/>
  <c r="BI790" i="11"/>
  <c r="BH790" i="11"/>
  <c r="BG790" i="11"/>
  <c r="BF790" i="11"/>
  <c r="BE790" i="11"/>
  <c r="BD790" i="11"/>
  <c r="BB790" i="11"/>
  <c r="BC790" i="11" s="1"/>
  <c r="BA790" i="11"/>
  <c r="AZ790" i="11"/>
  <c r="AY790" i="11"/>
  <c r="AX790" i="11"/>
  <c r="AW790" i="11"/>
  <c r="AV790" i="11"/>
  <c r="AU790" i="11"/>
  <c r="AT790" i="11"/>
  <c r="BR789" i="11"/>
  <c r="BQ789" i="11"/>
  <c r="BP789" i="11"/>
  <c r="BN789" i="11"/>
  <c r="BM789" i="11"/>
  <c r="BL789" i="11"/>
  <c r="BK789" i="11"/>
  <c r="BJ789" i="11"/>
  <c r="BI789" i="11"/>
  <c r="BH789" i="11"/>
  <c r="BG789" i="11"/>
  <c r="BF789" i="11"/>
  <c r="BE789" i="11"/>
  <c r="BD789" i="11"/>
  <c r="BB789" i="11"/>
  <c r="BC789" i="11" s="1"/>
  <c r="BA789" i="11"/>
  <c r="AZ789" i="11"/>
  <c r="AY789" i="11"/>
  <c r="AX789" i="11"/>
  <c r="AW789" i="11"/>
  <c r="AV789" i="11"/>
  <c r="AU789" i="11"/>
  <c r="AT789" i="11"/>
  <c r="BR788" i="11"/>
  <c r="BQ788" i="11"/>
  <c r="BP788" i="11"/>
  <c r="BN788" i="11"/>
  <c r="BM788" i="11"/>
  <c r="BL788" i="11"/>
  <c r="BK788" i="11"/>
  <c r="BJ788" i="11"/>
  <c r="BI788" i="11"/>
  <c r="BH788" i="11"/>
  <c r="BG788" i="11"/>
  <c r="BF788" i="11"/>
  <c r="BE788" i="11"/>
  <c r="BD788" i="11"/>
  <c r="BB788" i="11"/>
  <c r="BC788" i="11" s="1"/>
  <c r="BA788" i="11"/>
  <c r="AZ788" i="11"/>
  <c r="AY788" i="11"/>
  <c r="AX788" i="11"/>
  <c r="AW788" i="11"/>
  <c r="AV788" i="11"/>
  <c r="AU788" i="11"/>
  <c r="AT788" i="11"/>
  <c r="BR787" i="11"/>
  <c r="BQ787" i="11"/>
  <c r="BP787" i="11"/>
  <c r="BN787" i="11"/>
  <c r="BM787" i="11"/>
  <c r="BL787" i="11"/>
  <c r="BK787" i="11"/>
  <c r="BJ787" i="11"/>
  <c r="BI787" i="11"/>
  <c r="BH787" i="11"/>
  <c r="BG787" i="11"/>
  <c r="BF787" i="11"/>
  <c r="BE787" i="11"/>
  <c r="BD787" i="11"/>
  <c r="BB787" i="11"/>
  <c r="BC787" i="11" s="1"/>
  <c r="BA787" i="11"/>
  <c r="AZ787" i="11"/>
  <c r="AY787" i="11"/>
  <c r="AX787" i="11"/>
  <c r="AW787" i="11"/>
  <c r="AV787" i="11"/>
  <c r="AU787" i="11"/>
  <c r="AT787" i="11"/>
  <c r="BR786" i="11"/>
  <c r="BQ786" i="11"/>
  <c r="BP786" i="11"/>
  <c r="BN786" i="11"/>
  <c r="BM786" i="11"/>
  <c r="BL786" i="11"/>
  <c r="BK786" i="11"/>
  <c r="BJ786" i="11"/>
  <c r="BI786" i="11"/>
  <c r="BH786" i="11"/>
  <c r="BG786" i="11"/>
  <c r="BF786" i="11"/>
  <c r="BE786" i="11"/>
  <c r="BD786" i="11"/>
  <c r="BB786" i="11"/>
  <c r="BC786" i="11" s="1"/>
  <c r="BA786" i="11"/>
  <c r="AZ786" i="11"/>
  <c r="AY786" i="11"/>
  <c r="AX786" i="11"/>
  <c r="AW786" i="11"/>
  <c r="AV786" i="11"/>
  <c r="AU786" i="11"/>
  <c r="AT786" i="11"/>
  <c r="BR785" i="11"/>
  <c r="BQ785" i="11"/>
  <c r="BP785" i="11"/>
  <c r="BN785" i="11"/>
  <c r="BM785" i="11"/>
  <c r="BL785" i="11"/>
  <c r="BK785" i="11"/>
  <c r="BJ785" i="11"/>
  <c r="BI785" i="11"/>
  <c r="BH785" i="11"/>
  <c r="BG785" i="11"/>
  <c r="BF785" i="11"/>
  <c r="BE785" i="11"/>
  <c r="BD785" i="11"/>
  <c r="BB785" i="11"/>
  <c r="BC785" i="11" s="1"/>
  <c r="BA785" i="11"/>
  <c r="AZ785" i="11"/>
  <c r="AY785" i="11"/>
  <c r="AX785" i="11"/>
  <c r="AW785" i="11"/>
  <c r="AV785" i="11"/>
  <c r="AU785" i="11"/>
  <c r="AT785" i="11"/>
  <c r="BR784" i="11"/>
  <c r="BQ784" i="11"/>
  <c r="BP784" i="11"/>
  <c r="BN784" i="11"/>
  <c r="BM784" i="11"/>
  <c r="BL784" i="11"/>
  <c r="BK784" i="11"/>
  <c r="BJ784" i="11"/>
  <c r="BI784" i="11"/>
  <c r="BH784" i="11"/>
  <c r="BG784" i="11"/>
  <c r="BF784" i="11"/>
  <c r="BE784" i="11"/>
  <c r="BD784" i="11"/>
  <c r="BB784" i="11"/>
  <c r="BC784" i="11" s="1"/>
  <c r="BA784" i="11"/>
  <c r="AZ784" i="11"/>
  <c r="AY784" i="11"/>
  <c r="AX784" i="11"/>
  <c r="AW784" i="11"/>
  <c r="AV784" i="11"/>
  <c r="AU784" i="11"/>
  <c r="AT784" i="11"/>
  <c r="BR783" i="11"/>
  <c r="BQ783" i="11"/>
  <c r="BP783" i="11"/>
  <c r="BN783" i="11"/>
  <c r="BM783" i="11"/>
  <c r="BL783" i="11"/>
  <c r="BK783" i="11"/>
  <c r="BJ783" i="11"/>
  <c r="BI783" i="11"/>
  <c r="BH783" i="11"/>
  <c r="BG783" i="11"/>
  <c r="BF783" i="11"/>
  <c r="BE783" i="11"/>
  <c r="BD783" i="11"/>
  <c r="BB783" i="11"/>
  <c r="BC783" i="11" s="1"/>
  <c r="BA783" i="11"/>
  <c r="AZ783" i="11"/>
  <c r="AY783" i="11"/>
  <c r="AX783" i="11"/>
  <c r="AW783" i="11"/>
  <c r="AV783" i="11"/>
  <c r="AU783" i="11"/>
  <c r="AT783" i="11"/>
  <c r="BR782" i="11"/>
  <c r="BQ782" i="11"/>
  <c r="BP782" i="11"/>
  <c r="BN782" i="11"/>
  <c r="BM782" i="11"/>
  <c r="BL782" i="11"/>
  <c r="BK782" i="11"/>
  <c r="BJ782" i="11"/>
  <c r="BI782" i="11"/>
  <c r="BH782" i="11"/>
  <c r="BG782" i="11"/>
  <c r="BF782" i="11"/>
  <c r="BE782" i="11"/>
  <c r="BD782" i="11"/>
  <c r="BB782" i="11"/>
  <c r="BC782" i="11" s="1"/>
  <c r="BA782" i="11"/>
  <c r="AZ782" i="11"/>
  <c r="AY782" i="11"/>
  <c r="AX782" i="11"/>
  <c r="AW782" i="11"/>
  <c r="AV782" i="11"/>
  <c r="AU782" i="11"/>
  <c r="AT782" i="11"/>
  <c r="BR781" i="11"/>
  <c r="BQ781" i="11"/>
  <c r="BP781" i="11"/>
  <c r="BN781" i="11"/>
  <c r="BM781" i="11"/>
  <c r="BL781" i="11"/>
  <c r="BK781" i="11"/>
  <c r="BJ781" i="11"/>
  <c r="BI781" i="11"/>
  <c r="BH781" i="11"/>
  <c r="BG781" i="11"/>
  <c r="BF781" i="11"/>
  <c r="BE781" i="11"/>
  <c r="BD781" i="11"/>
  <c r="BB781" i="11"/>
  <c r="BC781" i="11" s="1"/>
  <c r="BA781" i="11"/>
  <c r="AZ781" i="11"/>
  <c r="AY781" i="11"/>
  <c r="AX781" i="11"/>
  <c r="AW781" i="11"/>
  <c r="AV781" i="11"/>
  <c r="AU781" i="11"/>
  <c r="AT781" i="11"/>
  <c r="BR780" i="11"/>
  <c r="BQ780" i="11"/>
  <c r="BP780" i="11"/>
  <c r="BN780" i="11"/>
  <c r="BM780" i="11"/>
  <c r="BL780" i="11"/>
  <c r="BK780" i="11"/>
  <c r="BJ780" i="11"/>
  <c r="BI780" i="11"/>
  <c r="BH780" i="11"/>
  <c r="BG780" i="11"/>
  <c r="BF780" i="11"/>
  <c r="BE780" i="11"/>
  <c r="BD780" i="11"/>
  <c r="BB780" i="11"/>
  <c r="BC780" i="11" s="1"/>
  <c r="BA780" i="11"/>
  <c r="AZ780" i="11"/>
  <c r="AY780" i="11"/>
  <c r="AX780" i="11"/>
  <c r="AW780" i="11"/>
  <c r="AV780" i="11"/>
  <c r="AU780" i="11"/>
  <c r="AT780" i="11"/>
  <c r="BR779" i="11"/>
  <c r="BQ779" i="11"/>
  <c r="BP779" i="11"/>
  <c r="BN779" i="11"/>
  <c r="BM779" i="11"/>
  <c r="BL779" i="11"/>
  <c r="BK779" i="11"/>
  <c r="BJ779" i="11"/>
  <c r="BI779" i="11"/>
  <c r="BH779" i="11"/>
  <c r="BG779" i="11"/>
  <c r="BF779" i="11"/>
  <c r="BE779" i="11"/>
  <c r="BD779" i="11"/>
  <c r="BB779" i="11"/>
  <c r="BC779" i="11" s="1"/>
  <c r="BA779" i="11"/>
  <c r="AZ779" i="11"/>
  <c r="AY779" i="11"/>
  <c r="AX779" i="11"/>
  <c r="AW779" i="11"/>
  <c r="AV779" i="11"/>
  <c r="AU779" i="11"/>
  <c r="AT779" i="11"/>
  <c r="BR778" i="11"/>
  <c r="BQ778" i="11"/>
  <c r="BP778" i="11"/>
  <c r="BN778" i="11"/>
  <c r="BM778" i="11"/>
  <c r="BL778" i="11"/>
  <c r="BK778" i="11"/>
  <c r="BJ778" i="11"/>
  <c r="BI778" i="11"/>
  <c r="BH778" i="11"/>
  <c r="BG778" i="11"/>
  <c r="BF778" i="11"/>
  <c r="BE778" i="11"/>
  <c r="BD778" i="11"/>
  <c r="BB778" i="11"/>
  <c r="BC778" i="11" s="1"/>
  <c r="BA778" i="11"/>
  <c r="AZ778" i="11"/>
  <c r="AY778" i="11"/>
  <c r="AX778" i="11"/>
  <c r="AW778" i="11"/>
  <c r="AV778" i="11"/>
  <c r="AU778" i="11"/>
  <c r="AT778" i="11"/>
  <c r="BR777" i="11"/>
  <c r="BQ777" i="11"/>
  <c r="BP777" i="11"/>
  <c r="BN777" i="11"/>
  <c r="BM777" i="11"/>
  <c r="BL777" i="11"/>
  <c r="BK777" i="11"/>
  <c r="BJ777" i="11"/>
  <c r="BI777" i="11"/>
  <c r="BH777" i="11"/>
  <c r="BG777" i="11"/>
  <c r="BF777" i="11"/>
  <c r="BE777" i="11"/>
  <c r="BD777" i="11"/>
  <c r="BB777" i="11"/>
  <c r="BC777" i="11" s="1"/>
  <c r="BA777" i="11"/>
  <c r="AZ777" i="11"/>
  <c r="AY777" i="11"/>
  <c r="AX777" i="11"/>
  <c r="AW777" i="11"/>
  <c r="AV777" i="11"/>
  <c r="AU777" i="11"/>
  <c r="AT777" i="11"/>
  <c r="BR776" i="11"/>
  <c r="BQ776" i="11"/>
  <c r="BP776" i="11"/>
  <c r="BN776" i="11"/>
  <c r="BM776" i="11"/>
  <c r="BL776" i="11"/>
  <c r="BK776" i="11"/>
  <c r="BJ776" i="11"/>
  <c r="BI776" i="11"/>
  <c r="BH776" i="11"/>
  <c r="BG776" i="11"/>
  <c r="BF776" i="11"/>
  <c r="BE776" i="11"/>
  <c r="BD776" i="11"/>
  <c r="BB776" i="11"/>
  <c r="BC776" i="11" s="1"/>
  <c r="BA776" i="11"/>
  <c r="AZ776" i="11"/>
  <c r="AY776" i="11"/>
  <c r="AX776" i="11"/>
  <c r="AW776" i="11"/>
  <c r="AV776" i="11"/>
  <c r="AU776" i="11"/>
  <c r="AT776" i="11"/>
  <c r="BR775" i="11"/>
  <c r="BQ775" i="11"/>
  <c r="BP775" i="11"/>
  <c r="BN775" i="11"/>
  <c r="BM775" i="11"/>
  <c r="BL775" i="11"/>
  <c r="BK775" i="11"/>
  <c r="BJ775" i="11"/>
  <c r="BI775" i="11"/>
  <c r="BH775" i="11"/>
  <c r="BG775" i="11"/>
  <c r="BF775" i="11"/>
  <c r="BE775" i="11"/>
  <c r="BD775" i="11"/>
  <c r="BB775" i="11"/>
  <c r="BC775" i="11" s="1"/>
  <c r="BA775" i="11"/>
  <c r="AZ775" i="11"/>
  <c r="AY775" i="11"/>
  <c r="AX775" i="11"/>
  <c r="AW775" i="11"/>
  <c r="AV775" i="11"/>
  <c r="AU775" i="11"/>
  <c r="AT775" i="11"/>
  <c r="BR774" i="11"/>
  <c r="BQ774" i="11"/>
  <c r="BP774" i="11"/>
  <c r="BN774" i="11"/>
  <c r="BM774" i="11"/>
  <c r="BL774" i="11"/>
  <c r="BK774" i="11"/>
  <c r="BJ774" i="11"/>
  <c r="BI774" i="11"/>
  <c r="BH774" i="11"/>
  <c r="BG774" i="11"/>
  <c r="BF774" i="11"/>
  <c r="BE774" i="11"/>
  <c r="BD774" i="11"/>
  <c r="BB774" i="11"/>
  <c r="BC774" i="11" s="1"/>
  <c r="BA774" i="11"/>
  <c r="AZ774" i="11"/>
  <c r="AY774" i="11"/>
  <c r="AX774" i="11"/>
  <c r="AW774" i="11"/>
  <c r="AV774" i="11"/>
  <c r="AU774" i="11"/>
  <c r="AT774" i="11"/>
  <c r="BR773" i="11"/>
  <c r="BQ773" i="11"/>
  <c r="BP773" i="11"/>
  <c r="BN773" i="11"/>
  <c r="BM773" i="11"/>
  <c r="BL773" i="11"/>
  <c r="BK773" i="11"/>
  <c r="BJ773" i="11"/>
  <c r="BI773" i="11"/>
  <c r="BH773" i="11"/>
  <c r="BG773" i="11"/>
  <c r="BF773" i="11"/>
  <c r="BE773" i="11"/>
  <c r="BD773" i="11"/>
  <c r="BB773" i="11"/>
  <c r="BC773" i="11" s="1"/>
  <c r="BA773" i="11"/>
  <c r="AZ773" i="11"/>
  <c r="AY773" i="11"/>
  <c r="AX773" i="11"/>
  <c r="AW773" i="11"/>
  <c r="AV773" i="11"/>
  <c r="AU773" i="11"/>
  <c r="AT773" i="11"/>
  <c r="BR772" i="11"/>
  <c r="BQ772" i="11"/>
  <c r="BP772" i="11"/>
  <c r="BN772" i="11"/>
  <c r="BM772" i="11"/>
  <c r="BL772" i="11"/>
  <c r="BK772" i="11"/>
  <c r="BJ772" i="11"/>
  <c r="BI772" i="11"/>
  <c r="BH772" i="11"/>
  <c r="BG772" i="11"/>
  <c r="BF772" i="11"/>
  <c r="BE772" i="11"/>
  <c r="BD772" i="11"/>
  <c r="BB772" i="11"/>
  <c r="BC772" i="11" s="1"/>
  <c r="BA772" i="11"/>
  <c r="AZ772" i="11"/>
  <c r="AY772" i="11"/>
  <c r="AX772" i="11"/>
  <c r="AW772" i="11"/>
  <c r="AV772" i="11"/>
  <c r="AU772" i="11"/>
  <c r="AT772" i="11"/>
  <c r="BR771" i="11"/>
  <c r="BQ771" i="11"/>
  <c r="BP771" i="11"/>
  <c r="BN771" i="11"/>
  <c r="BM771" i="11"/>
  <c r="BL771" i="11"/>
  <c r="BK771" i="11"/>
  <c r="BJ771" i="11"/>
  <c r="BI771" i="11"/>
  <c r="BH771" i="11"/>
  <c r="BG771" i="11"/>
  <c r="BF771" i="11"/>
  <c r="BE771" i="11"/>
  <c r="BD771" i="11"/>
  <c r="BB771" i="11"/>
  <c r="BC771" i="11" s="1"/>
  <c r="BA771" i="11"/>
  <c r="AZ771" i="11"/>
  <c r="AY771" i="11"/>
  <c r="AX771" i="11"/>
  <c r="AW771" i="11"/>
  <c r="AV771" i="11"/>
  <c r="AU771" i="11"/>
  <c r="AT771" i="11"/>
  <c r="BR770" i="11"/>
  <c r="BQ770" i="11"/>
  <c r="BP770" i="11"/>
  <c r="BN770" i="11"/>
  <c r="BM770" i="11"/>
  <c r="BL770" i="11"/>
  <c r="BK770" i="11"/>
  <c r="BJ770" i="11"/>
  <c r="BI770" i="11"/>
  <c r="BH770" i="11"/>
  <c r="BG770" i="11"/>
  <c r="BF770" i="11"/>
  <c r="BE770" i="11"/>
  <c r="BD770" i="11"/>
  <c r="BB770" i="11"/>
  <c r="BC770" i="11" s="1"/>
  <c r="BA770" i="11"/>
  <c r="AZ770" i="11"/>
  <c r="AY770" i="11"/>
  <c r="AX770" i="11"/>
  <c r="AW770" i="11"/>
  <c r="AV770" i="11"/>
  <c r="AU770" i="11"/>
  <c r="AT770" i="11"/>
  <c r="BR769" i="11"/>
  <c r="BQ769" i="11"/>
  <c r="BP769" i="11"/>
  <c r="BN769" i="11"/>
  <c r="BM769" i="11"/>
  <c r="BL769" i="11"/>
  <c r="BK769" i="11"/>
  <c r="BJ769" i="11"/>
  <c r="BI769" i="11"/>
  <c r="BH769" i="11"/>
  <c r="BG769" i="11"/>
  <c r="BF769" i="11"/>
  <c r="BE769" i="11"/>
  <c r="BD769" i="11"/>
  <c r="BB769" i="11"/>
  <c r="BC769" i="11" s="1"/>
  <c r="BA769" i="11"/>
  <c r="AZ769" i="11"/>
  <c r="AY769" i="11"/>
  <c r="AX769" i="11"/>
  <c r="AW769" i="11"/>
  <c r="AV769" i="11"/>
  <c r="AU769" i="11"/>
  <c r="AT769" i="11"/>
  <c r="BR768" i="11"/>
  <c r="BQ768" i="11"/>
  <c r="BP768" i="11"/>
  <c r="BN768" i="11"/>
  <c r="BM768" i="11"/>
  <c r="BL768" i="11"/>
  <c r="BK768" i="11"/>
  <c r="BJ768" i="11"/>
  <c r="BI768" i="11"/>
  <c r="BH768" i="11"/>
  <c r="BG768" i="11"/>
  <c r="BF768" i="11"/>
  <c r="BE768" i="11"/>
  <c r="BD768" i="11"/>
  <c r="BB768" i="11"/>
  <c r="BC768" i="11" s="1"/>
  <c r="BA768" i="11"/>
  <c r="AZ768" i="11"/>
  <c r="AY768" i="11"/>
  <c r="AX768" i="11"/>
  <c r="AW768" i="11"/>
  <c r="AV768" i="11"/>
  <c r="AU768" i="11"/>
  <c r="AT768" i="11"/>
  <c r="BR767" i="11"/>
  <c r="BQ767" i="11"/>
  <c r="BP767" i="11"/>
  <c r="BN767" i="11"/>
  <c r="BM767" i="11"/>
  <c r="BL767" i="11"/>
  <c r="BK767" i="11"/>
  <c r="BJ767" i="11"/>
  <c r="BI767" i="11"/>
  <c r="BH767" i="11"/>
  <c r="BG767" i="11"/>
  <c r="BF767" i="11"/>
  <c r="BE767" i="11"/>
  <c r="BD767" i="11"/>
  <c r="BB767" i="11"/>
  <c r="BC767" i="11" s="1"/>
  <c r="BA767" i="11"/>
  <c r="AZ767" i="11"/>
  <c r="AY767" i="11"/>
  <c r="AX767" i="11"/>
  <c r="AW767" i="11"/>
  <c r="AV767" i="11"/>
  <c r="AU767" i="11"/>
  <c r="AT767" i="11"/>
  <c r="BR766" i="11"/>
  <c r="BQ766" i="11"/>
  <c r="BP766" i="11"/>
  <c r="BN766" i="11"/>
  <c r="BM766" i="11"/>
  <c r="BL766" i="11"/>
  <c r="BK766" i="11"/>
  <c r="BJ766" i="11"/>
  <c r="BI766" i="11"/>
  <c r="BH766" i="11"/>
  <c r="BG766" i="11"/>
  <c r="BF766" i="11"/>
  <c r="BE766" i="11"/>
  <c r="BD766" i="11"/>
  <c r="BB766" i="11"/>
  <c r="BC766" i="11" s="1"/>
  <c r="BA766" i="11"/>
  <c r="AZ766" i="11"/>
  <c r="AY766" i="11"/>
  <c r="AX766" i="11"/>
  <c r="AW766" i="11"/>
  <c r="AV766" i="11"/>
  <c r="AU766" i="11"/>
  <c r="AT766" i="11"/>
  <c r="BR765" i="11"/>
  <c r="BQ765" i="11"/>
  <c r="BP765" i="11"/>
  <c r="BN765" i="11"/>
  <c r="BM765" i="11"/>
  <c r="BL765" i="11"/>
  <c r="BK765" i="11"/>
  <c r="BJ765" i="11"/>
  <c r="BI765" i="11"/>
  <c r="BH765" i="11"/>
  <c r="BG765" i="11"/>
  <c r="BF765" i="11"/>
  <c r="BE765" i="11"/>
  <c r="BD765" i="11"/>
  <c r="BB765" i="11"/>
  <c r="BC765" i="11" s="1"/>
  <c r="BA765" i="11"/>
  <c r="AZ765" i="11"/>
  <c r="AY765" i="11"/>
  <c r="AX765" i="11"/>
  <c r="AW765" i="11"/>
  <c r="AV765" i="11"/>
  <c r="AU765" i="11"/>
  <c r="AT765" i="11"/>
  <c r="BR764" i="11"/>
  <c r="BQ764" i="11"/>
  <c r="BP764" i="11"/>
  <c r="BN764" i="11"/>
  <c r="BM764" i="11"/>
  <c r="BL764" i="11"/>
  <c r="BK764" i="11"/>
  <c r="BJ764" i="11"/>
  <c r="BI764" i="11"/>
  <c r="BH764" i="11"/>
  <c r="BG764" i="11"/>
  <c r="BF764" i="11"/>
  <c r="BE764" i="11"/>
  <c r="BD764" i="11"/>
  <c r="BB764" i="11"/>
  <c r="BC764" i="11" s="1"/>
  <c r="BA764" i="11"/>
  <c r="AZ764" i="11"/>
  <c r="AY764" i="11"/>
  <c r="AX764" i="11"/>
  <c r="AW764" i="11"/>
  <c r="AV764" i="11"/>
  <c r="AU764" i="11"/>
  <c r="AT764" i="11"/>
  <c r="BR763" i="11"/>
  <c r="BQ763" i="11"/>
  <c r="BP763" i="11"/>
  <c r="BN763" i="11"/>
  <c r="BM763" i="11"/>
  <c r="BL763" i="11"/>
  <c r="BK763" i="11"/>
  <c r="BJ763" i="11"/>
  <c r="BI763" i="11"/>
  <c r="BH763" i="11"/>
  <c r="BG763" i="11"/>
  <c r="BF763" i="11"/>
  <c r="BE763" i="11"/>
  <c r="BD763" i="11"/>
  <c r="BB763" i="11"/>
  <c r="BC763" i="11" s="1"/>
  <c r="BA763" i="11"/>
  <c r="AZ763" i="11"/>
  <c r="AY763" i="11"/>
  <c r="AX763" i="11"/>
  <c r="AW763" i="11"/>
  <c r="AV763" i="11"/>
  <c r="AU763" i="11"/>
  <c r="AT763" i="11"/>
  <c r="BR762" i="11"/>
  <c r="BQ762" i="11"/>
  <c r="BP762" i="11"/>
  <c r="BN762" i="11"/>
  <c r="BM762" i="11"/>
  <c r="BL762" i="11"/>
  <c r="BK762" i="11"/>
  <c r="BJ762" i="11"/>
  <c r="BI762" i="11"/>
  <c r="BH762" i="11"/>
  <c r="BG762" i="11"/>
  <c r="BF762" i="11"/>
  <c r="BE762" i="11"/>
  <c r="BD762" i="11"/>
  <c r="BB762" i="11"/>
  <c r="BC762" i="11" s="1"/>
  <c r="BA762" i="11"/>
  <c r="AZ762" i="11"/>
  <c r="AY762" i="11"/>
  <c r="AX762" i="11"/>
  <c r="AW762" i="11"/>
  <c r="AV762" i="11"/>
  <c r="AU762" i="11"/>
  <c r="AT762" i="11"/>
  <c r="BR761" i="11"/>
  <c r="BQ761" i="11"/>
  <c r="BP761" i="11"/>
  <c r="BN761" i="11"/>
  <c r="BM761" i="11"/>
  <c r="BL761" i="11"/>
  <c r="BK761" i="11"/>
  <c r="BJ761" i="11"/>
  <c r="BI761" i="11"/>
  <c r="BH761" i="11"/>
  <c r="BG761" i="11"/>
  <c r="BF761" i="11"/>
  <c r="BE761" i="11"/>
  <c r="BD761" i="11"/>
  <c r="BB761" i="11"/>
  <c r="BC761" i="11" s="1"/>
  <c r="BA761" i="11"/>
  <c r="AZ761" i="11"/>
  <c r="AY761" i="11"/>
  <c r="AX761" i="11"/>
  <c r="AW761" i="11"/>
  <c r="AV761" i="11"/>
  <c r="AU761" i="11"/>
  <c r="AT761" i="11"/>
  <c r="BR760" i="11"/>
  <c r="BQ760" i="11"/>
  <c r="BP760" i="11"/>
  <c r="BN760" i="11"/>
  <c r="BM760" i="11"/>
  <c r="BL760" i="11"/>
  <c r="BK760" i="11"/>
  <c r="BJ760" i="11"/>
  <c r="BI760" i="11"/>
  <c r="BH760" i="11"/>
  <c r="BG760" i="11"/>
  <c r="BF760" i="11"/>
  <c r="BE760" i="11"/>
  <c r="BD760" i="11"/>
  <c r="BB760" i="11"/>
  <c r="BC760" i="11" s="1"/>
  <c r="BA760" i="11"/>
  <c r="AZ760" i="11"/>
  <c r="AY760" i="11"/>
  <c r="AX760" i="11"/>
  <c r="AW760" i="11"/>
  <c r="AV760" i="11"/>
  <c r="AU760" i="11"/>
  <c r="AT760" i="11"/>
  <c r="BR759" i="11"/>
  <c r="BQ759" i="11"/>
  <c r="BP759" i="11"/>
  <c r="BN759" i="11"/>
  <c r="BM759" i="11"/>
  <c r="BL759" i="11"/>
  <c r="BK759" i="11"/>
  <c r="BJ759" i="11"/>
  <c r="BI759" i="11"/>
  <c r="BH759" i="11"/>
  <c r="BG759" i="11"/>
  <c r="BF759" i="11"/>
  <c r="BE759" i="11"/>
  <c r="BD759" i="11"/>
  <c r="BB759" i="11"/>
  <c r="BC759" i="11" s="1"/>
  <c r="BA759" i="11"/>
  <c r="AZ759" i="11"/>
  <c r="AY759" i="11"/>
  <c r="AX759" i="11"/>
  <c r="AW759" i="11"/>
  <c r="AV759" i="11"/>
  <c r="AU759" i="11"/>
  <c r="AT759" i="11"/>
  <c r="BR758" i="11"/>
  <c r="BQ758" i="11"/>
  <c r="BP758" i="11"/>
  <c r="BN758" i="11"/>
  <c r="BM758" i="11"/>
  <c r="BL758" i="11"/>
  <c r="BK758" i="11"/>
  <c r="BJ758" i="11"/>
  <c r="BI758" i="11"/>
  <c r="BH758" i="11"/>
  <c r="BG758" i="11"/>
  <c r="BF758" i="11"/>
  <c r="BE758" i="11"/>
  <c r="BD758" i="11"/>
  <c r="BB758" i="11"/>
  <c r="BC758" i="11" s="1"/>
  <c r="BA758" i="11"/>
  <c r="AZ758" i="11"/>
  <c r="AY758" i="11"/>
  <c r="AX758" i="11"/>
  <c r="AW758" i="11"/>
  <c r="AV758" i="11"/>
  <c r="AU758" i="11"/>
  <c r="AT758" i="11"/>
  <c r="BR757" i="11"/>
  <c r="BQ757" i="11"/>
  <c r="BP757" i="11"/>
  <c r="BN757" i="11"/>
  <c r="BM757" i="11"/>
  <c r="BL757" i="11"/>
  <c r="BK757" i="11"/>
  <c r="BJ757" i="11"/>
  <c r="BI757" i="11"/>
  <c r="BH757" i="11"/>
  <c r="BG757" i="11"/>
  <c r="BF757" i="11"/>
  <c r="BE757" i="11"/>
  <c r="BD757" i="11"/>
  <c r="BB757" i="11"/>
  <c r="BC757" i="11" s="1"/>
  <c r="BA757" i="11"/>
  <c r="AZ757" i="11"/>
  <c r="AY757" i="11"/>
  <c r="AX757" i="11"/>
  <c r="AW757" i="11"/>
  <c r="AV757" i="11"/>
  <c r="AU757" i="11"/>
  <c r="AT757" i="11"/>
  <c r="BR756" i="11"/>
  <c r="BQ756" i="11"/>
  <c r="BP756" i="11"/>
  <c r="BN756" i="11"/>
  <c r="BM756" i="11"/>
  <c r="BL756" i="11"/>
  <c r="BK756" i="11"/>
  <c r="BJ756" i="11"/>
  <c r="BI756" i="11"/>
  <c r="BH756" i="11"/>
  <c r="BG756" i="11"/>
  <c r="BF756" i="11"/>
  <c r="BE756" i="11"/>
  <c r="BD756" i="11"/>
  <c r="BB756" i="11"/>
  <c r="BC756" i="11" s="1"/>
  <c r="BA756" i="11"/>
  <c r="AZ756" i="11"/>
  <c r="AY756" i="11"/>
  <c r="AX756" i="11"/>
  <c r="AW756" i="11"/>
  <c r="AV756" i="11"/>
  <c r="AU756" i="11"/>
  <c r="AT756" i="11"/>
  <c r="BR755" i="11"/>
  <c r="BQ755" i="11"/>
  <c r="BP755" i="11"/>
  <c r="BN755" i="11"/>
  <c r="BM755" i="11"/>
  <c r="BL755" i="11"/>
  <c r="BK755" i="11"/>
  <c r="BJ755" i="11"/>
  <c r="BI755" i="11"/>
  <c r="BH755" i="11"/>
  <c r="BG755" i="11"/>
  <c r="BF755" i="11"/>
  <c r="BE755" i="11"/>
  <c r="BD755" i="11"/>
  <c r="BB755" i="11"/>
  <c r="BC755" i="11" s="1"/>
  <c r="BA755" i="11"/>
  <c r="AZ755" i="11"/>
  <c r="AY755" i="11"/>
  <c r="AX755" i="11"/>
  <c r="AW755" i="11"/>
  <c r="AV755" i="11"/>
  <c r="AU755" i="11"/>
  <c r="AT755" i="11"/>
  <c r="BR754" i="11"/>
  <c r="BQ754" i="11"/>
  <c r="BP754" i="11"/>
  <c r="BN754" i="11"/>
  <c r="BM754" i="11"/>
  <c r="BL754" i="11"/>
  <c r="BK754" i="11"/>
  <c r="BJ754" i="11"/>
  <c r="BI754" i="11"/>
  <c r="BH754" i="11"/>
  <c r="BG754" i="11"/>
  <c r="BF754" i="11"/>
  <c r="BE754" i="11"/>
  <c r="BD754" i="11"/>
  <c r="BB754" i="11"/>
  <c r="BC754" i="11" s="1"/>
  <c r="BA754" i="11"/>
  <c r="AZ754" i="11"/>
  <c r="AY754" i="11"/>
  <c r="AX754" i="11"/>
  <c r="AW754" i="11"/>
  <c r="AV754" i="11"/>
  <c r="AU754" i="11"/>
  <c r="AT754" i="11"/>
  <c r="BR753" i="11"/>
  <c r="BQ753" i="11"/>
  <c r="BP753" i="11"/>
  <c r="BN753" i="11"/>
  <c r="BM753" i="11"/>
  <c r="BL753" i="11"/>
  <c r="BK753" i="11"/>
  <c r="BJ753" i="11"/>
  <c r="BI753" i="11"/>
  <c r="BH753" i="11"/>
  <c r="BG753" i="11"/>
  <c r="BF753" i="11"/>
  <c r="BE753" i="11"/>
  <c r="BD753" i="11"/>
  <c r="BB753" i="11"/>
  <c r="BC753" i="11" s="1"/>
  <c r="BA753" i="11"/>
  <c r="AZ753" i="11"/>
  <c r="AY753" i="11"/>
  <c r="AX753" i="11"/>
  <c r="AW753" i="11"/>
  <c r="AV753" i="11"/>
  <c r="AU753" i="11"/>
  <c r="AT753" i="11"/>
  <c r="BR752" i="11"/>
  <c r="BQ752" i="11"/>
  <c r="BP752" i="11"/>
  <c r="BN752" i="11"/>
  <c r="BM752" i="11"/>
  <c r="BL752" i="11"/>
  <c r="BK752" i="11"/>
  <c r="BJ752" i="11"/>
  <c r="BI752" i="11"/>
  <c r="BH752" i="11"/>
  <c r="BG752" i="11"/>
  <c r="BF752" i="11"/>
  <c r="BE752" i="11"/>
  <c r="BD752" i="11"/>
  <c r="BB752" i="11"/>
  <c r="BC752" i="11" s="1"/>
  <c r="BA752" i="11"/>
  <c r="AZ752" i="11"/>
  <c r="AY752" i="11"/>
  <c r="AX752" i="11"/>
  <c r="AW752" i="11"/>
  <c r="AV752" i="11"/>
  <c r="AU752" i="11"/>
  <c r="AT752" i="11"/>
  <c r="BR751" i="11"/>
  <c r="BQ751" i="11"/>
  <c r="BP751" i="11"/>
  <c r="BN751" i="11"/>
  <c r="BM751" i="11"/>
  <c r="BL751" i="11"/>
  <c r="BK751" i="11"/>
  <c r="BJ751" i="11"/>
  <c r="BI751" i="11"/>
  <c r="BH751" i="11"/>
  <c r="BG751" i="11"/>
  <c r="BF751" i="11"/>
  <c r="BE751" i="11"/>
  <c r="BD751" i="11"/>
  <c r="BB751" i="11"/>
  <c r="BC751" i="11" s="1"/>
  <c r="BA751" i="11"/>
  <c r="AZ751" i="11"/>
  <c r="AY751" i="11"/>
  <c r="AX751" i="11"/>
  <c r="AW751" i="11"/>
  <c r="AV751" i="11"/>
  <c r="AU751" i="11"/>
  <c r="AT751" i="11"/>
  <c r="BR750" i="11"/>
  <c r="BQ750" i="11"/>
  <c r="BP750" i="11"/>
  <c r="BN750" i="11"/>
  <c r="BM750" i="11"/>
  <c r="BL750" i="11"/>
  <c r="BK750" i="11"/>
  <c r="BJ750" i="11"/>
  <c r="BI750" i="11"/>
  <c r="BH750" i="11"/>
  <c r="BG750" i="11"/>
  <c r="BF750" i="11"/>
  <c r="BE750" i="11"/>
  <c r="BD750" i="11"/>
  <c r="BB750" i="11"/>
  <c r="BC750" i="11" s="1"/>
  <c r="BA750" i="11"/>
  <c r="AZ750" i="11"/>
  <c r="AY750" i="11"/>
  <c r="AX750" i="11"/>
  <c r="AW750" i="11"/>
  <c r="AV750" i="11"/>
  <c r="AU750" i="11"/>
  <c r="AT750" i="11"/>
  <c r="BR749" i="11"/>
  <c r="BQ749" i="11"/>
  <c r="BP749" i="11"/>
  <c r="BN749" i="11"/>
  <c r="BM749" i="11"/>
  <c r="BL749" i="11"/>
  <c r="BK749" i="11"/>
  <c r="BJ749" i="11"/>
  <c r="BI749" i="11"/>
  <c r="BH749" i="11"/>
  <c r="BG749" i="11"/>
  <c r="BF749" i="11"/>
  <c r="BE749" i="11"/>
  <c r="BD749" i="11"/>
  <c r="BB749" i="11"/>
  <c r="BC749" i="11" s="1"/>
  <c r="BA749" i="11"/>
  <c r="AZ749" i="11"/>
  <c r="AY749" i="11"/>
  <c r="AX749" i="11"/>
  <c r="AW749" i="11"/>
  <c r="AV749" i="11"/>
  <c r="AU749" i="11"/>
  <c r="AT749" i="11"/>
  <c r="BR748" i="11"/>
  <c r="BQ748" i="11"/>
  <c r="BP748" i="11"/>
  <c r="BN748" i="11"/>
  <c r="BM748" i="11"/>
  <c r="BL748" i="11"/>
  <c r="BK748" i="11"/>
  <c r="BJ748" i="11"/>
  <c r="BI748" i="11"/>
  <c r="BH748" i="11"/>
  <c r="BG748" i="11"/>
  <c r="BF748" i="11"/>
  <c r="BE748" i="11"/>
  <c r="BD748" i="11"/>
  <c r="BB748" i="11"/>
  <c r="BC748" i="11" s="1"/>
  <c r="BA748" i="11"/>
  <c r="AZ748" i="11"/>
  <c r="AY748" i="11"/>
  <c r="AX748" i="11"/>
  <c r="AW748" i="11"/>
  <c r="AV748" i="11"/>
  <c r="AU748" i="11"/>
  <c r="AT748" i="11"/>
  <c r="BR747" i="11"/>
  <c r="BQ747" i="11"/>
  <c r="BP747" i="11"/>
  <c r="BN747" i="11"/>
  <c r="BM747" i="11"/>
  <c r="BL747" i="11"/>
  <c r="BK747" i="11"/>
  <c r="BJ747" i="11"/>
  <c r="BI747" i="11"/>
  <c r="BH747" i="11"/>
  <c r="BG747" i="11"/>
  <c r="BF747" i="11"/>
  <c r="BE747" i="11"/>
  <c r="BD747" i="11"/>
  <c r="BB747" i="11"/>
  <c r="BC747" i="11" s="1"/>
  <c r="BA747" i="11"/>
  <c r="AZ747" i="11"/>
  <c r="AY747" i="11"/>
  <c r="AX747" i="11"/>
  <c r="AW747" i="11"/>
  <c r="AV747" i="11"/>
  <c r="AU747" i="11"/>
  <c r="AT747" i="11"/>
  <c r="BR746" i="11"/>
  <c r="BQ746" i="11"/>
  <c r="BP746" i="11"/>
  <c r="BN746" i="11"/>
  <c r="BM746" i="11"/>
  <c r="BL746" i="11"/>
  <c r="BK746" i="11"/>
  <c r="BJ746" i="11"/>
  <c r="BI746" i="11"/>
  <c r="BH746" i="11"/>
  <c r="BG746" i="11"/>
  <c r="BF746" i="11"/>
  <c r="BE746" i="11"/>
  <c r="BD746" i="11"/>
  <c r="BB746" i="11"/>
  <c r="BC746" i="11" s="1"/>
  <c r="BA746" i="11"/>
  <c r="AZ746" i="11"/>
  <c r="AY746" i="11"/>
  <c r="AX746" i="11"/>
  <c r="AW746" i="11"/>
  <c r="AV746" i="11"/>
  <c r="AU746" i="11"/>
  <c r="AT746" i="11"/>
  <c r="BR745" i="11"/>
  <c r="BQ745" i="11"/>
  <c r="BP745" i="11"/>
  <c r="BN745" i="11"/>
  <c r="BM745" i="11"/>
  <c r="BL745" i="11"/>
  <c r="BK745" i="11"/>
  <c r="BJ745" i="11"/>
  <c r="BI745" i="11"/>
  <c r="BH745" i="11"/>
  <c r="BG745" i="11"/>
  <c r="BF745" i="11"/>
  <c r="BE745" i="11"/>
  <c r="BD745" i="11"/>
  <c r="BB745" i="11"/>
  <c r="BC745" i="11" s="1"/>
  <c r="BA745" i="11"/>
  <c r="AZ745" i="11"/>
  <c r="AY745" i="11"/>
  <c r="AX745" i="11"/>
  <c r="AW745" i="11"/>
  <c r="AV745" i="11"/>
  <c r="AU745" i="11"/>
  <c r="AT745" i="11"/>
  <c r="BR744" i="11"/>
  <c r="BQ744" i="11"/>
  <c r="BP744" i="11"/>
  <c r="BN744" i="11"/>
  <c r="BM744" i="11"/>
  <c r="BL744" i="11"/>
  <c r="BK744" i="11"/>
  <c r="BJ744" i="11"/>
  <c r="BI744" i="11"/>
  <c r="BH744" i="11"/>
  <c r="BG744" i="11"/>
  <c r="BF744" i="11"/>
  <c r="BE744" i="11"/>
  <c r="BD744" i="11"/>
  <c r="BB744" i="11"/>
  <c r="BC744" i="11" s="1"/>
  <c r="BA744" i="11"/>
  <c r="AZ744" i="11"/>
  <c r="AY744" i="11"/>
  <c r="AX744" i="11"/>
  <c r="AW744" i="11"/>
  <c r="AV744" i="11"/>
  <c r="AU744" i="11"/>
  <c r="AT744" i="11"/>
  <c r="BR743" i="11"/>
  <c r="BQ743" i="11"/>
  <c r="BP743" i="11"/>
  <c r="BN743" i="11"/>
  <c r="BM743" i="11"/>
  <c r="BL743" i="11"/>
  <c r="BK743" i="11"/>
  <c r="BJ743" i="11"/>
  <c r="BI743" i="11"/>
  <c r="BH743" i="11"/>
  <c r="BG743" i="11"/>
  <c r="BF743" i="11"/>
  <c r="BE743" i="11"/>
  <c r="BD743" i="11"/>
  <c r="BB743" i="11"/>
  <c r="BC743" i="11" s="1"/>
  <c r="BA743" i="11"/>
  <c r="AZ743" i="11"/>
  <c r="AY743" i="11"/>
  <c r="AX743" i="11"/>
  <c r="AW743" i="11"/>
  <c r="AV743" i="11"/>
  <c r="AU743" i="11"/>
  <c r="AT743" i="11"/>
  <c r="BR742" i="11"/>
  <c r="BQ742" i="11"/>
  <c r="BP742" i="11"/>
  <c r="BN742" i="11"/>
  <c r="BM742" i="11"/>
  <c r="BL742" i="11"/>
  <c r="BK742" i="11"/>
  <c r="BJ742" i="11"/>
  <c r="BI742" i="11"/>
  <c r="BH742" i="11"/>
  <c r="BG742" i="11"/>
  <c r="BF742" i="11"/>
  <c r="BE742" i="11"/>
  <c r="BD742" i="11"/>
  <c r="BB742" i="11"/>
  <c r="BC742" i="11" s="1"/>
  <c r="BA742" i="11"/>
  <c r="AZ742" i="11"/>
  <c r="AY742" i="11"/>
  <c r="AX742" i="11"/>
  <c r="AW742" i="11"/>
  <c r="AV742" i="11"/>
  <c r="AU742" i="11"/>
  <c r="AT742" i="11"/>
  <c r="BR741" i="11"/>
  <c r="BQ741" i="11"/>
  <c r="BP741" i="11"/>
  <c r="BN741" i="11"/>
  <c r="BM741" i="11"/>
  <c r="BL741" i="11"/>
  <c r="BK741" i="11"/>
  <c r="BJ741" i="11"/>
  <c r="BI741" i="11"/>
  <c r="BH741" i="11"/>
  <c r="BG741" i="11"/>
  <c r="BF741" i="11"/>
  <c r="BE741" i="11"/>
  <c r="BD741" i="11"/>
  <c r="BB741" i="11"/>
  <c r="BC741" i="11" s="1"/>
  <c r="BA741" i="11"/>
  <c r="AZ741" i="11"/>
  <c r="AY741" i="11"/>
  <c r="AX741" i="11"/>
  <c r="AW741" i="11"/>
  <c r="AV741" i="11"/>
  <c r="AU741" i="11"/>
  <c r="AT741" i="11"/>
  <c r="BR740" i="11"/>
  <c r="BQ740" i="11"/>
  <c r="BP740" i="11"/>
  <c r="BN740" i="11"/>
  <c r="BM740" i="11"/>
  <c r="BL740" i="11"/>
  <c r="BK740" i="11"/>
  <c r="BJ740" i="11"/>
  <c r="BI740" i="11"/>
  <c r="BH740" i="11"/>
  <c r="BG740" i="11"/>
  <c r="BF740" i="11"/>
  <c r="BE740" i="11"/>
  <c r="BD740" i="11"/>
  <c r="BB740" i="11"/>
  <c r="BC740" i="11" s="1"/>
  <c r="BA740" i="11"/>
  <c r="AZ740" i="11"/>
  <c r="AY740" i="11"/>
  <c r="AX740" i="11"/>
  <c r="AW740" i="11"/>
  <c r="AV740" i="11"/>
  <c r="AU740" i="11"/>
  <c r="AT740" i="11"/>
  <c r="BR739" i="11"/>
  <c r="BQ739" i="11"/>
  <c r="BP739" i="11"/>
  <c r="BN739" i="11"/>
  <c r="BM739" i="11"/>
  <c r="BL739" i="11"/>
  <c r="BK739" i="11"/>
  <c r="BJ739" i="11"/>
  <c r="BI739" i="11"/>
  <c r="BH739" i="11"/>
  <c r="BG739" i="11"/>
  <c r="BF739" i="11"/>
  <c r="BE739" i="11"/>
  <c r="BD739" i="11"/>
  <c r="BB739" i="11"/>
  <c r="BC739" i="11" s="1"/>
  <c r="BA739" i="11"/>
  <c r="AZ739" i="11"/>
  <c r="AY739" i="11"/>
  <c r="AX739" i="11"/>
  <c r="AW739" i="11"/>
  <c r="AV739" i="11"/>
  <c r="AU739" i="11"/>
  <c r="AT739" i="11"/>
  <c r="BR738" i="11"/>
  <c r="BQ738" i="11"/>
  <c r="BP738" i="11"/>
  <c r="BN738" i="11"/>
  <c r="BM738" i="11"/>
  <c r="BL738" i="11"/>
  <c r="BK738" i="11"/>
  <c r="BJ738" i="11"/>
  <c r="BI738" i="11"/>
  <c r="BH738" i="11"/>
  <c r="BG738" i="11"/>
  <c r="BF738" i="11"/>
  <c r="BE738" i="11"/>
  <c r="BD738" i="11"/>
  <c r="BB738" i="11"/>
  <c r="BC738" i="11" s="1"/>
  <c r="BA738" i="11"/>
  <c r="AZ738" i="11"/>
  <c r="AY738" i="11"/>
  <c r="AX738" i="11"/>
  <c r="AW738" i="11"/>
  <c r="AV738" i="11"/>
  <c r="AU738" i="11"/>
  <c r="AT738" i="11"/>
  <c r="BR737" i="11"/>
  <c r="BQ737" i="11"/>
  <c r="BP737" i="11"/>
  <c r="BN737" i="11"/>
  <c r="BM737" i="11"/>
  <c r="BL737" i="11"/>
  <c r="BK737" i="11"/>
  <c r="BJ737" i="11"/>
  <c r="BI737" i="11"/>
  <c r="BH737" i="11"/>
  <c r="BG737" i="11"/>
  <c r="BF737" i="11"/>
  <c r="BE737" i="11"/>
  <c r="BD737" i="11"/>
  <c r="BB737" i="11"/>
  <c r="BC737" i="11" s="1"/>
  <c r="BA737" i="11"/>
  <c r="AZ737" i="11"/>
  <c r="AY737" i="11"/>
  <c r="AX737" i="11"/>
  <c r="AW737" i="11"/>
  <c r="AV737" i="11"/>
  <c r="AU737" i="11"/>
  <c r="AT737" i="11"/>
  <c r="BR736" i="11"/>
  <c r="BQ736" i="11"/>
  <c r="BP736" i="11"/>
  <c r="BN736" i="11"/>
  <c r="BM736" i="11"/>
  <c r="BL736" i="11"/>
  <c r="BK736" i="11"/>
  <c r="BJ736" i="11"/>
  <c r="BI736" i="11"/>
  <c r="BH736" i="11"/>
  <c r="BG736" i="11"/>
  <c r="BF736" i="11"/>
  <c r="BE736" i="11"/>
  <c r="BD736" i="11"/>
  <c r="BB736" i="11"/>
  <c r="BC736" i="11" s="1"/>
  <c r="BA736" i="11"/>
  <c r="AZ736" i="11"/>
  <c r="AY736" i="11"/>
  <c r="AX736" i="11"/>
  <c r="AW736" i="11"/>
  <c r="AV736" i="11"/>
  <c r="AU736" i="11"/>
  <c r="AT736" i="11"/>
  <c r="BR735" i="11"/>
  <c r="BQ735" i="11"/>
  <c r="BP735" i="11"/>
  <c r="BN735" i="11"/>
  <c r="BM735" i="11"/>
  <c r="BL735" i="11"/>
  <c r="BK735" i="11"/>
  <c r="BJ735" i="11"/>
  <c r="BI735" i="11"/>
  <c r="BH735" i="11"/>
  <c r="BG735" i="11"/>
  <c r="BF735" i="11"/>
  <c r="BE735" i="11"/>
  <c r="BD735" i="11"/>
  <c r="BB735" i="11"/>
  <c r="BC735" i="11" s="1"/>
  <c r="BA735" i="11"/>
  <c r="AZ735" i="11"/>
  <c r="AY735" i="11"/>
  <c r="AX735" i="11"/>
  <c r="AW735" i="11"/>
  <c r="AV735" i="11"/>
  <c r="AU735" i="11"/>
  <c r="AT735" i="11"/>
  <c r="BR734" i="11"/>
  <c r="BQ734" i="11"/>
  <c r="BP734" i="11"/>
  <c r="BN734" i="11"/>
  <c r="BM734" i="11"/>
  <c r="BL734" i="11"/>
  <c r="BK734" i="11"/>
  <c r="BJ734" i="11"/>
  <c r="BI734" i="11"/>
  <c r="BH734" i="11"/>
  <c r="BG734" i="11"/>
  <c r="BF734" i="11"/>
  <c r="BE734" i="11"/>
  <c r="BD734" i="11"/>
  <c r="BB734" i="11"/>
  <c r="BC734" i="11" s="1"/>
  <c r="BA734" i="11"/>
  <c r="AZ734" i="11"/>
  <c r="AY734" i="11"/>
  <c r="AX734" i="11"/>
  <c r="AW734" i="11"/>
  <c r="AV734" i="11"/>
  <c r="AU734" i="11"/>
  <c r="AT734" i="11"/>
  <c r="BR733" i="11"/>
  <c r="BQ733" i="11"/>
  <c r="BP733" i="11"/>
  <c r="BN733" i="11"/>
  <c r="BM733" i="11"/>
  <c r="BL733" i="11"/>
  <c r="BK733" i="11"/>
  <c r="BJ733" i="11"/>
  <c r="BI733" i="11"/>
  <c r="BH733" i="11"/>
  <c r="BG733" i="11"/>
  <c r="BF733" i="11"/>
  <c r="BE733" i="11"/>
  <c r="BD733" i="11"/>
  <c r="BB733" i="11"/>
  <c r="BC733" i="11" s="1"/>
  <c r="BA733" i="11"/>
  <c r="AZ733" i="11"/>
  <c r="AY733" i="11"/>
  <c r="AX733" i="11"/>
  <c r="AW733" i="11"/>
  <c r="AV733" i="11"/>
  <c r="AU733" i="11"/>
  <c r="AT733" i="11"/>
  <c r="BR732" i="11"/>
  <c r="BQ732" i="11"/>
  <c r="BP732" i="11"/>
  <c r="BN732" i="11"/>
  <c r="BM732" i="11"/>
  <c r="BL732" i="11"/>
  <c r="BK732" i="11"/>
  <c r="BJ732" i="11"/>
  <c r="BI732" i="11"/>
  <c r="BH732" i="11"/>
  <c r="BG732" i="11"/>
  <c r="BF732" i="11"/>
  <c r="BE732" i="11"/>
  <c r="BD732" i="11"/>
  <c r="BB732" i="11"/>
  <c r="BC732" i="11" s="1"/>
  <c r="BA732" i="11"/>
  <c r="AZ732" i="11"/>
  <c r="AY732" i="11"/>
  <c r="AX732" i="11"/>
  <c r="AW732" i="11"/>
  <c r="AV732" i="11"/>
  <c r="AU732" i="11"/>
  <c r="AT732" i="11"/>
  <c r="BR731" i="11"/>
  <c r="BQ731" i="11"/>
  <c r="BP731" i="11"/>
  <c r="BN731" i="11"/>
  <c r="BM731" i="11"/>
  <c r="BL731" i="11"/>
  <c r="BK731" i="11"/>
  <c r="BJ731" i="11"/>
  <c r="BI731" i="11"/>
  <c r="BH731" i="11"/>
  <c r="BG731" i="11"/>
  <c r="BF731" i="11"/>
  <c r="BE731" i="11"/>
  <c r="BD731" i="11"/>
  <c r="BB731" i="11"/>
  <c r="BC731" i="11" s="1"/>
  <c r="BA731" i="11"/>
  <c r="AY731" i="11"/>
  <c r="AX731" i="11"/>
  <c r="AZ731" i="11" s="1"/>
  <c r="AW731" i="11"/>
  <c r="AV731" i="11"/>
  <c r="AU731" i="11"/>
  <c r="AT731" i="11"/>
  <c r="BR730" i="11"/>
  <c r="BQ730" i="11"/>
  <c r="BP730" i="11"/>
  <c r="BN730" i="11"/>
  <c r="BM730" i="11"/>
  <c r="BL730" i="11"/>
  <c r="BK730" i="11"/>
  <c r="BJ730" i="11"/>
  <c r="BI730" i="11"/>
  <c r="BH730" i="11"/>
  <c r="BG730" i="11"/>
  <c r="BF730" i="11"/>
  <c r="BE730" i="11"/>
  <c r="BD730" i="11"/>
  <c r="BB730" i="11"/>
  <c r="BC730" i="11" s="1"/>
  <c r="BA730" i="11"/>
  <c r="AY730" i="11"/>
  <c r="AX730" i="11"/>
  <c r="AZ730" i="11" s="1"/>
  <c r="AW730" i="11"/>
  <c r="AV730" i="11"/>
  <c r="AU730" i="11"/>
  <c r="AT730" i="11"/>
  <c r="BR729" i="11"/>
  <c r="BQ729" i="11"/>
  <c r="BP729" i="11"/>
  <c r="BN729" i="11"/>
  <c r="BM729" i="11"/>
  <c r="BL729" i="11"/>
  <c r="BK729" i="11"/>
  <c r="BJ729" i="11"/>
  <c r="BI729" i="11"/>
  <c r="BH729" i="11"/>
  <c r="BG729" i="11"/>
  <c r="BF729" i="11"/>
  <c r="BE729" i="11"/>
  <c r="BD729" i="11"/>
  <c r="BB729" i="11"/>
  <c r="BC729" i="11" s="1"/>
  <c r="BA729" i="11"/>
  <c r="AY729" i="11"/>
  <c r="AX729" i="11"/>
  <c r="AZ729" i="11" s="1"/>
  <c r="AW729" i="11"/>
  <c r="AV729" i="11"/>
  <c r="AU729" i="11"/>
  <c r="AT729" i="11"/>
  <c r="BR728" i="11"/>
  <c r="BQ728" i="11"/>
  <c r="BP728" i="11"/>
  <c r="BN728" i="11"/>
  <c r="BM728" i="11"/>
  <c r="BL728" i="11"/>
  <c r="BK728" i="11"/>
  <c r="BJ728" i="11"/>
  <c r="BI728" i="11"/>
  <c r="BH728" i="11"/>
  <c r="BG728" i="11"/>
  <c r="BF728" i="11"/>
  <c r="BE728" i="11"/>
  <c r="BD728" i="11"/>
  <c r="BB728" i="11"/>
  <c r="BC728" i="11" s="1"/>
  <c r="BA728" i="11"/>
  <c r="AY728" i="11"/>
  <c r="AX728" i="11"/>
  <c r="AZ728" i="11" s="1"/>
  <c r="AW728" i="11"/>
  <c r="AV728" i="11"/>
  <c r="AU728" i="11"/>
  <c r="AT728" i="11"/>
  <c r="BR727" i="11"/>
  <c r="BQ727" i="11"/>
  <c r="BP727" i="11"/>
  <c r="BN727" i="11"/>
  <c r="BM727" i="11"/>
  <c r="BL727" i="11"/>
  <c r="BK727" i="11"/>
  <c r="BJ727" i="11"/>
  <c r="BI727" i="11"/>
  <c r="BH727" i="11"/>
  <c r="BG727" i="11"/>
  <c r="BF727" i="11"/>
  <c r="BE727" i="11"/>
  <c r="BD727" i="11"/>
  <c r="BB727" i="11"/>
  <c r="BC727" i="11" s="1"/>
  <c r="BA727" i="11"/>
  <c r="AY727" i="11"/>
  <c r="AX727" i="11"/>
  <c r="AZ727" i="11" s="1"/>
  <c r="AW727" i="11"/>
  <c r="AV727" i="11"/>
  <c r="AU727" i="11"/>
  <c r="AT727" i="11"/>
  <c r="BR726" i="11"/>
  <c r="BQ726" i="11"/>
  <c r="BP726" i="11"/>
  <c r="BN726" i="11"/>
  <c r="BM726" i="11"/>
  <c r="BL726" i="11"/>
  <c r="BK726" i="11"/>
  <c r="BJ726" i="11"/>
  <c r="BI726" i="11"/>
  <c r="BH726" i="11"/>
  <c r="BG726" i="11"/>
  <c r="BF726" i="11"/>
  <c r="BE726" i="11"/>
  <c r="BD726" i="11"/>
  <c r="BB726" i="11"/>
  <c r="BC726" i="11" s="1"/>
  <c r="BA726" i="11"/>
  <c r="AY726" i="11"/>
  <c r="AX726" i="11"/>
  <c r="AZ726" i="11" s="1"/>
  <c r="AW726" i="11"/>
  <c r="AV726" i="11"/>
  <c r="AU726" i="11"/>
  <c r="AT726" i="11"/>
  <c r="BR725" i="11"/>
  <c r="BQ725" i="11"/>
  <c r="BP725" i="11"/>
  <c r="BN725" i="11"/>
  <c r="BM725" i="11"/>
  <c r="BL725" i="11"/>
  <c r="BK725" i="11"/>
  <c r="BJ725" i="11"/>
  <c r="BI725" i="11"/>
  <c r="BH725" i="11"/>
  <c r="BG725" i="11"/>
  <c r="BF725" i="11"/>
  <c r="BE725" i="11"/>
  <c r="BD725" i="11"/>
  <c r="BB725" i="11"/>
  <c r="BC725" i="11" s="1"/>
  <c r="BA725" i="11"/>
  <c r="AY725" i="11"/>
  <c r="AX725" i="11"/>
  <c r="AZ725" i="11" s="1"/>
  <c r="AW725" i="11"/>
  <c r="AV725" i="11"/>
  <c r="AU725" i="11"/>
  <c r="AT725" i="11"/>
  <c r="BR724" i="11"/>
  <c r="BQ724" i="11"/>
  <c r="BP724" i="11"/>
  <c r="BN724" i="11"/>
  <c r="BM724" i="11"/>
  <c r="BL724" i="11"/>
  <c r="BK724" i="11"/>
  <c r="BJ724" i="11"/>
  <c r="BI724" i="11"/>
  <c r="BH724" i="11"/>
  <c r="BG724" i="11"/>
  <c r="BF724" i="11"/>
  <c r="BE724" i="11"/>
  <c r="BD724" i="11"/>
  <c r="BB724" i="11"/>
  <c r="BC724" i="11" s="1"/>
  <c r="BA724" i="11"/>
  <c r="AY724" i="11"/>
  <c r="AX724" i="11"/>
  <c r="AZ724" i="11" s="1"/>
  <c r="AW724" i="11"/>
  <c r="AV724" i="11"/>
  <c r="AU724" i="11"/>
  <c r="AT724" i="11"/>
  <c r="BR723" i="11"/>
  <c r="BQ723" i="11"/>
  <c r="BP723" i="11"/>
  <c r="BN723" i="11"/>
  <c r="BM723" i="11"/>
  <c r="BL723" i="11"/>
  <c r="BK723" i="11"/>
  <c r="BJ723" i="11"/>
  <c r="BI723" i="11"/>
  <c r="BH723" i="11"/>
  <c r="BG723" i="11"/>
  <c r="BF723" i="11"/>
  <c r="BE723" i="11"/>
  <c r="BD723" i="11"/>
  <c r="BB723" i="11"/>
  <c r="BC723" i="11" s="1"/>
  <c r="BA723" i="11"/>
  <c r="AY723" i="11"/>
  <c r="AX723" i="11"/>
  <c r="AZ723" i="11" s="1"/>
  <c r="AW723" i="11"/>
  <c r="AV723" i="11"/>
  <c r="AU723" i="11"/>
  <c r="AT723" i="11"/>
  <c r="BR722" i="11"/>
  <c r="BQ722" i="11"/>
  <c r="BP722" i="11"/>
  <c r="BN722" i="11"/>
  <c r="BM722" i="11"/>
  <c r="BL722" i="11"/>
  <c r="BK722" i="11"/>
  <c r="BJ722" i="11"/>
  <c r="BI722" i="11"/>
  <c r="BH722" i="11"/>
  <c r="BG722" i="11"/>
  <c r="BF722" i="11"/>
  <c r="BE722" i="11"/>
  <c r="BD722" i="11"/>
  <c r="BB722" i="11"/>
  <c r="BC722" i="11" s="1"/>
  <c r="BA722" i="11"/>
  <c r="AY722" i="11"/>
  <c r="AX722" i="11"/>
  <c r="AZ722" i="11" s="1"/>
  <c r="AW722" i="11"/>
  <c r="AV722" i="11"/>
  <c r="AU722" i="11"/>
  <c r="AT722" i="11"/>
  <c r="BR721" i="11"/>
  <c r="BQ721" i="11"/>
  <c r="BP721" i="11"/>
  <c r="BN721" i="11"/>
  <c r="BM721" i="11"/>
  <c r="BL721" i="11"/>
  <c r="BK721" i="11"/>
  <c r="BJ721" i="11"/>
  <c r="BI721" i="11"/>
  <c r="BH721" i="11"/>
  <c r="BG721" i="11"/>
  <c r="BF721" i="11"/>
  <c r="BE721" i="11"/>
  <c r="BD721" i="11"/>
  <c r="BB721" i="11"/>
  <c r="BC721" i="11" s="1"/>
  <c r="BA721" i="11"/>
  <c r="AY721" i="11"/>
  <c r="AX721" i="11"/>
  <c r="AZ721" i="11" s="1"/>
  <c r="AW721" i="11"/>
  <c r="AV721" i="11"/>
  <c r="AU721" i="11"/>
  <c r="AT721" i="11"/>
  <c r="BR720" i="11"/>
  <c r="BQ720" i="11"/>
  <c r="BP720" i="11"/>
  <c r="BN720" i="11"/>
  <c r="BM720" i="11"/>
  <c r="BL720" i="11"/>
  <c r="BK720" i="11"/>
  <c r="BJ720" i="11"/>
  <c r="BI720" i="11"/>
  <c r="BH720" i="11"/>
  <c r="BG720" i="11"/>
  <c r="BF720" i="11"/>
  <c r="BE720" i="11"/>
  <c r="BD720" i="11"/>
  <c r="BB720" i="11"/>
  <c r="BC720" i="11" s="1"/>
  <c r="BA720" i="11"/>
  <c r="AY720" i="11"/>
  <c r="AX720" i="11"/>
  <c r="AZ720" i="11" s="1"/>
  <c r="AW720" i="11"/>
  <c r="AV720" i="11"/>
  <c r="AU720" i="11"/>
  <c r="AT720" i="11"/>
  <c r="BR719" i="11"/>
  <c r="BQ719" i="11"/>
  <c r="BP719" i="11"/>
  <c r="BN719" i="11"/>
  <c r="BM719" i="11"/>
  <c r="BL719" i="11"/>
  <c r="BK719" i="11"/>
  <c r="BJ719" i="11"/>
  <c r="BI719" i="11"/>
  <c r="BH719" i="11"/>
  <c r="BG719" i="11"/>
  <c r="BF719" i="11"/>
  <c r="BE719" i="11"/>
  <c r="BD719" i="11"/>
  <c r="BB719" i="11"/>
  <c r="BC719" i="11" s="1"/>
  <c r="BA719" i="11"/>
  <c r="AY719" i="11"/>
  <c r="AX719" i="11"/>
  <c r="AZ719" i="11" s="1"/>
  <c r="AW719" i="11"/>
  <c r="AV719" i="11"/>
  <c r="AU719" i="11"/>
  <c r="AT719" i="11"/>
  <c r="BR718" i="11"/>
  <c r="BQ718" i="11"/>
  <c r="BP718" i="11"/>
  <c r="BN718" i="11"/>
  <c r="BM718" i="11"/>
  <c r="BL718" i="11"/>
  <c r="BK718" i="11"/>
  <c r="BJ718" i="11"/>
  <c r="BI718" i="11"/>
  <c r="BH718" i="11"/>
  <c r="BG718" i="11"/>
  <c r="BF718" i="11"/>
  <c r="BE718" i="11"/>
  <c r="BD718" i="11"/>
  <c r="BB718" i="11"/>
  <c r="BC718" i="11" s="1"/>
  <c r="BA718" i="11"/>
  <c r="AY718" i="11"/>
  <c r="AX718" i="11"/>
  <c r="AZ718" i="11" s="1"/>
  <c r="AW718" i="11"/>
  <c r="AV718" i="11"/>
  <c r="AU718" i="11"/>
  <c r="AT718" i="11"/>
  <c r="BR717" i="11"/>
  <c r="BQ717" i="11"/>
  <c r="BP717" i="11"/>
  <c r="BN717" i="11"/>
  <c r="BM717" i="11"/>
  <c r="BL717" i="11"/>
  <c r="BK717" i="11"/>
  <c r="BJ717" i="11"/>
  <c r="BI717" i="11"/>
  <c r="BH717" i="11"/>
  <c r="BG717" i="11"/>
  <c r="BF717" i="11"/>
  <c r="BE717" i="11"/>
  <c r="BD717" i="11"/>
  <c r="BB717" i="11"/>
  <c r="BC717" i="11" s="1"/>
  <c r="BA717" i="11"/>
  <c r="AY717" i="11"/>
  <c r="AX717" i="11"/>
  <c r="AZ717" i="11" s="1"/>
  <c r="AW717" i="11"/>
  <c r="AV717" i="11"/>
  <c r="AU717" i="11"/>
  <c r="AT717" i="11"/>
  <c r="BR716" i="11"/>
  <c r="BQ716" i="11"/>
  <c r="BP716" i="11"/>
  <c r="BN716" i="11"/>
  <c r="BM716" i="11"/>
  <c r="BL716" i="11"/>
  <c r="BK716" i="11"/>
  <c r="BJ716" i="11"/>
  <c r="BI716" i="11"/>
  <c r="BH716" i="11"/>
  <c r="BG716" i="11"/>
  <c r="BF716" i="11"/>
  <c r="BE716" i="11"/>
  <c r="BD716" i="11"/>
  <c r="BB716" i="11"/>
  <c r="BC716" i="11" s="1"/>
  <c r="BA716" i="11"/>
  <c r="AY716" i="11"/>
  <c r="AX716" i="11"/>
  <c r="AZ716" i="11" s="1"/>
  <c r="AW716" i="11"/>
  <c r="AV716" i="11"/>
  <c r="AU716" i="11"/>
  <c r="AT716" i="11"/>
  <c r="BR715" i="11"/>
  <c r="BQ715" i="11"/>
  <c r="BP715" i="11"/>
  <c r="BN715" i="11"/>
  <c r="BM715" i="11"/>
  <c r="BL715" i="11"/>
  <c r="BK715" i="11"/>
  <c r="BJ715" i="11"/>
  <c r="BI715" i="11"/>
  <c r="BH715" i="11"/>
  <c r="BG715" i="11"/>
  <c r="BF715" i="11"/>
  <c r="BE715" i="11"/>
  <c r="BD715" i="11"/>
  <c r="BB715" i="11"/>
  <c r="BC715" i="11" s="1"/>
  <c r="BA715" i="11"/>
  <c r="AY715" i="11"/>
  <c r="AX715" i="11"/>
  <c r="AZ715" i="11" s="1"/>
  <c r="AW715" i="11"/>
  <c r="AV715" i="11"/>
  <c r="AU715" i="11"/>
  <c r="AT715" i="11"/>
  <c r="BR714" i="11"/>
  <c r="BQ714" i="11"/>
  <c r="BP714" i="11"/>
  <c r="BN714" i="11"/>
  <c r="BM714" i="11"/>
  <c r="BL714" i="11"/>
  <c r="BK714" i="11"/>
  <c r="BJ714" i="11"/>
  <c r="BI714" i="11"/>
  <c r="BH714" i="11"/>
  <c r="BG714" i="11"/>
  <c r="BF714" i="11"/>
  <c r="BE714" i="11"/>
  <c r="BD714" i="11"/>
  <c r="BB714" i="11"/>
  <c r="BC714" i="11" s="1"/>
  <c r="BA714" i="11"/>
  <c r="AY714" i="11"/>
  <c r="AX714" i="11"/>
  <c r="AZ714" i="11" s="1"/>
  <c r="AW714" i="11"/>
  <c r="AV714" i="11"/>
  <c r="AU714" i="11"/>
  <c r="AT714" i="11"/>
  <c r="BR713" i="11"/>
  <c r="BQ713" i="11"/>
  <c r="BP713" i="11"/>
  <c r="BN713" i="11"/>
  <c r="BM713" i="11"/>
  <c r="BL713" i="11"/>
  <c r="BK713" i="11"/>
  <c r="BJ713" i="11"/>
  <c r="BI713" i="11"/>
  <c r="BH713" i="11"/>
  <c r="BG713" i="11"/>
  <c r="BF713" i="11"/>
  <c r="BE713" i="11"/>
  <c r="BD713" i="11"/>
  <c r="BB713" i="11"/>
  <c r="BC713" i="11" s="1"/>
  <c r="BA713" i="11"/>
  <c r="AY713" i="11"/>
  <c r="AX713" i="11"/>
  <c r="AZ713" i="11" s="1"/>
  <c r="AW713" i="11"/>
  <c r="AV713" i="11"/>
  <c r="AU713" i="11"/>
  <c r="AT713" i="11"/>
  <c r="BR712" i="11"/>
  <c r="BQ712" i="11"/>
  <c r="BP712" i="11"/>
  <c r="BN712" i="11"/>
  <c r="BM712" i="11"/>
  <c r="BL712" i="11"/>
  <c r="BK712" i="11"/>
  <c r="BJ712" i="11"/>
  <c r="BI712" i="11"/>
  <c r="BH712" i="11"/>
  <c r="BG712" i="11"/>
  <c r="BF712" i="11"/>
  <c r="BE712" i="11"/>
  <c r="BD712" i="11"/>
  <c r="BB712" i="11"/>
  <c r="BC712" i="11" s="1"/>
  <c r="BA712" i="11"/>
  <c r="AY712" i="11"/>
  <c r="AX712" i="11"/>
  <c r="AZ712" i="11" s="1"/>
  <c r="AW712" i="11"/>
  <c r="AV712" i="11"/>
  <c r="AU712" i="11"/>
  <c r="AT712" i="11"/>
  <c r="BR711" i="11"/>
  <c r="BQ711" i="11"/>
  <c r="BP711" i="11"/>
  <c r="BN711" i="11"/>
  <c r="BM711" i="11"/>
  <c r="BL711" i="11"/>
  <c r="BK711" i="11"/>
  <c r="BJ711" i="11"/>
  <c r="BI711" i="11"/>
  <c r="BH711" i="11"/>
  <c r="BG711" i="11"/>
  <c r="BF711" i="11"/>
  <c r="BE711" i="11"/>
  <c r="BD711" i="11"/>
  <c r="BB711" i="11"/>
  <c r="BC711" i="11" s="1"/>
  <c r="BA711" i="11"/>
  <c r="AY711" i="11"/>
  <c r="AX711" i="11"/>
  <c r="AZ711" i="11" s="1"/>
  <c r="AW711" i="11"/>
  <c r="AV711" i="11"/>
  <c r="AU711" i="11"/>
  <c r="AT711" i="11"/>
  <c r="BR710" i="11"/>
  <c r="BQ710" i="11"/>
  <c r="BP710" i="11"/>
  <c r="BN710" i="11"/>
  <c r="BM710" i="11"/>
  <c r="BL710" i="11"/>
  <c r="BK710" i="11"/>
  <c r="BJ710" i="11"/>
  <c r="BI710" i="11"/>
  <c r="BH710" i="11"/>
  <c r="BG710" i="11"/>
  <c r="BF710" i="11"/>
  <c r="BE710" i="11"/>
  <c r="BD710" i="11"/>
  <c r="BB710" i="11"/>
  <c r="BC710" i="11" s="1"/>
  <c r="BA710" i="11"/>
  <c r="AY710" i="11"/>
  <c r="AX710" i="11"/>
  <c r="AZ710" i="11" s="1"/>
  <c r="AW710" i="11"/>
  <c r="AV710" i="11"/>
  <c r="AU710" i="11"/>
  <c r="AT710" i="11"/>
  <c r="BR709" i="11"/>
  <c r="BQ709" i="11"/>
  <c r="BP709" i="11"/>
  <c r="BN709" i="11"/>
  <c r="BM709" i="11"/>
  <c r="BL709" i="11"/>
  <c r="BK709" i="11"/>
  <c r="BJ709" i="11"/>
  <c r="BI709" i="11"/>
  <c r="BH709" i="11"/>
  <c r="BG709" i="11"/>
  <c r="BF709" i="11"/>
  <c r="BE709" i="11"/>
  <c r="BD709" i="11"/>
  <c r="BB709" i="11"/>
  <c r="BC709" i="11" s="1"/>
  <c r="BA709" i="11"/>
  <c r="AY709" i="11"/>
  <c r="AX709" i="11"/>
  <c r="AZ709" i="11" s="1"/>
  <c r="AW709" i="11"/>
  <c r="AV709" i="11"/>
  <c r="AU709" i="11"/>
  <c r="AT709" i="11"/>
  <c r="BR708" i="11"/>
  <c r="BQ708" i="11"/>
  <c r="BP708" i="11"/>
  <c r="BN708" i="11"/>
  <c r="BM708" i="11"/>
  <c r="BL708" i="11"/>
  <c r="BK708" i="11"/>
  <c r="BJ708" i="11"/>
  <c r="BI708" i="11"/>
  <c r="BH708" i="11"/>
  <c r="BG708" i="11"/>
  <c r="BF708" i="11"/>
  <c r="BE708" i="11"/>
  <c r="BD708" i="11"/>
  <c r="BB708" i="11"/>
  <c r="BC708" i="11" s="1"/>
  <c r="BA708" i="11"/>
  <c r="AY708" i="11"/>
  <c r="AX708" i="11"/>
  <c r="AZ708" i="11" s="1"/>
  <c r="AW708" i="11"/>
  <c r="AV708" i="11"/>
  <c r="AU708" i="11"/>
  <c r="AT708" i="11"/>
  <c r="BR707" i="11"/>
  <c r="BQ707" i="11"/>
  <c r="BP707" i="11"/>
  <c r="BN707" i="11"/>
  <c r="BM707" i="11"/>
  <c r="BL707" i="11"/>
  <c r="BK707" i="11"/>
  <c r="BJ707" i="11"/>
  <c r="BI707" i="11"/>
  <c r="BH707" i="11"/>
  <c r="BG707" i="11"/>
  <c r="BF707" i="11"/>
  <c r="BE707" i="11"/>
  <c r="BD707" i="11"/>
  <c r="BB707" i="11"/>
  <c r="BC707" i="11" s="1"/>
  <c r="BA707" i="11"/>
  <c r="AY707" i="11"/>
  <c r="AX707" i="11"/>
  <c r="AZ707" i="11" s="1"/>
  <c r="AW707" i="11"/>
  <c r="AV707" i="11"/>
  <c r="AU707" i="11"/>
  <c r="AT707" i="11"/>
  <c r="BR706" i="11"/>
  <c r="BQ706" i="11"/>
  <c r="BP706" i="11"/>
  <c r="BN706" i="11"/>
  <c r="BM706" i="11"/>
  <c r="BL706" i="11"/>
  <c r="BK706" i="11"/>
  <c r="BJ706" i="11"/>
  <c r="BI706" i="11"/>
  <c r="BH706" i="11"/>
  <c r="BG706" i="11"/>
  <c r="BF706" i="11"/>
  <c r="BE706" i="11"/>
  <c r="BD706" i="11"/>
  <c r="BB706" i="11"/>
  <c r="BC706" i="11" s="1"/>
  <c r="BA706" i="11"/>
  <c r="AY706" i="11"/>
  <c r="AX706" i="11"/>
  <c r="AZ706" i="11" s="1"/>
  <c r="AW706" i="11"/>
  <c r="AV706" i="11"/>
  <c r="AU706" i="11"/>
  <c r="AT706" i="11"/>
  <c r="BR705" i="11"/>
  <c r="BQ705" i="11"/>
  <c r="BP705" i="11"/>
  <c r="BN705" i="11"/>
  <c r="BM705" i="11"/>
  <c r="BL705" i="11"/>
  <c r="BK705" i="11"/>
  <c r="BJ705" i="11"/>
  <c r="BI705" i="11"/>
  <c r="BH705" i="11"/>
  <c r="BG705" i="11"/>
  <c r="BF705" i="11"/>
  <c r="BE705" i="11"/>
  <c r="BD705" i="11"/>
  <c r="BB705" i="11"/>
  <c r="BC705" i="11" s="1"/>
  <c r="BA705" i="11"/>
  <c r="AY705" i="11"/>
  <c r="AX705" i="11"/>
  <c r="AZ705" i="11" s="1"/>
  <c r="AW705" i="11"/>
  <c r="AV705" i="11"/>
  <c r="AU705" i="11"/>
  <c r="AT705" i="11"/>
  <c r="BR704" i="11"/>
  <c r="BQ704" i="11"/>
  <c r="BP704" i="11"/>
  <c r="BN704" i="11"/>
  <c r="BM704" i="11"/>
  <c r="BL704" i="11"/>
  <c r="BK704" i="11"/>
  <c r="BJ704" i="11"/>
  <c r="BI704" i="11"/>
  <c r="BH704" i="11"/>
  <c r="BG704" i="11"/>
  <c r="BF704" i="11"/>
  <c r="BE704" i="11"/>
  <c r="BD704" i="11"/>
  <c r="BB704" i="11"/>
  <c r="BC704" i="11" s="1"/>
  <c r="BA704" i="11"/>
  <c r="AY704" i="11"/>
  <c r="AX704" i="11"/>
  <c r="AZ704" i="11" s="1"/>
  <c r="AW704" i="11"/>
  <c r="AV704" i="11"/>
  <c r="AU704" i="11"/>
  <c r="AT704" i="11"/>
  <c r="BR703" i="11"/>
  <c r="BQ703" i="11"/>
  <c r="BP703" i="11"/>
  <c r="BN703" i="11"/>
  <c r="BM703" i="11"/>
  <c r="BL703" i="11"/>
  <c r="BK703" i="11"/>
  <c r="BJ703" i="11"/>
  <c r="BI703" i="11"/>
  <c r="BH703" i="11"/>
  <c r="BG703" i="11"/>
  <c r="BF703" i="11"/>
  <c r="BE703" i="11"/>
  <c r="BD703" i="11"/>
  <c r="BB703" i="11"/>
  <c r="BC703" i="11" s="1"/>
  <c r="BA703" i="11"/>
  <c r="AY703" i="11"/>
  <c r="AX703" i="11"/>
  <c r="AZ703" i="11" s="1"/>
  <c r="AW703" i="11"/>
  <c r="AV703" i="11"/>
  <c r="AU703" i="11"/>
  <c r="AT703" i="11"/>
  <c r="BR702" i="11"/>
  <c r="BQ702" i="11"/>
  <c r="BP702" i="11"/>
  <c r="BN702" i="11"/>
  <c r="BM702" i="11"/>
  <c r="BL702" i="11"/>
  <c r="BK702" i="11"/>
  <c r="BJ702" i="11"/>
  <c r="BI702" i="11"/>
  <c r="BH702" i="11"/>
  <c r="BG702" i="11"/>
  <c r="BF702" i="11"/>
  <c r="BE702" i="11"/>
  <c r="BD702" i="11"/>
  <c r="BB702" i="11"/>
  <c r="BC702" i="11" s="1"/>
  <c r="BA702" i="11"/>
  <c r="AY702" i="11"/>
  <c r="AX702" i="11"/>
  <c r="AZ702" i="11" s="1"/>
  <c r="AW702" i="11"/>
  <c r="AV702" i="11"/>
  <c r="AU702" i="11"/>
  <c r="AT702" i="11"/>
  <c r="BR701" i="11"/>
  <c r="BQ701" i="11"/>
  <c r="BP701" i="11"/>
  <c r="BN701" i="11"/>
  <c r="BM701" i="11"/>
  <c r="BL701" i="11"/>
  <c r="BK701" i="11"/>
  <c r="BJ701" i="11"/>
  <c r="BI701" i="11"/>
  <c r="BH701" i="11"/>
  <c r="BG701" i="11"/>
  <c r="BF701" i="11"/>
  <c r="BE701" i="11"/>
  <c r="BD701" i="11"/>
  <c r="BB701" i="11"/>
  <c r="BC701" i="11" s="1"/>
  <c r="BA701" i="11"/>
  <c r="AY701" i="11"/>
  <c r="AX701" i="11"/>
  <c r="AZ701" i="11" s="1"/>
  <c r="AW701" i="11"/>
  <c r="AV701" i="11"/>
  <c r="AU701" i="11"/>
  <c r="AT701" i="11"/>
  <c r="BR700" i="11"/>
  <c r="BQ700" i="11"/>
  <c r="BP700" i="11"/>
  <c r="BN700" i="11"/>
  <c r="BM700" i="11"/>
  <c r="BL700" i="11"/>
  <c r="BK700" i="11"/>
  <c r="BJ700" i="11"/>
  <c r="BI700" i="11"/>
  <c r="BH700" i="11"/>
  <c r="BG700" i="11"/>
  <c r="BF700" i="11"/>
  <c r="BE700" i="11"/>
  <c r="BD700" i="11"/>
  <c r="BB700" i="11"/>
  <c r="BC700" i="11" s="1"/>
  <c r="BA700" i="11"/>
  <c r="AY700" i="11"/>
  <c r="AX700" i="11"/>
  <c r="AZ700" i="11" s="1"/>
  <c r="AW700" i="11"/>
  <c r="AV700" i="11"/>
  <c r="AU700" i="11"/>
  <c r="AT700" i="11"/>
  <c r="BR699" i="11"/>
  <c r="BQ699" i="11"/>
  <c r="BP699" i="11"/>
  <c r="BN699" i="11"/>
  <c r="BM699" i="11"/>
  <c r="BL699" i="11"/>
  <c r="BK699" i="11"/>
  <c r="BJ699" i="11"/>
  <c r="BI699" i="11"/>
  <c r="BH699" i="11"/>
  <c r="BG699" i="11"/>
  <c r="BF699" i="11"/>
  <c r="BE699" i="11"/>
  <c r="BD699" i="11"/>
  <c r="BB699" i="11"/>
  <c r="BC699" i="11" s="1"/>
  <c r="BA699" i="11"/>
  <c r="AY699" i="11"/>
  <c r="AX699" i="11"/>
  <c r="AZ699" i="11" s="1"/>
  <c r="AW699" i="11"/>
  <c r="AV699" i="11"/>
  <c r="AU699" i="11"/>
  <c r="AT699" i="11"/>
  <c r="BR698" i="11"/>
  <c r="BQ698" i="11"/>
  <c r="BP698" i="11"/>
  <c r="BN698" i="11"/>
  <c r="BM698" i="11"/>
  <c r="BL698" i="11"/>
  <c r="BK698" i="11"/>
  <c r="BJ698" i="11"/>
  <c r="BI698" i="11"/>
  <c r="BH698" i="11"/>
  <c r="BG698" i="11"/>
  <c r="BF698" i="11"/>
  <c r="BE698" i="11"/>
  <c r="BD698" i="11"/>
  <c r="BB698" i="11"/>
  <c r="BC698" i="11" s="1"/>
  <c r="BA698" i="11"/>
  <c r="AY698" i="11"/>
  <c r="AX698" i="11"/>
  <c r="AZ698" i="11" s="1"/>
  <c r="AW698" i="11"/>
  <c r="AV698" i="11"/>
  <c r="AU698" i="11"/>
  <c r="AT698" i="11"/>
  <c r="BR697" i="11"/>
  <c r="BQ697" i="11"/>
  <c r="BP697" i="11"/>
  <c r="BN697" i="11"/>
  <c r="BM697" i="11"/>
  <c r="BL697" i="11"/>
  <c r="BK697" i="11"/>
  <c r="BJ697" i="11"/>
  <c r="BI697" i="11"/>
  <c r="BH697" i="11"/>
  <c r="BG697" i="11"/>
  <c r="BF697" i="11"/>
  <c r="BE697" i="11"/>
  <c r="BD697" i="11"/>
  <c r="BB697" i="11"/>
  <c r="BC697" i="11" s="1"/>
  <c r="BA697" i="11"/>
  <c r="AY697" i="11"/>
  <c r="AX697" i="11"/>
  <c r="AZ697" i="11" s="1"/>
  <c r="AW697" i="11"/>
  <c r="AV697" i="11"/>
  <c r="AU697" i="11"/>
  <c r="AT697" i="11"/>
  <c r="BR696" i="11"/>
  <c r="BQ696" i="11"/>
  <c r="BP696" i="11"/>
  <c r="BN696" i="11"/>
  <c r="BM696" i="11"/>
  <c r="BL696" i="11"/>
  <c r="BK696" i="11"/>
  <c r="BJ696" i="11"/>
  <c r="BI696" i="11"/>
  <c r="BH696" i="11"/>
  <c r="BG696" i="11"/>
  <c r="BF696" i="11"/>
  <c r="BE696" i="11"/>
  <c r="BD696" i="11"/>
  <c r="BB696" i="11"/>
  <c r="BC696" i="11" s="1"/>
  <c r="BA696" i="11"/>
  <c r="AY696" i="11"/>
  <c r="AX696" i="11"/>
  <c r="AZ696" i="11" s="1"/>
  <c r="AW696" i="11"/>
  <c r="AV696" i="11"/>
  <c r="AU696" i="11"/>
  <c r="AT696" i="11"/>
  <c r="BR695" i="11"/>
  <c r="BQ695" i="11"/>
  <c r="BP695" i="11"/>
  <c r="BN695" i="11"/>
  <c r="BM695" i="11"/>
  <c r="BL695" i="11"/>
  <c r="BK695" i="11"/>
  <c r="BJ695" i="11"/>
  <c r="BI695" i="11"/>
  <c r="BH695" i="11"/>
  <c r="BG695" i="11"/>
  <c r="BF695" i="11"/>
  <c r="BE695" i="11"/>
  <c r="BD695" i="11"/>
  <c r="BB695" i="11"/>
  <c r="BC695" i="11" s="1"/>
  <c r="BA695" i="11"/>
  <c r="AY695" i="11"/>
  <c r="AX695" i="11"/>
  <c r="AZ695" i="11" s="1"/>
  <c r="AW695" i="11"/>
  <c r="AV695" i="11"/>
  <c r="AU695" i="11"/>
  <c r="AT695" i="11"/>
  <c r="BR694" i="11"/>
  <c r="BQ694" i="11"/>
  <c r="BP694" i="11"/>
  <c r="BN694" i="11"/>
  <c r="BM694" i="11"/>
  <c r="BL694" i="11"/>
  <c r="BK694" i="11"/>
  <c r="BJ694" i="11"/>
  <c r="BI694" i="11"/>
  <c r="BH694" i="11"/>
  <c r="BG694" i="11"/>
  <c r="BF694" i="11"/>
  <c r="BE694" i="11"/>
  <c r="BD694" i="11"/>
  <c r="BB694" i="11"/>
  <c r="BC694" i="11" s="1"/>
  <c r="BA694" i="11"/>
  <c r="AY694" i="11"/>
  <c r="AX694" i="11"/>
  <c r="AZ694" i="11" s="1"/>
  <c r="AW694" i="11"/>
  <c r="AV694" i="11"/>
  <c r="AU694" i="11"/>
  <c r="AT694" i="11"/>
  <c r="BR693" i="11"/>
  <c r="BQ693" i="11"/>
  <c r="BP693" i="11"/>
  <c r="BN693" i="11"/>
  <c r="BM693" i="11"/>
  <c r="BL693" i="11"/>
  <c r="BK693" i="11"/>
  <c r="BJ693" i="11"/>
  <c r="BI693" i="11"/>
  <c r="BH693" i="11"/>
  <c r="BG693" i="11"/>
  <c r="BF693" i="11"/>
  <c r="BE693" i="11"/>
  <c r="BD693" i="11"/>
  <c r="BB693" i="11"/>
  <c r="BC693" i="11" s="1"/>
  <c r="BA693" i="11"/>
  <c r="AY693" i="11"/>
  <c r="AX693" i="11"/>
  <c r="AZ693" i="11" s="1"/>
  <c r="AW693" i="11"/>
  <c r="AV693" i="11"/>
  <c r="AU693" i="11"/>
  <c r="AT693" i="11"/>
  <c r="BR692" i="11"/>
  <c r="BQ692" i="11"/>
  <c r="BP692" i="11"/>
  <c r="BN692" i="11"/>
  <c r="BM692" i="11"/>
  <c r="BL692" i="11"/>
  <c r="BK692" i="11"/>
  <c r="BJ692" i="11"/>
  <c r="BI692" i="11"/>
  <c r="BH692" i="11"/>
  <c r="BG692" i="11"/>
  <c r="BF692" i="11"/>
  <c r="BE692" i="11"/>
  <c r="BD692" i="11"/>
  <c r="BB692" i="11"/>
  <c r="BC692" i="11" s="1"/>
  <c r="BA692" i="11"/>
  <c r="AY692" i="11"/>
  <c r="AX692" i="11"/>
  <c r="AZ692" i="11" s="1"/>
  <c r="AW692" i="11"/>
  <c r="AV692" i="11"/>
  <c r="AU692" i="11"/>
  <c r="AT692" i="11"/>
  <c r="BR691" i="11"/>
  <c r="BQ691" i="11"/>
  <c r="BP691" i="11"/>
  <c r="BN691" i="11"/>
  <c r="BM691" i="11"/>
  <c r="BL691" i="11"/>
  <c r="BK691" i="11"/>
  <c r="BJ691" i="11"/>
  <c r="BI691" i="11"/>
  <c r="BH691" i="11"/>
  <c r="BG691" i="11"/>
  <c r="BF691" i="11"/>
  <c r="BE691" i="11"/>
  <c r="BD691" i="11"/>
  <c r="BB691" i="11"/>
  <c r="BC691" i="11" s="1"/>
  <c r="BA691" i="11"/>
  <c r="AY691" i="11"/>
  <c r="AX691" i="11"/>
  <c r="AZ691" i="11" s="1"/>
  <c r="AW691" i="11"/>
  <c r="AV691" i="11"/>
  <c r="AU691" i="11"/>
  <c r="AT691" i="11"/>
  <c r="BR690" i="11"/>
  <c r="BQ690" i="11"/>
  <c r="BP690" i="11"/>
  <c r="BN690" i="11"/>
  <c r="BM690" i="11"/>
  <c r="BL690" i="11"/>
  <c r="BK690" i="11"/>
  <c r="BJ690" i="11"/>
  <c r="BI690" i="11"/>
  <c r="BH690" i="11"/>
  <c r="BG690" i="11"/>
  <c r="BF690" i="11"/>
  <c r="BE690" i="11"/>
  <c r="BD690" i="11"/>
  <c r="BB690" i="11"/>
  <c r="BC690" i="11" s="1"/>
  <c r="BA690" i="11"/>
  <c r="AY690" i="11"/>
  <c r="AX690" i="11"/>
  <c r="AZ690" i="11" s="1"/>
  <c r="AW690" i="11"/>
  <c r="AV690" i="11"/>
  <c r="AU690" i="11"/>
  <c r="AT690" i="11"/>
  <c r="BR689" i="11"/>
  <c r="BQ689" i="11"/>
  <c r="BP689" i="11"/>
  <c r="BN689" i="11"/>
  <c r="BM689" i="11"/>
  <c r="BL689" i="11"/>
  <c r="BK689" i="11"/>
  <c r="BJ689" i="11"/>
  <c r="BI689" i="11"/>
  <c r="BH689" i="11"/>
  <c r="BG689" i="11"/>
  <c r="BF689" i="11"/>
  <c r="BE689" i="11"/>
  <c r="BD689" i="11"/>
  <c r="BB689" i="11"/>
  <c r="BC689" i="11" s="1"/>
  <c r="BA689" i="11"/>
  <c r="AY689" i="11"/>
  <c r="AX689" i="11"/>
  <c r="AZ689" i="11" s="1"/>
  <c r="AW689" i="11"/>
  <c r="AV689" i="11"/>
  <c r="AU689" i="11"/>
  <c r="AT689" i="11"/>
  <c r="BR688" i="11"/>
  <c r="BQ688" i="11"/>
  <c r="BP688" i="11"/>
  <c r="BN688" i="11"/>
  <c r="BM688" i="11"/>
  <c r="BL688" i="11"/>
  <c r="BK688" i="11"/>
  <c r="BJ688" i="11"/>
  <c r="BI688" i="11"/>
  <c r="BH688" i="11"/>
  <c r="BG688" i="11"/>
  <c r="BF688" i="11"/>
  <c r="BE688" i="11"/>
  <c r="BD688" i="11"/>
  <c r="BB688" i="11"/>
  <c r="BC688" i="11" s="1"/>
  <c r="BA688" i="11"/>
  <c r="AY688" i="11"/>
  <c r="AX688" i="11"/>
  <c r="AZ688" i="11" s="1"/>
  <c r="AW688" i="11"/>
  <c r="AV688" i="11"/>
  <c r="AU688" i="11"/>
  <c r="AT688" i="11"/>
  <c r="BR687" i="11"/>
  <c r="BQ687" i="11"/>
  <c r="BP687" i="11"/>
  <c r="BN687" i="11"/>
  <c r="BM687" i="11"/>
  <c r="BL687" i="11"/>
  <c r="BK687" i="11"/>
  <c r="BJ687" i="11"/>
  <c r="BI687" i="11"/>
  <c r="BH687" i="11"/>
  <c r="BG687" i="11"/>
  <c r="BF687" i="11"/>
  <c r="BE687" i="11"/>
  <c r="BD687" i="11"/>
  <c r="BB687" i="11"/>
  <c r="BC687" i="11" s="1"/>
  <c r="BA687" i="11"/>
  <c r="AY687" i="11"/>
  <c r="AX687" i="11"/>
  <c r="AZ687" i="11" s="1"/>
  <c r="AW687" i="11"/>
  <c r="AV687" i="11"/>
  <c r="AU687" i="11"/>
  <c r="AT687" i="11"/>
  <c r="BR686" i="11"/>
  <c r="BQ686" i="11"/>
  <c r="BP686" i="11"/>
  <c r="BN686" i="11"/>
  <c r="BM686" i="11"/>
  <c r="BL686" i="11"/>
  <c r="BK686" i="11"/>
  <c r="BJ686" i="11"/>
  <c r="BI686" i="11"/>
  <c r="BH686" i="11"/>
  <c r="BG686" i="11"/>
  <c r="BF686" i="11"/>
  <c r="BE686" i="11"/>
  <c r="BD686" i="11"/>
  <c r="BB686" i="11"/>
  <c r="BC686" i="11" s="1"/>
  <c r="BA686" i="11"/>
  <c r="AY686" i="11"/>
  <c r="AX686" i="11"/>
  <c r="AZ686" i="11" s="1"/>
  <c r="AW686" i="11"/>
  <c r="AV686" i="11"/>
  <c r="AU686" i="11"/>
  <c r="AT686" i="11"/>
  <c r="BR685" i="11"/>
  <c r="BQ685" i="11"/>
  <c r="BP685" i="11"/>
  <c r="BN685" i="11"/>
  <c r="BM685" i="11"/>
  <c r="BL685" i="11"/>
  <c r="BK685" i="11"/>
  <c r="BJ685" i="11"/>
  <c r="BI685" i="11"/>
  <c r="BH685" i="11"/>
  <c r="BG685" i="11"/>
  <c r="BF685" i="11"/>
  <c r="BE685" i="11"/>
  <c r="BD685" i="11"/>
  <c r="BB685" i="11"/>
  <c r="BC685" i="11" s="1"/>
  <c r="BA685" i="11"/>
  <c r="AY685" i="11"/>
  <c r="AX685" i="11"/>
  <c r="AZ685" i="11" s="1"/>
  <c r="AW685" i="11"/>
  <c r="AV685" i="11"/>
  <c r="AU685" i="11"/>
  <c r="AT685" i="11"/>
  <c r="BR684" i="11"/>
  <c r="BQ684" i="11"/>
  <c r="BP684" i="11"/>
  <c r="BN684" i="11"/>
  <c r="BM684" i="11"/>
  <c r="BL684" i="11"/>
  <c r="BK684" i="11"/>
  <c r="BJ684" i="11"/>
  <c r="BI684" i="11"/>
  <c r="BH684" i="11"/>
  <c r="BG684" i="11"/>
  <c r="BF684" i="11"/>
  <c r="BE684" i="11"/>
  <c r="BD684" i="11"/>
  <c r="BB684" i="11"/>
  <c r="BC684" i="11" s="1"/>
  <c r="BA684" i="11"/>
  <c r="AY684" i="11"/>
  <c r="AX684" i="11"/>
  <c r="AZ684" i="11" s="1"/>
  <c r="AW684" i="11"/>
  <c r="AV684" i="11"/>
  <c r="AU684" i="11"/>
  <c r="AT684" i="11"/>
  <c r="BR683" i="11"/>
  <c r="BQ683" i="11"/>
  <c r="BP683" i="11"/>
  <c r="BN683" i="11"/>
  <c r="BM683" i="11"/>
  <c r="BL683" i="11"/>
  <c r="BK683" i="11"/>
  <c r="BJ683" i="11"/>
  <c r="BI683" i="11"/>
  <c r="BH683" i="11"/>
  <c r="BG683" i="11"/>
  <c r="BF683" i="11"/>
  <c r="BE683" i="11"/>
  <c r="BD683" i="11"/>
  <c r="BB683" i="11"/>
  <c r="BC683" i="11" s="1"/>
  <c r="BA683" i="11"/>
  <c r="AY683" i="11"/>
  <c r="AX683" i="11"/>
  <c r="AZ683" i="11" s="1"/>
  <c r="AW683" i="11"/>
  <c r="AV683" i="11"/>
  <c r="AU683" i="11"/>
  <c r="AT683" i="11"/>
  <c r="BR682" i="11"/>
  <c r="BQ682" i="11"/>
  <c r="BP682" i="11"/>
  <c r="BN682" i="11"/>
  <c r="BM682" i="11"/>
  <c r="BL682" i="11"/>
  <c r="BK682" i="11"/>
  <c r="BJ682" i="11"/>
  <c r="BI682" i="11"/>
  <c r="BH682" i="11"/>
  <c r="BG682" i="11"/>
  <c r="BE682" i="11"/>
  <c r="BF682" i="11" s="1"/>
  <c r="BD682" i="11"/>
  <c r="BB682" i="11"/>
  <c r="BC682" i="11" s="1"/>
  <c r="BA682" i="11"/>
  <c r="AY682" i="11"/>
  <c r="AX682" i="11"/>
  <c r="AZ682" i="11" s="1"/>
  <c r="AW682" i="11"/>
  <c r="AV682" i="11"/>
  <c r="AU682" i="11"/>
  <c r="AT682" i="11"/>
  <c r="BR681" i="11"/>
  <c r="BQ681" i="11"/>
  <c r="BP681" i="11"/>
  <c r="BN681" i="11"/>
  <c r="BM681" i="11"/>
  <c r="BL681" i="11"/>
  <c r="BK681" i="11"/>
  <c r="BJ681" i="11"/>
  <c r="BI681" i="11"/>
  <c r="BH681" i="11"/>
  <c r="BG681" i="11"/>
  <c r="BF681" i="11"/>
  <c r="BE681" i="11"/>
  <c r="BD681" i="11"/>
  <c r="BB681" i="11"/>
  <c r="BC681" i="11" s="1"/>
  <c r="BA681" i="11"/>
  <c r="AY681" i="11"/>
  <c r="AX681" i="11"/>
  <c r="AZ681" i="11" s="1"/>
  <c r="AW681" i="11"/>
  <c r="AV681" i="11"/>
  <c r="AU681" i="11"/>
  <c r="AT681" i="11"/>
  <c r="BR680" i="11"/>
  <c r="BQ680" i="11"/>
  <c r="BP680" i="11"/>
  <c r="BN680" i="11"/>
  <c r="BM680" i="11"/>
  <c r="BL680" i="11"/>
  <c r="BK680" i="11"/>
  <c r="BJ680" i="11"/>
  <c r="BI680" i="11"/>
  <c r="BH680" i="11"/>
  <c r="BG680" i="11"/>
  <c r="BE680" i="11"/>
  <c r="BF680" i="11" s="1"/>
  <c r="BD680" i="11"/>
  <c r="BB680" i="11"/>
  <c r="BC680" i="11" s="1"/>
  <c r="BA680" i="11"/>
  <c r="AY680" i="11"/>
  <c r="AX680" i="11"/>
  <c r="AZ680" i="11" s="1"/>
  <c r="AW680" i="11"/>
  <c r="AV680" i="11"/>
  <c r="AU680" i="11"/>
  <c r="AT680" i="11"/>
  <c r="BR679" i="11"/>
  <c r="BQ679" i="11"/>
  <c r="BP679" i="11"/>
  <c r="BN679" i="11"/>
  <c r="BM679" i="11"/>
  <c r="BL679" i="11"/>
  <c r="BK679" i="11"/>
  <c r="BJ679" i="11"/>
  <c r="BI679" i="11"/>
  <c r="BH679" i="11"/>
  <c r="BG679" i="11"/>
  <c r="BF679" i="11"/>
  <c r="BE679" i="11"/>
  <c r="BD679" i="11"/>
  <c r="BB679" i="11"/>
  <c r="BC679" i="11" s="1"/>
  <c r="BA679" i="11"/>
  <c r="AY679" i="11"/>
  <c r="AX679" i="11"/>
  <c r="AZ679" i="11" s="1"/>
  <c r="AW679" i="11"/>
  <c r="AV679" i="11"/>
  <c r="AU679" i="11"/>
  <c r="AT679" i="11"/>
  <c r="BR678" i="11"/>
  <c r="BQ678" i="11"/>
  <c r="BP678" i="11"/>
  <c r="BN678" i="11"/>
  <c r="BM678" i="11"/>
  <c r="BL678" i="11"/>
  <c r="BK678" i="11"/>
  <c r="BJ678" i="11"/>
  <c r="BI678" i="11"/>
  <c r="BH678" i="11"/>
  <c r="BG678" i="11"/>
  <c r="BF678" i="11"/>
  <c r="BE678" i="11"/>
  <c r="BD678" i="11"/>
  <c r="BB678" i="11"/>
  <c r="BC678" i="11" s="1"/>
  <c r="BA678" i="11"/>
  <c r="AY678" i="11"/>
  <c r="AX678" i="11"/>
  <c r="AZ678" i="11" s="1"/>
  <c r="AW678" i="11"/>
  <c r="AV678" i="11"/>
  <c r="AU678" i="11"/>
  <c r="AT678" i="11"/>
  <c r="BR677" i="11"/>
  <c r="BQ677" i="11"/>
  <c r="BP677" i="11"/>
  <c r="BN677" i="11"/>
  <c r="BM677" i="11"/>
  <c r="BL677" i="11"/>
  <c r="BK677" i="11"/>
  <c r="BJ677" i="11"/>
  <c r="BI677" i="11"/>
  <c r="BH677" i="11"/>
  <c r="BG677" i="11"/>
  <c r="BF677" i="11"/>
  <c r="BE677" i="11"/>
  <c r="BD677" i="11"/>
  <c r="BB677" i="11"/>
  <c r="BC677" i="11" s="1"/>
  <c r="BA677" i="11"/>
  <c r="AY677" i="11"/>
  <c r="AX677" i="11"/>
  <c r="AZ677" i="11" s="1"/>
  <c r="AW677" i="11"/>
  <c r="AV677" i="11"/>
  <c r="AU677" i="11"/>
  <c r="AT677" i="11"/>
  <c r="BR676" i="11"/>
  <c r="BQ676" i="11"/>
  <c r="BP676" i="11"/>
  <c r="BN676" i="11"/>
  <c r="BM676" i="11"/>
  <c r="BL676" i="11"/>
  <c r="BK676" i="11"/>
  <c r="BJ676" i="11"/>
  <c r="BI676" i="11"/>
  <c r="BH676" i="11"/>
  <c r="BG676" i="11"/>
  <c r="BE676" i="11"/>
  <c r="BF676" i="11" s="1"/>
  <c r="BD676" i="11"/>
  <c r="BB676" i="11"/>
  <c r="BC676" i="11" s="1"/>
  <c r="BA676" i="11"/>
  <c r="AY676" i="11"/>
  <c r="AX676" i="11"/>
  <c r="AZ676" i="11" s="1"/>
  <c r="AW676" i="11"/>
  <c r="AV676" i="11"/>
  <c r="AU676" i="11"/>
  <c r="AT676" i="11"/>
  <c r="BR675" i="11"/>
  <c r="BQ675" i="11"/>
  <c r="BP675" i="11"/>
  <c r="BN675" i="11"/>
  <c r="BM675" i="11"/>
  <c r="BL675" i="11"/>
  <c r="BK675" i="11"/>
  <c r="BJ675" i="11"/>
  <c r="BI675" i="11"/>
  <c r="BH675" i="11"/>
  <c r="BG675" i="11"/>
  <c r="BE675" i="11"/>
  <c r="BF675" i="11" s="1"/>
  <c r="BD675" i="11"/>
  <c r="BC675" i="11"/>
  <c r="BB675" i="11"/>
  <c r="BA675" i="11"/>
  <c r="AY675" i="11"/>
  <c r="AX675" i="11"/>
  <c r="AZ675" i="11" s="1"/>
  <c r="AW675" i="11"/>
  <c r="AV675" i="11"/>
  <c r="AU675" i="11"/>
  <c r="AT675" i="11"/>
  <c r="BR674" i="11"/>
  <c r="BQ674" i="11"/>
  <c r="BP674" i="11"/>
  <c r="BN674" i="11"/>
  <c r="BM674" i="11"/>
  <c r="BL674" i="11"/>
  <c r="BK674" i="11"/>
  <c r="BJ674" i="11"/>
  <c r="BI674" i="11"/>
  <c r="BH674" i="11"/>
  <c r="BG674" i="11"/>
  <c r="BF674" i="11"/>
  <c r="BE674" i="11"/>
  <c r="BD674" i="11"/>
  <c r="BB674" i="11"/>
  <c r="BC674" i="11" s="1"/>
  <c r="BA674" i="11"/>
  <c r="AY674" i="11"/>
  <c r="AX674" i="11"/>
  <c r="AZ674" i="11" s="1"/>
  <c r="AW674" i="11"/>
  <c r="AV674" i="11"/>
  <c r="AU674" i="11"/>
  <c r="AT674" i="11"/>
  <c r="BR673" i="11"/>
  <c r="BQ673" i="11"/>
  <c r="BP673" i="11"/>
  <c r="BN673" i="11"/>
  <c r="BM673" i="11"/>
  <c r="BL673" i="11"/>
  <c r="BK673" i="11"/>
  <c r="BJ673" i="11"/>
  <c r="BI673" i="11"/>
  <c r="BH673" i="11"/>
  <c r="BG673" i="11"/>
  <c r="BE673" i="11"/>
  <c r="BF673" i="11" s="1"/>
  <c r="BD673" i="11"/>
  <c r="BB673" i="11"/>
  <c r="BC673" i="11" s="1"/>
  <c r="BA673" i="11"/>
  <c r="AY673" i="11"/>
  <c r="AX673" i="11"/>
  <c r="AZ673" i="11" s="1"/>
  <c r="AW673" i="11"/>
  <c r="AV673" i="11"/>
  <c r="AU673" i="11"/>
  <c r="AT673" i="11"/>
  <c r="BR672" i="11"/>
  <c r="BQ672" i="11"/>
  <c r="BP672" i="11"/>
  <c r="BN672" i="11"/>
  <c r="BM672" i="11"/>
  <c r="BL672" i="11"/>
  <c r="BK672" i="11"/>
  <c r="BJ672" i="11"/>
  <c r="BI672" i="11"/>
  <c r="BH672" i="11"/>
  <c r="BG672" i="11"/>
  <c r="BE672" i="11"/>
  <c r="BF672" i="11" s="1"/>
  <c r="BD672" i="11"/>
  <c r="BB672" i="11"/>
  <c r="BC672" i="11" s="1"/>
  <c r="BA672" i="11"/>
  <c r="AY672" i="11"/>
  <c r="AX672" i="11"/>
  <c r="AZ672" i="11" s="1"/>
  <c r="AW672" i="11"/>
  <c r="AV672" i="11"/>
  <c r="AU672" i="11"/>
  <c r="AT672" i="11"/>
  <c r="BR671" i="11"/>
  <c r="BQ671" i="11"/>
  <c r="BP671" i="11"/>
  <c r="BN671" i="11"/>
  <c r="BM671" i="11"/>
  <c r="BL671" i="11"/>
  <c r="BK671" i="11"/>
  <c r="BJ671" i="11"/>
  <c r="BI671" i="11"/>
  <c r="BH671" i="11"/>
  <c r="BG671" i="11"/>
  <c r="BE671" i="11"/>
  <c r="BF671" i="11" s="1"/>
  <c r="BD671" i="11"/>
  <c r="BC671" i="11"/>
  <c r="BB671" i="11"/>
  <c r="BA671" i="11"/>
  <c r="AY671" i="11"/>
  <c r="AX671" i="11"/>
  <c r="AZ671" i="11" s="1"/>
  <c r="AW671" i="11"/>
  <c r="AV671" i="11"/>
  <c r="AU671" i="11"/>
  <c r="AT671" i="11"/>
  <c r="BR670" i="11"/>
  <c r="BQ670" i="11"/>
  <c r="BP670" i="11"/>
  <c r="BN670" i="11"/>
  <c r="BM670" i="11"/>
  <c r="BL670" i="11"/>
  <c r="BK670" i="11"/>
  <c r="BJ670" i="11"/>
  <c r="BI670" i="11"/>
  <c r="BH670" i="11"/>
  <c r="BG670" i="11"/>
  <c r="BF670" i="11"/>
  <c r="BE670" i="11"/>
  <c r="BD670" i="11"/>
  <c r="BB670" i="11"/>
  <c r="BC670" i="11" s="1"/>
  <c r="BA670" i="11"/>
  <c r="AY670" i="11"/>
  <c r="AX670" i="11"/>
  <c r="AZ670" i="11" s="1"/>
  <c r="AW670" i="11"/>
  <c r="AV670" i="11"/>
  <c r="AU670" i="11"/>
  <c r="AT670" i="11"/>
  <c r="BR669" i="11"/>
  <c r="BQ669" i="11"/>
  <c r="BP669" i="11"/>
  <c r="BN669" i="11"/>
  <c r="BM669" i="11"/>
  <c r="BL669" i="11"/>
  <c r="BK669" i="11"/>
  <c r="BJ669" i="11"/>
  <c r="BI669" i="11"/>
  <c r="BH669" i="11"/>
  <c r="BG669" i="11"/>
  <c r="BE669" i="11"/>
  <c r="BF669" i="11" s="1"/>
  <c r="BD669" i="11"/>
  <c r="BB669" i="11"/>
  <c r="BC669" i="11" s="1"/>
  <c r="BA669" i="11"/>
  <c r="AY669" i="11"/>
  <c r="AX669" i="11"/>
  <c r="AZ669" i="11" s="1"/>
  <c r="AW669" i="11"/>
  <c r="AV669" i="11"/>
  <c r="AU669" i="11"/>
  <c r="AT669" i="11"/>
  <c r="BR668" i="11"/>
  <c r="BQ668" i="11"/>
  <c r="BP668" i="11"/>
  <c r="BN668" i="11"/>
  <c r="BM668" i="11"/>
  <c r="BL668" i="11"/>
  <c r="BK668" i="11"/>
  <c r="BJ668" i="11"/>
  <c r="BI668" i="11"/>
  <c r="BH668" i="11"/>
  <c r="BG668" i="11"/>
  <c r="BF668" i="11"/>
  <c r="BE668" i="11"/>
  <c r="BD668" i="11"/>
  <c r="BB668" i="11"/>
  <c r="BC668" i="11" s="1"/>
  <c r="BA668" i="11"/>
  <c r="AY668" i="11"/>
  <c r="AX668" i="11"/>
  <c r="AZ668" i="11" s="1"/>
  <c r="AW668" i="11"/>
  <c r="AV668" i="11"/>
  <c r="AU668" i="11"/>
  <c r="AT668" i="11"/>
  <c r="BR667" i="11"/>
  <c r="BQ667" i="11"/>
  <c r="BP667" i="11"/>
  <c r="BN667" i="11"/>
  <c r="BM667" i="11"/>
  <c r="BL667" i="11"/>
  <c r="BK667" i="11"/>
  <c r="BJ667" i="11"/>
  <c r="BI667" i="11"/>
  <c r="BH667" i="11"/>
  <c r="BG667" i="11"/>
  <c r="BE667" i="11"/>
  <c r="BF667" i="11" s="1"/>
  <c r="BD667" i="11"/>
  <c r="BC667" i="11"/>
  <c r="BB667" i="11"/>
  <c r="BA667" i="11"/>
  <c r="AY667" i="11"/>
  <c r="AX667" i="11"/>
  <c r="AZ667" i="11" s="1"/>
  <c r="AW667" i="11"/>
  <c r="AV667" i="11"/>
  <c r="AU667" i="11"/>
  <c r="AT667" i="11"/>
  <c r="BR666" i="11"/>
  <c r="BQ666" i="11"/>
  <c r="BP666" i="11"/>
  <c r="BN666" i="11"/>
  <c r="BM666" i="11"/>
  <c r="BL666" i="11"/>
  <c r="BK666" i="11"/>
  <c r="BJ666" i="11"/>
  <c r="BI666" i="11"/>
  <c r="BH666" i="11"/>
  <c r="BG666" i="11"/>
  <c r="BF666" i="11"/>
  <c r="BE666" i="11"/>
  <c r="BD666" i="11"/>
  <c r="BB666" i="11"/>
  <c r="BC666" i="11" s="1"/>
  <c r="BA666" i="11"/>
  <c r="AY666" i="11"/>
  <c r="AX666" i="11"/>
  <c r="AZ666" i="11" s="1"/>
  <c r="AW666" i="11"/>
  <c r="AV666" i="11"/>
  <c r="AU666" i="11"/>
  <c r="AT666" i="11"/>
  <c r="BR665" i="11"/>
  <c r="BQ665" i="11"/>
  <c r="BP665" i="11"/>
  <c r="BN665" i="11"/>
  <c r="BM665" i="11"/>
  <c r="BL665" i="11"/>
  <c r="BK665" i="11"/>
  <c r="BJ665" i="11"/>
  <c r="BI665" i="11"/>
  <c r="BH665" i="11"/>
  <c r="BG665" i="11"/>
  <c r="BF665" i="11"/>
  <c r="BE665" i="11"/>
  <c r="BD665" i="11"/>
  <c r="BC665" i="11"/>
  <c r="BB665" i="11"/>
  <c r="BA665" i="11"/>
  <c r="AY665" i="11"/>
  <c r="AX665" i="11"/>
  <c r="AZ665" i="11" s="1"/>
  <c r="AW665" i="11"/>
  <c r="AV665" i="11"/>
  <c r="AU665" i="11"/>
  <c r="AT665" i="11"/>
  <c r="BR664" i="11"/>
  <c r="BQ664" i="11"/>
  <c r="BP664" i="11"/>
  <c r="BN664" i="11"/>
  <c r="BM664" i="11"/>
  <c r="BL664" i="11"/>
  <c r="BK664" i="11"/>
  <c r="BJ664" i="11"/>
  <c r="BI664" i="11"/>
  <c r="BH664" i="11"/>
  <c r="BG664" i="11"/>
  <c r="BE664" i="11"/>
  <c r="BF664" i="11" s="1"/>
  <c r="BD664" i="11"/>
  <c r="BB664" i="11"/>
  <c r="BC664" i="11" s="1"/>
  <c r="BA664" i="11"/>
  <c r="AY664" i="11"/>
  <c r="AX664" i="11"/>
  <c r="AZ664" i="11" s="1"/>
  <c r="AW664" i="11"/>
  <c r="AV664" i="11"/>
  <c r="AU664" i="11"/>
  <c r="AT664" i="11"/>
  <c r="BR663" i="11"/>
  <c r="BQ663" i="11"/>
  <c r="BP663" i="11"/>
  <c r="BN663" i="11"/>
  <c r="BM663" i="11"/>
  <c r="BL663" i="11"/>
  <c r="BK663" i="11"/>
  <c r="BJ663" i="11"/>
  <c r="BI663" i="11"/>
  <c r="BH663" i="11"/>
  <c r="BG663" i="11"/>
  <c r="BE663" i="11"/>
  <c r="BF663" i="11" s="1"/>
  <c r="BD663" i="11"/>
  <c r="BC663" i="11"/>
  <c r="BB663" i="11"/>
  <c r="BA663" i="11"/>
  <c r="AY663" i="11"/>
  <c r="AX663" i="11"/>
  <c r="AZ663" i="11" s="1"/>
  <c r="AW663" i="11"/>
  <c r="AV663" i="11"/>
  <c r="AU663" i="11"/>
  <c r="AT663" i="11"/>
  <c r="BR662" i="11"/>
  <c r="BQ662" i="11"/>
  <c r="BP662" i="11"/>
  <c r="BN662" i="11"/>
  <c r="BM662" i="11"/>
  <c r="BL662" i="11"/>
  <c r="BK662" i="11"/>
  <c r="BJ662" i="11"/>
  <c r="BI662" i="11"/>
  <c r="BH662" i="11"/>
  <c r="BG662" i="11"/>
  <c r="BF662" i="11"/>
  <c r="BE662" i="11"/>
  <c r="BD662" i="11"/>
  <c r="BB662" i="11"/>
  <c r="BC662" i="11" s="1"/>
  <c r="BA662" i="11"/>
  <c r="AY662" i="11"/>
  <c r="AX662" i="11"/>
  <c r="AZ662" i="11" s="1"/>
  <c r="AW662" i="11"/>
  <c r="AV662" i="11"/>
  <c r="AU662" i="11"/>
  <c r="AT662" i="11"/>
  <c r="BR661" i="11"/>
  <c r="BQ661" i="11"/>
  <c r="BP661" i="11"/>
  <c r="BN661" i="11"/>
  <c r="BM661" i="11"/>
  <c r="BL661" i="11"/>
  <c r="BK661" i="11"/>
  <c r="BJ661" i="11"/>
  <c r="BI661" i="11"/>
  <c r="BH661" i="11"/>
  <c r="BG661" i="11"/>
  <c r="BE661" i="11"/>
  <c r="BF661" i="11" s="1"/>
  <c r="BD661" i="11"/>
  <c r="BB661" i="11"/>
  <c r="BC661" i="11" s="1"/>
  <c r="BA661" i="11"/>
  <c r="AY661" i="11"/>
  <c r="AX661" i="11"/>
  <c r="AZ661" i="11" s="1"/>
  <c r="AW661" i="11"/>
  <c r="AV661" i="11"/>
  <c r="AU661" i="11"/>
  <c r="AT661" i="11"/>
  <c r="BR660" i="11"/>
  <c r="BQ660" i="11"/>
  <c r="BP660" i="11"/>
  <c r="BN660" i="11"/>
  <c r="BM660" i="11"/>
  <c r="BL660" i="11"/>
  <c r="BK660" i="11"/>
  <c r="BJ660" i="11"/>
  <c r="BI660" i="11"/>
  <c r="BH660" i="11"/>
  <c r="BG660" i="11"/>
  <c r="BE660" i="11"/>
  <c r="BF660" i="11" s="1"/>
  <c r="BD660" i="11"/>
  <c r="BB660" i="11"/>
  <c r="BC660" i="11" s="1"/>
  <c r="BA660" i="11"/>
  <c r="AY660" i="11"/>
  <c r="AX660" i="11"/>
  <c r="AZ660" i="11" s="1"/>
  <c r="AW660" i="11"/>
  <c r="AV660" i="11"/>
  <c r="AU660" i="11"/>
  <c r="AT660" i="11"/>
  <c r="BR659" i="11"/>
  <c r="BQ659" i="11"/>
  <c r="BP659" i="11"/>
  <c r="BN659" i="11"/>
  <c r="BM659" i="11"/>
  <c r="BL659" i="11"/>
  <c r="BK659" i="11"/>
  <c r="BJ659" i="11"/>
  <c r="BI659" i="11"/>
  <c r="BH659" i="11"/>
  <c r="BG659" i="11"/>
  <c r="BE659" i="11"/>
  <c r="BF659" i="11" s="1"/>
  <c r="BD659" i="11"/>
  <c r="BC659" i="11"/>
  <c r="BB659" i="11"/>
  <c r="BA659" i="11"/>
  <c r="AY659" i="11"/>
  <c r="AX659" i="11"/>
  <c r="AZ659" i="11" s="1"/>
  <c r="AW659" i="11"/>
  <c r="AV659" i="11"/>
  <c r="AU659" i="11"/>
  <c r="AT659" i="11"/>
  <c r="BR658" i="11"/>
  <c r="BQ658" i="11"/>
  <c r="BP658" i="11"/>
  <c r="BN658" i="11"/>
  <c r="BM658" i="11"/>
  <c r="BL658" i="11"/>
  <c r="BK658" i="11"/>
  <c r="BJ658" i="11"/>
  <c r="BI658" i="11"/>
  <c r="BH658" i="11"/>
  <c r="BG658" i="11"/>
  <c r="BF658" i="11"/>
  <c r="BE658" i="11"/>
  <c r="BD658" i="11"/>
  <c r="BB658" i="11"/>
  <c r="BC658" i="11" s="1"/>
  <c r="BA658" i="11"/>
  <c r="AY658" i="11"/>
  <c r="AX658" i="11"/>
  <c r="AZ658" i="11" s="1"/>
  <c r="AW658" i="11"/>
  <c r="AV658" i="11"/>
  <c r="AU658" i="11"/>
  <c r="AT658" i="11"/>
  <c r="BR657" i="11"/>
  <c r="BQ657" i="11"/>
  <c r="BP657" i="11"/>
  <c r="BN657" i="11"/>
  <c r="BM657" i="11"/>
  <c r="BL657" i="11"/>
  <c r="BK657" i="11"/>
  <c r="BJ657" i="11"/>
  <c r="BI657" i="11"/>
  <c r="BH657" i="11"/>
  <c r="BG657" i="11"/>
  <c r="BE657" i="11"/>
  <c r="BF657" i="11" s="1"/>
  <c r="BD657" i="11"/>
  <c r="BB657" i="11"/>
  <c r="BC657" i="11" s="1"/>
  <c r="BA657" i="11"/>
  <c r="AY657" i="11"/>
  <c r="AX657" i="11"/>
  <c r="AZ657" i="11" s="1"/>
  <c r="AW657" i="11"/>
  <c r="AV657" i="11"/>
  <c r="AU657" i="11"/>
  <c r="AT657" i="11"/>
  <c r="BR656" i="11"/>
  <c r="BQ656" i="11"/>
  <c r="BP656" i="11"/>
  <c r="BN656" i="11"/>
  <c r="BM656" i="11"/>
  <c r="BL656" i="11"/>
  <c r="BK656" i="11"/>
  <c r="BJ656" i="11"/>
  <c r="BI656" i="11"/>
  <c r="BH656" i="11"/>
  <c r="BG656" i="11"/>
  <c r="BF656" i="11"/>
  <c r="BE656" i="11"/>
  <c r="BD656" i="11"/>
  <c r="BB656" i="11"/>
  <c r="BC656" i="11" s="1"/>
  <c r="BA656" i="11"/>
  <c r="AY656" i="11"/>
  <c r="AX656" i="11"/>
  <c r="AZ656" i="11" s="1"/>
  <c r="AW656" i="11"/>
  <c r="AV656" i="11"/>
  <c r="AU656" i="11"/>
  <c r="AT656" i="11"/>
  <c r="BR655" i="11"/>
  <c r="BQ655" i="11"/>
  <c r="BP655" i="11"/>
  <c r="BN655" i="11"/>
  <c r="BM655" i="11"/>
  <c r="BL655" i="11"/>
  <c r="BK655" i="11"/>
  <c r="BJ655" i="11"/>
  <c r="BI655" i="11"/>
  <c r="BH655" i="11"/>
  <c r="BG655" i="11"/>
  <c r="BE655" i="11"/>
  <c r="BF655" i="11" s="1"/>
  <c r="BD655" i="11"/>
  <c r="BC655" i="11"/>
  <c r="BB655" i="11"/>
  <c r="BA655" i="11"/>
  <c r="AY655" i="11"/>
  <c r="AX655" i="11"/>
  <c r="AZ655" i="11" s="1"/>
  <c r="AW655" i="11"/>
  <c r="AV655" i="11"/>
  <c r="AU655" i="11"/>
  <c r="AT655" i="11"/>
  <c r="BR654" i="11"/>
  <c r="BQ654" i="11"/>
  <c r="BP654" i="11"/>
  <c r="BN654" i="11"/>
  <c r="BM654" i="11"/>
  <c r="BL654" i="11"/>
  <c r="BK654" i="11"/>
  <c r="BJ654" i="11"/>
  <c r="BI654" i="11"/>
  <c r="BH654" i="11"/>
  <c r="BG654" i="11"/>
  <c r="BF654" i="11"/>
  <c r="BE654" i="11"/>
  <c r="BD654" i="11"/>
  <c r="BB654" i="11"/>
  <c r="BC654" i="11" s="1"/>
  <c r="BA654" i="11"/>
  <c r="AY654" i="11"/>
  <c r="AX654" i="11"/>
  <c r="AZ654" i="11" s="1"/>
  <c r="AW654" i="11"/>
  <c r="AV654" i="11"/>
  <c r="AU654" i="11"/>
  <c r="AT654" i="11"/>
  <c r="BR653" i="11"/>
  <c r="BQ653" i="11"/>
  <c r="BP653" i="11"/>
  <c r="BN653" i="11"/>
  <c r="BM653" i="11"/>
  <c r="BL653" i="11"/>
  <c r="BK653" i="11"/>
  <c r="BJ653" i="11"/>
  <c r="BI653" i="11"/>
  <c r="BH653" i="11"/>
  <c r="BG653" i="11"/>
  <c r="BF653" i="11"/>
  <c r="BE653" i="11"/>
  <c r="BD653" i="11"/>
  <c r="BC653" i="11"/>
  <c r="BB653" i="11"/>
  <c r="BA653" i="11"/>
  <c r="AY653" i="11"/>
  <c r="AX653" i="11"/>
  <c r="AZ653" i="11" s="1"/>
  <c r="AW653" i="11"/>
  <c r="AV653" i="11"/>
  <c r="AU653" i="11"/>
  <c r="AT653" i="11"/>
  <c r="BR652" i="11"/>
  <c r="BQ652" i="11"/>
  <c r="BP652" i="11"/>
  <c r="BN652" i="11"/>
  <c r="BM652" i="11"/>
  <c r="BL652" i="11"/>
  <c r="BK652" i="11"/>
  <c r="BJ652" i="11"/>
  <c r="BI652" i="11"/>
  <c r="BH652" i="11"/>
  <c r="BG652" i="11"/>
  <c r="BE652" i="11"/>
  <c r="BF652" i="11" s="1"/>
  <c r="BD652" i="11"/>
  <c r="BB652" i="11"/>
  <c r="BC652" i="11" s="1"/>
  <c r="BA652" i="11"/>
  <c r="AY652" i="11"/>
  <c r="AX652" i="11"/>
  <c r="AZ652" i="11" s="1"/>
  <c r="AW652" i="11"/>
  <c r="AV652" i="11"/>
  <c r="AU652" i="11"/>
  <c r="AT652" i="11"/>
  <c r="BR651" i="11"/>
  <c r="BQ651" i="11"/>
  <c r="BP651" i="11"/>
  <c r="BN651" i="11"/>
  <c r="BM651" i="11"/>
  <c r="BL651" i="11"/>
  <c r="BK651" i="11"/>
  <c r="BJ651" i="11"/>
  <c r="BI651" i="11"/>
  <c r="BH651" i="11"/>
  <c r="BG651" i="11"/>
  <c r="BE651" i="11"/>
  <c r="BF651" i="11" s="1"/>
  <c r="BD651" i="11"/>
  <c r="BC651" i="11"/>
  <c r="BB651" i="11"/>
  <c r="BA651" i="11"/>
  <c r="AY651" i="11"/>
  <c r="AX651" i="11"/>
  <c r="AZ651" i="11" s="1"/>
  <c r="AW651" i="11"/>
  <c r="AV651" i="11"/>
  <c r="AU651" i="11"/>
  <c r="AT651" i="11"/>
  <c r="BR650" i="11"/>
  <c r="BQ650" i="11"/>
  <c r="BP650" i="11"/>
  <c r="BN650" i="11"/>
  <c r="BM650" i="11"/>
  <c r="BL650" i="11"/>
  <c r="BK650" i="11"/>
  <c r="BJ650" i="11"/>
  <c r="BI650" i="11"/>
  <c r="BH650" i="11"/>
  <c r="BG650" i="11"/>
  <c r="BF650" i="11"/>
  <c r="BE650" i="11"/>
  <c r="BD650" i="11"/>
  <c r="BB650" i="11"/>
  <c r="BC650" i="11" s="1"/>
  <c r="BA650" i="11"/>
  <c r="AY650" i="11"/>
  <c r="AX650" i="11"/>
  <c r="AZ650" i="11" s="1"/>
  <c r="AW650" i="11"/>
  <c r="AV650" i="11"/>
  <c r="AU650" i="11"/>
  <c r="AT650" i="11"/>
  <c r="BR649" i="11"/>
  <c r="BQ649" i="11"/>
  <c r="BP649" i="11"/>
  <c r="BN649" i="11"/>
  <c r="BM649" i="11"/>
  <c r="BL649" i="11"/>
  <c r="BK649" i="11"/>
  <c r="BJ649" i="11"/>
  <c r="BI649" i="11"/>
  <c r="BH649" i="11"/>
  <c r="BG649" i="11"/>
  <c r="BE649" i="11"/>
  <c r="BF649" i="11" s="1"/>
  <c r="BD649" i="11"/>
  <c r="BB649" i="11"/>
  <c r="BC649" i="11" s="1"/>
  <c r="BA649" i="11"/>
  <c r="AY649" i="11"/>
  <c r="AX649" i="11"/>
  <c r="AZ649" i="11" s="1"/>
  <c r="AW649" i="11"/>
  <c r="AV649" i="11"/>
  <c r="AU649" i="11"/>
  <c r="AT649" i="11"/>
  <c r="BR648" i="11"/>
  <c r="BQ648" i="11"/>
  <c r="BP648" i="11"/>
  <c r="BN648" i="11"/>
  <c r="BM648" i="11"/>
  <c r="BL648" i="11"/>
  <c r="BK648" i="11"/>
  <c r="BJ648" i="11"/>
  <c r="BI648" i="11"/>
  <c r="BH648" i="11"/>
  <c r="BG648" i="11"/>
  <c r="BE648" i="11"/>
  <c r="BF648" i="11" s="1"/>
  <c r="BD648" i="11"/>
  <c r="BB648" i="11"/>
  <c r="BC648" i="11" s="1"/>
  <c r="BA648" i="11"/>
  <c r="AY648" i="11"/>
  <c r="AX648" i="11"/>
  <c r="AZ648" i="11" s="1"/>
  <c r="AW648" i="11"/>
  <c r="AV648" i="11"/>
  <c r="AU648" i="11"/>
  <c r="AT648" i="11"/>
  <c r="BR647" i="11"/>
  <c r="BQ647" i="11"/>
  <c r="BP647" i="11"/>
  <c r="BN647" i="11"/>
  <c r="BM647" i="11"/>
  <c r="BL647" i="11"/>
  <c r="BK647" i="11"/>
  <c r="BJ647" i="11"/>
  <c r="BI647" i="11"/>
  <c r="BH647" i="11"/>
  <c r="BG647" i="11"/>
  <c r="BE647" i="11"/>
  <c r="BF647" i="11" s="1"/>
  <c r="BD647" i="11"/>
  <c r="BC647" i="11"/>
  <c r="BB647" i="11"/>
  <c r="BA647" i="11"/>
  <c r="AY647" i="11"/>
  <c r="AX647" i="11"/>
  <c r="AZ647" i="11" s="1"/>
  <c r="AW647" i="11"/>
  <c r="AV647" i="11"/>
  <c r="AU647" i="11"/>
  <c r="AT647" i="11"/>
  <c r="BR646" i="11"/>
  <c r="BQ646" i="11"/>
  <c r="BP646" i="11"/>
  <c r="BN646" i="11"/>
  <c r="BM646" i="11"/>
  <c r="BL646" i="11"/>
  <c r="BK646" i="11"/>
  <c r="BJ646" i="11"/>
  <c r="BI646" i="11"/>
  <c r="BH646" i="11"/>
  <c r="BG646" i="11"/>
  <c r="BF646" i="11"/>
  <c r="BE646" i="11"/>
  <c r="BD646" i="11"/>
  <c r="BB646" i="11"/>
  <c r="BC646" i="11" s="1"/>
  <c r="BA646" i="11"/>
  <c r="AY646" i="11"/>
  <c r="AX646" i="11"/>
  <c r="AZ646" i="11" s="1"/>
  <c r="AW646" i="11"/>
  <c r="AV646" i="11"/>
  <c r="AU646" i="11"/>
  <c r="AT646" i="11"/>
  <c r="BR645" i="11"/>
  <c r="BQ645" i="11"/>
  <c r="BP645" i="11"/>
  <c r="BN645" i="11"/>
  <c r="BM645" i="11"/>
  <c r="BL645" i="11"/>
  <c r="BK645" i="11"/>
  <c r="BJ645" i="11"/>
  <c r="BI645" i="11"/>
  <c r="BH645" i="11"/>
  <c r="BG645" i="11"/>
  <c r="BE645" i="11"/>
  <c r="BF645" i="11" s="1"/>
  <c r="BD645" i="11"/>
  <c r="BB645" i="11"/>
  <c r="BC645" i="11" s="1"/>
  <c r="BA645" i="11"/>
  <c r="AY645" i="11"/>
  <c r="AX645" i="11"/>
  <c r="AZ645" i="11" s="1"/>
  <c r="AW645" i="11"/>
  <c r="AV645" i="11"/>
  <c r="AU645" i="11"/>
  <c r="AT645" i="11"/>
  <c r="BR644" i="11"/>
  <c r="BQ644" i="11"/>
  <c r="BP644" i="11"/>
  <c r="BN644" i="11"/>
  <c r="BM644" i="11"/>
  <c r="BL644" i="11"/>
  <c r="BK644" i="11"/>
  <c r="BJ644" i="11"/>
  <c r="BI644" i="11"/>
  <c r="BH644" i="11"/>
  <c r="BG644" i="11"/>
  <c r="BF644" i="11"/>
  <c r="BE644" i="11"/>
  <c r="BD644" i="11"/>
  <c r="BB644" i="11"/>
  <c r="BC644" i="11" s="1"/>
  <c r="BA644" i="11"/>
  <c r="AY644" i="11"/>
  <c r="AX644" i="11"/>
  <c r="AZ644" i="11" s="1"/>
  <c r="AW644" i="11"/>
  <c r="AV644" i="11"/>
  <c r="AU644" i="11"/>
  <c r="AT644" i="11"/>
  <c r="BR643" i="11"/>
  <c r="BQ643" i="11"/>
  <c r="BP643" i="11"/>
  <c r="BN643" i="11"/>
  <c r="BM643" i="11"/>
  <c r="BL643" i="11"/>
  <c r="BK643" i="11"/>
  <c r="BJ643" i="11"/>
  <c r="BI643" i="11"/>
  <c r="BH643" i="11"/>
  <c r="BG643" i="11"/>
  <c r="BE643" i="11"/>
  <c r="BF643" i="11" s="1"/>
  <c r="BD643" i="11"/>
  <c r="BC643" i="11"/>
  <c r="BB643" i="11"/>
  <c r="BA643" i="11"/>
  <c r="AY643" i="11"/>
  <c r="AX643" i="11"/>
  <c r="AZ643" i="11" s="1"/>
  <c r="AW643" i="11"/>
  <c r="AV643" i="11"/>
  <c r="AU643" i="11"/>
  <c r="AT643" i="11"/>
  <c r="BR642" i="11"/>
  <c r="BQ642" i="11"/>
  <c r="BP642" i="11"/>
  <c r="BN642" i="11"/>
  <c r="BM642" i="11"/>
  <c r="BL642" i="11"/>
  <c r="BK642" i="11"/>
  <c r="BJ642" i="11"/>
  <c r="BI642" i="11"/>
  <c r="BH642" i="11"/>
  <c r="BG642" i="11"/>
  <c r="BF642" i="11"/>
  <c r="BE642" i="11"/>
  <c r="BD642" i="11"/>
  <c r="BB642" i="11"/>
  <c r="BC642" i="11" s="1"/>
  <c r="BA642" i="11"/>
  <c r="AY642" i="11"/>
  <c r="AX642" i="11"/>
  <c r="AZ642" i="11" s="1"/>
  <c r="AW642" i="11"/>
  <c r="AV642" i="11"/>
  <c r="AU642" i="11"/>
  <c r="AT642" i="11"/>
  <c r="BR641" i="11"/>
  <c r="BQ641" i="11"/>
  <c r="BP641" i="11"/>
  <c r="BN641" i="11"/>
  <c r="BM641" i="11"/>
  <c r="BL641" i="11"/>
  <c r="BK641" i="11"/>
  <c r="BJ641" i="11"/>
  <c r="BI641" i="11"/>
  <c r="BH641" i="11"/>
  <c r="BG641" i="11"/>
  <c r="BF641" i="11"/>
  <c r="BE641" i="11"/>
  <c r="BD641" i="11"/>
  <c r="BC641" i="11"/>
  <c r="BB641" i="11"/>
  <c r="BA641" i="11"/>
  <c r="AY641" i="11"/>
  <c r="AX641" i="11"/>
  <c r="AZ641" i="11" s="1"/>
  <c r="AW641" i="11"/>
  <c r="AV641" i="11"/>
  <c r="AU641" i="11"/>
  <c r="AT641" i="11"/>
  <c r="BR640" i="11"/>
  <c r="BQ640" i="11"/>
  <c r="BP640" i="11"/>
  <c r="BN640" i="11"/>
  <c r="BM640" i="11"/>
  <c r="BL640" i="11"/>
  <c r="BK640" i="11"/>
  <c r="BJ640" i="11"/>
  <c r="BI640" i="11"/>
  <c r="BH640" i="11"/>
  <c r="BG640" i="11"/>
  <c r="BE640" i="11"/>
  <c r="BF640" i="11" s="1"/>
  <c r="BD640" i="11"/>
  <c r="BB640" i="11"/>
  <c r="BC640" i="11" s="1"/>
  <c r="BA640" i="11"/>
  <c r="AY640" i="11"/>
  <c r="AX640" i="11"/>
  <c r="AZ640" i="11" s="1"/>
  <c r="AW640" i="11"/>
  <c r="AV640" i="11"/>
  <c r="AU640" i="11"/>
  <c r="AT640" i="11"/>
  <c r="BR639" i="11"/>
  <c r="BQ639" i="11"/>
  <c r="BP639" i="11"/>
  <c r="BN639" i="11"/>
  <c r="BM639" i="11"/>
  <c r="BL639" i="11"/>
  <c r="BK639" i="11"/>
  <c r="BJ639" i="11"/>
  <c r="BI639" i="11"/>
  <c r="BH639" i="11"/>
  <c r="BG639" i="11"/>
  <c r="BE639" i="11"/>
  <c r="BF639" i="11" s="1"/>
  <c r="BD639" i="11"/>
  <c r="BC639" i="11"/>
  <c r="BB639" i="11"/>
  <c r="BA639" i="11"/>
  <c r="AY639" i="11"/>
  <c r="AX639" i="11"/>
  <c r="AZ639" i="11" s="1"/>
  <c r="AW639" i="11"/>
  <c r="AV639" i="11"/>
  <c r="AU639" i="11"/>
  <c r="AT639" i="11"/>
  <c r="BR638" i="11"/>
  <c r="BQ638" i="11"/>
  <c r="BP638" i="11"/>
  <c r="BN638" i="11"/>
  <c r="BM638" i="11"/>
  <c r="BL638" i="11"/>
  <c r="BK638" i="11"/>
  <c r="BJ638" i="11"/>
  <c r="BI638" i="11"/>
  <c r="BH638" i="11"/>
  <c r="BG638" i="11"/>
  <c r="BF638" i="11"/>
  <c r="BE638" i="11"/>
  <c r="BD638" i="11"/>
  <c r="BB638" i="11"/>
  <c r="BC638" i="11" s="1"/>
  <c r="BA638" i="11"/>
  <c r="AY638" i="11"/>
  <c r="AX638" i="11"/>
  <c r="AZ638" i="11" s="1"/>
  <c r="AW638" i="11"/>
  <c r="AV638" i="11"/>
  <c r="AU638" i="11"/>
  <c r="AT638" i="11"/>
  <c r="BR637" i="11"/>
  <c r="BQ637" i="11"/>
  <c r="BP637" i="11"/>
  <c r="BN637" i="11"/>
  <c r="BM637" i="11"/>
  <c r="BL637" i="11"/>
  <c r="BK637" i="11"/>
  <c r="BJ637" i="11"/>
  <c r="BI637" i="11"/>
  <c r="BH637" i="11"/>
  <c r="BG637" i="11"/>
  <c r="BE637" i="11"/>
  <c r="BF637" i="11" s="1"/>
  <c r="BD637" i="11"/>
  <c r="BB637" i="11"/>
  <c r="BC637" i="11" s="1"/>
  <c r="BA637" i="11"/>
  <c r="AY637" i="11"/>
  <c r="AX637" i="11"/>
  <c r="AZ637" i="11" s="1"/>
  <c r="AW637" i="11"/>
  <c r="AV637" i="11"/>
  <c r="AU637" i="11"/>
  <c r="AT637" i="11"/>
  <c r="BR636" i="11"/>
  <c r="BQ636" i="11"/>
  <c r="BP636" i="11"/>
  <c r="BN636" i="11"/>
  <c r="BM636" i="11"/>
  <c r="BL636" i="11"/>
  <c r="BK636" i="11"/>
  <c r="BJ636" i="11"/>
  <c r="BI636" i="11"/>
  <c r="BH636" i="11"/>
  <c r="BG636" i="11"/>
  <c r="BE636" i="11"/>
  <c r="BF636" i="11" s="1"/>
  <c r="BD636" i="11"/>
  <c r="BB636" i="11"/>
  <c r="BC636" i="11" s="1"/>
  <c r="BA636" i="11"/>
  <c r="AY636" i="11"/>
  <c r="AX636" i="11"/>
  <c r="AZ636" i="11" s="1"/>
  <c r="AW636" i="11"/>
  <c r="AV636" i="11"/>
  <c r="AU636" i="11"/>
  <c r="AT636" i="11"/>
  <c r="BR635" i="11"/>
  <c r="BQ635" i="11"/>
  <c r="BP635" i="11"/>
  <c r="BN635" i="11"/>
  <c r="BM635" i="11"/>
  <c r="BL635" i="11"/>
  <c r="BK635" i="11"/>
  <c r="BJ635" i="11"/>
  <c r="BI635" i="11"/>
  <c r="BH635" i="11"/>
  <c r="BG635" i="11"/>
  <c r="BE635" i="11"/>
  <c r="BF635" i="11" s="1"/>
  <c r="BD635" i="11"/>
  <c r="BC635" i="11"/>
  <c r="BB635" i="11"/>
  <c r="BA635" i="11"/>
  <c r="AY635" i="11"/>
  <c r="AX635" i="11"/>
  <c r="AZ635" i="11" s="1"/>
  <c r="AW635" i="11"/>
  <c r="AV635" i="11"/>
  <c r="AU635" i="11"/>
  <c r="AT635" i="11"/>
  <c r="BR634" i="11"/>
  <c r="BQ634" i="11"/>
  <c r="BP634" i="11"/>
  <c r="BN634" i="11"/>
  <c r="BM634" i="11"/>
  <c r="BL634" i="11"/>
  <c r="BK634" i="11"/>
  <c r="BJ634" i="11"/>
  <c r="BI634" i="11"/>
  <c r="BH634" i="11"/>
  <c r="BG634" i="11"/>
  <c r="BF634" i="11"/>
  <c r="BE634" i="11"/>
  <c r="BD634" i="11"/>
  <c r="BB634" i="11"/>
  <c r="BC634" i="11" s="1"/>
  <c r="BA634" i="11"/>
  <c r="AY634" i="11"/>
  <c r="AX634" i="11"/>
  <c r="AZ634" i="11" s="1"/>
  <c r="AW634" i="11"/>
  <c r="AV634" i="11"/>
  <c r="AU634" i="11"/>
  <c r="AT634" i="11"/>
  <c r="BR633" i="11"/>
  <c r="BQ633" i="11"/>
  <c r="BP633" i="11"/>
  <c r="BN633" i="11"/>
  <c r="BM633" i="11"/>
  <c r="BL633" i="11"/>
  <c r="BK633" i="11"/>
  <c r="BJ633" i="11"/>
  <c r="BI633" i="11"/>
  <c r="BH633" i="11"/>
  <c r="BG633" i="11"/>
  <c r="BE633" i="11"/>
  <c r="BF633" i="11" s="1"/>
  <c r="BD633" i="11"/>
  <c r="BB633" i="11"/>
  <c r="BC633" i="11" s="1"/>
  <c r="BA633" i="11"/>
  <c r="AY633" i="11"/>
  <c r="AX633" i="11"/>
  <c r="AZ633" i="11" s="1"/>
  <c r="AW633" i="11"/>
  <c r="AV633" i="11"/>
  <c r="AU633" i="11"/>
  <c r="AT633" i="11"/>
  <c r="BR632" i="11"/>
  <c r="BQ632" i="11"/>
  <c r="BP632" i="11"/>
  <c r="BN632" i="11"/>
  <c r="BM632" i="11"/>
  <c r="BL632" i="11"/>
  <c r="BK632" i="11"/>
  <c r="BJ632" i="11"/>
  <c r="BI632" i="11"/>
  <c r="BH632" i="11"/>
  <c r="BG632" i="11"/>
  <c r="BF632" i="11"/>
  <c r="BE632" i="11"/>
  <c r="BD632" i="11"/>
  <c r="BB632" i="11"/>
  <c r="BC632" i="11" s="1"/>
  <c r="BA632" i="11"/>
  <c r="AY632" i="11"/>
  <c r="AX632" i="11"/>
  <c r="AZ632" i="11" s="1"/>
  <c r="AW632" i="11"/>
  <c r="AV632" i="11"/>
  <c r="AU632" i="11"/>
  <c r="AT632" i="11"/>
  <c r="BR631" i="11"/>
  <c r="BQ631" i="11"/>
  <c r="BP631" i="11"/>
  <c r="BN631" i="11"/>
  <c r="BM631" i="11"/>
  <c r="BL631" i="11"/>
  <c r="BK631" i="11"/>
  <c r="BJ631" i="11"/>
  <c r="BI631" i="11"/>
  <c r="BH631" i="11"/>
  <c r="BG631" i="11"/>
  <c r="BE631" i="11"/>
  <c r="BF631" i="11" s="1"/>
  <c r="BD631" i="11"/>
  <c r="BC631" i="11"/>
  <c r="BB631" i="11"/>
  <c r="BA631" i="11"/>
  <c r="AY631" i="11"/>
  <c r="AX631" i="11"/>
  <c r="AZ631" i="11" s="1"/>
  <c r="AW631" i="11"/>
  <c r="AV631" i="11"/>
  <c r="AU631" i="11"/>
  <c r="AT631" i="11"/>
  <c r="BR630" i="11"/>
  <c r="BQ630" i="11"/>
  <c r="BP630" i="11"/>
  <c r="BN630" i="11"/>
  <c r="BM630" i="11"/>
  <c r="BL630" i="11"/>
  <c r="BK630" i="11"/>
  <c r="BJ630" i="11"/>
  <c r="BI630" i="11"/>
  <c r="BH630" i="11"/>
  <c r="BG630" i="11"/>
  <c r="BF630" i="11"/>
  <c r="BE630" i="11"/>
  <c r="BD630" i="11"/>
  <c r="BB630" i="11"/>
  <c r="BC630" i="11" s="1"/>
  <c r="BA630" i="11"/>
  <c r="AY630" i="11"/>
  <c r="AX630" i="11"/>
  <c r="AZ630" i="11" s="1"/>
  <c r="AW630" i="11"/>
  <c r="AV630" i="11"/>
  <c r="AU630" i="11"/>
  <c r="AT630" i="11"/>
  <c r="BR629" i="11"/>
  <c r="BQ629" i="11"/>
  <c r="BP629" i="11"/>
  <c r="BN629" i="11"/>
  <c r="BM629" i="11"/>
  <c r="BL629" i="11"/>
  <c r="BK629" i="11"/>
  <c r="BJ629" i="11"/>
  <c r="BI629" i="11"/>
  <c r="BH629" i="11"/>
  <c r="BG629" i="11"/>
  <c r="BF629" i="11"/>
  <c r="BE629" i="11"/>
  <c r="BD629" i="11"/>
  <c r="BC629" i="11"/>
  <c r="BB629" i="11"/>
  <c r="BA629" i="11"/>
  <c r="AY629" i="11"/>
  <c r="AX629" i="11"/>
  <c r="AZ629" i="11" s="1"/>
  <c r="AW629" i="11"/>
  <c r="AV629" i="11"/>
  <c r="AU629" i="11"/>
  <c r="AT629" i="11"/>
  <c r="BR628" i="11"/>
  <c r="BQ628" i="11"/>
  <c r="BP628" i="11"/>
  <c r="BN628" i="11"/>
  <c r="BM628" i="11"/>
  <c r="BL628" i="11"/>
  <c r="BK628" i="11"/>
  <c r="BJ628" i="11"/>
  <c r="BI628" i="11"/>
  <c r="BH628" i="11"/>
  <c r="BG628" i="11"/>
  <c r="BE628" i="11"/>
  <c r="BF628" i="11" s="1"/>
  <c r="BD628" i="11"/>
  <c r="BB628" i="11"/>
  <c r="BC628" i="11" s="1"/>
  <c r="BA628" i="11"/>
  <c r="AY628" i="11"/>
  <c r="AX628" i="11"/>
  <c r="AZ628" i="11" s="1"/>
  <c r="AW628" i="11"/>
  <c r="AV628" i="11"/>
  <c r="AU628" i="11"/>
  <c r="AT628" i="11"/>
  <c r="BR627" i="11"/>
  <c r="BQ627" i="11"/>
  <c r="BP627" i="11"/>
  <c r="BN627" i="11"/>
  <c r="BM627" i="11"/>
  <c r="BL627" i="11"/>
  <c r="BK627" i="11"/>
  <c r="BJ627" i="11"/>
  <c r="BI627" i="11"/>
  <c r="BH627" i="11"/>
  <c r="BG627" i="11"/>
  <c r="BE627" i="11"/>
  <c r="BF627" i="11" s="1"/>
  <c r="BD627" i="11"/>
  <c r="BC627" i="11"/>
  <c r="BB627" i="11"/>
  <c r="BA627" i="11"/>
  <c r="AY627" i="11"/>
  <c r="AX627" i="11"/>
  <c r="AZ627" i="11" s="1"/>
  <c r="AW627" i="11"/>
  <c r="AV627" i="11"/>
  <c r="AU627" i="11"/>
  <c r="AT627" i="11"/>
  <c r="BR626" i="11"/>
  <c r="BQ626" i="11"/>
  <c r="BP626" i="11"/>
  <c r="BN626" i="11"/>
  <c r="BM626" i="11"/>
  <c r="BL626" i="11"/>
  <c r="BK626" i="11"/>
  <c r="BJ626" i="11"/>
  <c r="BI626" i="11"/>
  <c r="BH626" i="11"/>
  <c r="BG626" i="11"/>
  <c r="BF626" i="11"/>
  <c r="BE626" i="11"/>
  <c r="BD626" i="11"/>
  <c r="BB626" i="11"/>
  <c r="BC626" i="11" s="1"/>
  <c r="BA626" i="11"/>
  <c r="AY626" i="11"/>
  <c r="AX626" i="11"/>
  <c r="AZ626" i="11" s="1"/>
  <c r="AW626" i="11"/>
  <c r="AV626" i="11"/>
  <c r="AU626" i="11"/>
  <c r="AT626" i="11"/>
  <c r="BR625" i="11"/>
  <c r="BQ625" i="11"/>
  <c r="BP625" i="11"/>
  <c r="BN625" i="11"/>
  <c r="BM625" i="11"/>
  <c r="BL625" i="11"/>
  <c r="BK625" i="11"/>
  <c r="BJ625" i="11"/>
  <c r="BI625" i="11"/>
  <c r="BH625" i="11"/>
  <c r="BG625" i="11"/>
  <c r="BE625" i="11"/>
  <c r="BF625" i="11" s="1"/>
  <c r="BD625" i="11"/>
  <c r="BB625" i="11"/>
  <c r="BC625" i="11" s="1"/>
  <c r="BA625" i="11"/>
  <c r="AY625" i="11"/>
  <c r="AX625" i="11"/>
  <c r="AZ625" i="11" s="1"/>
  <c r="AW625" i="11"/>
  <c r="AV625" i="11"/>
  <c r="AU625" i="11"/>
  <c r="AT625" i="11"/>
  <c r="BR624" i="11"/>
  <c r="BQ624" i="11"/>
  <c r="BP624" i="11"/>
  <c r="BN624" i="11"/>
  <c r="BM624" i="11"/>
  <c r="BL624" i="11"/>
  <c r="BK624" i="11"/>
  <c r="BJ624" i="11"/>
  <c r="BI624" i="11"/>
  <c r="BH624" i="11"/>
  <c r="BG624" i="11"/>
  <c r="BE624" i="11"/>
  <c r="BF624" i="11" s="1"/>
  <c r="BD624" i="11"/>
  <c r="BB624" i="11"/>
  <c r="BC624" i="11" s="1"/>
  <c r="BA624" i="11"/>
  <c r="AY624" i="11"/>
  <c r="AX624" i="11"/>
  <c r="AZ624" i="11" s="1"/>
  <c r="AW624" i="11"/>
  <c r="AV624" i="11"/>
  <c r="AU624" i="11"/>
  <c r="AT624" i="11"/>
  <c r="BR623" i="11"/>
  <c r="BQ623" i="11"/>
  <c r="BP623" i="11"/>
  <c r="BN623" i="11"/>
  <c r="BM623" i="11"/>
  <c r="BL623" i="11"/>
  <c r="BK623" i="11"/>
  <c r="BJ623" i="11"/>
  <c r="BI623" i="11"/>
  <c r="BH623" i="11"/>
  <c r="BG623" i="11"/>
  <c r="BE623" i="11"/>
  <c r="BF623" i="11" s="1"/>
  <c r="BD623" i="11"/>
  <c r="BC623" i="11"/>
  <c r="BB623" i="11"/>
  <c r="BA623" i="11"/>
  <c r="AY623" i="11"/>
  <c r="AX623" i="11"/>
  <c r="AZ623" i="11" s="1"/>
  <c r="AW623" i="11"/>
  <c r="AV623" i="11"/>
  <c r="AU623" i="11"/>
  <c r="AT623" i="11"/>
  <c r="BR622" i="11"/>
  <c r="BQ622" i="11"/>
  <c r="BP622" i="11"/>
  <c r="BN622" i="11"/>
  <c r="BM622" i="11"/>
  <c r="BL622" i="11"/>
  <c r="BK622" i="11"/>
  <c r="BJ622" i="11"/>
  <c r="BI622" i="11"/>
  <c r="BH622" i="11"/>
  <c r="BG622" i="11"/>
  <c r="BF622" i="11"/>
  <c r="BE622" i="11"/>
  <c r="BD622" i="11"/>
  <c r="BB622" i="11"/>
  <c r="BC622" i="11" s="1"/>
  <c r="BA622" i="11"/>
  <c r="AY622" i="11"/>
  <c r="AX622" i="11"/>
  <c r="AZ622" i="11" s="1"/>
  <c r="AW622" i="11"/>
  <c r="AV622" i="11"/>
  <c r="AU622" i="11"/>
  <c r="AT622" i="11"/>
  <c r="BR621" i="11"/>
  <c r="BQ621" i="11"/>
  <c r="BP621" i="11"/>
  <c r="BN621" i="11"/>
  <c r="BM621" i="11"/>
  <c r="BL621" i="11"/>
  <c r="BK621" i="11"/>
  <c r="BJ621" i="11"/>
  <c r="BI621" i="11"/>
  <c r="BH621" i="11"/>
  <c r="BG621" i="11"/>
  <c r="BE621" i="11"/>
  <c r="BF621" i="11" s="1"/>
  <c r="BD621" i="11"/>
  <c r="BB621" i="11"/>
  <c r="BC621" i="11" s="1"/>
  <c r="BA621" i="11"/>
  <c r="AY621" i="11"/>
  <c r="AX621" i="11"/>
  <c r="AZ621" i="11" s="1"/>
  <c r="AW621" i="11"/>
  <c r="AV621" i="11"/>
  <c r="AU621" i="11"/>
  <c r="AT621" i="11"/>
  <c r="BR620" i="11"/>
  <c r="BQ620" i="11"/>
  <c r="BP620" i="11"/>
  <c r="BN620" i="11"/>
  <c r="BM620" i="11"/>
  <c r="BL620" i="11"/>
  <c r="BK620" i="11"/>
  <c r="BJ620" i="11"/>
  <c r="BI620" i="11"/>
  <c r="BH620" i="11"/>
  <c r="BG620" i="11"/>
  <c r="BF620" i="11"/>
  <c r="BE620" i="11"/>
  <c r="BD620" i="11"/>
  <c r="BB620" i="11"/>
  <c r="BC620" i="11" s="1"/>
  <c r="BA620" i="11"/>
  <c r="AY620" i="11"/>
  <c r="AX620" i="11"/>
  <c r="AZ620" i="11" s="1"/>
  <c r="AW620" i="11"/>
  <c r="AV620" i="11"/>
  <c r="AU620" i="11"/>
  <c r="AT620" i="11"/>
  <c r="BR619" i="11"/>
  <c r="BQ619" i="11"/>
  <c r="BP619" i="11"/>
  <c r="BN619" i="11"/>
  <c r="BM619" i="11"/>
  <c r="BL619" i="11"/>
  <c r="BK619" i="11"/>
  <c r="BJ619" i="11"/>
  <c r="BI619" i="11"/>
  <c r="BH619" i="11"/>
  <c r="BG619" i="11"/>
  <c r="BE619" i="11"/>
  <c r="BF619" i="11" s="1"/>
  <c r="BD619" i="11"/>
  <c r="BC619" i="11"/>
  <c r="BB619" i="11"/>
  <c r="BA619" i="11"/>
  <c r="AY619" i="11"/>
  <c r="AX619" i="11"/>
  <c r="AZ619" i="11" s="1"/>
  <c r="AW619" i="11"/>
  <c r="AV619" i="11"/>
  <c r="AU619" i="11"/>
  <c r="AT619" i="11"/>
  <c r="BR618" i="11"/>
  <c r="BQ618" i="11"/>
  <c r="BP618" i="11"/>
  <c r="BN618" i="11"/>
  <c r="BM618" i="11"/>
  <c r="BL618" i="11"/>
  <c r="BK618" i="11"/>
  <c r="BJ618" i="11"/>
  <c r="BI618" i="11"/>
  <c r="BH618" i="11"/>
  <c r="BG618" i="11"/>
  <c r="BF618" i="11"/>
  <c r="BE618" i="11"/>
  <c r="BD618" i="11"/>
  <c r="BB618" i="11"/>
  <c r="BC618" i="11" s="1"/>
  <c r="BA618" i="11"/>
  <c r="AY618" i="11"/>
  <c r="AX618" i="11"/>
  <c r="AZ618" i="11" s="1"/>
  <c r="AW618" i="11"/>
  <c r="AV618" i="11"/>
  <c r="AU618" i="11"/>
  <c r="AT618" i="11"/>
  <c r="BR617" i="11"/>
  <c r="BQ617" i="11"/>
  <c r="BP617" i="11"/>
  <c r="BN617" i="11"/>
  <c r="BM617" i="11"/>
  <c r="BL617" i="11"/>
  <c r="BK617" i="11"/>
  <c r="BJ617" i="11"/>
  <c r="BI617" i="11"/>
  <c r="BH617" i="11"/>
  <c r="BG617" i="11"/>
  <c r="BF617" i="11"/>
  <c r="BE617" i="11"/>
  <c r="BD617" i="11"/>
  <c r="BC617" i="11"/>
  <c r="BB617" i="11"/>
  <c r="BA617" i="11"/>
  <c r="AY617" i="11"/>
  <c r="AX617" i="11"/>
  <c r="AZ617" i="11" s="1"/>
  <c r="AW617" i="11"/>
  <c r="AV617" i="11"/>
  <c r="AU617" i="11"/>
  <c r="AT617" i="11"/>
  <c r="BR616" i="11"/>
  <c r="BQ616" i="11"/>
  <c r="BP616" i="11"/>
  <c r="BN616" i="11"/>
  <c r="BM616" i="11"/>
  <c r="BL616" i="11"/>
  <c r="BK616" i="11"/>
  <c r="BJ616" i="11"/>
  <c r="BI616" i="11"/>
  <c r="BH616" i="11"/>
  <c r="BG616" i="11"/>
  <c r="BE616" i="11"/>
  <c r="BF616" i="11" s="1"/>
  <c r="BD616" i="11"/>
  <c r="BB616" i="11"/>
  <c r="BC616" i="11" s="1"/>
  <c r="BA616" i="11"/>
  <c r="AY616" i="11"/>
  <c r="AX616" i="11"/>
  <c r="AZ616" i="11" s="1"/>
  <c r="AW616" i="11"/>
  <c r="AV616" i="11"/>
  <c r="AU616" i="11"/>
  <c r="AT616" i="11"/>
  <c r="BR615" i="11"/>
  <c r="BQ615" i="11"/>
  <c r="BP615" i="11"/>
  <c r="BN615" i="11"/>
  <c r="BM615" i="11"/>
  <c r="BL615" i="11"/>
  <c r="BK615" i="11"/>
  <c r="BJ615" i="11"/>
  <c r="BI615" i="11"/>
  <c r="BH615" i="11"/>
  <c r="BG615" i="11"/>
  <c r="BE615" i="11"/>
  <c r="BF615" i="11" s="1"/>
  <c r="BD615" i="11"/>
  <c r="BC615" i="11"/>
  <c r="BB615" i="11"/>
  <c r="BA615" i="11"/>
  <c r="AY615" i="11"/>
  <c r="AX615" i="11"/>
  <c r="AZ615" i="11" s="1"/>
  <c r="AW615" i="11"/>
  <c r="AV615" i="11"/>
  <c r="AU615" i="11"/>
  <c r="AT615" i="11"/>
  <c r="BR614" i="11"/>
  <c r="BQ614" i="11"/>
  <c r="BP614" i="11"/>
  <c r="BN614" i="11"/>
  <c r="BM614" i="11"/>
  <c r="BL614" i="11"/>
  <c r="BK614" i="11"/>
  <c r="BJ614" i="11"/>
  <c r="BI614" i="11"/>
  <c r="BH614" i="11"/>
  <c r="BG614" i="11"/>
  <c r="BF614" i="11"/>
  <c r="BE614" i="11"/>
  <c r="BD614" i="11"/>
  <c r="BB614" i="11"/>
  <c r="BC614" i="11" s="1"/>
  <c r="BA614" i="11"/>
  <c r="AY614" i="11"/>
  <c r="AX614" i="11"/>
  <c r="AZ614" i="11" s="1"/>
  <c r="AW614" i="11"/>
  <c r="AV614" i="11"/>
  <c r="AU614" i="11"/>
  <c r="AT614" i="11"/>
  <c r="BR613" i="11"/>
  <c r="BQ613" i="11"/>
  <c r="BP613" i="11"/>
  <c r="BN613" i="11"/>
  <c r="BM613" i="11"/>
  <c r="BL613" i="11"/>
  <c r="BK613" i="11"/>
  <c r="BJ613" i="11"/>
  <c r="BI613" i="11"/>
  <c r="BH613" i="11"/>
  <c r="BG613" i="11"/>
  <c r="BE613" i="11"/>
  <c r="BF613" i="11" s="1"/>
  <c r="BD613" i="11"/>
  <c r="BB613" i="11"/>
  <c r="BC613" i="11" s="1"/>
  <c r="BA613" i="11"/>
  <c r="AY613" i="11"/>
  <c r="AX613" i="11"/>
  <c r="AZ613" i="11" s="1"/>
  <c r="AW613" i="11"/>
  <c r="AV613" i="11"/>
  <c r="AU613" i="11"/>
  <c r="AT613" i="11"/>
  <c r="BR612" i="11"/>
  <c r="BQ612" i="11"/>
  <c r="BP612" i="11"/>
  <c r="BN612" i="11"/>
  <c r="BM612" i="11"/>
  <c r="BL612" i="11"/>
  <c r="BK612" i="11"/>
  <c r="BJ612" i="11"/>
  <c r="BI612" i="11"/>
  <c r="BH612" i="11"/>
  <c r="BG612" i="11"/>
  <c r="BE612" i="11"/>
  <c r="BF612" i="11" s="1"/>
  <c r="BD612" i="11"/>
  <c r="BB612" i="11"/>
  <c r="BC612" i="11" s="1"/>
  <c r="BA612" i="11"/>
  <c r="AY612" i="11"/>
  <c r="AX612" i="11"/>
  <c r="AZ612" i="11" s="1"/>
  <c r="AW612" i="11"/>
  <c r="AV612" i="11"/>
  <c r="AU612" i="11"/>
  <c r="AT612" i="11"/>
  <c r="BR611" i="11"/>
  <c r="BQ611" i="11"/>
  <c r="BP611" i="11"/>
  <c r="BN611" i="11"/>
  <c r="BM611" i="11"/>
  <c r="BL611" i="11"/>
  <c r="BK611" i="11"/>
  <c r="BJ611" i="11"/>
  <c r="BI611" i="11"/>
  <c r="BH611" i="11"/>
  <c r="BG611" i="11"/>
  <c r="BF611" i="11"/>
  <c r="BE611" i="11"/>
  <c r="BD611" i="11"/>
  <c r="BC611" i="11"/>
  <c r="BB611" i="11"/>
  <c r="BA611" i="11"/>
  <c r="AY611" i="11"/>
  <c r="AX611" i="11"/>
  <c r="AZ611" i="11" s="1"/>
  <c r="AW611" i="11"/>
  <c r="AV611" i="11"/>
  <c r="AU611" i="11"/>
  <c r="AT611" i="11"/>
  <c r="BR610" i="11"/>
  <c r="BQ610" i="11"/>
  <c r="BP610" i="11"/>
  <c r="BN610" i="11"/>
  <c r="BM610" i="11"/>
  <c r="BL610" i="11"/>
  <c r="BK610" i="11"/>
  <c r="BJ610" i="11"/>
  <c r="BI610" i="11"/>
  <c r="BH610" i="11"/>
  <c r="BG610" i="11"/>
  <c r="BF610" i="11"/>
  <c r="BE610" i="11"/>
  <c r="BD610" i="11"/>
  <c r="BC610" i="11"/>
  <c r="BB610" i="11"/>
  <c r="BA610" i="11"/>
  <c r="AY610" i="11"/>
  <c r="AX610" i="11"/>
  <c r="AZ610" i="11" s="1"/>
  <c r="AW610" i="11"/>
  <c r="AV610" i="11"/>
  <c r="AU610" i="11"/>
  <c r="AT610" i="11"/>
  <c r="BR609" i="11"/>
  <c r="BQ609" i="11"/>
  <c r="BP609" i="11"/>
  <c r="BN609" i="11"/>
  <c r="BM609" i="11"/>
  <c r="BL609" i="11"/>
  <c r="BK609" i="11"/>
  <c r="BJ609" i="11"/>
  <c r="BI609" i="11"/>
  <c r="BH609" i="11"/>
  <c r="BG609" i="11"/>
  <c r="BE609" i="11"/>
  <c r="BF609" i="11" s="1"/>
  <c r="BD609" i="11"/>
  <c r="BB609" i="11"/>
  <c r="BC609" i="11" s="1"/>
  <c r="BA609" i="11"/>
  <c r="AY609" i="11"/>
  <c r="AX609" i="11"/>
  <c r="AZ609" i="11" s="1"/>
  <c r="AW609" i="11"/>
  <c r="AV609" i="11"/>
  <c r="AU609" i="11"/>
  <c r="AT609" i="11"/>
  <c r="BR608" i="11"/>
  <c r="BQ608" i="11"/>
  <c r="BP608" i="11"/>
  <c r="BN608" i="11"/>
  <c r="BM608" i="11"/>
  <c r="BL608" i="11"/>
  <c r="BK608" i="11"/>
  <c r="BJ608" i="11"/>
  <c r="BI608" i="11"/>
  <c r="BH608" i="11"/>
  <c r="BG608" i="11"/>
  <c r="BF608" i="11"/>
  <c r="BE608" i="11"/>
  <c r="BD608" i="11"/>
  <c r="BC608" i="11"/>
  <c r="BB608" i="11"/>
  <c r="BA608" i="11"/>
  <c r="AY608" i="11"/>
  <c r="AX608" i="11"/>
  <c r="AZ608" i="11" s="1"/>
  <c r="AW608" i="11"/>
  <c r="AV608" i="11"/>
  <c r="AU608" i="11"/>
  <c r="AT608" i="11"/>
  <c r="BR607" i="11"/>
  <c r="BQ607" i="11"/>
  <c r="BP607" i="11"/>
  <c r="BN607" i="11"/>
  <c r="BM607" i="11"/>
  <c r="BL607" i="11"/>
  <c r="BK607" i="11"/>
  <c r="BJ607" i="11"/>
  <c r="BI607" i="11"/>
  <c r="BH607" i="11"/>
  <c r="BG607" i="11"/>
  <c r="BE607" i="11"/>
  <c r="BF607" i="11" s="1"/>
  <c r="BD607" i="11"/>
  <c r="BC607" i="11"/>
  <c r="BB607" i="11"/>
  <c r="BA607" i="11"/>
  <c r="AY607" i="11"/>
  <c r="AX607" i="11"/>
  <c r="AZ607" i="11" s="1"/>
  <c r="AW607" i="11"/>
  <c r="AV607" i="11"/>
  <c r="AU607" i="11"/>
  <c r="AT607" i="11"/>
  <c r="BR606" i="11"/>
  <c r="BQ606" i="11"/>
  <c r="BP606" i="11"/>
  <c r="BN606" i="11"/>
  <c r="BM606" i="11"/>
  <c r="BL606" i="11"/>
  <c r="BK606" i="11"/>
  <c r="BJ606" i="11"/>
  <c r="BI606" i="11"/>
  <c r="BH606" i="11"/>
  <c r="BG606" i="11"/>
  <c r="BF606" i="11"/>
  <c r="BE606" i="11"/>
  <c r="BD606" i="11"/>
  <c r="BB606" i="11"/>
  <c r="BC606" i="11" s="1"/>
  <c r="BA606" i="11"/>
  <c r="AY606" i="11"/>
  <c r="AX606" i="11"/>
  <c r="AZ606" i="11" s="1"/>
  <c r="AW606" i="11"/>
  <c r="AV606" i="11"/>
  <c r="AU606" i="11"/>
  <c r="AT606" i="11"/>
  <c r="BR605" i="11"/>
  <c r="BQ605" i="11"/>
  <c r="BP605" i="11"/>
  <c r="BN605" i="11"/>
  <c r="BM605" i="11"/>
  <c r="BL605" i="11"/>
  <c r="BK605" i="11"/>
  <c r="BJ605" i="11"/>
  <c r="BI605" i="11"/>
  <c r="BH605" i="11"/>
  <c r="BG605" i="11"/>
  <c r="BF605" i="11"/>
  <c r="BE605" i="11"/>
  <c r="BD605" i="11"/>
  <c r="BC605" i="11"/>
  <c r="BB605" i="11"/>
  <c r="BA605" i="11"/>
  <c r="AY605" i="11"/>
  <c r="AX605" i="11"/>
  <c r="AZ605" i="11" s="1"/>
  <c r="AW605" i="11"/>
  <c r="AV605" i="11"/>
  <c r="AU605" i="11"/>
  <c r="AT605" i="11"/>
  <c r="BR604" i="11"/>
  <c r="BQ604" i="11"/>
  <c r="BP604" i="11"/>
  <c r="BN604" i="11"/>
  <c r="BM604" i="11"/>
  <c r="BL604" i="11"/>
  <c r="BK604" i="11"/>
  <c r="BJ604" i="11"/>
  <c r="BI604" i="11"/>
  <c r="BH604" i="11"/>
  <c r="BG604" i="11"/>
  <c r="BE604" i="11"/>
  <c r="BF604" i="11" s="1"/>
  <c r="BD604" i="11"/>
  <c r="BB604" i="11"/>
  <c r="BC604" i="11" s="1"/>
  <c r="BA604" i="11"/>
  <c r="AY604" i="11"/>
  <c r="AX604" i="11"/>
  <c r="AZ604" i="11" s="1"/>
  <c r="AW604" i="11"/>
  <c r="AV604" i="11"/>
  <c r="AU604" i="11"/>
  <c r="AT604" i="11"/>
  <c r="BR603" i="11"/>
  <c r="BQ603" i="11"/>
  <c r="BP603" i="11"/>
  <c r="BN603" i="11"/>
  <c r="BM603" i="11"/>
  <c r="BL603" i="11"/>
  <c r="BK603" i="11"/>
  <c r="BJ603" i="11"/>
  <c r="BI603" i="11"/>
  <c r="BH603" i="11"/>
  <c r="BG603" i="11"/>
  <c r="BE603" i="11"/>
  <c r="BF603" i="11" s="1"/>
  <c r="BD603" i="11"/>
  <c r="BC603" i="11"/>
  <c r="BB603" i="11"/>
  <c r="BA603" i="11"/>
  <c r="AY603" i="11"/>
  <c r="AX603" i="11"/>
  <c r="AZ603" i="11" s="1"/>
  <c r="AW603" i="11"/>
  <c r="AV603" i="11"/>
  <c r="AU603" i="11"/>
  <c r="AT603" i="11"/>
  <c r="BR602" i="11"/>
  <c r="BQ602" i="11"/>
  <c r="BP602" i="11"/>
  <c r="BN602" i="11"/>
  <c r="BM602" i="11"/>
  <c r="BL602" i="11"/>
  <c r="BK602" i="11"/>
  <c r="BJ602" i="11"/>
  <c r="BI602" i="11"/>
  <c r="BH602" i="11"/>
  <c r="BG602" i="11"/>
  <c r="BF602" i="11"/>
  <c r="BE602" i="11"/>
  <c r="BD602" i="11"/>
  <c r="BC602" i="11"/>
  <c r="BB602" i="11"/>
  <c r="BA602" i="11"/>
  <c r="AY602" i="11"/>
  <c r="AX602" i="11"/>
  <c r="AZ602" i="11" s="1"/>
  <c r="AW602" i="11"/>
  <c r="AV602" i="11"/>
  <c r="AU602" i="11"/>
  <c r="AT602" i="11"/>
  <c r="BR601" i="11"/>
  <c r="BQ601" i="11"/>
  <c r="BP601" i="11"/>
  <c r="BN601" i="11"/>
  <c r="BM601" i="11"/>
  <c r="BL601" i="11"/>
  <c r="BK601" i="11"/>
  <c r="BJ601" i="11"/>
  <c r="BI601" i="11"/>
  <c r="BH601" i="11"/>
  <c r="BG601" i="11"/>
  <c r="BE601" i="11"/>
  <c r="BF601" i="11" s="1"/>
  <c r="BD601" i="11"/>
  <c r="BB601" i="11"/>
  <c r="BC601" i="11" s="1"/>
  <c r="BA601" i="11"/>
  <c r="AY601" i="11"/>
  <c r="AX601" i="11"/>
  <c r="AZ601" i="11" s="1"/>
  <c r="AW601" i="11"/>
  <c r="AV601" i="11"/>
  <c r="AU601" i="11"/>
  <c r="AT601" i="11"/>
  <c r="BR600" i="11"/>
  <c r="BQ600" i="11"/>
  <c r="BP600" i="11"/>
  <c r="BN600" i="11"/>
  <c r="BM600" i="11"/>
  <c r="BL600" i="11"/>
  <c r="BK600" i="11"/>
  <c r="BJ600" i="11"/>
  <c r="BI600" i="11"/>
  <c r="BH600" i="11"/>
  <c r="BG600" i="11"/>
  <c r="BE600" i="11"/>
  <c r="BF600" i="11" s="1"/>
  <c r="BD600" i="11"/>
  <c r="BB600" i="11"/>
  <c r="BC600" i="11" s="1"/>
  <c r="BA600" i="11"/>
  <c r="AY600" i="11"/>
  <c r="AX600" i="11"/>
  <c r="AZ600" i="11" s="1"/>
  <c r="AW600" i="11"/>
  <c r="AV600" i="11"/>
  <c r="AU600" i="11"/>
  <c r="AT600" i="11"/>
  <c r="BR599" i="11"/>
  <c r="BQ599" i="11"/>
  <c r="BP599" i="11"/>
  <c r="BN599" i="11"/>
  <c r="BM599" i="11"/>
  <c r="BL599" i="11"/>
  <c r="BK599" i="11"/>
  <c r="BJ599" i="11"/>
  <c r="BI599" i="11"/>
  <c r="BH599" i="11"/>
  <c r="BG599" i="11"/>
  <c r="BE599" i="11"/>
  <c r="BF599" i="11" s="1"/>
  <c r="BD599" i="11"/>
  <c r="BC599" i="11"/>
  <c r="BB599" i="11"/>
  <c r="BA599" i="11"/>
  <c r="AY599" i="11"/>
  <c r="AX599" i="11"/>
  <c r="AZ599" i="11" s="1"/>
  <c r="AW599" i="11"/>
  <c r="AV599" i="11"/>
  <c r="AU599" i="11"/>
  <c r="AT599" i="11"/>
  <c r="BR598" i="11"/>
  <c r="BQ598" i="11"/>
  <c r="BP598" i="11"/>
  <c r="BN598" i="11"/>
  <c r="BM598" i="11"/>
  <c r="BL598" i="11"/>
  <c r="BK598" i="11"/>
  <c r="BJ598" i="11"/>
  <c r="BI598" i="11"/>
  <c r="BH598" i="11"/>
  <c r="BG598" i="11"/>
  <c r="BF598" i="11"/>
  <c r="BE598" i="11"/>
  <c r="BD598" i="11"/>
  <c r="BC598" i="11"/>
  <c r="BB598" i="11"/>
  <c r="BA598" i="11"/>
  <c r="AY598" i="11"/>
  <c r="AX598" i="11"/>
  <c r="AZ598" i="11" s="1"/>
  <c r="AW598" i="11"/>
  <c r="AV598" i="11"/>
  <c r="AU598" i="11"/>
  <c r="AT598" i="11"/>
  <c r="BR597" i="11"/>
  <c r="BQ597" i="11"/>
  <c r="BP597" i="11"/>
  <c r="BN597" i="11"/>
  <c r="BM597" i="11"/>
  <c r="BL597" i="11"/>
  <c r="BK597" i="11"/>
  <c r="BJ597" i="11"/>
  <c r="BI597" i="11"/>
  <c r="BH597" i="11"/>
  <c r="BG597" i="11"/>
  <c r="BE597" i="11"/>
  <c r="BF597" i="11" s="1"/>
  <c r="BD597" i="11"/>
  <c r="BB597" i="11"/>
  <c r="BC597" i="11" s="1"/>
  <c r="BA597" i="11"/>
  <c r="AY597" i="11"/>
  <c r="AX597" i="11"/>
  <c r="AZ597" i="11" s="1"/>
  <c r="AW597" i="11"/>
  <c r="AV597" i="11"/>
  <c r="AU597" i="11"/>
  <c r="AT597" i="11"/>
  <c r="BR596" i="11"/>
  <c r="BQ596" i="11"/>
  <c r="BP596" i="11"/>
  <c r="BN596" i="11"/>
  <c r="BM596" i="11"/>
  <c r="BL596" i="11"/>
  <c r="BK596" i="11"/>
  <c r="BJ596" i="11"/>
  <c r="BI596" i="11"/>
  <c r="BH596" i="11"/>
  <c r="BG596" i="11"/>
  <c r="BF596" i="11"/>
  <c r="BE596" i="11"/>
  <c r="BD596" i="11"/>
  <c r="BB596" i="11"/>
  <c r="BC596" i="11" s="1"/>
  <c r="BA596" i="11"/>
  <c r="AY596" i="11"/>
  <c r="AX596" i="11"/>
  <c r="AZ596" i="11" s="1"/>
  <c r="AW596" i="11"/>
  <c r="AV596" i="11"/>
  <c r="AU596" i="11"/>
  <c r="AT596" i="11"/>
  <c r="BR595" i="11"/>
  <c r="BQ595" i="11"/>
  <c r="BP595" i="11"/>
  <c r="BN595" i="11"/>
  <c r="BM595" i="11"/>
  <c r="BL595" i="11"/>
  <c r="BK595" i="11"/>
  <c r="BJ595" i="11"/>
  <c r="BI595" i="11"/>
  <c r="BH595" i="11"/>
  <c r="BG595" i="11"/>
  <c r="BE595" i="11"/>
  <c r="BF595" i="11" s="1"/>
  <c r="BD595" i="11"/>
  <c r="BC595" i="11"/>
  <c r="BB595" i="11"/>
  <c r="BA595" i="11"/>
  <c r="AY595" i="11"/>
  <c r="AX595" i="11"/>
  <c r="AZ595" i="11" s="1"/>
  <c r="AW595" i="11"/>
  <c r="AV595" i="11"/>
  <c r="AU595" i="11"/>
  <c r="AT595" i="11"/>
  <c r="BR594" i="11"/>
  <c r="BQ594" i="11"/>
  <c r="BP594" i="11"/>
  <c r="BN594" i="11"/>
  <c r="BM594" i="11"/>
  <c r="BL594" i="11"/>
  <c r="BK594" i="11"/>
  <c r="BJ594" i="11"/>
  <c r="BI594" i="11"/>
  <c r="BH594" i="11"/>
  <c r="BG594" i="11"/>
  <c r="BF594" i="11"/>
  <c r="BE594" i="11"/>
  <c r="BD594" i="11"/>
  <c r="BB594" i="11"/>
  <c r="BC594" i="11" s="1"/>
  <c r="BA594" i="11"/>
  <c r="AY594" i="11"/>
  <c r="AX594" i="11"/>
  <c r="AZ594" i="11" s="1"/>
  <c r="AW594" i="11"/>
  <c r="AV594" i="11"/>
  <c r="AU594" i="11"/>
  <c r="AT594" i="11"/>
  <c r="BR593" i="11"/>
  <c r="BQ593" i="11"/>
  <c r="BP593" i="11"/>
  <c r="BN593" i="11"/>
  <c r="BM593" i="11"/>
  <c r="BL593" i="11"/>
  <c r="BK593" i="11"/>
  <c r="BJ593" i="11"/>
  <c r="BI593" i="11"/>
  <c r="BH593" i="11"/>
  <c r="BG593" i="11"/>
  <c r="BE593" i="11"/>
  <c r="BF593" i="11" s="1"/>
  <c r="BD593" i="11"/>
  <c r="BC593" i="11"/>
  <c r="BB593" i="11"/>
  <c r="BA593" i="11"/>
  <c r="AY593" i="11"/>
  <c r="AX593" i="11"/>
  <c r="AZ593" i="11" s="1"/>
  <c r="AW593" i="11"/>
  <c r="AV593" i="11"/>
  <c r="AU593" i="11"/>
  <c r="AT593" i="11"/>
  <c r="BR592" i="11"/>
  <c r="BQ592" i="11"/>
  <c r="BP592" i="11"/>
  <c r="BN592" i="11"/>
  <c r="BM592" i="11"/>
  <c r="BL592" i="11"/>
  <c r="BK592" i="11"/>
  <c r="BJ592" i="11"/>
  <c r="BI592" i="11"/>
  <c r="BH592" i="11"/>
  <c r="BG592" i="11"/>
  <c r="BE592" i="11"/>
  <c r="BF592" i="11" s="1"/>
  <c r="BD592" i="11"/>
  <c r="BB592" i="11"/>
  <c r="BC592" i="11" s="1"/>
  <c r="BA592" i="11"/>
  <c r="AY592" i="11"/>
  <c r="AX592" i="11"/>
  <c r="AZ592" i="11" s="1"/>
  <c r="AW592" i="11"/>
  <c r="AV592" i="11"/>
  <c r="AU592" i="11"/>
  <c r="AT592" i="11"/>
  <c r="BR591" i="11"/>
  <c r="BQ591" i="11"/>
  <c r="BP591" i="11"/>
  <c r="BN591" i="11"/>
  <c r="BM591" i="11"/>
  <c r="BL591" i="11"/>
  <c r="BK591" i="11"/>
  <c r="BJ591" i="11"/>
  <c r="BI591" i="11"/>
  <c r="BH591" i="11"/>
  <c r="BG591" i="11"/>
  <c r="BE591" i="11"/>
  <c r="BF591" i="11" s="1"/>
  <c r="BD591" i="11"/>
  <c r="BC591" i="11"/>
  <c r="BB591" i="11"/>
  <c r="BA591" i="11"/>
  <c r="AY591" i="11"/>
  <c r="AX591" i="11"/>
  <c r="AZ591" i="11" s="1"/>
  <c r="AW591" i="11"/>
  <c r="AV591" i="11"/>
  <c r="AU591" i="11"/>
  <c r="AT591" i="11"/>
  <c r="BR590" i="11"/>
  <c r="BQ590" i="11"/>
  <c r="BP590" i="11"/>
  <c r="BN590" i="11"/>
  <c r="BM590" i="11"/>
  <c r="BL590" i="11"/>
  <c r="BK590" i="11"/>
  <c r="BJ590" i="11"/>
  <c r="BI590" i="11"/>
  <c r="BH590" i="11"/>
  <c r="BG590" i="11"/>
  <c r="BF590" i="11"/>
  <c r="BE590" i="11"/>
  <c r="BD590" i="11"/>
  <c r="BC590" i="11"/>
  <c r="BB590" i="11"/>
  <c r="BA590" i="11"/>
  <c r="AY590" i="11"/>
  <c r="AX590" i="11"/>
  <c r="AZ590" i="11" s="1"/>
  <c r="AW590" i="11"/>
  <c r="AV590" i="11"/>
  <c r="AU590" i="11"/>
  <c r="AT590" i="11"/>
  <c r="BR589" i="11"/>
  <c r="BQ589" i="11"/>
  <c r="BP589" i="11"/>
  <c r="BN589" i="11"/>
  <c r="BM589" i="11"/>
  <c r="BL589" i="11"/>
  <c r="BK589" i="11"/>
  <c r="BJ589" i="11"/>
  <c r="BI589" i="11"/>
  <c r="BH589" i="11"/>
  <c r="BG589" i="11"/>
  <c r="BE589" i="11"/>
  <c r="BF589" i="11" s="1"/>
  <c r="BD589" i="11"/>
  <c r="BB589" i="11"/>
  <c r="BC589" i="11" s="1"/>
  <c r="BA589" i="11"/>
  <c r="AY589" i="11"/>
  <c r="AX589" i="11"/>
  <c r="AZ589" i="11" s="1"/>
  <c r="AW589" i="11"/>
  <c r="AV589" i="11"/>
  <c r="AU589" i="11"/>
  <c r="AT589" i="11"/>
  <c r="BR588" i="11"/>
  <c r="BQ588" i="11"/>
  <c r="BP588" i="11"/>
  <c r="BN588" i="11"/>
  <c r="BM588" i="11"/>
  <c r="BL588" i="11"/>
  <c r="BK588" i="11"/>
  <c r="BJ588" i="11"/>
  <c r="BI588" i="11"/>
  <c r="BH588" i="11"/>
  <c r="BG588" i="11"/>
  <c r="BE588" i="11"/>
  <c r="BF588" i="11" s="1"/>
  <c r="BD588" i="11"/>
  <c r="BB588" i="11"/>
  <c r="BC588" i="11" s="1"/>
  <c r="BA588" i="11"/>
  <c r="AY588" i="11"/>
  <c r="AX588" i="11"/>
  <c r="AZ588" i="11" s="1"/>
  <c r="AW588" i="11"/>
  <c r="AV588" i="11"/>
  <c r="AU588" i="11"/>
  <c r="AT588" i="11"/>
  <c r="BR587" i="11"/>
  <c r="BQ587" i="11"/>
  <c r="BP587" i="11"/>
  <c r="BN587" i="11"/>
  <c r="BM587" i="11"/>
  <c r="BL587" i="11"/>
  <c r="BK587" i="11"/>
  <c r="BJ587" i="11"/>
  <c r="BI587" i="11"/>
  <c r="BH587" i="11"/>
  <c r="BG587" i="11"/>
  <c r="BE587" i="11"/>
  <c r="BF587" i="11" s="1"/>
  <c r="BD587" i="11"/>
  <c r="BC587" i="11"/>
  <c r="BB587" i="11"/>
  <c r="BA587" i="11"/>
  <c r="AY587" i="11"/>
  <c r="AX587" i="11"/>
  <c r="AZ587" i="11" s="1"/>
  <c r="AW587" i="11"/>
  <c r="AV587" i="11"/>
  <c r="AU587" i="11"/>
  <c r="AT587" i="11"/>
  <c r="BR586" i="11"/>
  <c r="BQ586" i="11"/>
  <c r="BP586" i="11"/>
  <c r="BN586" i="11"/>
  <c r="BM586" i="11"/>
  <c r="BL586" i="11"/>
  <c r="BK586" i="11"/>
  <c r="BJ586" i="11"/>
  <c r="BI586" i="11"/>
  <c r="BH586" i="11"/>
  <c r="BG586" i="11"/>
  <c r="BF586" i="11"/>
  <c r="BE586" i="11"/>
  <c r="BD586" i="11"/>
  <c r="BB586" i="11"/>
  <c r="BC586" i="11" s="1"/>
  <c r="BA586" i="11"/>
  <c r="AY586" i="11"/>
  <c r="AX586" i="11"/>
  <c r="AZ586" i="11" s="1"/>
  <c r="AW586" i="11"/>
  <c r="AV586" i="11"/>
  <c r="AU586" i="11"/>
  <c r="AT586" i="11"/>
  <c r="BR585" i="11"/>
  <c r="BQ585" i="11"/>
  <c r="BP585" i="11"/>
  <c r="BN585" i="11"/>
  <c r="BM585" i="11"/>
  <c r="BL585" i="11"/>
  <c r="BK585" i="11"/>
  <c r="BJ585" i="11"/>
  <c r="BI585" i="11"/>
  <c r="BH585" i="11"/>
  <c r="BG585" i="11"/>
  <c r="BE585" i="11"/>
  <c r="BF585" i="11" s="1"/>
  <c r="BD585" i="11"/>
  <c r="BB585" i="11"/>
  <c r="BC585" i="11" s="1"/>
  <c r="BA585" i="11"/>
  <c r="AY585" i="11"/>
  <c r="AX585" i="11"/>
  <c r="AZ585" i="11" s="1"/>
  <c r="AW585" i="11"/>
  <c r="AV585" i="11"/>
  <c r="AU585" i="11"/>
  <c r="AT585" i="11"/>
  <c r="BR584" i="11"/>
  <c r="BQ584" i="11"/>
  <c r="BP584" i="11"/>
  <c r="BN584" i="11"/>
  <c r="BM584" i="11"/>
  <c r="BL584" i="11"/>
  <c r="BK584" i="11"/>
  <c r="BJ584" i="11"/>
  <c r="BI584" i="11"/>
  <c r="BH584" i="11"/>
  <c r="BG584" i="11"/>
  <c r="BF584" i="11"/>
  <c r="BE584" i="11"/>
  <c r="BD584" i="11"/>
  <c r="BB584" i="11"/>
  <c r="BC584" i="11" s="1"/>
  <c r="BA584" i="11"/>
  <c r="AY584" i="11"/>
  <c r="AX584" i="11"/>
  <c r="AZ584" i="11" s="1"/>
  <c r="AW584" i="11"/>
  <c r="AV584" i="11"/>
  <c r="AU584" i="11"/>
  <c r="AT584" i="11"/>
  <c r="BR583" i="11"/>
  <c r="BQ583" i="11"/>
  <c r="BP583" i="11"/>
  <c r="BN583" i="11"/>
  <c r="BM583" i="11"/>
  <c r="BL583" i="11"/>
  <c r="BK583" i="11"/>
  <c r="BJ583" i="11"/>
  <c r="BI583" i="11"/>
  <c r="BH583" i="11"/>
  <c r="BG583" i="11"/>
  <c r="BE583" i="11"/>
  <c r="BF583" i="11" s="1"/>
  <c r="BD583" i="11"/>
  <c r="BC583" i="11"/>
  <c r="BB583" i="11"/>
  <c r="BA583" i="11"/>
  <c r="AY583" i="11"/>
  <c r="AX583" i="11"/>
  <c r="AZ583" i="11" s="1"/>
  <c r="AW583" i="11"/>
  <c r="AV583" i="11"/>
  <c r="AU583" i="11"/>
  <c r="AT583" i="11"/>
  <c r="BR582" i="11"/>
  <c r="BQ582" i="11"/>
  <c r="BP582" i="11"/>
  <c r="BN582" i="11"/>
  <c r="BM582" i="11"/>
  <c r="BL582" i="11"/>
  <c r="BK582" i="11"/>
  <c r="BJ582" i="11"/>
  <c r="BI582" i="11"/>
  <c r="BH582" i="11"/>
  <c r="BG582" i="11"/>
  <c r="BF582" i="11"/>
  <c r="BE582" i="11"/>
  <c r="BD582" i="11"/>
  <c r="BB582" i="11"/>
  <c r="BC582" i="11" s="1"/>
  <c r="BA582" i="11"/>
  <c r="AY582" i="11"/>
  <c r="AX582" i="11"/>
  <c r="AZ582" i="11" s="1"/>
  <c r="AW582" i="11"/>
  <c r="AV582" i="11"/>
  <c r="AU582" i="11"/>
  <c r="AT582" i="11"/>
  <c r="BR581" i="11"/>
  <c r="BQ581" i="11"/>
  <c r="BP581" i="11"/>
  <c r="BN581" i="11"/>
  <c r="BM581" i="11"/>
  <c r="BL581" i="11"/>
  <c r="BK581" i="11"/>
  <c r="BJ581" i="11"/>
  <c r="BI581" i="11"/>
  <c r="BH581" i="11"/>
  <c r="BG581" i="11"/>
  <c r="BE581" i="11"/>
  <c r="BF581" i="11" s="1"/>
  <c r="BD581" i="11"/>
  <c r="BC581" i="11"/>
  <c r="BB581" i="11"/>
  <c r="BA581" i="11"/>
  <c r="AY581" i="11"/>
  <c r="AX581" i="11"/>
  <c r="AZ581" i="11" s="1"/>
  <c r="AW581" i="11"/>
  <c r="AV581" i="11"/>
  <c r="AU581" i="11"/>
  <c r="AT581" i="11"/>
  <c r="BR580" i="11"/>
  <c r="BQ580" i="11"/>
  <c r="BP580" i="11"/>
  <c r="BN580" i="11"/>
  <c r="BM580" i="11"/>
  <c r="BL580" i="11"/>
  <c r="BK580" i="11"/>
  <c r="BJ580" i="11"/>
  <c r="BI580" i="11"/>
  <c r="BH580" i="11"/>
  <c r="BG580" i="11"/>
  <c r="BE580" i="11"/>
  <c r="BF580" i="11" s="1"/>
  <c r="BD580" i="11"/>
  <c r="BB580" i="11"/>
  <c r="BC580" i="11" s="1"/>
  <c r="BA580" i="11"/>
  <c r="AY580" i="11"/>
  <c r="AX580" i="11"/>
  <c r="AZ580" i="11" s="1"/>
  <c r="AW580" i="11"/>
  <c r="AV580" i="11"/>
  <c r="AU580" i="11"/>
  <c r="AT580" i="11"/>
  <c r="BR579" i="11"/>
  <c r="BQ579" i="11"/>
  <c r="BP579" i="11"/>
  <c r="BN579" i="11"/>
  <c r="BM579" i="11"/>
  <c r="BL579" i="11"/>
  <c r="BK579" i="11"/>
  <c r="BJ579" i="11"/>
  <c r="BI579" i="11"/>
  <c r="BH579" i="11"/>
  <c r="BG579" i="11"/>
  <c r="BE579" i="11"/>
  <c r="BF579" i="11" s="1"/>
  <c r="BD579" i="11"/>
  <c r="BC579" i="11"/>
  <c r="BB579" i="11"/>
  <c r="BA579" i="11"/>
  <c r="AY579" i="11"/>
  <c r="AX579" i="11"/>
  <c r="AZ579" i="11" s="1"/>
  <c r="AW579" i="11"/>
  <c r="AV579" i="11"/>
  <c r="AU579" i="11"/>
  <c r="AT579" i="11"/>
  <c r="BR578" i="11"/>
  <c r="BQ578" i="11"/>
  <c r="BP578" i="11"/>
  <c r="BN578" i="11"/>
  <c r="BM578" i="11"/>
  <c r="BL578" i="11"/>
  <c r="BK578" i="11"/>
  <c r="BJ578" i="11"/>
  <c r="BI578" i="11"/>
  <c r="BH578" i="11"/>
  <c r="BG578" i="11"/>
  <c r="BF578" i="11"/>
  <c r="BE578" i="11"/>
  <c r="BD578" i="11"/>
  <c r="BC578" i="11"/>
  <c r="BB578" i="11"/>
  <c r="BA578" i="11"/>
  <c r="AY578" i="11"/>
  <c r="AX578" i="11"/>
  <c r="AZ578" i="11" s="1"/>
  <c r="AW578" i="11"/>
  <c r="AV578" i="11"/>
  <c r="AU578" i="11"/>
  <c r="AT578" i="11"/>
  <c r="BR577" i="11"/>
  <c r="BQ577" i="11"/>
  <c r="BP577" i="11"/>
  <c r="BN577" i="11"/>
  <c r="BM577" i="11"/>
  <c r="BL577" i="11"/>
  <c r="BK577" i="11"/>
  <c r="BJ577" i="11"/>
  <c r="BI577" i="11"/>
  <c r="BH577" i="11"/>
  <c r="BG577" i="11"/>
  <c r="BE577" i="11"/>
  <c r="BF577" i="11" s="1"/>
  <c r="BD577" i="11"/>
  <c r="BB577" i="11"/>
  <c r="BC577" i="11" s="1"/>
  <c r="BA577" i="11"/>
  <c r="AY577" i="11"/>
  <c r="AX577" i="11"/>
  <c r="AZ577" i="11" s="1"/>
  <c r="AW577" i="11"/>
  <c r="AV577" i="11"/>
  <c r="AU577" i="11"/>
  <c r="AT577" i="11"/>
  <c r="BR576" i="11"/>
  <c r="BQ576" i="11"/>
  <c r="BP576" i="11"/>
  <c r="BN576" i="11"/>
  <c r="BM576" i="11"/>
  <c r="BL576" i="11"/>
  <c r="BK576" i="11"/>
  <c r="BJ576" i="11"/>
  <c r="BI576" i="11"/>
  <c r="BH576" i="11"/>
  <c r="BG576" i="11"/>
  <c r="BE576" i="11"/>
  <c r="BF576" i="11" s="1"/>
  <c r="BD576" i="11"/>
  <c r="BB576" i="11"/>
  <c r="BC576" i="11" s="1"/>
  <c r="BA576" i="11"/>
  <c r="AY576" i="11"/>
  <c r="AX576" i="11"/>
  <c r="AZ576" i="11" s="1"/>
  <c r="AW576" i="11"/>
  <c r="AV576" i="11"/>
  <c r="AU576" i="11"/>
  <c r="AT576" i="11"/>
  <c r="BR575" i="11"/>
  <c r="BQ575" i="11"/>
  <c r="BP575" i="11"/>
  <c r="BN575" i="11"/>
  <c r="BM575" i="11"/>
  <c r="BL575" i="11"/>
  <c r="BK575" i="11"/>
  <c r="BJ575" i="11"/>
  <c r="BI575" i="11"/>
  <c r="BH575" i="11"/>
  <c r="BG575" i="11"/>
  <c r="BE575" i="11"/>
  <c r="BF575" i="11" s="1"/>
  <c r="BD575" i="11"/>
  <c r="BC575" i="11"/>
  <c r="BB575" i="11"/>
  <c r="BA575" i="11"/>
  <c r="AY575" i="11"/>
  <c r="AX575" i="11"/>
  <c r="AZ575" i="11" s="1"/>
  <c r="AW575" i="11"/>
  <c r="AV575" i="11"/>
  <c r="AU575" i="11"/>
  <c r="AT575" i="11"/>
  <c r="BR574" i="11"/>
  <c r="BQ574" i="11"/>
  <c r="BP574" i="11"/>
  <c r="BN574" i="11"/>
  <c r="BM574" i="11"/>
  <c r="BL574" i="11"/>
  <c r="BK574" i="11"/>
  <c r="BJ574" i="11"/>
  <c r="BI574" i="11"/>
  <c r="BH574" i="11"/>
  <c r="BG574" i="11"/>
  <c r="BF574" i="11"/>
  <c r="BE574" i="11"/>
  <c r="BD574" i="11"/>
  <c r="BB574" i="11"/>
  <c r="BC574" i="11" s="1"/>
  <c r="BA574" i="11"/>
  <c r="AY574" i="11"/>
  <c r="AX574" i="11"/>
  <c r="AZ574" i="11" s="1"/>
  <c r="AW574" i="11"/>
  <c r="AV574" i="11"/>
  <c r="AU574" i="11"/>
  <c r="AT574" i="11"/>
  <c r="BR573" i="11"/>
  <c r="BQ573" i="11"/>
  <c r="BP573" i="11"/>
  <c r="BN573" i="11"/>
  <c r="BM573" i="11"/>
  <c r="BL573" i="11"/>
  <c r="BK573" i="11"/>
  <c r="BJ573" i="11"/>
  <c r="BI573" i="11"/>
  <c r="BH573" i="11"/>
  <c r="BG573" i="11"/>
  <c r="BE573" i="11"/>
  <c r="BF573" i="11" s="1"/>
  <c r="BD573" i="11"/>
  <c r="BB573" i="11"/>
  <c r="BC573" i="11" s="1"/>
  <c r="BA573" i="11"/>
  <c r="AY573" i="11"/>
  <c r="AX573" i="11"/>
  <c r="AZ573" i="11" s="1"/>
  <c r="AW573" i="11"/>
  <c r="AV573" i="11"/>
  <c r="AU573" i="11"/>
  <c r="AT573" i="11"/>
  <c r="BR572" i="11"/>
  <c r="BQ572" i="11"/>
  <c r="BP572" i="11"/>
  <c r="BN572" i="11"/>
  <c r="BM572" i="11"/>
  <c r="BL572" i="11"/>
  <c r="BK572" i="11"/>
  <c r="BJ572" i="11"/>
  <c r="BI572" i="11"/>
  <c r="BH572" i="11"/>
  <c r="BG572" i="11"/>
  <c r="BF572" i="11"/>
  <c r="BE572" i="11"/>
  <c r="BD572" i="11"/>
  <c r="BB572" i="11"/>
  <c r="BC572" i="11" s="1"/>
  <c r="BA572" i="11"/>
  <c r="AY572" i="11"/>
  <c r="AX572" i="11"/>
  <c r="AZ572" i="11" s="1"/>
  <c r="AW572" i="11"/>
  <c r="AV572" i="11"/>
  <c r="AU572" i="11"/>
  <c r="AT572" i="11"/>
  <c r="BR571" i="11"/>
  <c r="BQ571" i="11"/>
  <c r="BP571" i="11"/>
  <c r="BN571" i="11"/>
  <c r="BM571" i="11"/>
  <c r="BL571" i="11"/>
  <c r="BK571" i="11"/>
  <c r="BJ571" i="11"/>
  <c r="BI571" i="11"/>
  <c r="BH571" i="11"/>
  <c r="BG571" i="11"/>
  <c r="BE571" i="11"/>
  <c r="BF571" i="11" s="1"/>
  <c r="BD571" i="11"/>
  <c r="BC571" i="11"/>
  <c r="BB571" i="11"/>
  <c r="BA571" i="11"/>
  <c r="AY571" i="11"/>
  <c r="AX571" i="11"/>
  <c r="AZ571" i="11" s="1"/>
  <c r="AW571" i="11"/>
  <c r="AV571" i="11"/>
  <c r="AU571" i="11"/>
  <c r="AT571" i="11"/>
  <c r="BR570" i="11"/>
  <c r="BQ570" i="11"/>
  <c r="BP570" i="11"/>
  <c r="BN570" i="11"/>
  <c r="BM570" i="11"/>
  <c r="BL570" i="11"/>
  <c r="BK570" i="11"/>
  <c r="BJ570" i="11"/>
  <c r="BI570" i="11"/>
  <c r="BH570" i="11"/>
  <c r="BG570" i="11"/>
  <c r="BF570" i="11"/>
  <c r="BE570" i="11"/>
  <c r="BD570" i="11"/>
  <c r="BB570" i="11"/>
  <c r="BC570" i="11" s="1"/>
  <c r="BA570" i="11"/>
  <c r="AY570" i="11"/>
  <c r="AX570" i="11"/>
  <c r="AZ570" i="11" s="1"/>
  <c r="AW570" i="11"/>
  <c r="AV570" i="11"/>
  <c r="AU570" i="11"/>
  <c r="AT570" i="11"/>
  <c r="BR569" i="11"/>
  <c r="BQ569" i="11"/>
  <c r="BP569" i="11"/>
  <c r="BN569" i="11"/>
  <c r="BM569" i="11"/>
  <c r="BL569" i="11"/>
  <c r="BK569" i="11"/>
  <c r="BJ569" i="11"/>
  <c r="BI569" i="11"/>
  <c r="BH569" i="11"/>
  <c r="BG569" i="11"/>
  <c r="BE569" i="11"/>
  <c r="BF569" i="11" s="1"/>
  <c r="BD569" i="11"/>
  <c r="BC569" i="11"/>
  <c r="BB569" i="11"/>
  <c r="BA569" i="11"/>
  <c r="AY569" i="11"/>
  <c r="AX569" i="11"/>
  <c r="AZ569" i="11" s="1"/>
  <c r="AW569" i="11"/>
  <c r="AV569" i="11"/>
  <c r="AU569" i="11"/>
  <c r="AT569" i="11"/>
  <c r="BR568" i="11"/>
  <c r="BQ568" i="11"/>
  <c r="BP568" i="11"/>
  <c r="BN568" i="11"/>
  <c r="BM568" i="11"/>
  <c r="BL568" i="11"/>
  <c r="BK568" i="11"/>
  <c r="BJ568" i="11"/>
  <c r="BI568" i="11"/>
  <c r="BH568" i="11"/>
  <c r="BG568" i="11"/>
  <c r="BE568" i="11"/>
  <c r="BD568" i="11"/>
  <c r="BF568" i="11" s="1"/>
  <c r="BB568" i="11"/>
  <c r="BC568" i="11" s="1"/>
  <c r="BA568" i="11"/>
  <c r="AY568" i="11"/>
  <c r="AX568" i="11"/>
  <c r="AZ568" i="11" s="1"/>
  <c r="AW568" i="11"/>
  <c r="AV568" i="11"/>
  <c r="AU568" i="11"/>
  <c r="AT568" i="11"/>
  <c r="BR567" i="11"/>
  <c r="BQ567" i="11"/>
  <c r="BP567" i="11"/>
  <c r="BN567" i="11"/>
  <c r="BM567" i="11"/>
  <c r="BL567" i="11"/>
  <c r="BK567" i="11"/>
  <c r="BJ567" i="11"/>
  <c r="BI567" i="11"/>
  <c r="BH567" i="11"/>
  <c r="BG567" i="11"/>
  <c r="BE567" i="11"/>
  <c r="BD567" i="11"/>
  <c r="BF567" i="11" s="1"/>
  <c r="BC567" i="11"/>
  <c r="BB567" i="11"/>
  <c r="BA567" i="11"/>
  <c r="AY567" i="11"/>
  <c r="AX567" i="11"/>
  <c r="AZ567" i="11" s="1"/>
  <c r="AW567" i="11"/>
  <c r="AV567" i="11"/>
  <c r="AU567" i="11"/>
  <c r="AT567" i="11"/>
  <c r="BR566" i="11"/>
  <c r="BQ566" i="11"/>
  <c r="BP566" i="11"/>
  <c r="BN566" i="11"/>
  <c r="BM566" i="11"/>
  <c r="BL566" i="11"/>
  <c r="BK566" i="11"/>
  <c r="BJ566" i="11"/>
  <c r="BI566" i="11"/>
  <c r="BH566" i="11"/>
  <c r="BG566" i="11"/>
  <c r="BF566" i="11"/>
  <c r="BE566" i="11"/>
  <c r="BD566" i="11"/>
  <c r="BC566" i="11"/>
  <c r="BB566" i="11"/>
  <c r="BA566" i="11"/>
  <c r="AY566" i="11"/>
  <c r="AX566" i="11"/>
  <c r="AZ566" i="11" s="1"/>
  <c r="AW566" i="11"/>
  <c r="AV566" i="11"/>
  <c r="AU566" i="11"/>
  <c r="AT566" i="11"/>
  <c r="BR565" i="11"/>
  <c r="BQ565" i="11"/>
  <c r="BP565" i="11"/>
  <c r="BN565" i="11"/>
  <c r="BM565" i="11"/>
  <c r="BL565" i="11"/>
  <c r="BK565" i="11"/>
  <c r="BJ565" i="11"/>
  <c r="BI565" i="11"/>
  <c r="BH565" i="11"/>
  <c r="BG565" i="11"/>
  <c r="BE565" i="11"/>
  <c r="BF565" i="11" s="1"/>
  <c r="BD565" i="11"/>
  <c r="BB565" i="11"/>
  <c r="BC565" i="11" s="1"/>
  <c r="BA565" i="11"/>
  <c r="AY565" i="11"/>
  <c r="AX565" i="11"/>
  <c r="AZ565" i="11" s="1"/>
  <c r="AW565" i="11"/>
  <c r="AV565" i="11"/>
  <c r="AU565" i="11"/>
  <c r="AT565" i="11"/>
  <c r="BR564" i="11"/>
  <c r="BQ564" i="11"/>
  <c r="BP564" i="11"/>
  <c r="BN564" i="11"/>
  <c r="BM564" i="11"/>
  <c r="BL564" i="11"/>
  <c r="BK564" i="11"/>
  <c r="BJ564" i="11"/>
  <c r="BI564" i="11"/>
  <c r="BH564" i="11"/>
  <c r="BG564" i="11"/>
  <c r="BE564" i="11"/>
  <c r="BD564" i="11"/>
  <c r="BF564" i="11" s="1"/>
  <c r="BB564" i="11"/>
  <c r="BC564" i="11" s="1"/>
  <c r="BA564" i="11"/>
  <c r="AY564" i="11"/>
  <c r="AX564" i="11"/>
  <c r="AZ564" i="11" s="1"/>
  <c r="AW564" i="11"/>
  <c r="AV564" i="11"/>
  <c r="AU564" i="11"/>
  <c r="AT564" i="11"/>
  <c r="BR563" i="11"/>
  <c r="BQ563" i="11"/>
  <c r="BP563" i="11"/>
  <c r="BN563" i="11"/>
  <c r="BM563" i="11"/>
  <c r="BL563" i="11"/>
  <c r="BK563" i="11"/>
  <c r="BJ563" i="11"/>
  <c r="BI563" i="11"/>
  <c r="BH563" i="11"/>
  <c r="BG563" i="11"/>
  <c r="BE563" i="11"/>
  <c r="BD563" i="11"/>
  <c r="BF563" i="11" s="1"/>
  <c r="BC563" i="11"/>
  <c r="BB563" i="11"/>
  <c r="BA563" i="11"/>
  <c r="AY563" i="11"/>
  <c r="AX563" i="11"/>
  <c r="AZ563" i="11" s="1"/>
  <c r="AW563" i="11"/>
  <c r="AV563" i="11"/>
  <c r="AU563" i="11"/>
  <c r="AT563" i="11"/>
  <c r="BR562" i="11"/>
  <c r="BQ562" i="11"/>
  <c r="BP562" i="11"/>
  <c r="BN562" i="11"/>
  <c r="BM562" i="11"/>
  <c r="BL562" i="11"/>
  <c r="BK562" i="11"/>
  <c r="BJ562" i="11"/>
  <c r="BI562" i="11"/>
  <c r="BH562" i="11"/>
  <c r="BG562" i="11"/>
  <c r="BF562" i="11"/>
  <c r="BE562" i="11"/>
  <c r="BD562" i="11"/>
  <c r="BB562" i="11"/>
  <c r="BC562" i="11" s="1"/>
  <c r="BA562" i="11"/>
  <c r="AY562" i="11"/>
  <c r="AX562" i="11"/>
  <c r="AZ562" i="11" s="1"/>
  <c r="AW562" i="11"/>
  <c r="AV562" i="11"/>
  <c r="AU562" i="11"/>
  <c r="AT562" i="11"/>
  <c r="BR561" i="11"/>
  <c r="BQ561" i="11"/>
  <c r="BP561" i="11"/>
  <c r="BN561" i="11"/>
  <c r="BM561" i="11"/>
  <c r="BL561" i="11"/>
  <c r="BK561" i="11"/>
  <c r="BJ561" i="11"/>
  <c r="BI561" i="11"/>
  <c r="BH561" i="11"/>
  <c r="BG561" i="11"/>
  <c r="BE561" i="11"/>
  <c r="BF561" i="11" s="1"/>
  <c r="BD561" i="11"/>
  <c r="BB561" i="11"/>
  <c r="BC561" i="11" s="1"/>
  <c r="BA561" i="11"/>
  <c r="AY561" i="11"/>
  <c r="AX561" i="11"/>
  <c r="AZ561" i="11" s="1"/>
  <c r="AW561" i="11"/>
  <c r="AV561" i="11"/>
  <c r="AU561" i="11"/>
  <c r="AT561" i="11"/>
  <c r="BR560" i="11"/>
  <c r="BQ560" i="11"/>
  <c r="BP560" i="11"/>
  <c r="BN560" i="11"/>
  <c r="BM560" i="11"/>
  <c r="BL560" i="11"/>
  <c r="BK560" i="11"/>
  <c r="BJ560" i="11"/>
  <c r="BI560" i="11"/>
  <c r="BH560" i="11"/>
  <c r="BG560" i="11"/>
  <c r="BF560" i="11"/>
  <c r="BE560" i="11"/>
  <c r="BD560" i="11"/>
  <c r="BB560" i="11"/>
  <c r="BC560" i="11" s="1"/>
  <c r="BA560" i="11"/>
  <c r="AY560" i="11"/>
  <c r="AX560" i="11"/>
  <c r="AZ560" i="11" s="1"/>
  <c r="AW560" i="11"/>
  <c r="AV560" i="11"/>
  <c r="AU560" i="11"/>
  <c r="AT560" i="11"/>
  <c r="BR559" i="11"/>
  <c r="BQ559" i="11"/>
  <c r="BP559" i="11"/>
  <c r="BN559" i="11"/>
  <c r="BM559" i="11"/>
  <c r="BL559" i="11"/>
  <c r="BK559" i="11"/>
  <c r="BJ559" i="11"/>
  <c r="BI559" i="11"/>
  <c r="BH559" i="11"/>
  <c r="BG559" i="11"/>
  <c r="BE559" i="11"/>
  <c r="BF559" i="11" s="1"/>
  <c r="BD559" i="11"/>
  <c r="BC559" i="11"/>
  <c r="BB559" i="11"/>
  <c r="BA559" i="11"/>
  <c r="AY559" i="11"/>
  <c r="AX559" i="11"/>
  <c r="AZ559" i="11" s="1"/>
  <c r="AW559" i="11"/>
  <c r="AV559" i="11"/>
  <c r="AU559" i="11"/>
  <c r="AT559" i="11"/>
  <c r="BR558" i="11"/>
  <c r="BQ558" i="11"/>
  <c r="BP558" i="11"/>
  <c r="BN558" i="11"/>
  <c r="BM558" i="11"/>
  <c r="BL558" i="11"/>
  <c r="BK558" i="11"/>
  <c r="BJ558" i="11"/>
  <c r="BI558" i="11"/>
  <c r="BH558" i="11"/>
  <c r="BG558" i="11"/>
  <c r="BF558" i="11"/>
  <c r="BE558" i="11"/>
  <c r="BD558" i="11"/>
  <c r="BB558" i="11"/>
  <c r="BC558" i="11" s="1"/>
  <c r="BA558" i="11"/>
  <c r="AY558" i="11"/>
  <c r="AX558" i="11"/>
  <c r="AZ558" i="11" s="1"/>
  <c r="AW558" i="11"/>
  <c r="AV558" i="11"/>
  <c r="AU558" i="11"/>
  <c r="AT558" i="11"/>
  <c r="BR557" i="11"/>
  <c r="BQ557" i="11"/>
  <c r="BP557" i="11"/>
  <c r="BN557" i="11"/>
  <c r="BM557" i="11"/>
  <c r="BL557" i="11"/>
  <c r="BK557" i="11"/>
  <c r="BJ557" i="11"/>
  <c r="BI557" i="11"/>
  <c r="BH557" i="11"/>
  <c r="BG557" i="11"/>
  <c r="BF557" i="11"/>
  <c r="BE557" i="11"/>
  <c r="BD557" i="11"/>
  <c r="BC557" i="11"/>
  <c r="BB557" i="11"/>
  <c r="BA557" i="11"/>
  <c r="AY557" i="11"/>
  <c r="AX557" i="11"/>
  <c r="AZ557" i="11" s="1"/>
  <c r="AW557" i="11"/>
  <c r="AV557" i="11"/>
  <c r="AU557" i="11"/>
  <c r="AT557" i="11"/>
  <c r="BR556" i="11"/>
  <c r="BQ556" i="11"/>
  <c r="BP556" i="11"/>
  <c r="BN556" i="11"/>
  <c r="BM556" i="11"/>
  <c r="BL556" i="11"/>
  <c r="BK556" i="11"/>
  <c r="BJ556" i="11"/>
  <c r="BI556" i="11"/>
  <c r="BH556" i="11"/>
  <c r="BG556" i="11"/>
  <c r="BE556" i="11"/>
  <c r="BD556" i="11"/>
  <c r="BF556" i="11" s="1"/>
  <c r="BB556" i="11"/>
  <c r="BC556" i="11" s="1"/>
  <c r="BA556" i="11"/>
  <c r="AY556" i="11"/>
  <c r="AX556" i="11"/>
  <c r="AZ556" i="11" s="1"/>
  <c r="AW556" i="11"/>
  <c r="AV556" i="11"/>
  <c r="AU556" i="11"/>
  <c r="AT556" i="11"/>
  <c r="BR555" i="11"/>
  <c r="BQ555" i="11"/>
  <c r="BP555" i="11"/>
  <c r="BN555" i="11"/>
  <c r="BM555" i="11"/>
  <c r="BL555" i="11"/>
  <c r="BK555" i="11"/>
  <c r="BJ555" i="11"/>
  <c r="BI555" i="11"/>
  <c r="BH555" i="11"/>
  <c r="BG555" i="11"/>
  <c r="BE555" i="11"/>
  <c r="BD555" i="11"/>
  <c r="BF555" i="11" s="1"/>
  <c r="BC555" i="11"/>
  <c r="BB555" i="11"/>
  <c r="BA555" i="11"/>
  <c r="AY555" i="11"/>
  <c r="AX555" i="11"/>
  <c r="AZ555" i="11" s="1"/>
  <c r="AW555" i="11"/>
  <c r="AV555" i="11"/>
  <c r="AU555" i="11"/>
  <c r="AT555" i="11"/>
  <c r="BR554" i="11"/>
  <c r="BQ554" i="11"/>
  <c r="BP554" i="11"/>
  <c r="BN554" i="11"/>
  <c r="BM554" i="11"/>
  <c r="BL554" i="11"/>
  <c r="BK554" i="11"/>
  <c r="BJ554" i="11"/>
  <c r="BI554" i="11"/>
  <c r="BH554" i="11"/>
  <c r="BG554" i="11"/>
  <c r="BF554" i="11"/>
  <c r="BE554" i="11"/>
  <c r="BD554" i="11"/>
  <c r="BC554" i="11"/>
  <c r="BB554" i="11"/>
  <c r="BA554" i="11"/>
  <c r="AY554" i="11"/>
  <c r="AX554" i="11"/>
  <c r="AZ554" i="11" s="1"/>
  <c r="AW554" i="11"/>
  <c r="AV554" i="11"/>
  <c r="AU554" i="11"/>
  <c r="AT554" i="11"/>
  <c r="BR553" i="11"/>
  <c r="BQ553" i="11"/>
  <c r="BP553" i="11"/>
  <c r="BN553" i="11"/>
  <c r="BM553" i="11"/>
  <c r="BL553" i="11"/>
  <c r="BK553" i="11"/>
  <c r="BJ553" i="11"/>
  <c r="BI553" i="11"/>
  <c r="BH553" i="11"/>
  <c r="BG553" i="11"/>
  <c r="BE553" i="11"/>
  <c r="BF553" i="11" s="1"/>
  <c r="BD553" i="11"/>
  <c r="BB553" i="11"/>
  <c r="BC553" i="11" s="1"/>
  <c r="BA553" i="11"/>
  <c r="AY553" i="11"/>
  <c r="AX553" i="11"/>
  <c r="AZ553" i="11" s="1"/>
  <c r="AW553" i="11"/>
  <c r="AV553" i="11"/>
  <c r="AU553" i="11"/>
  <c r="AT553" i="11"/>
  <c r="BR552" i="11"/>
  <c r="BQ552" i="11"/>
  <c r="BP552" i="11"/>
  <c r="BN552" i="11"/>
  <c r="BM552" i="11"/>
  <c r="BL552" i="11"/>
  <c r="BK552" i="11"/>
  <c r="BJ552" i="11"/>
  <c r="BI552" i="11"/>
  <c r="BH552" i="11"/>
  <c r="BG552" i="11"/>
  <c r="BE552" i="11"/>
  <c r="BD552" i="11"/>
  <c r="BF552" i="11" s="1"/>
  <c r="BB552" i="11"/>
  <c r="BC552" i="11" s="1"/>
  <c r="BA552" i="11"/>
  <c r="AY552" i="11"/>
  <c r="AX552" i="11"/>
  <c r="AZ552" i="11" s="1"/>
  <c r="AW552" i="11"/>
  <c r="AV552" i="11"/>
  <c r="AU552" i="11"/>
  <c r="AT552" i="11"/>
  <c r="BR551" i="11"/>
  <c r="BQ551" i="11"/>
  <c r="BP551" i="11"/>
  <c r="BN551" i="11"/>
  <c r="BM551" i="11"/>
  <c r="BL551" i="11"/>
  <c r="BK551" i="11"/>
  <c r="BJ551" i="11"/>
  <c r="BI551" i="11"/>
  <c r="BH551" i="11"/>
  <c r="BG551" i="11"/>
  <c r="BE551" i="11"/>
  <c r="BD551" i="11"/>
  <c r="BF551" i="11" s="1"/>
  <c r="BC551" i="11"/>
  <c r="BB551" i="11"/>
  <c r="BA551" i="11"/>
  <c r="AY551" i="11"/>
  <c r="AX551" i="11"/>
  <c r="AZ551" i="11" s="1"/>
  <c r="AW551" i="11"/>
  <c r="AV551" i="11"/>
  <c r="AU551" i="11"/>
  <c r="AT551" i="11"/>
  <c r="BR550" i="11"/>
  <c r="BQ550" i="11"/>
  <c r="BP550" i="11"/>
  <c r="BN550" i="11"/>
  <c r="BM550" i="11"/>
  <c r="BL550" i="11"/>
  <c r="BK550" i="11"/>
  <c r="BJ550" i="11"/>
  <c r="BI550" i="11"/>
  <c r="BH550" i="11"/>
  <c r="BG550" i="11"/>
  <c r="BF550" i="11"/>
  <c r="BE550" i="11"/>
  <c r="BD550" i="11"/>
  <c r="BC550" i="11"/>
  <c r="BB550" i="11"/>
  <c r="BA550" i="11"/>
  <c r="AY550" i="11"/>
  <c r="AX550" i="11"/>
  <c r="AZ550" i="11" s="1"/>
  <c r="AW550" i="11"/>
  <c r="AV550" i="11"/>
  <c r="AU550" i="11"/>
  <c r="AT550" i="11"/>
  <c r="BR549" i="11"/>
  <c r="BQ549" i="11"/>
  <c r="BP549" i="11"/>
  <c r="BN549" i="11"/>
  <c r="BM549" i="11"/>
  <c r="BL549" i="11"/>
  <c r="BK549" i="11"/>
  <c r="BJ549" i="11"/>
  <c r="BI549" i="11"/>
  <c r="BH549" i="11"/>
  <c r="BG549" i="11"/>
  <c r="BE549" i="11"/>
  <c r="BF549" i="11" s="1"/>
  <c r="BD549" i="11"/>
  <c r="BB549" i="11"/>
  <c r="BC549" i="11" s="1"/>
  <c r="BA549" i="11"/>
  <c r="AY549" i="11"/>
  <c r="AX549" i="11"/>
  <c r="AZ549" i="11" s="1"/>
  <c r="AW549" i="11"/>
  <c r="AV549" i="11"/>
  <c r="AU549" i="11"/>
  <c r="AT549" i="11"/>
  <c r="BR548" i="11"/>
  <c r="BQ548" i="11"/>
  <c r="BP548" i="11"/>
  <c r="BN548" i="11"/>
  <c r="BM548" i="11"/>
  <c r="BL548" i="11"/>
  <c r="BK548" i="11"/>
  <c r="BJ548" i="11"/>
  <c r="BI548" i="11"/>
  <c r="BH548" i="11"/>
  <c r="BG548" i="11"/>
  <c r="BF548" i="11"/>
  <c r="BE548" i="11"/>
  <c r="BD548" i="11"/>
  <c r="BC548" i="11"/>
  <c r="BB548" i="11"/>
  <c r="BA548" i="11"/>
  <c r="AY548" i="11"/>
  <c r="AX548" i="11"/>
  <c r="AZ548" i="11" s="1"/>
  <c r="AW548" i="11"/>
  <c r="AV548" i="11"/>
  <c r="AU548" i="11"/>
  <c r="AT548" i="11"/>
  <c r="BR547" i="11"/>
  <c r="BQ547" i="11"/>
  <c r="BP547" i="11"/>
  <c r="BN547" i="11"/>
  <c r="BM547" i="11"/>
  <c r="BL547" i="11"/>
  <c r="BK547" i="11"/>
  <c r="BJ547" i="11"/>
  <c r="BI547" i="11"/>
  <c r="BH547" i="11"/>
  <c r="BG547" i="11"/>
  <c r="BE547" i="11"/>
  <c r="BF547" i="11" s="1"/>
  <c r="BD547" i="11"/>
  <c r="BC547" i="11"/>
  <c r="BB547" i="11"/>
  <c r="BA547" i="11"/>
  <c r="AY547" i="11"/>
  <c r="AX547" i="11"/>
  <c r="AZ547" i="11" s="1"/>
  <c r="AW547" i="11"/>
  <c r="AV547" i="11"/>
  <c r="AU547" i="11"/>
  <c r="AT547" i="11"/>
  <c r="BR546" i="11"/>
  <c r="BQ546" i="11"/>
  <c r="BP546" i="11"/>
  <c r="BN546" i="11"/>
  <c r="BM546" i="11"/>
  <c r="BL546" i="11"/>
  <c r="BK546" i="11"/>
  <c r="BJ546" i="11"/>
  <c r="BI546" i="11"/>
  <c r="BH546" i="11"/>
  <c r="BG546" i="11"/>
  <c r="BF546" i="11"/>
  <c r="BE546" i="11"/>
  <c r="BD546" i="11"/>
  <c r="BB546" i="11"/>
  <c r="BC546" i="11" s="1"/>
  <c r="BA546" i="11"/>
  <c r="AY546" i="11"/>
  <c r="AX546" i="11"/>
  <c r="AZ546" i="11" s="1"/>
  <c r="AW546" i="11"/>
  <c r="AV546" i="11"/>
  <c r="AU546" i="11"/>
  <c r="AT546" i="11"/>
  <c r="BR545" i="11"/>
  <c r="BQ545" i="11"/>
  <c r="BP545" i="11"/>
  <c r="BN545" i="11"/>
  <c r="BM545" i="11"/>
  <c r="BL545" i="11"/>
  <c r="BK545" i="11"/>
  <c r="BJ545" i="11"/>
  <c r="BI545" i="11"/>
  <c r="BH545" i="11"/>
  <c r="BG545" i="11"/>
  <c r="BF545" i="11"/>
  <c r="BE545" i="11"/>
  <c r="BD545" i="11"/>
  <c r="BC545" i="11"/>
  <c r="BB545" i="11"/>
  <c r="BA545" i="11"/>
  <c r="AY545" i="11"/>
  <c r="AX545" i="11"/>
  <c r="AZ545" i="11" s="1"/>
  <c r="AW545" i="11"/>
  <c r="AV545" i="11"/>
  <c r="AU545" i="11"/>
  <c r="AT545" i="11"/>
  <c r="BR544" i="11"/>
  <c r="BQ544" i="11"/>
  <c r="BP544" i="11"/>
  <c r="BN544" i="11"/>
  <c r="BM544" i="11"/>
  <c r="BL544" i="11"/>
  <c r="BK544" i="11"/>
  <c r="BJ544" i="11"/>
  <c r="BI544" i="11"/>
  <c r="BH544" i="11"/>
  <c r="BG544" i="11"/>
  <c r="BE544" i="11"/>
  <c r="BD544" i="11"/>
  <c r="BF544" i="11" s="1"/>
  <c r="BB544" i="11"/>
  <c r="BC544" i="11" s="1"/>
  <c r="BA544" i="11"/>
  <c r="AY544" i="11"/>
  <c r="AX544" i="11"/>
  <c r="AZ544" i="11" s="1"/>
  <c r="AW544" i="11"/>
  <c r="AV544" i="11"/>
  <c r="AU544" i="11"/>
  <c r="AT544" i="11"/>
  <c r="BR543" i="11"/>
  <c r="BQ543" i="11"/>
  <c r="BP543" i="11"/>
  <c r="BN543" i="11"/>
  <c r="BM543" i="11"/>
  <c r="BL543" i="11"/>
  <c r="BK543" i="11"/>
  <c r="BJ543" i="11"/>
  <c r="BI543" i="11"/>
  <c r="BH543" i="11"/>
  <c r="BG543" i="11"/>
  <c r="BE543" i="11"/>
  <c r="BD543" i="11"/>
  <c r="BF543" i="11" s="1"/>
  <c r="BC543" i="11"/>
  <c r="BB543" i="11"/>
  <c r="BA543" i="11"/>
  <c r="AY543" i="11"/>
  <c r="AX543" i="11"/>
  <c r="AZ543" i="11" s="1"/>
  <c r="AW543" i="11"/>
  <c r="AV543" i="11"/>
  <c r="AU543" i="11"/>
  <c r="AT543" i="11"/>
  <c r="BR542" i="11"/>
  <c r="BQ542" i="11"/>
  <c r="BP542" i="11"/>
  <c r="BN542" i="11"/>
  <c r="BM542" i="11"/>
  <c r="BL542" i="11"/>
  <c r="BK542" i="11"/>
  <c r="BJ542" i="11"/>
  <c r="BI542" i="11"/>
  <c r="BH542" i="11"/>
  <c r="BG542" i="11"/>
  <c r="BF542" i="11"/>
  <c r="BE542" i="11"/>
  <c r="BD542" i="11"/>
  <c r="BC542" i="11"/>
  <c r="BB542" i="11"/>
  <c r="BA542" i="11"/>
  <c r="AY542" i="11"/>
  <c r="AX542" i="11"/>
  <c r="AZ542" i="11" s="1"/>
  <c r="AW542" i="11"/>
  <c r="AV542" i="11"/>
  <c r="AU542" i="11"/>
  <c r="AT542" i="11"/>
  <c r="BR541" i="11"/>
  <c r="BQ541" i="11"/>
  <c r="BP541" i="11"/>
  <c r="BN541" i="11"/>
  <c r="BM541" i="11"/>
  <c r="BL541" i="11"/>
  <c r="BK541" i="11"/>
  <c r="BJ541" i="11"/>
  <c r="BI541" i="11"/>
  <c r="BH541" i="11"/>
  <c r="BG541" i="11"/>
  <c r="BF541" i="11"/>
  <c r="BE541" i="11"/>
  <c r="BD541" i="11"/>
  <c r="BB541" i="11"/>
  <c r="BC541" i="11" s="1"/>
  <c r="BA541" i="11"/>
  <c r="AY541" i="11"/>
  <c r="AX541" i="11"/>
  <c r="AZ541" i="11" s="1"/>
  <c r="AW541" i="11"/>
  <c r="AV541" i="11"/>
  <c r="AU541" i="11"/>
  <c r="AT541" i="11"/>
  <c r="BR540" i="11"/>
  <c r="BQ540" i="11"/>
  <c r="BP540" i="11"/>
  <c r="BN540" i="11"/>
  <c r="BM540" i="11"/>
  <c r="BL540" i="11"/>
  <c r="BK540" i="11"/>
  <c r="BJ540" i="11"/>
  <c r="BI540" i="11"/>
  <c r="BH540" i="11"/>
  <c r="BG540" i="11"/>
  <c r="BE540" i="11"/>
  <c r="BD540" i="11"/>
  <c r="BB540" i="11"/>
  <c r="BC540" i="11" s="1"/>
  <c r="BA540" i="11"/>
  <c r="AY540" i="11"/>
  <c r="AX540" i="11"/>
  <c r="AZ540" i="11" s="1"/>
  <c r="AW540" i="11"/>
  <c r="AV540" i="11"/>
  <c r="AU540" i="11"/>
  <c r="AT540" i="11"/>
  <c r="BR539" i="11"/>
  <c r="BQ539" i="11"/>
  <c r="BP539" i="11"/>
  <c r="BN539" i="11"/>
  <c r="BM539" i="11"/>
  <c r="BL539" i="11"/>
  <c r="BK539" i="11"/>
  <c r="BJ539" i="11"/>
  <c r="BI539" i="11"/>
  <c r="BH539" i="11"/>
  <c r="BG539" i="11"/>
  <c r="BE539" i="11"/>
  <c r="BD539" i="11"/>
  <c r="BF539" i="11" s="1"/>
  <c r="BC539" i="11"/>
  <c r="BB539" i="11"/>
  <c r="BA539" i="11"/>
  <c r="AY539" i="11"/>
  <c r="AX539" i="11"/>
  <c r="AZ539" i="11" s="1"/>
  <c r="AW539" i="11"/>
  <c r="AV539" i="11"/>
  <c r="AU539" i="11"/>
  <c r="AT539" i="11"/>
  <c r="BR538" i="11"/>
  <c r="BQ538" i="11"/>
  <c r="BP538" i="11"/>
  <c r="BN538" i="11"/>
  <c r="BM538" i="11"/>
  <c r="BL538" i="11"/>
  <c r="BK538" i="11"/>
  <c r="BJ538" i="11"/>
  <c r="BI538" i="11"/>
  <c r="BH538" i="11"/>
  <c r="BG538" i="11"/>
  <c r="BF538" i="11"/>
  <c r="BE538" i="11"/>
  <c r="BD538" i="11"/>
  <c r="BC538" i="11"/>
  <c r="BB538" i="11"/>
  <c r="BA538" i="11"/>
  <c r="AY538" i="11"/>
  <c r="AX538" i="11"/>
  <c r="AZ538" i="11" s="1"/>
  <c r="AW538" i="11"/>
  <c r="AV538" i="11"/>
  <c r="AU538" i="11"/>
  <c r="AT538" i="11"/>
  <c r="BR537" i="11"/>
  <c r="BQ537" i="11"/>
  <c r="BP537" i="11"/>
  <c r="BN537" i="11"/>
  <c r="BM537" i="11"/>
  <c r="BL537" i="11"/>
  <c r="BK537" i="11"/>
  <c r="BJ537" i="11"/>
  <c r="BI537" i="11"/>
  <c r="BH537" i="11"/>
  <c r="BG537" i="11"/>
  <c r="BE537" i="11"/>
  <c r="BF537" i="11" s="1"/>
  <c r="BD537" i="11"/>
  <c r="BB537" i="11"/>
  <c r="BC537" i="11" s="1"/>
  <c r="BA537" i="11"/>
  <c r="AY537" i="11"/>
  <c r="AX537" i="11"/>
  <c r="AZ537" i="11" s="1"/>
  <c r="AW537" i="11"/>
  <c r="AV537" i="11"/>
  <c r="AU537" i="11"/>
  <c r="AT537" i="11"/>
  <c r="BR536" i="11"/>
  <c r="BQ536" i="11"/>
  <c r="BP536" i="11"/>
  <c r="BN536" i="11"/>
  <c r="BM536" i="11"/>
  <c r="BL536" i="11"/>
  <c r="BK536" i="11"/>
  <c r="BJ536" i="11"/>
  <c r="BI536" i="11"/>
  <c r="BH536" i="11"/>
  <c r="BG536" i="11"/>
  <c r="BF536" i="11"/>
  <c r="BE536" i="11"/>
  <c r="BD536" i="11"/>
  <c r="BC536" i="11"/>
  <c r="BB536" i="11"/>
  <c r="BA536" i="11"/>
  <c r="AY536" i="11"/>
  <c r="AX536" i="11"/>
  <c r="AZ536" i="11" s="1"/>
  <c r="AW536" i="11"/>
  <c r="AV536" i="11"/>
  <c r="AU536" i="11"/>
  <c r="AT536" i="11"/>
  <c r="BR535" i="11"/>
  <c r="BQ535" i="11"/>
  <c r="BP535" i="11"/>
  <c r="BN535" i="11"/>
  <c r="BM535" i="11"/>
  <c r="BL535" i="11"/>
  <c r="BK535" i="11"/>
  <c r="BJ535" i="11"/>
  <c r="BI535" i="11"/>
  <c r="BH535" i="11"/>
  <c r="BG535" i="11"/>
  <c r="BE535" i="11"/>
  <c r="BF535" i="11" s="1"/>
  <c r="BD535" i="11"/>
  <c r="BC535" i="11"/>
  <c r="BB535" i="11"/>
  <c r="BA535" i="11"/>
  <c r="AY535" i="11"/>
  <c r="AX535" i="11"/>
  <c r="AZ535" i="11" s="1"/>
  <c r="AW535" i="11"/>
  <c r="AV535" i="11"/>
  <c r="AU535" i="11"/>
  <c r="AT535" i="11"/>
  <c r="BR534" i="11"/>
  <c r="BQ534" i="11"/>
  <c r="BP534" i="11"/>
  <c r="BN534" i="11"/>
  <c r="BM534" i="11"/>
  <c r="BL534" i="11"/>
  <c r="BK534" i="11"/>
  <c r="BJ534" i="11"/>
  <c r="BI534" i="11"/>
  <c r="BH534" i="11"/>
  <c r="BG534" i="11"/>
  <c r="BF534" i="11"/>
  <c r="BE534" i="11"/>
  <c r="BD534" i="11"/>
  <c r="BB534" i="11"/>
  <c r="BC534" i="11" s="1"/>
  <c r="BA534" i="11"/>
  <c r="AY534" i="11"/>
  <c r="AX534" i="11"/>
  <c r="AZ534" i="11" s="1"/>
  <c r="AW534" i="11"/>
  <c r="AV534" i="11"/>
  <c r="AU534" i="11"/>
  <c r="AT534" i="11"/>
  <c r="BR533" i="11"/>
  <c r="BQ533" i="11"/>
  <c r="BP533" i="11"/>
  <c r="BN533" i="11"/>
  <c r="BM533" i="11"/>
  <c r="BL533" i="11"/>
  <c r="BK533" i="11"/>
  <c r="BJ533" i="11"/>
  <c r="BI533" i="11"/>
  <c r="BH533" i="11"/>
  <c r="BG533" i="11"/>
  <c r="BF533" i="11"/>
  <c r="BE533" i="11"/>
  <c r="BD533" i="11"/>
  <c r="BC533" i="11"/>
  <c r="BB533" i="11"/>
  <c r="BA533" i="11"/>
  <c r="AY533" i="11"/>
  <c r="AX533" i="11"/>
  <c r="AZ533" i="11" s="1"/>
  <c r="AW533" i="11"/>
  <c r="AV533" i="11"/>
  <c r="AU533" i="11"/>
  <c r="AT533" i="11"/>
  <c r="BR532" i="11"/>
  <c r="BQ532" i="11"/>
  <c r="BP532" i="11"/>
  <c r="BN532" i="11"/>
  <c r="BM532" i="11"/>
  <c r="BL532" i="11"/>
  <c r="BK532" i="11"/>
  <c r="BJ532" i="11"/>
  <c r="BI532" i="11"/>
  <c r="BH532" i="11"/>
  <c r="BG532" i="11"/>
  <c r="BE532" i="11"/>
  <c r="BD532" i="11"/>
  <c r="BB532" i="11"/>
  <c r="BC532" i="11" s="1"/>
  <c r="BA532" i="11"/>
  <c r="AY532" i="11"/>
  <c r="AX532" i="11"/>
  <c r="AZ532" i="11" s="1"/>
  <c r="AW532" i="11"/>
  <c r="AV532" i="11"/>
  <c r="AU532" i="11"/>
  <c r="AT532" i="11"/>
  <c r="BR531" i="11"/>
  <c r="BQ531" i="11"/>
  <c r="BP531" i="11"/>
  <c r="BN531" i="11"/>
  <c r="BM531" i="11"/>
  <c r="BL531" i="11"/>
  <c r="BK531" i="11"/>
  <c r="BJ531" i="11"/>
  <c r="BI531" i="11"/>
  <c r="BH531" i="11"/>
  <c r="BG531" i="11"/>
  <c r="BE531" i="11"/>
  <c r="BD531" i="11"/>
  <c r="BF531" i="11" s="1"/>
  <c r="BC531" i="11"/>
  <c r="BB531" i="11"/>
  <c r="BA531" i="11"/>
  <c r="AY531" i="11"/>
  <c r="AX531" i="11"/>
  <c r="AZ531" i="11" s="1"/>
  <c r="AW531" i="11"/>
  <c r="AV531" i="11"/>
  <c r="AU531" i="11"/>
  <c r="AT531" i="11"/>
  <c r="BR530" i="11"/>
  <c r="BQ530" i="11"/>
  <c r="BP530" i="11"/>
  <c r="BN530" i="11"/>
  <c r="BM530" i="11"/>
  <c r="BL530" i="11"/>
  <c r="BK530" i="11"/>
  <c r="BJ530" i="11"/>
  <c r="BI530" i="11"/>
  <c r="BH530" i="11"/>
  <c r="BG530" i="11"/>
  <c r="BF530" i="11"/>
  <c r="BE530" i="11"/>
  <c r="BD530" i="11"/>
  <c r="BB530" i="11"/>
  <c r="BC530" i="11" s="1"/>
  <c r="BA530" i="11"/>
  <c r="AY530" i="11"/>
  <c r="AX530" i="11"/>
  <c r="AZ530" i="11" s="1"/>
  <c r="AW530" i="11"/>
  <c r="AV530" i="11"/>
  <c r="AU530" i="11"/>
  <c r="AT530" i="11"/>
  <c r="BR529" i="11"/>
  <c r="BQ529" i="11"/>
  <c r="BP529" i="11"/>
  <c r="BN529" i="11"/>
  <c r="BM529" i="11"/>
  <c r="BL529" i="11"/>
  <c r="BK529" i="11"/>
  <c r="BJ529" i="11"/>
  <c r="BI529" i="11"/>
  <c r="BH529" i="11"/>
  <c r="BG529" i="11"/>
  <c r="BE529" i="11"/>
  <c r="BF529" i="11" s="1"/>
  <c r="BD529" i="11"/>
  <c r="BB529" i="11"/>
  <c r="BC529" i="11" s="1"/>
  <c r="BA529" i="11"/>
  <c r="AY529" i="11"/>
  <c r="AX529" i="11"/>
  <c r="AZ529" i="11" s="1"/>
  <c r="AW529" i="11"/>
  <c r="AV529" i="11"/>
  <c r="AU529" i="11"/>
  <c r="AT529" i="11"/>
  <c r="BR528" i="11"/>
  <c r="BQ528" i="11"/>
  <c r="BP528" i="11"/>
  <c r="BN528" i="11"/>
  <c r="BM528" i="11"/>
  <c r="BL528" i="11"/>
  <c r="BK528" i="11"/>
  <c r="BJ528" i="11"/>
  <c r="BI528" i="11"/>
  <c r="BH528" i="11"/>
  <c r="BG528" i="11"/>
  <c r="BE528" i="11"/>
  <c r="BD528" i="11"/>
  <c r="BF528" i="11" s="1"/>
  <c r="BB528" i="11"/>
  <c r="BC528" i="11" s="1"/>
  <c r="BA528" i="11"/>
  <c r="AY528" i="11"/>
  <c r="AX528" i="11"/>
  <c r="AZ528" i="11" s="1"/>
  <c r="AW528" i="11"/>
  <c r="AV528" i="11"/>
  <c r="AU528" i="11"/>
  <c r="AT528" i="11"/>
  <c r="BR527" i="11"/>
  <c r="BQ527" i="11"/>
  <c r="BP527" i="11"/>
  <c r="BN527" i="11"/>
  <c r="BM527" i="11"/>
  <c r="BL527" i="11"/>
  <c r="BK527" i="11"/>
  <c r="BJ527" i="11"/>
  <c r="BI527" i="11"/>
  <c r="BH527" i="11"/>
  <c r="BG527" i="11"/>
  <c r="BE527" i="11"/>
  <c r="BD527" i="11"/>
  <c r="BF527" i="11" s="1"/>
  <c r="BC527" i="11"/>
  <c r="BB527" i="11"/>
  <c r="BA527" i="11"/>
  <c r="AY527" i="11"/>
  <c r="AX527" i="11"/>
  <c r="AZ527" i="11" s="1"/>
  <c r="AW527" i="11"/>
  <c r="AV527" i="11"/>
  <c r="AU527" i="11"/>
  <c r="AT527" i="11"/>
  <c r="BR526" i="11"/>
  <c r="BQ526" i="11"/>
  <c r="BP526" i="11"/>
  <c r="BN526" i="11"/>
  <c r="BM526" i="11"/>
  <c r="BL526" i="11"/>
  <c r="BK526" i="11"/>
  <c r="BJ526" i="11"/>
  <c r="BI526" i="11"/>
  <c r="BH526" i="11"/>
  <c r="BG526" i="11"/>
  <c r="BF526" i="11"/>
  <c r="BE526" i="11"/>
  <c r="BD526" i="11"/>
  <c r="BB526" i="11"/>
  <c r="BC526" i="11" s="1"/>
  <c r="BA526" i="11"/>
  <c r="AY526" i="11"/>
  <c r="AX526" i="11"/>
  <c r="AZ526" i="11" s="1"/>
  <c r="AW526" i="11"/>
  <c r="AV526" i="11"/>
  <c r="AU526" i="11"/>
  <c r="AT526" i="11"/>
  <c r="BR525" i="11"/>
  <c r="BQ525" i="11"/>
  <c r="BP525" i="11"/>
  <c r="BN525" i="11"/>
  <c r="BM525" i="11"/>
  <c r="BL525" i="11"/>
  <c r="BK525" i="11"/>
  <c r="BJ525" i="11"/>
  <c r="BI525" i="11"/>
  <c r="BH525" i="11"/>
  <c r="BG525" i="11"/>
  <c r="BE525" i="11"/>
  <c r="BF525" i="11" s="1"/>
  <c r="BD525" i="11"/>
  <c r="BB525" i="11"/>
  <c r="BC525" i="11" s="1"/>
  <c r="BA525" i="11"/>
  <c r="AY525" i="11"/>
  <c r="AX525" i="11"/>
  <c r="AZ525" i="11" s="1"/>
  <c r="AW525" i="11"/>
  <c r="AV525" i="11"/>
  <c r="AU525" i="11"/>
  <c r="AT525" i="11"/>
  <c r="BR524" i="11"/>
  <c r="BQ524" i="11"/>
  <c r="BP524" i="11"/>
  <c r="BN524" i="11"/>
  <c r="BM524" i="11"/>
  <c r="BL524" i="11"/>
  <c r="BK524" i="11"/>
  <c r="BJ524" i="11"/>
  <c r="BI524" i="11"/>
  <c r="BH524" i="11"/>
  <c r="BG524" i="11"/>
  <c r="BF524" i="11"/>
  <c r="BE524" i="11"/>
  <c r="BD524" i="11"/>
  <c r="BC524" i="11"/>
  <c r="BB524" i="11"/>
  <c r="BA524" i="11"/>
  <c r="AY524" i="11"/>
  <c r="AX524" i="11"/>
  <c r="AZ524" i="11" s="1"/>
  <c r="AW524" i="11"/>
  <c r="AV524" i="11"/>
  <c r="AU524" i="11"/>
  <c r="AT524" i="11"/>
  <c r="BR523" i="11"/>
  <c r="BQ523" i="11"/>
  <c r="BP523" i="11"/>
  <c r="BN523" i="11"/>
  <c r="BM523" i="11"/>
  <c r="BL523" i="11"/>
  <c r="BK523" i="11"/>
  <c r="BJ523" i="11"/>
  <c r="BI523" i="11"/>
  <c r="BH523" i="11"/>
  <c r="BG523" i="11"/>
  <c r="BE523" i="11"/>
  <c r="BF523" i="11" s="1"/>
  <c r="BD523" i="11"/>
  <c r="BC523" i="11"/>
  <c r="BB523" i="11"/>
  <c r="BA523" i="11"/>
  <c r="AY523" i="11"/>
  <c r="AX523" i="11"/>
  <c r="AZ523" i="11" s="1"/>
  <c r="AW523" i="11"/>
  <c r="AV523" i="11"/>
  <c r="AU523" i="11"/>
  <c r="AT523" i="11"/>
  <c r="BR522" i="11"/>
  <c r="BQ522" i="11"/>
  <c r="BP522" i="11"/>
  <c r="BN522" i="11"/>
  <c r="BM522" i="11"/>
  <c r="BL522" i="11"/>
  <c r="BK522" i="11"/>
  <c r="BJ522" i="11"/>
  <c r="BI522" i="11"/>
  <c r="BH522" i="11"/>
  <c r="BG522" i="11"/>
  <c r="BF522" i="11"/>
  <c r="BE522" i="11"/>
  <c r="BD522" i="11"/>
  <c r="BB522" i="11"/>
  <c r="BC522" i="11" s="1"/>
  <c r="BA522" i="11"/>
  <c r="AY522" i="11"/>
  <c r="AX522" i="11"/>
  <c r="AZ522" i="11" s="1"/>
  <c r="AW522" i="11"/>
  <c r="AV522" i="11"/>
  <c r="AU522" i="11"/>
  <c r="AT522" i="11"/>
  <c r="BR521" i="11"/>
  <c r="BQ521" i="11"/>
  <c r="BP521" i="11"/>
  <c r="BN521" i="11"/>
  <c r="BM521" i="11"/>
  <c r="BL521" i="11"/>
  <c r="BK521" i="11"/>
  <c r="BJ521" i="11"/>
  <c r="BI521" i="11"/>
  <c r="BH521" i="11"/>
  <c r="BG521" i="11"/>
  <c r="BE521" i="11"/>
  <c r="BF521" i="11" s="1"/>
  <c r="BD521" i="11"/>
  <c r="BC521" i="11"/>
  <c r="BB521" i="11"/>
  <c r="BA521" i="11"/>
  <c r="AY521" i="11"/>
  <c r="AX521" i="11"/>
  <c r="AZ521" i="11" s="1"/>
  <c r="AW521" i="11"/>
  <c r="AV521" i="11"/>
  <c r="AU521" i="11"/>
  <c r="AT521" i="11"/>
  <c r="BR520" i="11"/>
  <c r="BQ520" i="11"/>
  <c r="BP520" i="11"/>
  <c r="BN520" i="11"/>
  <c r="BM520" i="11"/>
  <c r="BL520" i="11"/>
  <c r="BK520" i="11"/>
  <c r="BJ520" i="11"/>
  <c r="BI520" i="11"/>
  <c r="BH520" i="11"/>
  <c r="BG520" i="11"/>
  <c r="BE520" i="11"/>
  <c r="BD520" i="11"/>
  <c r="BB520" i="11"/>
  <c r="BC520" i="11" s="1"/>
  <c r="BA520" i="11"/>
  <c r="AY520" i="11"/>
  <c r="AX520" i="11"/>
  <c r="AZ520" i="11" s="1"/>
  <c r="AW520" i="11"/>
  <c r="AV520" i="11"/>
  <c r="AU520" i="11"/>
  <c r="AT520" i="11"/>
  <c r="BR519" i="11"/>
  <c r="BQ519" i="11"/>
  <c r="BP519" i="11"/>
  <c r="BN519" i="11"/>
  <c r="BM519" i="11"/>
  <c r="BL519" i="11"/>
  <c r="BK519" i="11"/>
  <c r="BJ519" i="11"/>
  <c r="BI519" i="11"/>
  <c r="BH519" i="11"/>
  <c r="BG519" i="11"/>
  <c r="BE519" i="11"/>
  <c r="BD519" i="11"/>
  <c r="BF519" i="11" s="1"/>
  <c r="BC519" i="11"/>
  <c r="BB519" i="11"/>
  <c r="BA519" i="11"/>
  <c r="AY519" i="11"/>
  <c r="AX519" i="11"/>
  <c r="AZ519" i="11" s="1"/>
  <c r="AW519" i="11"/>
  <c r="AV519" i="11"/>
  <c r="AU519" i="11"/>
  <c r="AT519" i="11"/>
  <c r="BR518" i="11"/>
  <c r="BQ518" i="11"/>
  <c r="BP518" i="11"/>
  <c r="BN518" i="11"/>
  <c r="BM518" i="11"/>
  <c r="BL518" i="11"/>
  <c r="BK518" i="11"/>
  <c r="BJ518" i="11"/>
  <c r="BI518" i="11"/>
  <c r="BH518" i="11"/>
  <c r="BG518" i="11"/>
  <c r="BF518" i="11"/>
  <c r="BE518" i="11"/>
  <c r="BD518" i="11"/>
  <c r="BB518" i="11"/>
  <c r="BC518" i="11" s="1"/>
  <c r="BA518" i="11"/>
  <c r="AY518" i="11"/>
  <c r="AX518" i="11"/>
  <c r="AZ518" i="11" s="1"/>
  <c r="AW518" i="11"/>
  <c r="AV518" i="11"/>
  <c r="AU518" i="11"/>
  <c r="AT518" i="11"/>
  <c r="BR517" i="11"/>
  <c r="BQ517" i="11"/>
  <c r="BP517" i="11"/>
  <c r="BN517" i="11"/>
  <c r="BM517" i="11"/>
  <c r="BL517" i="11"/>
  <c r="BK517" i="11"/>
  <c r="BJ517" i="11"/>
  <c r="BI517" i="11"/>
  <c r="BH517" i="11"/>
  <c r="BG517" i="11"/>
  <c r="BF517" i="11"/>
  <c r="BE517" i="11"/>
  <c r="BD517" i="11"/>
  <c r="BB517" i="11"/>
  <c r="BC517" i="11" s="1"/>
  <c r="BA517" i="11"/>
  <c r="AY517" i="11"/>
  <c r="AX517" i="11"/>
  <c r="AZ517" i="11" s="1"/>
  <c r="AW517" i="11"/>
  <c r="AV517" i="11"/>
  <c r="AU517" i="11"/>
  <c r="AT517" i="11"/>
  <c r="BR516" i="11"/>
  <c r="BQ516" i="11"/>
  <c r="BP516" i="11"/>
  <c r="BN516" i="11"/>
  <c r="BM516" i="11"/>
  <c r="BL516" i="11"/>
  <c r="BK516" i="11"/>
  <c r="BJ516" i="11"/>
  <c r="BI516" i="11"/>
  <c r="BH516" i="11"/>
  <c r="BG516" i="11"/>
  <c r="BE516" i="11"/>
  <c r="BD516" i="11"/>
  <c r="BB516" i="11"/>
  <c r="BC516" i="11" s="1"/>
  <c r="BA516" i="11"/>
  <c r="AY516" i="11"/>
  <c r="AX516" i="11"/>
  <c r="AZ516" i="11" s="1"/>
  <c r="AW516" i="11"/>
  <c r="AV516" i="11"/>
  <c r="AU516" i="11"/>
  <c r="AT516" i="11"/>
  <c r="BR515" i="11"/>
  <c r="BQ515" i="11"/>
  <c r="BP515" i="11"/>
  <c r="BN515" i="11"/>
  <c r="BM515" i="11"/>
  <c r="BL515" i="11"/>
  <c r="BK515" i="11"/>
  <c r="BJ515" i="11"/>
  <c r="BI515" i="11"/>
  <c r="BH515" i="11"/>
  <c r="BG515" i="11"/>
  <c r="BE515" i="11"/>
  <c r="BD515" i="11"/>
  <c r="BF515" i="11" s="1"/>
  <c r="BC515" i="11"/>
  <c r="BB515" i="11"/>
  <c r="BA515" i="11"/>
  <c r="AY515" i="11"/>
  <c r="AX515" i="11"/>
  <c r="AZ515" i="11" s="1"/>
  <c r="AW515" i="11"/>
  <c r="AV515" i="11"/>
  <c r="AU515" i="11"/>
  <c r="AT515" i="11"/>
  <c r="BR514" i="11"/>
  <c r="BQ514" i="11"/>
  <c r="BP514" i="11"/>
  <c r="BN514" i="11"/>
  <c r="BM514" i="11"/>
  <c r="BL514" i="11"/>
  <c r="BK514" i="11"/>
  <c r="BJ514" i="11"/>
  <c r="BI514" i="11"/>
  <c r="BH514" i="11"/>
  <c r="BG514" i="11"/>
  <c r="BF514" i="11"/>
  <c r="BE514" i="11"/>
  <c r="BD514" i="11"/>
  <c r="BC514" i="11"/>
  <c r="BB514" i="11"/>
  <c r="BA514" i="11"/>
  <c r="AY514" i="11"/>
  <c r="AX514" i="11"/>
  <c r="AZ514" i="11" s="1"/>
  <c r="AW514" i="11"/>
  <c r="AV514" i="11"/>
  <c r="AU514" i="11"/>
  <c r="AT514" i="11"/>
  <c r="BR513" i="11"/>
  <c r="BQ513" i="11"/>
  <c r="BP513" i="11"/>
  <c r="BN513" i="11"/>
  <c r="BM513" i="11"/>
  <c r="BL513" i="11"/>
  <c r="BK513" i="11"/>
  <c r="BJ513" i="11"/>
  <c r="BI513" i="11"/>
  <c r="BH513" i="11"/>
  <c r="BG513" i="11"/>
  <c r="BE513" i="11"/>
  <c r="BF513" i="11" s="1"/>
  <c r="BD513" i="11"/>
  <c r="BB513" i="11"/>
  <c r="BC513" i="11" s="1"/>
  <c r="BA513" i="11"/>
  <c r="AY513" i="11"/>
  <c r="AX513" i="11"/>
  <c r="AZ513" i="11" s="1"/>
  <c r="AW513" i="11"/>
  <c r="AV513" i="11"/>
  <c r="AU513" i="11"/>
  <c r="AT513" i="11"/>
  <c r="BR512" i="11"/>
  <c r="BQ512" i="11"/>
  <c r="BP512" i="11"/>
  <c r="BN512" i="11"/>
  <c r="BM512" i="11"/>
  <c r="BL512" i="11"/>
  <c r="BK512" i="11"/>
  <c r="BJ512" i="11"/>
  <c r="BI512" i="11"/>
  <c r="BH512" i="11"/>
  <c r="BG512" i="11"/>
  <c r="BF512" i="11"/>
  <c r="BE512" i="11"/>
  <c r="BD512" i="11"/>
  <c r="BB512" i="11"/>
  <c r="BC512" i="11" s="1"/>
  <c r="BA512" i="11"/>
  <c r="AY512" i="11"/>
  <c r="AX512" i="11"/>
  <c r="AZ512" i="11" s="1"/>
  <c r="AW512" i="11"/>
  <c r="AV512" i="11"/>
  <c r="AU512" i="11"/>
  <c r="AT512" i="11"/>
  <c r="BR511" i="11"/>
  <c r="BQ511" i="11"/>
  <c r="BP511" i="11"/>
  <c r="BN511" i="11"/>
  <c r="BM511" i="11"/>
  <c r="BL511" i="11"/>
  <c r="BK511" i="11"/>
  <c r="BJ511" i="11"/>
  <c r="BI511" i="11"/>
  <c r="BH511" i="11"/>
  <c r="BG511" i="11"/>
  <c r="BE511" i="11"/>
  <c r="BF511" i="11" s="1"/>
  <c r="BD511" i="11"/>
  <c r="BC511" i="11"/>
  <c r="BB511" i="11"/>
  <c r="BA511" i="11"/>
  <c r="AY511" i="11"/>
  <c r="AX511" i="11"/>
  <c r="AZ511" i="11" s="1"/>
  <c r="AW511" i="11"/>
  <c r="AV511" i="11"/>
  <c r="AU511" i="11"/>
  <c r="AT511" i="11"/>
  <c r="BR510" i="11"/>
  <c r="BQ510" i="11"/>
  <c r="BP510" i="11"/>
  <c r="BN510" i="11"/>
  <c r="BM510" i="11"/>
  <c r="BL510" i="11"/>
  <c r="BK510" i="11"/>
  <c r="BJ510" i="11"/>
  <c r="BI510" i="11"/>
  <c r="BH510" i="11"/>
  <c r="BG510" i="11"/>
  <c r="BF510" i="11"/>
  <c r="BE510" i="11"/>
  <c r="BD510" i="11"/>
  <c r="BB510" i="11"/>
  <c r="BC510" i="11" s="1"/>
  <c r="BA510" i="11"/>
  <c r="AY510" i="11"/>
  <c r="AX510" i="11"/>
  <c r="AZ510" i="11" s="1"/>
  <c r="AW510" i="11"/>
  <c r="AV510" i="11"/>
  <c r="AU510" i="11"/>
  <c r="AT510" i="11"/>
  <c r="BR509" i="11"/>
  <c r="BQ509" i="11"/>
  <c r="BP509" i="11"/>
  <c r="BN509" i="11"/>
  <c r="BM509" i="11"/>
  <c r="BL509" i="11"/>
  <c r="BK509" i="11"/>
  <c r="BJ509" i="11"/>
  <c r="BI509" i="11"/>
  <c r="BH509" i="11"/>
  <c r="BG509" i="11"/>
  <c r="BE509" i="11"/>
  <c r="BF509" i="11" s="1"/>
  <c r="BD509" i="11"/>
  <c r="BC509" i="11"/>
  <c r="BB509" i="11"/>
  <c r="BA509" i="11"/>
  <c r="AY509" i="11"/>
  <c r="AX509" i="11"/>
  <c r="AZ509" i="11" s="1"/>
  <c r="AW509" i="11"/>
  <c r="AV509" i="11"/>
  <c r="AU509" i="11"/>
  <c r="AT509" i="11"/>
  <c r="BR508" i="11"/>
  <c r="BQ508" i="11"/>
  <c r="BP508" i="11"/>
  <c r="BN508" i="11"/>
  <c r="BM508" i="11"/>
  <c r="BL508" i="11"/>
  <c r="BK508" i="11"/>
  <c r="BJ508" i="11"/>
  <c r="BI508" i="11"/>
  <c r="BH508" i="11"/>
  <c r="BG508" i="11"/>
  <c r="BE508" i="11"/>
  <c r="BD508" i="11"/>
  <c r="BB508" i="11"/>
  <c r="BC508" i="11" s="1"/>
  <c r="BA508" i="11"/>
  <c r="AY508" i="11"/>
  <c r="AX508" i="11"/>
  <c r="AZ508" i="11" s="1"/>
  <c r="AW508" i="11"/>
  <c r="AV508" i="11"/>
  <c r="AU508" i="11"/>
  <c r="AT508" i="11"/>
  <c r="BR507" i="11"/>
  <c r="BQ507" i="11"/>
  <c r="BP507" i="11"/>
  <c r="BN507" i="11"/>
  <c r="BM507" i="11"/>
  <c r="BL507" i="11"/>
  <c r="BK507" i="11"/>
  <c r="BJ507" i="11"/>
  <c r="BI507" i="11"/>
  <c r="BH507" i="11"/>
  <c r="BG507" i="11"/>
  <c r="BE507" i="11"/>
  <c r="BD507" i="11"/>
  <c r="BF507" i="11" s="1"/>
  <c r="BC507" i="11"/>
  <c r="BB507" i="11"/>
  <c r="BA507" i="11"/>
  <c r="AY507" i="11"/>
  <c r="AX507" i="11"/>
  <c r="AZ507" i="11" s="1"/>
  <c r="AW507" i="11"/>
  <c r="AV507" i="11"/>
  <c r="AU507" i="11"/>
  <c r="AT507" i="11"/>
  <c r="BR506" i="11"/>
  <c r="BQ506" i="11"/>
  <c r="BP506" i="11"/>
  <c r="BN506" i="11"/>
  <c r="BM506" i="11"/>
  <c r="BL506" i="11"/>
  <c r="BK506" i="11"/>
  <c r="BJ506" i="11"/>
  <c r="BI506" i="11"/>
  <c r="BH506" i="11"/>
  <c r="BG506" i="11"/>
  <c r="BF506" i="11"/>
  <c r="BE506" i="11"/>
  <c r="BD506" i="11"/>
  <c r="BB506" i="11"/>
  <c r="BC506" i="11" s="1"/>
  <c r="BA506" i="11"/>
  <c r="AY506" i="11"/>
  <c r="AX506" i="11"/>
  <c r="AZ506" i="11" s="1"/>
  <c r="AW506" i="11"/>
  <c r="AV506" i="11"/>
  <c r="AU506" i="11"/>
  <c r="AT506" i="11"/>
  <c r="BR505" i="11"/>
  <c r="BQ505" i="11"/>
  <c r="BP505" i="11"/>
  <c r="BN505" i="11"/>
  <c r="BM505" i="11"/>
  <c r="BL505" i="11"/>
  <c r="BK505" i="11"/>
  <c r="BJ505" i="11"/>
  <c r="BI505" i="11"/>
  <c r="BH505" i="11"/>
  <c r="BG505" i="11"/>
  <c r="BF505" i="11"/>
  <c r="BE505" i="11"/>
  <c r="BD505" i="11"/>
  <c r="BB505" i="11"/>
  <c r="BC505" i="11" s="1"/>
  <c r="BA505" i="11"/>
  <c r="AY505" i="11"/>
  <c r="AX505" i="11"/>
  <c r="AZ505" i="11" s="1"/>
  <c r="AW505" i="11"/>
  <c r="AV505" i="11"/>
  <c r="AU505" i="11"/>
  <c r="AT505" i="11"/>
  <c r="BR504" i="11"/>
  <c r="BQ504" i="11"/>
  <c r="BP504" i="11"/>
  <c r="BN504" i="11"/>
  <c r="BM504" i="11"/>
  <c r="BL504" i="11"/>
  <c r="BK504" i="11"/>
  <c r="BJ504" i="11"/>
  <c r="BI504" i="11"/>
  <c r="BH504" i="11"/>
  <c r="BG504" i="11"/>
  <c r="BE504" i="11"/>
  <c r="BD504" i="11"/>
  <c r="BB504" i="11"/>
  <c r="BC504" i="11" s="1"/>
  <c r="BA504" i="11"/>
  <c r="AY504" i="11"/>
  <c r="AX504" i="11"/>
  <c r="AZ504" i="11" s="1"/>
  <c r="AW504" i="11"/>
  <c r="AV504" i="11"/>
  <c r="AU504" i="11"/>
  <c r="AT504" i="11"/>
  <c r="BR503" i="11"/>
  <c r="BQ503" i="11"/>
  <c r="BP503" i="11"/>
  <c r="BN503" i="11"/>
  <c r="BM503" i="11"/>
  <c r="BL503" i="11"/>
  <c r="BK503" i="11"/>
  <c r="BJ503" i="11"/>
  <c r="BI503" i="11"/>
  <c r="BH503" i="11"/>
  <c r="BG503" i="11"/>
  <c r="BE503" i="11"/>
  <c r="BD503" i="11"/>
  <c r="BF503" i="11" s="1"/>
  <c r="BC503" i="11"/>
  <c r="BB503" i="11"/>
  <c r="BA503" i="11"/>
  <c r="AY503" i="11"/>
  <c r="AX503" i="11"/>
  <c r="AZ503" i="11" s="1"/>
  <c r="AW503" i="11"/>
  <c r="AV503" i="11"/>
  <c r="AU503" i="11"/>
  <c r="AT503" i="11"/>
  <c r="BR502" i="11"/>
  <c r="BQ502" i="11"/>
  <c r="BP502" i="11"/>
  <c r="BN502" i="11"/>
  <c r="BM502" i="11"/>
  <c r="BL502" i="11"/>
  <c r="BK502" i="11"/>
  <c r="BJ502" i="11"/>
  <c r="BI502" i="11"/>
  <c r="BH502" i="11"/>
  <c r="BG502" i="11"/>
  <c r="BF502" i="11"/>
  <c r="BE502" i="11"/>
  <c r="BD502" i="11"/>
  <c r="BC502" i="11"/>
  <c r="BB502" i="11"/>
  <c r="BA502" i="11"/>
  <c r="AY502" i="11"/>
  <c r="AX502" i="11"/>
  <c r="AZ502" i="11" s="1"/>
  <c r="AW502" i="11"/>
  <c r="AV502" i="11"/>
  <c r="AU502" i="11"/>
  <c r="AT502" i="11"/>
  <c r="BR501" i="11"/>
  <c r="BQ501" i="11"/>
  <c r="BP501" i="11"/>
  <c r="BN501" i="11"/>
  <c r="BM501" i="11"/>
  <c r="BL501" i="11"/>
  <c r="BK501" i="11"/>
  <c r="BJ501" i="11"/>
  <c r="BI501" i="11"/>
  <c r="BH501" i="11"/>
  <c r="BG501" i="11"/>
  <c r="BE501" i="11"/>
  <c r="BF501" i="11" s="1"/>
  <c r="BD501" i="11"/>
  <c r="BB501" i="11"/>
  <c r="BC501" i="11" s="1"/>
  <c r="BA501" i="11"/>
  <c r="AY501" i="11"/>
  <c r="AX501" i="11"/>
  <c r="AZ501" i="11" s="1"/>
  <c r="AW501" i="11"/>
  <c r="AV501" i="11"/>
  <c r="AU501" i="11"/>
  <c r="AT501" i="11"/>
  <c r="BR500" i="11"/>
  <c r="BQ500" i="11"/>
  <c r="BP500" i="11"/>
  <c r="BN500" i="11"/>
  <c r="BM500" i="11"/>
  <c r="BL500" i="11"/>
  <c r="BK500" i="11"/>
  <c r="BJ500" i="11"/>
  <c r="BI500" i="11"/>
  <c r="BH500" i="11"/>
  <c r="BG500" i="11"/>
  <c r="BF500" i="11"/>
  <c r="BE500" i="11"/>
  <c r="BD500" i="11"/>
  <c r="BB500" i="11"/>
  <c r="BC500" i="11" s="1"/>
  <c r="BA500" i="11"/>
  <c r="AY500" i="11"/>
  <c r="AX500" i="11"/>
  <c r="AZ500" i="11" s="1"/>
  <c r="AW500" i="11"/>
  <c r="AV500" i="11"/>
  <c r="AU500" i="11"/>
  <c r="AT500" i="11"/>
  <c r="BR499" i="11"/>
  <c r="BQ499" i="11"/>
  <c r="BP499" i="11"/>
  <c r="BN499" i="11"/>
  <c r="BM499" i="11"/>
  <c r="BL499" i="11"/>
  <c r="BK499" i="11"/>
  <c r="BJ499" i="11"/>
  <c r="BI499" i="11"/>
  <c r="BH499" i="11"/>
  <c r="BG499" i="11"/>
  <c r="BE499" i="11"/>
  <c r="BF499" i="11" s="1"/>
  <c r="BD499" i="11"/>
  <c r="BC499" i="11"/>
  <c r="BB499" i="11"/>
  <c r="BA499" i="11"/>
  <c r="AY499" i="11"/>
  <c r="AX499" i="11"/>
  <c r="AZ499" i="11" s="1"/>
  <c r="AW499" i="11"/>
  <c r="AV499" i="11"/>
  <c r="AU499" i="11"/>
  <c r="AT499" i="11"/>
  <c r="BR498" i="11"/>
  <c r="BQ498" i="11"/>
  <c r="BP498" i="11"/>
  <c r="BN498" i="11"/>
  <c r="BM498" i="11"/>
  <c r="BL498" i="11"/>
  <c r="BK498" i="11"/>
  <c r="BJ498" i="11"/>
  <c r="BI498" i="11"/>
  <c r="BH498" i="11"/>
  <c r="BG498" i="11"/>
  <c r="BF498" i="11"/>
  <c r="BE498" i="11"/>
  <c r="BD498" i="11"/>
  <c r="BB498" i="11"/>
  <c r="BC498" i="11" s="1"/>
  <c r="BA498" i="11"/>
  <c r="AY498" i="11"/>
  <c r="AX498" i="11"/>
  <c r="AZ498" i="11" s="1"/>
  <c r="AW498" i="11"/>
  <c r="AV498" i="11"/>
  <c r="AU498" i="11"/>
  <c r="AT498" i="11"/>
  <c r="BR497" i="11"/>
  <c r="BQ497" i="11"/>
  <c r="BP497" i="11"/>
  <c r="BN497" i="11"/>
  <c r="BM497" i="11"/>
  <c r="BL497" i="11"/>
  <c r="BK497" i="11"/>
  <c r="BJ497" i="11"/>
  <c r="BI497" i="11"/>
  <c r="BH497" i="11"/>
  <c r="BG497" i="11"/>
  <c r="BE497" i="11"/>
  <c r="BF497" i="11" s="1"/>
  <c r="BD497" i="11"/>
  <c r="BC497" i="11"/>
  <c r="BB497" i="11"/>
  <c r="BA497" i="11"/>
  <c r="AY497" i="11"/>
  <c r="AX497" i="11"/>
  <c r="AZ497" i="11" s="1"/>
  <c r="AW497" i="11"/>
  <c r="AV497" i="11"/>
  <c r="AU497" i="11"/>
  <c r="AT497" i="11"/>
  <c r="BR496" i="11"/>
  <c r="BQ496" i="11"/>
  <c r="BP496" i="11"/>
  <c r="BN496" i="11"/>
  <c r="BM496" i="11"/>
  <c r="BL496" i="11"/>
  <c r="BK496" i="11"/>
  <c r="BJ496" i="11"/>
  <c r="BI496" i="11"/>
  <c r="BH496" i="11"/>
  <c r="BG496" i="11"/>
  <c r="BE496" i="11"/>
  <c r="BD496" i="11"/>
  <c r="BB496" i="11"/>
  <c r="BC496" i="11" s="1"/>
  <c r="BA496" i="11"/>
  <c r="AY496" i="11"/>
  <c r="AX496" i="11"/>
  <c r="AZ496" i="11" s="1"/>
  <c r="AW496" i="11"/>
  <c r="AV496" i="11"/>
  <c r="AU496" i="11"/>
  <c r="AT496" i="11"/>
  <c r="BR495" i="11"/>
  <c r="BQ495" i="11"/>
  <c r="BP495" i="11"/>
  <c r="BN495" i="11"/>
  <c r="BM495" i="11"/>
  <c r="BL495" i="11"/>
  <c r="BK495" i="11"/>
  <c r="BJ495" i="11"/>
  <c r="BI495" i="11"/>
  <c r="BH495" i="11"/>
  <c r="BG495" i="11"/>
  <c r="BE495" i="11"/>
  <c r="BD495" i="11"/>
  <c r="BF495" i="11" s="1"/>
  <c r="BC495" i="11"/>
  <c r="BB495" i="11"/>
  <c r="BA495" i="11"/>
  <c r="AY495" i="11"/>
  <c r="AX495" i="11"/>
  <c r="AZ495" i="11" s="1"/>
  <c r="AW495" i="11"/>
  <c r="AV495" i="11"/>
  <c r="AU495" i="11"/>
  <c r="AT495" i="11"/>
  <c r="BR494" i="11"/>
  <c r="BQ494" i="11"/>
  <c r="BP494" i="11"/>
  <c r="BN494" i="11"/>
  <c r="BM494" i="11"/>
  <c r="BL494" i="11"/>
  <c r="BK494" i="11"/>
  <c r="BJ494" i="11"/>
  <c r="BI494" i="11"/>
  <c r="BH494" i="11"/>
  <c r="BG494" i="11"/>
  <c r="BF494" i="11"/>
  <c r="BE494" i="11"/>
  <c r="BD494" i="11"/>
  <c r="BB494" i="11"/>
  <c r="BC494" i="11" s="1"/>
  <c r="BA494" i="11"/>
  <c r="AY494" i="11"/>
  <c r="AX494" i="11"/>
  <c r="AZ494" i="11" s="1"/>
  <c r="AW494" i="11"/>
  <c r="AV494" i="11"/>
  <c r="AU494" i="11"/>
  <c r="AT494" i="11"/>
  <c r="BR493" i="11"/>
  <c r="BQ493" i="11"/>
  <c r="BP493" i="11"/>
  <c r="BN493" i="11"/>
  <c r="BM493" i="11"/>
  <c r="BL493" i="11"/>
  <c r="BK493" i="11"/>
  <c r="BJ493" i="11"/>
  <c r="BI493" i="11"/>
  <c r="BH493" i="11"/>
  <c r="BG493" i="11"/>
  <c r="BF493" i="11"/>
  <c r="BE493" i="11"/>
  <c r="BD493" i="11"/>
  <c r="BB493" i="11"/>
  <c r="BC493" i="11" s="1"/>
  <c r="BA493" i="11"/>
  <c r="AY493" i="11"/>
  <c r="AX493" i="11"/>
  <c r="AZ493" i="11" s="1"/>
  <c r="AW493" i="11"/>
  <c r="AV493" i="11"/>
  <c r="AU493" i="11"/>
  <c r="AT493" i="11"/>
  <c r="BR492" i="11"/>
  <c r="BQ492" i="11"/>
  <c r="BP492" i="11"/>
  <c r="BN492" i="11"/>
  <c r="BM492" i="11"/>
  <c r="BL492" i="11"/>
  <c r="BK492" i="11"/>
  <c r="BJ492" i="11"/>
  <c r="BI492" i="11"/>
  <c r="BH492" i="11"/>
  <c r="BG492" i="11"/>
  <c r="BE492" i="11"/>
  <c r="BD492" i="11"/>
  <c r="BB492" i="11"/>
  <c r="BC492" i="11" s="1"/>
  <c r="BA492" i="11"/>
  <c r="AY492" i="11"/>
  <c r="AX492" i="11"/>
  <c r="AZ492" i="11" s="1"/>
  <c r="AW492" i="11"/>
  <c r="AV492" i="11"/>
  <c r="AU492" i="11"/>
  <c r="AT492" i="11"/>
  <c r="BR491" i="11"/>
  <c r="BQ491" i="11"/>
  <c r="BP491" i="11"/>
  <c r="BN491" i="11"/>
  <c r="BM491" i="11"/>
  <c r="BL491" i="11"/>
  <c r="BK491" i="11"/>
  <c r="BJ491" i="11"/>
  <c r="BI491" i="11"/>
  <c r="BH491" i="11"/>
  <c r="BG491" i="11"/>
  <c r="BE491" i="11"/>
  <c r="BD491" i="11"/>
  <c r="BF491" i="11" s="1"/>
  <c r="BC491" i="11"/>
  <c r="BB491" i="11"/>
  <c r="BA491" i="11"/>
  <c r="AY491" i="11"/>
  <c r="AX491" i="11"/>
  <c r="AZ491" i="11" s="1"/>
  <c r="AW491" i="11"/>
  <c r="AV491" i="11"/>
  <c r="AU491" i="11"/>
  <c r="AT491" i="11"/>
  <c r="BR490" i="11"/>
  <c r="BQ490" i="11"/>
  <c r="BP490" i="11"/>
  <c r="BN490" i="11"/>
  <c r="BM490" i="11"/>
  <c r="BL490" i="11"/>
  <c r="BK490" i="11"/>
  <c r="BJ490" i="11"/>
  <c r="BI490" i="11"/>
  <c r="BH490" i="11"/>
  <c r="BG490" i="11"/>
  <c r="BF490" i="11"/>
  <c r="BE490" i="11"/>
  <c r="BD490" i="11"/>
  <c r="BC490" i="11"/>
  <c r="BB490" i="11"/>
  <c r="BA490" i="11"/>
  <c r="AY490" i="11"/>
  <c r="AX490" i="11"/>
  <c r="AZ490" i="11" s="1"/>
  <c r="AW490" i="11"/>
  <c r="AV490" i="11"/>
  <c r="AU490" i="11"/>
  <c r="AT490" i="11"/>
  <c r="BR489" i="11"/>
  <c r="BQ489" i="11"/>
  <c r="BP489" i="11"/>
  <c r="BN489" i="11"/>
  <c r="BM489" i="11"/>
  <c r="BL489" i="11"/>
  <c r="BK489" i="11"/>
  <c r="BJ489" i="11"/>
  <c r="BI489" i="11"/>
  <c r="BH489" i="11"/>
  <c r="BG489" i="11"/>
  <c r="BE489" i="11"/>
  <c r="BF489" i="11" s="1"/>
  <c r="BD489" i="11"/>
  <c r="BB489" i="11"/>
  <c r="BC489" i="11" s="1"/>
  <c r="BA489" i="11"/>
  <c r="AY489" i="11"/>
  <c r="AX489" i="11"/>
  <c r="AZ489" i="11" s="1"/>
  <c r="AW489" i="11"/>
  <c r="AV489" i="11"/>
  <c r="AU489" i="11"/>
  <c r="AT489" i="11"/>
  <c r="BR488" i="11"/>
  <c r="BQ488" i="11"/>
  <c r="BP488" i="11"/>
  <c r="BN488" i="11"/>
  <c r="BM488" i="11"/>
  <c r="BL488" i="11"/>
  <c r="BK488" i="11"/>
  <c r="BJ488" i="11"/>
  <c r="BI488" i="11"/>
  <c r="BH488" i="11"/>
  <c r="BG488" i="11"/>
  <c r="BF488" i="11"/>
  <c r="BE488" i="11"/>
  <c r="BD488" i="11"/>
  <c r="BB488" i="11"/>
  <c r="BC488" i="11" s="1"/>
  <c r="BA488" i="11"/>
  <c r="AY488" i="11"/>
  <c r="AX488" i="11"/>
  <c r="AZ488" i="11" s="1"/>
  <c r="AW488" i="11"/>
  <c r="AV488" i="11"/>
  <c r="AU488" i="11"/>
  <c r="AT488" i="11"/>
  <c r="BR487" i="11"/>
  <c r="BQ487" i="11"/>
  <c r="BP487" i="11"/>
  <c r="BN487" i="11"/>
  <c r="BM487" i="11"/>
  <c r="BL487" i="11"/>
  <c r="BK487" i="11"/>
  <c r="BJ487" i="11"/>
  <c r="BI487" i="11"/>
  <c r="BH487" i="11"/>
  <c r="BG487" i="11"/>
  <c r="BE487" i="11"/>
  <c r="BF487" i="11" s="1"/>
  <c r="BD487" i="11"/>
  <c r="BC487" i="11"/>
  <c r="BB487" i="11"/>
  <c r="BA487" i="11"/>
  <c r="AY487" i="11"/>
  <c r="AX487" i="11"/>
  <c r="AZ487" i="11" s="1"/>
  <c r="AW487" i="11"/>
  <c r="AV487" i="11"/>
  <c r="AU487" i="11"/>
  <c r="AT487" i="11"/>
  <c r="BR486" i="11"/>
  <c r="BQ486" i="11"/>
  <c r="BP486" i="11"/>
  <c r="BN486" i="11"/>
  <c r="BM486" i="11"/>
  <c r="BL486" i="11"/>
  <c r="BK486" i="11"/>
  <c r="BJ486" i="11"/>
  <c r="BI486" i="11"/>
  <c r="BH486" i="11"/>
  <c r="BG486" i="11"/>
  <c r="BF486" i="11"/>
  <c r="BE486" i="11"/>
  <c r="BD486" i="11"/>
  <c r="BB486" i="11"/>
  <c r="BC486" i="11" s="1"/>
  <c r="BA486" i="11"/>
  <c r="AY486" i="11"/>
  <c r="AX486" i="11"/>
  <c r="AZ486" i="11" s="1"/>
  <c r="AW486" i="11"/>
  <c r="AV486" i="11"/>
  <c r="AU486" i="11"/>
  <c r="AT486" i="11"/>
  <c r="BR485" i="11"/>
  <c r="BQ485" i="11"/>
  <c r="BP485" i="11"/>
  <c r="BN485" i="11"/>
  <c r="BM485" i="11"/>
  <c r="BL485" i="11"/>
  <c r="BK485" i="11"/>
  <c r="BJ485" i="11"/>
  <c r="BI485" i="11"/>
  <c r="BH485" i="11"/>
  <c r="BG485" i="11"/>
  <c r="BE485" i="11"/>
  <c r="BF485" i="11" s="1"/>
  <c r="BD485" i="11"/>
  <c r="BC485" i="11"/>
  <c r="BB485" i="11"/>
  <c r="BA485" i="11"/>
  <c r="AY485" i="11"/>
  <c r="AX485" i="11"/>
  <c r="AZ485" i="11" s="1"/>
  <c r="AW485" i="11"/>
  <c r="AV485" i="11"/>
  <c r="AU485" i="11"/>
  <c r="AT485" i="11"/>
  <c r="BR484" i="11"/>
  <c r="BQ484" i="11"/>
  <c r="BP484" i="11"/>
  <c r="BN484" i="11"/>
  <c r="BM484" i="11"/>
  <c r="BL484" i="11"/>
  <c r="BK484" i="11"/>
  <c r="BJ484" i="11"/>
  <c r="BI484" i="11"/>
  <c r="BH484" i="11"/>
  <c r="BG484" i="11"/>
  <c r="BE484" i="11"/>
  <c r="BD484" i="11"/>
  <c r="BB484" i="11"/>
  <c r="BC484" i="11" s="1"/>
  <c r="BA484" i="11"/>
  <c r="AY484" i="11"/>
  <c r="AX484" i="11"/>
  <c r="AZ484" i="11" s="1"/>
  <c r="AW484" i="11"/>
  <c r="AV484" i="11"/>
  <c r="AU484" i="11"/>
  <c r="AT484" i="11"/>
  <c r="BR483" i="11"/>
  <c r="BQ483" i="11"/>
  <c r="BP483" i="11"/>
  <c r="BN483" i="11"/>
  <c r="BM483" i="11"/>
  <c r="BL483" i="11"/>
  <c r="BK483" i="11"/>
  <c r="BJ483" i="11"/>
  <c r="BI483" i="11"/>
  <c r="BH483" i="11"/>
  <c r="BG483" i="11"/>
  <c r="BE483" i="11"/>
  <c r="BD483" i="11"/>
  <c r="BF483" i="11" s="1"/>
  <c r="BC483" i="11"/>
  <c r="BB483" i="11"/>
  <c r="BA483" i="11"/>
  <c r="AY483" i="11"/>
  <c r="AX483" i="11"/>
  <c r="AZ483" i="11" s="1"/>
  <c r="AW483" i="11"/>
  <c r="AV483" i="11"/>
  <c r="AU483" i="11"/>
  <c r="AT483" i="11"/>
  <c r="BR482" i="11"/>
  <c r="BQ482" i="11"/>
  <c r="BP482" i="11"/>
  <c r="BN482" i="11"/>
  <c r="BM482" i="11"/>
  <c r="BL482" i="11"/>
  <c r="BK482" i="11"/>
  <c r="BJ482" i="11"/>
  <c r="BI482" i="11"/>
  <c r="BH482" i="11"/>
  <c r="BG482" i="11"/>
  <c r="BF482" i="11"/>
  <c r="BE482" i="11"/>
  <c r="BD482" i="11"/>
  <c r="BC482" i="11"/>
  <c r="BB482" i="11"/>
  <c r="BA482" i="11"/>
  <c r="AY482" i="11"/>
  <c r="AX482" i="11"/>
  <c r="AZ482" i="11" s="1"/>
  <c r="AW482" i="11"/>
  <c r="AV482" i="11"/>
  <c r="AU482" i="11"/>
  <c r="AT482" i="11"/>
  <c r="BR481" i="11"/>
  <c r="BQ481" i="11"/>
  <c r="BP481" i="11"/>
  <c r="BN481" i="11"/>
  <c r="BM481" i="11"/>
  <c r="BL481" i="11"/>
  <c r="BK481" i="11"/>
  <c r="BJ481" i="11"/>
  <c r="BI481" i="11"/>
  <c r="BH481" i="11"/>
  <c r="BG481" i="11"/>
  <c r="BF481" i="11"/>
  <c r="BE481" i="11"/>
  <c r="BD481" i="11"/>
  <c r="BB481" i="11"/>
  <c r="BC481" i="11" s="1"/>
  <c r="BA481" i="11"/>
  <c r="AY481" i="11"/>
  <c r="AX481" i="11"/>
  <c r="AZ481" i="11" s="1"/>
  <c r="AW481" i="11"/>
  <c r="AV481" i="11"/>
  <c r="AU481" i="11"/>
  <c r="AT481" i="11"/>
  <c r="BR480" i="11"/>
  <c r="BQ480" i="11"/>
  <c r="BP480" i="11"/>
  <c r="BN480" i="11"/>
  <c r="BM480" i="11"/>
  <c r="BL480" i="11"/>
  <c r="BK480" i="11"/>
  <c r="BJ480" i="11"/>
  <c r="BI480" i="11"/>
  <c r="BH480" i="11"/>
  <c r="BG480" i="11"/>
  <c r="BE480" i="11"/>
  <c r="BD480" i="11"/>
  <c r="BB480" i="11"/>
  <c r="BC480" i="11" s="1"/>
  <c r="BA480" i="11"/>
  <c r="AY480" i="11"/>
  <c r="AX480" i="11"/>
  <c r="AZ480" i="11" s="1"/>
  <c r="AW480" i="11"/>
  <c r="AV480" i="11"/>
  <c r="AU480" i="11"/>
  <c r="AT480" i="11"/>
  <c r="BR479" i="11"/>
  <c r="BQ479" i="11"/>
  <c r="BP479" i="11"/>
  <c r="BN479" i="11"/>
  <c r="BM479" i="11"/>
  <c r="BL479" i="11"/>
  <c r="BK479" i="11"/>
  <c r="BJ479" i="11"/>
  <c r="BI479" i="11"/>
  <c r="BH479" i="11"/>
  <c r="BG479" i="11"/>
  <c r="BE479" i="11"/>
  <c r="BD479" i="11"/>
  <c r="BF479" i="11" s="1"/>
  <c r="BC479" i="11"/>
  <c r="BB479" i="11"/>
  <c r="BA479" i="11"/>
  <c r="AY479" i="11"/>
  <c r="AX479" i="11"/>
  <c r="AZ479" i="11" s="1"/>
  <c r="AW479" i="11"/>
  <c r="AV479" i="11"/>
  <c r="AU479" i="11"/>
  <c r="AT479" i="11"/>
  <c r="BR478" i="11"/>
  <c r="BQ478" i="11"/>
  <c r="BP478" i="11"/>
  <c r="BN478" i="11"/>
  <c r="BM478" i="11"/>
  <c r="BL478" i="11"/>
  <c r="BK478" i="11"/>
  <c r="BJ478" i="11"/>
  <c r="BI478" i="11"/>
  <c r="BH478" i="11"/>
  <c r="BG478" i="11"/>
  <c r="BF478" i="11"/>
  <c r="BE478" i="11"/>
  <c r="BD478" i="11"/>
  <c r="BC478" i="11"/>
  <c r="BB478" i="11"/>
  <c r="BA478" i="11"/>
  <c r="AY478" i="11"/>
  <c r="AX478" i="11"/>
  <c r="AZ478" i="11" s="1"/>
  <c r="AW478" i="11"/>
  <c r="AV478" i="11"/>
  <c r="AU478" i="11"/>
  <c r="AT478" i="11"/>
  <c r="BR477" i="11"/>
  <c r="BQ477" i="11"/>
  <c r="BP477" i="11"/>
  <c r="BN477" i="11"/>
  <c r="BM477" i="11"/>
  <c r="BL477" i="11"/>
  <c r="BK477" i="11"/>
  <c r="BJ477" i="11"/>
  <c r="BI477" i="11"/>
  <c r="BH477" i="11"/>
  <c r="BG477" i="11"/>
  <c r="BE477" i="11"/>
  <c r="BF477" i="11" s="1"/>
  <c r="BD477" i="11"/>
  <c r="BB477" i="11"/>
  <c r="BC477" i="11" s="1"/>
  <c r="BA477" i="11"/>
  <c r="AY477" i="11"/>
  <c r="AX477" i="11"/>
  <c r="AZ477" i="11" s="1"/>
  <c r="AW477" i="11"/>
  <c r="AV477" i="11"/>
  <c r="AU477" i="11"/>
  <c r="AT477" i="11"/>
  <c r="BR476" i="11"/>
  <c r="BQ476" i="11"/>
  <c r="BP476" i="11"/>
  <c r="BN476" i="11"/>
  <c r="BM476" i="11"/>
  <c r="BL476" i="11"/>
  <c r="BK476" i="11"/>
  <c r="BJ476" i="11"/>
  <c r="BI476" i="11"/>
  <c r="BH476" i="11"/>
  <c r="BG476" i="11"/>
  <c r="BF476" i="11"/>
  <c r="BE476" i="11"/>
  <c r="BD476" i="11"/>
  <c r="BC476" i="11"/>
  <c r="BB476" i="11"/>
  <c r="BA476" i="11"/>
  <c r="AY476" i="11"/>
  <c r="AX476" i="11"/>
  <c r="AZ476" i="11" s="1"/>
  <c r="AW476" i="11"/>
  <c r="AV476" i="11"/>
  <c r="AU476" i="11"/>
  <c r="AT476" i="11"/>
  <c r="BR475" i="11"/>
  <c r="BQ475" i="11"/>
  <c r="BP475" i="11"/>
  <c r="BN475" i="11"/>
  <c r="BM475" i="11"/>
  <c r="BL475" i="11"/>
  <c r="BK475" i="11"/>
  <c r="BJ475" i="11"/>
  <c r="BI475" i="11"/>
  <c r="BH475" i="11"/>
  <c r="BG475" i="11"/>
  <c r="BE475" i="11"/>
  <c r="BF475" i="11" s="1"/>
  <c r="BD475" i="11"/>
  <c r="BC475" i="11"/>
  <c r="BB475" i="11"/>
  <c r="BA475" i="11"/>
  <c r="AY475" i="11"/>
  <c r="AX475" i="11"/>
  <c r="AZ475" i="11" s="1"/>
  <c r="AW475" i="11"/>
  <c r="AV475" i="11"/>
  <c r="AU475" i="11"/>
  <c r="AT475" i="11"/>
  <c r="BR474" i="11"/>
  <c r="BQ474" i="11"/>
  <c r="BP474" i="11"/>
  <c r="BN474" i="11"/>
  <c r="BM474" i="11"/>
  <c r="BL474" i="11"/>
  <c r="BK474" i="11"/>
  <c r="BJ474" i="11"/>
  <c r="BI474" i="11"/>
  <c r="BH474" i="11"/>
  <c r="BG474" i="11"/>
  <c r="BF474" i="11"/>
  <c r="BE474" i="11"/>
  <c r="BD474" i="11"/>
  <c r="BB474" i="11"/>
  <c r="BC474" i="11" s="1"/>
  <c r="BA474" i="11"/>
  <c r="AY474" i="11"/>
  <c r="AX474" i="11"/>
  <c r="AZ474" i="11" s="1"/>
  <c r="AW474" i="11"/>
  <c r="AV474" i="11"/>
  <c r="AU474" i="11"/>
  <c r="AT474" i="11"/>
  <c r="BR473" i="11"/>
  <c r="BQ473" i="11"/>
  <c r="BP473" i="11"/>
  <c r="BN473" i="11"/>
  <c r="BM473" i="11"/>
  <c r="BL473" i="11"/>
  <c r="BK473" i="11"/>
  <c r="BJ473" i="11"/>
  <c r="BI473" i="11"/>
  <c r="BH473" i="11"/>
  <c r="BG473" i="11"/>
  <c r="BF473" i="11"/>
  <c r="BE473" i="11"/>
  <c r="BD473" i="11"/>
  <c r="BC473" i="11"/>
  <c r="BB473" i="11"/>
  <c r="BA473" i="11"/>
  <c r="AY473" i="11"/>
  <c r="AX473" i="11"/>
  <c r="AZ473" i="11" s="1"/>
  <c r="AW473" i="11"/>
  <c r="AV473" i="11"/>
  <c r="AU473" i="11"/>
  <c r="AT473" i="11"/>
  <c r="BR472" i="11"/>
  <c r="BQ472" i="11"/>
  <c r="BP472" i="11"/>
  <c r="BN472" i="11"/>
  <c r="BM472" i="11"/>
  <c r="BL472" i="11"/>
  <c r="BK472" i="11"/>
  <c r="BJ472" i="11"/>
  <c r="BI472" i="11"/>
  <c r="BH472" i="11"/>
  <c r="BG472" i="11"/>
  <c r="BE472" i="11"/>
  <c r="BD472" i="11"/>
  <c r="BF472" i="11" s="1"/>
  <c r="BB472" i="11"/>
  <c r="BC472" i="11" s="1"/>
  <c r="BA472" i="11"/>
  <c r="AY472" i="11"/>
  <c r="AX472" i="11"/>
  <c r="AZ472" i="11" s="1"/>
  <c r="AW472" i="11"/>
  <c r="AV472" i="11"/>
  <c r="AU472" i="11"/>
  <c r="AT472" i="11"/>
  <c r="BR471" i="11"/>
  <c r="BQ471" i="11"/>
  <c r="BP471" i="11"/>
  <c r="BN471" i="11"/>
  <c r="BM471" i="11"/>
  <c r="BL471" i="11"/>
  <c r="BK471" i="11"/>
  <c r="BJ471" i="11"/>
  <c r="BI471" i="11"/>
  <c r="BH471" i="11"/>
  <c r="BG471" i="11"/>
  <c r="BE471" i="11"/>
  <c r="BD471" i="11"/>
  <c r="BF471" i="11" s="1"/>
  <c r="BC471" i="11"/>
  <c r="BB471" i="11"/>
  <c r="BA471" i="11"/>
  <c r="AY471" i="11"/>
  <c r="AX471" i="11"/>
  <c r="AZ471" i="11" s="1"/>
  <c r="AW471" i="11"/>
  <c r="AV471" i="11"/>
  <c r="AU471" i="11"/>
  <c r="AT471" i="11"/>
  <c r="BR470" i="11"/>
  <c r="BQ470" i="11"/>
  <c r="BP470" i="11"/>
  <c r="BN470" i="11"/>
  <c r="BM470" i="11"/>
  <c r="BL470" i="11"/>
  <c r="BK470" i="11"/>
  <c r="BJ470" i="11"/>
  <c r="BI470" i="11"/>
  <c r="BH470" i="11"/>
  <c r="BG470" i="11"/>
  <c r="BF470" i="11"/>
  <c r="BE470" i="11"/>
  <c r="BD470" i="11"/>
  <c r="BB470" i="11"/>
  <c r="BC470" i="11" s="1"/>
  <c r="BA470" i="11"/>
  <c r="AY470" i="11"/>
  <c r="AX470" i="11"/>
  <c r="AZ470" i="11" s="1"/>
  <c r="AW470" i="11"/>
  <c r="AV470" i="11"/>
  <c r="AU470" i="11"/>
  <c r="AT470" i="11"/>
  <c r="BR469" i="11"/>
  <c r="BQ469" i="11"/>
  <c r="BP469" i="11"/>
  <c r="BN469" i="11"/>
  <c r="BM469" i="11"/>
  <c r="BL469" i="11"/>
  <c r="BK469" i="11"/>
  <c r="BJ469" i="11"/>
  <c r="BI469" i="11"/>
  <c r="BH469" i="11"/>
  <c r="BG469" i="11"/>
  <c r="BF469" i="11"/>
  <c r="BE469" i="11"/>
  <c r="BD469" i="11"/>
  <c r="BB469" i="11"/>
  <c r="BC469" i="11" s="1"/>
  <c r="BA469" i="11"/>
  <c r="AY469" i="11"/>
  <c r="AX469" i="11"/>
  <c r="AZ469" i="11" s="1"/>
  <c r="AW469" i="11"/>
  <c r="AV469" i="11"/>
  <c r="AU469" i="11"/>
  <c r="AT469" i="11"/>
  <c r="BR468" i="11"/>
  <c r="BQ468" i="11"/>
  <c r="BP468" i="11"/>
  <c r="BN468" i="11"/>
  <c r="BM468" i="11"/>
  <c r="BL468" i="11"/>
  <c r="BK468" i="11"/>
  <c r="BJ468" i="11"/>
  <c r="BI468" i="11"/>
  <c r="BH468" i="11"/>
  <c r="BG468" i="11"/>
  <c r="BE468" i="11"/>
  <c r="BD468" i="11"/>
  <c r="BF468" i="11" s="1"/>
  <c r="BB468" i="11"/>
  <c r="BC468" i="11" s="1"/>
  <c r="BA468" i="11"/>
  <c r="AY468" i="11"/>
  <c r="AX468" i="11"/>
  <c r="AZ468" i="11" s="1"/>
  <c r="AW468" i="11"/>
  <c r="AV468" i="11"/>
  <c r="AU468" i="11"/>
  <c r="AT468" i="11"/>
  <c r="BR467" i="11"/>
  <c r="BQ467" i="11"/>
  <c r="BP467" i="11"/>
  <c r="BN467" i="11"/>
  <c r="BM467" i="11"/>
  <c r="BL467" i="11"/>
  <c r="BK467" i="11"/>
  <c r="BJ467" i="11"/>
  <c r="BI467" i="11"/>
  <c r="BH467" i="11"/>
  <c r="BG467" i="11"/>
  <c r="BE467" i="11"/>
  <c r="BD467" i="11"/>
  <c r="BF467" i="11" s="1"/>
  <c r="BC467" i="11"/>
  <c r="BB467" i="11"/>
  <c r="BA467" i="11"/>
  <c r="AY467" i="11"/>
  <c r="AX467" i="11"/>
  <c r="AZ467" i="11" s="1"/>
  <c r="AW467" i="11"/>
  <c r="AV467" i="11"/>
  <c r="AU467" i="11"/>
  <c r="AT467" i="11"/>
  <c r="BR466" i="11"/>
  <c r="BQ466" i="11"/>
  <c r="BP466" i="11"/>
  <c r="BN466" i="11"/>
  <c r="BM466" i="11"/>
  <c r="BL466" i="11"/>
  <c r="BK466" i="11"/>
  <c r="BJ466" i="11"/>
  <c r="BI466" i="11"/>
  <c r="BH466" i="11"/>
  <c r="BG466" i="11"/>
  <c r="BF466" i="11"/>
  <c r="BE466" i="11"/>
  <c r="BD466" i="11"/>
  <c r="BB466" i="11"/>
  <c r="BC466" i="11" s="1"/>
  <c r="BA466" i="11"/>
  <c r="AY466" i="11"/>
  <c r="AX466" i="11"/>
  <c r="AZ466" i="11" s="1"/>
  <c r="AW466" i="11"/>
  <c r="AV466" i="11"/>
  <c r="AU466" i="11"/>
  <c r="AT466" i="11"/>
  <c r="BR465" i="11"/>
  <c r="BQ465" i="11"/>
  <c r="BP465" i="11"/>
  <c r="BN465" i="11"/>
  <c r="BM465" i="11"/>
  <c r="BL465" i="11"/>
  <c r="BK465" i="11"/>
  <c r="BJ465" i="11"/>
  <c r="BI465" i="11"/>
  <c r="BH465" i="11"/>
  <c r="BG465" i="11"/>
  <c r="BE465" i="11"/>
  <c r="BF465" i="11" s="1"/>
  <c r="BD465" i="11"/>
  <c r="BB465" i="11"/>
  <c r="BC465" i="11" s="1"/>
  <c r="BA465" i="11"/>
  <c r="AY465" i="11"/>
  <c r="AX465" i="11"/>
  <c r="AZ465" i="11" s="1"/>
  <c r="AW465" i="11"/>
  <c r="AV465" i="11"/>
  <c r="AU465" i="11"/>
  <c r="AT465" i="11"/>
  <c r="BR464" i="11"/>
  <c r="BQ464" i="11"/>
  <c r="BP464" i="11"/>
  <c r="BN464" i="11"/>
  <c r="BM464" i="11"/>
  <c r="BL464" i="11"/>
  <c r="BK464" i="11"/>
  <c r="BJ464" i="11"/>
  <c r="BI464" i="11"/>
  <c r="BH464" i="11"/>
  <c r="BG464" i="11"/>
  <c r="BF464" i="11"/>
  <c r="BE464" i="11"/>
  <c r="BD464" i="11"/>
  <c r="BB464" i="11"/>
  <c r="BC464" i="11" s="1"/>
  <c r="BA464" i="11"/>
  <c r="AY464" i="11"/>
  <c r="AX464" i="11"/>
  <c r="AZ464" i="11" s="1"/>
  <c r="AW464" i="11"/>
  <c r="AV464" i="11"/>
  <c r="AU464" i="11"/>
  <c r="AT464" i="11"/>
  <c r="BR463" i="11"/>
  <c r="BQ463" i="11"/>
  <c r="BP463" i="11"/>
  <c r="BN463" i="11"/>
  <c r="BM463" i="11"/>
  <c r="BL463" i="11"/>
  <c r="BK463" i="11"/>
  <c r="BJ463" i="11"/>
  <c r="BI463" i="11"/>
  <c r="BH463" i="11"/>
  <c r="BG463" i="11"/>
  <c r="BE463" i="11"/>
  <c r="BF463" i="11" s="1"/>
  <c r="BD463" i="11"/>
  <c r="BC463" i="11"/>
  <c r="BB463" i="11"/>
  <c r="BA463" i="11"/>
  <c r="AY463" i="11"/>
  <c r="AX463" i="11"/>
  <c r="AZ463" i="11" s="1"/>
  <c r="AW463" i="11"/>
  <c r="AV463" i="11"/>
  <c r="AU463" i="11"/>
  <c r="AT463" i="11"/>
  <c r="BR462" i="11"/>
  <c r="BQ462" i="11"/>
  <c r="BP462" i="11"/>
  <c r="BN462" i="11"/>
  <c r="BM462" i="11"/>
  <c r="BL462" i="11"/>
  <c r="BK462" i="11"/>
  <c r="BJ462" i="11"/>
  <c r="BI462" i="11"/>
  <c r="BH462" i="11"/>
  <c r="BG462" i="11"/>
  <c r="BF462" i="11"/>
  <c r="BE462" i="11"/>
  <c r="BD462" i="11"/>
  <c r="BB462" i="11"/>
  <c r="BC462" i="11" s="1"/>
  <c r="BA462" i="11"/>
  <c r="AY462" i="11"/>
  <c r="AX462" i="11"/>
  <c r="AZ462" i="11" s="1"/>
  <c r="AW462" i="11"/>
  <c r="AV462" i="11"/>
  <c r="AU462" i="11"/>
  <c r="AT462" i="11"/>
  <c r="BR461" i="11"/>
  <c r="BQ461" i="11"/>
  <c r="BP461" i="11"/>
  <c r="BN461" i="11"/>
  <c r="BM461" i="11"/>
  <c r="BL461" i="11"/>
  <c r="BK461" i="11"/>
  <c r="BJ461" i="11"/>
  <c r="BI461" i="11"/>
  <c r="BH461" i="11"/>
  <c r="BG461" i="11"/>
  <c r="BF461" i="11"/>
  <c r="BE461" i="11"/>
  <c r="BD461" i="11"/>
  <c r="BC461" i="11"/>
  <c r="BB461" i="11"/>
  <c r="BA461" i="11"/>
  <c r="AY461" i="11"/>
  <c r="AX461" i="11"/>
  <c r="AZ461" i="11" s="1"/>
  <c r="AW461" i="11"/>
  <c r="AV461" i="11"/>
  <c r="AU461" i="11"/>
  <c r="AT461" i="11"/>
  <c r="BR460" i="11"/>
  <c r="BQ460" i="11"/>
  <c r="BP460" i="11"/>
  <c r="BN460" i="11"/>
  <c r="BM460" i="11"/>
  <c r="BL460" i="11"/>
  <c r="BK460" i="11"/>
  <c r="BJ460" i="11"/>
  <c r="BI460" i="11"/>
  <c r="BH460" i="11"/>
  <c r="BG460" i="11"/>
  <c r="BE460" i="11"/>
  <c r="BD460" i="11"/>
  <c r="BF460" i="11" s="1"/>
  <c r="BB460" i="11"/>
  <c r="BC460" i="11" s="1"/>
  <c r="BA460" i="11"/>
  <c r="AY460" i="11"/>
  <c r="AX460" i="11"/>
  <c r="AZ460" i="11" s="1"/>
  <c r="AW460" i="11"/>
  <c r="AV460" i="11"/>
  <c r="AU460" i="11"/>
  <c r="AT460" i="11"/>
  <c r="BR459" i="11"/>
  <c r="BQ459" i="11"/>
  <c r="BP459" i="11"/>
  <c r="BN459" i="11"/>
  <c r="BM459" i="11"/>
  <c r="BL459" i="11"/>
  <c r="BK459" i="11"/>
  <c r="BJ459" i="11"/>
  <c r="BI459" i="11"/>
  <c r="BH459" i="11"/>
  <c r="BG459" i="11"/>
  <c r="BE459" i="11"/>
  <c r="BD459" i="11"/>
  <c r="BF459" i="11" s="1"/>
  <c r="BC459" i="11"/>
  <c r="BB459" i="11"/>
  <c r="BA459" i="11"/>
  <c r="AY459" i="11"/>
  <c r="AX459" i="11"/>
  <c r="AZ459" i="11" s="1"/>
  <c r="AW459" i="11"/>
  <c r="AV459" i="11"/>
  <c r="AU459" i="11"/>
  <c r="AT459" i="11"/>
  <c r="BR458" i="11"/>
  <c r="BQ458" i="11"/>
  <c r="BP458" i="11"/>
  <c r="BN458" i="11"/>
  <c r="BM458" i="11"/>
  <c r="BL458" i="11"/>
  <c r="BK458" i="11"/>
  <c r="BJ458" i="11"/>
  <c r="BI458" i="11"/>
  <c r="BH458" i="11"/>
  <c r="BG458" i="11"/>
  <c r="BF458" i="11"/>
  <c r="BE458" i="11"/>
  <c r="BD458" i="11"/>
  <c r="BC458" i="11"/>
  <c r="BB458" i="11"/>
  <c r="BA458" i="11"/>
  <c r="AY458" i="11"/>
  <c r="AX458" i="11"/>
  <c r="AZ458" i="11" s="1"/>
  <c r="AW458" i="11"/>
  <c r="AV458" i="11"/>
  <c r="AU458" i="11"/>
  <c r="AT458" i="11"/>
  <c r="BR457" i="11"/>
  <c r="BQ457" i="11"/>
  <c r="BP457" i="11"/>
  <c r="BN457" i="11"/>
  <c r="BM457" i="11"/>
  <c r="BL457" i="11"/>
  <c r="BK457" i="11"/>
  <c r="BJ457" i="11"/>
  <c r="BI457" i="11"/>
  <c r="BH457" i="11"/>
  <c r="BG457" i="11"/>
  <c r="BF457" i="11"/>
  <c r="BE457" i="11"/>
  <c r="BD457" i="11"/>
  <c r="BB457" i="11"/>
  <c r="BC457" i="11" s="1"/>
  <c r="BA457" i="11"/>
  <c r="AY457" i="11"/>
  <c r="AX457" i="11"/>
  <c r="AZ457" i="11" s="1"/>
  <c r="AW457" i="11"/>
  <c r="AV457" i="11"/>
  <c r="AU457" i="11"/>
  <c r="AT457" i="11"/>
  <c r="BR456" i="11"/>
  <c r="BQ456" i="11"/>
  <c r="BP456" i="11"/>
  <c r="BN456" i="11"/>
  <c r="BM456" i="11"/>
  <c r="BL456" i="11"/>
  <c r="BK456" i="11"/>
  <c r="BJ456" i="11"/>
  <c r="BI456" i="11"/>
  <c r="BH456" i="11"/>
  <c r="BG456" i="11"/>
  <c r="BE456" i="11"/>
  <c r="BD456" i="11"/>
  <c r="BF456" i="11" s="1"/>
  <c r="BB456" i="11"/>
  <c r="BC456" i="11" s="1"/>
  <c r="BA456" i="11"/>
  <c r="AY456" i="11"/>
  <c r="AX456" i="11"/>
  <c r="AZ456" i="11" s="1"/>
  <c r="AW456" i="11"/>
  <c r="AV456" i="11"/>
  <c r="AU456" i="11"/>
  <c r="AT456" i="11"/>
  <c r="BR455" i="11"/>
  <c r="BQ455" i="11"/>
  <c r="BP455" i="11"/>
  <c r="BN455" i="11"/>
  <c r="BM455" i="11"/>
  <c r="BL455" i="11"/>
  <c r="BK455" i="11"/>
  <c r="BJ455" i="11"/>
  <c r="BI455" i="11"/>
  <c r="BH455" i="11"/>
  <c r="BG455" i="11"/>
  <c r="BE455" i="11"/>
  <c r="BD455" i="11"/>
  <c r="BF455" i="11" s="1"/>
  <c r="BC455" i="11"/>
  <c r="BB455" i="11"/>
  <c r="BA455" i="11"/>
  <c r="AY455" i="11"/>
  <c r="AX455" i="11"/>
  <c r="AZ455" i="11" s="1"/>
  <c r="AW455" i="11"/>
  <c r="AV455" i="11"/>
  <c r="AU455" i="11"/>
  <c r="AT455" i="11"/>
  <c r="BR454" i="11"/>
  <c r="BQ454" i="11"/>
  <c r="BP454" i="11"/>
  <c r="BN454" i="11"/>
  <c r="BM454" i="11"/>
  <c r="BL454" i="11"/>
  <c r="BK454" i="11"/>
  <c r="BJ454" i="11"/>
  <c r="BI454" i="11"/>
  <c r="BH454" i="11"/>
  <c r="BG454" i="11"/>
  <c r="BF454" i="11"/>
  <c r="BE454" i="11"/>
  <c r="BD454" i="11"/>
  <c r="BB454" i="11"/>
  <c r="BC454" i="11" s="1"/>
  <c r="BA454" i="11"/>
  <c r="AY454" i="11"/>
  <c r="AX454" i="11"/>
  <c r="AZ454" i="11" s="1"/>
  <c r="AW454" i="11"/>
  <c r="AV454" i="11"/>
  <c r="AU454" i="11"/>
  <c r="AT454" i="11"/>
  <c r="BR453" i="11"/>
  <c r="BQ453" i="11"/>
  <c r="BP453" i="11"/>
  <c r="BN453" i="11"/>
  <c r="BM453" i="11"/>
  <c r="BL453" i="11"/>
  <c r="BK453" i="11"/>
  <c r="BJ453" i="11"/>
  <c r="BI453" i="11"/>
  <c r="BH453" i="11"/>
  <c r="BG453" i="11"/>
  <c r="BE453" i="11"/>
  <c r="BF453" i="11" s="1"/>
  <c r="BD453" i="11"/>
  <c r="BB453" i="11"/>
  <c r="BC453" i="11" s="1"/>
  <c r="BA453" i="11"/>
  <c r="AY453" i="11"/>
  <c r="AX453" i="11"/>
  <c r="AZ453" i="11" s="1"/>
  <c r="AW453" i="11"/>
  <c r="AV453" i="11"/>
  <c r="AU453" i="11"/>
  <c r="AT453" i="11"/>
  <c r="BR452" i="11"/>
  <c r="BQ452" i="11"/>
  <c r="BP452" i="11"/>
  <c r="BN452" i="11"/>
  <c r="BM452" i="11"/>
  <c r="BL452" i="11"/>
  <c r="BK452" i="11"/>
  <c r="BJ452" i="11"/>
  <c r="BH452" i="11"/>
  <c r="BI452" i="11" s="1"/>
  <c r="BG452" i="11"/>
  <c r="BF452" i="11"/>
  <c r="BE452" i="11"/>
  <c r="BD452" i="11"/>
  <c r="BC452" i="11"/>
  <c r="BB452" i="11"/>
  <c r="BA452" i="11"/>
  <c r="AY452" i="11"/>
  <c r="AX452" i="11"/>
  <c r="AZ452" i="11" s="1"/>
  <c r="AW452" i="11"/>
  <c r="AV452" i="11"/>
  <c r="AU452" i="11"/>
  <c r="AT452" i="11"/>
  <c r="BR451" i="11"/>
  <c r="BQ451" i="11"/>
  <c r="BP451" i="11"/>
  <c r="BN451" i="11"/>
  <c r="BM451" i="11"/>
  <c r="BL451" i="11"/>
  <c r="BK451" i="11"/>
  <c r="BJ451" i="11"/>
  <c r="BH451" i="11"/>
  <c r="BI451" i="11" s="1"/>
  <c r="BG451" i="11"/>
  <c r="BE451" i="11"/>
  <c r="BF451" i="11" s="1"/>
  <c r="BD451" i="11"/>
  <c r="BC451" i="11"/>
  <c r="BB451" i="11"/>
  <c r="BA451" i="11"/>
  <c r="AY451" i="11"/>
  <c r="AX451" i="11"/>
  <c r="AZ451" i="11" s="1"/>
  <c r="AW451" i="11"/>
  <c r="AV451" i="11"/>
  <c r="AU451" i="11"/>
  <c r="AT451" i="11"/>
  <c r="BR450" i="11"/>
  <c r="BQ450" i="11"/>
  <c r="BP450" i="11"/>
  <c r="BN450" i="11"/>
  <c r="BM450" i="11"/>
  <c r="BL450" i="11"/>
  <c r="BK450" i="11"/>
  <c r="BJ450" i="11"/>
  <c r="BH450" i="11"/>
  <c r="BI450" i="11" s="1"/>
  <c r="BG450" i="11"/>
  <c r="BF450" i="11"/>
  <c r="BE450" i="11"/>
  <c r="BD450" i="11"/>
  <c r="BB450" i="11"/>
  <c r="BC450" i="11" s="1"/>
  <c r="BA450" i="11"/>
  <c r="AY450" i="11"/>
  <c r="AX450" i="11"/>
  <c r="AZ450" i="11" s="1"/>
  <c r="AW450" i="11"/>
  <c r="AV450" i="11"/>
  <c r="AU450" i="11"/>
  <c r="AT450" i="11"/>
  <c r="BR449" i="11"/>
  <c r="BQ449" i="11"/>
  <c r="BP449" i="11"/>
  <c r="BN449" i="11"/>
  <c r="BM449" i="11"/>
  <c r="BL449" i="11"/>
  <c r="BK449" i="11"/>
  <c r="BJ449" i="11"/>
  <c r="BI449" i="11"/>
  <c r="BH449" i="11"/>
  <c r="BG449" i="11"/>
  <c r="BE449" i="11"/>
  <c r="BF449" i="11" s="1"/>
  <c r="BD449" i="11"/>
  <c r="BC449" i="11"/>
  <c r="BB449" i="11"/>
  <c r="BA449" i="11"/>
  <c r="AY449" i="11"/>
  <c r="AX449" i="11"/>
  <c r="AZ449" i="11" s="1"/>
  <c r="AW449" i="11"/>
  <c r="AV449" i="11"/>
  <c r="AU449" i="11"/>
  <c r="AT449" i="11"/>
  <c r="BR448" i="11"/>
  <c r="BQ448" i="11"/>
  <c r="BP448" i="11"/>
  <c r="BN448" i="11"/>
  <c r="BM448" i="11"/>
  <c r="BL448" i="11"/>
  <c r="BK448" i="11"/>
  <c r="BJ448" i="11"/>
  <c r="BH448" i="11"/>
  <c r="BI448" i="11" s="1"/>
  <c r="BG448" i="11"/>
  <c r="BE448" i="11"/>
  <c r="BD448" i="11"/>
  <c r="BB448" i="11"/>
  <c r="BC448" i="11" s="1"/>
  <c r="BA448" i="11"/>
  <c r="AY448" i="11"/>
  <c r="AX448" i="11"/>
  <c r="AZ448" i="11" s="1"/>
  <c r="AW448" i="11"/>
  <c r="AV448" i="11"/>
  <c r="AU448" i="11"/>
  <c r="AT448" i="11"/>
  <c r="BR447" i="11"/>
  <c r="BQ447" i="11"/>
  <c r="BP447" i="11"/>
  <c r="BN447" i="11"/>
  <c r="BM447" i="11"/>
  <c r="BL447" i="11"/>
  <c r="BK447" i="11"/>
  <c r="BJ447" i="11"/>
  <c r="BH447" i="11"/>
  <c r="BI447" i="11" s="1"/>
  <c r="BG447" i="11"/>
  <c r="BE447" i="11"/>
  <c r="BD447" i="11"/>
  <c r="BF447" i="11" s="1"/>
  <c r="BC447" i="11"/>
  <c r="BB447" i="11"/>
  <c r="BA447" i="11"/>
  <c r="AY447" i="11"/>
  <c r="AX447" i="11"/>
  <c r="AZ447" i="11" s="1"/>
  <c r="AW447" i="11"/>
  <c r="AV447" i="11"/>
  <c r="AU447" i="11"/>
  <c r="AT447" i="11"/>
  <c r="BR446" i="11"/>
  <c r="BQ446" i="11"/>
  <c r="BP446" i="11"/>
  <c r="BN446" i="11"/>
  <c r="BM446" i="11"/>
  <c r="BL446" i="11"/>
  <c r="BK446" i="11"/>
  <c r="BJ446" i="11"/>
  <c r="BH446" i="11"/>
  <c r="BI446" i="11" s="1"/>
  <c r="BG446" i="11"/>
  <c r="BF446" i="11"/>
  <c r="BE446" i="11"/>
  <c r="BD446" i="11"/>
  <c r="BC446" i="11"/>
  <c r="BB446" i="11"/>
  <c r="BA446" i="11"/>
  <c r="AY446" i="11"/>
  <c r="AX446" i="11"/>
  <c r="AZ446" i="11" s="1"/>
  <c r="AW446" i="11"/>
  <c r="AV446" i="11"/>
  <c r="AU446" i="11"/>
  <c r="AT446" i="11"/>
  <c r="BR445" i="11"/>
  <c r="BQ445" i="11"/>
  <c r="BP445" i="11"/>
  <c r="BN445" i="11"/>
  <c r="BM445" i="11"/>
  <c r="BL445" i="11"/>
  <c r="BK445" i="11"/>
  <c r="BJ445" i="11"/>
  <c r="BI445" i="11"/>
  <c r="BH445" i="11"/>
  <c r="BG445" i="11"/>
  <c r="BF445" i="11"/>
  <c r="BE445" i="11"/>
  <c r="BD445" i="11"/>
  <c r="BB445" i="11"/>
  <c r="BC445" i="11" s="1"/>
  <c r="BA445" i="11"/>
  <c r="AY445" i="11"/>
  <c r="AX445" i="11"/>
  <c r="AZ445" i="11" s="1"/>
  <c r="AW445" i="11"/>
  <c r="AV445" i="11"/>
  <c r="AU445" i="11"/>
  <c r="AT445" i="11"/>
  <c r="BR444" i="11"/>
  <c r="BQ444" i="11"/>
  <c r="BP444" i="11"/>
  <c r="BN444" i="11"/>
  <c r="BM444" i="11"/>
  <c r="BL444" i="11"/>
  <c r="BK444" i="11"/>
  <c r="BJ444" i="11"/>
  <c r="BH444" i="11"/>
  <c r="BI444" i="11" s="1"/>
  <c r="BG444" i="11"/>
  <c r="BE444" i="11"/>
  <c r="BD444" i="11"/>
  <c r="BF444" i="11" s="1"/>
  <c r="BB444" i="11"/>
  <c r="BC444" i="11" s="1"/>
  <c r="BA444" i="11"/>
  <c r="AY444" i="11"/>
  <c r="AX444" i="11"/>
  <c r="AZ444" i="11" s="1"/>
  <c r="AW444" i="11"/>
  <c r="AV444" i="11"/>
  <c r="AU444" i="11"/>
  <c r="AT444" i="11"/>
  <c r="BR443" i="11"/>
  <c r="BQ443" i="11"/>
  <c r="BP443" i="11"/>
  <c r="BN443" i="11"/>
  <c r="BM443" i="11"/>
  <c r="BL443" i="11"/>
  <c r="BK443" i="11"/>
  <c r="BJ443" i="11"/>
  <c r="BI443" i="11"/>
  <c r="BH443" i="11"/>
  <c r="BG443" i="11"/>
  <c r="BE443" i="11"/>
  <c r="BD443" i="11"/>
  <c r="BF443" i="11" s="1"/>
  <c r="BC443" i="11"/>
  <c r="BB443" i="11"/>
  <c r="BA443" i="11"/>
  <c r="AY443" i="11"/>
  <c r="AX443" i="11"/>
  <c r="AZ443" i="11" s="1"/>
  <c r="AW443" i="11"/>
  <c r="AV443" i="11"/>
  <c r="AU443" i="11"/>
  <c r="AT443" i="11"/>
  <c r="BR442" i="11"/>
  <c r="BQ442" i="11"/>
  <c r="BP442" i="11"/>
  <c r="BN442" i="11"/>
  <c r="BM442" i="11"/>
  <c r="BL442" i="11"/>
  <c r="BK442" i="11"/>
  <c r="BJ442" i="11"/>
  <c r="BH442" i="11"/>
  <c r="BI442" i="11" s="1"/>
  <c r="BG442" i="11"/>
  <c r="BF442" i="11"/>
  <c r="BE442" i="11"/>
  <c r="BD442" i="11"/>
  <c r="BB442" i="11"/>
  <c r="BC442" i="11" s="1"/>
  <c r="BA442" i="11"/>
  <c r="AY442" i="11"/>
  <c r="AX442" i="11"/>
  <c r="AZ442" i="11" s="1"/>
  <c r="AW442" i="11"/>
  <c r="AV442" i="11"/>
  <c r="AU442" i="11"/>
  <c r="AT442" i="11"/>
  <c r="BR441" i="11"/>
  <c r="BQ441" i="11"/>
  <c r="BP441" i="11"/>
  <c r="BN441" i="11"/>
  <c r="BM441" i="11"/>
  <c r="BL441" i="11"/>
  <c r="BK441" i="11"/>
  <c r="BJ441" i="11"/>
  <c r="BI441" i="11"/>
  <c r="BH441" i="11"/>
  <c r="BG441" i="11"/>
  <c r="BE441" i="11"/>
  <c r="BF441" i="11" s="1"/>
  <c r="BD441" i="11"/>
  <c r="BB441" i="11"/>
  <c r="BC441" i="11" s="1"/>
  <c r="BA441" i="11"/>
  <c r="AY441" i="11"/>
  <c r="AX441" i="11"/>
  <c r="AZ441" i="11" s="1"/>
  <c r="AW441" i="11"/>
  <c r="AV441" i="11"/>
  <c r="AU441" i="11"/>
  <c r="AT441" i="11"/>
  <c r="BR440" i="11"/>
  <c r="BQ440" i="11"/>
  <c r="BP440" i="11"/>
  <c r="BN440" i="11"/>
  <c r="BM440" i="11"/>
  <c r="BL440" i="11"/>
  <c r="BK440" i="11"/>
  <c r="BJ440" i="11"/>
  <c r="BI440" i="11"/>
  <c r="BH440" i="11"/>
  <c r="BG440" i="11"/>
  <c r="BF440" i="11"/>
  <c r="BE440" i="11"/>
  <c r="BD440" i="11"/>
  <c r="BC440" i="11"/>
  <c r="BB440" i="11"/>
  <c r="BA440" i="11"/>
  <c r="AY440" i="11"/>
  <c r="AX440" i="11"/>
  <c r="AZ440" i="11" s="1"/>
  <c r="AW440" i="11"/>
  <c r="AV440" i="11"/>
  <c r="AU440" i="11"/>
  <c r="AT440" i="11"/>
  <c r="BR439" i="11"/>
  <c r="BQ439" i="11"/>
  <c r="BP439" i="11"/>
  <c r="BN439" i="11"/>
  <c r="BM439" i="11"/>
  <c r="BL439" i="11"/>
  <c r="BK439" i="11"/>
  <c r="BJ439" i="11"/>
  <c r="BH439" i="11"/>
  <c r="BG439" i="11"/>
  <c r="BE439" i="11"/>
  <c r="BF439" i="11" s="1"/>
  <c r="BD439" i="11"/>
  <c r="BC439" i="11"/>
  <c r="BB439" i="11"/>
  <c r="BA439" i="11"/>
  <c r="AY439" i="11"/>
  <c r="AX439" i="11"/>
  <c r="AZ439" i="11" s="1"/>
  <c r="AW439" i="11"/>
  <c r="AV439" i="11"/>
  <c r="AU439" i="11"/>
  <c r="AT439" i="11"/>
  <c r="BR438" i="11"/>
  <c r="BQ438" i="11"/>
  <c r="BP438" i="11"/>
  <c r="BN438" i="11"/>
  <c r="BM438" i="11"/>
  <c r="BL438" i="11"/>
  <c r="BK438" i="11"/>
  <c r="BJ438" i="11"/>
  <c r="BH438" i="11"/>
  <c r="BG438" i="11"/>
  <c r="BI438" i="11" s="1"/>
  <c r="BF438" i="11"/>
  <c r="BE438" i="11"/>
  <c r="BD438" i="11"/>
  <c r="BB438" i="11"/>
  <c r="BC438" i="11" s="1"/>
  <c r="BA438" i="11"/>
  <c r="AY438" i="11"/>
  <c r="AX438" i="11"/>
  <c r="AZ438" i="11" s="1"/>
  <c r="AW438" i="11"/>
  <c r="AV438" i="11"/>
  <c r="AU438" i="11"/>
  <c r="AT438" i="11"/>
  <c r="BR437" i="11"/>
  <c r="BQ437" i="11"/>
  <c r="BP437" i="11"/>
  <c r="BN437" i="11"/>
  <c r="BM437" i="11"/>
  <c r="BL437" i="11"/>
  <c r="BK437" i="11"/>
  <c r="BJ437" i="11"/>
  <c r="BI437" i="11"/>
  <c r="BH437" i="11"/>
  <c r="BG437" i="11"/>
  <c r="BF437" i="11"/>
  <c r="BE437" i="11"/>
  <c r="BD437" i="11"/>
  <c r="BC437" i="11"/>
  <c r="BB437" i="11"/>
  <c r="BA437" i="11"/>
  <c r="AY437" i="11"/>
  <c r="AX437" i="11"/>
  <c r="AZ437" i="11" s="1"/>
  <c r="AW437" i="11"/>
  <c r="AV437" i="11"/>
  <c r="AU437" i="11"/>
  <c r="AT437" i="11"/>
  <c r="BR436" i="11"/>
  <c r="BQ436" i="11"/>
  <c r="BP436" i="11"/>
  <c r="BN436" i="11"/>
  <c r="BM436" i="11"/>
  <c r="BL436" i="11"/>
  <c r="BK436" i="11"/>
  <c r="BJ436" i="11"/>
  <c r="BI436" i="11"/>
  <c r="BH436" i="11"/>
  <c r="BG436" i="11"/>
  <c r="BE436" i="11"/>
  <c r="BD436" i="11"/>
  <c r="BB436" i="11"/>
  <c r="BC436" i="11" s="1"/>
  <c r="BA436" i="11"/>
  <c r="AY436" i="11"/>
  <c r="AX436" i="11"/>
  <c r="AZ436" i="11" s="1"/>
  <c r="AW436" i="11"/>
  <c r="AV436" i="11"/>
  <c r="AU436" i="11"/>
  <c r="AT436" i="11"/>
  <c r="BR435" i="11"/>
  <c r="BQ435" i="11"/>
  <c r="BP435" i="11"/>
  <c r="BN435" i="11"/>
  <c r="BM435" i="11"/>
  <c r="BL435" i="11"/>
  <c r="BK435" i="11"/>
  <c r="BJ435" i="11"/>
  <c r="BH435" i="11"/>
  <c r="BG435" i="11"/>
  <c r="BI435" i="11" s="1"/>
  <c r="BE435" i="11"/>
  <c r="BD435" i="11"/>
  <c r="BF435" i="11" s="1"/>
  <c r="BC435" i="11"/>
  <c r="BB435" i="11"/>
  <c r="BA435" i="11"/>
  <c r="AY435" i="11"/>
  <c r="AX435" i="11"/>
  <c r="AZ435" i="11" s="1"/>
  <c r="AW435" i="11"/>
  <c r="AV435" i="11"/>
  <c r="AU435" i="11"/>
  <c r="AT435" i="11"/>
  <c r="BR434" i="11"/>
  <c r="BQ434" i="11"/>
  <c r="BP434" i="11"/>
  <c r="BN434" i="11"/>
  <c r="BM434" i="11"/>
  <c r="BL434" i="11"/>
  <c r="BK434" i="11"/>
  <c r="BJ434" i="11"/>
  <c r="BH434" i="11"/>
  <c r="BG434" i="11"/>
  <c r="BI434" i="11" s="1"/>
  <c r="BF434" i="11"/>
  <c r="BE434" i="11"/>
  <c r="BD434" i="11"/>
  <c r="BB434" i="11"/>
  <c r="BC434" i="11" s="1"/>
  <c r="BA434" i="11"/>
  <c r="AY434" i="11"/>
  <c r="AX434" i="11"/>
  <c r="AZ434" i="11" s="1"/>
  <c r="AW434" i="11"/>
  <c r="AV434" i="11"/>
  <c r="AU434" i="11"/>
  <c r="AT434" i="11"/>
  <c r="BR433" i="11"/>
  <c r="BQ433" i="11"/>
  <c r="BP433" i="11"/>
  <c r="BN433" i="11"/>
  <c r="BM433" i="11"/>
  <c r="BL433" i="11"/>
  <c r="BK433" i="11"/>
  <c r="BJ433" i="11"/>
  <c r="BI433" i="11"/>
  <c r="BH433" i="11"/>
  <c r="BG433" i="11"/>
  <c r="BE433" i="11"/>
  <c r="BF433" i="11" s="1"/>
  <c r="BD433" i="11"/>
  <c r="BB433" i="11"/>
  <c r="BC433" i="11" s="1"/>
  <c r="BA433" i="11"/>
  <c r="AY433" i="11"/>
  <c r="AX433" i="11"/>
  <c r="AZ433" i="11" s="1"/>
  <c r="AW433" i="11"/>
  <c r="AV433" i="11"/>
  <c r="AU433" i="11"/>
  <c r="AT433" i="11"/>
  <c r="BR432" i="11"/>
  <c r="BQ432" i="11"/>
  <c r="BP432" i="11"/>
  <c r="BN432" i="11"/>
  <c r="BM432" i="11"/>
  <c r="BL432" i="11"/>
  <c r="BK432" i="11"/>
  <c r="BJ432" i="11"/>
  <c r="BH432" i="11"/>
  <c r="BI432" i="11" s="1"/>
  <c r="BG432" i="11"/>
  <c r="BE432" i="11"/>
  <c r="BD432" i="11"/>
  <c r="BB432" i="11"/>
  <c r="BC432" i="11" s="1"/>
  <c r="BA432" i="11"/>
  <c r="AY432" i="11"/>
  <c r="AX432" i="11"/>
  <c r="AZ432" i="11" s="1"/>
  <c r="AW432" i="11"/>
  <c r="AV432" i="11"/>
  <c r="AU432" i="11"/>
  <c r="AT432" i="11"/>
  <c r="BR431" i="11"/>
  <c r="BQ431" i="11"/>
  <c r="BP431" i="11"/>
  <c r="BN431" i="11"/>
  <c r="BM431" i="11"/>
  <c r="BL431" i="11"/>
  <c r="BK431" i="11"/>
  <c r="BJ431" i="11"/>
  <c r="BI431" i="11"/>
  <c r="BH431" i="11"/>
  <c r="BG431" i="11"/>
  <c r="BE431" i="11"/>
  <c r="BD431" i="11"/>
  <c r="BF431" i="11" s="1"/>
  <c r="BC431" i="11"/>
  <c r="BB431" i="11"/>
  <c r="BA431" i="11"/>
  <c r="AY431" i="11"/>
  <c r="AX431" i="11"/>
  <c r="AZ431" i="11" s="1"/>
  <c r="AW431" i="11"/>
  <c r="AV431" i="11"/>
  <c r="AU431" i="11"/>
  <c r="AT431" i="11"/>
  <c r="BR430" i="11"/>
  <c r="BQ430" i="11"/>
  <c r="BP430" i="11"/>
  <c r="BN430" i="11"/>
  <c r="BM430" i="11"/>
  <c r="BL430" i="11"/>
  <c r="BK430" i="11"/>
  <c r="BJ430" i="11"/>
  <c r="BH430" i="11"/>
  <c r="BI430" i="11" s="1"/>
  <c r="BG430" i="11"/>
  <c r="BF430" i="11"/>
  <c r="BE430" i="11"/>
  <c r="BD430" i="11"/>
  <c r="BB430" i="11"/>
  <c r="BC430" i="11" s="1"/>
  <c r="BA430" i="11"/>
  <c r="AY430" i="11"/>
  <c r="AX430" i="11"/>
  <c r="AZ430" i="11" s="1"/>
  <c r="AW430" i="11"/>
  <c r="AV430" i="11"/>
  <c r="AU430" i="11"/>
  <c r="AT430" i="11"/>
  <c r="BR429" i="11"/>
  <c r="BQ429" i="11"/>
  <c r="BP429" i="11"/>
  <c r="BN429" i="11"/>
  <c r="BM429" i="11"/>
  <c r="BL429" i="11"/>
  <c r="BK429" i="11"/>
  <c r="BJ429" i="11"/>
  <c r="BI429" i="11"/>
  <c r="BH429" i="11"/>
  <c r="BG429" i="11"/>
  <c r="BE429" i="11"/>
  <c r="BF429" i="11" s="1"/>
  <c r="BD429" i="11"/>
  <c r="BB429" i="11"/>
  <c r="BC429" i="11" s="1"/>
  <c r="BA429" i="11"/>
  <c r="AY429" i="11"/>
  <c r="AX429" i="11"/>
  <c r="AZ429" i="11" s="1"/>
  <c r="AW429" i="11"/>
  <c r="AV429" i="11"/>
  <c r="AU429" i="11"/>
  <c r="AT429" i="11"/>
  <c r="BR428" i="11"/>
  <c r="BQ428" i="11"/>
  <c r="BP428" i="11"/>
  <c r="BN428" i="11"/>
  <c r="BM428" i="11"/>
  <c r="BL428" i="11"/>
  <c r="BK428" i="11"/>
  <c r="BJ428" i="11"/>
  <c r="BI428" i="11"/>
  <c r="BH428" i="11"/>
  <c r="BG428" i="11"/>
  <c r="BF428" i="11"/>
  <c r="BE428" i="11"/>
  <c r="BD428" i="11"/>
  <c r="BC428" i="11"/>
  <c r="BB428" i="11"/>
  <c r="BA428" i="11"/>
  <c r="AY428" i="11"/>
  <c r="AX428" i="11"/>
  <c r="AZ428" i="11" s="1"/>
  <c r="AW428" i="11"/>
  <c r="AV428" i="11"/>
  <c r="AU428" i="11"/>
  <c r="AT428" i="11"/>
  <c r="BR427" i="11"/>
  <c r="BQ427" i="11"/>
  <c r="BP427" i="11"/>
  <c r="BN427" i="11"/>
  <c r="BM427" i="11"/>
  <c r="BL427" i="11"/>
  <c r="BK427" i="11"/>
  <c r="BJ427" i="11"/>
  <c r="BH427" i="11"/>
  <c r="BG427" i="11"/>
  <c r="BE427" i="11"/>
  <c r="BF427" i="11" s="1"/>
  <c r="BD427" i="11"/>
  <c r="BC427" i="11"/>
  <c r="BB427" i="11"/>
  <c r="BA427" i="11"/>
  <c r="AY427" i="11"/>
  <c r="AX427" i="11"/>
  <c r="AZ427" i="11" s="1"/>
  <c r="AW427" i="11"/>
  <c r="AV427" i="11"/>
  <c r="AU427" i="11"/>
  <c r="AT427" i="11"/>
  <c r="BR426" i="11"/>
  <c r="BQ426" i="11"/>
  <c r="BP426" i="11"/>
  <c r="BN426" i="11"/>
  <c r="BM426" i="11"/>
  <c r="BL426" i="11"/>
  <c r="BK426" i="11"/>
  <c r="BJ426" i="11"/>
  <c r="BH426" i="11"/>
  <c r="BG426" i="11"/>
  <c r="BI426" i="11" s="1"/>
  <c r="BE426" i="11"/>
  <c r="BD426" i="11"/>
  <c r="BF426" i="11" s="1"/>
  <c r="BB426" i="11"/>
  <c r="BC426" i="11" s="1"/>
  <c r="BA426" i="11"/>
  <c r="AY426" i="11"/>
  <c r="AX426" i="11"/>
  <c r="AZ426" i="11" s="1"/>
  <c r="AW426" i="11"/>
  <c r="AV426" i="11"/>
  <c r="AU426" i="11"/>
  <c r="AT426" i="11"/>
  <c r="BR425" i="11"/>
  <c r="BQ425" i="11"/>
  <c r="BP425" i="11"/>
  <c r="BN425" i="11"/>
  <c r="BM425" i="11"/>
  <c r="BL425" i="11"/>
  <c r="BK425" i="11"/>
  <c r="BJ425" i="11"/>
  <c r="BI425" i="11"/>
  <c r="BH425" i="11"/>
  <c r="BG425" i="11"/>
  <c r="BE425" i="11"/>
  <c r="BF425" i="11" s="1"/>
  <c r="BD425" i="11"/>
  <c r="BC425" i="11"/>
  <c r="BB425" i="11"/>
  <c r="BA425" i="11"/>
  <c r="AY425" i="11"/>
  <c r="AX425" i="11"/>
  <c r="AZ425" i="11" s="1"/>
  <c r="AW425" i="11"/>
  <c r="AV425" i="11"/>
  <c r="AU425" i="11"/>
  <c r="AT425" i="11"/>
  <c r="BR424" i="11"/>
  <c r="BQ424" i="11"/>
  <c r="BP424" i="11"/>
  <c r="BN424" i="11"/>
  <c r="BM424" i="11"/>
  <c r="BL424" i="11"/>
  <c r="BK424" i="11"/>
  <c r="BJ424" i="11"/>
  <c r="BI424" i="11"/>
  <c r="BH424" i="11"/>
  <c r="BG424" i="11"/>
  <c r="BE424" i="11"/>
  <c r="BD424" i="11"/>
  <c r="BB424" i="11"/>
  <c r="BC424" i="11" s="1"/>
  <c r="BA424" i="11"/>
  <c r="AY424" i="11"/>
  <c r="AX424" i="11"/>
  <c r="AZ424" i="11" s="1"/>
  <c r="AW424" i="11"/>
  <c r="AV424" i="11"/>
  <c r="AU424" i="11"/>
  <c r="AT424" i="11"/>
  <c r="BR423" i="11"/>
  <c r="BQ423" i="11"/>
  <c r="BP423" i="11"/>
  <c r="BN423" i="11"/>
  <c r="BM423" i="11"/>
  <c r="BL423" i="11"/>
  <c r="BK423" i="11"/>
  <c r="BJ423" i="11"/>
  <c r="BH423" i="11"/>
  <c r="BG423" i="11"/>
  <c r="BE423" i="11"/>
  <c r="BD423" i="11"/>
  <c r="BF423" i="11" s="1"/>
  <c r="BC423" i="11"/>
  <c r="BB423" i="11"/>
  <c r="BA423" i="11"/>
  <c r="AY423" i="11"/>
  <c r="AX423" i="11"/>
  <c r="AZ423" i="11" s="1"/>
  <c r="AW423" i="11"/>
  <c r="AV423" i="11"/>
  <c r="AU423" i="11"/>
  <c r="AT423" i="11"/>
  <c r="BR422" i="11"/>
  <c r="BQ422" i="11"/>
  <c r="BP422" i="11"/>
  <c r="BN422" i="11"/>
  <c r="BM422" i="11"/>
  <c r="BL422" i="11"/>
  <c r="BK422" i="11"/>
  <c r="BJ422" i="11"/>
  <c r="BH422" i="11"/>
  <c r="BG422" i="11"/>
  <c r="BI422" i="11" s="1"/>
  <c r="BF422" i="11"/>
  <c r="BE422" i="11"/>
  <c r="BD422" i="11"/>
  <c r="BB422" i="11"/>
  <c r="BC422" i="11" s="1"/>
  <c r="BA422" i="11"/>
  <c r="AY422" i="11"/>
  <c r="AX422" i="11"/>
  <c r="AZ422" i="11" s="1"/>
  <c r="AW422" i="11"/>
  <c r="AV422" i="11"/>
  <c r="AU422" i="11"/>
  <c r="AT422" i="11"/>
  <c r="BR421" i="11"/>
  <c r="BQ421" i="11"/>
  <c r="BP421" i="11"/>
  <c r="BN421" i="11"/>
  <c r="BM421" i="11"/>
  <c r="BL421" i="11"/>
  <c r="BK421" i="11"/>
  <c r="BJ421" i="11"/>
  <c r="BI421" i="11"/>
  <c r="BH421" i="11"/>
  <c r="BG421" i="11"/>
  <c r="BF421" i="11"/>
  <c r="BE421" i="11"/>
  <c r="BD421" i="11"/>
  <c r="BB421" i="11"/>
  <c r="BC421" i="11" s="1"/>
  <c r="BA421" i="11"/>
  <c r="AY421" i="11"/>
  <c r="AX421" i="11"/>
  <c r="AZ421" i="11" s="1"/>
  <c r="AW421" i="11"/>
  <c r="AV421" i="11"/>
  <c r="AU421" i="11"/>
  <c r="AT421" i="11"/>
  <c r="BR420" i="11"/>
  <c r="BQ420" i="11"/>
  <c r="BP420" i="11"/>
  <c r="BN420" i="11"/>
  <c r="BM420" i="11"/>
  <c r="BL420" i="11"/>
  <c r="BK420" i="11"/>
  <c r="BJ420" i="11"/>
  <c r="BH420" i="11"/>
  <c r="BI420" i="11" s="1"/>
  <c r="BG420" i="11"/>
  <c r="BE420" i="11"/>
  <c r="BD420" i="11"/>
  <c r="BF420" i="11" s="1"/>
  <c r="BB420" i="11"/>
  <c r="BC420" i="11" s="1"/>
  <c r="BA420" i="11"/>
  <c r="AY420" i="11"/>
  <c r="AX420" i="11"/>
  <c r="AZ420" i="11" s="1"/>
  <c r="AW420" i="11"/>
  <c r="AV420" i="11"/>
  <c r="AU420" i="11"/>
  <c r="AT420" i="11"/>
  <c r="BR419" i="11"/>
  <c r="BQ419" i="11"/>
  <c r="BP419" i="11"/>
  <c r="BN419" i="11"/>
  <c r="BM419" i="11"/>
  <c r="BL419" i="11"/>
  <c r="BK419" i="11"/>
  <c r="BJ419" i="11"/>
  <c r="BI419" i="11"/>
  <c r="BH419" i="11"/>
  <c r="BG419" i="11"/>
  <c r="BE419" i="11"/>
  <c r="BD419" i="11"/>
  <c r="BF419" i="11" s="1"/>
  <c r="BC419" i="11"/>
  <c r="BB419" i="11"/>
  <c r="BA419" i="11"/>
  <c r="AY419" i="11"/>
  <c r="AX419" i="11"/>
  <c r="AZ419" i="11" s="1"/>
  <c r="AW419" i="11"/>
  <c r="AV419" i="11"/>
  <c r="AU419" i="11"/>
  <c r="AT419" i="11"/>
  <c r="BR418" i="11"/>
  <c r="BQ418" i="11"/>
  <c r="BP418" i="11"/>
  <c r="BN418" i="11"/>
  <c r="BM418" i="11"/>
  <c r="BL418" i="11"/>
  <c r="BK418" i="11"/>
  <c r="BJ418" i="11"/>
  <c r="BH418" i="11"/>
  <c r="BI418" i="11" s="1"/>
  <c r="BG418" i="11"/>
  <c r="BF418" i="11"/>
  <c r="BE418" i="11"/>
  <c r="BD418" i="11"/>
  <c r="BC418" i="11"/>
  <c r="BB418" i="11"/>
  <c r="BA418" i="11"/>
  <c r="AY418" i="11"/>
  <c r="AX418" i="11"/>
  <c r="AZ418" i="11" s="1"/>
  <c r="AW418" i="11"/>
  <c r="AV418" i="11"/>
  <c r="AU418" i="11"/>
  <c r="AT418" i="11"/>
  <c r="BR417" i="11"/>
  <c r="BQ417" i="11"/>
  <c r="BP417" i="11"/>
  <c r="BN417" i="11"/>
  <c r="BM417" i="11"/>
  <c r="BL417" i="11"/>
  <c r="BK417" i="11"/>
  <c r="BJ417" i="11"/>
  <c r="BH417" i="11"/>
  <c r="BG417" i="11"/>
  <c r="BI417" i="11" s="1"/>
  <c r="BE417" i="11"/>
  <c r="BF417" i="11" s="1"/>
  <c r="BD417" i="11"/>
  <c r="BB417" i="11"/>
  <c r="BC417" i="11" s="1"/>
  <c r="BA417" i="11"/>
  <c r="AY417" i="11"/>
  <c r="AX417" i="11"/>
  <c r="AZ417" i="11" s="1"/>
  <c r="AW417" i="11"/>
  <c r="AV417" i="11"/>
  <c r="AU417" i="11"/>
  <c r="AT417" i="11"/>
  <c r="BR416" i="11"/>
  <c r="BQ416" i="11"/>
  <c r="BP416" i="11"/>
  <c r="BN416" i="11"/>
  <c r="BM416" i="11"/>
  <c r="BL416" i="11"/>
  <c r="BK416" i="11"/>
  <c r="BJ416" i="11"/>
  <c r="BI416" i="11"/>
  <c r="BH416" i="11"/>
  <c r="BG416" i="11"/>
  <c r="BF416" i="11"/>
  <c r="BE416" i="11"/>
  <c r="BD416" i="11"/>
  <c r="BC416" i="11"/>
  <c r="BB416" i="11"/>
  <c r="BA416" i="11"/>
  <c r="AY416" i="11"/>
  <c r="AX416" i="11"/>
  <c r="AZ416" i="11" s="1"/>
  <c r="AW416" i="11"/>
  <c r="AV416" i="11"/>
  <c r="AU416" i="11"/>
  <c r="AT416" i="11"/>
  <c r="BR415" i="11"/>
  <c r="BQ415" i="11"/>
  <c r="BP415" i="11"/>
  <c r="BN415" i="11"/>
  <c r="BM415" i="11"/>
  <c r="BL415" i="11"/>
  <c r="BK415" i="11"/>
  <c r="BJ415" i="11"/>
  <c r="BH415" i="11"/>
  <c r="BG415" i="11"/>
  <c r="BI415" i="11" s="1"/>
  <c r="BE415" i="11"/>
  <c r="BF415" i="11" s="1"/>
  <c r="BD415" i="11"/>
  <c r="BC415" i="11"/>
  <c r="BB415" i="11"/>
  <c r="BA415" i="11"/>
  <c r="AY415" i="11"/>
  <c r="AX415" i="11"/>
  <c r="AZ415" i="11" s="1"/>
  <c r="AW415" i="11"/>
  <c r="AV415" i="11"/>
  <c r="AU415" i="11"/>
  <c r="AT415" i="11"/>
  <c r="BR414" i="11"/>
  <c r="BQ414" i="11"/>
  <c r="BP414" i="11"/>
  <c r="BN414" i="11"/>
  <c r="BM414" i="11"/>
  <c r="BL414" i="11"/>
  <c r="BK414" i="11"/>
  <c r="BJ414" i="11"/>
  <c r="BH414" i="11"/>
  <c r="BG414" i="11"/>
  <c r="BI414" i="11" s="1"/>
  <c r="BF414" i="11"/>
  <c r="BE414" i="11"/>
  <c r="BD414" i="11"/>
  <c r="BB414" i="11"/>
  <c r="BC414" i="11" s="1"/>
  <c r="BA414" i="11"/>
  <c r="AY414" i="11"/>
  <c r="AX414" i="11"/>
  <c r="AZ414" i="11" s="1"/>
  <c r="AW414" i="11"/>
  <c r="AV414" i="11"/>
  <c r="AU414" i="11"/>
  <c r="AT414" i="11"/>
  <c r="BR413" i="11"/>
  <c r="BQ413" i="11"/>
  <c r="BP413" i="11"/>
  <c r="BN413" i="11"/>
  <c r="BM413" i="11"/>
  <c r="BL413" i="11"/>
  <c r="BK413" i="11"/>
  <c r="BJ413" i="11"/>
  <c r="BI413" i="11"/>
  <c r="BH413" i="11"/>
  <c r="BG413" i="11"/>
  <c r="BE413" i="11"/>
  <c r="BF413" i="11" s="1"/>
  <c r="BD413" i="11"/>
  <c r="BC413" i="11"/>
  <c r="BB413" i="11"/>
  <c r="BA413" i="11"/>
  <c r="AY413" i="11"/>
  <c r="AX413" i="11"/>
  <c r="AZ413" i="11" s="1"/>
  <c r="AW413" i="11"/>
  <c r="AV413" i="11"/>
  <c r="AU413" i="11"/>
  <c r="AT413" i="11"/>
  <c r="BR412" i="11"/>
  <c r="BQ412" i="11"/>
  <c r="BP412" i="11"/>
  <c r="BN412" i="11"/>
  <c r="BM412" i="11"/>
  <c r="BL412" i="11"/>
  <c r="BK412" i="11"/>
  <c r="BJ412" i="11"/>
  <c r="BI412" i="11"/>
  <c r="BH412" i="11"/>
  <c r="BG412" i="11"/>
  <c r="BE412" i="11"/>
  <c r="BD412" i="11"/>
  <c r="BF412" i="11" s="1"/>
  <c r="BB412" i="11"/>
  <c r="BC412" i="11" s="1"/>
  <c r="BA412" i="11"/>
  <c r="AY412" i="11"/>
  <c r="AX412" i="11"/>
  <c r="AZ412" i="11" s="1"/>
  <c r="AW412" i="11"/>
  <c r="AV412" i="11"/>
  <c r="AU412" i="11"/>
  <c r="AT412" i="11"/>
  <c r="BR411" i="11"/>
  <c r="BQ411" i="11"/>
  <c r="BP411" i="11"/>
  <c r="BN411" i="11"/>
  <c r="BM411" i="11"/>
  <c r="BL411" i="11"/>
  <c r="BK411" i="11"/>
  <c r="BJ411" i="11"/>
  <c r="BH411" i="11"/>
  <c r="BG411" i="11"/>
  <c r="BI411" i="11" s="1"/>
  <c r="BE411" i="11"/>
  <c r="BD411" i="11"/>
  <c r="BF411" i="11" s="1"/>
  <c r="BC411" i="11"/>
  <c r="BB411" i="11"/>
  <c r="BA411" i="11"/>
  <c r="AY411" i="11"/>
  <c r="AX411" i="11"/>
  <c r="AZ411" i="11" s="1"/>
  <c r="AW411" i="11"/>
  <c r="AV411" i="11"/>
  <c r="AU411" i="11"/>
  <c r="AT411" i="11"/>
  <c r="BR410" i="11"/>
  <c r="BQ410" i="11"/>
  <c r="BP410" i="11"/>
  <c r="BN410" i="11"/>
  <c r="BM410" i="11"/>
  <c r="BL410" i="11"/>
  <c r="BK410" i="11"/>
  <c r="BJ410" i="11"/>
  <c r="BH410" i="11"/>
  <c r="BG410" i="11"/>
  <c r="BI410" i="11" s="1"/>
  <c r="BF410" i="11"/>
  <c r="BE410" i="11"/>
  <c r="BD410" i="11"/>
  <c r="BB410" i="11"/>
  <c r="BC410" i="11" s="1"/>
  <c r="BA410" i="11"/>
  <c r="AY410" i="11"/>
  <c r="AX410" i="11"/>
  <c r="AZ410" i="11" s="1"/>
  <c r="AW410" i="11"/>
  <c r="AV410" i="11"/>
  <c r="AU410" i="11"/>
  <c r="AT410" i="11"/>
  <c r="BR409" i="11"/>
  <c r="BQ409" i="11"/>
  <c r="BP409" i="11"/>
  <c r="BN409" i="11"/>
  <c r="BM409" i="11"/>
  <c r="BL409" i="11"/>
  <c r="BK409" i="11"/>
  <c r="BJ409" i="11"/>
  <c r="BI409" i="11"/>
  <c r="BH409" i="11"/>
  <c r="BG409" i="11"/>
  <c r="BE409" i="11"/>
  <c r="BF409" i="11" s="1"/>
  <c r="BD409" i="11"/>
  <c r="BB409" i="11"/>
  <c r="BC409" i="11" s="1"/>
  <c r="BA409" i="11"/>
  <c r="AY409" i="11"/>
  <c r="AX409" i="11"/>
  <c r="AZ409" i="11" s="1"/>
  <c r="AW409" i="11"/>
  <c r="AV409" i="11"/>
  <c r="AU409" i="11"/>
  <c r="AT409" i="11"/>
  <c r="BR408" i="11"/>
  <c r="BQ408" i="11"/>
  <c r="BP408" i="11"/>
  <c r="BN408" i="11"/>
  <c r="BM408" i="11"/>
  <c r="BL408" i="11"/>
  <c r="BK408" i="11"/>
  <c r="BJ408" i="11"/>
  <c r="BH408" i="11"/>
  <c r="BI408" i="11" s="1"/>
  <c r="BG408" i="11"/>
  <c r="BE408" i="11"/>
  <c r="BD408" i="11"/>
  <c r="BB408" i="11"/>
  <c r="BC408" i="11" s="1"/>
  <c r="BA408" i="11"/>
  <c r="AY408" i="11"/>
  <c r="AX408" i="11"/>
  <c r="AZ408" i="11" s="1"/>
  <c r="AW408" i="11"/>
  <c r="AV408" i="11"/>
  <c r="AU408" i="11"/>
  <c r="AT408" i="11"/>
  <c r="BR407" i="11"/>
  <c r="BQ407" i="11"/>
  <c r="BP407" i="11"/>
  <c r="BN407" i="11"/>
  <c r="BM407" i="11"/>
  <c r="BL407" i="11"/>
  <c r="BK407" i="11"/>
  <c r="BJ407" i="11"/>
  <c r="BI407" i="11"/>
  <c r="BH407" i="11"/>
  <c r="BG407" i="11"/>
  <c r="BE407" i="11"/>
  <c r="BD407" i="11"/>
  <c r="BF407" i="11" s="1"/>
  <c r="BC407" i="11"/>
  <c r="BB407" i="11"/>
  <c r="BA407" i="11"/>
  <c r="AY407" i="11"/>
  <c r="AX407" i="11"/>
  <c r="AZ407" i="11" s="1"/>
  <c r="AW407" i="11"/>
  <c r="AV407" i="11"/>
  <c r="AU407" i="11"/>
  <c r="AT407" i="11"/>
  <c r="BR406" i="11"/>
  <c r="BQ406" i="11"/>
  <c r="BP406" i="11"/>
  <c r="BN406" i="11"/>
  <c r="BM406" i="11"/>
  <c r="BL406" i="11"/>
  <c r="BK406" i="11"/>
  <c r="BJ406" i="11"/>
  <c r="BI406" i="11"/>
  <c r="BH406" i="11"/>
  <c r="BG406" i="11"/>
  <c r="BF406" i="11"/>
  <c r="BE406" i="11"/>
  <c r="BD406" i="11"/>
  <c r="BC406" i="11"/>
  <c r="BB406" i="11"/>
  <c r="BA406" i="11"/>
  <c r="AY406" i="11"/>
  <c r="AX406" i="11"/>
  <c r="AZ406" i="11" s="1"/>
  <c r="AW406" i="11"/>
  <c r="AV406" i="11"/>
  <c r="AU406" i="11"/>
  <c r="AT406" i="11"/>
  <c r="BR405" i="11"/>
  <c r="BQ405" i="11"/>
  <c r="BP405" i="11"/>
  <c r="BN405" i="11"/>
  <c r="BM405" i="11"/>
  <c r="BL405" i="11"/>
  <c r="BK405" i="11"/>
  <c r="BJ405" i="11"/>
  <c r="BH405" i="11"/>
  <c r="BG405" i="11"/>
  <c r="BI405" i="11" s="1"/>
  <c r="BE405" i="11"/>
  <c r="BF405" i="11" s="1"/>
  <c r="BD405" i="11"/>
  <c r="BB405" i="11"/>
  <c r="BC405" i="11" s="1"/>
  <c r="BA405" i="11"/>
  <c r="AY405" i="11"/>
  <c r="AX405" i="11"/>
  <c r="AZ405" i="11" s="1"/>
  <c r="AW405" i="11"/>
  <c r="AV405" i="11"/>
  <c r="AU405" i="11"/>
  <c r="AT405" i="11"/>
  <c r="BR404" i="11"/>
  <c r="BQ404" i="11"/>
  <c r="BP404" i="11"/>
  <c r="BN404" i="11"/>
  <c r="BM404" i="11"/>
  <c r="BL404" i="11"/>
  <c r="BK404" i="11"/>
  <c r="BJ404" i="11"/>
  <c r="BH404" i="11"/>
  <c r="BI404" i="11" s="1"/>
  <c r="BG404" i="11"/>
  <c r="BF404" i="11"/>
  <c r="BE404" i="11"/>
  <c r="BD404" i="11"/>
  <c r="BC404" i="11"/>
  <c r="BB404" i="11"/>
  <c r="BA404" i="11"/>
  <c r="AY404" i="11"/>
  <c r="AX404" i="11"/>
  <c r="AZ404" i="11" s="1"/>
  <c r="AW404" i="11"/>
  <c r="AV404" i="11"/>
  <c r="AU404" i="11"/>
  <c r="AT404" i="11"/>
  <c r="BR403" i="11"/>
  <c r="BQ403" i="11"/>
  <c r="BP403" i="11"/>
  <c r="BN403" i="11"/>
  <c r="BM403" i="11"/>
  <c r="BL403" i="11"/>
  <c r="BK403" i="11"/>
  <c r="BJ403" i="11"/>
  <c r="BH403" i="11"/>
  <c r="BG403" i="11"/>
  <c r="BI403" i="11" s="1"/>
  <c r="BF403" i="11"/>
  <c r="BE403" i="11"/>
  <c r="BD403" i="11"/>
  <c r="BC403" i="11"/>
  <c r="BB403" i="11"/>
  <c r="BA403" i="11"/>
  <c r="AY403" i="11"/>
  <c r="AX403" i="11"/>
  <c r="AZ403" i="11" s="1"/>
  <c r="AW403" i="11"/>
  <c r="AV403" i="11"/>
  <c r="AU403" i="11"/>
  <c r="AT403" i="11"/>
  <c r="BR402" i="11"/>
  <c r="BQ402" i="11"/>
  <c r="BP402" i="11"/>
  <c r="BN402" i="11"/>
  <c r="BM402" i="11"/>
  <c r="BL402" i="11"/>
  <c r="BK402" i="11"/>
  <c r="BJ402" i="11"/>
  <c r="BH402" i="11"/>
  <c r="BG402" i="11"/>
  <c r="BI402" i="11" s="1"/>
  <c r="BE402" i="11"/>
  <c r="BD402" i="11"/>
  <c r="BF402" i="11" s="1"/>
  <c r="BB402" i="11"/>
  <c r="BC402" i="11" s="1"/>
  <c r="BA402" i="11"/>
  <c r="AY402" i="11"/>
  <c r="AX402" i="11"/>
  <c r="AZ402" i="11" s="1"/>
  <c r="AW402" i="11"/>
  <c r="AV402" i="11"/>
  <c r="AU402" i="11"/>
  <c r="AT402" i="11"/>
  <c r="BR401" i="11"/>
  <c r="BQ401" i="11"/>
  <c r="BP401" i="11"/>
  <c r="BN401" i="11"/>
  <c r="BM401" i="11"/>
  <c r="BL401" i="11"/>
  <c r="BK401" i="11"/>
  <c r="BJ401" i="11"/>
  <c r="BI401" i="11"/>
  <c r="BH401" i="11"/>
  <c r="BG401" i="11"/>
  <c r="BF401" i="11"/>
  <c r="BE401" i="11"/>
  <c r="BD401" i="11"/>
  <c r="BC401" i="11"/>
  <c r="BB401" i="11"/>
  <c r="BA401" i="11"/>
  <c r="AY401" i="11"/>
  <c r="AX401" i="11"/>
  <c r="AZ401" i="11" s="1"/>
  <c r="AW401" i="11"/>
  <c r="AV401" i="11"/>
  <c r="AU401" i="11"/>
  <c r="AT401" i="11"/>
  <c r="BR400" i="11"/>
  <c r="BQ400" i="11"/>
  <c r="BP400" i="11"/>
  <c r="BN400" i="11"/>
  <c r="BM400" i="11"/>
  <c r="BL400" i="11"/>
  <c r="BK400" i="11"/>
  <c r="BJ400" i="11"/>
  <c r="BH400" i="11"/>
  <c r="BI400" i="11" s="1"/>
  <c r="BG400" i="11"/>
  <c r="BE400" i="11"/>
  <c r="BD400" i="11"/>
  <c r="BC400" i="11"/>
  <c r="BB400" i="11"/>
  <c r="BA400" i="11"/>
  <c r="AY400" i="11"/>
  <c r="AX400" i="11"/>
  <c r="AZ400" i="11" s="1"/>
  <c r="AW400" i="11"/>
  <c r="AV400" i="11"/>
  <c r="AU400" i="11"/>
  <c r="AT400" i="11"/>
  <c r="BR399" i="11"/>
  <c r="BQ399" i="11"/>
  <c r="BP399" i="11"/>
  <c r="BN399" i="11"/>
  <c r="BM399" i="11"/>
  <c r="BL399" i="11"/>
  <c r="BK399" i="11"/>
  <c r="BJ399" i="11"/>
  <c r="BH399" i="11"/>
  <c r="BG399" i="11"/>
  <c r="BI399" i="11" s="1"/>
  <c r="BE399" i="11"/>
  <c r="BD399" i="11"/>
  <c r="BF399" i="11" s="1"/>
  <c r="BB399" i="11"/>
  <c r="BC399" i="11" s="1"/>
  <c r="BA399" i="11"/>
  <c r="AY399" i="11"/>
  <c r="AX399" i="11"/>
  <c r="AZ399" i="11" s="1"/>
  <c r="AW399" i="11"/>
  <c r="AV399" i="11"/>
  <c r="AU399" i="11"/>
  <c r="AT399" i="11"/>
  <c r="BR398" i="11"/>
  <c r="BQ398" i="11"/>
  <c r="BP398" i="11"/>
  <c r="BN398" i="11"/>
  <c r="BM398" i="11"/>
  <c r="BL398" i="11"/>
  <c r="BK398" i="11"/>
  <c r="BJ398" i="11"/>
  <c r="BH398" i="11"/>
  <c r="BG398" i="11"/>
  <c r="BI398" i="11" s="1"/>
  <c r="BF398" i="11"/>
  <c r="BE398" i="11"/>
  <c r="BD398" i="11"/>
  <c r="BB398" i="11"/>
  <c r="BC398" i="11" s="1"/>
  <c r="BA398" i="11"/>
  <c r="AY398" i="11"/>
  <c r="AX398" i="11"/>
  <c r="AZ398" i="11" s="1"/>
  <c r="AW398" i="11"/>
  <c r="AV398" i="11"/>
  <c r="AU398" i="11"/>
  <c r="AT398" i="11"/>
  <c r="BR397" i="11"/>
  <c r="BQ397" i="11"/>
  <c r="BP397" i="11"/>
  <c r="BN397" i="11"/>
  <c r="BM397" i="11"/>
  <c r="BL397" i="11"/>
  <c r="BK397" i="11"/>
  <c r="BJ397" i="11"/>
  <c r="BI397" i="11"/>
  <c r="BH397" i="11"/>
  <c r="BG397" i="11"/>
  <c r="BF397" i="11"/>
  <c r="BE397" i="11"/>
  <c r="BD397" i="11"/>
  <c r="BC397" i="11"/>
  <c r="BB397" i="11"/>
  <c r="BA397" i="11"/>
  <c r="AY397" i="11"/>
  <c r="AX397" i="11"/>
  <c r="AZ397" i="11" s="1"/>
  <c r="AW397" i="11"/>
  <c r="AV397" i="11"/>
  <c r="AU397" i="11"/>
  <c r="AT397" i="11"/>
  <c r="BR396" i="11"/>
  <c r="BQ396" i="11"/>
  <c r="BP396" i="11"/>
  <c r="BN396" i="11"/>
  <c r="BM396" i="11"/>
  <c r="BL396" i="11"/>
  <c r="BK396" i="11"/>
  <c r="BJ396" i="11"/>
  <c r="BH396" i="11"/>
  <c r="BI396" i="11" s="1"/>
  <c r="BG396" i="11"/>
  <c r="BE396" i="11"/>
  <c r="BD396" i="11"/>
  <c r="BF396" i="11" s="1"/>
  <c r="BB396" i="11"/>
  <c r="BC396" i="11" s="1"/>
  <c r="BA396" i="11"/>
  <c r="AY396" i="11"/>
  <c r="AX396" i="11"/>
  <c r="AZ396" i="11" s="1"/>
  <c r="AW396" i="11"/>
  <c r="AV396" i="11"/>
  <c r="AU396" i="11"/>
  <c r="AT396" i="11"/>
  <c r="BR395" i="11"/>
  <c r="BQ395" i="11"/>
  <c r="BP395" i="11"/>
  <c r="BN395" i="11"/>
  <c r="BM395" i="11"/>
  <c r="BL395" i="11"/>
  <c r="BK395" i="11"/>
  <c r="BJ395" i="11"/>
  <c r="BI395" i="11"/>
  <c r="BH395" i="11"/>
  <c r="BG395" i="11"/>
  <c r="BE395" i="11"/>
  <c r="BD395" i="11"/>
  <c r="BF395" i="11" s="1"/>
  <c r="BC395" i="11"/>
  <c r="BB395" i="11"/>
  <c r="BA395" i="11"/>
  <c r="AY395" i="11"/>
  <c r="AX395" i="11"/>
  <c r="AZ395" i="11" s="1"/>
  <c r="AW395" i="11"/>
  <c r="AV395" i="11"/>
  <c r="AU395" i="11"/>
  <c r="AT395" i="11"/>
  <c r="BR394" i="11"/>
  <c r="BQ394" i="11"/>
  <c r="BP394" i="11"/>
  <c r="BN394" i="11"/>
  <c r="BM394" i="11"/>
  <c r="BL394" i="11"/>
  <c r="BK394" i="11"/>
  <c r="BJ394" i="11"/>
  <c r="BH394" i="11"/>
  <c r="BI394" i="11" s="1"/>
  <c r="BG394" i="11"/>
  <c r="BF394" i="11"/>
  <c r="BE394" i="11"/>
  <c r="BD394" i="11"/>
  <c r="BC394" i="11"/>
  <c r="BB394" i="11"/>
  <c r="BA394" i="11"/>
  <c r="AY394" i="11"/>
  <c r="AX394" i="11"/>
  <c r="AZ394" i="11" s="1"/>
  <c r="AW394" i="11"/>
  <c r="AV394" i="11"/>
  <c r="AU394" i="11"/>
  <c r="AT394" i="11"/>
  <c r="BR393" i="11"/>
  <c r="BQ393" i="11"/>
  <c r="BP393" i="11"/>
  <c r="BN393" i="11"/>
  <c r="BM393" i="11"/>
  <c r="BL393" i="11"/>
  <c r="BK393" i="11"/>
  <c r="BJ393" i="11"/>
  <c r="BI393" i="11"/>
  <c r="BH393" i="11"/>
  <c r="BG393" i="11"/>
  <c r="BE393" i="11"/>
  <c r="BF393" i="11" s="1"/>
  <c r="BD393" i="11"/>
  <c r="BB393" i="11"/>
  <c r="BC393" i="11" s="1"/>
  <c r="BA393" i="11"/>
  <c r="AY393" i="11"/>
  <c r="AX393" i="11"/>
  <c r="AZ393" i="11" s="1"/>
  <c r="AW393" i="11"/>
  <c r="AV393" i="11"/>
  <c r="AU393" i="11"/>
  <c r="AT393" i="11"/>
  <c r="BR392" i="11"/>
  <c r="BQ392" i="11"/>
  <c r="BP392" i="11"/>
  <c r="BN392" i="11"/>
  <c r="BM392" i="11"/>
  <c r="BL392" i="11"/>
  <c r="BK392" i="11"/>
  <c r="BJ392" i="11"/>
  <c r="BH392" i="11"/>
  <c r="BG392" i="11"/>
  <c r="BF392" i="11"/>
  <c r="BE392" i="11"/>
  <c r="BD392" i="11"/>
  <c r="BC392" i="11"/>
  <c r="BB392" i="11"/>
  <c r="BA392" i="11"/>
  <c r="AY392" i="11"/>
  <c r="AX392" i="11"/>
  <c r="AZ392" i="11" s="1"/>
  <c r="AW392" i="11"/>
  <c r="AV392" i="11"/>
  <c r="AU392" i="11"/>
  <c r="AT392" i="11"/>
  <c r="BR391" i="11"/>
  <c r="BQ391" i="11"/>
  <c r="BP391" i="11"/>
  <c r="BN391" i="11"/>
  <c r="BM391" i="11"/>
  <c r="BL391" i="11"/>
  <c r="BK391" i="11"/>
  <c r="BJ391" i="11"/>
  <c r="BH391" i="11"/>
  <c r="BG391" i="11"/>
  <c r="BI391" i="11" s="1"/>
  <c r="BF391" i="11"/>
  <c r="BE391" i="11"/>
  <c r="BD391" i="11"/>
  <c r="BC391" i="11"/>
  <c r="BB391" i="11"/>
  <c r="BA391" i="11"/>
  <c r="AY391" i="11"/>
  <c r="AX391" i="11"/>
  <c r="AZ391" i="11" s="1"/>
  <c r="AW391" i="11"/>
  <c r="AV391" i="11"/>
  <c r="AU391" i="11"/>
  <c r="AT391" i="11"/>
  <c r="BR390" i="11"/>
  <c r="BQ390" i="11"/>
  <c r="BP390" i="11"/>
  <c r="BN390" i="11"/>
  <c r="BM390" i="11"/>
  <c r="BL390" i="11"/>
  <c r="BK390" i="11"/>
  <c r="BJ390" i="11"/>
  <c r="BI390" i="11"/>
  <c r="BH390" i="11"/>
  <c r="BG390" i="11"/>
  <c r="BF390" i="11"/>
  <c r="BE390" i="11"/>
  <c r="BD390" i="11"/>
  <c r="BB390" i="11"/>
  <c r="BC390" i="11" s="1"/>
  <c r="BA390" i="11"/>
  <c r="AY390" i="11"/>
  <c r="AX390" i="11"/>
  <c r="AZ390" i="11" s="1"/>
  <c r="AW390" i="11"/>
  <c r="AV390" i="11"/>
  <c r="AU390" i="11"/>
  <c r="AT390" i="11"/>
  <c r="BR389" i="11"/>
  <c r="BQ389" i="11"/>
  <c r="BP389" i="11"/>
  <c r="BN389" i="11"/>
  <c r="BM389" i="11"/>
  <c r="BL389" i="11"/>
  <c r="BK389" i="11"/>
  <c r="BJ389" i="11"/>
  <c r="BH389" i="11"/>
  <c r="BG389" i="11"/>
  <c r="BI389" i="11" s="1"/>
  <c r="BE389" i="11"/>
  <c r="BD389" i="11"/>
  <c r="BF389" i="11" s="1"/>
  <c r="BC389" i="11"/>
  <c r="BB389" i="11"/>
  <c r="BA389" i="11"/>
  <c r="AY389" i="11"/>
  <c r="AX389" i="11"/>
  <c r="AZ389" i="11" s="1"/>
  <c r="AW389" i="11"/>
  <c r="AV389" i="11"/>
  <c r="AU389" i="11"/>
  <c r="AT389" i="11"/>
  <c r="BR388" i="11"/>
  <c r="BQ388" i="11"/>
  <c r="BP388" i="11"/>
  <c r="BN388" i="11"/>
  <c r="BM388" i="11"/>
  <c r="BL388" i="11"/>
  <c r="BK388" i="11"/>
  <c r="BJ388" i="11"/>
  <c r="BI388" i="11"/>
  <c r="BH388" i="11"/>
  <c r="BG388" i="11"/>
  <c r="BF388" i="11"/>
  <c r="BE388" i="11"/>
  <c r="BD388" i="11"/>
  <c r="BB388" i="11"/>
  <c r="BC388" i="11" s="1"/>
  <c r="BA388" i="11"/>
  <c r="AY388" i="11"/>
  <c r="AX388" i="11"/>
  <c r="AZ388" i="11" s="1"/>
  <c r="AW388" i="11"/>
  <c r="AV388" i="11"/>
  <c r="AU388" i="11"/>
  <c r="AT388" i="11"/>
  <c r="BR387" i="11"/>
  <c r="BQ387" i="11"/>
  <c r="BP387" i="11"/>
  <c r="BN387" i="11"/>
  <c r="BM387" i="11"/>
  <c r="BL387" i="11"/>
  <c r="BK387" i="11"/>
  <c r="BJ387" i="11"/>
  <c r="BH387" i="11"/>
  <c r="BG387" i="11"/>
  <c r="BI387" i="11" s="1"/>
  <c r="BE387" i="11"/>
  <c r="BD387" i="11"/>
  <c r="BF387" i="11" s="1"/>
  <c r="BC387" i="11"/>
  <c r="BB387" i="11"/>
  <c r="BA387" i="11"/>
  <c r="AY387" i="11"/>
  <c r="AX387" i="11"/>
  <c r="AZ387" i="11" s="1"/>
  <c r="AW387" i="11"/>
  <c r="AV387" i="11"/>
  <c r="AU387" i="11"/>
  <c r="AT387" i="11"/>
  <c r="BR386" i="11"/>
  <c r="BQ386" i="11"/>
  <c r="BP386" i="11"/>
  <c r="BN386" i="11"/>
  <c r="BM386" i="11"/>
  <c r="BL386" i="11"/>
  <c r="BK386" i="11"/>
  <c r="BJ386" i="11"/>
  <c r="BH386" i="11"/>
  <c r="BG386" i="11"/>
  <c r="BI386" i="11" s="1"/>
  <c r="BE386" i="11"/>
  <c r="BF386" i="11" s="1"/>
  <c r="BD386" i="11"/>
  <c r="BC386" i="11"/>
  <c r="BB386" i="11"/>
  <c r="BA386" i="11"/>
  <c r="AY386" i="11"/>
  <c r="AX386" i="11"/>
  <c r="AZ386" i="11" s="1"/>
  <c r="AW386" i="11"/>
  <c r="AV386" i="11"/>
  <c r="AU386" i="11"/>
  <c r="AT386" i="11"/>
  <c r="BR385" i="11"/>
  <c r="BQ385" i="11"/>
  <c r="BP385" i="11"/>
  <c r="BN385" i="11"/>
  <c r="BM385" i="11"/>
  <c r="BL385" i="11"/>
  <c r="BK385" i="11"/>
  <c r="BJ385" i="11"/>
  <c r="BI385" i="11"/>
  <c r="BH385" i="11"/>
  <c r="BG385" i="11"/>
  <c r="BE385" i="11"/>
  <c r="BD385" i="11"/>
  <c r="BF385" i="11" s="1"/>
  <c r="BB385" i="11"/>
  <c r="BC385" i="11" s="1"/>
  <c r="BA385" i="11"/>
  <c r="AY385" i="11"/>
  <c r="AX385" i="11"/>
  <c r="AZ385" i="11" s="1"/>
  <c r="AW385" i="11"/>
  <c r="AV385" i="11"/>
  <c r="AU385" i="11"/>
  <c r="AT385" i="11"/>
  <c r="BR384" i="11"/>
  <c r="BQ384" i="11"/>
  <c r="BP384" i="11"/>
  <c r="BN384" i="11"/>
  <c r="BM384" i="11"/>
  <c r="BL384" i="11"/>
  <c r="BK384" i="11"/>
  <c r="BJ384" i="11"/>
  <c r="BH384" i="11"/>
  <c r="BI384" i="11" s="1"/>
  <c r="BG384" i="11"/>
  <c r="BE384" i="11"/>
  <c r="BD384" i="11"/>
  <c r="BC384" i="11"/>
  <c r="BB384" i="11"/>
  <c r="BA384" i="11"/>
  <c r="AY384" i="11"/>
  <c r="AX384" i="11"/>
  <c r="AZ384" i="11" s="1"/>
  <c r="AW384" i="11"/>
  <c r="AV384" i="11"/>
  <c r="AU384" i="11"/>
  <c r="AT384" i="11"/>
  <c r="BR383" i="11"/>
  <c r="BQ383" i="11"/>
  <c r="BP383" i="11"/>
  <c r="BN383" i="11"/>
  <c r="BM383" i="11"/>
  <c r="BL383" i="11"/>
  <c r="BK383" i="11"/>
  <c r="BJ383" i="11"/>
  <c r="BI383" i="11"/>
  <c r="BH383" i="11"/>
  <c r="BG383" i="11"/>
  <c r="BE383" i="11"/>
  <c r="BD383" i="11"/>
  <c r="BF383" i="11" s="1"/>
  <c r="BC383" i="11"/>
  <c r="BB383" i="11"/>
  <c r="BA383" i="11"/>
  <c r="AY383" i="11"/>
  <c r="AX383" i="11"/>
  <c r="AZ383" i="11" s="1"/>
  <c r="AW383" i="11"/>
  <c r="AV383" i="11"/>
  <c r="AU383" i="11"/>
  <c r="AT383" i="11"/>
  <c r="BR382" i="11"/>
  <c r="BQ382" i="11"/>
  <c r="BP382" i="11"/>
  <c r="BN382" i="11"/>
  <c r="BM382" i="11"/>
  <c r="BL382" i="11"/>
  <c r="BK382" i="11"/>
  <c r="BJ382" i="11"/>
  <c r="BH382" i="11"/>
  <c r="BI382" i="11" s="1"/>
  <c r="BG382" i="11"/>
  <c r="BF382" i="11"/>
  <c r="BE382" i="11"/>
  <c r="BD382" i="11"/>
  <c r="BB382" i="11"/>
  <c r="BC382" i="11" s="1"/>
  <c r="BA382" i="11"/>
  <c r="AY382" i="11"/>
  <c r="AX382" i="11"/>
  <c r="AZ382" i="11" s="1"/>
  <c r="AW382" i="11"/>
  <c r="AV382" i="11"/>
  <c r="AU382" i="11"/>
  <c r="AT382" i="11"/>
  <c r="BR381" i="11"/>
  <c r="BQ381" i="11"/>
  <c r="BP381" i="11"/>
  <c r="BN381" i="11"/>
  <c r="BM381" i="11"/>
  <c r="BL381" i="11"/>
  <c r="BK381" i="11"/>
  <c r="BJ381" i="11"/>
  <c r="BI381" i="11"/>
  <c r="BH381" i="11"/>
  <c r="BG381" i="11"/>
  <c r="BE381" i="11"/>
  <c r="BF381" i="11" s="1"/>
  <c r="BD381" i="11"/>
  <c r="BB381" i="11"/>
  <c r="BC381" i="11" s="1"/>
  <c r="BA381" i="11"/>
  <c r="AY381" i="11"/>
  <c r="AX381" i="11"/>
  <c r="AZ381" i="11" s="1"/>
  <c r="AW381" i="11"/>
  <c r="AV381" i="11"/>
  <c r="AU381" i="11"/>
  <c r="AT381" i="11"/>
  <c r="BR380" i="11"/>
  <c r="BQ380" i="11"/>
  <c r="BP380" i="11"/>
  <c r="BN380" i="11"/>
  <c r="BM380" i="11"/>
  <c r="BL380" i="11"/>
  <c r="BK380" i="11"/>
  <c r="BJ380" i="11"/>
  <c r="BH380" i="11"/>
  <c r="BG380" i="11"/>
  <c r="BI380" i="11" s="1"/>
  <c r="BF380" i="11"/>
  <c r="BE380" i="11"/>
  <c r="BD380" i="11"/>
  <c r="BB380" i="11"/>
  <c r="BC380" i="11" s="1"/>
  <c r="BA380" i="11"/>
  <c r="AY380" i="11"/>
  <c r="AX380" i="11"/>
  <c r="AZ380" i="11" s="1"/>
  <c r="AW380" i="11"/>
  <c r="AV380" i="11"/>
  <c r="AU380" i="11"/>
  <c r="AT380" i="11"/>
  <c r="BR379" i="11"/>
  <c r="BQ379" i="11"/>
  <c r="BP379" i="11"/>
  <c r="BN379" i="11"/>
  <c r="BM379" i="11"/>
  <c r="BL379" i="11"/>
  <c r="BK379" i="11"/>
  <c r="BJ379" i="11"/>
  <c r="BI379" i="11"/>
  <c r="BH379" i="11"/>
  <c r="BG379" i="11"/>
  <c r="BF379" i="11"/>
  <c r="BE379" i="11"/>
  <c r="BD379" i="11"/>
  <c r="BC379" i="11"/>
  <c r="BB379" i="11"/>
  <c r="BA379" i="11"/>
  <c r="AY379" i="11"/>
  <c r="AX379" i="11"/>
  <c r="AZ379" i="11" s="1"/>
  <c r="AW379" i="11"/>
  <c r="AV379" i="11"/>
  <c r="AU379" i="11"/>
  <c r="AT379" i="11"/>
  <c r="BR378" i="11"/>
  <c r="BQ378" i="11"/>
  <c r="BP378" i="11"/>
  <c r="BN378" i="11"/>
  <c r="BM378" i="11"/>
  <c r="BL378" i="11"/>
  <c r="BK378" i="11"/>
  <c r="BJ378" i="11"/>
  <c r="BI378" i="11"/>
  <c r="BH378" i="11"/>
  <c r="BG378" i="11"/>
  <c r="BE378" i="11"/>
  <c r="BD378" i="11"/>
  <c r="BF378" i="11" s="1"/>
  <c r="BB378" i="11"/>
  <c r="BC378" i="11" s="1"/>
  <c r="BA378" i="11"/>
  <c r="AY378" i="11"/>
  <c r="AX378" i="11"/>
  <c r="AZ378" i="11" s="1"/>
  <c r="AW378" i="11"/>
  <c r="AV378" i="11"/>
  <c r="AU378" i="11"/>
  <c r="AT378" i="11"/>
  <c r="BR377" i="11"/>
  <c r="BQ377" i="11"/>
  <c r="BP377" i="11"/>
  <c r="BN377" i="11"/>
  <c r="BM377" i="11"/>
  <c r="BL377" i="11"/>
  <c r="BK377" i="11"/>
  <c r="BJ377" i="11"/>
  <c r="BH377" i="11"/>
  <c r="BG377" i="11"/>
  <c r="BI377" i="11" s="1"/>
  <c r="BE377" i="11"/>
  <c r="BF377" i="11" s="1"/>
  <c r="BD377" i="11"/>
  <c r="BC377" i="11"/>
  <c r="BB377" i="11"/>
  <c r="BA377" i="11"/>
  <c r="AY377" i="11"/>
  <c r="AX377" i="11"/>
  <c r="AZ377" i="11" s="1"/>
  <c r="AW377" i="11"/>
  <c r="AV377" i="11"/>
  <c r="AU377" i="11"/>
  <c r="AT377" i="11"/>
  <c r="BR376" i="11"/>
  <c r="BQ376" i="11"/>
  <c r="BP376" i="11"/>
  <c r="BN376" i="11"/>
  <c r="BM376" i="11"/>
  <c r="BL376" i="11"/>
  <c r="BK376" i="11"/>
  <c r="BJ376" i="11"/>
  <c r="BI376" i="11"/>
  <c r="BH376" i="11"/>
  <c r="BG376" i="11"/>
  <c r="BE376" i="11"/>
  <c r="BD376" i="11"/>
  <c r="BF376" i="11" s="1"/>
  <c r="BB376" i="11"/>
  <c r="BC376" i="11" s="1"/>
  <c r="BA376" i="11"/>
  <c r="AY376" i="11"/>
  <c r="AX376" i="11"/>
  <c r="AZ376" i="11" s="1"/>
  <c r="AW376" i="11"/>
  <c r="AV376" i="11"/>
  <c r="AU376" i="11"/>
  <c r="AT376" i="11"/>
  <c r="BR375" i="11"/>
  <c r="BQ375" i="11"/>
  <c r="BP375" i="11"/>
  <c r="BN375" i="11"/>
  <c r="BM375" i="11"/>
  <c r="BL375" i="11"/>
  <c r="BK375" i="11"/>
  <c r="BJ375" i="11"/>
  <c r="BH375" i="11"/>
  <c r="BG375" i="11"/>
  <c r="BE375" i="11"/>
  <c r="BD375" i="11"/>
  <c r="BF375" i="11" s="1"/>
  <c r="BC375" i="11"/>
  <c r="BB375" i="11"/>
  <c r="BA375" i="11"/>
  <c r="AY375" i="11"/>
  <c r="AX375" i="11"/>
  <c r="AZ375" i="11" s="1"/>
  <c r="AW375" i="11"/>
  <c r="AV375" i="11"/>
  <c r="AU375" i="11"/>
  <c r="AT375" i="11"/>
  <c r="BR374" i="11"/>
  <c r="BQ374" i="11"/>
  <c r="BP374" i="11"/>
  <c r="BN374" i="11"/>
  <c r="BM374" i="11"/>
  <c r="BL374" i="11"/>
  <c r="BK374" i="11"/>
  <c r="BJ374" i="11"/>
  <c r="BH374" i="11"/>
  <c r="BG374" i="11"/>
  <c r="BI374" i="11" s="1"/>
  <c r="BF374" i="11"/>
  <c r="BE374" i="11"/>
  <c r="BD374" i="11"/>
  <c r="BB374" i="11"/>
  <c r="BC374" i="11" s="1"/>
  <c r="BA374" i="11"/>
  <c r="AY374" i="11"/>
  <c r="AX374" i="11"/>
  <c r="AZ374" i="11" s="1"/>
  <c r="AW374" i="11"/>
  <c r="AV374" i="11"/>
  <c r="AU374" i="11"/>
  <c r="AT374" i="11"/>
  <c r="BR373" i="11"/>
  <c r="BQ373" i="11"/>
  <c r="BP373" i="11"/>
  <c r="BN373" i="11"/>
  <c r="BM373" i="11"/>
  <c r="BL373" i="11"/>
  <c r="BK373" i="11"/>
  <c r="BJ373" i="11"/>
  <c r="BI373" i="11"/>
  <c r="BH373" i="11"/>
  <c r="BG373" i="11"/>
  <c r="BE373" i="11"/>
  <c r="BD373" i="11"/>
  <c r="BF373" i="11" s="1"/>
  <c r="BC373" i="11"/>
  <c r="BB373" i="11"/>
  <c r="BA373" i="11"/>
  <c r="AY373" i="11"/>
  <c r="AX373" i="11"/>
  <c r="AZ373" i="11" s="1"/>
  <c r="AW373" i="11"/>
  <c r="AV373" i="11"/>
  <c r="AU373" i="11"/>
  <c r="AT373" i="11"/>
  <c r="BR372" i="11"/>
  <c r="BQ372" i="11"/>
  <c r="BP372" i="11"/>
  <c r="BN372" i="11"/>
  <c r="BM372" i="11"/>
  <c r="BL372" i="11"/>
  <c r="BK372" i="11"/>
  <c r="BJ372" i="11"/>
  <c r="BH372" i="11"/>
  <c r="BI372" i="11" s="1"/>
  <c r="BG372" i="11"/>
  <c r="BE372" i="11"/>
  <c r="BD372" i="11"/>
  <c r="BF372" i="11" s="1"/>
  <c r="BB372" i="11"/>
  <c r="BC372" i="11" s="1"/>
  <c r="BA372" i="11"/>
  <c r="AY372" i="11"/>
  <c r="AX372" i="11"/>
  <c r="AZ372" i="11" s="1"/>
  <c r="AW372" i="11"/>
  <c r="AV372" i="11"/>
  <c r="AU372" i="11"/>
  <c r="AT372" i="11"/>
  <c r="BR371" i="11"/>
  <c r="BQ371" i="11"/>
  <c r="BP371" i="11"/>
  <c r="BN371" i="11"/>
  <c r="BM371" i="11"/>
  <c r="BL371" i="11"/>
  <c r="BK371" i="11"/>
  <c r="BJ371" i="11"/>
  <c r="BH371" i="11"/>
  <c r="BG371" i="11"/>
  <c r="BI371" i="11" s="1"/>
  <c r="BE371" i="11"/>
  <c r="BD371" i="11"/>
  <c r="BF371" i="11" s="1"/>
  <c r="BB371" i="11"/>
  <c r="BC371" i="11" s="1"/>
  <c r="BA371" i="11"/>
  <c r="AY371" i="11"/>
  <c r="AX371" i="11"/>
  <c r="AZ371" i="11" s="1"/>
  <c r="AW371" i="11"/>
  <c r="AV371" i="11"/>
  <c r="AU371" i="11"/>
  <c r="AT371" i="11"/>
  <c r="BR370" i="11"/>
  <c r="BQ370" i="11"/>
  <c r="BP370" i="11"/>
  <c r="BN370" i="11"/>
  <c r="BM370" i="11"/>
  <c r="BL370" i="11"/>
  <c r="BK370" i="11"/>
  <c r="BJ370" i="11"/>
  <c r="BI370" i="11"/>
  <c r="BH370" i="11"/>
  <c r="BG370" i="11"/>
  <c r="BF370" i="11"/>
  <c r="BE370" i="11"/>
  <c r="BD370" i="11"/>
  <c r="BC370" i="11"/>
  <c r="BB370" i="11"/>
  <c r="BA370" i="11"/>
  <c r="AY370" i="11"/>
  <c r="AX370" i="11"/>
  <c r="AZ370" i="11" s="1"/>
  <c r="AW370" i="11"/>
  <c r="AV370" i="11"/>
  <c r="AU370" i="11"/>
  <c r="AT370" i="11"/>
  <c r="BR369" i="11"/>
  <c r="BQ369" i="11"/>
  <c r="BP369" i="11"/>
  <c r="BN369" i="11"/>
  <c r="BM369" i="11"/>
  <c r="BL369" i="11"/>
  <c r="BK369" i="11"/>
  <c r="BJ369" i="11"/>
  <c r="BI369" i="11"/>
  <c r="BH369" i="11"/>
  <c r="BG369" i="11"/>
  <c r="BE369" i="11"/>
  <c r="BF369" i="11" s="1"/>
  <c r="BD369" i="11"/>
  <c r="BB369" i="11"/>
  <c r="BC369" i="11" s="1"/>
  <c r="BA369" i="11"/>
  <c r="AY369" i="11"/>
  <c r="AX369" i="11"/>
  <c r="AZ369" i="11" s="1"/>
  <c r="AW369" i="11"/>
  <c r="AV369" i="11"/>
  <c r="AU369" i="11"/>
  <c r="AT369" i="11"/>
  <c r="BR368" i="11"/>
  <c r="BQ368" i="11"/>
  <c r="BP368" i="11"/>
  <c r="BN368" i="11"/>
  <c r="BM368" i="11"/>
  <c r="BL368" i="11"/>
  <c r="BK368" i="11"/>
  <c r="BJ368" i="11"/>
  <c r="BI368" i="11"/>
  <c r="BH368" i="11"/>
  <c r="BG368" i="11"/>
  <c r="BF368" i="11"/>
  <c r="BE368" i="11"/>
  <c r="BD368" i="11"/>
  <c r="BC368" i="11"/>
  <c r="BB368" i="11"/>
  <c r="BA368" i="11"/>
  <c r="AY368" i="11"/>
  <c r="AX368" i="11"/>
  <c r="AZ368" i="11" s="1"/>
  <c r="AW368" i="11"/>
  <c r="AV368" i="11"/>
  <c r="AU368" i="11"/>
  <c r="AT368" i="11"/>
  <c r="BR367" i="11"/>
  <c r="BQ367" i="11"/>
  <c r="BP367" i="11"/>
  <c r="BN367" i="11"/>
  <c r="BM367" i="11"/>
  <c r="BL367" i="11"/>
  <c r="BK367" i="11"/>
  <c r="BJ367" i="11"/>
  <c r="BH367" i="11"/>
  <c r="BI367" i="11" s="1"/>
  <c r="BG367" i="11"/>
  <c r="BF367" i="11"/>
  <c r="BE367" i="11"/>
  <c r="BD367" i="11"/>
  <c r="BC367" i="11"/>
  <c r="BB367" i="11"/>
  <c r="BA367" i="11"/>
  <c r="AY367" i="11"/>
  <c r="AX367" i="11"/>
  <c r="AZ367" i="11" s="1"/>
  <c r="AW367" i="11"/>
  <c r="AV367" i="11"/>
  <c r="AU367" i="11"/>
  <c r="AT367" i="11"/>
  <c r="BR366" i="11"/>
  <c r="BQ366" i="11"/>
  <c r="BP366" i="11"/>
  <c r="BN366" i="11"/>
  <c r="BM366" i="11"/>
  <c r="BL366" i="11"/>
  <c r="BK366" i="11"/>
  <c r="BJ366" i="11"/>
  <c r="BH366" i="11"/>
  <c r="BG366" i="11"/>
  <c r="BI366" i="11" s="1"/>
  <c r="BE366" i="11"/>
  <c r="BD366" i="11"/>
  <c r="BF366" i="11" s="1"/>
  <c r="BC366" i="11"/>
  <c r="BB366" i="11"/>
  <c r="BA366" i="11"/>
  <c r="AY366" i="11"/>
  <c r="AX366" i="11"/>
  <c r="AZ366" i="11" s="1"/>
  <c r="AW366" i="11"/>
  <c r="AV366" i="11"/>
  <c r="AU366" i="11"/>
  <c r="AT366" i="11"/>
  <c r="BR365" i="11"/>
  <c r="BQ365" i="11"/>
  <c r="BP365" i="11"/>
  <c r="BN365" i="11"/>
  <c r="BM365" i="11"/>
  <c r="BL365" i="11"/>
  <c r="BK365" i="11"/>
  <c r="BJ365" i="11"/>
  <c r="BH365" i="11"/>
  <c r="BG365" i="11"/>
  <c r="BI365" i="11" s="1"/>
  <c r="BF365" i="11"/>
  <c r="BE365" i="11"/>
  <c r="BD365" i="11"/>
  <c r="BC365" i="11"/>
  <c r="BB365" i="11"/>
  <c r="BA365" i="11"/>
  <c r="AY365" i="11"/>
  <c r="AX365" i="11"/>
  <c r="AZ365" i="11" s="1"/>
  <c r="AW365" i="11"/>
  <c r="AV365" i="11"/>
  <c r="AU365" i="11"/>
  <c r="AT365" i="11"/>
  <c r="BR364" i="11"/>
  <c r="BQ364" i="11"/>
  <c r="BP364" i="11"/>
  <c r="BN364" i="11"/>
  <c r="BM364" i="11"/>
  <c r="BL364" i="11"/>
  <c r="BK364" i="11"/>
  <c r="BJ364" i="11"/>
  <c r="BI364" i="11"/>
  <c r="BH364" i="11"/>
  <c r="BG364" i="11"/>
  <c r="BE364" i="11"/>
  <c r="BF364" i="11" s="1"/>
  <c r="BD364" i="11"/>
  <c r="BC364" i="11"/>
  <c r="BB364" i="11"/>
  <c r="BA364" i="11"/>
  <c r="AY364" i="11"/>
  <c r="AX364" i="11"/>
  <c r="AZ364" i="11" s="1"/>
  <c r="AW364" i="11"/>
  <c r="AV364" i="11"/>
  <c r="AU364" i="11"/>
  <c r="AT364" i="11"/>
  <c r="BR363" i="11"/>
  <c r="BQ363" i="11"/>
  <c r="BP363" i="11"/>
  <c r="BN363" i="11"/>
  <c r="BM363" i="11"/>
  <c r="BL363" i="11"/>
  <c r="BK363" i="11"/>
  <c r="BJ363" i="11"/>
  <c r="BH363" i="11"/>
  <c r="BG363" i="11"/>
  <c r="BE363" i="11"/>
  <c r="BD363" i="11"/>
  <c r="BF363" i="11" s="1"/>
  <c r="BC363" i="11"/>
  <c r="BB363" i="11"/>
  <c r="BA363" i="11"/>
  <c r="AY363" i="11"/>
  <c r="AX363" i="11"/>
  <c r="AZ363" i="11" s="1"/>
  <c r="AW363" i="11"/>
  <c r="AV363" i="11"/>
  <c r="AU363" i="11"/>
  <c r="AT363" i="11"/>
  <c r="BR362" i="11"/>
  <c r="BQ362" i="11"/>
  <c r="BP362" i="11"/>
  <c r="BN362" i="11"/>
  <c r="BM362" i="11"/>
  <c r="BL362" i="11"/>
  <c r="BK362" i="11"/>
  <c r="BJ362" i="11"/>
  <c r="BH362" i="11"/>
  <c r="BG362" i="11"/>
  <c r="BI362" i="11" s="1"/>
  <c r="BF362" i="11"/>
  <c r="BE362" i="11"/>
  <c r="BD362" i="11"/>
  <c r="BC362" i="11"/>
  <c r="BB362" i="11"/>
  <c r="BA362" i="11"/>
  <c r="AY362" i="11"/>
  <c r="AX362" i="11"/>
  <c r="AZ362" i="11" s="1"/>
  <c r="AW362" i="11"/>
  <c r="AV362" i="11"/>
  <c r="AU362" i="11"/>
  <c r="AT362" i="11"/>
  <c r="BR361" i="11"/>
  <c r="BQ361" i="11"/>
  <c r="BP361" i="11"/>
  <c r="BN361" i="11"/>
  <c r="BM361" i="11"/>
  <c r="BL361" i="11"/>
  <c r="BK361" i="11"/>
  <c r="BJ361" i="11"/>
  <c r="BI361" i="11"/>
  <c r="BH361" i="11"/>
  <c r="BG361" i="11"/>
  <c r="BE361" i="11"/>
  <c r="BD361" i="11"/>
  <c r="BB361" i="11"/>
  <c r="BC361" i="11" s="1"/>
  <c r="BA361" i="11"/>
  <c r="AY361" i="11"/>
  <c r="AX361" i="11"/>
  <c r="AZ361" i="11" s="1"/>
  <c r="AW361" i="11"/>
  <c r="AV361" i="11"/>
  <c r="AU361" i="11"/>
  <c r="AT361" i="11"/>
  <c r="BR360" i="11"/>
  <c r="BQ360" i="11"/>
  <c r="BP360" i="11"/>
  <c r="BN360" i="11"/>
  <c r="BM360" i="11"/>
  <c r="BL360" i="11"/>
  <c r="BK360" i="11"/>
  <c r="BJ360" i="11"/>
  <c r="BI360" i="11"/>
  <c r="BH360" i="11"/>
  <c r="BG360" i="11"/>
  <c r="BE360" i="11"/>
  <c r="BD360" i="11"/>
  <c r="BF360" i="11" s="1"/>
  <c r="BB360" i="11"/>
  <c r="BC360" i="11" s="1"/>
  <c r="BA360" i="11"/>
  <c r="AY360" i="11"/>
  <c r="AX360" i="11"/>
  <c r="AZ360" i="11" s="1"/>
  <c r="AW360" i="11"/>
  <c r="AV360" i="11"/>
  <c r="AU360" i="11"/>
  <c r="AT360" i="11"/>
  <c r="BR359" i="11"/>
  <c r="BQ359" i="11"/>
  <c r="BP359" i="11"/>
  <c r="BN359" i="11"/>
  <c r="BM359" i="11"/>
  <c r="BL359" i="11"/>
  <c r="BK359" i="11"/>
  <c r="BJ359" i="11"/>
  <c r="BI359" i="11"/>
  <c r="BH359" i="11"/>
  <c r="BG359" i="11"/>
  <c r="BE359" i="11"/>
  <c r="BD359" i="11"/>
  <c r="BF359" i="11" s="1"/>
  <c r="BB359" i="11"/>
  <c r="BC359" i="11" s="1"/>
  <c r="BA359" i="11"/>
  <c r="AY359" i="11"/>
  <c r="AX359" i="11"/>
  <c r="AZ359" i="11" s="1"/>
  <c r="AW359" i="11"/>
  <c r="AV359" i="11"/>
  <c r="AU359" i="11"/>
  <c r="AT359" i="11"/>
  <c r="BR358" i="11"/>
  <c r="BQ358" i="11"/>
  <c r="BP358" i="11"/>
  <c r="BN358" i="11"/>
  <c r="BM358" i="11"/>
  <c r="BL358" i="11"/>
  <c r="BK358" i="11"/>
  <c r="BJ358" i="11"/>
  <c r="BH358" i="11"/>
  <c r="BG358" i="11"/>
  <c r="BI358" i="11" s="1"/>
  <c r="BF358" i="11"/>
  <c r="BE358" i="11"/>
  <c r="BD358" i="11"/>
  <c r="BC358" i="11"/>
  <c r="BB358" i="11"/>
  <c r="BA358" i="11"/>
  <c r="AY358" i="11"/>
  <c r="AX358" i="11"/>
  <c r="AZ358" i="11" s="1"/>
  <c r="AW358" i="11"/>
  <c r="AV358" i="11"/>
  <c r="AU358" i="11"/>
  <c r="AT358" i="11"/>
  <c r="BR357" i="11"/>
  <c r="BQ357" i="11"/>
  <c r="BP357" i="11"/>
  <c r="BN357" i="11"/>
  <c r="BM357" i="11"/>
  <c r="BL357" i="11"/>
  <c r="BK357" i="11"/>
  <c r="BJ357" i="11"/>
  <c r="BH357" i="11"/>
  <c r="BG357" i="11"/>
  <c r="BI357" i="11" s="1"/>
  <c r="BF357" i="11"/>
  <c r="BE357" i="11"/>
  <c r="BD357" i="11"/>
  <c r="BB357" i="11"/>
  <c r="BC357" i="11" s="1"/>
  <c r="BA357" i="11"/>
  <c r="AY357" i="11"/>
  <c r="AX357" i="11"/>
  <c r="AZ357" i="11" s="1"/>
  <c r="AW357" i="11"/>
  <c r="AV357" i="11"/>
  <c r="AU357" i="11"/>
  <c r="AT357" i="11"/>
  <c r="BR356" i="11"/>
  <c r="BQ356" i="11"/>
  <c r="BP356" i="11"/>
  <c r="BN356" i="11"/>
  <c r="BM356" i="11"/>
  <c r="BL356" i="11"/>
  <c r="BK356" i="11"/>
  <c r="BJ356" i="11"/>
  <c r="BH356" i="11"/>
  <c r="BI356" i="11" s="1"/>
  <c r="BG356" i="11"/>
  <c r="BE356" i="11"/>
  <c r="BD356" i="11"/>
  <c r="BF356" i="11" s="1"/>
  <c r="BB356" i="11"/>
  <c r="BC356" i="11" s="1"/>
  <c r="BA356" i="11"/>
  <c r="AY356" i="11"/>
  <c r="AX356" i="11"/>
  <c r="AZ356" i="11" s="1"/>
  <c r="AW356" i="11"/>
  <c r="AV356" i="11"/>
  <c r="AU356" i="11"/>
  <c r="AT356" i="11"/>
  <c r="BR355" i="11"/>
  <c r="BQ355" i="11"/>
  <c r="BP355" i="11"/>
  <c r="BN355" i="11"/>
  <c r="BM355" i="11"/>
  <c r="BL355" i="11"/>
  <c r="BK355" i="11"/>
  <c r="BJ355" i="11"/>
  <c r="BH355" i="11"/>
  <c r="BG355" i="11"/>
  <c r="BF355" i="11"/>
  <c r="BE355" i="11"/>
  <c r="BD355" i="11"/>
  <c r="BC355" i="11"/>
  <c r="BB355" i="11"/>
  <c r="BA355" i="11"/>
  <c r="AY355" i="11"/>
  <c r="AX355" i="11"/>
  <c r="AZ355" i="11" s="1"/>
  <c r="AW355" i="11"/>
  <c r="AV355" i="11"/>
  <c r="AU355" i="11"/>
  <c r="AT355" i="11"/>
  <c r="BR354" i="11"/>
  <c r="BQ354" i="11"/>
  <c r="BP354" i="11"/>
  <c r="BN354" i="11"/>
  <c r="BM354" i="11"/>
  <c r="BL354" i="11"/>
  <c r="BK354" i="11"/>
  <c r="BJ354" i="11"/>
  <c r="BH354" i="11"/>
  <c r="BG354" i="11"/>
  <c r="BI354" i="11" s="1"/>
  <c r="BF354" i="11"/>
  <c r="BE354" i="11"/>
  <c r="BD354" i="11"/>
  <c r="BC354" i="11"/>
  <c r="BB354" i="11"/>
  <c r="BA354" i="11"/>
  <c r="AY354" i="11"/>
  <c r="AX354" i="11"/>
  <c r="AZ354" i="11" s="1"/>
  <c r="AW354" i="11"/>
  <c r="AV354" i="11"/>
  <c r="AU354" i="11"/>
  <c r="AT354" i="11"/>
  <c r="BR353" i="11"/>
  <c r="BQ353" i="11"/>
  <c r="BP353" i="11"/>
  <c r="BN353" i="11"/>
  <c r="BM353" i="11"/>
  <c r="BL353" i="11"/>
  <c r="BK353" i="11"/>
  <c r="BJ353" i="11"/>
  <c r="BI353" i="11"/>
  <c r="BH353" i="11"/>
  <c r="BG353" i="11"/>
  <c r="BE353" i="11"/>
  <c r="BF353" i="11" s="1"/>
  <c r="BD353" i="11"/>
  <c r="BB353" i="11"/>
  <c r="BC353" i="11" s="1"/>
  <c r="BA353" i="11"/>
  <c r="AY353" i="11"/>
  <c r="AX353" i="11"/>
  <c r="AZ353" i="11" s="1"/>
  <c r="AW353" i="11"/>
  <c r="AV353" i="11"/>
  <c r="AU353" i="11"/>
  <c r="AT353" i="11"/>
  <c r="BR352" i="11"/>
  <c r="BQ352" i="11"/>
  <c r="BP352" i="11"/>
  <c r="BN352" i="11"/>
  <c r="BM352" i="11"/>
  <c r="BL352" i="11"/>
  <c r="BK352" i="11"/>
  <c r="BJ352" i="11"/>
  <c r="BI352" i="11"/>
  <c r="BH352" i="11"/>
  <c r="BG352" i="11"/>
  <c r="BE352" i="11"/>
  <c r="BD352" i="11"/>
  <c r="BC352" i="11"/>
  <c r="BB352" i="11"/>
  <c r="BA352" i="11"/>
  <c r="AY352" i="11"/>
  <c r="AX352" i="11"/>
  <c r="AZ352" i="11" s="1"/>
  <c r="AW352" i="11"/>
  <c r="AV352" i="11"/>
  <c r="AU352" i="11"/>
  <c r="AT352" i="11"/>
  <c r="BR351" i="11"/>
  <c r="BQ351" i="11"/>
  <c r="BP351" i="11"/>
  <c r="BN351" i="11"/>
  <c r="BM351" i="11"/>
  <c r="BL351" i="11"/>
  <c r="BK351" i="11"/>
  <c r="BJ351" i="11"/>
  <c r="BH351" i="11"/>
  <c r="BG351" i="11"/>
  <c r="BI351" i="11" s="1"/>
  <c r="BF351" i="11"/>
  <c r="BE351" i="11"/>
  <c r="BD351" i="11"/>
  <c r="BC351" i="11"/>
  <c r="BB351" i="11"/>
  <c r="BA351" i="11"/>
  <c r="AY351" i="11"/>
  <c r="AX351" i="11"/>
  <c r="AZ351" i="11" s="1"/>
  <c r="AW351" i="11"/>
  <c r="AV351" i="11"/>
  <c r="AU351" i="11"/>
  <c r="AT351" i="11"/>
  <c r="BR350" i="11"/>
  <c r="BQ350" i="11"/>
  <c r="BP350" i="11"/>
  <c r="BN350" i="11"/>
  <c r="BM350" i="11"/>
  <c r="BL350" i="11"/>
  <c r="BK350" i="11"/>
  <c r="BJ350" i="11"/>
  <c r="BH350" i="11"/>
  <c r="BG350" i="11"/>
  <c r="BI350" i="11" s="1"/>
  <c r="BE350" i="11"/>
  <c r="BD350" i="11"/>
  <c r="BF350" i="11" s="1"/>
  <c r="BC350" i="11"/>
  <c r="BB350" i="11"/>
  <c r="BA350" i="11"/>
  <c r="AY350" i="11"/>
  <c r="AX350" i="11"/>
  <c r="AZ350" i="11" s="1"/>
  <c r="AW350" i="11"/>
  <c r="AV350" i="11"/>
  <c r="AU350" i="11"/>
  <c r="AT350" i="11"/>
  <c r="BR349" i="11"/>
  <c r="BQ349" i="11"/>
  <c r="BP349" i="11"/>
  <c r="BN349" i="11"/>
  <c r="BM349" i="11"/>
  <c r="BL349" i="11"/>
  <c r="BK349" i="11"/>
  <c r="BJ349" i="11"/>
  <c r="BI349" i="11"/>
  <c r="BH349" i="11"/>
  <c r="BG349" i="11"/>
  <c r="BF349" i="11"/>
  <c r="BE349" i="11"/>
  <c r="BD349" i="11"/>
  <c r="BC349" i="11"/>
  <c r="BB349" i="11"/>
  <c r="BA349" i="11"/>
  <c r="AY349" i="11"/>
  <c r="AX349" i="11"/>
  <c r="AZ349" i="11" s="1"/>
  <c r="AW349" i="11"/>
  <c r="AV349" i="11"/>
  <c r="AU349" i="11"/>
  <c r="AT349" i="11"/>
  <c r="BR348" i="11"/>
  <c r="BQ348" i="11"/>
  <c r="BP348" i="11"/>
  <c r="BN348" i="11"/>
  <c r="BM348" i="11"/>
  <c r="BL348" i="11"/>
  <c r="BK348" i="11"/>
  <c r="BJ348" i="11"/>
  <c r="BI348" i="11"/>
  <c r="BH348" i="11"/>
  <c r="BG348" i="11"/>
  <c r="BE348" i="11"/>
  <c r="BD348" i="11"/>
  <c r="BF348" i="11" s="1"/>
  <c r="BB348" i="11"/>
  <c r="BC348" i="11" s="1"/>
  <c r="BA348" i="11"/>
  <c r="AY348" i="11"/>
  <c r="AX348" i="11"/>
  <c r="AZ348" i="11" s="1"/>
  <c r="AW348" i="11"/>
  <c r="AV348" i="11"/>
  <c r="AU348" i="11"/>
  <c r="AT348" i="11"/>
  <c r="BR347" i="11"/>
  <c r="BQ347" i="11"/>
  <c r="BP347" i="11"/>
  <c r="BN347" i="11"/>
  <c r="BM347" i="11"/>
  <c r="BL347" i="11"/>
  <c r="BK347" i="11"/>
  <c r="BJ347" i="11"/>
  <c r="BI347" i="11"/>
  <c r="BH347" i="11"/>
  <c r="BG347" i="11"/>
  <c r="BE347" i="11"/>
  <c r="BD347" i="11"/>
  <c r="BF347" i="11" s="1"/>
  <c r="BB347" i="11"/>
  <c r="BC347" i="11" s="1"/>
  <c r="BA347" i="11"/>
  <c r="AY347" i="11"/>
  <c r="AX347" i="11"/>
  <c r="AZ347" i="11" s="1"/>
  <c r="AW347" i="11"/>
  <c r="AV347" i="11"/>
  <c r="AU347" i="11"/>
  <c r="AT347" i="11"/>
  <c r="BR346" i="11"/>
  <c r="BQ346" i="11"/>
  <c r="BP346" i="11"/>
  <c r="BN346" i="11"/>
  <c r="BM346" i="11"/>
  <c r="BL346" i="11"/>
  <c r="BK346" i="11"/>
  <c r="BJ346" i="11"/>
  <c r="BH346" i="11"/>
  <c r="BG346" i="11"/>
  <c r="BI346" i="11" s="1"/>
  <c r="BF346" i="11"/>
  <c r="BE346" i="11"/>
  <c r="BD346" i="11"/>
  <c r="BC346" i="11"/>
  <c r="BB346" i="11"/>
  <c r="BA346" i="11"/>
  <c r="AY346" i="11"/>
  <c r="AX346" i="11"/>
  <c r="AZ346" i="11" s="1"/>
  <c r="AW346" i="11"/>
  <c r="AV346" i="11"/>
  <c r="AU346" i="11"/>
  <c r="AT346" i="11"/>
  <c r="BR345" i="11"/>
  <c r="BQ345" i="11"/>
  <c r="BP345" i="11"/>
  <c r="BN345" i="11"/>
  <c r="BM345" i="11"/>
  <c r="BL345" i="11"/>
  <c r="BK345" i="11"/>
  <c r="BJ345" i="11"/>
  <c r="BI345" i="11"/>
  <c r="BH345" i="11"/>
  <c r="BG345" i="11"/>
  <c r="BF345" i="11"/>
  <c r="BE345" i="11"/>
  <c r="BD345" i="11"/>
  <c r="BB345" i="11"/>
  <c r="BC345" i="11" s="1"/>
  <c r="BA345" i="11"/>
  <c r="AY345" i="11"/>
  <c r="AX345" i="11"/>
  <c r="AZ345" i="11" s="1"/>
  <c r="AW345" i="11"/>
  <c r="AV345" i="11"/>
  <c r="AU345" i="11"/>
  <c r="AT345" i="11"/>
  <c r="BR344" i="11"/>
  <c r="BQ344" i="11"/>
  <c r="BP344" i="11"/>
  <c r="BN344" i="11"/>
  <c r="BM344" i="11"/>
  <c r="BL344" i="11"/>
  <c r="BK344" i="11"/>
  <c r="BJ344" i="11"/>
  <c r="BH344" i="11"/>
  <c r="BG344" i="11"/>
  <c r="BI344" i="11" s="1"/>
  <c r="BE344" i="11"/>
  <c r="BD344" i="11"/>
  <c r="BF344" i="11" s="1"/>
  <c r="BB344" i="11"/>
  <c r="BC344" i="11" s="1"/>
  <c r="BA344" i="11"/>
  <c r="AY344" i="11"/>
  <c r="AX344" i="11"/>
  <c r="AZ344" i="11" s="1"/>
  <c r="AW344" i="11"/>
  <c r="AV344" i="11"/>
  <c r="AU344" i="11"/>
  <c r="AT344" i="11"/>
  <c r="BR343" i="11"/>
  <c r="BQ343" i="11"/>
  <c r="BP343" i="11"/>
  <c r="BN343" i="11"/>
  <c r="BM343" i="11"/>
  <c r="BL343" i="11"/>
  <c r="BK343" i="11"/>
  <c r="BJ343" i="11"/>
  <c r="BH343" i="11"/>
  <c r="BI343" i="11" s="1"/>
  <c r="BG343" i="11"/>
  <c r="BF343" i="11"/>
  <c r="BE343" i="11"/>
  <c r="BD343" i="11"/>
  <c r="BC343" i="11"/>
  <c r="BB343" i="11"/>
  <c r="BA343" i="11"/>
  <c r="AY343" i="11"/>
  <c r="AX343" i="11"/>
  <c r="AZ343" i="11" s="1"/>
  <c r="AW343" i="11"/>
  <c r="AV343" i="11"/>
  <c r="AU343" i="11"/>
  <c r="AT343" i="11"/>
  <c r="BR342" i="11"/>
  <c r="BQ342" i="11"/>
  <c r="BP342" i="11"/>
  <c r="BN342" i="11"/>
  <c r="BM342" i="11"/>
  <c r="BL342" i="11"/>
  <c r="BK342" i="11"/>
  <c r="BJ342" i="11"/>
  <c r="BH342" i="11"/>
  <c r="BG342" i="11"/>
  <c r="BI342" i="11" s="1"/>
  <c r="BE342" i="11"/>
  <c r="BD342" i="11"/>
  <c r="BF342" i="11" s="1"/>
  <c r="BC342" i="11"/>
  <c r="BB342" i="11"/>
  <c r="BA342" i="11"/>
  <c r="AY342" i="11"/>
  <c r="AX342" i="11"/>
  <c r="AZ342" i="11" s="1"/>
  <c r="AW342" i="11"/>
  <c r="AV342" i="11"/>
  <c r="AU342" i="11"/>
  <c r="AT342" i="11"/>
  <c r="BR341" i="11"/>
  <c r="BQ341" i="11"/>
  <c r="BP341" i="11"/>
  <c r="BN341" i="11"/>
  <c r="BM341" i="11"/>
  <c r="BL341" i="11"/>
  <c r="BK341" i="11"/>
  <c r="BJ341" i="11"/>
  <c r="BH341" i="11"/>
  <c r="BG341" i="11"/>
  <c r="BI341" i="11" s="1"/>
  <c r="BF341" i="11"/>
  <c r="BE341" i="11"/>
  <c r="BD341" i="11"/>
  <c r="BC341" i="11"/>
  <c r="BB341" i="11"/>
  <c r="BA341" i="11"/>
  <c r="AY341" i="11"/>
  <c r="AX341" i="11"/>
  <c r="AZ341" i="11" s="1"/>
  <c r="AW341" i="11"/>
  <c r="AV341" i="11"/>
  <c r="AU341" i="11"/>
  <c r="AT341" i="11"/>
  <c r="BR340" i="11"/>
  <c r="BQ340" i="11"/>
  <c r="BP340" i="11"/>
  <c r="BN340" i="11"/>
  <c r="BM340" i="11"/>
  <c r="BL340" i="11"/>
  <c r="BK340" i="11"/>
  <c r="BJ340" i="11"/>
  <c r="BI340" i="11"/>
  <c r="BH340" i="11"/>
  <c r="BG340" i="11"/>
  <c r="BE340" i="11"/>
  <c r="BF340" i="11" s="1"/>
  <c r="BD340" i="11"/>
  <c r="BC340" i="11"/>
  <c r="BB340" i="11"/>
  <c r="BA340" i="11"/>
  <c r="AY340" i="11"/>
  <c r="AX340" i="11"/>
  <c r="AZ340" i="11" s="1"/>
  <c r="AW340" i="11"/>
  <c r="AV340" i="11"/>
  <c r="AU340" i="11"/>
  <c r="AT340" i="11"/>
  <c r="BR339" i="11"/>
  <c r="BQ339" i="11"/>
  <c r="BP339" i="11"/>
  <c r="BN339" i="11"/>
  <c r="BM339" i="11"/>
  <c r="BL339" i="11"/>
  <c r="BK339" i="11"/>
  <c r="BJ339" i="11"/>
  <c r="BH339" i="11"/>
  <c r="BG339" i="11"/>
  <c r="BI339" i="11" s="1"/>
  <c r="BE339" i="11"/>
  <c r="BD339" i="11"/>
  <c r="BF339" i="11" s="1"/>
  <c r="BC339" i="11"/>
  <c r="BB339" i="11"/>
  <c r="BA339" i="11"/>
  <c r="AY339" i="11"/>
  <c r="AX339" i="11"/>
  <c r="AZ339" i="11" s="1"/>
  <c r="AW339" i="11"/>
  <c r="AV339" i="11"/>
  <c r="AU339" i="11"/>
  <c r="AT339" i="11"/>
  <c r="BR338" i="11"/>
  <c r="BQ338" i="11"/>
  <c r="BP338" i="11"/>
  <c r="BN338" i="11"/>
  <c r="BM338" i="11"/>
  <c r="BL338" i="11"/>
  <c r="BK338" i="11"/>
  <c r="BJ338" i="11"/>
  <c r="BH338" i="11"/>
  <c r="BG338" i="11"/>
  <c r="BI338" i="11" s="1"/>
  <c r="BE338" i="11"/>
  <c r="BF338" i="11" s="1"/>
  <c r="BD338" i="11"/>
  <c r="BC338" i="11"/>
  <c r="BB338" i="11"/>
  <c r="BA338" i="11"/>
  <c r="AY338" i="11"/>
  <c r="AX338" i="11"/>
  <c r="AZ338" i="11" s="1"/>
  <c r="AW338" i="11"/>
  <c r="AV338" i="11"/>
  <c r="AU338" i="11"/>
  <c r="AT338" i="11"/>
  <c r="BR337" i="11"/>
  <c r="BQ337" i="11"/>
  <c r="BP337" i="11"/>
  <c r="BN337" i="11"/>
  <c r="BM337" i="11"/>
  <c r="BL337" i="11"/>
  <c r="BK337" i="11"/>
  <c r="BJ337" i="11"/>
  <c r="BI337" i="11"/>
  <c r="BH337" i="11"/>
  <c r="BG337" i="11"/>
  <c r="BE337" i="11"/>
  <c r="BD337" i="11"/>
  <c r="BF337" i="11" s="1"/>
  <c r="BB337" i="11"/>
  <c r="BC337" i="11" s="1"/>
  <c r="BA337" i="11"/>
  <c r="AY337" i="11"/>
  <c r="AX337" i="11"/>
  <c r="AZ337" i="11" s="1"/>
  <c r="AW337" i="11"/>
  <c r="AV337" i="11"/>
  <c r="AU337" i="11"/>
  <c r="AT337" i="11"/>
  <c r="BR336" i="11"/>
  <c r="BQ336" i="11"/>
  <c r="BP336" i="11"/>
  <c r="BN336" i="11"/>
  <c r="BM336" i="11"/>
  <c r="BL336" i="11"/>
  <c r="BK336" i="11"/>
  <c r="BJ336" i="11"/>
  <c r="BI336" i="11"/>
  <c r="BH336" i="11"/>
  <c r="BG336" i="11"/>
  <c r="BE336" i="11"/>
  <c r="BD336" i="11"/>
  <c r="BF336" i="11" s="1"/>
  <c r="BC336" i="11"/>
  <c r="BB336" i="11"/>
  <c r="BA336" i="11"/>
  <c r="AY336" i="11"/>
  <c r="AX336" i="11"/>
  <c r="AZ336" i="11" s="1"/>
  <c r="AW336" i="11"/>
  <c r="AV336" i="11"/>
  <c r="AU336" i="11"/>
  <c r="AT336" i="11"/>
  <c r="BR335" i="11"/>
  <c r="BQ335" i="11"/>
  <c r="BP335" i="11"/>
  <c r="BN335" i="11"/>
  <c r="BM335" i="11"/>
  <c r="BL335" i="11"/>
  <c r="BK335" i="11"/>
  <c r="BJ335" i="11"/>
  <c r="BI335" i="11"/>
  <c r="BH335" i="11"/>
  <c r="BG335" i="11"/>
  <c r="BE335" i="11"/>
  <c r="BD335" i="11"/>
  <c r="BF335" i="11" s="1"/>
  <c r="BB335" i="11"/>
  <c r="BC335" i="11" s="1"/>
  <c r="BA335" i="11"/>
  <c r="AY335" i="11"/>
  <c r="AX335" i="11"/>
  <c r="AZ335" i="11" s="1"/>
  <c r="AW335" i="11"/>
  <c r="AV335" i="11"/>
  <c r="AU335" i="11"/>
  <c r="AT335" i="11"/>
  <c r="BR334" i="11"/>
  <c r="BQ334" i="11"/>
  <c r="BP334" i="11"/>
  <c r="BN334" i="11"/>
  <c r="BM334" i="11"/>
  <c r="BL334" i="11"/>
  <c r="BK334" i="11"/>
  <c r="BJ334" i="11"/>
  <c r="BH334" i="11"/>
  <c r="BG334" i="11"/>
  <c r="BI334" i="11" s="1"/>
  <c r="BF334" i="11"/>
  <c r="BE334" i="11"/>
  <c r="BD334" i="11"/>
  <c r="BC334" i="11"/>
  <c r="BB334" i="11"/>
  <c r="BA334" i="11"/>
  <c r="AY334" i="11"/>
  <c r="AX334" i="11"/>
  <c r="AZ334" i="11" s="1"/>
  <c r="AW334" i="11"/>
  <c r="AV334" i="11"/>
  <c r="AU334" i="11"/>
  <c r="AT334" i="11"/>
  <c r="BR333" i="11"/>
  <c r="BQ333" i="11"/>
  <c r="BP333" i="11"/>
  <c r="BN333" i="11"/>
  <c r="BM333" i="11"/>
  <c r="BL333" i="11"/>
  <c r="BK333" i="11"/>
  <c r="BJ333" i="11"/>
  <c r="BH333" i="11"/>
  <c r="BG333" i="11"/>
  <c r="BI333" i="11" s="1"/>
  <c r="BF333" i="11"/>
  <c r="BE333" i="11"/>
  <c r="BD333" i="11"/>
  <c r="BB333" i="11"/>
  <c r="BC333" i="11" s="1"/>
  <c r="BA333" i="11"/>
  <c r="AY333" i="11"/>
  <c r="AX333" i="11"/>
  <c r="AZ333" i="11" s="1"/>
  <c r="AW333" i="11"/>
  <c r="AV333" i="11"/>
  <c r="AU333" i="11"/>
  <c r="AT333" i="11"/>
  <c r="BR332" i="11"/>
  <c r="BQ332" i="11"/>
  <c r="BP332" i="11"/>
  <c r="BN332" i="11"/>
  <c r="BM332" i="11"/>
  <c r="BL332" i="11"/>
  <c r="BK332" i="11"/>
  <c r="BJ332" i="11"/>
  <c r="BH332" i="11"/>
  <c r="BI332" i="11" s="1"/>
  <c r="BG332" i="11"/>
  <c r="BE332" i="11"/>
  <c r="BD332" i="11"/>
  <c r="BF332" i="11" s="1"/>
  <c r="BC332" i="11"/>
  <c r="BB332" i="11"/>
  <c r="BA332" i="11"/>
  <c r="AY332" i="11"/>
  <c r="AX332" i="11"/>
  <c r="AZ332" i="11" s="1"/>
  <c r="AW332" i="11"/>
  <c r="AV332" i="11"/>
  <c r="AU332" i="11"/>
  <c r="AT332" i="11"/>
  <c r="BR331" i="11"/>
  <c r="BQ331" i="11"/>
  <c r="BP331" i="11"/>
  <c r="BN331" i="11"/>
  <c r="BM331" i="11"/>
  <c r="BL331" i="11"/>
  <c r="BK331" i="11"/>
  <c r="BJ331" i="11"/>
  <c r="BI331" i="11"/>
  <c r="BH331" i="11"/>
  <c r="BG331" i="11"/>
  <c r="BE331" i="11"/>
  <c r="BD331" i="11"/>
  <c r="BF331" i="11" s="1"/>
  <c r="BC331" i="11"/>
  <c r="BB331" i="11"/>
  <c r="BA331" i="11"/>
  <c r="AY331" i="11"/>
  <c r="AX331" i="11"/>
  <c r="AZ331" i="11" s="1"/>
  <c r="AW331" i="11"/>
  <c r="AV331" i="11"/>
  <c r="AU331" i="11"/>
  <c r="AT331" i="11"/>
  <c r="BR330" i="11"/>
  <c r="BQ330" i="11"/>
  <c r="BP330" i="11"/>
  <c r="BN330" i="11"/>
  <c r="BM330" i="11"/>
  <c r="BL330" i="11"/>
  <c r="BK330" i="11"/>
  <c r="BJ330" i="11"/>
  <c r="BH330" i="11"/>
  <c r="BG330" i="11"/>
  <c r="BI330" i="11" s="1"/>
  <c r="BF330" i="11"/>
  <c r="BE330" i="11"/>
  <c r="BD330" i="11"/>
  <c r="BB330" i="11"/>
  <c r="BC330" i="11" s="1"/>
  <c r="BA330" i="11"/>
  <c r="AY330" i="11"/>
  <c r="AX330" i="11"/>
  <c r="AZ330" i="11" s="1"/>
  <c r="AW330" i="11"/>
  <c r="AV330" i="11"/>
  <c r="AU330" i="11"/>
  <c r="AT330" i="11"/>
  <c r="BR329" i="11"/>
  <c r="BQ329" i="11"/>
  <c r="BP329" i="11"/>
  <c r="BN329" i="11"/>
  <c r="BM329" i="11"/>
  <c r="BL329" i="11"/>
  <c r="BK329" i="11"/>
  <c r="BJ329" i="11"/>
  <c r="BH329" i="11"/>
  <c r="BG329" i="11"/>
  <c r="BI329" i="11" s="1"/>
  <c r="BF329" i="11"/>
  <c r="BE329" i="11"/>
  <c r="BD329" i="11"/>
  <c r="BC329" i="11"/>
  <c r="BB329" i="11"/>
  <c r="BA329" i="11"/>
  <c r="AY329" i="11"/>
  <c r="AX329" i="11"/>
  <c r="AZ329" i="11" s="1"/>
  <c r="AW329" i="11"/>
  <c r="AV329" i="11"/>
  <c r="AU329" i="11"/>
  <c r="AT329" i="11"/>
  <c r="BR328" i="11"/>
  <c r="BQ328" i="11"/>
  <c r="BP328" i="11"/>
  <c r="BN328" i="11"/>
  <c r="BM328" i="11"/>
  <c r="BL328" i="11"/>
  <c r="BK328" i="11"/>
  <c r="BJ328" i="11"/>
  <c r="BI328" i="11"/>
  <c r="BH328" i="11"/>
  <c r="BG328" i="11"/>
  <c r="BF328" i="11"/>
  <c r="BE328" i="11"/>
  <c r="BD328" i="11"/>
  <c r="BB328" i="11"/>
  <c r="BC328" i="11" s="1"/>
  <c r="BA328" i="11"/>
  <c r="AY328" i="11"/>
  <c r="AX328" i="11"/>
  <c r="AZ328" i="11" s="1"/>
  <c r="AW328" i="11"/>
  <c r="AV328" i="11"/>
  <c r="AU328" i="11"/>
  <c r="AT328" i="11"/>
  <c r="BR327" i="11"/>
  <c r="BQ327" i="11"/>
  <c r="BP327" i="11"/>
  <c r="BN327" i="11"/>
  <c r="BM327" i="11"/>
  <c r="BL327" i="11"/>
  <c r="BK327" i="11"/>
  <c r="BJ327" i="11"/>
  <c r="BH327" i="11"/>
  <c r="BG327" i="11"/>
  <c r="BE327" i="11"/>
  <c r="BD327" i="11"/>
  <c r="BF327" i="11" s="1"/>
  <c r="BB327" i="11"/>
  <c r="BC327" i="11" s="1"/>
  <c r="BA327" i="11"/>
  <c r="AY327" i="11"/>
  <c r="AX327" i="11"/>
  <c r="AZ327" i="11" s="1"/>
  <c r="AW327" i="11"/>
  <c r="AV327" i="11"/>
  <c r="AU327" i="11"/>
  <c r="AT327" i="11"/>
  <c r="BR326" i="11"/>
  <c r="BQ326" i="11"/>
  <c r="BP326" i="11"/>
  <c r="BN326" i="11"/>
  <c r="BM326" i="11"/>
  <c r="BL326" i="11"/>
  <c r="BK326" i="11"/>
  <c r="BJ326" i="11"/>
  <c r="BH326" i="11"/>
  <c r="BG326" i="11"/>
  <c r="BI326" i="11" s="1"/>
  <c r="BF326" i="11"/>
  <c r="BE326" i="11"/>
  <c r="BD326" i="11"/>
  <c r="BB326" i="11"/>
  <c r="BC326" i="11" s="1"/>
  <c r="BA326" i="11"/>
  <c r="AY326" i="11"/>
  <c r="AX326" i="11"/>
  <c r="AZ326" i="11" s="1"/>
  <c r="AW326" i="11"/>
  <c r="AV326" i="11"/>
  <c r="AU326" i="11"/>
  <c r="AT326" i="11"/>
  <c r="BR325" i="11"/>
  <c r="BQ325" i="11"/>
  <c r="BP325" i="11"/>
  <c r="BN325" i="11"/>
  <c r="BM325" i="11"/>
  <c r="BL325" i="11"/>
  <c r="BK325" i="11"/>
  <c r="BJ325" i="11"/>
  <c r="BI325" i="11"/>
  <c r="BH325" i="11"/>
  <c r="BG325" i="11"/>
  <c r="BE325" i="11"/>
  <c r="BD325" i="11"/>
  <c r="BF325" i="11" s="1"/>
  <c r="BC325" i="11"/>
  <c r="BB325" i="11"/>
  <c r="BA325" i="11"/>
  <c r="AY325" i="11"/>
  <c r="AX325" i="11"/>
  <c r="AZ325" i="11" s="1"/>
  <c r="AW325" i="11"/>
  <c r="AV325" i="11"/>
  <c r="AU325" i="11"/>
  <c r="AT325" i="11"/>
  <c r="BR324" i="11"/>
  <c r="BQ324" i="11"/>
  <c r="BP324" i="11"/>
  <c r="BN324" i="11"/>
  <c r="BM324" i="11"/>
  <c r="BL324" i="11"/>
  <c r="BK324" i="11"/>
  <c r="BJ324" i="11"/>
  <c r="BH324" i="11"/>
  <c r="BI324" i="11" s="1"/>
  <c r="BG324" i="11"/>
  <c r="BE324" i="11"/>
  <c r="BD324" i="11"/>
  <c r="BC324" i="11"/>
  <c r="BB324" i="11"/>
  <c r="BA324" i="11"/>
  <c r="AY324" i="11"/>
  <c r="AX324" i="11"/>
  <c r="AZ324" i="11" s="1"/>
  <c r="AW324" i="11"/>
  <c r="AV324" i="11"/>
  <c r="AU324" i="11"/>
  <c r="AT324" i="11"/>
  <c r="BR323" i="11"/>
  <c r="BQ323" i="11"/>
  <c r="BP323" i="11"/>
  <c r="BN323" i="11"/>
  <c r="BM323" i="11"/>
  <c r="BL323" i="11"/>
  <c r="BK323" i="11"/>
  <c r="BJ323" i="11"/>
  <c r="BI323" i="11"/>
  <c r="BH323" i="11"/>
  <c r="BG323" i="11"/>
  <c r="BE323" i="11"/>
  <c r="BD323" i="11"/>
  <c r="BF323" i="11" s="1"/>
  <c r="BC323" i="11"/>
  <c r="BB323" i="11"/>
  <c r="BA323" i="11"/>
  <c r="AY323" i="11"/>
  <c r="AX323" i="11"/>
  <c r="AZ323" i="11" s="1"/>
  <c r="AW323" i="11"/>
  <c r="AV323" i="11"/>
  <c r="AU323" i="11"/>
  <c r="AT323" i="11"/>
  <c r="BR322" i="11"/>
  <c r="BQ322" i="11"/>
  <c r="BP322" i="11"/>
  <c r="BN322" i="11"/>
  <c r="BM322" i="11"/>
  <c r="BL322" i="11"/>
  <c r="BK322" i="11"/>
  <c r="BJ322" i="11"/>
  <c r="BH322" i="11"/>
  <c r="BG322" i="11"/>
  <c r="BI322" i="11" s="1"/>
  <c r="BF322" i="11"/>
  <c r="BE322" i="11"/>
  <c r="BD322" i="11"/>
  <c r="BB322" i="11"/>
  <c r="BC322" i="11" s="1"/>
  <c r="BA322" i="11"/>
  <c r="AY322" i="11"/>
  <c r="AX322" i="11"/>
  <c r="AZ322" i="11" s="1"/>
  <c r="AW322" i="11"/>
  <c r="AV322" i="11"/>
  <c r="AU322" i="11"/>
  <c r="AT322" i="11"/>
  <c r="BR321" i="11"/>
  <c r="BQ321" i="11"/>
  <c r="BP321" i="11"/>
  <c r="BN321" i="11"/>
  <c r="BM321" i="11"/>
  <c r="BL321" i="11"/>
  <c r="BK321" i="11"/>
  <c r="BJ321" i="11"/>
  <c r="BH321" i="11"/>
  <c r="BG321" i="11"/>
  <c r="BI321" i="11" s="1"/>
  <c r="BF321" i="11"/>
  <c r="BE321" i="11"/>
  <c r="BD321" i="11"/>
  <c r="BB321" i="11"/>
  <c r="BC321" i="11" s="1"/>
  <c r="BA321" i="11"/>
  <c r="AY321" i="11"/>
  <c r="AX321" i="11"/>
  <c r="AZ321" i="11" s="1"/>
  <c r="AW321" i="11"/>
  <c r="AV321" i="11"/>
  <c r="AU321" i="11"/>
  <c r="AT321" i="11"/>
  <c r="BR320" i="11"/>
  <c r="BQ320" i="11"/>
  <c r="BP320" i="11"/>
  <c r="BN320" i="11"/>
  <c r="BM320" i="11"/>
  <c r="BL320" i="11"/>
  <c r="BK320" i="11"/>
  <c r="BJ320" i="11"/>
  <c r="BI320" i="11"/>
  <c r="BH320" i="11"/>
  <c r="BG320" i="11"/>
  <c r="BE320" i="11"/>
  <c r="BD320" i="11"/>
  <c r="BF320" i="11" s="1"/>
  <c r="BC320" i="11"/>
  <c r="BB320" i="11"/>
  <c r="BA320" i="11"/>
  <c r="AY320" i="11"/>
  <c r="AX320" i="11"/>
  <c r="AZ320" i="11" s="1"/>
  <c r="AW320" i="11"/>
  <c r="AV320" i="11"/>
  <c r="AU320" i="11"/>
  <c r="AT320" i="11"/>
  <c r="BR319" i="11"/>
  <c r="BQ319" i="11"/>
  <c r="BP319" i="11"/>
  <c r="BN319" i="11"/>
  <c r="BM319" i="11"/>
  <c r="BL319" i="11"/>
  <c r="BK319" i="11"/>
  <c r="BJ319" i="11"/>
  <c r="BH319" i="11"/>
  <c r="BG319" i="11"/>
  <c r="BI319" i="11" s="1"/>
  <c r="BE319" i="11"/>
  <c r="BD319" i="11"/>
  <c r="BF319" i="11" s="1"/>
  <c r="BC319" i="11"/>
  <c r="BB319" i="11"/>
  <c r="BA319" i="11"/>
  <c r="AY319" i="11"/>
  <c r="AX319" i="11"/>
  <c r="AZ319" i="11" s="1"/>
  <c r="AW319" i="11"/>
  <c r="AV319" i="11"/>
  <c r="AU319" i="11"/>
  <c r="AT319" i="11"/>
  <c r="BR318" i="11"/>
  <c r="BQ318" i="11"/>
  <c r="BP318" i="11"/>
  <c r="BN318" i="11"/>
  <c r="BM318" i="11"/>
  <c r="BL318" i="11"/>
  <c r="BK318" i="11"/>
  <c r="BJ318" i="11"/>
  <c r="BI318" i="11"/>
  <c r="BH318" i="11"/>
  <c r="BG318" i="11"/>
  <c r="BF318" i="11"/>
  <c r="BE318" i="11"/>
  <c r="BD318" i="11"/>
  <c r="BC318" i="11"/>
  <c r="BB318" i="11"/>
  <c r="BA318" i="11"/>
  <c r="AY318" i="11"/>
  <c r="AX318" i="11"/>
  <c r="AZ318" i="11" s="1"/>
  <c r="AW318" i="11"/>
  <c r="AV318" i="11"/>
  <c r="AU318" i="11"/>
  <c r="AT318" i="11"/>
  <c r="BR317" i="11"/>
  <c r="BQ317" i="11"/>
  <c r="BP317" i="11"/>
  <c r="BN317" i="11"/>
  <c r="BM317" i="11"/>
  <c r="BL317" i="11"/>
  <c r="BK317" i="11"/>
  <c r="BJ317" i="11"/>
  <c r="BH317" i="11"/>
  <c r="BI317" i="11" s="1"/>
  <c r="BG317" i="11"/>
  <c r="BF317" i="11"/>
  <c r="BE317" i="11"/>
  <c r="BD317" i="11"/>
  <c r="BB317" i="11"/>
  <c r="BC317" i="11" s="1"/>
  <c r="BA317" i="11"/>
  <c r="AY317" i="11"/>
  <c r="AX317" i="11"/>
  <c r="AZ317" i="11" s="1"/>
  <c r="AW317" i="11"/>
  <c r="AV317" i="11"/>
  <c r="AU317" i="11"/>
  <c r="AT317" i="11"/>
  <c r="BR316" i="11"/>
  <c r="BQ316" i="11"/>
  <c r="BP316" i="11"/>
  <c r="BN316" i="11"/>
  <c r="BM316" i="11"/>
  <c r="BL316" i="11"/>
  <c r="BK316" i="11"/>
  <c r="BJ316" i="11"/>
  <c r="BH316" i="11"/>
  <c r="BG316" i="11"/>
  <c r="BI316" i="11" s="1"/>
  <c r="BE316" i="11"/>
  <c r="BD316" i="11"/>
  <c r="BF316" i="11" s="1"/>
  <c r="BC316" i="11"/>
  <c r="BB316" i="11"/>
  <c r="BA316" i="11"/>
  <c r="AY316" i="11"/>
  <c r="AX316" i="11"/>
  <c r="AZ316" i="11" s="1"/>
  <c r="AW316" i="11"/>
  <c r="AV316" i="11"/>
  <c r="AU316" i="11"/>
  <c r="AT316" i="11"/>
  <c r="BR315" i="11"/>
  <c r="BQ315" i="11"/>
  <c r="BP315" i="11"/>
  <c r="BN315" i="11"/>
  <c r="BM315" i="11"/>
  <c r="BL315" i="11"/>
  <c r="BK315" i="11"/>
  <c r="BJ315" i="11"/>
  <c r="BH315" i="11"/>
  <c r="BG315" i="11"/>
  <c r="BI315" i="11" s="1"/>
  <c r="BE315" i="11"/>
  <c r="BF315" i="11" s="1"/>
  <c r="BD315" i="11"/>
  <c r="BC315" i="11"/>
  <c r="BB315" i="11"/>
  <c r="BA315" i="11"/>
  <c r="AY315" i="11"/>
  <c r="AX315" i="11"/>
  <c r="AZ315" i="11" s="1"/>
  <c r="AW315" i="11"/>
  <c r="AV315" i="11"/>
  <c r="AU315" i="11"/>
  <c r="AT315" i="11"/>
  <c r="BR314" i="11"/>
  <c r="BQ314" i="11"/>
  <c r="BP314" i="11"/>
  <c r="BN314" i="11"/>
  <c r="BM314" i="11"/>
  <c r="BL314" i="11"/>
  <c r="BK314" i="11"/>
  <c r="BJ314" i="11"/>
  <c r="BH314" i="11"/>
  <c r="BG314" i="11"/>
  <c r="BI314" i="11" s="1"/>
  <c r="BE314" i="11"/>
  <c r="BD314" i="11"/>
  <c r="BF314" i="11" s="1"/>
  <c r="BC314" i="11"/>
  <c r="BB314" i="11"/>
  <c r="BA314" i="11"/>
  <c r="AY314" i="11"/>
  <c r="AX314" i="11"/>
  <c r="AZ314" i="11" s="1"/>
  <c r="AW314" i="11"/>
  <c r="AV314" i="11"/>
  <c r="AU314" i="11"/>
  <c r="AT314" i="11"/>
  <c r="BR313" i="11"/>
  <c r="BQ313" i="11"/>
  <c r="BP313" i="11"/>
  <c r="BN313" i="11"/>
  <c r="BM313" i="11"/>
  <c r="BL313" i="11"/>
  <c r="BK313" i="11"/>
  <c r="BJ313" i="11"/>
  <c r="BI313" i="11"/>
  <c r="BH313" i="11"/>
  <c r="BG313" i="11"/>
  <c r="BF313" i="11"/>
  <c r="BE313" i="11"/>
  <c r="BD313" i="11"/>
  <c r="BB313" i="11"/>
  <c r="BC313" i="11" s="1"/>
  <c r="BA313" i="11"/>
  <c r="AY313" i="11"/>
  <c r="AX313" i="11"/>
  <c r="AZ313" i="11" s="1"/>
  <c r="AW313" i="11"/>
  <c r="AV313" i="11"/>
  <c r="AU313" i="11"/>
  <c r="AT313" i="11"/>
  <c r="BR312" i="11"/>
  <c r="BQ312" i="11"/>
  <c r="BP312" i="11"/>
  <c r="BN312" i="11"/>
  <c r="BM312" i="11"/>
  <c r="BL312" i="11"/>
  <c r="BK312" i="11"/>
  <c r="BJ312" i="11"/>
  <c r="BI312" i="11"/>
  <c r="BH312" i="11"/>
  <c r="BG312" i="11"/>
  <c r="BE312" i="11"/>
  <c r="BD312" i="11"/>
  <c r="BB312" i="11"/>
  <c r="BC312" i="11" s="1"/>
  <c r="BA312" i="11"/>
  <c r="AY312" i="11"/>
  <c r="AX312" i="11"/>
  <c r="AZ312" i="11" s="1"/>
  <c r="AW312" i="11"/>
  <c r="AV312" i="11"/>
  <c r="AU312" i="11"/>
  <c r="AT312" i="11"/>
  <c r="BR311" i="11"/>
  <c r="BQ311" i="11"/>
  <c r="BP311" i="11"/>
  <c r="BN311" i="11"/>
  <c r="BM311" i="11"/>
  <c r="BL311" i="11"/>
  <c r="BK311" i="11"/>
  <c r="BJ311" i="11"/>
  <c r="BI311" i="11"/>
  <c r="BH311" i="11"/>
  <c r="BG311" i="11"/>
  <c r="BE311" i="11"/>
  <c r="BD311" i="11"/>
  <c r="BF311" i="11" s="1"/>
  <c r="BB311" i="11"/>
  <c r="BC311" i="11" s="1"/>
  <c r="BA311" i="11"/>
  <c r="AY311" i="11"/>
  <c r="AX311" i="11"/>
  <c r="AZ311" i="11" s="1"/>
  <c r="AW311" i="11"/>
  <c r="AV311" i="11"/>
  <c r="AU311" i="11"/>
  <c r="AT311" i="11"/>
  <c r="BR310" i="11"/>
  <c r="BQ310" i="11"/>
  <c r="BP310" i="11"/>
  <c r="BN310" i="11"/>
  <c r="BM310" i="11"/>
  <c r="BL310" i="11"/>
  <c r="BK310" i="11"/>
  <c r="BJ310" i="11"/>
  <c r="BI310" i="11"/>
  <c r="BH310" i="11"/>
  <c r="BG310" i="11"/>
  <c r="BF310" i="11"/>
  <c r="BE310" i="11"/>
  <c r="BD310" i="11"/>
  <c r="BC310" i="11"/>
  <c r="BB310" i="11"/>
  <c r="BA310" i="11"/>
  <c r="AY310" i="11"/>
  <c r="AX310" i="11"/>
  <c r="AZ310" i="11" s="1"/>
  <c r="AW310" i="11"/>
  <c r="AV310" i="11"/>
  <c r="AU310" i="11"/>
  <c r="AT310" i="11"/>
  <c r="BR309" i="11"/>
  <c r="BQ309" i="11"/>
  <c r="BP309" i="11"/>
  <c r="BN309" i="11"/>
  <c r="BM309" i="11"/>
  <c r="BL309" i="11"/>
  <c r="BK309" i="11"/>
  <c r="BJ309" i="11"/>
  <c r="BH309" i="11"/>
  <c r="BI309" i="11" s="1"/>
  <c r="BG309" i="11"/>
  <c r="BF309" i="11"/>
  <c r="BE309" i="11"/>
  <c r="BD309" i="11"/>
  <c r="BB309" i="11"/>
  <c r="BC309" i="11" s="1"/>
  <c r="BA309" i="11"/>
  <c r="AY309" i="11"/>
  <c r="AX309" i="11"/>
  <c r="AZ309" i="11" s="1"/>
  <c r="AW309" i="11"/>
  <c r="AV309" i="11"/>
  <c r="AU309" i="11"/>
  <c r="AT309" i="11"/>
  <c r="BR308" i="11"/>
  <c r="BQ308" i="11"/>
  <c r="BP308" i="11"/>
  <c r="BN308" i="11"/>
  <c r="BM308" i="11"/>
  <c r="BL308" i="11"/>
  <c r="BK308" i="11"/>
  <c r="BJ308" i="11"/>
  <c r="BH308" i="11"/>
  <c r="BG308" i="11"/>
  <c r="BI308" i="11" s="1"/>
  <c r="BF308" i="11"/>
  <c r="BE308" i="11"/>
  <c r="BD308" i="11"/>
  <c r="BC308" i="11"/>
  <c r="BB308" i="11"/>
  <c r="BA308" i="11"/>
  <c r="AY308" i="11"/>
  <c r="AX308" i="11"/>
  <c r="AZ308" i="11" s="1"/>
  <c r="AW308" i="11"/>
  <c r="AV308" i="11"/>
  <c r="AU308" i="11"/>
  <c r="AT308" i="11"/>
  <c r="BR307" i="11"/>
  <c r="BQ307" i="11"/>
  <c r="BP307" i="11"/>
  <c r="BN307" i="11"/>
  <c r="BM307" i="11"/>
  <c r="BL307" i="11"/>
  <c r="BK307" i="11"/>
  <c r="BJ307" i="11"/>
  <c r="BI307" i="11"/>
  <c r="BH307" i="11"/>
  <c r="BG307" i="11"/>
  <c r="BE307" i="11"/>
  <c r="BF307" i="11" s="1"/>
  <c r="BD307" i="11"/>
  <c r="BC307" i="11"/>
  <c r="BB307" i="11"/>
  <c r="BA307" i="11"/>
  <c r="AY307" i="11"/>
  <c r="AX307" i="11"/>
  <c r="AZ307" i="11" s="1"/>
  <c r="AW307" i="11"/>
  <c r="AV307" i="11"/>
  <c r="AU307" i="11"/>
  <c r="AT307" i="11"/>
  <c r="BR306" i="11"/>
  <c r="BQ306" i="11"/>
  <c r="BP306" i="11"/>
  <c r="BN306" i="11"/>
  <c r="BM306" i="11"/>
  <c r="BL306" i="11"/>
  <c r="BK306" i="11"/>
  <c r="BJ306" i="11"/>
  <c r="BH306" i="11"/>
  <c r="BI306" i="11" s="1"/>
  <c r="BG306" i="11"/>
  <c r="BE306" i="11"/>
  <c r="BD306" i="11"/>
  <c r="BF306" i="11" s="1"/>
  <c r="BB306" i="11"/>
  <c r="BC306" i="11" s="1"/>
  <c r="BA306" i="11"/>
  <c r="AY306" i="11"/>
  <c r="AX306" i="11"/>
  <c r="AZ306" i="11" s="1"/>
  <c r="AW306" i="11"/>
  <c r="AV306" i="11"/>
  <c r="AU306" i="11"/>
  <c r="AT306" i="11"/>
  <c r="BR305" i="11"/>
  <c r="BQ305" i="11"/>
  <c r="BP305" i="11"/>
  <c r="BN305" i="11"/>
  <c r="BM305" i="11"/>
  <c r="BL305" i="11"/>
  <c r="BK305" i="11"/>
  <c r="BJ305" i="11"/>
  <c r="BI305" i="11"/>
  <c r="BH305" i="11"/>
  <c r="BG305" i="11"/>
  <c r="BE305" i="11"/>
  <c r="BD305" i="11"/>
  <c r="BF305" i="11" s="1"/>
  <c r="BC305" i="11"/>
  <c r="BB305" i="11"/>
  <c r="BA305" i="11"/>
  <c r="AY305" i="11"/>
  <c r="AX305" i="11"/>
  <c r="AZ305" i="11" s="1"/>
  <c r="AW305" i="11"/>
  <c r="AV305" i="11"/>
  <c r="AU305" i="11"/>
  <c r="AT305" i="11"/>
  <c r="BR304" i="11"/>
  <c r="BQ304" i="11"/>
  <c r="BP304" i="11"/>
  <c r="BN304" i="11"/>
  <c r="BM304" i="11"/>
  <c r="BL304" i="11"/>
  <c r="BK304" i="11"/>
  <c r="BJ304" i="11"/>
  <c r="BH304" i="11"/>
  <c r="BG304" i="11"/>
  <c r="BI304" i="11" s="1"/>
  <c r="BF304" i="11"/>
  <c r="BE304" i="11"/>
  <c r="BD304" i="11"/>
  <c r="BB304" i="11"/>
  <c r="BC304" i="11" s="1"/>
  <c r="BA304" i="11"/>
  <c r="AY304" i="11"/>
  <c r="AX304" i="11"/>
  <c r="AZ304" i="11" s="1"/>
  <c r="AW304" i="11"/>
  <c r="AV304" i="11"/>
  <c r="AU304" i="11"/>
  <c r="AT304" i="11"/>
  <c r="BR303" i="11"/>
  <c r="BQ303" i="11"/>
  <c r="BP303" i="11"/>
  <c r="BN303" i="11"/>
  <c r="BM303" i="11"/>
  <c r="BL303" i="11"/>
  <c r="BK303" i="11"/>
  <c r="BJ303" i="11"/>
  <c r="BH303" i="11"/>
  <c r="BG303" i="11"/>
  <c r="BE303" i="11"/>
  <c r="BD303" i="11"/>
  <c r="BF303" i="11" s="1"/>
  <c r="BB303" i="11"/>
  <c r="BC303" i="11" s="1"/>
  <c r="BA303" i="11"/>
  <c r="AY303" i="11"/>
  <c r="AX303" i="11"/>
  <c r="AZ303" i="11" s="1"/>
  <c r="AW303" i="11"/>
  <c r="AV303" i="11"/>
  <c r="AU303" i="11"/>
  <c r="AT303" i="11"/>
  <c r="BR302" i="11"/>
  <c r="BQ302" i="11"/>
  <c r="BP302" i="11"/>
  <c r="BN302" i="11"/>
  <c r="BM302" i="11"/>
  <c r="BL302" i="11"/>
  <c r="BK302" i="11"/>
  <c r="BJ302" i="11"/>
  <c r="BH302" i="11"/>
  <c r="BG302" i="11"/>
  <c r="BI302" i="11" s="1"/>
  <c r="BE302" i="11"/>
  <c r="BD302" i="11"/>
  <c r="BF302" i="11" s="1"/>
  <c r="BC302" i="11"/>
  <c r="BB302" i="11"/>
  <c r="BA302" i="11"/>
  <c r="AY302" i="11"/>
  <c r="AX302" i="11"/>
  <c r="AZ302" i="11" s="1"/>
  <c r="AW302" i="11"/>
  <c r="AV302" i="11"/>
  <c r="AU302" i="11"/>
  <c r="AT302" i="11"/>
  <c r="BR301" i="11"/>
  <c r="BQ301" i="11"/>
  <c r="BP301" i="11"/>
  <c r="BN301" i="11"/>
  <c r="BM301" i="11"/>
  <c r="BL301" i="11"/>
  <c r="BK301" i="11"/>
  <c r="BJ301" i="11"/>
  <c r="BI301" i="11"/>
  <c r="BH301" i="11"/>
  <c r="BG301" i="11"/>
  <c r="BF301" i="11"/>
  <c r="BE301" i="11"/>
  <c r="BD301" i="11"/>
  <c r="BC301" i="11"/>
  <c r="BB301" i="11"/>
  <c r="BA301" i="11"/>
  <c r="AY301" i="11"/>
  <c r="AX301" i="11"/>
  <c r="AZ301" i="11" s="1"/>
  <c r="AW301" i="11"/>
  <c r="AV301" i="11"/>
  <c r="AU301" i="11"/>
  <c r="AT301" i="11"/>
  <c r="BR300" i="11"/>
  <c r="BQ300" i="11"/>
  <c r="BP300" i="11"/>
  <c r="BN300" i="11"/>
  <c r="BM300" i="11"/>
  <c r="BL300" i="11"/>
  <c r="BK300" i="11"/>
  <c r="BJ300" i="11"/>
  <c r="BH300" i="11"/>
  <c r="BI300" i="11" s="1"/>
  <c r="BG300" i="11"/>
  <c r="BE300" i="11"/>
  <c r="BD300" i="11"/>
  <c r="BC300" i="11"/>
  <c r="BB300" i="11"/>
  <c r="BA300" i="11"/>
  <c r="AY300" i="11"/>
  <c r="AX300" i="11"/>
  <c r="AZ300" i="11" s="1"/>
  <c r="AW300" i="11"/>
  <c r="AV300" i="11"/>
  <c r="AU300" i="11"/>
  <c r="AT300" i="11"/>
  <c r="BR299" i="11"/>
  <c r="BQ299" i="11"/>
  <c r="BP299" i="11"/>
  <c r="BN299" i="11"/>
  <c r="BM299" i="11"/>
  <c r="BL299" i="11"/>
  <c r="BK299" i="11"/>
  <c r="BJ299" i="11"/>
  <c r="BH299" i="11"/>
  <c r="BG299" i="11"/>
  <c r="BI299" i="11" s="1"/>
  <c r="BE299" i="11"/>
  <c r="BD299" i="11"/>
  <c r="BF299" i="11" s="1"/>
  <c r="BC299" i="11"/>
  <c r="BB299" i="11"/>
  <c r="BA299" i="11"/>
  <c r="AY299" i="11"/>
  <c r="AX299" i="11"/>
  <c r="AZ299" i="11" s="1"/>
  <c r="AW299" i="11"/>
  <c r="AV299" i="11"/>
  <c r="AU299" i="11"/>
  <c r="AT299" i="11"/>
  <c r="BR298" i="11"/>
  <c r="BQ298" i="11"/>
  <c r="BP298" i="11"/>
  <c r="BN298" i="11"/>
  <c r="BM298" i="11"/>
  <c r="BL298" i="11"/>
  <c r="BK298" i="11"/>
  <c r="BJ298" i="11"/>
  <c r="BH298" i="11"/>
  <c r="BI298" i="11" s="1"/>
  <c r="BG298" i="11"/>
  <c r="BF298" i="11"/>
  <c r="BE298" i="11"/>
  <c r="BD298" i="11"/>
  <c r="BB298" i="11"/>
  <c r="BC298" i="11" s="1"/>
  <c r="BA298" i="11"/>
  <c r="AY298" i="11"/>
  <c r="AX298" i="11"/>
  <c r="AZ298" i="11" s="1"/>
  <c r="AW298" i="11"/>
  <c r="AV298" i="11"/>
  <c r="AU298" i="11"/>
  <c r="AT298" i="11"/>
  <c r="BR297" i="11"/>
  <c r="BQ297" i="11"/>
  <c r="BP297" i="11"/>
  <c r="BN297" i="11"/>
  <c r="BM297" i="11"/>
  <c r="BL297" i="11"/>
  <c r="BK297" i="11"/>
  <c r="BJ297" i="11"/>
  <c r="BI297" i="11"/>
  <c r="BH297" i="11"/>
  <c r="BG297" i="11"/>
  <c r="BE297" i="11"/>
  <c r="BF297" i="11" s="1"/>
  <c r="BD297" i="11"/>
  <c r="BB297" i="11"/>
  <c r="BC297" i="11" s="1"/>
  <c r="BA297" i="11"/>
  <c r="AY297" i="11"/>
  <c r="AX297" i="11"/>
  <c r="AZ297" i="11" s="1"/>
  <c r="AW297" i="11"/>
  <c r="AV297" i="11"/>
  <c r="AU297" i="11"/>
  <c r="AT297" i="11"/>
  <c r="BR296" i="11"/>
  <c r="BQ296" i="11"/>
  <c r="BP296" i="11"/>
  <c r="BN296" i="11"/>
  <c r="BM296" i="11"/>
  <c r="BL296" i="11"/>
  <c r="BK296" i="11"/>
  <c r="BJ296" i="11"/>
  <c r="BH296" i="11"/>
  <c r="BG296" i="11"/>
  <c r="BI296" i="11" s="1"/>
  <c r="BE296" i="11"/>
  <c r="BF296" i="11" s="1"/>
  <c r="BD296" i="11"/>
  <c r="BC296" i="11"/>
  <c r="BB296" i="11"/>
  <c r="BA296" i="11"/>
  <c r="AY296" i="11"/>
  <c r="AX296" i="11"/>
  <c r="AZ296" i="11" s="1"/>
  <c r="AW296" i="11"/>
  <c r="AV296" i="11"/>
  <c r="AU296" i="11"/>
  <c r="AT296" i="11"/>
  <c r="BR295" i="11"/>
  <c r="BQ295" i="11"/>
  <c r="BP295" i="11"/>
  <c r="BN295" i="11"/>
  <c r="BM295" i="11"/>
  <c r="BL295" i="11"/>
  <c r="BK295" i="11"/>
  <c r="BJ295" i="11"/>
  <c r="BI295" i="11"/>
  <c r="BH295" i="11"/>
  <c r="BG295" i="11"/>
  <c r="BE295" i="11"/>
  <c r="BD295" i="11"/>
  <c r="BF295" i="11" s="1"/>
  <c r="BC295" i="11"/>
  <c r="BB295" i="11"/>
  <c r="BA295" i="11"/>
  <c r="AY295" i="11"/>
  <c r="AX295" i="11"/>
  <c r="AZ295" i="11" s="1"/>
  <c r="AW295" i="11"/>
  <c r="AV295" i="11"/>
  <c r="AU295" i="11"/>
  <c r="AT295" i="11"/>
  <c r="BR294" i="11"/>
  <c r="BQ294" i="11"/>
  <c r="BP294" i="11"/>
  <c r="BN294" i="11"/>
  <c r="BM294" i="11"/>
  <c r="BL294" i="11"/>
  <c r="BK294" i="11"/>
  <c r="BJ294" i="11"/>
  <c r="BI294" i="11"/>
  <c r="BH294" i="11"/>
  <c r="BG294" i="11"/>
  <c r="BE294" i="11"/>
  <c r="BD294" i="11"/>
  <c r="BC294" i="11"/>
  <c r="BB294" i="11"/>
  <c r="BA294" i="11"/>
  <c r="AY294" i="11"/>
  <c r="AX294" i="11"/>
  <c r="AZ294" i="11" s="1"/>
  <c r="AW294" i="11"/>
  <c r="AV294" i="11"/>
  <c r="AU294" i="11"/>
  <c r="AT294" i="11"/>
  <c r="BR293" i="11"/>
  <c r="BQ293" i="11"/>
  <c r="BP293" i="11"/>
  <c r="BN293" i="11"/>
  <c r="BM293" i="11"/>
  <c r="BL293" i="11"/>
  <c r="BK293" i="11"/>
  <c r="BJ293" i="11"/>
  <c r="BH293" i="11"/>
  <c r="BG293" i="11"/>
  <c r="BI293" i="11" s="1"/>
  <c r="BE293" i="11"/>
  <c r="BD293" i="11"/>
  <c r="BF293" i="11" s="1"/>
  <c r="BC293" i="11"/>
  <c r="BB293" i="11"/>
  <c r="BA293" i="11"/>
  <c r="AY293" i="11"/>
  <c r="AX293" i="11"/>
  <c r="AZ293" i="11" s="1"/>
  <c r="AW293" i="11"/>
  <c r="AV293" i="11"/>
  <c r="AU293" i="11"/>
  <c r="AT293" i="11"/>
  <c r="BR292" i="11"/>
  <c r="BQ292" i="11"/>
  <c r="BP292" i="11"/>
  <c r="BN292" i="11"/>
  <c r="BM292" i="11"/>
  <c r="BL292" i="11"/>
  <c r="BK292" i="11"/>
  <c r="BJ292" i="11"/>
  <c r="BI292" i="11"/>
  <c r="BH292" i="11"/>
  <c r="BG292" i="11"/>
  <c r="BF292" i="11"/>
  <c r="BE292" i="11"/>
  <c r="BD292" i="11"/>
  <c r="BB292" i="11"/>
  <c r="BC292" i="11" s="1"/>
  <c r="BA292" i="11"/>
  <c r="AY292" i="11"/>
  <c r="AX292" i="11"/>
  <c r="AZ292" i="11" s="1"/>
  <c r="AW292" i="11"/>
  <c r="AV292" i="11"/>
  <c r="AU292" i="11"/>
  <c r="AT292" i="11"/>
  <c r="BR291" i="11"/>
  <c r="BQ291" i="11"/>
  <c r="BP291" i="11"/>
  <c r="BN291" i="11"/>
  <c r="BM291" i="11"/>
  <c r="BL291" i="11"/>
  <c r="BK291" i="11"/>
  <c r="BJ291" i="11"/>
  <c r="BH291" i="11"/>
  <c r="BG291" i="11"/>
  <c r="BI291" i="11" s="1"/>
  <c r="BE291" i="11"/>
  <c r="BD291" i="11"/>
  <c r="BF291" i="11" s="1"/>
  <c r="BC291" i="11"/>
  <c r="BB291" i="11"/>
  <c r="BA291" i="11"/>
  <c r="AY291" i="11"/>
  <c r="AX291" i="11"/>
  <c r="AZ291" i="11" s="1"/>
  <c r="AW291" i="11"/>
  <c r="AV291" i="11"/>
  <c r="AU291" i="11"/>
  <c r="AT291" i="11"/>
  <c r="BR290" i="11"/>
  <c r="BQ290" i="11"/>
  <c r="BP290" i="11"/>
  <c r="BN290" i="11"/>
  <c r="BM290" i="11"/>
  <c r="BL290" i="11"/>
  <c r="BK290" i="11"/>
  <c r="BJ290" i="11"/>
  <c r="BH290" i="11"/>
  <c r="BG290" i="11"/>
  <c r="BI290" i="11" s="1"/>
  <c r="BE290" i="11"/>
  <c r="BF290" i="11" s="1"/>
  <c r="BD290" i="11"/>
  <c r="BC290" i="11"/>
  <c r="BB290" i="11"/>
  <c r="BA290" i="11"/>
  <c r="AY290" i="11"/>
  <c r="AX290" i="11"/>
  <c r="AZ290" i="11" s="1"/>
  <c r="AW290" i="11"/>
  <c r="AV290" i="11"/>
  <c r="AU290" i="11"/>
  <c r="AT290" i="11"/>
  <c r="BR289" i="11"/>
  <c r="BQ289" i="11"/>
  <c r="BP289" i="11"/>
  <c r="BN289" i="11"/>
  <c r="BM289" i="11"/>
  <c r="BL289" i="11"/>
  <c r="BK289" i="11"/>
  <c r="BJ289" i="11"/>
  <c r="BI289" i="11"/>
  <c r="BH289" i="11"/>
  <c r="BG289" i="11"/>
  <c r="BE289" i="11"/>
  <c r="BD289" i="11"/>
  <c r="BF289" i="11" s="1"/>
  <c r="BB289" i="11"/>
  <c r="BC289" i="11" s="1"/>
  <c r="BA289" i="11"/>
  <c r="AY289" i="11"/>
  <c r="AX289" i="11"/>
  <c r="AZ289" i="11" s="1"/>
  <c r="AW289" i="11"/>
  <c r="AV289" i="11"/>
  <c r="AU289" i="11"/>
  <c r="AT289" i="11"/>
  <c r="BR288" i="11"/>
  <c r="BQ288" i="11"/>
  <c r="BP288" i="11"/>
  <c r="BN288" i="11"/>
  <c r="BM288" i="11"/>
  <c r="BL288" i="11"/>
  <c r="BK288" i="11"/>
  <c r="BJ288" i="11"/>
  <c r="BI288" i="11"/>
  <c r="BH288" i="11"/>
  <c r="BG288" i="11"/>
  <c r="BE288" i="11"/>
  <c r="BD288" i="11"/>
  <c r="BF288" i="11" s="1"/>
  <c r="BB288" i="11"/>
  <c r="BC288" i="11" s="1"/>
  <c r="BA288" i="11"/>
  <c r="AY288" i="11"/>
  <c r="AX288" i="11"/>
  <c r="AZ288" i="11" s="1"/>
  <c r="AW288" i="11"/>
  <c r="AV288" i="11"/>
  <c r="AU288" i="11"/>
  <c r="AT288" i="11"/>
  <c r="BR287" i="11"/>
  <c r="BQ287" i="11"/>
  <c r="BP287" i="11"/>
  <c r="BN287" i="11"/>
  <c r="BM287" i="11"/>
  <c r="BL287" i="11"/>
  <c r="BK287" i="11"/>
  <c r="BJ287" i="11"/>
  <c r="BH287" i="11"/>
  <c r="BG287" i="11"/>
  <c r="BI287" i="11" s="1"/>
  <c r="BE287" i="11"/>
  <c r="BD287" i="11"/>
  <c r="BF287" i="11" s="1"/>
  <c r="BB287" i="11"/>
  <c r="BC287" i="11" s="1"/>
  <c r="BA287" i="11"/>
  <c r="AY287" i="11"/>
  <c r="AX287" i="11"/>
  <c r="AZ287" i="11" s="1"/>
  <c r="AW287" i="11"/>
  <c r="AV287" i="11"/>
  <c r="AU287" i="11"/>
  <c r="AT287" i="11"/>
  <c r="BR286" i="11"/>
  <c r="BQ286" i="11"/>
  <c r="BP286" i="11"/>
  <c r="BN286" i="11"/>
  <c r="BM286" i="11"/>
  <c r="BL286" i="11"/>
  <c r="BK286" i="11"/>
  <c r="BJ286" i="11"/>
  <c r="BI286" i="11"/>
  <c r="BH286" i="11"/>
  <c r="BG286" i="11"/>
  <c r="BF286" i="11"/>
  <c r="BE286" i="11"/>
  <c r="BD286" i="11"/>
  <c r="BC286" i="11"/>
  <c r="BB286" i="11"/>
  <c r="BA286" i="11"/>
  <c r="AY286" i="11"/>
  <c r="AX286" i="11"/>
  <c r="AZ286" i="11" s="1"/>
  <c r="AW286" i="11"/>
  <c r="AV286" i="11"/>
  <c r="AU286" i="11"/>
  <c r="AT286" i="11"/>
  <c r="BR285" i="11"/>
  <c r="BQ285" i="11"/>
  <c r="BP285" i="11"/>
  <c r="BN285" i="11"/>
  <c r="BM285" i="11"/>
  <c r="BL285" i="11"/>
  <c r="BK285" i="11"/>
  <c r="BJ285" i="11"/>
  <c r="BH285" i="11"/>
  <c r="BG285" i="11"/>
  <c r="BI285" i="11" s="1"/>
  <c r="BF285" i="11"/>
  <c r="BE285" i="11"/>
  <c r="BD285" i="11"/>
  <c r="BB285" i="11"/>
  <c r="BC285" i="11" s="1"/>
  <c r="BA285" i="11"/>
  <c r="AY285" i="11"/>
  <c r="AX285" i="11"/>
  <c r="AZ285" i="11" s="1"/>
  <c r="AW285" i="11"/>
  <c r="AV285" i="11"/>
  <c r="AU285" i="11"/>
  <c r="AT285" i="11"/>
  <c r="BR284" i="11"/>
  <c r="BQ284" i="11"/>
  <c r="BP284" i="11"/>
  <c r="BN284" i="11"/>
  <c r="BM284" i="11"/>
  <c r="BL284" i="11"/>
  <c r="BK284" i="11"/>
  <c r="BJ284" i="11"/>
  <c r="BH284" i="11"/>
  <c r="BI284" i="11" s="1"/>
  <c r="BG284" i="11"/>
  <c r="BF284" i="11"/>
  <c r="BE284" i="11"/>
  <c r="BD284" i="11"/>
  <c r="BC284" i="11"/>
  <c r="BB284" i="11"/>
  <c r="BA284" i="11"/>
  <c r="AY284" i="11"/>
  <c r="AX284" i="11"/>
  <c r="AZ284" i="11" s="1"/>
  <c r="AW284" i="11"/>
  <c r="AV284" i="11"/>
  <c r="AU284" i="11"/>
  <c r="AT284" i="11"/>
  <c r="BR283" i="11"/>
  <c r="BQ283" i="11"/>
  <c r="BP283" i="11"/>
  <c r="BN283" i="11"/>
  <c r="BM283" i="11"/>
  <c r="BL283" i="11"/>
  <c r="BK283" i="11"/>
  <c r="BJ283" i="11"/>
  <c r="BH283" i="11"/>
  <c r="BG283" i="11"/>
  <c r="BI283" i="11" s="1"/>
  <c r="BE283" i="11"/>
  <c r="BD283" i="11"/>
  <c r="BF283" i="11" s="1"/>
  <c r="BC283" i="11"/>
  <c r="BB283" i="11"/>
  <c r="BA283" i="11"/>
  <c r="AY283" i="11"/>
  <c r="AX283" i="11"/>
  <c r="AZ283" i="11" s="1"/>
  <c r="AW283" i="11"/>
  <c r="AV283" i="11"/>
  <c r="AU283" i="11"/>
  <c r="AT283" i="11"/>
  <c r="BR282" i="11"/>
  <c r="BQ282" i="11"/>
  <c r="BP282" i="11"/>
  <c r="BN282" i="11"/>
  <c r="BM282" i="11"/>
  <c r="BL282" i="11"/>
  <c r="BK282" i="11"/>
  <c r="BJ282" i="11"/>
  <c r="BH282" i="11"/>
  <c r="BG282" i="11"/>
  <c r="BI282" i="11" s="1"/>
  <c r="BF282" i="11"/>
  <c r="BE282" i="11"/>
  <c r="BD282" i="11"/>
  <c r="BC282" i="11"/>
  <c r="BB282" i="11"/>
  <c r="BA282" i="11"/>
  <c r="AY282" i="11"/>
  <c r="AX282" i="11"/>
  <c r="AZ282" i="11" s="1"/>
  <c r="AW282" i="11"/>
  <c r="AV282" i="11"/>
  <c r="AU282" i="11"/>
  <c r="AT282" i="11"/>
  <c r="BR281" i="11"/>
  <c r="BQ281" i="11"/>
  <c r="BP281" i="11"/>
  <c r="BN281" i="11"/>
  <c r="BM281" i="11"/>
  <c r="BL281" i="11"/>
  <c r="BK281" i="11"/>
  <c r="BJ281" i="11"/>
  <c r="BI281" i="11"/>
  <c r="BH281" i="11"/>
  <c r="BG281" i="11"/>
  <c r="BE281" i="11"/>
  <c r="BF281" i="11" s="1"/>
  <c r="BD281" i="11"/>
  <c r="BC281" i="11"/>
  <c r="BB281" i="11"/>
  <c r="BA281" i="11"/>
  <c r="AY281" i="11"/>
  <c r="AX281" i="11"/>
  <c r="AZ281" i="11" s="1"/>
  <c r="AW281" i="11"/>
  <c r="AV281" i="11"/>
  <c r="AU281" i="11"/>
  <c r="AT281" i="11"/>
  <c r="BR280" i="11"/>
  <c r="BQ280" i="11"/>
  <c r="BP280" i="11"/>
  <c r="BN280" i="11"/>
  <c r="BM280" i="11"/>
  <c r="BL280" i="11"/>
  <c r="BK280" i="11"/>
  <c r="BJ280" i="11"/>
  <c r="BH280" i="11"/>
  <c r="BI280" i="11" s="1"/>
  <c r="BG280" i="11"/>
  <c r="BE280" i="11"/>
  <c r="BD280" i="11"/>
  <c r="BF280" i="11" s="1"/>
  <c r="BB280" i="11"/>
  <c r="BC280" i="11" s="1"/>
  <c r="BA280" i="11"/>
  <c r="AY280" i="11"/>
  <c r="AX280" i="11"/>
  <c r="AZ280" i="11" s="1"/>
  <c r="AW280" i="11"/>
  <c r="AV280" i="11"/>
  <c r="AU280" i="11"/>
  <c r="AT280" i="11"/>
  <c r="BR279" i="11"/>
  <c r="BQ279" i="11"/>
  <c r="BP279" i="11"/>
  <c r="BN279" i="11"/>
  <c r="BM279" i="11"/>
  <c r="BL279" i="11"/>
  <c r="BK279" i="11"/>
  <c r="BJ279" i="11"/>
  <c r="BH279" i="11"/>
  <c r="BG279" i="11"/>
  <c r="BF279" i="11"/>
  <c r="BE279" i="11"/>
  <c r="BD279" i="11"/>
  <c r="BB279" i="11"/>
  <c r="BC279" i="11" s="1"/>
  <c r="BA279" i="11"/>
  <c r="AY279" i="11"/>
  <c r="AX279" i="11"/>
  <c r="AZ279" i="11" s="1"/>
  <c r="AW279" i="11"/>
  <c r="AV279" i="11"/>
  <c r="AU279" i="11"/>
  <c r="AT279" i="11"/>
  <c r="BR278" i="11"/>
  <c r="BQ278" i="11"/>
  <c r="BP278" i="11"/>
  <c r="BN278" i="11"/>
  <c r="BM278" i="11"/>
  <c r="BL278" i="11"/>
  <c r="BK278" i="11"/>
  <c r="BJ278" i="11"/>
  <c r="BH278" i="11"/>
  <c r="BG278" i="11"/>
  <c r="BI278" i="11" s="1"/>
  <c r="BE278" i="11"/>
  <c r="BF278" i="11" s="1"/>
  <c r="BD278" i="11"/>
  <c r="BB278" i="11"/>
  <c r="BC278" i="11" s="1"/>
  <c r="BA278" i="11"/>
  <c r="AY278" i="11"/>
  <c r="AX278" i="11"/>
  <c r="AZ278" i="11" s="1"/>
  <c r="AW278" i="11"/>
  <c r="AV278" i="11"/>
  <c r="AU278" i="11"/>
  <c r="AT278" i="11"/>
  <c r="BR277" i="11"/>
  <c r="BQ277" i="11"/>
  <c r="BP277" i="11"/>
  <c r="BN277" i="11"/>
  <c r="BM277" i="11"/>
  <c r="BL277" i="11"/>
  <c r="BK277" i="11"/>
  <c r="BJ277" i="11"/>
  <c r="BI277" i="11"/>
  <c r="BH277" i="11"/>
  <c r="BG277" i="11"/>
  <c r="BE277" i="11"/>
  <c r="BD277" i="11"/>
  <c r="BC277" i="11"/>
  <c r="BB277" i="11"/>
  <c r="BA277" i="11"/>
  <c r="AY277" i="11"/>
  <c r="AX277" i="11"/>
  <c r="AZ277" i="11" s="1"/>
  <c r="AW277" i="11"/>
  <c r="AV277" i="11"/>
  <c r="AU277" i="11"/>
  <c r="AT277" i="11"/>
  <c r="BR276" i="11"/>
  <c r="BQ276" i="11"/>
  <c r="BP276" i="11"/>
  <c r="BN276" i="11"/>
  <c r="BM276" i="11"/>
  <c r="BL276" i="11"/>
  <c r="BK276" i="11"/>
  <c r="BJ276" i="11"/>
  <c r="BH276" i="11"/>
  <c r="BI276" i="11" s="1"/>
  <c r="BG276" i="11"/>
  <c r="BE276" i="11"/>
  <c r="BD276" i="11"/>
  <c r="BC276" i="11"/>
  <c r="BB276" i="11"/>
  <c r="BA276" i="11"/>
  <c r="AY276" i="11"/>
  <c r="AX276" i="11"/>
  <c r="AZ276" i="11" s="1"/>
  <c r="AW276" i="11"/>
  <c r="AV276" i="11"/>
  <c r="AU276" i="11"/>
  <c r="AT276" i="11"/>
  <c r="BR275" i="11"/>
  <c r="BQ275" i="11"/>
  <c r="BP275" i="11"/>
  <c r="BN275" i="11"/>
  <c r="BM275" i="11"/>
  <c r="BL275" i="11"/>
  <c r="BK275" i="11"/>
  <c r="BJ275" i="11"/>
  <c r="BH275" i="11"/>
  <c r="BI275" i="11" s="1"/>
  <c r="BG275" i="11"/>
  <c r="BE275" i="11"/>
  <c r="BD275" i="11"/>
  <c r="BF275" i="11" s="1"/>
  <c r="BC275" i="11"/>
  <c r="BB275" i="11"/>
  <c r="BA275" i="11"/>
  <c r="AY275" i="11"/>
  <c r="AX275" i="11"/>
  <c r="AZ275" i="11" s="1"/>
  <c r="AW275" i="11"/>
  <c r="AV275" i="11"/>
  <c r="AU275" i="11"/>
  <c r="AT275" i="11"/>
  <c r="BR274" i="11"/>
  <c r="BQ274" i="11"/>
  <c r="BP274" i="11"/>
  <c r="BN274" i="11"/>
  <c r="BM274" i="11"/>
  <c r="BL274" i="11"/>
  <c r="BK274" i="11"/>
  <c r="BJ274" i="11"/>
  <c r="BH274" i="11"/>
  <c r="BG274" i="11"/>
  <c r="BI274" i="11" s="1"/>
  <c r="BF274" i="11"/>
  <c r="BE274" i="11"/>
  <c r="BD274" i="11"/>
  <c r="BC274" i="11"/>
  <c r="BB274" i="11"/>
  <c r="BA274" i="11"/>
  <c r="AY274" i="11"/>
  <c r="AX274" i="11"/>
  <c r="AZ274" i="11" s="1"/>
  <c r="AW274" i="11"/>
  <c r="AV274" i="11"/>
  <c r="AU274" i="11"/>
  <c r="AT274" i="11"/>
  <c r="BR273" i="11"/>
  <c r="BQ273" i="11"/>
  <c r="BP273" i="11"/>
  <c r="BN273" i="11"/>
  <c r="BM273" i="11"/>
  <c r="BL273" i="11"/>
  <c r="BK273" i="11"/>
  <c r="BJ273" i="11"/>
  <c r="BI273" i="11"/>
  <c r="BH273" i="11"/>
  <c r="BG273" i="11"/>
  <c r="BE273" i="11"/>
  <c r="BF273" i="11" s="1"/>
  <c r="BD273" i="11"/>
  <c r="BB273" i="11"/>
  <c r="BC273" i="11" s="1"/>
  <c r="BA273" i="11"/>
  <c r="AY273" i="11"/>
  <c r="AX273" i="11"/>
  <c r="AZ273" i="11" s="1"/>
  <c r="AW273" i="11"/>
  <c r="AV273" i="11"/>
  <c r="AU273" i="11"/>
  <c r="AT273" i="11"/>
  <c r="BR272" i="11"/>
  <c r="BQ272" i="11"/>
  <c r="BP272" i="11"/>
  <c r="BN272" i="11"/>
  <c r="BM272" i="11"/>
  <c r="BL272" i="11"/>
  <c r="BK272" i="11"/>
  <c r="BJ272" i="11"/>
  <c r="BH272" i="11"/>
  <c r="BG272" i="11"/>
  <c r="BI272" i="11" s="1"/>
  <c r="BE272" i="11"/>
  <c r="BD272" i="11"/>
  <c r="BF272" i="11" s="1"/>
  <c r="BC272" i="11"/>
  <c r="BB272" i="11"/>
  <c r="BA272" i="11"/>
  <c r="AY272" i="11"/>
  <c r="AX272" i="11"/>
  <c r="AZ272" i="11" s="1"/>
  <c r="AW272" i="11"/>
  <c r="AV272" i="11"/>
  <c r="AU272" i="11"/>
  <c r="AT272" i="11"/>
  <c r="BR271" i="11"/>
  <c r="BQ271" i="11"/>
  <c r="BP271" i="11"/>
  <c r="BN271" i="11"/>
  <c r="BM271" i="11"/>
  <c r="BL271" i="11"/>
  <c r="BK271" i="11"/>
  <c r="BJ271" i="11"/>
  <c r="BH271" i="11"/>
  <c r="BG271" i="11"/>
  <c r="BF271" i="11"/>
  <c r="BE271" i="11"/>
  <c r="BD271" i="11"/>
  <c r="BC271" i="11"/>
  <c r="BB271" i="11"/>
  <c r="BA271" i="11"/>
  <c r="AY271" i="11"/>
  <c r="AX271" i="11"/>
  <c r="AZ271" i="11" s="1"/>
  <c r="AW271" i="11"/>
  <c r="AV271" i="11"/>
  <c r="AU271" i="11"/>
  <c r="AT271" i="11"/>
  <c r="BR270" i="11"/>
  <c r="BQ270" i="11"/>
  <c r="BP270" i="11"/>
  <c r="BN270" i="11"/>
  <c r="BM270" i="11"/>
  <c r="BL270" i="11"/>
  <c r="BK270" i="11"/>
  <c r="BJ270" i="11"/>
  <c r="BH270" i="11"/>
  <c r="BG270" i="11"/>
  <c r="BI270" i="11" s="1"/>
  <c r="BF270" i="11"/>
  <c r="BE270" i="11"/>
  <c r="BD270" i="11"/>
  <c r="BC270" i="11"/>
  <c r="BB270" i="11"/>
  <c r="BA270" i="11"/>
  <c r="AY270" i="11"/>
  <c r="AX270" i="11"/>
  <c r="AZ270" i="11" s="1"/>
  <c r="AW270" i="11"/>
  <c r="AV270" i="11"/>
  <c r="AU270" i="11"/>
  <c r="AT270" i="11"/>
  <c r="BR269" i="11"/>
  <c r="BQ269" i="11"/>
  <c r="BP269" i="11"/>
  <c r="BN269" i="11"/>
  <c r="BM269" i="11"/>
  <c r="BL269" i="11"/>
  <c r="BK269" i="11"/>
  <c r="BJ269" i="11"/>
  <c r="BI269" i="11"/>
  <c r="BH269" i="11"/>
  <c r="BG269" i="11"/>
  <c r="BE269" i="11"/>
  <c r="BD269" i="11"/>
  <c r="BF269" i="11" s="1"/>
  <c r="BB269" i="11"/>
  <c r="BC269" i="11" s="1"/>
  <c r="BA269" i="11"/>
  <c r="AY269" i="11"/>
  <c r="AX269" i="11"/>
  <c r="AZ269" i="11" s="1"/>
  <c r="AW269" i="11"/>
  <c r="AV269" i="11"/>
  <c r="AU269" i="11"/>
  <c r="AT269" i="11"/>
  <c r="BR268" i="11"/>
  <c r="BQ268" i="11"/>
  <c r="BP268" i="11"/>
  <c r="BN268" i="11"/>
  <c r="BM268" i="11"/>
  <c r="BL268" i="11"/>
  <c r="BK268" i="11"/>
  <c r="BJ268" i="11"/>
  <c r="BI268" i="11"/>
  <c r="BH268" i="11"/>
  <c r="BG268" i="11"/>
  <c r="BE268" i="11"/>
  <c r="BD268" i="11"/>
  <c r="BC268" i="11"/>
  <c r="BB268" i="11"/>
  <c r="BA268" i="11"/>
  <c r="AY268" i="11"/>
  <c r="AX268" i="11"/>
  <c r="AZ268" i="11" s="1"/>
  <c r="AW268" i="11"/>
  <c r="AV268" i="11"/>
  <c r="AU268" i="11"/>
  <c r="AT268" i="11"/>
  <c r="BR267" i="11"/>
  <c r="BQ267" i="11"/>
  <c r="BP267" i="11"/>
  <c r="BN267" i="11"/>
  <c r="BM267" i="11"/>
  <c r="BL267" i="11"/>
  <c r="BK267" i="11"/>
  <c r="BJ267" i="11"/>
  <c r="BH267" i="11"/>
  <c r="BG267" i="11"/>
  <c r="BI267" i="11" s="1"/>
  <c r="BF267" i="11"/>
  <c r="BE267" i="11"/>
  <c r="BD267" i="11"/>
  <c r="BC267" i="11"/>
  <c r="BB267" i="11"/>
  <c r="BA267" i="11"/>
  <c r="AY267" i="11"/>
  <c r="AX267" i="11"/>
  <c r="AZ267" i="11" s="1"/>
  <c r="AW267" i="11"/>
  <c r="AV267" i="11"/>
  <c r="AU267" i="11"/>
  <c r="AT267" i="11"/>
  <c r="BR266" i="11"/>
  <c r="BQ266" i="11"/>
  <c r="BP266" i="11"/>
  <c r="BN266" i="11"/>
  <c r="BM266" i="11"/>
  <c r="BL266" i="11"/>
  <c r="BK266" i="11"/>
  <c r="BJ266" i="11"/>
  <c r="BH266" i="11"/>
  <c r="BG266" i="11"/>
  <c r="BI266" i="11" s="1"/>
  <c r="BE266" i="11"/>
  <c r="BD266" i="11"/>
  <c r="BF266" i="11" s="1"/>
  <c r="BC266" i="11"/>
  <c r="BB266" i="11"/>
  <c r="BA266" i="11"/>
  <c r="AY266" i="11"/>
  <c r="AX266" i="11"/>
  <c r="AZ266" i="11" s="1"/>
  <c r="AW266" i="11"/>
  <c r="AV266" i="11"/>
  <c r="AU266" i="11"/>
  <c r="AT266" i="11"/>
  <c r="BR265" i="11"/>
  <c r="BQ265" i="11"/>
  <c r="BP265" i="11"/>
  <c r="BN265" i="11"/>
  <c r="BM265" i="11"/>
  <c r="BL265" i="11"/>
  <c r="BK265" i="11"/>
  <c r="BJ265" i="11"/>
  <c r="BI265" i="11"/>
  <c r="BH265" i="11"/>
  <c r="BG265" i="11"/>
  <c r="BF265" i="11"/>
  <c r="BE265" i="11"/>
  <c r="BD265" i="11"/>
  <c r="BC265" i="11"/>
  <c r="BB265" i="11"/>
  <c r="BA265" i="11"/>
  <c r="AY265" i="11"/>
  <c r="AX265" i="11"/>
  <c r="AZ265" i="11" s="1"/>
  <c r="AW265" i="11"/>
  <c r="AV265" i="11"/>
  <c r="AU265" i="11"/>
  <c r="AT265" i="11"/>
  <c r="BR264" i="11"/>
  <c r="BQ264" i="11"/>
  <c r="BP264" i="11"/>
  <c r="BN264" i="11"/>
  <c r="BM264" i="11"/>
  <c r="BL264" i="11"/>
  <c r="BK264" i="11"/>
  <c r="BJ264" i="11"/>
  <c r="BI264" i="11"/>
  <c r="BH264" i="11"/>
  <c r="BG264" i="11"/>
  <c r="BE264" i="11"/>
  <c r="BD264" i="11"/>
  <c r="BF264" i="11" s="1"/>
  <c r="BB264" i="11"/>
  <c r="BC264" i="11" s="1"/>
  <c r="BA264" i="11"/>
  <c r="AY264" i="11"/>
  <c r="AX264" i="11"/>
  <c r="AZ264" i="11" s="1"/>
  <c r="AW264" i="11"/>
  <c r="AV264" i="11"/>
  <c r="AU264" i="11"/>
  <c r="AT264" i="11"/>
  <c r="BR263" i="11"/>
  <c r="BQ263" i="11"/>
  <c r="BP263" i="11"/>
  <c r="BN263" i="11"/>
  <c r="BM263" i="11"/>
  <c r="BL263" i="11"/>
  <c r="BK263" i="11"/>
  <c r="BJ263" i="11"/>
  <c r="BH263" i="11"/>
  <c r="BG263" i="11"/>
  <c r="BE263" i="11"/>
  <c r="BD263" i="11"/>
  <c r="BF263" i="11" s="1"/>
  <c r="BB263" i="11"/>
  <c r="BC263" i="11" s="1"/>
  <c r="BA263" i="11"/>
  <c r="AY263" i="11"/>
  <c r="AX263" i="11"/>
  <c r="AZ263" i="11" s="1"/>
  <c r="AW263" i="11"/>
  <c r="AV263" i="11"/>
  <c r="AU263" i="11"/>
  <c r="AT263" i="11"/>
  <c r="BR262" i="11"/>
  <c r="BQ262" i="11"/>
  <c r="BP262" i="11"/>
  <c r="BN262" i="11"/>
  <c r="BM262" i="11"/>
  <c r="BL262" i="11"/>
  <c r="BK262" i="11"/>
  <c r="BJ262" i="11"/>
  <c r="BH262" i="11"/>
  <c r="BG262" i="11"/>
  <c r="BI262" i="11" s="1"/>
  <c r="BF262" i="11"/>
  <c r="BE262" i="11"/>
  <c r="BD262" i="11"/>
  <c r="BC262" i="11"/>
  <c r="BB262" i="11"/>
  <c r="BA262" i="11"/>
  <c r="AY262" i="11"/>
  <c r="AX262" i="11"/>
  <c r="AZ262" i="11" s="1"/>
  <c r="AW262" i="11"/>
  <c r="AV262" i="11"/>
  <c r="AU262" i="11"/>
  <c r="AT262" i="11"/>
  <c r="BR261" i="11"/>
  <c r="BQ261" i="11"/>
  <c r="BP261" i="11"/>
  <c r="BN261" i="11"/>
  <c r="BM261" i="11"/>
  <c r="BL261" i="11"/>
  <c r="BK261" i="11"/>
  <c r="BJ261" i="11"/>
  <c r="BI261" i="11"/>
  <c r="BH261" i="11"/>
  <c r="BG261" i="11"/>
  <c r="BF261" i="11"/>
  <c r="BE261" i="11"/>
  <c r="BD261" i="11"/>
  <c r="BB261" i="11"/>
  <c r="BC261" i="11" s="1"/>
  <c r="BA261" i="11"/>
  <c r="AY261" i="11"/>
  <c r="AX261" i="11"/>
  <c r="AZ261" i="11" s="1"/>
  <c r="AW261" i="11"/>
  <c r="AV261" i="11"/>
  <c r="AU261" i="11"/>
  <c r="AT261" i="11"/>
  <c r="BR260" i="11"/>
  <c r="BQ260" i="11"/>
  <c r="BP260" i="11"/>
  <c r="BN260" i="11"/>
  <c r="BM260" i="11"/>
  <c r="BL260" i="11"/>
  <c r="BK260" i="11"/>
  <c r="BJ260" i="11"/>
  <c r="BH260" i="11"/>
  <c r="BG260" i="11"/>
  <c r="BI260" i="11" s="1"/>
  <c r="BE260" i="11"/>
  <c r="BD260" i="11"/>
  <c r="BF260" i="11" s="1"/>
  <c r="BC260" i="11"/>
  <c r="BB260" i="11"/>
  <c r="BA260" i="11"/>
  <c r="AY260" i="11"/>
  <c r="AX260" i="11"/>
  <c r="AZ260" i="11" s="1"/>
  <c r="AW260" i="11"/>
  <c r="AV260" i="11"/>
  <c r="AU260" i="11"/>
  <c r="AT260" i="11"/>
  <c r="BR259" i="11"/>
  <c r="BQ259" i="11"/>
  <c r="BP259" i="11"/>
  <c r="BN259" i="11"/>
  <c r="BM259" i="11"/>
  <c r="BL259" i="11"/>
  <c r="BK259" i="11"/>
  <c r="BJ259" i="11"/>
  <c r="BI259" i="11"/>
  <c r="BH259" i="11"/>
  <c r="BG259" i="11"/>
  <c r="BF259" i="11"/>
  <c r="BE259" i="11"/>
  <c r="BD259" i="11"/>
  <c r="BC259" i="11"/>
  <c r="BB259" i="11"/>
  <c r="BA259" i="11"/>
  <c r="AY259" i="11"/>
  <c r="AX259" i="11"/>
  <c r="AZ259" i="11" s="1"/>
  <c r="AW259" i="11"/>
  <c r="AV259" i="11"/>
  <c r="AU259" i="11"/>
  <c r="AT259" i="11"/>
  <c r="BR258" i="11"/>
  <c r="BQ258" i="11"/>
  <c r="BP258" i="11"/>
  <c r="BN258" i="11"/>
  <c r="BM258" i="11"/>
  <c r="BL258" i="11"/>
  <c r="BK258" i="11"/>
  <c r="BJ258" i="11"/>
  <c r="BH258" i="11"/>
  <c r="BI258" i="11" s="1"/>
  <c r="BG258" i="11"/>
  <c r="BF258" i="11"/>
  <c r="BE258" i="11"/>
  <c r="BD258" i="11"/>
  <c r="BB258" i="11"/>
  <c r="BC258" i="11" s="1"/>
  <c r="BA258" i="11"/>
  <c r="AY258" i="11"/>
  <c r="AX258" i="11"/>
  <c r="AZ258" i="11" s="1"/>
  <c r="AW258" i="11"/>
  <c r="AV258" i="11"/>
  <c r="AU258" i="11"/>
  <c r="AT258" i="11"/>
  <c r="BR257" i="11"/>
  <c r="BQ257" i="11"/>
  <c r="BP257" i="11"/>
  <c r="BN257" i="11"/>
  <c r="BM257" i="11"/>
  <c r="BL257" i="11"/>
  <c r="BK257" i="11"/>
  <c r="BJ257" i="11"/>
  <c r="BH257" i="11"/>
  <c r="BG257" i="11"/>
  <c r="BI257" i="11" s="1"/>
  <c r="BE257" i="11"/>
  <c r="BD257" i="11"/>
  <c r="BF257" i="11" s="1"/>
  <c r="BC257" i="11"/>
  <c r="BB257" i="11"/>
  <c r="BA257" i="11"/>
  <c r="AY257" i="11"/>
  <c r="AX257" i="11"/>
  <c r="AZ257" i="11" s="1"/>
  <c r="AW257" i="11"/>
  <c r="AV257" i="11"/>
  <c r="AU257" i="11"/>
  <c r="AT257" i="11"/>
  <c r="BR256" i="11"/>
  <c r="BQ256" i="11"/>
  <c r="BP256" i="11"/>
  <c r="BN256" i="11"/>
  <c r="BM256" i="11"/>
  <c r="BL256" i="11"/>
  <c r="BK256" i="11"/>
  <c r="BJ256" i="11"/>
  <c r="BH256" i="11"/>
  <c r="BG256" i="11"/>
  <c r="BI256" i="11" s="1"/>
  <c r="BF256" i="11"/>
  <c r="BE256" i="11"/>
  <c r="BD256" i="11"/>
  <c r="BC256" i="11"/>
  <c r="BB256" i="11"/>
  <c r="BA256" i="11"/>
  <c r="AY256" i="11"/>
  <c r="AX256" i="11"/>
  <c r="AZ256" i="11" s="1"/>
  <c r="AW256" i="11"/>
  <c r="AV256" i="11"/>
  <c r="AU256" i="11"/>
  <c r="AT256" i="11"/>
  <c r="BR255" i="11"/>
  <c r="BQ255" i="11"/>
  <c r="BP255" i="11"/>
  <c r="BN255" i="11"/>
  <c r="BM255" i="11"/>
  <c r="BL255" i="11"/>
  <c r="BK255" i="11"/>
  <c r="BJ255" i="11"/>
  <c r="BH255" i="11"/>
  <c r="BG255" i="11"/>
  <c r="BE255" i="11"/>
  <c r="BD255" i="11"/>
  <c r="BF255" i="11" s="1"/>
  <c r="BB255" i="11"/>
  <c r="BC255" i="11" s="1"/>
  <c r="BA255" i="11"/>
  <c r="AY255" i="11"/>
  <c r="AX255" i="11"/>
  <c r="AZ255" i="11" s="1"/>
  <c r="AW255" i="11"/>
  <c r="AV255" i="11"/>
  <c r="AU255" i="11"/>
  <c r="AT255" i="11"/>
  <c r="BR254" i="11"/>
  <c r="BQ254" i="11"/>
  <c r="BP254" i="11"/>
  <c r="BN254" i="11"/>
  <c r="BM254" i="11"/>
  <c r="BL254" i="11"/>
  <c r="BK254" i="11"/>
  <c r="BJ254" i="11"/>
  <c r="BH254" i="11"/>
  <c r="BG254" i="11"/>
  <c r="BI254" i="11" s="1"/>
  <c r="BF254" i="11"/>
  <c r="BE254" i="11"/>
  <c r="BD254" i="11"/>
  <c r="BB254" i="11"/>
  <c r="BC254" i="11" s="1"/>
  <c r="BA254" i="11"/>
  <c r="AY254" i="11"/>
  <c r="AX254" i="11"/>
  <c r="AZ254" i="11" s="1"/>
  <c r="AW254" i="11"/>
  <c r="AV254" i="11"/>
  <c r="AU254" i="11"/>
  <c r="AT254" i="11"/>
  <c r="BR253" i="11"/>
  <c r="BQ253" i="11"/>
  <c r="BP253" i="11"/>
  <c r="BN253" i="11"/>
  <c r="BM253" i="11"/>
  <c r="BL253" i="11"/>
  <c r="BK253" i="11"/>
  <c r="BJ253" i="11"/>
  <c r="BI253" i="11"/>
  <c r="BH253" i="11"/>
  <c r="BG253" i="11"/>
  <c r="BF253" i="11"/>
  <c r="BE253" i="11"/>
  <c r="BD253" i="11"/>
  <c r="BC253" i="11"/>
  <c r="BB253" i="11"/>
  <c r="BA253" i="11"/>
  <c r="AY253" i="11"/>
  <c r="AX253" i="11"/>
  <c r="AZ253" i="11" s="1"/>
  <c r="AW253" i="11"/>
  <c r="AV253" i="11"/>
  <c r="AU253" i="11"/>
  <c r="AT253" i="11"/>
  <c r="BR252" i="11"/>
  <c r="BQ252" i="11"/>
  <c r="BP252" i="11"/>
  <c r="BN252" i="11"/>
  <c r="BM252" i="11"/>
  <c r="BL252" i="11"/>
  <c r="BK252" i="11"/>
  <c r="BJ252" i="11"/>
  <c r="BI252" i="11"/>
  <c r="BH252" i="11"/>
  <c r="BG252" i="11"/>
  <c r="BE252" i="11"/>
  <c r="BD252" i="11"/>
  <c r="BF252" i="11" s="1"/>
  <c r="BC252" i="11"/>
  <c r="BB252" i="11"/>
  <c r="BA252" i="11"/>
  <c r="AY252" i="11"/>
  <c r="AX252" i="11"/>
  <c r="AZ252" i="11" s="1"/>
  <c r="AW252" i="11"/>
  <c r="AV252" i="11"/>
  <c r="AU252" i="11"/>
  <c r="AT252" i="11"/>
  <c r="BR251" i="11"/>
  <c r="BQ251" i="11"/>
  <c r="BP251" i="11"/>
  <c r="BN251" i="11"/>
  <c r="BM251" i="11"/>
  <c r="BL251" i="11"/>
  <c r="BK251" i="11"/>
  <c r="BJ251" i="11"/>
  <c r="BH251" i="11"/>
  <c r="BG251" i="11"/>
  <c r="BI251" i="11" s="1"/>
  <c r="BE251" i="11"/>
  <c r="BD251" i="11"/>
  <c r="BF251" i="11" s="1"/>
  <c r="BC251" i="11"/>
  <c r="BB251" i="11"/>
  <c r="BA251" i="11"/>
  <c r="AY251" i="11"/>
  <c r="AX251" i="11"/>
  <c r="AZ251" i="11" s="1"/>
  <c r="AW251" i="11"/>
  <c r="AV251" i="11"/>
  <c r="AU251" i="11"/>
  <c r="AT251" i="11"/>
  <c r="BR250" i="11"/>
  <c r="BQ250" i="11"/>
  <c r="BP250" i="11"/>
  <c r="BN250" i="11"/>
  <c r="BM250" i="11"/>
  <c r="BL250" i="11"/>
  <c r="BK250" i="11"/>
  <c r="BJ250" i="11"/>
  <c r="BH250" i="11"/>
  <c r="BI250" i="11" s="1"/>
  <c r="BG250" i="11"/>
  <c r="BF250" i="11"/>
  <c r="BE250" i="11"/>
  <c r="BD250" i="11"/>
  <c r="BB250" i="11"/>
  <c r="BC250" i="11" s="1"/>
  <c r="BA250" i="11"/>
  <c r="AY250" i="11"/>
  <c r="AX250" i="11"/>
  <c r="AZ250" i="11" s="1"/>
  <c r="AW250" i="11"/>
  <c r="AV250" i="11"/>
  <c r="AU250" i="11"/>
  <c r="AT250" i="11"/>
  <c r="BR249" i="11"/>
  <c r="BQ249" i="11"/>
  <c r="BP249" i="11"/>
  <c r="BN249" i="11"/>
  <c r="BM249" i="11"/>
  <c r="BL249" i="11"/>
  <c r="BK249" i="11"/>
  <c r="BJ249" i="11"/>
  <c r="BH249" i="11"/>
  <c r="BG249" i="11"/>
  <c r="BI249" i="11" s="1"/>
  <c r="BE249" i="11"/>
  <c r="BF249" i="11" s="1"/>
  <c r="BD249" i="11"/>
  <c r="BB249" i="11"/>
  <c r="BC249" i="11" s="1"/>
  <c r="BA249" i="11"/>
  <c r="AY249" i="11"/>
  <c r="AX249" i="11"/>
  <c r="AZ249" i="11" s="1"/>
  <c r="AW249" i="11"/>
  <c r="AV249" i="11"/>
  <c r="AU249" i="11"/>
  <c r="AT249" i="11"/>
  <c r="BR248" i="11"/>
  <c r="BQ248" i="11"/>
  <c r="BP248" i="11"/>
  <c r="BN248" i="11"/>
  <c r="BM248" i="11"/>
  <c r="BL248" i="11"/>
  <c r="BK248" i="11"/>
  <c r="BJ248" i="11"/>
  <c r="BI248" i="11"/>
  <c r="BH248" i="11"/>
  <c r="BG248" i="11"/>
  <c r="BE248" i="11"/>
  <c r="BF248" i="11" s="1"/>
  <c r="BD248" i="11"/>
  <c r="BB248" i="11"/>
  <c r="BC248" i="11" s="1"/>
  <c r="BA248" i="11"/>
  <c r="AY248" i="11"/>
  <c r="AX248" i="11"/>
  <c r="AZ248" i="11" s="1"/>
  <c r="AW248" i="11"/>
  <c r="AV248" i="11"/>
  <c r="AU248" i="11"/>
  <c r="AT248" i="11"/>
  <c r="BR247" i="11"/>
  <c r="BQ247" i="11"/>
  <c r="BP247" i="11"/>
  <c r="BN247" i="11"/>
  <c r="BM247" i="11"/>
  <c r="BL247" i="11"/>
  <c r="BK247" i="11"/>
  <c r="BJ247" i="11"/>
  <c r="BI247" i="11"/>
  <c r="BH247" i="11"/>
  <c r="BG247" i="11"/>
  <c r="BE247" i="11"/>
  <c r="BD247" i="11"/>
  <c r="BF247" i="11" s="1"/>
  <c r="BC247" i="11"/>
  <c r="BB247" i="11"/>
  <c r="BA247" i="11"/>
  <c r="AY247" i="11"/>
  <c r="AX247" i="11"/>
  <c r="AZ247" i="11" s="1"/>
  <c r="AW247" i="11"/>
  <c r="AV247" i="11"/>
  <c r="AU247" i="11"/>
  <c r="AT247" i="11"/>
  <c r="BR246" i="11"/>
  <c r="BQ246" i="11"/>
  <c r="BP246" i="11"/>
  <c r="BN246" i="11"/>
  <c r="BM246" i="11"/>
  <c r="BL246" i="11"/>
  <c r="BK246" i="11"/>
  <c r="BJ246" i="11"/>
  <c r="BH246" i="11"/>
  <c r="BG246" i="11"/>
  <c r="BI246" i="11" s="1"/>
  <c r="BF246" i="11"/>
  <c r="BE246" i="11"/>
  <c r="BD246" i="11"/>
  <c r="BB246" i="11"/>
  <c r="BC246" i="11" s="1"/>
  <c r="BA246" i="11"/>
  <c r="AY246" i="11"/>
  <c r="AX246" i="11"/>
  <c r="AZ246" i="11" s="1"/>
  <c r="AW246" i="11"/>
  <c r="AV246" i="11"/>
  <c r="AU246" i="11"/>
  <c r="AT246" i="11"/>
  <c r="BR245" i="11"/>
  <c r="BQ245" i="11"/>
  <c r="BP245" i="11"/>
  <c r="BN245" i="11"/>
  <c r="BM245" i="11"/>
  <c r="BL245" i="11"/>
  <c r="BK245" i="11"/>
  <c r="BJ245" i="11"/>
  <c r="BH245" i="11"/>
  <c r="BG245" i="11"/>
  <c r="BI245" i="11" s="1"/>
  <c r="BF245" i="11"/>
  <c r="BE245" i="11"/>
  <c r="BD245" i="11"/>
  <c r="BC245" i="11"/>
  <c r="BB245" i="11"/>
  <c r="BA245" i="11"/>
  <c r="AY245" i="11"/>
  <c r="AX245" i="11"/>
  <c r="AZ245" i="11" s="1"/>
  <c r="AW245" i="11"/>
  <c r="AV245" i="11"/>
  <c r="AU245" i="11"/>
  <c r="AT245" i="11"/>
  <c r="BR244" i="11"/>
  <c r="BQ244" i="11"/>
  <c r="BP244" i="11"/>
  <c r="BN244" i="11"/>
  <c r="BM244" i="11"/>
  <c r="BL244" i="11"/>
  <c r="BK244" i="11"/>
  <c r="BJ244" i="11"/>
  <c r="BI244" i="11"/>
  <c r="BH244" i="11"/>
  <c r="BG244" i="11"/>
  <c r="BF244" i="11"/>
  <c r="BE244" i="11"/>
  <c r="BD244" i="11"/>
  <c r="BB244" i="11"/>
  <c r="BC244" i="11" s="1"/>
  <c r="BA244" i="11"/>
  <c r="AY244" i="11"/>
  <c r="AX244" i="11"/>
  <c r="AZ244" i="11" s="1"/>
  <c r="AW244" i="11"/>
  <c r="AV244" i="11"/>
  <c r="AU244" i="11"/>
  <c r="AT244" i="11"/>
  <c r="BR243" i="11"/>
  <c r="BQ243" i="11"/>
  <c r="BP243" i="11"/>
  <c r="BN243" i="11"/>
  <c r="BM243" i="11"/>
  <c r="BL243" i="11"/>
  <c r="BK243" i="11"/>
  <c r="BJ243" i="11"/>
  <c r="BH243" i="11"/>
  <c r="BG243" i="11"/>
  <c r="BE243" i="11"/>
  <c r="BD243" i="11"/>
  <c r="BF243" i="11" s="1"/>
  <c r="BC243" i="11"/>
  <c r="BB243" i="11"/>
  <c r="BA243" i="11"/>
  <c r="AY243" i="11"/>
  <c r="AX243" i="11"/>
  <c r="AZ243" i="11" s="1"/>
  <c r="AW243" i="11"/>
  <c r="AV243" i="11"/>
  <c r="AU243" i="11"/>
  <c r="AT243" i="11"/>
  <c r="BR242" i="11"/>
  <c r="BQ242" i="11"/>
  <c r="BP242" i="11"/>
  <c r="BN242" i="11"/>
  <c r="BM242" i="11"/>
  <c r="BL242" i="11"/>
  <c r="BK242" i="11"/>
  <c r="BJ242" i="11"/>
  <c r="BH242" i="11"/>
  <c r="BG242" i="11"/>
  <c r="BI242" i="11" s="1"/>
  <c r="BF242" i="11"/>
  <c r="BE242" i="11"/>
  <c r="BD242" i="11"/>
  <c r="BB242" i="11"/>
  <c r="BC242" i="11" s="1"/>
  <c r="BA242" i="11"/>
  <c r="AY242" i="11"/>
  <c r="AX242" i="11"/>
  <c r="AZ242" i="11" s="1"/>
  <c r="AW242" i="11"/>
  <c r="AV242" i="11"/>
  <c r="AU242" i="11"/>
  <c r="AT242" i="11"/>
  <c r="BR241" i="11"/>
  <c r="BQ241" i="11"/>
  <c r="BP241" i="11"/>
  <c r="BN241" i="11"/>
  <c r="BM241" i="11"/>
  <c r="BL241" i="11"/>
  <c r="BK241" i="11"/>
  <c r="BJ241" i="11"/>
  <c r="BI241" i="11"/>
  <c r="BH241" i="11"/>
  <c r="BG241" i="11"/>
  <c r="BE241" i="11"/>
  <c r="BD241" i="11"/>
  <c r="BF241" i="11" s="1"/>
  <c r="BC241" i="11"/>
  <c r="BB241" i="11"/>
  <c r="BA241" i="11"/>
  <c r="AY241" i="11"/>
  <c r="AX241" i="11"/>
  <c r="AZ241" i="11" s="1"/>
  <c r="AW241" i="11"/>
  <c r="AV241" i="11"/>
  <c r="AU241" i="11"/>
  <c r="AT241" i="11"/>
  <c r="BR240" i="11"/>
  <c r="BQ240" i="11"/>
  <c r="BP240" i="11"/>
  <c r="BN240" i="11"/>
  <c r="BM240" i="11"/>
  <c r="BL240" i="11"/>
  <c r="BK240" i="11"/>
  <c r="BJ240" i="11"/>
  <c r="BH240" i="11"/>
  <c r="BI240" i="11" s="1"/>
  <c r="BG240" i="11"/>
  <c r="BE240" i="11"/>
  <c r="BD240" i="11"/>
  <c r="BC240" i="11"/>
  <c r="BB240" i="11"/>
  <c r="BA240" i="11"/>
  <c r="AY240" i="11"/>
  <c r="AX240" i="11"/>
  <c r="AZ240" i="11" s="1"/>
  <c r="AW240" i="11"/>
  <c r="AV240" i="11"/>
  <c r="AU240" i="11"/>
  <c r="AT240" i="11"/>
  <c r="BR239" i="11"/>
  <c r="BQ239" i="11"/>
  <c r="BP239" i="11"/>
  <c r="BN239" i="11"/>
  <c r="BM239" i="11"/>
  <c r="BL239" i="11"/>
  <c r="BK239" i="11"/>
  <c r="BJ239" i="11"/>
  <c r="BI239" i="11"/>
  <c r="BH239" i="11"/>
  <c r="BG239" i="11"/>
  <c r="BE239" i="11"/>
  <c r="BD239" i="11"/>
  <c r="BF239" i="11" s="1"/>
  <c r="BC239" i="11"/>
  <c r="BB239" i="11"/>
  <c r="BA239" i="11"/>
  <c r="AY239" i="11"/>
  <c r="AX239" i="11"/>
  <c r="AZ239" i="11" s="1"/>
  <c r="AW239" i="11"/>
  <c r="AV239" i="11"/>
  <c r="AU239" i="11"/>
  <c r="AT239" i="11"/>
  <c r="BR238" i="11"/>
  <c r="BQ238" i="11"/>
  <c r="BP238" i="11"/>
  <c r="BN238" i="11"/>
  <c r="BM238" i="11"/>
  <c r="BL238" i="11"/>
  <c r="BK238" i="11"/>
  <c r="BJ238" i="11"/>
  <c r="BH238" i="11"/>
  <c r="BG238" i="11"/>
  <c r="BI238" i="11" s="1"/>
  <c r="BF238" i="11"/>
  <c r="BE238" i="11"/>
  <c r="BD238" i="11"/>
  <c r="BB238" i="11"/>
  <c r="BC238" i="11" s="1"/>
  <c r="BA238" i="11"/>
  <c r="AY238" i="11"/>
  <c r="AX238" i="11"/>
  <c r="AZ238" i="11" s="1"/>
  <c r="AW238" i="11"/>
  <c r="AV238" i="11"/>
  <c r="AU238" i="11"/>
  <c r="AT238" i="11"/>
  <c r="BR237" i="11"/>
  <c r="BQ237" i="11"/>
  <c r="BP237" i="11"/>
  <c r="BN237" i="11"/>
  <c r="BM237" i="11"/>
  <c r="BL237" i="11"/>
  <c r="BK237" i="11"/>
  <c r="BJ237" i="11"/>
  <c r="BH237" i="11"/>
  <c r="BG237" i="11"/>
  <c r="BI237" i="11" s="1"/>
  <c r="BF237" i="11"/>
  <c r="BE237" i="11"/>
  <c r="BD237" i="11"/>
  <c r="BB237" i="11"/>
  <c r="BC237" i="11" s="1"/>
  <c r="BA237" i="11"/>
  <c r="AY237" i="11"/>
  <c r="AX237" i="11"/>
  <c r="AZ237" i="11" s="1"/>
  <c r="AW237" i="11"/>
  <c r="AV237" i="11"/>
  <c r="AU237" i="11"/>
  <c r="AT237" i="11"/>
  <c r="BR236" i="11"/>
  <c r="BQ236" i="11"/>
  <c r="BP236" i="11"/>
  <c r="BN236" i="11"/>
  <c r="BM236" i="11"/>
  <c r="BL236" i="11"/>
  <c r="BK236" i="11"/>
  <c r="BJ236" i="11"/>
  <c r="BI236" i="11"/>
  <c r="BH236" i="11"/>
  <c r="BG236" i="11"/>
  <c r="BE236" i="11"/>
  <c r="BD236" i="11"/>
  <c r="BF236" i="11" s="1"/>
  <c r="BC236" i="11"/>
  <c r="BB236" i="11"/>
  <c r="BA236" i="11"/>
  <c r="AY236" i="11"/>
  <c r="AX236" i="11"/>
  <c r="AZ236" i="11" s="1"/>
  <c r="AW236" i="11"/>
  <c r="AV236" i="11"/>
  <c r="AU236" i="11"/>
  <c r="AT236" i="11"/>
  <c r="BR235" i="11"/>
  <c r="BQ235" i="11"/>
  <c r="BP235" i="11"/>
  <c r="BN235" i="11"/>
  <c r="BM235" i="11"/>
  <c r="BL235" i="11"/>
  <c r="BK235" i="11"/>
  <c r="BJ235" i="11"/>
  <c r="BH235" i="11"/>
  <c r="BG235" i="11"/>
  <c r="BI235" i="11" s="1"/>
  <c r="BE235" i="11"/>
  <c r="BD235" i="11"/>
  <c r="BF235" i="11" s="1"/>
  <c r="BC235" i="11"/>
  <c r="BB235" i="11"/>
  <c r="BA235" i="11"/>
  <c r="AY235" i="11"/>
  <c r="AX235" i="11"/>
  <c r="AZ235" i="11" s="1"/>
  <c r="AW235" i="11"/>
  <c r="AV235" i="11"/>
  <c r="AU235" i="11"/>
  <c r="AT235" i="11"/>
  <c r="BR234" i="11"/>
  <c r="BQ234" i="11"/>
  <c r="BP234" i="11"/>
  <c r="BN234" i="11"/>
  <c r="BM234" i="11"/>
  <c r="BL234" i="11"/>
  <c r="BK234" i="11"/>
  <c r="BJ234" i="11"/>
  <c r="BI234" i="11"/>
  <c r="BH234" i="11"/>
  <c r="BG234" i="11"/>
  <c r="BF234" i="11"/>
  <c r="BE234" i="11"/>
  <c r="BD234" i="11"/>
  <c r="BC234" i="11"/>
  <c r="BB234" i="11"/>
  <c r="BA234" i="11"/>
  <c r="AY234" i="11"/>
  <c r="AX234" i="11"/>
  <c r="AZ234" i="11" s="1"/>
  <c r="AW234" i="11"/>
  <c r="AV234" i="11"/>
  <c r="AU234" i="11"/>
  <c r="AT234" i="11"/>
  <c r="BR233" i="11"/>
  <c r="BQ233" i="11"/>
  <c r="BP233" i="11"/>
  <c r="BN233" i="11"/>
  <c r="BM233" i="11"/>
  <c r="BL233" i="11"/>
  <c r="BK233" i="11"/>
  <c r="BJ233" i="11"/>
  <c r="BH233" i="11"/>
  <c r="BI233" i="11" s="1"/>
  <c r="BG233" i="11"/>
  <c r="BF233" i="11"/>
  <c r="BE233" i="11"/>
  <c r="BD233" i="11"/>
  <c r="BB233" i="11"/>
  <c r="BC233" i="11" s="1"/>
  <c r="BA233" i="11"/>
  <c r="AY233" i="11"/>
  <c r="AX233" i="11"/>
  <c r="AZ233" i="11" s="1"/>
  <c r="AW233" i="11"/>
  <c r="AV233" i="11"/>
  <c r="AU233" i="11"/>
  <c r="AT233" i="11"/>
  <c r="BR232" i="11"/>
  <c r="BQ232" i="11"/>
  <c r="BP232" i="11"/>
  <c r="BN232" i="11"/>
  <c r="BM232" i="11"/>
  <c r="BL232" i="11"/>
  <c r="BK232" i="11"/>
  <c r="BJ232" i="11"/>
  <c r="BH232" i="11"/>
  <c r="BG232" i="11"/>
  <c r="BI232" i="11" s="1"/>
  <c r="BE232" i="11"/>
  <c r="BD232" i="11"/>
  <c r="BF232" i="11" s="1"/>
  <c r="BC232" i="11"/>
  <c r="BB232" i="11"/>
  <c r="BA232" i="11"/>
  <c r="AY232" i="11"/>
  <c r="AX232" i="11"/>
  <c r="AZ232" i="11" s="1"/>
  <c r="AW232" i="11"/>
  <c r="AV232" i="11"/>
  <c r="AU232" i="11"/>
  <c r="AT232" i="11"/>
  <c r="BR231" i="11"/>
  <c r="BQ231" i="11"/>
  <c r="BP231" i="11"/>
  <c r="BN231" i="11"/>
  <c r="BM231" i="11"/>
  <c r="BL231" i="11"/>
  <c r="BK231" i="11"/>
  <c r="BJ231" i="11"/>
  <c r="BH231" i="11"/>
  <c r="BG231" i="11"/>
  <c r="BI231" i="11" s="1"/>
  <c r="BE231" i="11"/>
  <c r="BF231" i="11" s="1"/>
  <c r="BD231" i="11"/>
  <c r="BC231" i="11"/>
  <c r="BB231" i="11"/>
  <c r="BA231" i="11"/>
  <c r="AY231" i="11"/>
  <c r="AX231" i="11"/>
  <c r="AZ231" i="11" s="1"/>
  <c r="AW231" i="11"/>
  <c r="AV231" i="11"/>
  <c r="AU231" i="11"/>
  <c r="AT231" i="11"/>
  <c r="BR230" i="11"/>
  <c r="BQ230" i="11"/>
  <c r="BP230" i="11"/>
  <c r="BN230" i="11"/>
  <c r="BM230" i="11"/>
  <c r="BL230" i="11"/>
  <c r="BK230" i="11"/>
  <c r="BJ230" i="11"/>
  <c r="BH230" i="11"/>
  <c r="BG230" i="11"/>
  <c r="BI230" i="11" s="1"/>
  <c r="BE230" i="11"/>
  <c r="BD230" i="11"/>
  <c r="BF230" i="11" s="1"/>
  <c r="BC230" i="11"/>
  <c r="BB230" i="11"/>
  <c r="BA230" i="11"/>
  <c r="AY230" i="11"/>
  <c r="AX230" i="11"/>
  <c r="AZ230" i="11" s="1"/>
  <c r="AW230" i="11"/>
  <c r="AV230" i="11"/>
  <c r="AU230" i="11"/>
  <c r="AT230" i="11"/>
  <c r="BR229" i="11"/>
  <c r="BQ229" i="11"/>
  <c r="BP229" i="11"/>
  <c r="BN229" i="11"/>
  <c r="BM229" i="11"/>
  <c r="BL229" i="11"/>
  <c r="BK229" i="11"/>
  <c r="BJ229" i="11"/>
  <c r="BI229" i="11"/>
  <c r="BH229" i="11"/>
  <c r="BG229" i="11"/>
  <c r="BF229" i="11"/>
  <c r="BE229" i="11"/>
  <c r="BD229" i="11"/>
  <c r="BB229" i="11"/>
  <c r="BC229" i="11" s="1"/>
  <c r="BA229" i="11"/>
  <c r="AY229" i="11"/>
  <c r="AX229" i="11"/>
  <c r="AZ229" i="11" s="1"/>
  <c r="AW229" i="11"/>
  <c r="AV229" i="11"/>
  <c r="AU229" i="11"/>
  <c r="AT229" i="11"/>
  <c r="BR228" i="11"/>
  <c r="BQ228" i="11"/>
  <c r="BP228" i="11"/>
  <c r="BN228" i="11"/>
  <c r="BM228" i="11"/>
  <c r="BL228" i="11"/>
  <c r="BK228" i="11"/>
  <c r="BJ228" i="11"/>
  <c r="BI228" i="11"/>
  <c r="BH228" i="11"/>
  <c r="BG228" i="11"/>
  <c r="BE228" i="11"/>
  <c r="BD228" i="11"/>
  <c r="BF228" i="11" s="1"/>
  <c r="BB228" i="11"/>
  <c r="BC228" i="11" s="1"/>
  <c r="BA228" i="11"/>
  <c r="AY228" i="11"/>
  <c r="AX228" i="11"/>
  <c r="AZ228" i="11" s="1"/>
  <c r="AW228" i="11"/>
  <c r="AV228" i="11"/>
  <c r="AU228" i="11"/>
  <c r="AT228" i="11"/>
  <c r="BR227" i="11"/>
  <c r="BQ227" i="11"/>
  <c r="BP227" i="11"/>
  <c r="BN227" i="11"/>
  <c r="BM227" i="11"/>
  <c r="BL227" i="11"/>
  <c r="BK227" i="11"/>
  <c r="BJ227" i="11"/>
  <c r="BI227" i="11"/>
  <c r="BH227" i="11"/>
  <c r="BG227" i="11"/>
  <c r="BE227" i="11"/>
  <c r="BD227" i="11"/>
  <c r="BF227" i="11" s="1"/>
  <c r="BB227" i="11"/>
  <c r="BC227" i="11" s="1"/>
  <c r="BA227" i="11"/>
  <c r="AY227" i="11"/>
  <c r="AX227" i="11"/>
  <c r="AZ227" i="11" s="1"/>
  <c r="AW227" i="11"/>
  <c r="AV227" i="11"/>
  <c r="AU227" i="11"/>
  <c r="AT227" i="11"/>
  <c r="BR226" i="11"/>
  <c r="BQ226" i="11"/>
  <c r="BP226" i="11"/>
  <c r="BN226" i="11"/>
  <c r="BM226" i="11"/>
  <c r="BL226" i="11"/>
  <c r="BK226" i="11"/>
  <c r="BJ226" i="11"/>
  <c r="BI226" i="11"/>
  <c r="BH226" i="11"/>
  <c r="BG226" i="11"/>
  <c r="BF226" i="11"/>
  <c r="BE226" i="11"/>
  <c r="BD226" i="11"/>
  <c r="BC226" i="11"/>
  <c r="BB226" i="11"/>
  <c r="BA226" i="11"/>
  <c r="AY226" i="11"/>
  <c r="AX226" i="11"/>
  <c r="AZ226" i="11" s="1"/>
  <c r="AW226" i="11"/>
  <c r="AV226" i="11"/>
  <c r="AU226" i="11"/>
  <c r="AT226" i="11"/>
  <c r="BR225" i="11"/>
  <c r="BQ225" i="11"/>
  <c r="BP225" i="11"/>
  <c r="BN225" i="11"/>
  <c r="BM225" i="11"/>
  <c r="BL225" i="11"/>
  <c r="BK225" i="11"/>
  <c r="BJ225" i="11"/>
  <c r="BH225" i="11"/>
  <c r="BI225" i="11" s="1"/>
  <c r="BG225" i="11"/>
  <c r="BF225" i="11"/>
  <c r="BE225" i="11"/>
  <c r="BD225" i="11"/>
  <c r="BB225" i="11"/>
  <c r="BC225" i="11" s="1"/>
  <c r="BA225" i="11"/>
  <c r="AY225" i="11"/>
  <c r="AX225" i="11"/>
  <c r="AZ225" i="11" s="1"/>
  <c r="AW225" i="11"/>
  <c r="AV225" i="11"/>
  <c r="AU225" i="11"/>
  <c r="AT225" i="11"/>
  <c r="BR224" i="11"/>
  <c r="BQ224" i="11"/>
  <c r="BP224" i="11"/>
  <c r="BN224" i="11"/>
  <c r="BM224" i="11"/>
  <c r="BL224" i="11"/>
  <c r="BK224" i="11"/>
  <c r="BJ224" i="11"/>
  <c r="BH224" i="11"/>
  <c r="BG224" i="11"/>
  <c r="BI224" i="11" s="1"/>
  <c r="BF224" i="11"/>
  <c r="BE224" i="11"/>
  <c r="BD224" i="11"/>
  <c r="BB224" i="11"/>
  <c r="BC224" i="11" s="1"/>
  <c r="BA224" i="11"/>
  <c r="AY224" i="11"/>
  <c r="AX224" i="11"/>
  <c r="AZ224" i="11" s="1"/>
  <c r="AW224" i="11"/>
  <c r="AV224" i="11"/>
  <c r="AU224" i="11"/>
  <c r="AT224" i="11"/>
  <c r="BR223" i="11"/>
  <c r="BQ223" i="11"/>
  <c r="BP223" i="11"/>
  <c r="BN223" i="11"/>
  <c r="BM223" i="11"/>
  <c r="BL223" i="11"/>
  <c r="BK223" i="11"/>
  <c r="BJ223" i="11"/>
  <c r="BI223" i="11"/>
  <c r="BH223" i="11"/>
  <c r="BG223" i="11"/>
  <c r="BE223" i="11"/>
  <c r="BD223" i="11"/>
  <c r="BF223" i="11" s="1"/>
  <c r="BC223" i="11"/>
  <c r="BB223" i="11"/>
  <c r="BA223" i="11"/>
  <c r="AY223" i="11"/>
  <c r="AX223" i="11"/>
  <c r="AZ223" i="11" s="1"/>
  <c r="AW223" i="11"/>
  <c r="AV223" i="11"/>
  <c r="AU223" i="11"/>
  <c r="AT223" i="11"/>
  <c r="BR222" i="11"/>
  <c r="BQ222" i="11"/>
  <c r="BP222" i="11"/>
  <c r="BN222" i="11"/>
  <c r="BM222" i="11"/>
  <c r="BL222" i="11"/>
  <c r="BK222" i="11"/>
  <c r="BJ222" i="11"/>
  <c r="BH222" i="11"/>
  <c r="BG222" i="11"/>
  <c r="BE222" i="11"/>
  <c r="BD222" i="11"/>
  <c r="BF222" i="11" s="1"/>
  <c r="BC222" i="11"/>
  <c r="BB222" i="11"/>
  <c r="BA222" i="11"/>
  <c r="AY222" i="11"/>
  <c r="AX222" i="11"/>
  <c r="AZ222" i="11" s="1"/>
  <c r="AW222" i="11"/>
  <c r="AV222" i="11"/>
  <c r="AU222" i="11"/>
  <c r="AT222" i="11"/>
  <c r="BR221" i="11"/>
  <c r="BQ221" i="11"/>
  <c r="BP221" i="11"/>
  <c r="BN221" i="11"/>
  <c r="BM221" i="11"/>
  <c r="BL221" i="11"/>
  <c r="BK221" i="11"/>
  <c r="BJ221" i="11"/>
  <c r="BH221" i="11"/>
  <c r="BG221" i="11"/>
  <c r="BF221" i="11"/>
  <c r="BE221" i="11"/>
  <c r="BD221" i="11"/>
  <c r="BB221" i="11"/>
  <c r="BC221" i="11" s="1"/>
  <c r="BA221" i="11"/>
  <c r="AY221" i="11"/>
  <c r="AX221" i="11"/>
  <c r="AZ221" i="11" s="1"/>
  <c r="AW221" i="11"/>
  <c r="AV221" i="11"/>
  <c r="AU221" i="11"/>
  <c r="AT221" i="11"/>
  <c r="BR220" i="11"/>
  <c r="BQ220" i="11"/>
  <c r="BP220" i="11"/>
  <c r="BN220" i="11"/>
  <c r="BM220" i="11"/>
  <c r="BL220" i="11"/>
  <c r="BK220" i="11"/>
  <c r="BJ220" i="11"/>
  <c r="BH220" i="11"/>
  <c r="BG220" i="11"/>
  <c r="BI220" i="11" s="1"/>
  <c r="BF220" i="11"/>
  <c r="BE220" i="11"/>
  <c r="BD220" i="11"/>
  <c r="BC220" i="11"/>
  <c r="BB220" i="11"/>
  <c r="BA220" i="11"/>
  <c r="AY220" i="11"/>
  <c r="AX220" i="11"/>
  <c r="AZ220" i="11" s="1"/>
  <c r="AW220" i="11"/>
  <c r="AV220" i="11"/>
  <c r="AU220" i="11"/>
  <c r="AT220" i="11"/>
  <c r="BR219" i="11"/>
  <c r="BQ219" i="11"/>
  <c r="BP219" i="11"/>
  <c r="BN219" i="11"/>
  <c r="BM219" i="11"/>
  <c r="BL219" i="11"/>
  <c r="BK219" i="11"/>
  <c r="BJ219" i="11"/>
  <c r="BH219" i="11"/>
  <c r="BG219" i="11"/>
  <c r="BE219" i="11"/>
  <c r="BD219" i="11"/>
  <c r="BC219" i="11"/>
  <c r="BB219" i="11"/>
  <c r="BA219" i="11"/>
  <c r="AY219" i="11"/>
  <c r="AX219" i="11"/>
  <c r="AZ219" i="11" s="1"/>
  <c r="AW219" i="11"/>
  <c r="AV219" i="11"/>
  <c r="AU219" i="11"/>
  <c r="AT219" i="11"/>
  <c r="BR218" i="11"/>
  <c r="BQ218" i="11"/>
  <c r="BP218" i="11"/>
  <c r="BN218" i="11"/>
  <c r="BM218" i="11"/>
  <c r="BL218" i="11"/>
  <c r="BK218" i="11"/>
  <c r="BJ218" i="11"/>
  <c r="BH218" i="11"/>
  <c r="BG218" i="11"/>
  <c r="BI218" i="11" s="1"/>
  <c r="BF218" i="11"/>
  <c r="BE218" i="11"/>
  <c r="BD218" i="11"/>
  <c r="BC218" i="11"/>
  <c r="BB218" i="11"/>
  <c r="BA218" i="11"/>
  <c r="AY218" i="11"/>
  <c r="AX218" i="11"/>
  <c r="AZ218" i="11" s="1"/>
  <c r="AW218" i="11"/>
  <c r="AV218" i="11"/>
  <c r="AU218" i="11"/>
  <c r="AT218" i="11"/>
  <c r="BR217" i="11"/>
  <c r="BQ217" i="11"/>
  <c r="BP217" i="11"/>
  <c r="BN217" i="11"/>
  <c r="BM217" i="11"/>
  <c r="BL217" i="11"/>
  <c r="BK217" i="11"/>
  <c r="BJ217" i="11"/>
  <c r="BI217" i="11"/>
  <c r="BH217" i="11"/>
  <c r="BG217" i="11"/>
  <c r="BF217" i="11"/>
  <c r="BE217" i="11"/>
  <c r="BD217" i="11"/>
  <c r="BB217" i="11"/>
  <c r="BC217" i="11" s="1"/>
  <c r="BA217" i="11"/>
  <c r="AY217" i="11"/>
  <c r="AX217" i="11"/>
  <c r="AZ217" i="11" s="1"/>
  <c r="AW217" i="11"/>
  <c r="AV217" i="11"/>
  <c r="AU217" i="11"/>
  <c r="AT217" i="11"/>
  <c r="BR216" i="11"/>
  <c r="BQ216" i="11"/>
  <c r="BP216" i="11"/>
  <c r="BN216" i="11"/>
  <c r="BM216" i="11"/>
  <c r="BL216" i="11"/>
  <c r="BK216" i="11"/>
  <c r="BJ216" i="11"/>
  <c r="BI216" i="11"/>
  <c r="BH216" i="11"/>
  <c r="BG216" i="11"/>
  <c r="BE216" i="11"/>
  <c r="BD216" i="11"/>
  <c r="BF216" i="11" s="1"/>
  <c r="BC216" i="11"/>
  <c r="BB216" i="11"/>
  <c r="BA216" i="11"/>
  <c r="AY216" i="11"/>
  <c r="AX216" i="11"/>
  <c r="AZ216" i="11" s="1"/>
  <c r="AW216" i="11"/>
  <c r="AV216" i="11"/>
  <c r="AU216" i="11"/>
  <c r="AT216" i="11"/>
  <c r="BR215" i="11"/>
  <c r="BQ215" i="11"/>
  <c r="BP215" i="11"/>
  <c r="BN215" i="11"/>
  <c r="BM215" i="11"/>
  <c r="BL215" i="11"/>
  <c r="BK215" i="11"/>
  <c r="BJ215" i="11"/>
  <c r="BI215" i="11"/>
  <c r="BH215" i="11"/>
  <c r="BG215" i="11"/>
  <c r="BE215" i="11"/>
  <c r="BD215" i="11"/>
  <c r="BF215" i="11" s="1"/>
  <c r="BB215" i="11"/>
  <c r="BC215" i="11" s="1"/>
  <c r="BA215" i="11"/>
  <c r="AY215" i="11"/>
  <c r="AX215" i="11"/>
  <c r="AZ215" i="11" s="1"/>
  <c r="AW215" i="11"/>
  <c r="AV215" i="11"/>
  <c r="AU215" i="11"/>
  <c r="AT215" i="11"/>
  <c r="BR214" i="11"/>
  <c r="BQ214" i="11"/>
  <c r="BP214" i="11"/>
  <c r="BN214" i="11"/>
  <c r="BM214" i="11"/>
  <c r="BL214" i="11"/>
  <c r="BK214" i="11"/>
  <c r="BJ214" i="11"/>
  <c r="BH214" i="11"/>
  <c r="BI214" i="11" s="1"/>
  <c r="BG214" i="11"/>
  <c r="BF214" i="11"/>
  <c r="BE214" i="11"/>
  <c r="BD214" i="11"/>
  <c r="BC214" i="11"/>
  <c r="BB214" i="11"/>
  <c r="BA214" i="11"/>
  <c r="AY214" i="11"/>
  <c r="AX214" i="11"/>
  <c r="AZ214" i="11" s="1"/>
  <c r="AW214" i="11"/>
  <c r="AV214" i="11"/>
  <c r="AU214" i="11"/>
  <c r="AT214" i="11"/>
  <c r="BR213" i="11"/>
  <c r="BQ213" i="11"/>
  <c r="BP213" i="11"/>
  <c r="BN213" i="11"/>
  <c r="BM213" i="11"/>
  <c r="BL213" i="11"/>
  <c r="BK213" i="11"/>
  <c r="BJ213" i="11"/>
  <c r="BH213" i="11"/>
  <c r="BG213" i="11"/>
  <c r="BI213" i="11" s="1"/>
  <c r="BF213" i="11"/>
  <c r="BE213" i="11"/>
  <c r="BD213" i="11"/>
  <c r="BB213" i="11"/>
  <c r="BC213" i="11" s="1"/>
  <c r="BA213" i="11"/>
  <c r="AY213" i="11"/>
  <c r="AX213" i="11"/>
  <c r="AZ213" i="11" s="1"/>
  <c r="AW213" i="11"/>
  <c r="AV213" i="11"/>
  <c r="AU213" i="11"/>
  <c r="AT213" i="11"/>
  <c r="BR212" i="11"/>
  <c r="BQ212" i="11"/>
  <c r="BP212" i="11"/>
  <c r="BN212" i="11"/>
  <c r="BM212" i="11"/>
  <c r="BL212" i="11"/>
  <c r="BK212" i="11"/>
  <c r="BJ212" i="11"/>
  <c r="BI212" i="11"/>
  <c r="BH212" i="11"/>
  <c r="BG212" i="11"/>
  <c r="BE212" i="11"/>
  <c r="BD212" i="11"/>
  <c r="BF212" i="11" s="1"/>
  <c r="BB212" i="11"/>
  <c r="BC212" i="11" s="1"/>
  <c r="BA212" i="11"/>
  <c r="AY212" i="11"/>
  <c r="AX212" i="11"/>
  <c r="AZ212" i="11" s="1"/>
  <c r="AW212" i="11"/>
  <c r="AV212" i="11"/>
  <c r="AU212" i="11"/>
  <c r="AT212" i="11"/>
  <c r="BR211" i="11"/>
  <c r="BQ211" i="11"/>
  <c r="BP211" i="11"/>
  <c r="BN211" i="11"/>
  <c r="BM211" i="11"/>
  <c r="BL211" i="11"/>
  <c r="BK211" i="11"/>
  <c r="BJ211" i="11"/>
  <c r="BH211" i="11"/>
  <c r="BG211" i="11"/>
  <c r="BI211" i="11" s="1"/>
  <c r="BE211" i="11"/>
  <c r="BD211" i="11"/>
  <c r="BF211" i="11" s="1"/>
  <c r="BC211" i="11"/>
  <c r="BB211" i="11"/>
  <c r="BA211" i="11"/>
  <c r="AY211" i="11"/>
  <c r="AX211" i="11"/>
  <c r="AZ211" i="11" s="1"/>
  <c r="AW211" i="11"/>
  <c r="AV211" i="11"/>
  <c r="AU211" i="11"/>
  <c r="AT211" i="11"/>
  <c r="BR210" i="11"/>
  <c r="BQ210" i="11"/>
  <c r="BP210" i="11"/>
  <c r="BN210" i="11"/>
  <c r="BM210" i="11"/>
  <c r="BL210" i="11"/>
  <c r="BK210" i="11"/>
  <c r="BJ210" i="11"/>
  <c r="BI210" i="11"/>
  <c r="BH210" i="11"/>
  <c r="BG210" i="11"/>
  <c r="BF210" i="11"/>
  <c r="BE210" i="11"/>
  <c r="BD210" i="11"/>
  <c r="BC210" i="11"/>
  <c r="BB210" i="11"/>
  <c r="BA210" i="11"/>
  <c r="AY210" i="11"/>
  <c r="AX210" i="11"/>
  <c r="AZ210" i="11" s="1"/>
  <c r="AW210" i="11"/>
  <c r="AV210" i="11"/>
  <c r="AU210" i="11"/>
  <c r="AT210" i="11"/>
  <c r="BR209" i="11"/>
  <c r="BQ209" i="11"/>
  <c r="BP209" i="11"/>
  <c r="BN209" i="11"/>
  <c r="BM209" i="11"/>
  <c r="BL209" i="11"/>
  <c r="BK209" i="11"/>
  <c r="BJ209" i="11"/>
  <c r="BH209" i="11"/>
  <c r="BI209" i="11" s="1"/>
  <c r="BG209" i="11"/>
  <c r="BF209" i="11"/>
  <c r="BE209" i="11"/>
  <c r="BD209" i="11"/>
  <c r="BB209" i="11"/>
  <c r="BC209" i="11" s="1"/>
  <c r="BA209" i="11"/>
  <c r="AY209" i="11"/>
  <c r="AX209" i="11"/>
  <c r="AZ209" i="11" s="1"/>
  <c r="AW209" i="11"/>
  <c r="AV209" i="11"/>
  <c r="AU209" i="11"/>
  <c r="AT209" i="11"/>
  <c r="BR208" i="11"/>
  <c r="BQ208" i="11"/>
  <c r="BP208" i="11"/>
  <c r="BN208" i="11"/>
  <c r="BM208" i="11"/>
  <c r="BL208" i="11"/>
  <c r="BK208" i="11"/>
  <c r="BJ208" i="11"/>
  <c r="BH208" i="11"/>
  <c r="BG208" i="11"/>
  <c r="BI208" i="11" s="1"/>
  <c r="BE208" i="11"/>
  <c r="BD208" i="11"/>
  <c r="BF208" i="11" s="1"/>
  <c r="BC208" i="11"/>
  <c r="BB208" i="11"/>
  <c r="BA208" i="11"/>
  <c r="AY208" i="11"/>
  <c r="AX208" i="11"/>
  <c r="AZ208" i="11" s="1"/>
  <c r="AW208" i="11"/>
  <c r="AV208" i="11"/>
  <c r="AU208" i="11"/>
  <c r="AT208" i="11"/>
  <c r="BR207" i="11"/>
  <c r="BQ207" i="11"/>
  <c r="BP207" i="11"/>
  <c r="BN207" i="11"/>
  <c r="BM207" i="11"/>
  <c r="BL207" i="11"/>
  <c r="BK207" i="11"/>
  <c r="BJ207" i="11"/>
  <c r="BH207" i="11"/>
  <c r="BG207" i="11"/>
  <c r="BI207" i="11" s="1"/>
  <c r="BE207" i="11"/>
  <c r="BF207" i="11" s="1"/>
  <c r="BD207" i="11"/>
  <c r="BC207" i="11"/>
  <c r="BB207" i="11"/>
  <c r="BA207" i="11"/>
  <c r="AY207" i="11"/>
  <c r="AX207" i="11"/>
  <c r="AZ207" i="11" s="1"/>
  <c r="AW207" i="11"/>
  <c r="AV207" i="11"/>
  <c r="AU207" i="11"/>
  <c r="AT207" i="11"/>
  <c r="BR206" i="11"/>
  <c r="BQ206" i="11"/>
  <c r="BP206" i="11"/>
  <c r="BN206" i="11"/>
  <c r="BM206" i="11"/>
  <c r="BL206" i="11"/>
  <c r="BK206" i="11"/>
  <c r="BJ206" i="11"/>
  <c r="BH206" i="11"/>
  <c r="BG206" i="11"/>
  <c r="BI206" i="11" s="1"/>
  <c r="BE206" i="11"/>
  <c r="BD206" i="11"/>
  <c r="BF206" i="11" s="1"/>
  <c r="BC206" i="11"/>
  <c r="BB206" i="11"/>
  <c r="BA206" i="11"/>
  <c r="AY206" i="11"/>
  <c r="AX206" i="11"/>
  <c r="AZ206" i="11" s="1"/>
  <c r="AW206" i="11"/>
  <c r="AV206" i="11"/>
  <c r="AU206" i="11"/>
  <c r="AT206" i="11"/>
  <c r="BR205" i="11"/>
  <c r="BQ205" i="11"/>
  <c r="BP205" i="11"/>
  <c r="BN205" i="11"/>
  <c r="BM205" i="11"/>
  <c r="BL205" i="11"/>
  <c r="BK205" i="11"/>
  <c r="BJ205" i="11"/>
  <c r="BI205" i="11"/>
  <c r="BH205" i="11"/>
  <c r="BG205" i="11"/>
  <c r="BF205" i="11"/>
  <c r="BE205" i="11"/>
  <c r="BD205" i="11"/>
  <c r="BB205" i="11"/>
  <c r="BC205" i="11" s="1"/>
  <c r="BA205" i="11"/>
  <c r="AY205" i="11"/>
  <c r="AX205" i="11"/>
  <c r="AZ205" i="11" s="1"/>
  <c r="AW205" i="11"/>
  <c r="AV205" i="11"/>
  <c r="AU205" i="11"/>
  <c r="AT205" i="11"/>
  <c r="BR204" i="11"/>
  <c r="BQ204" i="11"/>
  <c r="BP204" i="11"/>
  <c r="BN204" i="11"/>
  <c r="BM204" i="11"/>
  <c r="BL204" i="11"/>
  <c r="BK204" i="11"/>
  <c r="BJ204" i="11"/>
  <c r="BI204" i="11"/>
  <c r="BH204" i="11"/>
  <c r="BG204" i="11"/>
  <c r="BE204" i="11"/>
  <c r="BD204" i="11"/>
  <c r="BF204" i="11" s="1"/>
  <c r="BB204" i="11"/>
  <c r="BC204" i="11" s="1"/>
  <c r="BA204" i="11"/>
  <c r="AY204" i="11"/>
  <c r="AX204" i="11"/>
  <c r="AZ204" i="11" s="1"/>
  <c r="AW204" i="11"/>
  <c r="AV204" i="11"/>
  <c r="AU204" i="11"/>
  <c r="AT204" i="11"/>
  <c r="BR203" i="11"/>
  <c r="BQ203" i="11"/>
  <c r="BP203" i="11"/>
  <c r="BN203" i="11"/>
  <c r="BM203" i="11"/>
  <c r="BL203" i="11"/>
  <c r="BK203" i="11"/>
  <c r="BJ203" i="11"/>
  <c r="BI203" i="11"/>
  <c r="BH203" i="11"/>
  <c r="BG203" i="11"/>
  <c r="BE203" i="11"/>
  <c r="BD203" i="11"/>
  <c r="BF203" i="11" s="1"/>
  <c r="BC203" i="11"/>
  <c r="BB203" i="11"/>
  <c r="BA203" i="11"/>
  <c r="AY203" i="11"/>
  <c r="AX203" i="11"/>
  <c r="AZ203" i="11" s="1"/>
  <c r="AW203" i="11"/>
  <c r="AV203" i="11"/>
  <c r="AU203" i="11"/>
  <c r="AT203" i="11"/>
  <c r="BR202" i="11"/>
  <c r="BQ202" i="11"/>
  <c r="BP202" i="11"/>
  <c r="BN202" i="11"/>
  <c r="BM202" i="11"/>
  <c r="BL202" i="11"/>
  <c r="BK202" i="11"/>
  <c r="BJ202" i="11"/>
  <c r="BI202" i="11"/>
  <c r="BH202" i="11"/>
  <c r="BG202" i="11"/>
  <c r="BF202" i="11"/>
  <c r="BE202" i="11"/>
  <c r="BD202" i="11"/>
  <c r="BC202" i="11"/>
  <c r="BB202" i="11"/>
  <c r="BA202" i="11"/>
  <c r="AY202" i="11"/>
  <c r="AX202" i="11"/>
  <c r="AZ202" i="11" s="1"/>
  <c r="AW202" i="11"/>
  <c r="AV202" i="11"/>
  <c r="AU202" i="11"/>
  <c r="AT202" i="11"/>
  <c r="BR201" i="11"/>
  <c r="BQ201" i="11"/>
  <c r="BP201" i="11"/>
  <c r="BN201" i="11"/>
  <c r="BM201" i="11"/>
  <c r="BL201" i="11"/>
  <c r="BK201" i="11"/>
  <c r="BJ201" i="11"/>
  <c r="BH201" i="11"/>
  <c r="BI201" i="11" s="1"/>
  <c r="BG201" i="11"/>
  <c r="BF201" i="11"/>
  <c r="BE201" i="11"/>
  <c r="BD201" i="11"/>
  <c r="BB201" i="11"/>
  <c r="BC201" i="11" s="1"/>
  <c r="BA201" i="11"/>
  <c r="AY201" i="11"/>
  <c r="AX201" i="11"/>
  <c r="AZ201" i="11" s="1"/>
  <c r="AW201" i="11"/>
  <c r="AV201" i="11"/>
  <c r="AU201" i="11"/>
  <c r="AT201" i="11"/>
  <c r="BR200" i="11"/>
  <c r="BQ200" i="11"/>
  <c r="BP200" i="11"/>
  <c r="BN200" i="11"/>
  <c r="BM200" i="11"/>
  <c r="BL200" i="11"/>
  <c r="BK200" i="11"/>
  <c r="BJ200" i="11"/>
  <c r="BH200" i="11"/>
  <c r="BG200" i="11"/>
  <c r="BI200" i="11" s="1"/>
  <c r="BF200" i="11"/>
  <c r="BE200" i="11"/>
  <c r="BD200" i="11"/>
  <c r="BB200" i="11"/>
  <c r="BC200" i="11" s="1"/>
  <c r="BA200" i="11"/>
  <c r="AY200" i="11"/>
  <c r="AX200" i="11"/>
  <c r="AZ200" i="11" s="1"/>
  <c r="AW200" i="11"/>
  <c r="AV200" i="11"/>
  <c r="AU200" i="11"/>
  <c r="AT200" i="11"/>
  <c r="BR199" i="11"/>
  <c r="BQ199" i="11"/>
  <c r="BP199" i="11"/>
  <c r="BN199" i="11"/>
  <c r="BM199" i="11"/>
  <c r="BL199" i="11"/>
  <c r="BK199" i="11"/>
  <c r="BJ199" i="11"/>
  <c r="BH199" i="11"/>
  <c r="BI199" i="11" s="1"/>
  <c r="BG199" i="11"/>
  <c r="BE199" i="11"/>
  <c r="BD199" i="11"/>
  <c r="BF199" i="11" s="1"/>
  <c r="BC199" i="11"/>
  <c r="BB199" i="11"/>
  <c r="BA199" i="11"/>
  <c r="AY199" i="11"/>
  <c r="AX199" i="11"/>
  <c r="AZ199" i="11" s="1"/>
  <c r="AW199" i="11"/>
  <c r="AV199" i="11"/>
  <c r="AU199" i="11"/>
  <c r="AT199" i="11"/>
  <c r="BR198" i="11"/>
  <c r="BQ198" i="11"/>
  <c r="BP198" i="11"/>
  <c r="BN198" i="11"/>
  <c r="BM198" i="11"/>
  <c r="BL198" i="11"/>
  <c r="BK198" i="11"/>
  <c r="BJ198" i="11"/>
  <c r="BH198" i="11"/>
  <c r="BG198" i="11"/>
  <c r="BI198" i="11" s="1"/>
  <c r="BE198" i="11"/>
  <c r="BD198" i="11"/>
  <c r="BF198" i="11" s="1"/>
  <c r="BC198" i="11"/>
  <c r="BB198" i="11"/>
  <c r="BA198" i="11"/>
  <c r="AY198" i="11"/>
  <c r="AX198" i="11"/>
  <c r="AZ198" i="11" s="1"/>
  <c r="AW198" i="11"/>
  <c r="AV198" i="11"/>
  <c r="AU198" i="11"/>
  <c r="AT198" i="11"/>
  <c r="BR197" i="11"/>
  <c r="BQ197" i="11"/>
  <c r="BP197" i="11"/>
  <c r="BN197" i="11"/>
  <c r="BM197" i="11"/>
  <c r="BL197" i="11"/>
  <c r="BK197" i="11"/>
  <c r="BJ197" i="11"/>
  <c r="BH197" i="11"/>
  <c r="BG197" i="11"/>
  <c r="BF197" i="11"/>
  <c r="BE197" i="11"/>
  <c r="BD197" i="11"/>
  <c r="BB197" i="11"/>
  <c r="BC197" i="11" s="1"/>
  <c r="BA197" i="11"/>
  <c r="AY197" i="11"/>
  <c r="AX197" i="11"/>
  <c r="AZ197" i="11" s="1"/>
  <c r="AW197" i="11"/>
  <c r="AV197" i="11"/>
  <c r="AU197" i="11"/>
  <c r="AT197" i="11"/>
  <c r="BR196" i="11"/>
  <c r="BQ196" i="11"/>
  <c r="BP196" i="11"/>
  <c r="BN196" i="11"/>
  <c r="BM196" i="11"/>
  <c r="BL196" i="11"/>
  <c r="BK196" i="11"/>
  <c r="BJ196" i="11"/>
  <c r="BH196" i="11"/>
  <c r="BG196" i="11"/>
  <c r="BI196" i="11" s="1"/>
  <c r="BE196" i="11"/>
  <c r="BF196" i="11" s="1"/>
  <c r="BD196" i="11"/>
  <c r="BC196" i="11"/>
  <c r="BB196" i="11"/>
  <c r="BA196" i="11"/>
  <c r="AY196" i="11"/>
  <c r="AX196" i="11"/>
  <c r="AZ196" i="11" s="1"/>
  <c r="AW196" i="11"/>
  <c r="AV196" i="11"/>
  <c r="AU196" i="11"/>
  <c r="AT196" i="11"/>
  <c r="BR195" i="11"/>
  <c r="BQ195" i="11"/>
  <c r="BP195" i="11"/>
  <c r="BN195" i="11"/>
  <c r="BM195" i="11"/>
  <c r="BL195" i="11"/>
  <c r="BK195" i="11"/>
  <c r="BJ195" i="11"/>
  <c r="BH195" i="11"/>
  <c r="BG195" i="11"/>
  <c r="BE195" i="11"/>
  <c r="BD195" i="11"/>
  <c r="BC195" i="11"/>
  <c r="BB195" i="11"/>
  <c r="BA195" i="11"/>
  <c r="AY195" i="11"/>
  <c r="AX195" i="11"/>
  <c r="AZ195" i="11" s="1"/>
  <c r="AW195" i="11"/>
  <c r="AV195" i="11"/>
  <c r="AU195" i="11"/>
  <c r="AT195" i="11"/>
  <c r="BR194" i="11"/>
  <c r="BQ194" i="11"/>
  <c r="BP194" i="11"/>
  <c r="BN194" i="11"/>
  <c r="BM194" i="11"/>
  <c r="BL194" i="11"/>
  <c r="BK194" i="11"/>
  <c r="BJ194" i="11"/>
  <c r="BH194" i="11"/>
  <c r="BG194" i="11"/>
  <c r="BI194" i="11" s="1"/>
  <c r="BF194" i="11"/>
  <c r="BE194" i="11"/>
  <c r="BD194" i="11"/>
  <c r="BC194" i="11"/>
  <c r="BB194" i="11"/>
  <c r="BA194" i="11"/>
  <c r="AY194" i="11"/>
  <c r="AX194" i="11"/>
  <c r="AZ194" i="11" s="1"/>
  <c r="AW194" i="11"/>
  <c r="AV194" i="11"/>
  <c r="AU194" i="11"/>
  <c r="AT194" i="11"/>
  <c r="BR193" i="11"/>
  <c r="BQ193" i="11"/>
  <c r="BP193" i="11"/>
  <c r="BN193" i="11"/>
  <c r="BM193" i="11"/>
  <c r="BL193" i="11"/>
  <c r="BK193" i="11"/>
  <c r="BJ193" i="11"/>
  <c r="BI193" i="11"/>
  <c r="BH193" i="11"/>
  <c r="BG193" i="11"/>
  <c r="BF193" i="11"/>
  <c r="BE193" i="11"/>
  <c r="BD193" i="11"/>
  <c r="BB193" i="11"/>
  <c r="BC193" i="11" s="1"/>
  <c r="BA193" i="11"/>
  <c r="AY193" i="11"/>
  <c r="AX193" i="11"/>
  <c r="AZ193" i="11" s="1"/>
  <c r="AW193" i="11"/>
  <c r="AV193" i="11"/>
  <c r="AU193" i="11"/>
  <c r="AT193" i="11"/>
  <c r="BR192" i="11"/>
  <c r="BQ192" i="11"/>
  <c r="BP192" i="11"/>
  <c r="BN192" i="11"/>
  <c r="BM192" i="11"/>
  <c r="BL192" i="11"/>
  <c r="BK192" i="11"/>
  <c r="BJ192" i="11"/>
  <c r="BI192" i="11"/>
  <c r="BH192" i="11"/>
  <c r="BG192" i="11"/>
  <c r="BE192" i="11"/>
  <c r="BD192" i="11"/>
  <c r="BF192" i="11" s="1"/>
  <c r="BC192" i="11"/>
  <c r="BB192" i="11"/>
  <c r="BA192" i="11"/>
  <c r="AY192" i="11"/>
  <c r="AX192" i="11"/>
  <c r="AZ192" i="11" s="1"/>
  <c r="AW192" i="11"/>
  <c r="AV192" i="11"/>
  <c r="AU192" i="11"/>
  <c r="AT192" i="11"/>
  <c r="BR191" i="11"/>
  <c r="BQ191" i="11"/>
  <c r="BP191" i="11"/>
  <c r="BN191" i="11"/>
  <c r="BM191" i="11"/>
  <c r="BL191" i="11"/>
  <c r="BK191" i="11"/>
  <c r="BJ191" i="11"/>
  <c r="BI191" i="11"/>
  <c r="BH191" i="11"/>
  <c r="BG191" i="11"/>
  <c r="BE191" i="11"/>
  <c r="BD191" i="11"/>
  <c r="BF191" i="11" s="1"/>
  <c r="BB191" i="11"/>
  <c r="BC191" i="11" s="1"/>
  <c r="BA191" i="11"/>
  <c r="AY191" i="11"/>
  <c r="AX191" i="11"/>
  <c r="AZ191" i="11" s="1"/>
  <c r="AW191" i="11"/>
  <c r="AV191" i="11"/>
  <c r="AU191" i="11"/>
  <c r="AT191" i="11"/>
  <c r="BR190" i="11"/>
  <c r="BQ190" i="11"/>
  <c r="BP190" i="11"/>
  <c r="BN190" i="11"/>
  <c r="BM190" i="11"/>
  <c r="BL190" i="11"/>
  <c r="BK190" i="11"/>
  <c r="BJ190" i="11"/>
  <c r="BH190" i="11"/>
  <c r="BG190" i="11"/>
  <c r="BI190" i="11" s="1"/>
  <c r="BF190" i="11"/>
  <c r="BE190" i="11"/>
  <c r="BD190" i="11"/>
  <c r="BC190" i="11"/>
  <c r="BB190" i="11"/>
  <c r="BA190" i="11"/>
  <c r="AY190" i="11"/>
  <c r="AX190" i="11"/>
  <c r="AZ190" i="11" s="1"/>
  <c r="AW190" i="11"/>
  <c r="AV190" i="11"/>
  <c r="AU190" i="11"/>
  <c r="AT190" i="11"/>
  <c r="BR189" i="11"/>
  <c r="BQ189" i="11"/>
  <c r="BP189" i="11"/>
  <c r="BN189" i="11"/>
  <c r="BM189" i="11"/>
  <c r="BL189" i="11"/>
  <c r="BK189" i="11"/>
  <c r="BJ189" i="11"/>
  <c r="BH189" i="11"/>
  <c r="BG189" i="11"/>
  <c r="BF189" i="11"/>
  <c r="BE189" i="11"/>
  <c r="BD189" i="11"/>
  <c r="BB189" i="11"/>
  <c r="BC189" i="11" s="1"/>
  <c r="BA189" i="11"/>
  <c r="AY189" i="11"/>
  <c r="AX189" i="11"/>
  <c r="AZ189" i="11" s="1"/>
  <c r="AW189" i="11"/>
  <c r="AV189" i="11"/>
  <c r="AU189" i="11"/>
  <c r="AT189" i="11"/>
  <c r="BR188" i="11"/>
  <c r="BQ188" i="11"/>
  <c r="BP188" i="11"/>
  <c r="BN188" i="11"/>
  <c r="BM188" i="11"/>
  <c r="BL188" i="11"/>
  <c r="BK188" i="11"/>
  <c r="BJ188" i="11"/>
  <c r="BI188" i="11"/>
  <c r="BH188" i="11"/>
  <c r="BG188" i="11"/>
  <c r="BE188" i="11"/>
  <c r="BD188" i="11"/>
  <c r="BF188" i="11" s="1"/>
  <c r="BC188" i="11"/>
  <c r="BB188" i="11"/>
  <c r="BA188" i="11"/>
  <c r="AY188" i="11"/>
  <c r="AX188" i="11"/>
  <c r="AZ188" i="11" s="1"/>
  <c r="AW188" i="11"/>
  <c r="AV188" i="11"/>
  <c r="AU188" i="11"/>
  <c r="AT188" i="11"/>
  <c r="BR187" i="11"/>
  <c r="BQ187" i="11"/>
  <c r="BP187" i="11"/>
  <c r="BN187" i="11"/>
  <c r="BM187" i="11"/>
  <c r="BL187" i="11"/>
  <c r="BK187" i="11"/>
  <c r="BJ187" i="11"/>
  <c r="BI187" i="11"/>
  <c r="BH187" i="11"/>
  <c r="BG187" i="11"/>
  <c r="BE187" i="11"/>
  <c r="BD187" i="11"/>
  <c r="BC187" i="11"/>
  <c r="BB187" i="11"/>
  <c r="BA187" i="11"/>
  <c r="AY187" i="11"/>
  <c r="AX187" i="11"/>
  <c r="AZ187" i="11" s="1"/>
  <c r="AW187" i="11"/>
  <c r="AV187" i="11"/>
  <c r="AU187" i="11"/>
  <c r="AT187" i="11"/>
  <c r="BR186" i="11"/>
  <c r="BQ186" i="11"/>
  <c r="BP186" i="11"/>
  <c r="BN186" i="11"/>
  <c r="BM186" i="11"/>
  <c r="BL186" i="11"/>
  <c r="BK186" i="11"/>
  <c r="BJ186" i="11"/>
  <c r="BH186" i="11"/>
  <c r="BG186" i="11"/>
  <c r="BI186" i="11" s="1"/>
  <c r="BE186" i="11"/>
  <c r="BD186" i="11"/>
  <c r="BF186" i="11" s="1"/>
  <c r="BB186" i="11"/>
  <c r="BC186" i="11" s="1"/>
  <c r="BA186" i="11"/>
  <c r="AY186" i="11"/>
  <c r="AX186" i="11"/>
  <c r="AZ186" i="11" s="1"/>
  <c r="AW186" i="11"/>
  <c r="AV186" i="11"/>
  <c r="AU186" i="11"/>
  <c r="AT186" i="11"/>
  <c r="BR185" i="11"/>
  <c r="BQ185" i="11"/>
  <c r="BP185" i="11"/>
  <c r="BN185" i="11"/>
  <c r="BM185" i="11"/>
  <c r="BL185" i="11"/>
  <c r="BK185" i="11"/>
  <c r="BJ185" i="11"/>
  <c r="BI185" i="11"/>
  <c r="BH185" i="11"/>
  <c r="BG185" i="11"/>
  <c r="BF185" i="11"/>
  <c r="BE185" i="11"/>
  <c r="BD185" i="11"/>
  <c r="BB185" i="11"/>
  <c r="BC185" i="11" s="1"/>
  <c r="BA185" i="11"/>
  <c r="AY185" i="11"/>
  <c r="AX185" i="11"/>
  <c r="AZ185" i="11" s="1"/>
  <c r="AW185" i="11"/>
  <c r="AV185" i="11"/>
  <c r="AU185" i="11"/>
  <c r="AT185" i="11"/>
  <c r="BR184" i="11"/>
  <c r="BQ184" i="11"/>
  <c r="BP184" i="11"/>
  <c r="BN184" i="11"/>
  <c r="BM184" i="11"/>
  <c r="BL184" i="11"/>
  <c r="BK184" i="11"/>
  <c r="BJ184" i="11"/>
  <c r="BH184" i="11"/>
  <c r="BI184" i="11" s="1"/>
  <c r="BG184" i="11"/>
  <c r="BF184" i="11"/>
  <c r="BE184" i="11"/>
  <c r="BD184" i="11"/>
  <c r="BB184" i="11"/>
  <c r="BC184" i="11" s="1"/>
  <c r="BA184" i="11"/>
  <c r="AY184" i="11"/>
  <c r="AX184" i="11"/>
  <c r="AZ184" i="11" s="1"/>
  <c r="AW184" i="11"/>
  <c r="AV184" i="11"/>
  <c r="AU184" i="11"/>
  <c r="AT184" i="11"/>
  <c r="BR183" i="11"/>
  <c r="BQ183" i="11"/>
  <c r="BP183" i="11"/>
  <c r="BN183" i="11"/>
  <c r="BM183" i="11"/>
  <c r="BL183" i="11"/>
  <c r="BK183" i="11"/>
  <c r="BJ183" i="11"/>
  <c r="BH183" i="11"/>
  <c r="BG183" i="11"/>
  <c r="BF183" i="11"/>
  <c r="BE183" i="11"/>
  <c r="BD183" i="11"/>
  <c r="BC183" i="11"/>
  <c r="BB183" i="11"/>
  <c r="BA183" i="11"/>
  <c r="AY183" i="11"/>
  <c r="AX183" i="11"/>
  <c r="AZ183" i="11" s="1"/>
  <c r="AW183" i="11"/>
  <c r="AV183" i="11"/>
  <c r="AU183" i="11"/>
  <c r="AT183" i="11"/>
  <c r="BR182" i="11"/>
  <c r="BQ182" i="11"/>
  <c r="BP182" i="11"/>
  <c r="BN182" i="11"/>
  <c r="BM182" i="11"/>
  <c r="BL182" i="11"/>
  <c r="BK182" i="11"/>
  <c r="BJ182" i="11"/>
  <c r="BH182" i="11"/>
  <c r="BG182" i="11"/>
  <c r="BI182" i="11" s="1"/>
  <c r="BE182" i="11"/>
  <c r="BD182" i="11"/>
  <c r="BF182" i="11" s="1"/>
  <c r="BB182" i="11"/>
  <c r="BC182" i="11" s="1"/>
  <c r="BA182" i="11"/>
  <c r="AY182" i="11"/>
  <c r="AX182" i="11"/>
  <c r="AZ182" i="11" s="1"/>
  <c r="AW182" i="11"/>
  <c r="AV182" i="11"/>
  <c r="AU182" i="11"/>
  <c r="AT182" i="11"/>
  <c r="BR181" i="11"/>
  <c r="BQ181" i="11"/>
  <c r="BP181" i="11"/>
  <c r="BN181" i="11"/>
  <c r="BM181" i="11"/>
  <c r="BL181" i="11"/>
  <c r="BK181" i="11"/>
  <c r="BJ181" i="11"/>
  <c r="BI181" i="11"/>
  <c r="BH181" i="11"/>
  <c r="BG181" i="11"/>
  <c r="BE181" i="11"/>
  <c r="BF181" i="11" s="1"/>
  <c r="BD181" i="11"/>
  <c r="BC181" i="11"/>
  <c r="BB181" i="11"/>
  <c r="BA181" i="11"/>
  <c r="AY181" i="11"/>
  <c r="AX181" i="11"/>
  <c r="AZ181" i="11" s="1"/>
  <c r="AW181" i="11"/>
  <c r="AV181" i="11"/>
  <c r="AU181" i="11"/>
  <c r="AT181" i="11"/>
  <c r="BR180" i="11"/>
  <c r="BQ180" i="11"/>
  <c r="BP180" i="11"/>
  <c r="BN180" i="11"/>
  <c r="BM180" i="11"/>
  <c r="BL180" i="11"/>
  <c r="BK180" i="11"/>
  <c r="BJ180" i="11"/>
  <c r="BH180" i="11"/>
  <c r="BI180" i="11" s="1"/>
  <c r="BG180" i="11"/>
  <c r="BE180" i="11"/>
  <c r="BD180" i="11"/>
  <c r="BC180" i="11"/>
  <c r="BB180" i="11"/>
  <c r="BA180" i="11"/>
  <c r="AY180" i="11"/>
  <c r="AX180" i="11"/>
  <c r="AZ180" i="11" s="1"/>
  <c r="AW180" i="11"/>
  <c r="AV180" i="11"/>
  <c r="AU180" i="11"/>
  <c r="AT180" i="11"/>
  <c r="BR179" i="11"/>
  <c r="BQ179" i="11"/>
  <c r="BP179" i="11"/>
  <c r="BN179" i="11"/>
  <c r="BM179" i="11"/>
  <c r="BL179" i="11"/>
  <c r="BK179" i="11"/>
  <c r="BJ179" i="11"/>
  <c r="BI179" i="11"/>
  <c r="BH179" i="11"/>
  <c r="BG179" i="11"/>
  <c r="BE179" i="11"/>
  <c r="BD179" i="11"/>
  <c r="BF179" i="11" s="1"/>
  <c r="BC179" i="11"/>
  <c r="BB179" i="11"/>
  <c r="BA179" i="11"/>
  <c r="AY179" i="11"/>
  <c r="AX179" i="11"/>
  <c r="AZ179" i="11" s="1"/>
  <c r="AW179" i="11"/>
  <c r="AV179" i="11"/>
  <c r="AU179" i="11"/>
  <c r="AT179" i="11"/>
  <c r="BR178" i="11"/>
  <c r="BQ178" i="11"/>
  <c r="BP178" i="11"/>
  <c r="BN178" i="11"/>
  <c r="BM178" i="11"/>
  <c r="BL178" i="11"/>
  <c r="BK178" i="11"/>
  <c r="BJ178" i="11"/>
  <c r="BH178" i="11"/>
  <c r="BG178" i="11"/>
  <c r="BI178" i="11" s="1"/>
  <c r="BF178" i="11"/>
  <c r="BE178" i="11"/>
  <c r="BD178" i="11"/>
  <c r="BC178" i="11"/>
  <c r="BB178" i="11"/>
  <c r="BA178" i="11"/>
  <c r="AY178" i="11"/>
  <c r="AX178" i="11"/>
  <c r="AZ178" i="11" s="1"/>
  <c r="AW178" i="11"/>
  <c r="AV178" i="11"/>
  <c r="AU178" i="11"/>
  <c r="AT178" i="11"/>
  <c r="BR177" i="11"/>
  <c r="BQ177" i="11"/>
  <c r="BP177" i="11"/>
  <c r="BN177" i="11"/>
  <c r="BM177" i="11"/>
  <c r="BL177" i="11"/>
  <c r="BK177" i="11"/>
  <c r="BJ177" i="11"/>
  <c r="BI177" i="11"/>
  <c r="BH177" i="11"/>
  <c r="BG177" i="11"/>
  <c r="BF177" i="11"/>
  <c r="BE177" i="11"/>
  <c r="BD177" i="11"/>
  <c r="BB177" i="11"/>
  <c r="BC177" i="11" s="1"/>
  <c r="BA177" i="11"/>
  <c r="AY177" i="11"/>
  <c r="AX177" i="11"/>
  <c r="AZ177" i="11" s="1"/>
  <c r="AW177" i="11"/>
  <c r="AV177" i="11"/>
  <c r="AU177" i="11"/>
  <c r="AT177" i="11"/>
  <c r="BR176" i="11"/>
  <c r="BQ176" i="11"/>
  <c r="BP176" i="11"/>
  <c r="BN176" i="11"/>
  <c r="BM176" i="11"/>
  <c r="BL176" i="11"/>
  <c r="BK176" i="11"/>
  <c r="BJ176" i="11"/>
  <c r="BH176" i="11"/>
  <c r="BG176" i="11"/>
  <c r="BI176" i="11" s="1"/>
  <c r="BE176" i="11"/>
  <c r="BD176" i="11"/>
  <c r="BF176" i="11" s="1"/>
  <c r="BC176" i="11"/>
  <c r="BB176" i="11"/>
  <c r="BA176" i="11"/>
  <c r="AY176" i="11"/>
  <c r="AX176" i="11"/>
  <c r="AZ176" i="11" s="1"/>
  <c r="AW176" i="11"/>
  <c r="AV176" i="11"/>
  <c r="AU176" i="11"/>
  <c r="AT176" i="11"/>
  <c r="BR175" i="11"/>
  <c r="BQ175" i="11"/>
  <c r="BP175" i="11"/>
  <c r="BN175" i="11"/>
  <c r="BM175" i="11"/>
  <c r="BL175" i="11"/>
  <c r="BK175" i="11"/>
  <c r="BJ175" i="11"/>
  <c r="BH175" i="11"/>
  <c r="BI175" i="11" s="1"/>
  <c r="BG175" i="11"/>
  <c r="BF175" i="11"/>
  <c r="BE175" i="11"/>
  <c r="BD175" i="11"/>
  <c r="BC175" i="11"/>
  <c r="BB175" i="11"/>
  <c r="BA175" i="11"/>
  <c r="AY175" i="11"/>
  <c r="AX175" i="11"/>
  <c r="AZ175" i="11" s="1"/>
  <c r="AW175" i="11"/>
  <c r="AV175" i="11"/>
  <c r="AU175" i="11"/>
  <c r="AT175" i="11"/>
  <c r="BR174" i="11"/>
  <c r="BQ174" i="11"/>
  <c r="BP174" i="11"/>
  <c r="BN174" i="11"/>
  <c r="BM174" i="11"/>
  <c r="BL174" i="11"/>
  <c r="BK174" i="11"/>
  <c r="BJ174" i="11"/>
  <c r="BI174" i="11"/>
  <c r="BH174" i="11"/>
  <c r="BG174" i="11"/>
  <c r="BE174" i="11"/>
  <c r="BF174" i="11" s="1"/>
  <c r="BD174" i="11"/>
  <c r="BC174" i="11"/>
  <c r="BB174" i="11"/>
  <c r="BA174" i="11"/>
  <c r="AY174" i="11"/>
  <c r="AX174" i="11"/>
  <c r="AZ174" i="11" s="1"/>
  <c r="AW174" i="11"/>
  <c r="AV174" i="11"/>
  <c r="AU174" i="11"/>
  <c r="AT174" i="11"/>
  <c r="BR173" i="11"/>
  <c r="BQ173" i="11"/>
  <c r="BP173" i="11"/>
  <c r="BN173" i="11"/>
  <c r="BM173" i="11"/>
  <c r="BL173" i="11"/>
  <c r="BK173" i="11"/>
  <c r="BJ173" i="11"/>
  <c r="BI173" i="11"/>
  <c r="BH173" i="11"/>
  <c r="BG173" i="11"/>
  <c r="BE173" i="11"/>
  <c r="BD173" i="11"/>
  <c r="BF173" i="11" s="1"/>
  <c r="BB173" i="11"/>
  <c r="BC173" i="11" s="1"/>
  <c r="BA173" i="11"/>
  <c r="AY173" i="11"/>
  <c r="AX173" i="11"/>
  <c r="AZ173" i="11" s="1"/>
  <c r="AW173" i="11"/>
  <c r="AV173" i="11"/>
  <c r="AU173" i="11"/>
  <c r="AT173" i="11"/>
  <c r="BR172" i="11"/>
  <c r="BQ172" i="11"/>
  <c r="BP172" i="11"/>
  <c r="BN172" i="11"/>
  <c r="BM172" i="11"/>
  <c r="BL172" i="11"/>
  <c r="BK172" i="11"/>
  <c r="BJ172" i="11"/>
  <c r="BH172" i="11"/>
  <c r="BG172" i="11"/>
  <c r="BI172" i="11" s="1"/>
  <c r="BE172" i="11"/>
  <c r="BF172" i="11" s="1"/>
  <c r="BD172" i="11"/>
  <c r="BC172" i="11"/>
  <c r="BB172" i="11"/>
  <c r="BA172" i="11"/>
  <c r="AY172" i="11"/>
  <c r="AX172" i="11"/>
  <c r="AZ172" i="11" s="1"/>
  <c r="AW172" i="11"/>
  <c r="AV172" i="11"/>
  <c r="AU172" i="11"/>
  <c r="AT172" i="11"/>
  <c r="BR171" i="11"/>
  <c r="BQ171" i="11"/>
  <c r="BP171" i="11"/>
  <c r="BN171" i="11"/>
  <c r="BM171" i="11"/>
  <c r="BL171" i="11"/>
  <c r="BK171" i="11"/>
  <c r="BJ171" i="11"/>
  <c r="BH171" i="11"/>
  <c r="BG171" i="11"/>
  <c r="BI171" i="11" s="1"/>
  <c r="BF171" i="11"/>
  <c r="BE171" i="11"/>
  <c r="BD171" i="11"/>
  <c r="BC171" i="11"/>
  <c r="BB171" i="11"/>
  <c r="BA171" i="11"/>
  <c r="AY171" i="11"/>
  <c r="AX171" i="11"/>
  <c r="AZ171" i="11" s="1"/>
  <c r="AW171" i="11"/>
  <c r="AV171" i="11"/>
  <c r="AU171" i="11"/>
  <c r="AT171" i="11"/>
  <c r="BR170" i="11"/>
  <c r="BQ170" i="11"/>
  <c r="BP170" i="11"/>
  <c r="BN170" i="11"/>
  <c r="BM170" i="11"/>
  <c r="BL170" i="11"/>
  <c r="BK170" i="11"/>
  <c r="BJ170" i="11"/>
  <c r="BH170" i="11"/>
  <c r="BG170" i="11"/>
  <c r="BI170" i="11" s="1"/>
  <c r="BE170" i="11"/>
  <c r="BD170" i="11"/>
  <c r="BF170" i="11" s="1"/>
  <c r="BC170" i="11"/>
  <c r="BB170" i="11"/>
  <c r="BA170" i="11"/>
  <c r="AY170" i="11"/>
  <c r="AX170" i="11"/>
  <c r="AZ170" i="11" s="1"/>
  <c r="AW170" i="11"/>
  <c r="AV170" i="11"/>
  <c r="AU170" i="11"/>
  <c r="AT170" i="11"/>
  <c r="BR169" i="11"/>
  <c r="BQ169" i="11"/>
  <c r="BP169" i="11"/>
  <c r="BN169" i="11"/>
  <c r="BM169" i="11"/>
  <c r="BL169" i="11"/>
  <c r="BK169" i="11"/>
  <c r="BJ169" i="11"/>
  <c r="BI169" i="11"/>
  <c r="BH169" i="11"/>
  <c r="BG169" i="11"/>
  <c r="BE169" i="11"/>
  <c r="BD169" i="11"/>
  <c r="BF169" i="11" s="1"/>
  <c r="BB169" i="11"/>
  <c r="BC169" i="11" s="1"/>
  <c r="BA169" i="11"/>
  <c r="AY169" i="11"/>
  <c r="AX169" i="11"/>
  <c r="AZ169" i="11" s="1"/>
  <c r="AW169" i="11"/>
  <c r="AV169" i="11"/>
  <c r="AU169" i="11"/>
  <c r="AT169" i="11"/>
  <c r="BR168" i="11"/>
  <c r="BQ168" i="11"/>
  <c r="BP168" i="11"/>
  <c r="BN168" i="11"/>
  <c r="BM168" i="11"/>
  <c r="BL168" i="11"/>
  <c r="BK168" i="11"/>
  <c r="BJ168" i="11"/>
  <c r="BI168" i="11"/>
  <c r="BH168" i="11"/>
  <c r="BG168" i="11"/>
  <c r="BE168" i="11"/>
  <c r="BD168" i="11"/>
  <c r="BB168" i="11"/>
  <c r="BC168" i="11" s="1"/>
  <c r="BA168" i="11"/>
  <c r="AY168" i="11"/>
  <c r="AX168" i="11"/>
  <c r="AZ168" i="11" s="1"/>
  <c r="AW168" i="11"/>
  <c r="AV168" i="11"/>
  <c r="AU168" i="11"/>
  <c r="AT168" i="11"/>
  <c r="BR167" i="11"/>
  <c r="BQ167" i="11"/>
  <c r="BP167" i="11"/>
  <c r="BN167" i="11"/>
  <c r="BM167" i="11"/>
  <c r="BL167" i="11"/>
  <c r="BK167" i="11"/>
  <c r="BJ167" i="11"/>
  <c r="BH167" i="11"/>
  <c r="BG167" i="11"/>
  <c r="BI167" i="11" s="1"/>
  <c r="BE167" i="11"/>
  <c r="BD167" i="11"/>
  <c r="BF167" i="11" s="1"/>
  <c r="BC167" i="11"/>
  <c r="BB167" i="11"/>
  <c r="BA167" i="11"/>
  <c r="AY167" i="11"/>
  <c r="AX167" i="11"/>
  <c r="AZ167" i="11" s="1"/>
  <c r="AW167" i="11"/>
  <c r="AV167" i="11"/>
  <c r="AU167" i="11"/>
  <c r="AT167" i="11"/>
  <c r="BR166" i="11"/>
  <c r="BQ166" i="11"/>
  <c r="BP166" i="11"/>
  <c r="BN166" i="11"/>
  <c r="BM166" i="11"/>
  <c r="BL166" i="11"/>
  <c r="BK166" i="11"/>
  <c r="BJ166" i="11"/>
  <c r="BI166" i="11"/>
  <c r="BH166" i="11"/>
  <c r="BG166" i="11"/>
  <c r="BF166" i="11"/>
  <c r="BE166" i="11"/>
  <c r="BD166" i="11"/>
  <c r="BC166" i="11"/>
  <c r="BB166" i="11"/>
  <c r="BA166" i="11"/>
  <c r="AY166" i="11"/>
  <c r="AX166" i="11"/>
  <c r="AZ166" i="11" s="1"/>
  <c r="AW166" i="11"/>
  <c r="AV166" i="11"/>
  <c r="AU166" i="11"/>
  <c r="AT166" i="11"/>
  <c r="BR165" i="11"/>
  <c r="BQ165" i="11"/>
  <c r="BP165" i="11"/>
  <c r="BN165" i="11"/>
  <c r="BM165" i="11"/>
  <c r="BL165" i="11"/>
  <c r="BK165" i="11"/>
  <c r="BJ165" i="11"/>
  <c r="BI165" i="11"/>
  <c r="BH165" i="11"/>
  <c r="BG165" i="11"/>
  <c r="BF165" i="11"/>
  <c r="BE165" i="11"/>
  <c r="BD165" i="11"/>
  <c r="BB165" i="11"/>
  <c r="BC165" i="11" s="1"/>
  <c r="BA165" i="11"/>
  <c r="AY165" i="11"/>
  <c r="AX165" i="11"/>
  <c r="AZ165" i="11" s="1"/>
  <c r="AW165" i="11"/>
  <c r="AV165" i="11"/>
  <c r="AU165" i="11"/>
  <c r="AT165" i="11"/>
  <c r="BR164" i="11"/>
  <c r="BQ164" i="11"/>
  <c r="BP164" i="11"/>
  <c r="BN164" i="11"/>
  <c r="BM164" i="11"/>
  <c r="BL164" i="11"/>
  <c r="BK164" i="11"/>
  <c r="BJ164" i="11"/>
  <c r="BH164" i="11"/>
  <c r="BG164" i="11"/>
  <c r="BF164" i="11"/>
  <c r="BE164" i="11"/>
  <c r="BD164" i="11"/>
  <c r="BC164" i="11"/>
  <c r="BB164" i="11"/>
  <c r="BA164" i="11"/>
  <c r="AY164" i="11"/>
  <c r="AX164" i="11"/>
  <c r="AZ164" i="11" s="1"/>
  <c r="AW164" i="11"/>
  <c r="AV164" i="11"/>
  <c r="AU164" i="11"/>
  <c r="AT164" i="11"/>
  <c r="BR163" i="11"/>
  <c r="BQ163" i="11"/>
  <c r="BP163" i="11"/>
  <c r="BN163" i="11"/>
  <c r="BM163" i="11"/>
  <c r="BL163" i="11"/>
  <c r="BK163" i="11"/>
  <c r="BJ163" i="11"/>
  <c r="BH163" i="11"/>
  <c r="BG163" i="11"/>
  <c r="BI163" i="11" s="1"/>
  <c r="BF163" i="11"/>
  <c r="BE163" i="11"/>
  <c r="BD163" i="11"/>
  <c r="BC163" i="11"/>
  <c r="BB163" i="11"/>
  <c r="BA163" i="11"/>
  <c r="AY163" i="11"/>
  <c r="AX163" i="11"/>
  <c r="AZ163" i="11" s="1"/>
  <c r="AW163" i="11"/>
  <c r="AV163" i="11"/>
  <c r="AU163" i="11"/>
  <c r="AT163" i="11"/>
  <c r="BR162" i="11"/>
  <c r="BQ162" i="11"/>
  <c r="BP162" i="11"/>
  <c r="BN162" i="11"/>
  <c r="BM162" i="11"/>
  <c r="BL162" i="11"/>
  <c r="BK162" i="11"/>
  <c r="BJ162" i="11"/>
  <c r="BI162" i="11"/>
  <c r="BH162" i="11"/>
  <c r="BG162" i="11"/>
  <c r="BE162" i="11"/>
  <c r="BD162" i="11"/>
  <c r="BF162" i="11" s="1"/>
  <c r="BB162" i="11"/>
  <c r="BC162" i="11" s="1"/>
  <c r="BA162" i="11"/>
  <c r="AY162" i="11"/>
  <c r="AX162" i="11"/>
  <c r="AZ162" i="11" s="1"/>
  <c r="AW162" i="11"/>
  <c r="AV162" i="11"/>
  <c r="AU162" i="11"/>
  <c r="AT162" i="11"/>
  <c r="BR161" i="11"/>
  <c r="BQ161" i="11"/>
  <c r="BP161" i="11"/>
  <c r="BN161" i="11"/>
  <c r="BM161" i="11"/>
  <c r="BL161" i="11"/>
  <c r="BK161" i="11"/>
  <c r="BJ161" i="11"/>
  <c r="BI161" i="11"/>
  <c r="BH161" i="11"/>
  <c r="BG161" i="11"/>
  <c r="BE161" i="11"/>
  <c r="BD161" i="11"/>
  <c r="BC161" i="11"/>
  <c r="BB161" i="11"/>
  <c r="BA161" i="11"/>
  <c r="AY161" i="11"/>
  <c r="AX161" i="11"/>
  <c r="AZ161" i="11" s="1"/>
  <c r="AW161" i="11"/>
  <c r="AV161" i="11"/>
  <c r="AU161" i="11"/>
  <c r="AT161" i="11"/>
  <c r="BR160" i="11"/>
  <c r="BQ160" i="11"/>
  <c r="BP160" i="11"/>
  <c r="BN160" i="11"/>
  <c r="BM160" i="11"/>
  <c r="BL160" i="11"/>
  <c r="BK160" i="11"/>
  <c r="BJ160" i="11"/>
  <c r="BH160" i="11"/>
  <c r="BG160" i="11"/>
  <c r="BI160" i="11" s="1"/>
  <c r="BE160" i="11"/>
  <c r="BD160" i="11"/>
  <c r="BF160" i="11" s="1"/>
  <c r="BB160" i="11"/>
  <c r="BC160" i="11" s="1"/>
  <c r="BA160" i="11"/>
  <c r="AY160" i="11"/>
  <c r="AX160" i="11"/>
  <c r="AZ160" i="11" s="1"/>
  <c r="AW160" i="11"/>
  <c r="AV160" i="11"/>
  <c r="AU160" i="11"/>
  <c r="AT160" i="11"/>
  <c r="BR159" i="11"/>
  <c r="BQ159" i="11"/>
  <c r="BP159" i="11"/>
  <c r="BN159" i="11"/>
  <c r="BM159" i="11"/>
  <c r="BL159" i="11"/>
  <c r="BK159" i="11"/>
  <c r="BJ159" i="11"/>
  <c r="BH159" i="11"/>
  <c r="BG159" i="11"/>
  <c r="BF159" i="11"/>
  <c r="BE159" i="11"/>
  <c r="BD159" i="11"/>
  <c r="BB159" i="11"/>
  <c r="BC159" i="11" s="1"/>
  <c r="BA159" i="11"/>
  <c r="AY159" i="11"/>
  <c r="AX159" i="11"/>
  <c r="AZ159" i="11" s="1"/>
  <c r="AW159" i="11"/>
  <c r="AV159" i="11"/>
  <c r="AU159" i="11"/>
  <c r="AT159" i="11"/>
  <c r="BR158" i="11"/>
  <c r="BQ158" i="11"/>
  <c r="BP158" i="11"/>
  <c r="BN158" i="11"/>
  <c r="BM158" i="11"/>
  <c r="BL158" i="11"/>
  <c r="BK158" i="11"/>
  <c r="BJ158" i="11"/>
  <c r="BH158" i="11"/>
  <c r="BG158" i="11"/>
  <c r="BI158" i="11" s="1"/>
  <c r="BF158" i="11"/>
  <c r="BE158" i="11"/>
  <c r="BD158" i="11"/>
  <c r="BC158" i="11"/>
  <c r="BB158" i="11"/>
  <c r="BA158" i="11"/>
  <c r="AY158" i="11"/>
  <c r="AX158" i="11"/>
  <c r="AZ158" i="11" s="1"/>
  <c r="AW158" i="11"/>
  <c r="AV158" i="11"/>
  <c r="AU158" i="11"/>
  <c r="AT158" i="11"/>
  <c r="BR157" i="11"/>
  <c r="BQ157" i="11"/>
  <c r="BP157" i="11"/>
  <c r="BN157" i="11"/>
  <c r="BM157" i="11"/>
  <c r="BL157" i="11"/>
  <c r="BK157" i="11"/>
  <c r="BJ157" i="11"/>
  <c r="BI157" i="11"/>
  <c r="BH157" i="11"/>
  <c r="BG157" i="11"/>
  <c r="BE157" i="11"/>
  <c r="BF157" i="11" s="1"/>
  <c r="BD157" i="11"/>
  <c r="BC157" i="11"/>
  <c r="BB157" i="11"/>
  <c r="BA157" i="11"/>
  <c r="AY157" i="11"/>
  <c r="AX157" i="11"/>
  <c r="AZ157" i="11" s="1"/>
  <c r="AW157" i="11"/>
  <c r="AV157" i="11"/>
  <c r="AU157" i="11"/>
  <c r="AT157" i="11"/>
  <c r="BR156" i="11"/>
  <c r="BQ156" i="11"/>
  <c r="BP156" i="11"/>
  <c r="BN156" i="11"/>
  <c r="BM156" i="11"/>
  <c r="BL156" i="11"/>
  <c r="BK156" i="11"/>
  <c r="BJ156" i="11"/>
  <c r="BI156" i="11"/>
  <c r="BH156" i="11"/>
  <c r="BG156" i="11"/>
  <c r="BE156" i="11"/>
  <c r="BD156" i="11"/>
  <c r="BC156" i="11"/>
  <c r="BB156" i="11"/>
  <c r="BA156" i="11"/>
  <c r="AY156" i="11"/>
  <c r="AX156" i="11"/>
  <c r="AZ156" i="11" s="1"/>
  <c r="AW156" i="11"/>
  <c r="AV156" i="11"/>
  <c r="AU156" i="11"/>
  <c r="AT156" i="11"/>
  <c r="BR155" i="11"/>
  <c r="BQ155" i="11"/>
  <c r="BP155" i="11"/>
  <c r="BN155" i="11"/>
  <c r="BM155" i="11"/>
  <c r="BL155" i="11"/>
  <c r="BK155" i="11"/>
  <c r="BJ155" i="11"/>
  <c r="BH155" i="11"/>
  <c r="BG155" i="11"/>
  <c r="BE155" i="11"/>
  <c r="BD155" i="11"/>
  <c r="BF155" i="11" s="1"/>
  <c r="BC155" i="11"/>
  <c r="BB155" i="11"/>
  <c r="BA155" i="11"/>
  <c r="AY155" i="11"/>
  <c r="AX155" i="11"/>
  <c r="AZ155" i="11" s="1"/>
  <c r="AW155" i="11"/>
  <c r="AV155" i="11"/>
  <c r="AU155" i="11"/>
  <c r="AT155" i="11"/>
  <c r="BR154" i="11"/>
  <c r="BQ154" i="11"/>
  <c r="BP154" i="11"/>
  <c r="BN154" i="11"/>
  <c r="BM154" i="11"/>
  <c r="BL154" i="11"/>
  <c r="BK154" i="11"/>
  <c r="BJ154" i="11"/>
  <c r="BI154" i="11"/>
  <c r="BH154" i="11"/>
  <c r="BG154" i="11"/>
  <c r="BF154" i="11"/>
  <c r="BE154" i="11"/>
  <c r="BD154" i="11"/>
  <c r="BB154" i="11"/>
  <c r="BC154" i="11" s="1"/>
  <c r="BA154" i="11"/>
  <c r="AY154" i="11"/>
  <c r="AX154" i="11"/>
  <c r="AZ154" i="11" s="1"/>
  <c r="AW154" i="11"/>
  <c r="AV154" i="11"/>
  <c r="AU154" i="11"/>
  <c r="AT154" i="11"/>
  <c r="BR153" i="11"/>
  <c r="BQ153" i="11"/>
  <c r="BP153" i="11"/>
  <c r="BN153" i="11"/>
  <c r="BM153" i="11"/>
  <c r="BL153" i="11"/>
  <c r="BK153" i="11"/>
  <c r="BJ153" i="11"/>
  <c r="BI153" i="11"/>
  <c r="BH153" i="11"/>
  <c r="BG153" i="11"/>
  <c r="BE153" i="11"/>
  <c r="BF153" i="11" s="1"/>
  <c r="BD153" i="11"/>
  <c r="BB153" i="11"/>
  <c r="BC153" i="11" s="1"/>
  <c r="BA153" i="11"/>
  <c r="AY153" i="11"/>
  <c r="AX153" i="11"/>
  <c r="AZ153" i="11" s="1"/>
  <c r="AW153" i="11"/>
  <c r="AV153" i="11"/>
  <c r="AU153" i="11"/>
  <c r="AT153" i="11"/>
  <c r="BR152" i="11"/>
  <c r="BQ152" i="11"/>
  <c r="BP152" i="11"/>
  <c r="BN152" i="11"/>
  <c r="BM152" i="11"/>
  <c r="BL152" i="11"/>
  <c r="BK152" i="11"/>
  <c r="BJ152" i="11"/>
  <c r="BI152" i="11"/>
  <c r="BH152" i="11"/>
  <c r="BG152" i="11"/>
  <c r="BF152" i="11"/>
  <c r="BE152" i="11"/>
  <c r="BD152" i="11"/>
  <c r="BB152" i="11"/>
  <c r="BC152" i="11" s="1"/>
  <c r="BA152" i="11"/>
  <c r="AY152" i="11"/>
  <c r="AX152" i="11"/>
  <c r="AZ152" i="11" s="1"/>
  <c r="AW152" i="11"/>
  <c r="AV152" i="11"/>
  <c r="AU152" i="11"/>
  <c r="AT152" i="11"/>
  <c r="BR151" i="11"/>
  <c r="BQ151" i="11"/>
  <c r="BP151" i="11"/>
  <c r="BN151" i="11"/>
  <c r="BM151" i="11"/>
  <c r="BL151" i="11"/>
  <c r="BK151" i="11"/>
  <c r="BJ151" i="11"/>
  <c r="BH151" i="11"/>
  <c r="BG151" i="11"/>
  <c r="BI151" i="11" s="1"/>
  <c r="BE151" i="11"/>
  <c r="BD151" i="11"/>
  <c r="BF151" i="11" s="1"/>
  <c r="BC151" i="11"/>
  <c r="BB151" i="11"/>
  <c r="BA151" i="11"/>
  <c r="AY151" i="11"/>
  <c r="AX151" i="11"/>
  <c r="AZ151" i="11" s="1"/>
  <c r="AW151" i="11"/>
  <c r="AV151" i="11"/>
  <c r="AU151" i="11"/>
  <c r="AT151" i="11"/>
  <c r="BR150" i="11"/>
  <c r="BQ150" i="11"/>
  <c r="BP150" i="11"/>
  <c r="BN150" i="11"/>
  <c r="BM150" i="11"/>
  <c r="BL150" i="11"/>
  <c r="BK150" i="11"/>
  <c r="BJ150" i="11"/>
  <c r="BH150" i="11"/>
  <c r="BI150" i="11" s="1"/>
  <c r="BG150" i="11"/>
  <c r="BF150" i="11"/>
  <c r="BE150" i="11"/>
  <c r="BD150" i="11"/>
  <c r="BC150" i="11"/>
  <c r="BB150" i="11"/>
  <c r="BA150" i="11"/>
  <c r="AY150" i="11"/>
  <c r="AX150" i="11"/>
  <c r="AZ150" i="11" s="1"/>
  <c r="AW150" i="11"/>
  <c r="AV150" i="11"/>
  <c r="AU150" i="11"/>
  <c r="AT150" i="11"/>
  <c r="BR149" i="11"/>
  <c r="BQ149" i="11"/>
  <c r="BP149" i="11"/>
  <c r="BN149" i="11"/>
  <c r="BM149" i="11"/>
  <c r="BL149" i="11"/>
  <c r="BK149" i="11"/>
  <c r="BJ149" i="11"/>
  <c r="BI149" i="11"/>
  <c r="BH149" i="11"/>
  <c r="BG149" i="11"/>
  <c r="BE149" i="11"/>
  <c r="BF149" i="11" s="1"/>
  <c r="BD149" i="11"/>
  <c r="BC149" i="11"/>
  <c r="BB149" i="11"/>
  <c r="BA149" i="11"/>
  <c r="AY149" i="11"/>
  <c r="AX149" i="11"/>
  <c r="AZ149" i="11" s="1"/>
  <c r="AW149" i="11"/>
  <c r="AV149" i="11"/>
  <c r="AU149" i="11"/>
  <c r="AT149" i="11"/>
  <c r="BR148" i="11"/>
  <c r="BQ148" i="11"/>
  <c r="BP148" i="11"/>
  <c r="BN148" i="11"/>
  <c r="BM148" i="11"/>
  <c r="BL148" i="11"/>
  <c r="BK148" i="11"/>
  <c r="BJ148" i="11"/>
  <c r="BH148" i="11"/>
  <c r="BI148" i="11" s="1"/>
  <c r="BG148" i="11"/>
  <c r="BE148" i="11"/>
  <c r="BD148" i="11"/>
  <c r="BF148" i="11" s="1"/>
  <c r="BB148" i="11"/>
  <c r="BC148" i="11" s="1"/>
  <c r="BA148" i="11"/>
  <c r="AY148" i="11"/>
  <c r="AX148" i="11"/>
  <c r="AZ148" i="11" s="1"/>
  <c r="AW148" i="11"/>
  <c r="AV148" i="11"/>
  <c r="AU148" i="11"/>
  <c r="AT148" i="11"/>
  <c r="BR147" i="11"/>
  <c r="BQ147" i="11"/>
  <c r="BP147" i="11"/>
  <c r="BN147" i="11"/>
  <c r="BM147" i="11"/>
  <c r="BL147" i="11"/>
  <c r="BK147" i="11"/>
  <c r="BJ147" i="11"/>
  <c r="BH147" i="11"/>
  <c r="BG147" i="11"/>
  <c r="BI147" i="11" s="1"/>
  <c r="BF147" i="11"/>
  <c r="BE147" i="11"/>
  <c r="BD147" i="11"/>
  <c r="BB147" i="11"/>
  <c r="BC147" i="11" s="1"/>
  <c r="BA147" i="11"/>
  <c r="AY147" i="11"/>
  <c r="AX147" i="11"/>
  <c r="AZ147" i="11" s="1"/>
  <c r="AW147" i="11"/>
  <c r="AV147" i="11"/>
  <c r="AU147" i="11"/>
  <c r="AT147" i="11"/>
  <c r="BR146" i="11"/>
  <c r="BQ146" i="11"/>
  <c r="BP146" i="11"/>
  <c r="BN146" i="11"/>
  <c r="BM146" i="11"/>
  <c r="BL146" i="11"/>
  <c r="BK146" i="11"/>
  <c r="BJ146" i="11"/>
  <c r="BH146" i="11"/>
  <c r="BG146" i="11"/>
  <c r="BI146" i="11" s="1"/>
  <c r="BE146" i="11"/>
  <c r="BD146" i="11"/>
  <c r="BF146" i="11" s="1"/>
  <c r="BB146" i="11"/>
  <c r="BC146" i="11" s="1"/>
  <c r="BA146" i="11"/>
  <c r="AY146" i="11"/>
  <c r="AX146" i="11"/>
  <c r="AZ146" i="11" s="1"/>
  <c r="AW146" i="11"/>
  <c r="AV146" i="11"/>
  <c r="AU146" i="11"/>
  <c r="AT146" i="11"/>
  <c r="BR145" i="11"/>
  <c r="BQ145" i="11"/>
  <c r="BP145" i="11"/>
  <c r="BN145" i="11"/>
  <c r="BM145" i="11"/>
  <c r="BL145" i="11"/>
  <c r="BK145" i="11"/>
  <c r="BJ145" i="11"/>
  <c r="BI145" i="11"/>
  <c r="BH145" i="11"/>
  <c r="BG145" i="11"/>
  <c r="BE145" i="11"/>
  <c r="BD145" i="11"/>
  <c r="BC145" i="11"/>
  <c r="BB145" i="11"/>
  <c r="BA145" i="11"/>
  <c r="AY145" i="11"/>
  <c r="AX145" i="11"/>
  <c r="AZ145" i="11" s="1"/>
  <c r="AW145" i="11"/>
  <c r="AV145" i="11"/>
  <c r="AU145" i="11"/>
  <c r="AT145" i="11"/>
  <c r="BR144" i="11"/>
  <c r="BQ144" i="11"/>
  <c r="BP144" i="11"/>
  <c r="BN144" i="11"/>
  <c r="BM144" i="11"/>
  <c r="BL144" i="11"/>
  <c r="BK144" i="11"/>
  <c r="BJ144" i="11"/>
  <c r="BH144" i="11"/>
  <c r="BI144" i="11" s="1"/>
  <c r="BG144" i="11"/>
  <c r="BE144" i="11"/>
  <c r="BD144" i="11"/>
  <c r="BC144" i="11"/>
  <c r="BB144" i="11"/>
  <c r="BA144" i="11"/>
  <c r="AY144" i="11"/>
  <c r="AX144" i="11"/>
  <c r="AZ144" i="11" s="1"/>
  <c r="AW144" i="11"/>
  <c r="AV144" i="11"/>
  <c r="AU144" i="11"/>
  <c r="AT144" i="11"/>
  <c r="BR143" i="11"/>
  <c r="BQ143" i="11"/>
  <c r="BP143" i="11"/>
  <c r="BN143" i="11"/>
  <c r="BM143" i="11"/>
  <c r="BL143" i="11"/>
  <c r="BK143" i="11"/>
  <c r="BJ143" i="11"/>
  <c r="BH143" i="11"/>
  <c r="BI143" i="11" s="1"/>
  <c r="BG143" i="11"/>
  <c r="BE143" i="11"/>
  <c r="BD143" i="11"/>
  <c r="BF143" i="11" s="1"/>
  <c r="BC143" i="11"/>
  <c r="BB143" i="11"/>
  <c r="BA143" i="11"/>
  <c r="AY143" i="11"/>
  <c r="AX143" i="11"/>
  <c r="AZ143" i="11" s="1"/>
  <c r="AW143" i="11"/>
  <c r="AV143" i="11"/>
  <c r="AU143" i="11"/>
  <c r="AT143" i="11"/>
  <c r="BR142" i="11"/>
  <c r="BQ142" i="11"/>
  <c r="BP142" i="11"/>
  <c r="BN142" i="11"/>
  <c r="BM142" i="11"/>
  <c r="BL142" i="11"/>
  <c r="BK142" i="11"/>
  <c r="BJ142" i="11"/>
  <c r="BH142" i="11"/>
  <c r="BG142" i="11"/>
  <c r="BI142" i="11" s="1"/>
  <c r="BF142" i="11"/>
  <c r="BE142" i="11"/>
  <c r="BD142" i="11"/>
  <c r="BC142" i="11"/>
  <c r="BB142" i="11"/>
  <c r="BA142" i="11"/>
  <c r="AY142" i="11"/>
  <c r="AX142" i="11"/>
  <c r="AZ142" i="11" s="1"/>
  <c r="AW142" i="11"/>
  <c r="AV142" i="11"/>
  <c r="AU142" i="11"/>
  <c r="AT142" i="11"/>
  <c r="BR141" i="11"/>
  <c r="BQ141" i="11"/>
  <c r="BP141" i="11"/>
  <c r="BN141" i="11"/>
  <c r="BM141" i="11"/>
  <c r="BL141" i="11"/>
  <c r="BK141" i="11"/>
  <c r="BJ141" i="11"/>
  <c r="BI141" i="11"/>
  <c r="BH141" i="11"/>
  <c r="BG141" i="11"/>
  <c r="BE141" i="11"/>
  <c r="BF141" i="11" s="1"/>
  <c r="BD141" i="11"/>
  <c r="BB141" i="11"/>
  <c r="BC141" i="11" s="1"/>
  <c r="BA141" i="11"/>
  <c r="AY141" i="11"/>
  <c r="AX141" i="11"/>
  <c r="AZ141" i="11" s="1"/>
  <c r="AW141" i="11"/>
  <c r="AV141" i="11"/>
  <c r="AU141" i="11"/>
  <c r="AT141" i="11"/>
  <c r="BR140" i="11"/>
  <c r="BQ140" i="11"/>
  <c r="BP140" i="11"/>
  <c r="BN140" i="11"/>
  <c r="BM140" i="11"/>
  <c r="BL140" i="11"/>
  <c r="BK140" i="11"/>
  <c r="BJ140" i="11"/>
  <c r="BI140" i="11"/>
  <c r="BH140" i="11"/>
  <c r="BG140" i="11"/>
  <c r="BE140" i="11"/>
  <c r="BD140" i="11"/>
  <c r="BF140" i="11" s="1"/>
  <c r="BC140" i="11"/>
  <c r="BB140" i="11"/>
  <c r="BA140" i="11"/>
  <c r="AY140" i="11"/>
  <c r="AX140" i="11"/>
  <c r="AZ140" i="11" s="1"/>
  <c r="AW140" i="11"/>
  <c r="AV140" i="11"/>
  <c r="AU140" i="11"/>
  <c r="AT140" i="11"/>
  <c r="BR139" i="11"/>
  <c r="BQ139" i="11"/>
  <c r="BP139" i="11"/>
  <c r="BN139" i="11"/>
  <c r="BM139" i="11"/>
  <c r="BL139" i="11"/>
  <c r="BK139" i="11"/>
  <c r="BJ139" i="11"/>
  <c r="BH139" i="11"/>
  <c r="BG139" i="11"/>
  <c r="BI139" i="11" s="1"/>
  <c r="BF139" i="11"/>
  <c r="BE139" i="11"/>
  <c r="BD139" i="11"/>
  <c r="BC139" i="11"/>
  <c r="BB139" i="11"/>
  <c r="BA139" i="11"/>
  <c r="AY139" i="11"/>
  <c r="AX139" i="11"/>
  <c r="AZ139" i="11" s="1"/>
  <c r="AW139" i="11"/>
  <c r="AV139" i="11"/>
  <c r="AU139" i="11"/>
  <c r="AT139" i="11"/>
  <c r="BR138" i="11"/>
  <c r="BQ138" i="11"/>
  <c r="BP138" i="11"/>
  <c r="BN138" i="11"/>
  <c r="BM138" i="11"/>
  <c r="BL138" i="11"/>
  <c r="BK138" i="11"/>
  <c r="BJ138" i="11"/>
  <c r="BH138" i="11"/>
  <c r="BG138" i="11"/>
  <c r="BI138" i="11" s="1"/>
  <c r="BE138" i="11"/>
  <c r="BF138" i="11" s="1"/>
  <c r="BD138" i="11"/>
  <c r="BC138" i="11"/>
  <c r="BB138" i="11"/>
  <c r="BA138" i="11"/>
  <c r="AY138" i="11"/>
  <c r="AX138" i="11"/>
  <c r="AZ138" i="11" s="1"/>
  <c r="AW138" i="11"/>
  <c r="AV138" i="11"/>
  <c r="AU138" i="11"/>
  <c r="AT138" i="11"/>
  <c r="BR137" i="11"/>
  <c r="BQ137" i="11"/>
  <c r="BP137" i="11"/>
  <c r="BN137" i="11"/>
  <c r="BM137" i="11"/>
  <c r="BL137" i="11"/>
  <c r="BK137" i="11"/>
  <c r="BJ137" i="11"/>
  <c r="BI137" i="11"/>
  <c r="BH137" i="11"/>
  <c r="BG137" i="11"/>
  <c r="BE137" i="11"/>
  <c r="BD137" i="11"/>
  <c r="BF137" i="11" s="1"/>
  <c r="BB137" i="11"/>
  <c r="BC137" i="11" s="1"/>
  <c r="BA137" i="11"/>
  <c r="AY137" i="11"/>
  <c r="AX137" i="11"/>
  <c r="AZ137" i="11" s="1"/>
  <c r="AW137" i="11"/>
  <c r="AV137" i="11"/>
  <c r="AU137" i="11"/>
  <c r="AT137" i="11"/>
  <c r="BR136" i="11"/>
  <c r="BQ136" i="11"/>
  <c r="BP136" i="11"/>
  <c r="BN136" i="11"/>
  <c r="BM136" i="11"/>
  <c r="BL136" i="11"/>
  <c r="BK136" i="11"/>
  <c r="BJ136" i="11"/>
  <c r="BI136" i="11"/>
  <c r="BH136" i="11"/>
  <c r="BG136" i="11"/>
  <c r="BE136" i="11"/>
  <c r="BD136" i="11"/>
  <c r="BF136" i="11" s="1"/>
  <c r="BC136" i="11"/>
  <c r="BB136" i="11"/>
  <c r="BA136" i="11"/>
  <c r="AY136" i="11"/>
  <c r="AX136" i="11"/>
  <c r="AZ136" i="11" s="1"/>
  <c r="AW136" i="11"/>
  <c r="AV136" i="11"/>
  <c r="AU136" i="11"/>
  <c r="AT136" i="11"/>
  <c r="BR135" i="11"/>
  <c r="BQ135" i="11"/>
  <c r="BP135" i="11"/>
  <c r="BN135" i="11"/>
  <c r="BM135" i="11"/>
  <c r="BL135" i="11"/>
  <c r="BK135" i="11"/>
  <c r="BJ135" i="11"/>
  <c r="BH135" i="11"/>
  <c r="BG135" i="11"/>
  <c r="BI135" i="11" s="1"/>
  <c r="BF135" i="11"/>
  <c r="BE135" i="11"/>
  <c r="BD135" i="11"/>
  <c r="BB135" i="11"/>
  <c r="BC135" i="11" s="1"/>
  <c r="BA135" i="11"/>
  <c r="AY135" i="11"/>
  <c r="AX135" i="11"/>
  <c r="AZ135" i="11" s="1"/>
  <c r="AW135" i="11"/>
  <c r="AV135" i="11"/>
  <c r="AU135" i="11"/>
  <c r="AT135" i="11"/>
  <c r="BR134" i="11"/>
  <c r="BQ134" i="11"/>
  <c r="BP134" i="11"/>
  <c r="BN134" i="11"/>
  <c r="BM134" i="11"/>
  <c r="BL134" i="11"/>
  <c r="BK134" i="11"/>
  <c r="BJ134" i="11"/>
  <c r="BH134" i="11"/>
  <c r="BG134" i="11"/>
  <c r="BI134" i="11" s="1"/>
  <c r="BE134" i="11"/>
  <c r="BD134" i="11"/>
  <c r="BF134" i="11" s="1"/>
  <c r="BC134" i="11"/>
  <c r="BB134" i="11"/>
  <c r="BA134" i="11"/>
  <c r="AY134" i="11"/>
  <c r="AX134" i="11"/>
  <c r="AZ134" i="11" s="1"/>
  <c r="AW134" i="11"/>
  <c r="AV134" i="11"/>
  <c r="AU134" i="11"/>
  <c r="AT134" i="11"/>
  <c r="BR133" i="11"/>
  <c r="BQ133" i="11"/>
  <c r="BP133" i="11"/>
  <c r="BN133" i="11"/>
  <c r="BM133" i="11"/>
  <c r="BL133" i="11"/>
  <c r="BK133" i="11"/>
  <c r="BJ133" i="11"/>
  <c r="BI133" i="11"/>
  <c r="BH133" i="11"/>
  <c r="BG133" i="11"/>
  <c r="BF133" i="11"/>
  <c r="BE133" i="11"/>
  <c r="BD133" i="11"/>
  <c r="BC133" i="11"/>
  <c r="BB133" i="11"/>
  <c r="BA133" i="11"/>
  <c r="AY133" i="11"/>
  <c r="AX133" i="11"/>
  <c r="AZ133" i="11" s="1"/>
  <c r="AW133" i="11"/>
  <c r="AV133" i="11"/>
  <c r="AU133" i="11"/>
  <c r="AT133" i="11"/>
  <c r="BR132" i="11"/>
  <c r="BQ132" i="11"/>
  <c r="BP132" i="11"/>
  <c r="BN132" i="11"/>
  <c r="BM132" i="11"/>
  <c r="BL132" i="11"/>
  <c r="BK132" i="11"/>
  <c r="BJ132" i="11"/>
  <c r="BI132" i="11"/>
  <c r="BH132" i="11"/>
  <c r="BG132" i="11"/>
  <c r="BE132" i="11"/>
  <c r="BD132" i="11"/>
  <c r="BF132" i="11" s="1"/>
  <c r="BB132" i="11"/>
  <c r="BC132" i="11" s="1"/>
  <c r="BA132" i="11"/>
  <c r="AY132" i="11"/>
  <c r="AX132" i="11"/>
  <c r="AZ132" i="11" s="1"/>
  <c r="AW132" i="11"/>
  <c r="AV132" i="11"/>
  <c r="AU132" i="11"/>
  <c r="AT132" i="11"/>
  <c r="BR131" i="11"/>
  <c r="BQ131" i="11"/>
  <c r="BP131" i="11"/>
  <c r="BN131" i="11"/>
  <c r="BM131" i="11"/>
  <c r="BL131" i="11"/>
  <c r="BK131" i="11"/>
  <c r="BJ131" i="11"/>
  <c r="BH131" i="11"/>
  <c r="BG131" i="11"/>
  <c r="BI131" i="11" s="1"/>
  <c r="BE131" i="11"/>
  <c r="BD131" i="11"/>
  <c r="BF131" i="11" s="1"/>
  <c r="BB131" i="11"/>
  <c r="BC131" i="11" s="1"/>
  <c r="BA131" i="11"/>
  <c r="AY131" i="11"/>
  <c r="AX131" i="11"/>
  <c r="AZ131" i="11" s="1"/>
  <c r="AW131" i="11"/>
  <c r="AV131" i="11"/>
  <c r="AU131" i="11"/>
  <c r="AT131" i="11"/>
  <c r="BR130" i="11"/>
  <c r="BQ130" i="11"/>
  <c r="BP130" i="11"/>
  <c r="BN130" i="11"/>
  <c r="BM130" i="11"/>
  <c r="BL130" i="11"/>
  <c r="BK130" i="11"/>
  <c r="BJ130" i="11"/>
  <c r="BH130" i="11"/>
  <c r="BG130" i="11"/>
  <c r="BI130" i="11" s="1"/>
  <c r="BF130" i="11"/>
  <c r="BE130" i="11"/>
  <c r="BD130" i="11"/>
  <c r="BC130" i="11"/>
  <c r="BB130" i="11"/>
  <c r="BA130" i="11"/>
  <c r="AY130" i="11"/>
  <c r="AX130" i="11"/>
  <c r="AZ130" i="11" s="1"/>
  <c r="AW130" i="11"/>
  <c r="AV130" i="11"/>
  <c r="AU130" i="11"/>
  <c r="AT130" i="11"/>
  <c r="BR129" i="11"/>
  <c r="BQ129" i="11"/>
  <c r="BP129" i="11"/>
  <c r="BN129" i="11"/>
  <c r="BM129" i="11"/>
  <c r="BL129" i="11"/>
  <c r="BK129" i="11"/>
  <c r="BJ129" i="11"/>
  <c r="BI129" i="11"/>
  <c r="BH129" i="11"/>
  <c r="BG129" i="11"/>
  <c r="BE129" i="11"/>
  <c r="BF129" i="11" s="1"/>
  <c r="BD129" i="11"/>
  <c r="BB129" i="11"/>
  <c r="BC129" i="11" s="1"/>
  <c r="BA129" i="11"/>
  <c r="AY129" i="11"/>
  <c r="AX129" i="11"/>
  <c r="AZ129" i="11" s="1"/>
  <c r="AW129" i="11"/>
  <c r="AV129" i="11"/>
  <c r="AU129" i="11"/>
  <c r="AT129" i="11"/>
  <c r="BR128" i="11"/>
  <c r="BQ128" i="11"/>
  <c r="BP128" i="11"/>
  <c r="BN128" i="11"/>
  <c r="BM128" i="11"/>
  <c r="BL128" i="11"/>
  <c r="BK128" i="11"/>
  <c r="BJ128" i="11"/>
  <c r="BH128" i="11"/>
  <c r="BG128" i="11"/>
  <c r="BI128" i="11" s="1"/>
  <c r="BE128" i="11"/>
  <c r="BD128" i="11"/>
  <c r="BF128" i="11" s="1"/>
  <c r="BC128" i="11"/>
  <c r="BB128" i="11"/>
  <c r="BA128" i="11"/>
  <c r="AY128" i="11"/>
  <c r="AX128" i="11"/>
  <c r="AZ128" i="11" s="1"/>
  <c r="AW128" i="11"/>
  <c r="AV128" i="11"/>
  <c r="AU128" i="11"/>
  <c r="AT128" i="11"/>
  <c r="BR127" i="11"/>
  <c r="BQ127" i="11"/>
  <c r="BP127" i="11"/>
  <c r="BN127" i="11"/>
  <c r="BM127" i="11"/>
  <c r="BL127" i="11"/>
  <c r="BK127" i="11"/>
  <c r="BJ127" i="11"/>
  <c r="BI127" i="11"/>
  <c r="BH127" i="11"/>
  <c r="BG127" i="11"/>
  <c r="BF127" i="11"/>
  <c r="BE127" i="11"/>
  <c r="BD127" i="11"/>
  <c r="BC127" i="11"/>
  <c r="BB127" i="11"/>
  <c r="BA127" i="11"/>
  <c r="AY127" i="11"/>
  <c r="AX127" i="11"/>
  <c r="AZ127" i="11" s="1"/>
  <c r="AW127" i="11"/>
  <c r="AV127" i="11"/>
  <c r="AU127" i="11"/>
  <c r="AT127" i="11"/>
  <c r="BR126" i="11"/>
  <c r="BQ126" i="11"/>
  <c r="BP126" i="11"/>
  <c r="BN126" i="11"/>
  <c r="BM126" i="11"/>
  <c r="BL126" i="11"/>
  <c r="BK126" i="11"/>
  <c r="BJ126" i="11"/>
  <c r="BH126" i="11"/>
  <c r="BI126" i="11" s="1"/>
  <c r="BG126" i="11"/>
  <c r="BF126" i="11"/>
  <c r="BE126" i="11"/>
  <c r="BD126" i="11"/>
  <c r="BB126" i="11"/>
  <c r="BC126" i="11" s="1"/>
  <c r="BA126" i="11"/>
  <c r="AY126" i="11"/>
  <c r="AX126" i="11"/>
  <c r="AZ126" i="11" s="1"/>
  <c r="AW126" i="11"/>
  <c r="AV126" i="11"/>
  <c r="AU126" i="11"/>
  <c r="AT126" i="11"/>
  <c r="BR125" i="11"/>
  <c r="BQ125" i="11"/>
  <c r="BP125" i="11"/>
  <c r="BN125" i="11"/>
  <c r="BM125" i="11"/>
  <c r="BL125" i="11"/>
  <c r="BK125" i="11"/>
  <c r="BJ125" i="11"/>
  <c r="BH125" i="11"/>
  <c r="BG125" i="11"/>
  <c r="BI125" i="11" s="1"/>
  <c r="BE125" i="11"/>
  <c r="BD125" i="11"/>
  <c r="BF125" i="11" s="1"/>
  <c r="BC125" i="11"/>
  <c r="BB125" i="11"/>
  <c r="BA125" i="11"/>
  <c r="AY125" i="11"/>
  <c r="AX125" i="11"/>
  <c r="AZ125" i="11" s="1"/>
  <c r="AW125" i="11"/>
  <c r="AV125" i="11"/>
  <c r="AU125" i="11"/>
  <c r="AT125" i="11"/>
  <c r="BR124" i="11"/>
  <c r="BQ124" i="11"/>
  <c r="BP124" i="11"/>
  <c r="BN124" i="11"/>
  <c r="BM124" i="11"/>
  <c r="BL124" i="11"/>
  <c r="BK124" i="11"/>
  <c r="BJ124" i="11"/>
  <c r="BH124" i="11"/>
  <c r="BG124" i="11"/>
  <c r="BI124" i="11" s="1"/>
  <c r="BF124" i="11"/>
  <c r="BE124" i="11"/>
  <c r="BD124" i="11"/>
  <c r="BC124" i="11"/>
  <c r="BB124" i="11"/>
  <c r="BA124" i="11"/>
  <c r="AY124" i="11"/>
  <c r="AX124" i="11"/>
  <c r="AZ124" i="11" s="1"/>
  <c r="AW124" i="11"/>
  <c r="AV124" i="11"/>
  <c r="AU124" i="11"/>
  <c r="AT124" i="11"/>
  <c r="BR123" i="11"/>
  <c r="BQ123" i="11"/>
  <c r="BP123" i="11"/>
  <c r="BN123" i="11"/>
  <c r="BM123" i="11"/>
  <c r="BL123" i="11"/>
  <c r="BK123" i="11"/>
  <c r="BJ123" i="11"/>
  <c r="BH123" i="11"/>
  <c r="BG123" i="11"/>
  <c r="BE123" i="11"/>
  <c r="BD123" i="11"/>
  <c r="BF123" i="11" s="1"/>
  <c r="BB123" i="11"/>
  <c r="BC123" i="11" s="1"/>
  <c r="BA123" i="11"/>
  <c r="AY123" i="11"/>
  <c r="AX123" i="11"/>
  <c r="AZ123" i="11" s="1"/>
  <c r="AW123" i="11"/>
  <c r="AV123" i="11"/>
  <c r="AU123" i="11"/>
  <c r="AT123" i="11"/>
  <c r="BR122" i="11"/>
  <c r="BQ122" i="11"/>
  <c r="BP122" i="11"/>
  <c r="BN122" i="11"/>
  <c r="BM122" i="11"/>
  <c r="BL122" i="11"/>
  <c r="BK122" i="11"/>
  <c r="BJ122" i="11"/>
  <c r="BH122" i="11"/>
  <c r="BG122" i="11"/>
  <c r="BI122" i="11" s="1"/>
  <c r="BF122" i="11"/>
  <c r="BE122" i="11"/>
  <c r="BD122" i="11"/>
  <c r="BB122" i="11"/>
  <c r="BC122" i="11" s="1"/>
  <c r="BA122" i="11"/>
  <c r="AY122" i="11"/>
  <c r="AX122" i="11"/>
  <c r="AZ122" i="11" s="1"/>
  <c r="AW122" i="11"/>
  <c r="AV122" i="11"/>
  <c r="AU122" i="11"/>
  <c r="AT122" i="11"/>
  <c r="BR121" i="11"/>
  <c r="BQ121" i="11"/>
  <c r="BP121" i="11"/>
  <c r="BN121" i="11"/>
  <c r="BM121" i="11"/>
  <c r="BL121" i="11"/>
  <c r="BK121" i="11"/>
  <c r="BJ121" i="11"/>
  <c r="BI121" i="11"/>
  <c r="BH121" i="11"/>
  <c r="BG121" i="11"/>
  <c r="BE121" i="11"/>
  <c r="BF121" i="11" s="1"/>
  <c r="BD121" i="11"/>
  <c r="BC121" i="11"/>
  <c r="BB121" i="11"/>
  <c r="BA121" i="11"/>
  <c r="AY121" i="11"/>
  <c r="AX121" i="11"/>
  <c r="AZ121" i="11" s="1"/>
  <c r="AW121" i="11"/>
  <c r="AV121" i="11"/>
  <c r="AU121" i="11"/>
  <c r="AT121" i="11"/>
  <c r="BQ120" i="11"/>
  <c r="AV120" i="11"/>
  <c r="AU120" i="11"/>
  <c r="AT120" i="11"/>
  <c r="AR120" i="11"/>
  <c r="AQ120" i="11"/>
  <c r="BR120" i="11" s="1"/>
  <c r="AN120" i="11"/>
  <c r="AM120" i="11"/>
  <c r="AL120" i="11"/>
  <c r="AK120" i="11"/>
  <c r="AI120" i="11"/>
  <c r="AH120" i="11"/>
  <c r="AG120" i="11"/>
  <c r="AF120" i="11"/>
  <c r="AE120" i="11"/>
  <c r="AD120" i="11"/>
  <c r="AB120" i="11"/>
  <c r="BN120" i="11" s="1"/>
  <c r="AA120" i="11"/>
  <c r="Z120" i="11"/>
  <c r="Y120" i="11"/>
  <c r="X120" i="11"/>
  <c r="W120" i="11"/>
  <c r="V120" i="11"/>
  <c r="U120" i="11"/>
  <c r="T120" i="11"/>
  <c r="S120" i="11"/>
  <c r="R120" i="11"/>
  <c r="P120" i="11"/>
  <c r="P119" i="19" s="1"/>
  <c r="O120" i="11"/>
  <c r="N120" i="11"/>
  <c r="M120" i="11"/>
  <c r="L120" i="11"/>
  <c r="K120" i="11"/>
  <c r="BM120" i="11" s="1"/>
  <c r="J120" i="11"/>
  <c r="BL120" i="11" s="1"/>
  <c r="I120" i="11"/>
  <c r="BK120" i="11" s="1"/>
  <c r="H120" i="11"/>
  <c r="AW120" i="11" s="1"/>
  <c r="G120" i="11"/>
  <c r="E120" i="11"/>
  <c r="D120" i="11"/>
  <c r="C120" i="11"/>
  <c r="B119" i="19" s="1"/>
  <c r="B120" i="11"/>
  <c r="A120" i="11"/>
  <c r="A119" i="19" s="1"/>
  <c r="BQ119" i="11"/>
  <c r="AV119" i="11"/>
  <c r="AU119" i="11"/>
  <c r="AT119" i="11"/>
  <c r="AR119" i="11"/>
  <c r="AQ119" i="11"/>
  <c r="BR119" i="11" s="1"/>
  <c r="AO119" i="11"/>
  <c r="AN119" i="11"/>
  <c r="AM119" i="11"/>
  <c r="AL119" i="11"/>
  <c r="AK119" i="11"/>
  <c r="AI119" i="11"/>
  <c r="AH119" i="11"/>
  <c r="AG119" i="11"/>
  <c r="AF119" i="11"/>
  <c r="AE119" i="11"/>
  <c r="AD119" i="11"/>
  <c r="AB119" i="11"/>
  <c r="BN119" i="11" s="1"/>
  <c r="AA119" i="11"/>
  <c r="Z119" i="11"/>
  <c r="Y119" i="11"/>
  <c r="X119" i="11"/>
  <c r="W119" i="11"/>
  <c r="V119" i="11"/>
  <c r="U119" i="11"/>
  <c r="T119" i="11"/>
  <c r="S119" i="11"/>
  <c r="R119" i="11"/>
  <c r="P119" i="11"/>
  <c r="O119" i="11"/>
  <c r="N119" i="11"/>
  <c r="M119" i="11"/>
  <c r="L119" i="11"/>
  <c r="K118" i="19" s="1"/>
  <c r="K119" i="11"/>
  <c r="BM119" i="11" s="1"/>
  <c r="J119" i="11"/>
  <c r="BL119" i="11" s="1"/>
  <c r="I119" i="11"/>
  <c r="BK119" i="11" s="1"/>
  <c r="H119" i="11"/>
  <c r="AW119" i="11" s="1"/>
  <c r="G119" i="11"/>
  <c r="F119" i="11"/>
  <c r="E119" i="11"/>
  <c r="D119" i="11"/>
  <c r="C119" i="11"/>
  <c r="B118" i="19" s="1"/>
  <c r="B119" i="11"/>
  <c r="A119" i="11"/>
  <c r="A118" i="19" s="1"/>
  <c r="BQ118" i="11"/>
  <c r="AV118" i="11"/>
  <c r="AU118" i="11"/>
  <c r="AT118" i="11"/>
  <c r="AR118" i="11"/>
  <c r="AQ118" i="11"/>
  <c r="BR118" i="11" s="1"/>
  <c r="AO118" i="11"/>
  <c r="AN118" i="11"/>
  <c r="AM118" i="11"/>
  <c r="AL118" i="11"/>
  <c r="AK118" i="11"/>
  <c r="AI118" i="11"/>
  <c r="AH118" i="11"/>
  <c r="AG118" i="11"/>
  <c r="AF118" i="11"/>
  <c r="AE118" i="11"/>
  <c r="AD118" i="11"/>
  <c r="BP118" i="11" s="1"/>
  <c r="AB118" i="11"/>
  <c r="BN118" i="11" s="1"/>
  <c r="AA118" i="11"/>
  <c r="Z118" i="11"/>
  <c r="Y118" i="11"/>
  <c r="X118" i="11"/>
  <c r="W118" i="11"/>
  <c r="V118" i="11"/>
  <c r="U118" i="11"/>
  <c r="T118" i="11"/>
  <c r="S118" i="11"/>
  <c r="R118" i="11"/>
  <c r="P118" i="11"/>
  <c r="P117" i="19" s="1"/>
  <c r="O118" i="11"/>
  <c r="N118" i="11"/>
  <c r="M118" i="11"/>
  <c r="L118" i="11"/>
  <c r="K117" i="19" s="1"/>
  <c r="K118" i="11"/>
  <c r="BM118" i="11" s="1"/>
  <c r="J118" i="11"/>
  <c r="BL118" i="11" s="1"/>
  <c r="I118" i="11"/>
  <c r="BK118" i="11" s="1"/>
  <c r="H118" i="11"/>
  <c r="AW118" i="11" s="1"/>
  <c r="G118" i="11"/>
  <c r="F118" i="11"/>
  <c r="E118" i="11"/>
  <c r="D118" i="11"/>
  <c r="C118" i="11"/>
  <c r="B117" i="19" s="1"/>
  <c r="B118" i="11"/>
  <c r="A118" i="11"/>
  <c r="A117" i="19" s="1"/>
  <c r="BQ117" i="11"/>
  <c r="AV117" i="11"/>
  <c r="AU117" i="11"/>
  <c r="AT117" i="11"/>
  <c r="AR117" i="11"/>
  <c r="AQ117" i="11"/>
  <c r="BJ117" i="11" s="1"/>
  <c r="AO117" i="11"/>
  <c r="AN117" i="11"/>
  <c r="AM117" i="11"/>
  <c r="AL117" i="11"/>
  <c r="AK117" i="11"/>
  <c r="AI117" i="11"/>
  <c r="AH117" i="11"/>
  <c r="AG117" i="11"/>
  <c r="AF117" i="11"/>
  <c r="AE117" i="11"/>
  <c r="AD117" i="11"/>
  <c r="AB117" i="11"/>
  <c r="BN117" i="11" s="1"/>
  <c r="AA117" i="11"/>
  <c r="Z117" i="11"/>
  <c r="Y117" i="11"/>
  <c r="X117" i="11"/>
  <c r="W117" i="11"/>
  <c r="V117" i="11"/>
  <c r="U117" i="11"/>
  <c r="T117" i="11"/>
  <c r="S117" i="11"/>
  <c r="R117" i="11"/>
  <c r="P117" i="11"/>
  <c r="O117" i="11"/>
  <c r="N117" i="11"/>
  <c r="M117" i="11"/>
  <c r="L117" i="11"/>
  <c r="K117" i="11"/>
  <c r="BM117" i="11" s="1"/>
  <c r="J117" i="11"/>
  <c r="BL117" i="11" s="1"/>
  <c r="I117" i="11"/>
  <c r="BK117" i="11" s="1"/>
  <c r="H117" i="11"/>
  <c r="AW117" i="11" s="1"/>
  <c r="G117" i="11"/>
  <c r="F117" i="11"/>
  <c r="E117" i="11"/>
  <c r="D117" i="11"/>
  <c r="C117" i="11"/>
  <c r="B116" i="19" s="1"/>
  <c r="B117" i="11"/>
  <c r="A117" i="11"/>
  <c r="A116" i="19" s="1"/>
  <c r="BQ116" i="11"/>
  <c r="AV116" i="11"/>
  <c r="AU116" i="11"/>
  <c r="AT116" i="11"/>
  <c r="AR116" i="11"/>
  <c r="AQ116" i="11"/>
  <c r="AN116" i="11"/>
  <c r="AM116" i="11"/>
  <c r="AL116" i="11"/>
  <c r="AK116" i="11"/>
  <c r="AI116" i="11"/>
  <c r="AH116" i="11"/>
  <c r="AG116" i="11"/>
  <c r="AF116" i="11"/>
  <c r="AE116" i="11"/>
  <c r="AD116" i="11"/>
  <c r="BP116" i="11" s="1"/>
  <c r="AB116" i="11"/>
  <c r="BN116" i="11" s="1"/>
  <c r="AA116" i="11"/>
  <c r="Z116" i="11"/>
  <c r="Y116" i="11"/>
  <c r="X116" i="11"/>
  <c r="BD116" i="11" s="1"/>
  <c r="W116" i="11"/>
  <c r="V116" i="11"/>
  <c r="U116" i="11"/>
  <c r="T116" i="11"/>
  <c r="S116" i="11"/>
  <c r="R116" i="11"/>
  <c r="P116" i="11"/>
  <c r="P115" i="19" s="1"/>
  <c r="O116" i="11"/>
  <c r="N116" i="11"/>
  <c r="M116" i="11"/>
  <c r="L116" i="11"/>
  <c r="K115" i="19" s="1"/>
  <c r="K116" i="11"/>
  <c r="BM116" i="11" s="1"/>
  <c r="J116" i="11"/>
  <c r="BL116" i="11" s="1"/>
  <c r="I116" i="11"/>
  <c r="BK116" i="11" s="1"/>
  <c r="H116" i="11"/>
  <c r="AW116" i="11" s="1"/>
  <c r="G116" i="11"/>
  <c r="F116" i="11"/>
  <c r="E116" i="11"/>
  <c r="D116" i="11"/>
  <c r="C116" i="11"/>
  <c r="B115" i="19" s="1"/>
  <c r="B116" i="11"/>
  <c r="A116" i="11"/>
  <c r="A115" i="19" s="1"/>
  <c r="BQ115" i="11"/>
  <c r="AV115" i="11"/>
  <c r="AU115" i="11"/>
  <c r="AT115" i="11"/>
  <c r="AR115" i="11"/>
  <c r="AQ115" i="11"/>
  <c r="BJ115" i="11" s="1"/>
  <c r="AN115" i="11"/>
  <c r="AM115" i="11"/>
  <c r="AL115" i="11"/>
  <c r="AK115" i="11"/>
  <c r="AI115" i="11"/>
  <c r="AH115" i="11"/>
  <c r="AG115" i="11"/>
  <c r="AF115" i="11"/>
  <c r="AE115" i="11"/>
  <c r="AD115" i="11"/>
  <c r="BP115" i="11" s="1"/>
  <c r="AB115" i="11"/>
  <c r="BN115" i="11" s="1"/>
  <c r="AA115" i="11"/>
  <c r="Z115" i="11"/>
  <c r="Y115" i="11"/>
  <c r="X115" i="11"/>
  <c r="BD115" i="11" s="1"/>
  <c r="W115" i="11"/>
  <c r="V115" i="11"/>
  <c r="U115" i="11"/>
  <c r="T115" i="11"/>
  <c r="S115" i="11"/>
  <c r="R115" i="11"/>
  <c r="P115" i="11"/>
  <c r="P114" i="19" s="1"/>
  <c r="O115" i="11"/>
  <c r="N115" i="11"/>
  <c r="M115" i="11"/>
  <c r="L115" i="11"/>
  <c r="K114" i="19" s="1"/>
  <c r="K115" i="11"/>
  <c r="BM115" i="11" s="1"/>
  <c r="J115" i="11"/>
  <c r="BL115" i="11" s="1"/>
  <c r="I115" i="11"/>
  <c r="BK115" i="11" s="1"/>
  <c r="H115" i="11"/>
  <c r="AW115" i="11" s="1"/>
  <c r="G115" i="11"/>
  <c r="F115" i="11"/>
  <c r="E115" i="11"/>
  <c r="D115" i="11"/>
  <c r="C115" i="11"/>
  <c r="B114" i="19" s="1"/>
  <c r="B115" i="11"/>
  <c r="A115" i="11"/>
  <c r="A114" i="19" s="1"/>
  <c r="BQ114" i="11"/>
  <c r="AV114" i="11"/>
  <c r="AU114" i="11"/>
  <c r="AT114" i="11"/>
  <c r="AR114" i="11"/>
  <c r="AQ114" i="11"/>
  <c r="AN114" i="11"/>
  <c r="AM114" i="11"/>
  <c r="AL114" i="11"/>
  <c r="AK114" i="11"/>
  <c r="AI114" i="11"/>
  <c r="AH114" i="11"/>
  <c r="AG114" i="11"/>
  <c r="AF114" i="11"/>
  <c r="AE114" i="11"/>
  <c r="AD114" i="11"/>
  <c r="BP114" i="11" s="1"/>
  <c r="AB114" i="11"/>
  <c r="BN114" i="11" s="1"/>
  <c r="AA114" i="11"/>
  <c r="Z114" i="11"/>
  <c r="Y114" i="11"/>
  <c r="X114" i="11"/>
  <c r="W114" i="11"/>
  <c r="V114" i="11"/>
  <c r="U114" i="11"/>
  <c r="T114" i="11"/>
  <c r="S114" i="11"/>
  <c r="R114" i="11"/>
  <c r="P114" i="11"/>
  <c r="P113" i="19" s="1"/>
  <c r="O114" i="11"/>
  <c r="N114" i="11"/>
  <c r="M114" i="11"/>
  <c r="L114" i="11"/>
  <c r="K114" i="11"/>
  <c r="BM114" i="11" s="1"/>
  <c r="J114" i="11"/>
  <c r="BL114" i="11" s="1"/>
  <c r="I114" i="11"/>
  <c r="BK114" i="11" s="1"/>
  <c r="H114" i="11"/>
  <c r="AW114" i="11" s="1"/>
  <c r="G114" i="11"/>
  <c r="F114" i="11"/>
  <c r="E114" i="11"/>
  <c r="D114" i="11"/>
  <c r="C114" i="11"/>
  <c r="B113" i="19" s="1"/>
  <c r="B114" i="11"/>
  <c r="A114" i="11"/>
  <c r="A113" i="19" s="1"/>
  <c r="BQ113" i="11"/>
  <c r="AV113" i="11"/>
  <c r="AU113" i="11"/>
  <c r="AT113" i="11"/>
  <c r="AR113" i="11"/>
  <c r="AQ113" i="11"/>
  <c r="BJ113" i="11" s="1"/>
  <c r="AO113" i="11"/>
  <c r="AN113" i="11"/>
  <c r="AM113" i="11"/>
  <c r="AL113" i="11"/>
  <c r="AK113" i="11"/>
  <c r="AI113" i="11"/>
  <c r="AH113" i="11"/>
  <c r="AG113" i="11"/>
  <c r="AF113" i="11"/>
  <c r="AE113" i="11"/>
  <c r="AD113" i="11"/>
  <c r="BP113" i="11" s="1"/>
  <c r="AB113" i="11"/>
  <c r="BN113" i="11" s="1"/>
  <c r="AA113" i="11"/>
  <c r="Z113" i="11"/>
  <c r="Y113" i="11"/>
  <c r="X113" i="11"/>
  <c r="BD113" i="11" s="1"/>
  <c r="W113" i="11"/>
  <c r="V113" i="11"/>
  <c r="U113" i="11"/>
  <c r="T113" i="11"/>
  <c r="S113" i="11"/>
  <c r="R113" i="11"/>
  <c r="P113" i="11"/>
  <c r="P112" i="19" s="1"/>
  <c r="O113" i="11"/>
  <c r="N113" i="11"/>
  <c r="M113" i="11"/>
  <c r="L113" i="11"/>
  <c r="K113" i="11"/>
  <c r="BM113" i="11" s="1"/>
  <c r="J113" i="11"/>
  <c r="BL113" i="11" s="1"/>
  <c r="I113" i="11"/>
  <c r="BK113" i="11" s="1"/>
  <c r="H113" i="11"/>
  <c r="AW113" i="11" s="1"/>
  <c r="G113" i="11"/>
  <c r="F113" i="11"/>
  <c r="E113" i="11"/>
  <c r="D113" i="11"/>
  <c r="C113" i="11"/>
  <c r="B112" i="19" s="1"/>
  <c r="B113" i="11"/>
  <c r="A113" i="11"/>
  <c r="A112" i="19" s="1"/>
  <c r="BQ112" i="11"/>
  <c r="AV112" i="11"/>
  <c r="AU112" i="11"/>
  <c r="AT112" i="11"/>
  <c r="AR112" i="11"/>
  <c r="AQ112" i="11"/>
  <c r="BR112" i="11" s="1"/>
  <c r="AN112" i="11"/>
  <c r="AM112" i="11"/>
  <c r="AL112" i="11"/>
  <c r="AK112" i="11"/>
  <c r="AI112" i="11"/>
  <c r="AH112" i="11"/>
  <c r="AG112" i="11"/>
  <c r="AF112" i="11"/>
  <c r="AE112" i="11"/>
  <c r="AD112" i="11"/>
  <c r="AB112" i="11"/>
  <c r="BN112" i="11" s="1"/>
  <c r="AA112" i="11"/>
  <c r="Z112" i="11"/>
  <c r="Y112" i="11"/>
  <c r="X112" i="11"/>
  <c r="BD112" i="11" s="1"/>
  <c r="W112" i="11"/>
  <c r="V112" i="11"/>
  <c r="U112" i="11"/>
  <c r="T112" i="11"/>
  <c r="S112" i="11"/>
  <c r="R112" i="11"/>
  <c r="P112" i="11"/>
  <c r="P111" i="19" s="1"/>
  <c r="O112" i="11"/>
  <c r="N112" i="11"/>
  <c r="M112" i="11"/>
  <c r="L112" i="11"/>
  <c r="K111" i="19" s="1"/>
  <c r="K112" i="11"/>
  <c r="BM112" i="11" s="1"/>
  <c r="J112" i="11"/>
  <c r="BL112" i="11" s="1"/>
  <c r="I112" i="11"/>
  <c r="BK112" i="11" s="1"/>
  <c r="H112" i="11"/>
  <c r="AW112" i="11" s="1"/>
  <c r="G112" i="11"/>
  <c r="F112" i="11"/>
  <c r="E112" i="11"/>
  <c r="D112" i="11"/>
  <c r="C112" i="11"/>
  <c r="B111" i="19" s="1"/>
  <c r="B112" i="11"/>
  <c r="A112" i="11"/>
  <c r="A111" i="19" s="1"/>
  <c r="BQ111" i="11"/>
  <c r="AV111" i="11"/>
  <c r="AU111" i="11"/>
  <c r="AT111" i="11"/>
  <c r="AR111" i="11"/>
  <c r="AQ111" i="11"/>
  <c r="AN111" i="11"/>
  <c r="AM111" i="11"/>
  <c r="AL111" i="11"/>
  <c r="AK111" i="11"/>
  <c r="AI111" i="11"/>
  <c r="AH111" i="11"/>
  <c r="AG111" i="11"/>
  <c r="AF111" i="11"/>
  <c r="AE111" i="11"/>
  <c r="AD111" i="11"/>
  <c r="AB111" i="11"/>
  <c r="BN111" i="11" s="1"/>
  <c r="AA111" i="11"/>
  <c r="Z111" i="11"/>
  <c r="Y111" i="11"/>
  <c r="X111" i="11"/>
  <c r="BD111" i="11" s="1"/>
  <c r="W111" i="11"/>
  <c r="V111" i="11"/>
  <c r="U111" i="11"/>
  <c r="T111" i="11"/>
  <c r="S111" i="11"/>
  <c r="R111" i="11"/>
  <c r="P111" i="11"/>
  <c r="P110" i="19" s="1"/>
  <c r="O111" i="11"/>
  <c r="N111" i="11"/>
  <c r="M111" i="11"/>
  <c r="L111" i="11"/>
  <c r="K110" i="19" s="1"/>
  <c r="K111" i="11"/>
  <c r="BM111" i="11" s="1"/>
  <c r="J111" i="11"/>
  <c r="BL111" i="11" s="1"/>
  <c r="I111" i="11"/>
  <c r="BK111" i="11" s="1"/>
  <c r="H111" i="11"/>
  <c r="AW111" i="11" s="1"/>
  <c r="G111" i="11"/>
  <c r="F111" i="11"/>
  <c r="E111" i="11"/>
  <c r="D111" i="11"/>
  <c r="C111" i="11"/>
  <c r="B110" i="19" s="1"/>
  <c r="B111" i="11"/>
  <c r="A111" i="11"/>
  <c r="A110" i="19" s="1"/>
  <c r="BQ110" i="11"/>
  <c r="AV110" i="11"/>
  <c r="AU110" i="11"/>
  <c r="AT110" i="11"/>
  <c r="AR110" i="11"/>
  <c r="AQ110" i="11"/>
  <c r="BR110" i="11" s="1"/>
  <c r="AO110" i="11"/>
  <c r="AN110" i="11"/>
  <c r="AM110" i="11"/>
  <c r="AL110" i="11"/>
  <c r="AK110" i="11"/>
  <c r="AI110" i="11"/>
  <c r="AH110" i="11"/>
  <c r="AG110" i="11"/>
  <c r="AF110" i="11"/>
  <c r="AE110" i="11"/>
  <c r="AD110" i="11"/>
  <c r="BP110" i="11" s="1"/>
  <c r="AB110" i="11"/>
  <c r="BN110" i="11" s="1"/>
  <c r="AA110" i="11"/>
  <c r="Z110" i="11"/>
  <c r="Y110" i="11"/>
  <c r="X110" i="11"/>
  <c r="BD110" i="11" s="1"/>
  <c r="W110" i="11"/>
  <c r="V110" i="11"/>
  <c r="U110" i="11"/>
  <c r="T110" i="11"/>
  <c r="S110" i="11"/>
  <c r="R110" i="11"/>
  <c r="P110" i="11"/>
  <c r="P109" i="19" s="1"/>
  <c r="O110" i="11"/>
  <c r="N110" i="11"/>
  <c r="M110" i="11"/>
  <c r="L110" i="11"/>
  <c r="K109" i="19" s="1"/>
  <c r="K110" i="11"/>
  <c r="BM110" i="11" s="1"/>
  <c r="J110" i="11"/>
  <c r="BL110" i="11" s="1"/>
  <c r="I110" i="11"/>
  <c r="BK110" i="11" s="1"/>
  <c r="H110" i="11"/>
  <c r="AW110" i="11" s="1"/>
  <c r="G110" i="11"/>
  <c r="F110" i="11"/>
  <c r="E110" i="11"/>
  <c r="D110" i="11"/>
  <c r="C110" i="11"/>
  <c r="B109" i="19" s="1"/>
  <c r="B110" i="11"/>
  <c r="A110" i="11"/>
  <c r="A109" i="19" s="1"/>
  <c r="BQ109" i="11"/>
  <c r="AU109" i="11"/>
  <c r="AT109" i="11"/>
  <c r="AR109" i="11"/>
  <c r="AQ109" i="11"/>
  <c r="AP109" i="11"/>
  <c r="AV109" i="11" s="1"/>
  <c r="AN109" i="11"/>
  <c r="AM109" i="11"/>
  <c r="AL109" i="11"/>
  <c r="AK109" i="11"/>
  <c r="AI109" i="11"/>
  <c r="AH109" i="11"/>
  <c r="AG109" i="11"/>
  <c r="AF109" i="11"/>
  <c r="AE109" i="11"/>
  <c r="AD109" i="11"/>
  <c r="BP109" i="11" s="1"/>
  <c r="AB109" i="11"/>
  <c r="BN109" i="11" s="1"/>
  <c r="AA109" i="11"/>
  <c r="Z109" i="11"/>
  <c r="Y109" i="11"/>
  <c r="X109" i="11"/>
  <c r="W109" i="11"/>
  <c r="V109" i="11"/>
  <c r="U109" i="11"/>
  <c r="T109" i="11"/>
  <c r="S109" i="11"/>
  <c r="R109" i="11"/>
  <c r="P109" i="11"/>
  <c r="P108" i="19" s="1"/>
  <c r="O109" i="11"/>
  <c r="N109" i="11"/>
  <c r="M109" i="11"/>
  <c r="L109" i="11"/>
  <c r="K108" i="19" s="1"/>
  <c r="K109" i="11"/>
  <c r="BM109" i="11" s="1"/>
  <c r="J109" i="11"/>
  <c r="BL109" i="11" s="1"/>
  <c r="I109" i="11"/>
  <c r="BK109" i="11" s="1"/>
  <c r="H109" i="11"/>
  <c r="AW109" i="11" s="1"/>
  <c r="G109" i="11"/>
  <c r="F109" i="11"/>
  <c r="E109" i="11"/>
  <c r="D109" i="11"/>
  <c r="C109" i="11"/>
  <c r="B108" i="19" s="1"/>
  <c r="B109" i="11"/>
  <c r="A109" i="11"/>
  <c r="A108" i="19" s="1"/>
  <c r="BQ108" i="11"/>
  <c r="AU108" i="11"/>
  <c r="AT108" i="11"/>
  <c r="AR108" i="11"/>
  <c r="AQ108" i="11"/>
  <c r="BJ108" i="11" s="1"/>
  <c r="AP108" i="11"/>
  <c r="AV108" i="11" s="1"/>
  <c r="AN108" i="11"/>
  <c r="AM108" i="11"/>
  <c r="AL108" i="11"/>
  <c r="AK108" i="11"/>
  <c r="AI108" i="11"/>
  <c r="AH108" i="11"/>
  <c r="AG108" i="11"/>
  <c r="AF108" i="11"/>
  <c r="AE108" i="11"/>
  <c r="AD108" i="11"/>
  <c r="AB108" i="11"/>
  <c r="BN108" i="11" s="1"/>
  <c r="AA108" i="11"/>
  <c r="Z108" i="11"/>
  <c r="Y108" i="11"/>
  <c r="X108" i="11"/>
  <c r="BD108" i="11" s="1"/>
  <c r="W108" i="11"/>
  <c r="V108" i="11"/>
  <c r="U108" i="11"/>
  <c r="T108" i="11"/>
  <c r="S108" i="11"/>
  <c r="R108" i="11"/>
  <c r="P108" i="11"/>
  <c r="P107" i="19" s="1"/>
  <c r="O108" i="11"/>
  <c r="N108" i="11"/>
  <c r="M108" i="11"/>
  <c r="L108" i="11"/>
  <c r="K107" i="19" s="1"/>
  <c r="K108" i="11"/>
  <c r="BM108" i="11" s="1"/>
  <c r="J108" i="11"/>
  <c r="BL108" i="11" s="1"/>
  <c r="I108" i="11"/>
  <c r="BK108" i="11" s="1"/>
  <c r="H108" i="11"/>
  <c r="AW108" i="11" s="1"/>
  <c r="G108" i="11"/>
  <c r="F108" i="11"/>
  <c r="E108" i="11"/>
  <c r="D108" i="11"/>
  <c r="C108" i="11"/>
  <c r="B107" i="19" s="1"/>
  <c r="B108" i="11"/>
  <c r="A108" i="11"/>
  <c r="A107" i="19" s="1"/>
  <c r="BQ107" i="11"/>
  <c r="AU107" i="11"/>
  <c r="AT107" i="11"/>
  <c r="AR107" i="11"/>
  <c r="AQ107" i="11"/>
  <c r="AP107" i="11"/>
  <c r="AV107" i="11" s="1"/>
  <c r="AN107" i="11"/>
  <c r="AM107" i="11"/>
  <c r="AL107" i="11"/>
  <c r="AK107" i="11"/>
  <c r="AI107" i="11"/>
  <c r="AH107" i="11"/>
  <c r="AG107" i="11"/>
  <c r="AF107" i="11"/>
  <c r="AE107" i="11"/>
  <c r="AD107" i="11"/>
  <c r="AB107" i="11"/>
  <c r="BN107" i="11" s="1"/>
  <c r="AA107" i="11"/>
  <c r="Z107" i="11"/>
  <c r="Y107" i="11"/>
  <c r="X107" i="11"/>
  <c r="BD107" i="11" s="1"/>
  <c r="W107" i="11"/>
  <c r="V107" i="11"/>
  <c r="U107" i="11"/>
  <c r="T107" i="11"/>
  <c r="S107" i="11"/>
  <c r="R107" i="11"/>
  <c r="P107" i="11"/>
  <c r="P106" i="19" s="1"/>
  <c r="O107" i="11"/>
  <c r="N107" i="11"/>
  <c r="M107" i="11"/>
  <c r="L107" i="11"/>
  <c r="K107" i="11"/>
  <c r="BM107" i="11" s="1"/>
  <c r="J107" i="11"/>
  <c r="BL107" i="11" s="1"/>
  <c r="I107" i="11"/>
  <c r="BK107" i="11" s="1"/>
  <c r="H107" i="11"/>
  <c r="AW107" i="11" s="1"/>
  <c r="G107" i="11"/>
  <c r="F107" i="11"/>
  <c r="E107" i="11"/>
  <c r="D107" i="11"/>
  <c r="C107" i="11"/>
  <c r="B106" i="19" s="1"/>
  <c r="B107" i="11"/>
  <c r="A107" i="11"/>
  <c r="A106" i="19" s="1"/>
  <c r="BQ106" i="11"/>
  <c r="AU106" i="11"/>
  <c r="AT106" i="11"/>
  <c r="AR106" i="11"/>
  <c r="AQ106" i="11"/>
  <c r="AP106" i="11"/>
  <c r="AV106" i="11" s="1"/>
  <c r="AN106" i="11"/>
  <c r="AM106" i="11"/>
  <c r="AL106" i="11"/>
  <c r="AK106" i="11"/>
  <c r="AI106" i="11"/>
  <c r="AH106" i="11"/>
  <c r="AG106" i="11"/>
  <c r="AF106" i="11"/>
  <c r="AE106" i="11"/>
  <c r="AD106" i="11"/>
  <c r="AB106" i="11"/>
  <c r="BN106" i="11" s="1"/>
  <c r="AA106" i="11"/>
  <c r="Z106" i="11"/>
  <c r="Y106" i="11"/>
  <c r="X106" i="11"/>
  <c r="BD106" i="11" s="1"/>
  <c r="W106" i="11"/>
  <c r="V106" i="11"/>
  <c r="U106" i="11"/>
  <c r="T106" i="11"/>
  <c r="S106" i="11"/>
  <c r="R106" i="11"/>
  <c r="P106" i="11"/>
  <c r="P105" i="19" s="1"/>
  <c r="O106" i="11"/>
  <c r="N106" i="11"/>
  <c r="M106" i="11"/>
  <c r="L106" i="11"/>
  <c r="K105" i="19" s="1"/>
  <c r="K106" i="11"/>
  <c r="BM106" i="11" s="1"/>
  <c r="J106" i="11"/>
  <c r="BL106" i="11" s="1"/>
  <c r="I106" i="11"/>
  <c r="BK106" i="11" s="1"/>
  <c r="H106" i="11"/>
  <c r="AW106" i="11" s="1"/>
  <c r="G106" i="11"/>
  <c r="F106" i="11"/>
  <c r="E106" i="11"/>
  <c r="D106" i="11"/>
  <c r="C106" i="11"/>
  <c r="B105" i="19" s="1"/>
  <c r="B106" i="11"/>
  <c r="A106" i="11"/>
  <c r="A105" i="19" s="1"/>
  <c r="BQ105" i="11"/>
  <c r="AU105" i="11"/>
  <c r="AT105" i="11"/>
  <c r="AR105" i="11"/>
  <c r="AQ105" i="11"/>
  <c r="AP105" i="11"/>
  <c r="AV105" i="11" s="1"/>
  <c r="AN105" i="11"/>
  <c r="AM105" i="11"/>
  <c r="AL105" i="11"/>
  <c r="AK105" i="11"/>
  <c r="AI105" i="11"/>
  <c r="AH105" i="11"/>
  <c r="AG105" i="11"/>
  <c r="AF105" i="11"/>
  <c r="AE105" i="11"/>
  <c r="AD105" i="11"/>
  <c r="AB105" i="11"/>
  <c r="BN105" i="11" s="1"/>
  <c r="AA105" i="11"/>
  <c r="Z105" i="11"/>
  <c r="Y105" i="11"/>
  <c r="X105" i="11"/>
  <c r="W105" i="11"/>
  <c r="V105" i="11"/>
  <c r="U105" i="11"/>
  <c r="T105" i="11"/>
  <c r="S105" i="11"/>
  <c r="R105" i="11"/>
  <c r="P105" i="11"/>
  <c r="P104" i="19" s="1"/>
  <c r="O105" i="11"/>
  <c r="N105" i="11"/>
  <c r="M105" i="11"/>
  <c r="L105" i="11"/>
  <c r="K104" i="19" s="1"/>
  <c r="K105" i="11"/>
  <c r="BM105" i="11" s="1"/>
  <c r="J105" i="11"/>
  <c r="BL105" i="11" s="1"/>
  <c r="I105" i="11"/>
  <c r="BK105" i="11" s="1"/>
  <c r="H105" i="11"/>
  <c r="AW105" i="11" s="1"/>
  <c r="G105" i="11"/>
  <c r="F105" i="11"/>
  <c r="E105" i="11"/>
  <c r="D105" i="11"/>
  <c r="C105" i="11"/>
  <c r="B104" i="19" s="1"/>
  <c r="B105" i="11"/>
  <c r="A105" i="11"/>
  <c r="A104" i="19" s="1"/>
  <c r="BQ104" i="11"/>
  <c r="AU104" i="11"/>
  <c r="AT104" i="11"/>
  <c r="AR104" i="11"/>
  <c r="AQ104" i="11"/>
  <c r="BJ104" i="11" s="1"/>
  <c r="AP104" i="11"/>
  <c r="AV104" i="11" s="1"/>
  <c r="AO104" i="11"/>
  <c r="AN104" i="11"/>
  <c r="AM104" i="11"/>
  <c r="AL104" i="11"/>
  <c r="AK104" i="11"/>
  <c r="AI104" i="11"/>
  <c r="AH104" i="11"/>
  <c r="AG104" i="11"/>
  <c r="AF104" i="11"/>
  <c r="AE104" i="11"/>
  <c r="AD104" i="11"/>
  <c r="BP104" i="11" s="1"/>
  <c r="AB104" i="11"/>
  <c r="BN104" i="11" s="1"/>
  <c r="AA104" i="11"/>
  <c r="Z104" i="11"/>
  <c r="Y104" i="11"/>
  <c r="X104" i="11"/>
  <c r="BD104" i="11" s="1"/>
  <c r="W104" i="11"/>
  <c r="V104" i="11"/>
  <c r="U104" i="11"/>
  <c r="T104" i="11"/>
  <c r="S104" i="11"/>
  <c r="R104" i="11"/>
  <c r="P104" i="11"/>
  <c r="P103" i="19" s="1"/>
  <c r="O104" i="11"/>
  <c r="N104" i="11"/>
  <c r="M104" i="11"/>
  <c r="L104" i="11"/>
  <c r="K104" i="11"/>
  <c r="BM104" i="11" s="1"/>
  <c r="J104" i="11"/>
  <c r="BL104" i="11" s="1"/>
  <c r="I104" i="11"/>
  <c r="BK104" i="11" s="1"/>
  <c r="H104" i="11"/>
  <c r="AW104" i="11" s="1"/>
  <c r="G104" i="11"/>
  <c r="F104" i="11"/>
  <c r="E104" i="11"/>
  <c r="D104" i="11"/>
  <c r="C104" i="11"/>
  <c r="B103" i="19" s="1"/>
  <c r="B104" i="11"/>
  <c r="A104" i="11"/>
  <c r="A103" i="19" s="1"/>
  <c r="BQ103" i="11"/>
  <c r="AU103" i="11"/>
  <c r="AT103" i="11"/>
  <c r="AR103" i="11"/>
  <c r="AQ103" i="11"/>
  <c r="BJ103" i="11" s="1"/>
  <c r="AP103" i="11"/>
  <c r="AV103" i="11" s="1"/>
  <c r="AN103" i="11"/>
  <c r="AM103" i="11"/>
  <c r="AL103" i="11"/>
  <c r="AK103" i="11"/>
  <c r="AI103" i="11"/>
  <c r="AH103" i="11"/>
  <c r="AG103" i="11"/>
  <c r="AF103" i="11"/>
  <c r="AE103" i="11"/>
  <c r="AD103" i="11"/>
  <c r="AB103" i="11"/>
  <c r="BN103" i="11" s="1"/>
  <c r="AA103" i="11"/>
  <c r="Z103" i="11"/>
  <c r="Y103" i="11"/>
  <c r="X103" i="11"/>
  <c r="W103" i="11"/>
  <c r="V103" i="11"/>
  <c r="U103" i="11"/>
  <c r="T103" i="11"/>
  <c r="S103" i="11"/>
  <c r="R103" i="11"/>
  <c r="P103" i="11"/>
  <c r="P102" i="19" s="1"/>
  <c r="O103" i="11"/>
  <c r="N103" i="11"/>
  <c r="M103" i="11"/>
  <c r="L103" i="11"/>
  <c r="K103" i="11"/>
  <c r="BM103" i="11" s="1"/>
  <c r="J103" i="11"/>
  <c r="BL103" i="11" s="1"/>
  <c r="I103" i="11"/>
  <c r="BK103" i="11" s="1"/>
  <c r="H103" i="11"/>
  <c r="AW103" i="11" s="1"/>
  <c r="G103" i="11"/>
  <c r="E103" i="11"/>
  <c r="D103" i="11"/>
  <c r="C103" i="11"/>
  <c r="B102" i="19" s="1"/>
  <c r="B103" i="11"/>
  <c r="A103" i="11"/>
  <c r="A102" i="19" s="1"/>
  <c r="BQ102" i="11"/>
  <c r="AU102" i="11"/>
  <c r="AT102" i="11"/>
  <c r="AR102" i="11"/>
  <c r="AQ102" i="11"/>
  <c r="BJ102" i="11" s="1"/>
  <c r="AP102" i="11"/>
  <c r="AV102" i="11" s="1"/>
  <c r="AN102" i="11"/>
  <c r="AM102" i="11"/>
  <c r="AL102" i="11"/>
  <c r="AK102" i="11"/>
  <c r="AI102" i="11"/>
  <c r="AH102" i="11"/>
  <c r="AG102" i="11"/>
  <c r="AF102" i="11"/>
  <c r="AE102" i="11"/>
  <c r="AD102" i="11"/>
  <c r="BP102" i="11" s="1"/>
  <c r="AB102" i="11"/>
  <c r="BN102" i="11" s="1"/>
  <c r="AA102" i="11"/>
  <c r="Z102" i="11"/>
  <c r="Y102" i="11"/>
  <c r="X102" i="11"/>
  <c r="W102" i="11"/>
  <c r="V102" i="11"/>
  <c r="U102" i="11"/>
  <c r="T102" i="11"/>
  <c r="S102" i="11"/>
  <c r="R102" i="11"/>
  <c r="P102" i="11"/>
  <c r="P101" i="19" s="1"/>
  <c r="O102" i="11"/>
  <c r="N102" i="11"/>
  <c r="M102" i="11"/>
  <c r="L102" i="11"/>
  <c r="K102" i="11"/>
  <c r="BM102" i="11" s="1"/>
  <c r="J102" i="11"/>
  <c r="BL102" i="11" s="1"/>
  <c r="I102" i="11"/>
  <c r="BK102" i="11" s="1"/>
  <c r="H102" i="11"/>
  <c r="AW102" i="11" s="1"/>
  <c r="G102" i="11"/>
  <c r="E102" i="11"/>
  <c r="D102" i="11"/>
  <c r="C102" i="11"/>
  <c r="B101" i="19" s="1"/>
  <c r="B102" i="11"/>
  <c r="A102" i="11"/>
  <c r="A101" i="19" s="1"/>
  <c r="BQ101" i="11"/>
  <c r="AU101" i="11"/>
  <c r="AT101" i="11"/>
  <c r="AR101" i="11"/>
  <c r="AQ101" i="11"/>
  <c r="AP101" i="11"/>
  <c r="AV101" i="11" s="1"/>
  <c r="AO101" i="11"/>
  <c r="AN101" i="11"/>
  <c r="AM101" i="11"/>
  <c r="AL101" i="11"/>
  <c r="AK101" i="11"/>
  <c r="AI101" i="11"/>
  <c r="AH101" i="11"/>
  <c r="AG101" i="11"/>
  <c r="AF101" i="11"/>
  <c r="AE101" i="11"/>
  <c r="AD101" i="11"/>
  <c r="BP101" i="11" s="1"/>
  <c r="AB101" i="11"/>
  <c r="BN101" i="11" s="1"/>
  <c r="AA101" i="11"/>
  <c r="Z101" i="11"/>
  <c r="Y101" i="11"/>
  <c r="X101" i="11"/>
  <c r="W101" i="11"/>
  <c r="V101" i="11"/>
  <c r="U101" i="11"/>
  <c r="T101" i="11"/>
  <c r="S101" i="11"/>
  <c r="R101" i="11"/>
  <c r="P101" i="11"/>
  <c r="P100" i="19" s="1"/>
  <c r="O101" i="11"/>
  <c r="N101" i="11"/>
  <c r="M101" i="11"/>
  <c r="L101" i="11"/>
  <c r="K100" i="19" s="1"/>
  <c r="K101" i="11"/>
  <c r="BM101" i="11" s="1"/>
  <c r="J101" i="11"/>
  <c r="BL101" i="11" s="1"/>
  <c r="I101" i="11"/>
  <c r="BK101" i="11" s="1"/>
  <c r="H101" i="11"/>
  <c r="AW101" i="11" s="1"/>
  <c r="G101" i="11"/>
  <c r="F101" i="11"/>
  <c r="E101" i="11"/>
  <c r="D101" i="11"/>
  <c r="C101" i="11"/>
  <c r="B100" i="19" s="1"/>
  <c r="B101" i="11"/>
  <c r="A101" i="11"/>
  <c r="A100" i="19" s="1"/>
  <c r="BQ100" i="11"/>
  <c r="AU100" i="11"/>
  <c r="AT100" i="11"/>
  <c r="AR100" i="11"/>
  <c r="AQ100" i="11"/>
  <c r="AP100" i="11"/>
  <c r="AV100" i="11" s="1"/>
  <c r="AN100" i="11"/>
  <c r="AM100" i="11"/>
  <c r="AL100" i="11"/>
  <c r="AK100" i="11"/>
  <c r="AI100" i="11"/>
  <c r="AH100" i="11"/>
  <c r="AG100" i="11"/>
  <c r="AF100" i="11"/>
  <c r="AE100" i="11"/>
  <c r="AD100" i="11"/>
  <c r="BP100" i="11" s="1"/>
  <c r="AB100" i="11"/>
  <c r="BN100" i="11" s="1"/>
  <c r="AA100" i="11"/>
  <c r="Z100" i="11"/>
  <c r="Y100" i="11"/>
  <c r="X100" i="11"/>
  <c r="BD100" i="11" s="1"/>
  <c r="W100" i="11"/>
  <c r="V100" i="11"/>
  <c r="U100" i="11"/>
  <c r="T100" i="11"/>
  <c r="S100" i="11"/>
  <c r="R100" i="11"/>
  <c r="P100" i="11"/>
  <c r="P99" i="19" s="1"/>
  <c r="O100" i="11"/>
  <c r="N100" i="11"/>
  <c r="M100" i="11"/>
  <c r="L100" i="11"/>
  <c r="K99" i="19" s="1"/>
  <c r="K100" i="11"/>
  <c r="BM100" i="11" s="1"/>
  <c r="J100" i="11"/>
  <c r="BL100" i="11" s="1"/>
  <c r="I100" i="11"/>
  <c r="BK100" i="11" s="1"/>
  <c r="H100" i="11"/>
  <c r="AW100" i="11" s="1"/>
  <c r="G100" i="11"/>
  <c r="E100" i="11"/>
  <c r="D100" i="11"/>
  <c r="C100" i="11"/>
  <c r="B99" i="19" s="1"/>
  <c r="B100" i="11"/>
  <c r="A100" i="11"/>
  <c r="A99" i="19" s="1"/>
  <c r="BQ99" i="11"/>
  <c r="AU99" i="11"/>
  <c r="AT99" i="11"/>
  <c r="AR99" i="11"/>
  <c r="AQ99" i="11"/>
  <c r="BJ99" i="11" s="1"/>
  <c r="AP99" i="11"/>
  <c r="AV99" i="11" s="1"/>
  <c r="AO99" i="11"/>
  <c r="AN99" i="11"/>
  <c r="AM99" i="11"/>
  <c r="AL99" i="11"/>
  <c r="AK99" i="11"/>
  <c r="AI99" i="11"/>
  <c r="AH99" i="11"/>
  <c r="AG99" i="11"/>
  <c r="AF99" i="11"/>
  <c r="AE99" i="11"/>
  <c r="AD99" i="11"/>
  <c r="AB99" i="11"/>
  <c r="BN99" i="11" s="1"/>
  <c r="AA99" i="11"/>
  <c r="Z99" i="11"/>
  <c r="Y99" i="11"/>
  <c r="X99" i="11"/>
  <c r="W99" i="11"/>
  <c r="V99" i="11"/>
  <c r="U99" i="11"/>
  <c r="T99" i="11"/>
  <c r="S99" i="11"/>
  <c r="R99" i="11"/>
  <c r="P99" i="11"/>
  <c r="P98" i="19" s="1"/>
  <c r="O99" i="11"/>
  <c r="N99" i="11"/>
  <c r="M99" i="11"/>
  <c r="L99" i="11"/>
  <c r="K99" i="11"/>
  <c r="BM99" i="11" s="1"/>
  <c r="J99" i="11"/>
  <c r="BL99" i="11" s="1"/>
  <c r="I99" i="11"/>
  <c r="BK99" i="11" s="1"/>
  <c r="H99" i="11"/>
  <c r="AW99" i="11" s="1"/>
  <c r="G99" i="11"/>
  <c r="F99" i="11"/>
  <c r="E99" i="11"/>
  <c r="D99" i="11"/>
  <c r="C99" i="11"/>
  <c r="B98" i="19" s="1"/>
  <c r="B99" i="11"/>
  <c r="A99" i="11"/>
  <c r="A98" i="19" s="1"/>
  <c r="BQ98" i="11"/>
  <c r="AU98" i="11"/>
  <c r="AT98" i="11"/>
  <c r="AR98" i="11"/>
  <c r="AQ98" i="11"/>
  <c r="BJ98" i="11" s="1"/>
  <c r="AP98" i="11"/>
  <c r="AV98" i="11" s="1"/>
  <c r="AN98" i="11"/>
  <c r="AM98" i="11"/>
  <c r="AL98" i="11"/>
  <c r="AK98" i="11"/>
  <c r="AI98" i="11"/>
  <c r="AH98" i="11"/>
  <c r="AG98" i="11"/>
  <c r="AF98" i="11"/>
  <c r="AE98" i="11"/>
  <c r="AD98" i="11"/>
  <c r="AB98" i="11"/>
  <c r="BN98" i="11" s="1"/>
  <c r="AA98" i="11"/>
  <c r="Z98" i="11"/>
  <c r="Y98" i="11"/>
  <c r="X98" i="11"/>
  <c r="W98" i="11"/>
  <c r="V98" i="11"/>
  <c r="U98" i="11"/>
  <c r="T98" i="11"/>
  <c r="S98" i="11"/>
  <c r="R98" i="11"/>
  <c r="P98" i="11"/>
  <c r="P97" i="19" s="1"/>
  <c r="O98" i="11"/>
  <c r="N98" i="11"/>
  <c r="M98" i="11"/>
  <c r="L98" i="11"/>
  <c r="K98" i="11"/>
  <c r="BM98" i="11" s="1"/>
  <c r="J98" i="11"/>
  <c r="BL98" i="11" s="1"/>
  <c r="I98" i="11"/>
  <c r="BK98" i="11" s="1"/>
  <c r="H98" i="11"/>
  <c r="AW98" i="11" s="1"/>
  <c r="G98" i="11"/>
  <c r="F98" i="11"/>
  <c r="E98" i="11"/>
  <c r="D98" i="11"/>
  <c r="C98" i="11"/>
  <c r="B97" i="19" s="1"/>
  <c r="B98" i="11"/>
  <c r="A98" i="11"/>
  <c r="A97" i="19" s="1"/>
  <c r="BQ97" i="11"/>
  <c r="AU97" i="11"/>
  <c r="AT97" i="11"/>
  <c r="AR97" i="11"/>
  <c r="AQ97" i="11"/>
  <c r="BJ97" i="11" s="1"/>
  <c r="AP97" i="11"/>
  <c r="AV97" i="11" s="1"/>
  <c r="AN97" i="11"/>
  <c r="AM97" i="11"/>
  <c r="AL97" i="11"/>
  <c r="AK97" i="11"/>
  <c r="AI97" i="11"/>
  <c r="AH97" i="11"/>
  <c r="AG97" i="11"/>
  <c r="AF97" i="11"/>
  <c r="AE97" i="11"/>
  <c r="AD97" i="11"/>
  <c r="AB97" i="11"/>
  <c r="BN97" i="11" s="1"/>
  <c r="AA97" i="11"/>
  <c r="Z97" i="11"/>
  <c r="Y97" i="11"/>
  <c r="X97" i="11"/>
  <c r="BD97" i="11" s="1"/>
  <c r="W97" i="11"/>
  <c r="V97" i="11"/>
  <c r="U97" i="11"/>
  <c r="T97" i="11"/>
  <c r="S97" i="11"/>
  <c r="R97" i="11"/>
  <c r="P97" i="11"/>
  <c r="P96" i="19" s="1"/>
  <c r="O97" i="11"/>
  <c r="N97" i="11"/>
  <c r="M97" i="11"/>
  <c r="L97" i="11"/>
  <c r="K97" i="11"/>
  <c r="BM97" i="11" s="1"/>
  <c r="J97" i="11"/>
  <c r="BL97" i="11" s="1"/>
  <c r="I97" i="11"/>
  <c r="BK97" i="11" s="1"/>
  <c r="H97" i="11"/>
  <c r="AW97" i="11" s="1"/>
  <c r="G97" i="11"/>
  <c r="F97" i="11"/>
  <c r="E97" i="11"/>
  <c r="D97" i="11"/>
  <c r="C97" i="11"/>
  <c r="B96" i="19" s="1"/>
  <c r="B97" i="11"/>
  <c r="A97" i="11"/>
  <c r="A96" i="19" s="1"/>
  <c r="BQ96" i="11"/>
  <c r="AU96" i="11"/>
  <c r="AT96" i="11"/>
  <c r="AR96" i="11"/>
  <c r="AQ96" i="11"/>
  <c r="BJ96" i="11" s="1"/>
  <c r="AP96" i="11"/>
  <c r="AO96" i="11"/>
  <c r="AN96" i="11"/>
  <c r="AM96" i="11"/>
  <c r="AL96" i="11"/>
  <c r="AK96" i="11"/>
  <c r="AI96" i="11"/>
  <c r="AH96" i="11"/>
  <c r="AG96" i="11"/>
  <c r="AF96" i="11"/>
  <c r="AE96" i="11"/>
  <c r="AD96" i="11"/>
  <c r="BP96" i="11" s="1"/>
  <c r="AB96" i="11"/>
  <c r="BN96" i="11" s="1"/>
  <c r="AA96" i="11"/>
  <c r="Z96" i="11"/>
  <c r="Y96" i="11"/>
  <c r="X96" i="11"/>
  <c r="W96" i="11"/>
  <c r="V96" i="11"/>
  <c r="U96" i="11"/>
  <c r="T96" i="11"/>
  <c r="S96" i="11"/>
  <c r="R96" i="11"/>
  <c r="P96" i="11"/>
  <c r="P95" i="19" s="1"/>
  <c r="O96" i="11"/>
  <c r="N96" i="11"/>
  <c r="M96" i="11"/>
  <c r="L96" i="11"/>
  <c r="K95" i="19" s="1"/>
  <c r="K96" i="11"/>
  <c r="BM96" i="11" s="1"/>
  <c r="J96" i="11"/>
  <c r="BL96" i="11" s="1"/>
  <c r="I96" i="11"/>
  <c r="BK96" i="11" s="1"/>
  <c r="H96" i="11"/>
  <c r="AW96" i="11" s="1"/>
  <c r="G96" i="11"/>
  <c r="F96" i="11"/>
  <c r="E96" i="11"/>
  <c r="D96" i="11"/>
  <c r="C96" i="11"/>
  <c r="B95" i="19" s="1"/>
  <c r="B96" i="11"/>
  <c r="A96" i="11"/>
  <c r="A95" i="19" s="1"/>
  <c r="BQ95" i="11"/>
  <c r="AU95" i="11"/>
  <c r="AT95" i="11"/>
  <c r="AR95" i="11"/>
  <c r="AQ95" i="11"/>
  <c r="BJ95" i="11" s="1"/>
  <c r="AP95" i="11"/>
  <c r="AV95" i="11" s="1"/>
  <c r="AN95" i="11"/>
  <c r="AM95" i="11"/>
  <c r="AL95" i="11"/>
  <c r="AK95" i="11"/>
  <c r="AI95" i="11"/>
  <c r="AH95" i="11"/>
  <c r="AG95" i="11"/>
  <c r="AF95" i="11"/>
  <c r="AE95" i="11"/>
  <c r="AD95" i="11"/>
  <c r="BP95" i="11" s="1"/>
  <c r="AB95" i="11"/>
  <c r="BN95" i="11" s="1"/>
  <c r="AA95" i="11"/>
  <c r="Z95" i="11"/>
  <c r="Y95" i="11"/>
  <c r="X95" i="11"/>
  <c r="BD95" i="11" s="1"/>
  <c r="W95" i="11"/>
  <c r="V95" i="11"/>
  <c r="U95" i="11"/>
  <c r="T95" i="11"/>
  <c r="S95" i="11"/>
  <c r="R95" i="11"/>
  <c r="P95" i="11"/>
  <c r="P94" i="19" s="1"/>
  <c r="O95" i="11"/>
  <c r="N95" i="11"/>
  <c r="M95" i="11"/>
  <c r="L95" i="11"/>
  <c r="K95" i="11"/>
  <c r="BM95" i="11" s="1"/>
  <c r="J95" i="11"/>
  <c r="BL95" i="11" s="1"/>
  <c r="I95" i="11"/>
  <c r="BK95" i="11" s="1"/>
  <c r="H95" i="11"/>
  <c r="AW95" i="11" s="1"/>
  <c r="G95" i="11"/>
  <c r="E95" i="11"/>
  <c r="D95" i="11"/>
  <c r="C95" i="11"/>
  <c r="B94" i="19" s="1"/>
  <c r="B95" i="11"/>
  <c r="A95" i="11"/>
  <c r="A94" i="19" s="1"/>
  <c r="BQ94" i="11"/>
  <c r="AU94" i="11"/>
  <c r="AT94" i="11"/>
  <c r="AR94" i="11"/>
  <c r="AQ94" i="11"/>
  <c r="BJ94" i="11" s="1"/>
  <c r="AP94" i="11"/>
  <c r="AO94" i="11"/>
  <c r="AN94" i="11"/>
  <c r="AM94" i="11"/>
  <c r="AL94" i="11"/>
  <c r="AK94" i="11"/>
  <c r="AI94" i="11"/>
  <c r="AH94" i="11"/>
  <c r="AG94" i="11"/>
  <c r="AF94" i="11"/>
  <c r="AE94" i="11"/>
  <c r="AD94" i="11"/>
  <c r="BP94" i="11" s="1"/>
  <c r="AB94" i="11"/>
  <c r="BN94" i="11" s="1"/>
  <c r="AA94" i="11"/>
  <c r="Z94" i="11"/>
  <c r="Y94" i="11"/>
  <c r="X94" i="11"/>
  <c r="BD94" i="11" s="1"/>
  <c r="W94" i="11"/>
  <c r="V94" i="11"/>
  <c r="U94" i="11"/>
  <c r="T94" i="11"/>
  <c r="S94" i="11"/>
  <c r="R94" i="11"/>
  <c r="P94" i="11"/>
  <c r="P93" i="19" s="1"/>
  <c r="O94" i="11"/>
  <c r="N94" i="11"/>
  <c r="M94" i="11"/>
  <c r="L94" i="11"/>
  <c r="K93" i="19" s="1"/>
  <c r="K94" i="11"/>
  <c r="BM94" i="11" s="1"/>
  <c r="J94" i="11"/>
  <c r="BL94" i="11" s="1"/>
  <c r="I94" i="11"/>
  <c r="BK94" i="11" s="1"/>
  <c r="H94" i="11"/>
  <c r="AW94" i="11" s="1"/>
  <c r="G94" i="11"/>
  <c r="F94" i="11"/>
  <c r="E94" i="11"/>
  <c r="D94" i="11"/>
  <c r="C94" i="11"/>
  <c r="B93" i="19" s="1"/>
  <c r="B94" i="11"/>
  <c r="A94" i="11"/>
  <c r="A93" i="19" s="1"/>
  <c r="BQ93" i="11"/>
  <c r="AU93" i="11"/>
  <c r="AT93" i="11"/>
  <c r="AR93" i="11"/>
  <c r="AQ93" i="11"/>
  <c r="AP93" i="11"/>
  <c r="AV93" i="11" s="1"/>
  <c r="AO93" i="11"/>
  <c r="AN93" i="11"/>
  <c r="AM93" i="11"/>
  <c r="AL93" i="11"/>
  <c r="AK93" i="11"/>
  <c r="AI93" i="11"/>
  <c r="AH93" i="11"/>
  <c r="AG93" i="11"/>
  <c r="AF93" i="11"/>
  <c r="AE93" i="11"/>
  <c r="AD93" i="11"/>
  <c r="AB93" i="11"/>
  <c r="BN93" i="11" s="1"/>
  <c r="AA93" i="11"/>
  <c r="Z93" i="11"/>
  <c r="Y93" i="11"/>
  <c r="X93" i="11"/>
  <c r="BD93" i="11" s="1"/>
  <c r="W93" i="11"/>
  <c r="V93" i="11"/>
  <c r="U93" i="11"/>
  <c r="T93" i="11"/>
  <c r="S93" i="11"/>
  <c r="R93" i="11"/>
  <c r="P93" i="11"/>
  <c r="P92" i="19" s="1"/>
  <c r="O93" i="11"/>
  <c r="N93" i="11"/>
  <c r="M93" i="11"/>
  <c r="L93" i="11"/>
  <c r="K93" i="11"/>
  <c r="BM93" i="11" s="1"/>
  <c r="J93" i="11"/>
  <c r="BL93" i="11" s="1"/>
  <c r="I93" i="11"/>
  <c r="BK93" i="11" s="1"/>
  <c r="H93" i="11"/>
  <c r="AW93" i="11" s="1"/>
  <c r="G93" i="11"/>
  <c r="F93" i="11"/>
  <c r="E93" i="11"/>
  <c r="D93" i="11"/>
  <c r="C93" i="11"/>
  <c r="B92" i="19" s="1"/>
  <c r="B93" i="11"/>
  <c r="A93" i="11"/>
  <c r="A92" i="19" s="1"/>
  <c r="BQ92" i="11"/>
  <c r="AU92" i="11"/>
  <c r="AT92" i="11"/>
  <c r="AR92" i="11"/>
  <c r="AQ92" i="11"/>
  <c r="BJ92" i="11" s="1"/>
  <c r="AP92" i="11"/>
  <c r="AV92" i="11" s="1"/>
  <c r="AN92" i="11"/>
  <c r="AM92" i="11"/>
  <c r="AL92" i="11"/>
  <c r="AK92" i="11"/>
  <c r="AI92" i="11"/>
  <c r="AH92" i="11"/>
  <c r="AG92" i="11"/>
  <c r="AF92" i="11"/>
  <c r="AE92" i="11"/>
  <c r="AD92" i="11"/>
  <c r="BP92" i="11" s="1"/>
  <c r="AB92" i="11"/>
  <c r="BN92" i="11" s="1"/>
  <c r="AA92" i="11"/>
  <c r="Z92" i="11"/>
  <c r="Y92" i="11"/>
  <c r="X92" i="11"/>
  <c r="BD92" i="11" s="1"/>
  <c r="W92" i="11"/>
  <c r="V92" i="11"/>
  <c r="U92" i="11"/>
  <c r="T92" i="11"/>
  <c r="S92" i="11"/>
  <c r="R92" i="11"/>
  <c r="P92" i="11"/>
  <c r="P91" i="19" s="1"/>
  <c r="O92" i="11"/>
  <c r="N92" i="11"/>
  <c r="M92" i="11"/>
  <c r="L92" i="11"/>
  <c r="K92" i="11"/>
  <c r="BM92" i="11" s="1"/>
  <c r="J92" i="11"/>
  <c r="BL92" i="11" s="1"/>
  <c r="I92" i="11"/>
  <c r="BK92" i="11" s="1"/>
  <c r="H92" i="11"/>
  <c r="AW92" i="11" s="1"/>
  <c r="G92" i="11"/>
  <c r="F92" i="11"/>
  <c r="E92" i="11"/>
  <c r="D92" i="11"/>
  <c r="C92" i="11"/>
  <c r="B91" i="19" s="1"/>
  <c r="B92" i="11"/>
  <c r="A92" i="11"/>
  <c r="A91" i="19" s="1"/>
  <c r="BQ91" i="11"/>
  <c r="AU91" i="11"/>
  <c r="AT91" i="11"/>
  <c r="AR91" i="11"/>
  <c r="AQ91" i="11"/>
  <c r="BJ91" i="11" s="1"/>
  <c r="AP91" i="11"/>
  <c r="AV91" i="11" s="1"/>
  <c r="AN91" i="11"/>
  <c r="AM91" i="11"/>
  <c r="AL91" i="11"/>
  <c r="AK91" i="11"/>
  <c r="AI91" i="11"/>
  <c r="AH91" i="11"/>
  <c r="AG91" i="11"/>
  <c r="AF91" i="11"/>
  <c r="AE91" i="11"/>
  <c r="AD91" i="11"/>
  <c r="BP91" i="11" s="1"/>
  <c r="AB91" i="11"/>
  <c r="BN91" i="11" s="1"/>
  <c r="AA91" i="11"/>
  <c r="Z91" i="11"/>
  <c r="Y91" i="11"/>
  <c r="X91" i="11"/>
  <c r="W91" i="11"/>
  <c r="V91" i="11"/>
  <c r="U91" i="11"/>
  <c r="T91" i="11"/>
  <c r="S91" i="11"/>
  <c r="R91" i="11"/>
  <c r="P91" i="11"/>
  <c r="P90" i="19" s="1"/>
  <c r="O91" i="11"/>
  <c r="N91" i="11"/>
  <c r="M91" i="11"/>
  <c r="L91" i="11"/>
  <c r="K91" i="11"/>
  <c r="BM91" i="11" s="1"/>
  <c r="J91" i="11"/>
  <c r="BL91" i="11" s="1"/>
  <c r="I91" i="11"/>
  <c r="BK91" i="11" s="1"/>
  <c r="H91" i="11"/>
  <c r="AW91" i="11" s="1"/>
  <c r="G91" i="11"/>
  <c r="F91" i="11"/>
  <c r="E91" i="11"/>
  <c r="D91" i="11"/>
  <c r="C91" i="11"/>
  <c r="B90" i="19" s="1"/>
  <c r="B91" i="11"/>
  <c r="A91" i="11"/>
  <c r="A90" i="19" s="1"/>
  <c r="BQ90" i="11"/>
  <c r="AU90" i="11"/>
  <c r="AT90" i="11"/>
  <c r="AR90" i="11"/>
  <c r="AQ90" i="11"/>
  <c r="AP90" i="11"/>
  <c r="AV90" i="11" s="1"/>
  <c r="AO90" i="11"/>
  <c r="AN90" i="11"/>
  <c r="AM90" i="11"/>
  <c r="AL90" i="11"/>
  <c r="AK90" i="11"/>
  <c r="AI90" i="11"/>
  <c r="AH90" i="11"/>
  <c r="AG90" i="11"/>
  <c r="AF90" i="11"/>
  <c r="AE90" i="11"/>
  <c r="AD90" i="11"/>
  <c r="BP90" i="11" s="1"/>
  <c r="AB90" i="11"/>
  <c r="BN90" i="11" s="1"/>
  <c r="AA90" i="11"/>
  <c r="Z90" i="11"/>
  <c r="Y90" i="11"/>
  <c r="X90" i="11"/>
  <c r="W90" i="11"/>
  <c r="V90" i="11"/>
  <c r="U90" i="11"/>
  <c r="T90" i="11"/>
  <c r="S90" i="11"/>
  <c r="R90" i="11"/>
  <c r="P90" i="11"/>
  <c r="P89" i="19" s="1"/>
  <c r="O90" i="11"/>
  <c r="N90" i="11"/>
  <c r="M90" i="11"/>
  <c r="L90" i="11"/>
  <c r="K90" i="11"/>
  <c r="BM90" i="11" s="1"/>
  <c r="J90" i="11"/>
  <c r="BL90" i="11" s="1"/>
  <c r="I90" i="11"/>
  <c r="BK90" i="11" s="1"/>
  <c r="H90" i="11"/>
  <c r="AW90" i="11" s="1"/>
  <c r="G90" i="11"/>
  <c r="F90" i="11"/>
  <c r="E90" i="11"/>
  <c r="D90" i="11"/>
  <c r="C90" i="11"/>
  <c r="B89" i="19" s="1"/>
  <c r="B90" i="11"/>
  <c r="A90" i="11"/>
  <c r="A89" i="19" s="1"/>
  <c r="BQ89" i="11"/>
  <c r="AU89" i="11"/>
  <c r="AT89" i="11"/>
  <c r="AR89" i="11"/>
  <c r="AQ89" i="11"/>
  <c r="BJ89" i="11" s="1"/>
  <c r="AP89" i="11"/>
  <c r="AV89" i="11" s="1"/>
  <c r="AN89" i="11"/>
  <c r="AM89" i="11"/>
  <c r="AL89" i="11"/>
  <c r="AK89" i="11"/>
  <c r="AI89" i="11"/>
  <c r="AH89" i="11"/>
  <c r="AG89" i="11"/>
  <c r="AF89" i="11"/>
  <c r="AE89" i="11"/>
  <c r="AD89" i="11"/>
  <c r="BP89" i="11" s="1"/>
  <c r="AB89" i="11"/>
  <c r="BN89" i="11" s="1"/>
  <c r="AA89" i="11"/>
  <c r="Z89" i="11"/>
  <c r="Y89" i="11"/>
  <c r="X89" i="11"/>
  <c r="W89" i="11"/>
  <c r="V89" i="11"/>
  <c r="U89" i="11"/>
  <c r="T89" i="11"/>
  <c r="S89" i="11"/>
  <c r="R89" i="11"/>
  <c r="P89" i="11"/>
  <c r="P88" i="19" s="1"/>
  <c r="O89" i="11"/>
  <c r="N89" i="11"/>
  <c r="M89" i="11"/>
  <c r="L89" i="11"/>
  <c r="K89" i="11"/>
  <c r="BM89" i="11" s="1"/>
  <c r="J89" i="11"/>
  <c r="BL89" i="11" s="1"/>
  <c r="I89" i="11"/>
  <c r="BK89" i="11" s="1"/>
  <c r="H89" i="11"/>
  <c r="AW89" i="11" s="1"/>
  <c r="G89" i="11"/>
  <c r="E89" i="11"/>
  <c r="D89" i="11"/>
  <c r="C89" i="11"/>
  <c r="B88" i="19" s="1"/>
  <c r="B89" i="11"/>
  <c r="A89" i="11"/>
  <c r="A88" i="19" s="1"/>
  <c r="BQ88" i="11"/>
  <c r="AU88" i="11"/>
  <c r="AT88" i="11"/>
  <c r="AR88" i="11"/>
  <c r="AQ88" i="11"/>
  <c r="BJ88" i="11" s="1"/>
  <c r="AP88" i="11"/>
  <c r="AV88" i="11" s="1"/>
  <c r="AO88" i="11"/>
  <c r="AN88" i="11"/>
  <c r="AM88" i="11"/>
  <c r="AL88" i="11"/>
  <c r="AK88" i="11"/>
  <c r="AI88" i="11"/>
  <c r="AH88" i="11"/>
  <c r="AG88" i="11"/>
  <c r="AF88" i="11"/>
  <c r="AE88" i="11"/>
  <c r="AD88" i="11"/>
  <c r="BP88" i="11" s="1"/>
  <c r="AB88" i="11"/>
  <c r="BN88" i="11" s="1"/>
  <c r="AA88" i="11"/>
  <c r="Z88" i="11"/>
  <c r="Y88" i="11"/>
  <c r="X88" i="11"/>
  <c r="W88" i="11"/>
  <c r="V88" i="11"/>
  <c r="U88" i="11"/>
  <c r="T88" i="11"/>
  <c r="S88" i="11"/>
  <c r="R88" i="11"/>
  <c r="P88" i="11"/>
  <c r="P87" i="19" s="1"/>
  <c r="O88" i="11"/>
  <c r="N88" i="11"/>
  <c r="M88" i="11"/>
  <c r="L88" i="11"/>
  <c r="K88" i="11"/>
  <c r="BM88" i="11" s="1"/>
  <c r="J88" i="11"/>
  <c r="BL88" i="11" s="1"/>
  <c r="I88" i="11"/>
  <c r="BK88" i="11" s="1"/>
  <c r="H88" i="11"/>
  <c r="AW88" i="11" s="1"/>
  <c r="G88" i="11"/>
  <c r="F88" i="11"/>
  <c r="E88" i="11"/>
  <c r="D88" i="11"/>
  <c r="C88" i="11"/>
  <c r="B87" i="19" s="1"/>
  <c r="B88" i="11"/>
  <c r="A88" i="11"/>
  <c r="A87" i="19" s="1"/>
  <c r="BQ87" i="11"/>
  <c r="AU87" i="11"/>
  <c r="AT87" i="11"/>
  <c r="AR87" i="11"/>
  <c r="AQ87" i="11"/>
  <c r="BJ87" i="11" s="1"/>
  <c r="AP87" i="11"/>
  <c r="AV87" i="11" s="1"/>
  <c r="AN87" i="11"/>
  <c r="AM87" i="11"/>
  <c r="AL87" i="11"/>
  <c r="AK87" i="11"/>
  <c r="AI87" i="11"/>
  <c r="AH87" i="11"/>
  <c r="AG87" i="11"/>
  <c r="AF87" i="11"/>
  <c r="AE87" i="11"/>
  <c r="AD87" i="11"/>
  <c r="BP87" i="11" s="1"/>
  <c r="AB87" i="11"/>
  <c r="BN87" i="11" s="1"/>
  <c r="AA87" i="11"/>
  <c r="Z87" i="11"/>
  <c r="Y87" i="11"/>
  <c r="X87" i="11"/>
  <c r="W87" i="11"/>
  <c r="V87" i="11"/>
  <c r="U87" i="11"/>
  <c r="T87" i="11"/>
  <c r="S87" i="11"/>
  <c r="R87" i="11"/>
  <c r="P87" i="11"/>
  <c r="P86" i="19" s="1"/>
  <c r="O87" i="11"/>
  <c r="N87" i="11"/>
  <c r="M87" i="11"/>
  <c r="L87" i="11"/>
  <c r="K86" i="19" s="1"/>
  <c r="K87" i="11"/>
  <c r="BM87" i="11" s="1"/>
  <c r="J87" i="11"/>
  <c r="BL87" i="11" s="1"/>
  <c r="I87" i="11"/>
  <c r="BK87" i="11" s="1"/>
  <c r="H87" i="11"/>
  <c r="AW87" i="11" s="1"/>
  <c r="G87" i="11"/>
  <c r="F87" i="11"/>
  <c r="E87" i="11"/>
  <c r="D87" i="11"/>
  <c r="C87" i="11"/>
  <c r="B86" i="19" s="1"/>
  <c r="B87" i="11"/>
  <c r="A87" i="11"/>
  <c r="A86" i="19" s="1"/>
  <c r="BQ86" i="11"/>
  <c r="AU86" i="11"/>
  <c r="AT86" i="11"/>
  <c r="AR86" i="11"/>
  <c r="AQ86" i="11"/>
  <c r="AP86" i="11"/>
  <c r="AV86" i="11" s="1"/>
  <c r="AN86" i="11"/>
  <c r="AM86" i="11"/>
  <c r="AL86" i="11"/>
  <c r="AK86" i="11"/>
  <c r="AI86" i="11"/>
  <c r="AH86" i="11"/>
  <c r="AG86" i="11"/>
  <c r="AF86" i="11"/>
  <c r="AE86" i="11"/>
  <c r="AD86" i="11"/>
  <c r="BP86" i="11" s="1"/>
  <c r="AB86" i="11"/>
  <c r="BN86" i="11" s="1"/>
  <c r="AA86" i="11"/>
  <c r="Z86" i="11"/>
  <c r="Y86" i="11"/>
  <c r="X86" i="11"/>
  <c r="W86" i="11"/>
  <c r="V86" i="11"/>
  <c r="U86" i="11"/>
  <c r="T86" i="11"/>
  <c r="S86" i="11"/>
  <c r="R86" i="11"/>
  <c r="P86" i="11"/>
  <c r="P85" i="19" s="1"/>
  <c r="O86" i="11"/>
  <c r="N86" i="11"/>
  <c r="M86" i="11"/>
  <c r="L86" i="11"/>
  <c r="K86" i="11"/>
  <c r="BM86" i="11" s="1"/>
  <c r="J86" i="11"/>
  <c r="BL86" i="11" s="1"/>
  <c r="I86" i="11"/>
  <c r="BK86" i="11" s="1"/>
  <c r="H86" i="11"/>
  <c r="AW86" i="11" s="1"/>
  <c r="G86" i="11"/>
  <c r="F86" i="11"/>
  <c r="E86" i="11"/>
  <c r="D86" i="11"/>
  <c r="C86" i="11"/>
  <c r="B85" i="19" s="1"/>
  <c r="B86" i="11"/>
  <c r="A86" i="11"/>
  <c r="A85" i="19" s="1"/>
  <c r="BQ85" i="11"/>
  <c r="AU85" i="11"/>
  <c r="AT85" i="11"/>
  <c r="AR85" i="11"/>
  <c r="AQ85" i="11"/>
  <c r="AP85" i="11"/>
  <c r="AV85" i="11" s="1"/>
  <c r="AO85" i="11"/>
  <c r="AN85" i="11"/>
  <c r="AM85" i="11"/>
  <c r="AL85" i="11"/>
  <c r="AK85" i="11"/>
  <c r="AI85" i="11"/>
  <c r="AH85" i="11"/>
  <c r="AG85" i="11"/>
  <c r="AF85" i="11"/>
  <c r="AE85" i="11"/>
  <c r="AD85" i="11"/>
  <c r="BP85" i="11" s="1"/>
  <c r="AB85" i="11"/>
  <c r="BN85" i="11" s="1"/>
  <c r="AA85" i="11"/>
  <c r="Z85" i="11"/>
  <c r="Y85" i="11"/>
  <c r="X85" i="11"/>
  <c r="BD85" i="11" s="1"/>
  <c r="W85" i="11"/>
  <c r="V85" i="11"/>
  <c r="U85" i="11"/>
  <c r="T85" i="11"/>
  <c r="S85" i="11"/>
  <c r="R85" i="11"/>
  <c r="P85" i="11"/>
  <c r="P84" i="19" s="1"/>
  <c r="O85" i="11"/>
  <c r="N85" i="11"/>
  <c r="M85" i="11"/>
  <c r="L85" i="11"/>
  <c r="K85" i="11"/>
  <c r="BM85" i="11" s="1"/>
  <c r="J85" i="11"/>
  <c r="BL85" i="11" s="1"/>
  <c r="I85" i="11"/>
  <c r="BK85" i="11" s="1"/>
  <c r="H85" i="11"/>
  <c r="AW85" i="11" s="1"/>
  <c r="G85" i="11"/>
  <c r="F85" i="11"/>
  <c r="E85" i="11"/>
  <c r="D85" i="11"/>
  <c r="C85" i="11"/>
  <c r="B84" i="19" s="1"/>
  <c r="B85" i="11"/>
  <c r="A85" i="11"/>
  <c r="A84" i="19" s="1"/>
  <c r="BQ84" i="11"/>
  <c r="AU84" i="11"/>
  <c r="AT84" i="11"/>
  <c r="AR84" i="11"/>
  <c r="AQ84" i="11"/>
  <c r="BJ84" i="11" s="1"/>
  <c r="AP84" i="11"/>
  <c r="AV84" i="11" s="1"/>
  <c r="AN84" i="11"/>
  <c r="AM84" i="11"/>
  <c r="AL84" i="11"/>
  <c r="AK84" i="11"/>
  <c r="AI84" i="11"/>
  <c r="AH84" i="11"/>
  <c r="AG84" i="11"/>
  <c r="AF84" i="11"/>
  <c r="AE84" i="11"/>
  <c r="AD84" i="11"/>
  <c r="AB84" i="11"/>
  <c r="BN84" i="11" s="1"/>
  <c r="AA84" i="11"/>
  <c r="Z84" i="11"/>
  <c r="Y84" i="11"/>
  <c r="X84" i="11"/>
  <c r="BD84" i="11" s="1"/>
  <c r="W84" i="11"/>
  <c r="V84" i="11"/>
  <c r="U84" i="11"/>
  <c r="T84" i="11"/>
  <c r="S84" i="11"/>
  <c r="R84" i="11"/>
  <c r="P84" i="11"/>
  <c r="P83" i="19" s="1"/>
  <c r="O84" i="11"/>
  <c r="N84" i="11"/>
  <c r="M84" i="11"/>
  <c r="L84" i="11"/>
  <c r="K84" i="11"/>
  <c r="BM84" i="11" s="1"/>
  <c r="J84" i="11"/>
  <c r="BL84" i="11" s="1"/>
  <c r="I84" i="11"/>
  <c r="BK84" i="11" s="1"/>
  <c r="H84" i="11"/>
  <c r="AW84" i="11" s="1"/>
  <c r="G84" i="11"/>
  <c r="F84" i="11"/>
  <c r="E84" i="11"/>
  <c r="D84" i="11"/>
  <c r="C84" i="11"/>
  <c r="B83" i="19" s="1"/>
  <c r="B84" i="11"/>
  <c r="A84" i="11"/>
  <c r="A83" i="19" s="1"/>
  <c r="BQ83" i="11"/>
  <c r="AU83" i="11"/>
  <c r="AT83" i="11"/>
  <c r="AR83" i="11"/>
  <c r="AQ83" i="11"/>
  <c r="BJ83" i="11" s="1"/>
  <c r="AP83" i="11"/>
  <c r="AN83" i="11"/>
  <c r="AM83" i="11"/>
  <c r="AL83" i="11"/>
  <c r="AK83" i="11"/>
  <c r="AI83" i="11"/>
  <c r="AH83" i="11"/>
  <c r="AG83" i="11"/>
  <c r="AF83" i="11"/>
  <c r="AE83" i="11"/>
  <c r="AD83" i="11"/>
  <c r="AB83" i="11"/>
  <c r="BN83" i="11" s="1"/>
  <c r="AA83" i="11"/>
  <c r="Z83" i="11"/>
  <c r="Y83" i="11"/>
  <c r="X83" i="11"/>
  <c r="W83" i="11"/>
  <c r="V83" i="11"/>
  <c r="U83" i="11"/>
  <c r="T83" i="11"/>
  <c r="S83" i="11"/>
  <c r="R83" i="11"/>
  <c r="P83" i="11"/>
  <c r="P82" i="19" s="1"/>
  <c r="O83" i="11"/>
  <c r="N83" i="11"/>
  <c r="M83" i="11"/>
  <c r="L83" i="11"/>
  <c r="K83" i="11"/>
  <c r="BM83" i="11" s="1"/>
  <c r="J83" i="11"/>
  <c r="BL83" i="11" s="1"/>
  <c r="I83" i="11"/>
  <c r="BK83" i="11" s="1"/>
  <c r="H83" i="11"/>
  <c r="AW83" i="11" s="1"/>
  <c r="G83" i="11"/>
  <c r="E83" i="11"/>
  <c r="D83" i="11"/>
  <c r="C83" i="11"/>
  <c r="B82" i="19" s="1"/>
  <c r="B83" i="11"/>
  <c r="A83" i="11"/>
  <c r="A82" i="19" s="1"/>
  <c r="BQ82" i="11"/>
  <c r="AU82" i="11"/>
  <c r="AT82" i="11"/>
  <c r="AR82" i="11"/>
  <c r="AQ82" i="11"/>
  <c r="BJ82" i="11" s="1"/>
  <c r="AP82" i="11"/>
  <c r="AV82" i="11" s="1"/>
  <c r="AO82" i="11"/>
  <c r="AN82" i="11"/>
  <c r="AM82" i="11"/>
  <c r="AL82" i="11"/>
  <c r="AK82" i="11"/>
  <c r="AI82" i="11"/>
  <c r="AH82" i="11"/>
  <c r="AG82" i="11"/>
  <c r="AF82" i="11"/>
  <c r="AE82" i="11"/>
  <c r="AD82" i="11"/>
  <c r="AB82" i="11"/>
  <c r="BN82" i="11" s="1"/>
  <c r="AA82" i="11"/>
  <c r="Z82" i="11"/>
  <c r="Y82" i="11"/>
  <c r="X82" i="11"/>
  <c r="W82" i="11"/>
  <c r="V82" i="11"/>
  <c r="U82" i="11"/>
  <c r="T82" i="11"/>
  <c r="S82" i="11"/>
  <c r="R82" i="11"/>
  <c r="P82" i="11"/>
  <c r="P81" i="19" s="1"/>
  <c r="O82" i="11"/>
  <c r="N82" i="11"/>
  <c r="M82" i="11"/>
  <c r="L82" i="11"/>
  <c r="K82" i="11"/>
  <c r="BM82" i="11" s="1"/>
  <c r="J82" i="11"/>
  <c r="BL82" i="11" s="1"/>
  <c r="I82" i="11"/>
  <c r="BK82" i="11" s="1"/>
  <c r="H82" i="11"/>
  <c r="AW82" i="11" s="1"/>
  <c r="G82" i="11"/>
  <c r="F82" i="11"/>
  <c r="E82" i="11"/>
  <c r="D82" i="11"/>
  <c r="C82" i="11"/>
  <c r="B81" i="19" s="1"/>
  <c r="B82" i="11"/>
  <c r="A82" i="11"/>
  <c r="A81" i="19" s="1"/>
  <c r="BQ81" i="11"/>
  <c r="AU81" i="11"/>
  <c r="AT81" i="11"/>
  <c r="AR81" i="11"/>
  <c r="AQ81" i="11"/>
  <c r="AP81" i="11"/>
  <c r="AV81" i="11" s="1"/>
  <c r="AO81" i="11"/>
  <c r="AN81" i="11"/>
  <c r="AM81" i="11"/>
  <c r="AL81" i="11"/>
  <c r="AK81" i="11"/>
  <c r="AI81" i="11"/>
  <c r="AH81" i="11"/>
  <c r="AG81" i="11"/>
  <c r="AF81" i="11"/>
  <c r="AE81" i="11"/>
  <c r="AD81" i="11"/>
  <c r="AB81" i="11"/>
  <c r="BN81" i="11" s="1"/>
  <c r="AA81" i="11"/>
  <c r="Z81" i="11"/>
  <c r="Y81" i="11"/>
  <c r="X81" i="11"/>
  <c r="BD81" i="11" s="1"/>
  <c r="W81" i="11"/>
  <c r="V81" i="11"/>
  <c r="U81" i="11"/>
  <c r="T81" i="11"/>
  <c r="S81" i="11"/>
  <c r="R81" i="11"/>
  <c r="P81" i="11"/>
  <c r="O81" i="11"/>
  <c r="N81" i="11"/>
  <c r="M81" i="11"/>
  <c r="L81" i="11"/>
  <c r="K80" i="19" s="1"/>
  <c r="K81" i="11"/>
  <c r="BM81" i="11" s="1"/>
  <c r="J81" i="11"/>
  <c r="BL81" i="11" s="1"/>
  <c r="I81" i="11"/>
  <c r="BK81" i="11" s="1"/>
  <c r="H81" i="11"/>
  <c r="AW81" i="11" s="1"/>
  <c r="G81" i="11"/>
  <c r="F81" i="11"/>
  <c r="E81" i="11"/>
  <c r="D81" i="11"/>
  <c r="C81" i="11"/>
  <c r="B80" i="19" s="1"/>
  <c r="B81" i="11"/>
  <c r="A81" i="11"/>
  <c r="A80" i="19" s="1"/>
  <c r="BQ80" i="11"/>
  <c r="AU80" i="11"/>
  <c r="AT80" i="11"/>
  <c r="AR80" i="11"/>
  <c r="AQ80" i="11"/>
  <c r="AP80" i="11"/>
  <c r="AV80" i="11" s="1"/>
  <c r="AN80" i="11"/>
  <c r="AM80" i="11"/>
  <c r="AL80" i="11"/>
  <c r="AK80" i="11"/>
  <c r="AI80" i="11"/>
  <c r="AH80" i="11"/>
  <c r="AG80" i="11"/>
  <c r="AF80" i="11"/>
  <c r="AE80" i="11"/>
  <c r="AD80" i="11"/>
  <c r="AB80" i="11"/>
  <c r="BN80" i="11" s="1"/>
  <c r="AA80" i="11"/>
  <c r="Z80" i="11"/>
  <c r="Y80" i="11"/>
  <c r="X80" i="11"/>
  <c r="BD80" i="11" s="1"/>
  <c r="W80" i="11"/>
  <c r="V80" i="11"/>
  <c r="U80" i="11"/>
  <c r="T80" i="11"/>
  <c r="S80" i="11"/>
  <c r="R80" i="11"/>
  <c r="P80" i="11"/>
  <c r="P79" i="19" s="1"/>
  <c r="O80" i="11"/>
  <c r="N80" i="11"/>
  <c r="M80" i="11"/>
  <c r="L80" i="11"/>
  <c r="K79" i="19" s="1"/>
  <c r="K80" i="11"/>
  <c r="BM80" i="11" s="1"/>
  <c r="J80" i="11"/>
  <c r="BL80" i="11" s="1"/>
  <c r="I80" i="11"/>
  <c r="BK80" i="11" s="1"/>
  <c r="H80" i="11"/>
  <c r="AW80" i="11" s="1"/>
  <c r="G80" i="11"/>
  <c r="F80" i="11"/>
  <c r="E80" i="11"/>
  <c r="D80" i="11"/>
  <c r="C80" i="11"/>
  <c r="B79" i="19" s="1"/>
  <c r="B80" i="11"/>
  <c r="A80" i="11"/>
  <c r="A79" i="19" s="1"/>
  <c r="BQ79" i="11"/>
  <c r="AU79" i="11"/>
  <c r="AT79" i="11"/>
  <c r="AR79" i="11"/>
  <c r="AQ79" i="11"/>
  <c r="BJ79" i="11" s="1"/>
  <c r="AP79" i="11"/>
  <c r="AN79" i="11"/>
  <c r="AM79" i="11"/>
  <c r="AL79" i="11"/>
  <c r="AK79" i="11"/>
  <c r="AI79" i="11"/>
  <c r="AH79" i="11"/>
  <c r="AG79" i="11"/>
  <c r="AF79" i="11"/>
  <c r="AE79" i="11"/>
  <c r="AD79" i="11"/>
  <c r="BP79" i="11" s="1"/>
  <c r="AB79" i="11"/>
  <c r="BN79" i="11" s="1"/>
  <c r="AA79" i="11"/>
  <c r="Z79" i="11"/>
  <c r="Y79" i="11"/>
  <c r="X79" i="11"/>
  <c r="W79" i="11"/>
  <c r="V79" i="11"/>
  <c r="U79" i="11"/>
  <c r="T79" i="11"/>
  <c r="S79" i="11"/>
  <c r="R79" i="11"/>
  <c r="P79" i="11"/>
  <c r="P78" i="19" s="1"/>
  <c r="O79" i="11"/>
  <c r="N79" i="11"/>
  <c r="M79" i="11"/>
  <c r="L79" i="11"/>
  <c r="K78" i="19" s="1"/>
  <c r="K79" i="11"/>
  <c r="BM79" i="11" s="1"/>
  <c r="J79" i="11"/>
  <c r="BL79" i="11" s="1"/>
  <c r="I79" i="11"/>
  <c r="BK79" i="11" s="1"/>
  <c r="H79" i="11"/>
  <c r="AW79" i="11" s="1"/>
  <c r="G79" i="11"/>
  <c r="F79" i="11"/>
  <c r="E79" i="11"/>
  <c r="D79" i="11"/>
  <c r="C79" i="11"/>
  <c r="B78" i="19" s="1"/>
  <c r="B79" i="11"/>
  <c r="A79" i="11"/>
  <c r="A78" i="19" s="1"/>
  <c r="BQ78" i="11"/>
  <c r="AU78" i="11"/>
  <c r="AT78" i="11"/>
  <c r="AR78" i="11"/>
  <c r="AQ78" i="11"/>
  <c r="BJ78" i="11" s="1"/>
  <c r="AP78" i="11"/>
  <c r="AO78" i="11"/>
  <c r="AN78" i="11"/>
  <c r="AM78" i="11"/>
  <c r="AL78" i="11"/>
  <c r="AK78" i="11"/>
  <c r="AI78" i="11"/>
  <c r="AH78" i="11"/>
  <c r="AG78" i="11"/>
  <c r="AF78" i="11"/>
  <c r="AE78" i="11"/>
  <c r="AD78" i="11"/>
  <c r="BP78" i="11" s="1"/>
  <c r="AB78" i="11"/>
  <c r="BN78" i="11" s="1"/>
  <c r="AA78" i="11"/>
  <c r="Z78" i="11"/>
  <c r="Y78" i="11"/>
  <c r="X78" i="11"/>
  <c r="BD78" i="11" s="1"/>
  <c r="W78" i="11"/>
  <c r="V78" i="11"/>
  <c r="U78" i="11"/>
  <c r="T78" i="11"/>
  <c r="S78" i="11"/>
  <c r="R78" i="11"/>
  <c r="P78" i="11"/>
  <c r="P77" i="19" s="1"/>
  <c r="O78" i="11"/>
  <c r="N78" i="11"/>
  <c r="M78" i="11"/>
  <c r="L78" i="11"/>
  <c r="K78" i="11"/>
  <c r="BM78" i="11" s="1"/>
  <c r="J78" i="11"/>
  <c r="BL78" i="11" s="1"/>
  <c r="I78" i="11"/>
  <c r="BK78" i="11" s="1"/>
  <c r="H78" i="11"/>
  <c r="AW78" i="11" s="1"/>
  <c r="G78" i="11"/>
  <c r="F78" i="11"/>
  <c r="E78" i="11"/>
  <c r="D78" i="11"/>
  <c r="C78" i="11"/>
  <c r="B77" i="19" s="1"/>
  <c r="B78" i="11"/>
  <c r="A78" i="11"/>
  <c r="A77" i="19" s="1"/>
  <c r="BQ77" i="11"/>
  <c r="AU77" i="11"/>
  <c r="AT77" i="11"/>
  <c r="AR77" i="11"/>
  <c r="AQ77" i="11"/>
  <c r="BJ77" i="11" s="1"/>
  <c r="AP77" i="11"/>
  <c r="AN77" i="11"/>
  <c r="AM77" i="11"/>
  <c r="AL77" i="11"/>
  <c r="AK77" i="11"/>
  <c r="AI77" i="11"/>
  <c r="AH77" i="11"/>
  <c r="AG77" i="11"/>
  <c r="AF77" i="11"/>
  <c r="AE77" i="11"/>
  <c r="AD77" i="11"/>
  <c r="BP77" i="11" s="1"/>
  <c r="AB77" i="11"/>
  <c r="BN77" i="11" s="1"/>
  <c r="AA77" i="11"/>
  <c r="Z77" i="11"/>
  <c r="Y77" i="11"/>
  <c r="X77" i="11"/>
  <c r="W77" i="11"/>
  <c r="V77" i="11"/>
  <c r="U77" i="11"/>
  <c r="T77" i="11"/>
  <c r="S77" i="11"/>
  <c r="R77" i="11"/>
  <c r="P77" i="11"/>
  <c r="P76" i="19" s="1"/>
  <c r="O77" i="11"/>
  <c r="N77" i="11"/>
  <c r="M77" i="11"/>
  <c r="L77" i="11"/>
  <c r="K76" i="19" s="1"/>
  <c r="K77" i="11"/>
  <c r="BM77" i="11" s="1"/>
  <c r="J77" i="11"/>
  <c r="BL77" i="11" s="1"/>
  <c r="I77" i="11"/>
  <c r="BK77" i="11" s="1"/>
  <c r="H77" i="11"/>
  <c r="AW77" i="11" s="1"/>
  <c r="G77" i="11"/>
  <c r="E77" i="11"/>
  <c r="D77" i="11"/>
  <c r="C77" i="11"/>
  <c r="B76" i="19" s="1"/>
  <c r="B77" i="11"/>
  <c r="A77" i="11"/>
  <c r="A76" i="19" s="1"/>
  <c r="BQ76" i="11"/>
  <c r="AU76" i="11"/>
  <c r="AT76" i="11"/>
  <c r="AR76" i="11"/>
  <c r="AQ76" i="11"/>
  <c r="BJ76" i="11" s="1"/>
  <c r="AP76" i="11"/>
  <c r="AN76" i="11"/>
  <c r="AM76" i="11"/>
  <c r="AL76" i="11"/>
  <c r="AK76" i="11"/>
  <c r="AI76" i="11"/>
  <c r="AH76" i="11"/>
  <c r="AG76" i="11"/>
  <c r="AF76" i="11"/>
  <c r="AE76" i="11"/>
  <c r="AD76" i="11"/>
  <c r="BP76" i="11" s="1"/>
  <c r="AB76" i="11"/>
  <c r="BN76" i="11" s="1"/>
  <c r="AA76" i="11"/>
  <c r="Z76" i="11"/>
  <c r="Y76" i="11"/>
  <c r="X76" i="11"/>
  <c r="BD76" i="11" s="1"/>
  <c r="W76" i="11"/>
  <c r="V76" i="11"/>
  <c r="U76" i="11"/>
  <c r="T76" i="11"/>
  <c r="S76" i="11"/>
  <c r="R76" i="11"/>
  <c r="P76" i="11"/>
  <c r="P75" i="19" s="1"/>
  <c r="O76" i="11"/>
  <c r="N76" i="11"/>
  <c r="M76" i="11"/>
  <c r="L76" i="11"/>
  <c r="K76" i="11"/>
  <c r="BM76" i="11" s="1"/>
  <c r="J76" i="11"/>
  <c r="BL76" i="11" s="1"/>
  <c r="I76" i="11"/>
  <c r="BK76" i="11" s="1"/>
  <c r="H76" i="11"/>
  <c r="AW76" i="11" s="1"/>
  <c r="G76" i="11"/>
  <c r="F76" i="11"/>
  <c r="E76" i="11"/>
  <c r="D76" i="11"/>
  <c r="C76" i="11"/>
  <c r="B75" i="19" s="1"/>
  <c r="B76" i="11"/>
  <c r="A76" i="11"/>
  <c r="A75" i="19" s="1"/>
  <c r="BQ75" i="11"/>
  <c r="AU75" i="11"/>
  <c r="AT75" i="11"/>
  <c r="AR75" i="11"/>
  <c r="AQ75" i="11"/>
  <c r="BJ75" i="11" s="1"/>
  <c r="AP75" i="11"/>
  <c r="AV75" i="11" s="1"/>
  <c r="AN75" i="11"/>
  <c r="AM75" i="11"/>
  <c r="AL75" i="11"/>
  <c r="AK75" i="11"/>
  <c r="AI75" i="11"/>
  <c r="AH75" i="11"/>
  <c r="AG75" i="11"/>
  <c r="AF75" i="11"/>
  <c r="AE75" i="11"/>
  <c r="AD75" i="11"/>
  <c r="BP75" i="11" s="1"/>
  <c r="AB75" i="11"/>
  <c r="BN75" i="11" s="1"/>
  <c r="AA75" i="11"/>
  <c r="Z75" i="11"/>
  <c r="Y75" i="11"/>
  <c r="X75" i="11"/>
  <c r="BD75" i="11" s="1"/>
  <c r="W75" i="11"/>
  <c r="V75" i="11"/>
  <c r="U75" i="11"/>
  <c r="T75" i="11"/>
  <c r="S75" i="11"/>
  <c r="R75" i="11"/>
  <c r="P75" i="11"/>
  <c r="P74" i="19" s="1"/>
  <c r="O75" i="11"/>
  <c r="N75" i="11"/>
  <c r="M75" i="11"/>
  <c r="L75" i="11"/>
  <c r="K75" i="11"/>
  <c r="BM75" i="11" s="1"/>
  <c r="J75" i="11"/>
  <c r="BL75" i="11" s="1"/>
  <c r="I75" i="11"/>
  <c r="BK75" i="11" s="1"/>
  <c r="H75" i="11"/>
  <c r="AW75" i="11" s="1"/>
  <c r="G75" i="11"/>
  <c r="F75" i="11"/>
  <c r="E75" i="11"/>
  <c r="D75" i="11"/>
  <c r="C75" i="11"/>
  <c r="B74" i="19" s="1"/>
  <c r="B75" i="11"/>
  <c r="A75" i="11"/>
  <c r="A74" i="19" s="1"/>
  <c r="BQ74" i="11"/>
  <c r="AU74" i="11"/>
  <c r="AT74" i="11"/>
  <c r="AR74" i="11"/>
  <c r="AQ74" i="11"/>
  <c r="BJ74" i="11" s="1"/>
  <c r="AP74" i="11"/>
  <c r="AN74" i="11"/>
  <c r="AM74" i="11"/>
  <c r="AL74" i="11"/>
  <c r="AK74" i="11"/>
  <c r="AI74" i="11"/>
  <c r="AH74" i="11"/>
  <c r="AG74" i="11"/>
  <c r="AF74" i="11"/>
  <c r="AE74" i="11"/>
  <c r="AD74" i="11"/>
  <c r="BP74" i="11" s="1"/>
  <c r="AB74" i="11"/>
  <c r="BN74" i="11" s="1"/>
  <c r="AA74" i="11"/>
  <c r="Z74" i="11"/>
  <c r="Y74" i="11"/>
  <c r="X74" i="11"/>
  <c r="W74" i="11"/>
  <c r="V74" i="11"/>
  <c r="U74" i="11"/>
  <c r="T74" i="11"/>
  <c r="S74" i="11"/>
  <c r="R74" i="11"/>
  <c r="P74" i="11"/>
  <c r="P73" i="19" s="1"/>
  <c r="O74" i="11"/>
  <c r="N74" i="11"/>
  <c r="M74" i="11"/>
  <c r="L74" i="11"/>
  <c r="K73" i="19" s="1"/>
  <c r="K74" i="11"/>
  <c r="BM74" i="11" s="1"/>
  <c r="J74" i="11"/>
  <c r="BL74" i="11" s="1"/>
  <c r="I74" i="11"/>
  <c r="BK74" i="11" s="1"/>
  <c r="H74" i="11"/>
  <c r="AW74" i="11" s="1"/>
  <c r="G74" i="11"/>
  <c r="E74" i="11"/>
  <c r="D74" i="11"/>
  <c r="C74" i="11"/>
  <c r="B73" i="19" s="1"/>
  <c r="B74" i="11"/>
  <c r="A74" i="11"/>
  <c r="A73" i="19" s="1"/>
  <c r="BQ73" i="11"/>
  <c r="AU73" i="11"/>
  <c r="AT73" i="11"/>
  <c r="AR73" i="11"/>
  <c r="AQ73" i="11"/>
  <c r="AP73" i="11"/>
  <c r="AV73" i="11" s="1"/>
  <c r="AO73" i="11"/>
  <c r="AN73" i="11"/>
  <c r="AM73" i="11"/>
  <c r="AL73" i="11"/>
  <c r="AK73" i="11"/>
  <c r="AI73" i="11"/>
  <c r="AH73" i="11"/>
  <c r="AG73" i="11"/>
  <c r="AF73" i="11"/>
  <c r="AE73" i="11"/>
  <c r="AD73" i="11"/>
  <c r="AB73" i="11"/>
  <c r="BN73" i="11" s="1"/>
  <c r="AA73" i="11"/>
  <c r="Z73" i="11"/>
  <c r="Y73" i="11"/>
  <c r="X73" i="11"/>
  <c r="BD73" i="11" s="1"/>
  <c r="W73" i="11"/>
  <c r="V73" i="11"/>
  <c r="U73" i="11"/>
  <c r="T73" i="11"/>
  <c r="S73" i="11"/>
  <c r="R73" i="11"/>
  <c r="P73" i="11"/>
  <c r="P72" i="19" s="1"/>
  <c r="O73" i="11"/>
  <c r="N73" i="11"/>
  <c r="M73" i="11"/>
  <c r="L73" i="11"/>
  <c r="K73" i="11"/>
  <c r="BM73" i="11" s="1"/>
  <c r="J73" i="11"/>
  <c r="BL73" i="11" s="1"/>
  <c r="I73" i="11"/>
  <c r="BK73" i="11" s="1"/>
  <c r="H73" i="11"/>
  <c r="AW73" i="11" s="1"/>
  <c r="G73" i="11"/>
  <c r="F73" i="11"/>
  <c r="E73" i="11"/>
  <c r="D73" i="11"/>
  <c r="C73" i="11"/>
  <c r="B72" i="19" s="1"/>
  <c r="B73" i="11"/>
  <c r="A73" i="11"/>
  <c r="A72" i="19" s="1"/>
  <c r="BQ72" i="11"/>
  <c r="AU72" i="11"/>
  <c r="AT72" i="11"/>
  <c r="AR72" i="11"/>
  <c r="AQ72" i="11"/>
  <c r="BJ72" i="11" s="1"/>
  <c r="AP72" i="11"/>
  <c r="AV72" i="11" s="1"/>
  <c r="AO72" i="11"/>
  <c r="AN72" i="11"/>
  <c r="AM72" i="11"/>
  <c r="AL72" i="11"/>
  <c r="AK72" i="11"/>
  <c r="AI72" i="11"/>
  <c r="AH72" i="11"/>
  <c r="AG72" i="11"/>
  <c r="AF72" i="11"/>
  <c r="AE72" i="11"/>
  <c r="AD72" i="11"/>
  <c r="BP72" i="11" s="1"/>
  <c r="AB72" i="11"/>
  <c r="BN72" i="11" s="1"/>
  <c r="AA72" i="11"/>
  <c r="Z72" i="11"/>
  <c r="Y72" i="11"/>
  <c r="X72" i="11"/>
  <c r="W72" i="11"/>
  <c r="V72" i="11"/>
  <c r="U72" i="11"/>
  <c r="T72" i="11"/>
  <c r="S72" i="11"/>
  <c r="R72" i="11"/>
  <c r="P72" i="11"/>
  <c r="P71" i="19" s="1"/>
  <c r="O72" i="11"/>
  <c r="N72" i="11"/>
  <c r="M72" i="11"/>
  <c r="L72" i="11"/>
  <c r="K72" i="11"/>
  <c r="BM72" i="11" s="1"/>
  <c r="J72" i="11"/>
  <c r="BL72" i="11" s="1"/>
  <c r="I72" i="11"/>
  <c r="BK72" i="11" s="1"/>
  <c r="H72" i="11"/>
  <c r="AW72" i="11" s="1"/>
  <c r="G72" i="11"/>
  <c r="F72" i="11"/>
  <c r="E72" i="11"/>
  <c r="D72" i="11"/>
  <c r="C72" i="11"/>
  <c r="B71" i="19" s="1"/>
  <c r="B72" i="11"/>
  <c r="A72" i="11"/>
  <c r="A71" i="19" s="1"/>
  <c r="BQ71" i="11"/>
  <c r="AU71" i="11"/>
  <c r="AT71" i="11"/>
  <c r="AR71" i="11"/>
  <c r="AQ71" i="11"/>
  <c r="AP71" i="11"/>
  <c r="AV71" i="11" s="1"/>
  <c r="AN71" i="11"/>
  <c r="AM71" i="11"/>
  <c r="AL71" i="11"/>
  <c r="AK71" i="11"/>
  <c r="AI71" i="11"/>
  <c r="AH71" i="11"/>
  <c r="AG71" i="11"/>
  <c r="AF71" i="11"/>
  <c r="AE71" i="11"/>
  <c r="AD71" i="11"/>
  <c r="BP71" i="11" s="1"/>
  <c r="AB71" i="11"/>
  <c r="BN71" i="11" s="1"/>
  <c r="AA71" i="11"/>
  <c r="Z71" i="11"/>
  <c r="Y71" i="11"/>
  <c r="X71" i="11"/>
  <c r="W71" i="11"/>
  <c r="V71" i="11"/>
  <c r="U71" i="11"/>
  <c r="T71" i="11"/>
  <c r="S71" i="11"/>
  <c r="R71" i="11"/>
  <c r="P71" i="11"/>
  <c r="P70" i="19" s="1"/>
  <c r="O71" i="11"/>
  <c r="N71" i="11"/>
  <c r="M71" i="11"/>
  <c r="L71" i="11"/>
  <c r="K71" i="11"/>
  <c r="BM71" i="11" s="1"/>
  <c r="J71" i="11"/>
  <c r="BL71" i="11" s="1"/>
  <c r="I71" i="11"/>
  <c r="BK71" i="11" s="1"/>
  <c r="H71" i="11"/>
  <c r="AW71" i="11" s="1"/>
  <c r="G71" i="11"/>
  <c r="E71" i="11"/>
  <c r="D71" i="11"/>
  <c r="C71" i="11"/>
  <c r="B70" i="19" s="1"/>
  <c r="B71" i="11"/>
  <c r="A71" i="11"/>
  <c r="A70" i="19" s="1"/>
  <c r="BQ70" i="11"/>
  <c r="AU70" i="11"/>
  <c r="AT70" i="11"/>
  <c r="AR70" i="11"/>
  <c r="AQ70" i="11"/>
  <c r="BJ70" i="11" s="1"/>
  <c r="AP70" i="11"/>
  <c r="AV70" i="11" s="1"/>
  <c r="AN70" i="11"/>
  <c r="AM70" i="11"/>
  <c r="AL70" i="11"/>
  <c r="AK70" i="11"/>
  <c r="AI70" i="11"/>
  <c r="AH70" i="11"/>
  <c r="AG70" i="11"/>
  <c r="AF70" i="11"/>
  <c r="AE70" i="11"/>
  <c r="AD70" i="11"/>
  <c r="AB70" i="11"/>
  <c r="BN70" i="11" s="1"/>
  <c r="AA70" i="11"/>
  <c r="Z70" i="11"/>
  <c r="Y70" i="11"/>
  <c r="X70" i="11"/>
  <c r="BD70" i="11" s="1"/>
  <c r="W70" i="11"/>
  <c r="V70" i="11"/>
  <c r="U70" i="11"/>
  <c r="T70" i="11"/>
  <c r="S70" i="11"/>
  <c r="R70" i="11"/>
  <c r="P70" i="11"/>
  <c r="P69" i="19" s="1"/>
  <c r="O70" i="11"/>
  <c r="N70" i="11"/>
  <c r="M70" i="11"/>
  <c r="L70" i="11"/>
  <c r="K69" i="19" s="1"/>
  <c r="K70" i="11"/>
  <c r="BM70" i="11" s="1"/>
  <c r="J70" i="11"/>
  <c r="BL70" i="11" s="1"/>
  <c r="I70" i="11"/>
  <c r="BK70" i="11" s="1"/>
  <c r="H70" i="11"/>
  <c r="AW70" i="11" s="1"/>
  <c r="G70" i="11"/>
  <c r="F70" i="11"/>
  <c r="E70" i="11"/>
  <c r="D70" i="11"/>
  <c r="C70" i="11"/>
  <c r="B69" i="19" s="1"/>
  <c r="B70" i="11"/>
  <c r="A70" i="11"/>
  <c r="A69" i="19" s="1"/>
  <c r="BQ69" i="11"/>
  <c r="AU69" i="11"/>
  <c r="AT69" i="11"/>
  <c r="AR69" i="11"/>
  <c r="AQ69" i="11"/>
  <c r="BJ69" i="11" s="1"/>
  <c r="AP69" i="11"/>
  <c r="AN69" i="11"/>
  <c r="AM69" i="11"/>
  <c r="AL69" i="11"/>
  <c r="AK69" i="11"/>
  <c r="AI69" i="11"/>
  <c r="AH69" i="11"/>
  <c r="AG69" i="11"/>
  <c r="AF69" i="11"/>
  <c r="AE69" i="11"/>
  <c r="AD69" i="11"/>
  <c r="AB69" i="11"/>
  <c r="BN69" i="11" s="1"/>
  <c r="AA69" i="11"/>
  <c r="Z69" i="11"/>
  <c r="Y69" i="11"/>
  <c r="X69" i="11"/>
  <c r="BD69" i="11" s="1"/>
  <c r="W69" i="11"/>
  <c r="V69" i="11"/>
  <c r="U69" i="11"/>
  <c r="T69" i="11"/>
  <c r="S69" i="11"/>
  <c r="R69" i="11"/>
  <c r="P69" i="11"/>
  <c r="P68" i="19" s="1"/>
  <c r="O69" i="11"/>
  <c r="N69" i="11"/>
  <c r="M69" i="11"/>
  <c r="L69" i="11"/>
  <c r="K69" i="11"/>
  <c r="BM69" i="11" s="1"/>
  <c r="J69" i="11"/>
  <c r="BL69" i="11" s="1"/>
  <c r="I69" i="11"/>
  <c r="BK69" i="11" s="1"/>
  <c r="H69" i="11"/>
  <c r="AW69" i="11" s="1"/>
  <c r="G69" i="11"/>
  <c r="F69" i="11"/>
  <c r="E69" i="11"/>
  <c r="D69" i="11"/>
  <c r="C69" i="11"/>
  <c r="B68" i="19" s="1"/>
  <c r="B69" i="11"/>
  <c r="A69" i="11"/>
  <c r="A68" i="19" s="1"/>
  <c r="BQ68" i="11"/>
  <c r="AU68" i="11"/>
  <c r="AT68" i="11"/>
  <c r="AR68" i="11"/>
  <c r="AQ68" i="11"/>
  <c r="AP68" i="11"/>
  <c r="AV68" i="11" s="1"/>
  <c r="AN68" i="11"/>
  <c r="AM68" i="11"/>
  <c r="AL68" i="11"/>
  <c r="AK68" i="11"/>
  <c r="AI68" i="11"/>
  <c r="AH68" i="11"/>
  <c r="AG68" i="11"/>
  <c r="AF68" i="11"/>
  <c r="AE68" i="11"/>
  <c r="AD68" i="11"/>
  <c r="AB68" i="11"/>
  <c r="BN68" i="11" s="1"/>
  <c r="AA68" i="11"/>
  <c r="Z68" i="11"/>
  <c r="Y68" i="11"/>
  <c r="X68" i="11"/>
  <c r="BD68" i="11" s="1"/>
  <c r="W68" i="11"/>
  <c r="V68" i="11"/>
  <c r="U68" i="11"/>
  <c r="T68" i="11"/>
  <c r="S68" i="11"/>
  <c r="R68" i="11"/>
  <c r="P68" i="11"/>
  <c r="P67" i="19" s="1"/>
  <c r="O68" i="11"/>
  <c r="N68" i="11"/>
  <c r="M68" i="11"/>
  <c r="L68" i="11"/>
  <c r="K68" i="11"/>
  <c r="BM68" i="11" s="1"/>
  <c r="J68" i="11"/>
  <c r="BL68" i="11" s="1"/>
  <c r="I68" i="11"/>
  <c r="BK68" i="11" s="1"/>
  <c r="H68" i="11"/>
  <c r="AW68" i="11" s="1"/>
  <c r="G68" i="11"/>
  <c r="E68" i="11"/>
  <c r="D68" i="11"/>
  <c r="C68" i="11"/>
  <c r="B67" i="19" s="1"/>
  <c r="B68" i="11"/>
  <c r="A68" i="11"/>
  <c r="A67" i="19" s="1"/>
  <c r="BQ67" i="11"/>
  <c r="AU67" i="11"/>
  <c r="AT67" i="11"/>
  <c r="AR67" i="11"/>
  <c r="AQ67" i="11"/>
  <c r="AP67" i="11"/>
  <c r="AV67" i="11" s="1"/>
  <c r="AN67" i="11"/>
  <c r="AM67" i="11"/>
  <c r="AL67" i="11"/>
  <c r="AK67" i="11"/>
  <c r="AI67" i="11"/>
  <c r="AH67" i="11"/>
  <c r="AG67" i="11"/>
  <c r="AF67" i="11"/>
  <c r="AE67" i="11"/>
  <c r="AD67" i="11"/>
  <c r="AB67" i="11"/>
  <c r="BN67" i="11" s="1"/>
  <c r="AA67" i="11"/>
  <c r="Z67" i="11"/>
  <c r="Y67" i="11"/>
  <c r="X67" i="11"/>
  <c r="BD67" i="11" s="1"/>
  <c r="W67" i="11"/>
  <c r="V67" i="11"/>
  <c r="U67" i="11"/>
  <c r="T67" i="11"/>
  <c r="S67" i="11"/>
  <c r="R67" i="11"/>
  <c r="P67" i="11"/>
  <c r="P66" i="19" s="1"/>
  <c r="O67" i="11"/>
  <c r="N67" i="11"/>
  <c r="M67" i="11"/>
  <c r="L67" i="11"/>
  <c r="K67" i="11"/>
  <c r="BM67" i="11" s="1"/>
  <c r="J67" i="11"/>
  <c r="BL67" i="11" s="1"/>
  <c r="I67" i="11"/>
  <c r="BK67" i="11" s="1"/>
  <c r="H67" i="11"/>
  <c r="AW67" i="11" s="1"/>
  <c r="G67" i="11"/>
  <c r="F67" i="11"/>
  <c r="E67" i="11"/>
  <c r="D67" i="11"/>
  <c r="C67" i="11"/>
  <c r="B66" i="19" s="1"/>
  <c r="B67" i="11"/>
  <c r="A67" i="11"/>
  <c r="A66" i="19" s="1"/>
  <c r="BQ66" i="11"/>
  <c r="AU66" i="11"/>
  <c r="AT66" i="11"/>
  <c r="AR66" i="11"/>
  <c r="AQ66" i="11"/>
  <c r="BJ66" i="11" s="1"/>
  <c r="AP66" i="11"/>
  <c r="AV66" i="11" s="1"/>
  <c r="AN66" i="11"/>
  <c r="AM66" i="11"/>
  <c r="AL66" i="11"/>
  <c r="AK66" i="11"/>
  <c r="AI66" i="11"/>
  <c r="AH66" i="11"/>
  <c r="AG66" i="11"/>
  <c r="AF66" i="11"/>
  <c r="AE66" i="11"/>
  <c r="AD66" i="11"/>
  <c r="AB66" i="11"/>
  <c r="BN66" i="11" s="1"/>
  <c r="AA66" i="11"/>
  <c r="Z66" i="11"/>
  <c r="Y66" i="11"/>
  <c r="X66" i="11"/>
  <c r="W66" i="11"/>
  <c r="V66" i="11"/>
  <c r="U66" i="11"/>
  <c r="T66" i="11"/>
  <c r="S66" i="11"/>
  <c r="R66" i="11"/>
  <c r="P66" i="11"/>
  <c r="P65" i="19" s="1"/>
  <c r="O66" i="11"/>
  <c r="N66" i="11"/>
  <c r="M66" i="11"/>
  <c r="L66" i="11"/>
  <c r="K66" i="11"/>
  <c r="BM66" i="11" s="1"/>
  <c r="J66" i="11"/>
  <c r="BL66" i="11" s="1"/>
  <c r="I66" i="11"/>
  <c r="BK66" i="11" s="1"/>
  <c r="H66" i="11"/>
  <c r="AW66" i="11" s="1"/>
  <c r="G66" i="11"/>
  <c r="F66" i="11"/>
  <c r="E66" i="11"/>
  <c r="D66" i="11"/>
  <c r="C66" i="11"/>
  <c r="B65" i="19" s="1"/>
  <c r="B66" i="11"/>
  <c r="A66" i="11"/>
  <c r="A65" i="19" s="1"/>
  <c r="BQ65" i="11"/>
  <c r="AU65" i="11"/>
  <c r="AT65" i="11"/>
  <c r="AR65" i="11"/>
  <c r="AQ65" i="11"/>
  <c r="AP65" i="11"/>
  <c r="AV65" i="11" s="1"/>
  <c r="AN65" i="11"/>
  <c r="AM65" i="11"/>
  <c r="AL65" i="11"/>
  <c r="AK65" i="11"/>
  <c r="AI65" i="11"/>
  <c r="AH65" i="11"/>
  <c r="AG65" i="11"/>
  <c r="AF65" i="11"/>
  <c r="AE65" i="11"/>
  <c r="AD65" i="11"/>
  <c r="BP65" i="11" s="1"/>
  <c r="AB65" i="11"/>
  <c r="BN65" i="11" s="1"/>
  <c r="AA65" i="11"/>
  <c r="Z65" i="11"/>
  <c r="Y65" i="11"/>
  <c r="X65" i="11"/>
  <c r="W65" i="11"/>
  <c r="V65" i="11"/>
  <c r="U65" i="11"/>
  <c r="T65" i="11"/>
  <c r="S65" i="11"/>
  <c r="R65" i="11"/>
  <c r="P65" i="11"/>
  <c r="P64" i="19" s="1"/>
  <c r="O65" i="11"/>
  <c r="N65" i="11"/>
  <c r="M65" i="11"/>
  <c r="L65" i="11"/>
  <c r="K65" i="11"/>
  <c r="BM65" i="11" s="1"/>
  <c r="J65" i="11"/>
  <c r="BL65" i="11" s="1"/>
  <c r="I65" i="11"/>
  <c r="BK65" i="11" s="1"/>
  <c r="H65" i="11"/>
  <c r="AW65" i="11" s="1"/>
  <c r="G65" i="11"/>
  <c r="F65" i="11"/>
  <c r="E65" i="11"/>
  <c r="D65" i="11"/>
  <c r="C65" i="11"/>
  <c r="B64" i="19" s="1"/>
  <c r="B65" i="11"/>
  <c r="A65" i="11"/>
  <c r="A64" i="19" s="1"/>
  <c r="BQ64" i="11"/>
  <c r="AU64" i="11"/>
  <c r="AT64" i="11"/>
  <c r="AR64" i="11"/>
  <c r="AQ64" i="11"/>
  <c r="BJ64" i="11" s="1"/>
  <c r="AP64" i="11"/>
  <c r="AV64" i="11" s="1"/>
  <c r="AO64" i="11"/>
  <c r="AN64" i="11"/>
  <c r="AM64" i="11"/>
  <c r="AL64" i="11"/>
  <c r="AK64" i="11"/>
  <c r="AI64" i="11"/>
  <c r="AH64" i="11"/>
  <c r="AG64" i="11"/>
  <c r="AF64" i="11"/>
  <c r="AE64" i="11"/>
  <c r="AD64" i="11"/>
  <c r="AB64" i="11"/>
  <c r="BN64" i="11" s="1"/>
  <c r="AA64" i="11"/>
  <c r="Z64" i="11"/>
  <c r="Y64" i="11"/>
  <c r="X64" i="11"/>
  <c r="BD64" i="11" s="1"/>
  <c r="W64" i="11"/>
  <c r="V64" i="11"/>
  <c r="U64" i="11"/>
  <c r="T64" i="11"/>
  <c r="S64" i="11"/>
  <c r="R64" i="11"/>
  <c r="P64" i="11"/>
  <c r="P63" i="19" s="1"/>
  <c r="O64" i="11"/>
  <c r="N64" i="11"/>
  <c r="M64" i="11"/>
  <c r="L64" i="11"/>
  <c r="K64" i="11"/>
  <c r="BM64" i="11" s="1"/>
  <c r="J64" i="11"/>
  <c r="BL64" i="11" s="1"/>
  <c r="I64" i="11"/>
  <c r="BK64" i="11" s="1"/>
  <c r="H64" i="11"/>
  <c r="AW64" i="11" s="1"/>
  <c r="G64" i="11"/>
  <c r="E64" i="11"/>
  <c r="D64" i="11"/>
  <c r="C64" i="11"/>
  <c r="B63" i="19" s="1"/>
  <c r="B64" i="11"/>
  <c r="A64" i="11"/>
  <c r="A63" i="19" s="1"/>
  <c r="BQ63" i="11"/>
  <c r="AU63" i="11"/>
  <c r="AT63" i="11"/>
  <c r="AR63" i="11"/>
  <c r="AQ63" i="11"/>
  <c r="BJ63" i="11" s="1"/>
  <c r="AP63" i="11"/>
  <c r="AV63" i="11" s="1"/>
  <c r="AN63" i="11"/>
  <c r="AM63" i="11"/>
  <c r="AL63" i="11"/>
  <c r="AK63" i="11"/>
  <c r="AI63" i="11"/>
  <c r="AH63" i="11"/>
  <c r="AG63" i="11"/>
  <c r="AF63" i="11"/>
  <c r="AE63" i="11"/>
  <c r="AD63" i="11"/>
  <c r="AB63" i="11"/>
  <c r="BN63" i="11" s="1"/>
  <c r="AA63" i="11"/>
  <c r="Z63" i="11"/>
  <c r="Y63" i="11"/>
  <c r="X63" i="11"/>
  <c r="BD63" i="11" s="1"/>
  <c r="W63" i="11"/>
  <c r="V63" i="11"/>
  <c r="U63" i="11"/>
  <c r="T63" i="11"/>
  <c r="S63" i="11"/>
  <c r="R63" i="11"/>
  <c r="P63" i="11"/>
  <c r="P62" i="19" s="1"/>
  <c r="O63" i="11"/>
  <c r="N63" i="11"/>
  <c r="M63" i="11"/>
  <c r="L63" i="11"/>
  <c r="K63" i="11"/>
  <c r="BM63" i="11" s="1"/>
  <c r="J63" i="11"/>
  <c r="BL63" i="11" s="1"/>
  <c r="I63" i="11"/>
  <c r="BK63" i="11" s="1"/>
  <c r="H63" i="11"/>
  <c r="AW63" i="11" s="1"/>
  <c r="G63" i="11"/>
  <c r="F63" i="11"/>
  <c r="E63" i="11"/>
  <c r="D63" i="11"/>
  <c r="C63" i="11"/>
  <c r="B62" i="19" s="1"/>
  <c r="B63" i="11"/>
  <c r="A63" i="11"/>
  <c r="A62" i="19" s="1"/>
  <c r="BQ62" i="11"/>
  <c r="AU62" i="11"/>
  <c r="AT62" i="11"/>
  <c r="AR62" i="11"/>
  <c r="AQ62" i="11"/>
  <c r="AP62" i="11"/>
  <c r="AV62" i="11" s="1"/>
  <c r="AO62" i="11"/>
  <c r="AN62" i="11"/>
  <c r="AM62" i="11"/>
  <c r="AL62" i="11"/>
  <c r="AK62" i="11"/>
  <c r="AI62" i="11"/>
  <c r="AH62" i="11"/>
  <c r="AG62" i="11"/>
  <c r="AF62" i="11"/>
  <c r="AE62" i="11"/>
  <c r="AD62" i="11"/>
  <c r="AB62" i="11"/>
  <c r="BN62" i="11" s="1"/>
  <c r="AA62" i="11"/>
  <c r="Z62" i="11"/>
  <c r="Y62" i="11"/>
  <c r="X62" i="11"/>
  <c r="BD62" i="11" s="1"/>
  <c r="W62" i="11"/>
  <c r="V62" i="11"/>
  <c r="U62" i="11"/>
  <c r="T62" i="11"/>
  <c r="S62" i="11"/>
  <c r="R62" i="11"/>
  <c r="P62" i="11"/>
  <c r="P61" i="19" s="1"/>
  <c r="O62" i="11"/>
  <c r="N62" i="11"/>
  <c r="M62" i="11"/>
  <c r="L62" i="11"/>
  <c r="K62" i="11"/>
  <c r="BM62" i="11" s="1"/>
  <c r="J62" i="11"/>
  <c r="BL62" i="11" s="1"/>
  <c r="I62" i="11"/>
  <c r="BK62" i="11" s="1"/>
  <c r="H62" i="11"/>
  <c r="AW62" i="11" s="1"/>
  <c r="G62" i="11"/>
  <c r="F62" i="11"/>
  <c r="E62" i="11"/>
  <c r="D62" i="11"/>
  <c r="C62" i="11"/>
  <c r="B61" i="19" s="1"/>
  <c r="B62" i="11"/>
  <c r="A62" i="11"/>
  <c r="A61" i="19" s="1"/>
  <c r="BQ61" i="11"/>
  <c r="AU61" i="11"/>
  <c r="AT61" i="11"/>
  <c r="AR61" i="11"/>
  <c r="AQ61" i="11"/>
  <c r="BJ61" i="11" s="1"/>
  <c r="AP61" i="11"/>
  <c r="AN61" i="11"/>
  <c r="AM61" i="11"/>
  <c r="AL61" i="11"/>
  <c r="AK61" i="11"/>
  <c r="AI61" i="11"/>
  <c r="AH61" i="11"/>
  <c r="AG61" i="11"/>
  <c r="AF61" i="11"/>
  <c r="AE61" i="11"/>
  <c r="AD61" i="11"/>
  <c r="AB61" i="11"/>
  <c r="BN61" i="11" s="1"/>
  <c r="AA61" i="11"/>
  <c r="Z61" i="11"/>
  <c r="Y61" i="11"/>
  <c r="X61" i="11"/>
  <c r="BD61" i="11" s="1"/>
  <c r="W61" i="11"/>
  <c r="V61" i="11"/>
  <c r="U61" i="11"/>
  <c r="T61" i="11"/>
  <c r="S61" i="11"/>
  <c r="R61" i="11"/>
  <c r="P61" i="11"/>
  <c r="P60" i="19" s="1"/>
  <c r="O61" i="11"/>
  <c r="N61" i="11"/>
  <c r="M61" i="11"/>
  <c r="L61" i="11"/>
  <c r="K61" i="11"/>
  <c r="BM61" i="11" s="1"/>
  <c r="J61" i="11"/>
  <c r="BL61" i="11" s="1"/>
  <c r="I61" i="11"/>
  <c r="BK61" i="11" s="1"/>
  <c r="H61" i="11"/>
  <c r="AW61" i="11" s="1"/>
  <c r="G61" i="11"/>
  <c r="F61" i="11"/>
  <c r="E61" i="11"/>
  <c r="D61" i="11"/>
  <c r="C61" i="11"/>
  <c r="B60" i="19" s="1"/>
  <c r="B61" i="11"/>
  <c r="A61" i="11"/>
  <c r="A60" i="19" s="1"/>
  <c r="BQ60" i="11"/>
  <c r="AU60" i="11"/>
  <c r="AT60" i="11"/>
  <c r="AR60" i="11"/>
  <c r="AQ60" i="11"/>
  <c r="BJ60" i="11" s="1"/>
  <c r="AP60" i="11"/>
  <c r="AV60" i="11" s="1"/>
  <c r="AN60" i="11"/>
  <c r="AM60" i="11"/>
  <c r="AL60" i="11"/>
  <c r="AK60" i="11"/>
  <c r="AI60" i="11"/>
  <c r="AH60" i="11"/>
  <c r="AG60" i="11"/>
  <c r="AF60" i="11"/>
  <c r="AE60" i="11"/>
  <c r="AD60" i="11"/>
  <c r="BP60" i="11" s="1"/>
  <c r="AB60" i="11"/>
  <c r="BN60" i="11" s="1"/>
  <c r="AA60" i="11"/>
  <c r="Z60" i="11"/>
  <c r="Y60" i="11"/>
  <c r="X60" i="11"/>
  <c r="W60" i="11"/>
  <c r="V60" i="11"/>
  <c r="U60" i="11"/>
  <c r="T60" i="11"/>
  <c r="S60" i="11"/>
  <c r="R60" i="11"/>
  <c r="P60" i="11"/>
  <c r="P59" i="19" s="1"/>
  <c r="O60" i="11"/>
  <c r="N60" i="11"/>
  <c r="M60" i="11"/>
  <c r="L60" i="11"/>
  <c r="K60" i="11"/>
  <c r="BM60" i="11" s="1"/>
  <c r="J60" i="11"/>
  <c r="BL60" i="11" s="1"/>
  <c r="I60" i="11"/>
  <c r="BK60" i="11" s="1"/>
  <c r="H60" i="11"/>
  <c r="AW60" i="11" s="1"/>
  <c r="G60" i="11"/>
  <c r="F60" i="11"/>
  <c r="E60" i="11"/>
  <c r="D60" i="11"/>
  <c r="C60" i="11"/>
  <c r="B59" i="19" s="1"/>
  <c r="B60" i="11"/>
  <c r="A60" i="11"/>
  <c r="A59" i="19" s="1"/>
  <c r="BQ59" i="11"/>
  <c r="AU59" i="11"/>
  <c r="AT59" i="11"/>
  <c r="AR59" i="11"/>
  <c r="AQ59" i="11"/>
  <c r="AP59" i="11"/>
  <c r="AV59" i="11" s="1"/>
  <c r="AO59" i="11"/>
  <c r="AN59" i="11"/>
  <c r="AM59" i="11"/>
  <c r="AL59" i="11"/>
  <c r="AK59" i="11"/>
  <c r="AI59" i="11"/>
  <c r="AH59" i="11"/>
  <c r="AG59" i="11"/>
  <c r="AF59" i="11"/>
  <c r="AE59" i="11"/>
  <c r="AD59" i="11"/>
  <c r="BP59" i="11" s="1"/>
  <c r="AB59" i="11"/>
  <c r="BN59" i="11" s="1"/>
  <c r="AA59" i="11"/>
  <c r="Z59" i="11"/>
  <c r="Y59" i="11"/>
  <c r="X59" i="11"/>
  <c r="W59" i="11"/>
  <c r="V59" i="11"/>
  <c r="U59" i="11"/>
  <c r="T59" i="11"/>
  <c r="S59" i="11"/>
  <c r="R59" i="11"/>
  <c r="P59" i="11"/>
  <c r="P58" i="19" s="1"/>
  <c r="O59" i="11"/>
  <c r="N59" i="11"/>
  <c r="M59" i="11"/>
  <c r="L59" i="11"/>
  <c r="K58" i="19" s="1"/>
  <c r="K59" i="11"/>
  <c r="BM59" i="11" s="1"/>
  <c r="J59" i="11"/>
  <c r="BL59" i="11" s="1"/>
  <c r="I59" i="11"/>
  <c r="BK59" i="11" s="1"/>
  <c r="H59" i="11"/>
  <c r="AW59" i="11" s="1"/>
  <c r="G59" i="11"/>
  <c r="F59" i="11"/>
  <c r="E59" i="11"/>
  <c r="D59" i="11"/>
  <c r="C59" i="11"/>
  <c r="B58" i="19" s="1"/>
  <c r="B59" i="11"/>
  <c r="A59" i="11"/>
  <c r="A58" i="19" s="1"/>
  <c r="BQ58" i="11"/>
  <c r="AU58" i="11"/>
  <c r="AT58" i="11"/>
  <c r="AR58" i="11"/>
  <c r="AQ58" i="11"/>
  <c r="BJ58" i="11" s="1"/>
  <c r="AP58" i="11"/>
  <c r="AV58" i="11" s="1"/>
  <c r="AO58" i="11"/>
  <c r="AN58" i="11"/>
  <c r="AM58" i="11"/>
  <c r="AL58" i="11"/>
  <c r="AK58" i="11"/>
  <c r="AI58" i="11"/>
  <c r="AH58" i="11"/>
  <c r="AG58" i="11"/>
  <c r="AF58" i="11"/>
  <c r="AE58" i="11"/>
  <c r="AD58" i="11"/>
  <c r="BP58" i="11" s="1"/>
  <c r="AB58" i="11"/>
  <c r="BN58" i="11" s="1"/>
  <c r="AA58" i="11"/>
  <c r="Z58" i="11"/>
  <c r="Y58" i="11"/>
  <c r="X58" i="11"/>
  <c r="W58" i="11"/>
  <c r="V58" i="11"/>
  <c r="U58" i="11"/>
  <c r="T58" i="11"/>
  <c r="S58" i="11"/>
  <c r="R58" i="11"/>
  <c r="P58" i="11"/>
  <c r="P57" i="19" s="1"/>
  <c r="O58" i="11"/>
  <c r="N58" i="11"/>
  <c r="M58" i="11"/>
  <c r="L58" i="11"/>
  <c r="K58" i="11"/>
  <c r="BM58" i="11" s="1"/>
  <c r="J58" i="11"/>
  <c r="BL58" i="11" s="1"/>
  <c r="I58" i="11"/>
  <c r="BK58" i="11" s="1"/>
  <c r="H58" i="11"/>
  <c r="AW58" i="11" s="1"/>
  <c r="G58" i="11"/>
  <c r="F58" i="11"/>
  <c r="E58" i="11"/>
  <c r="D58" i="11"/>
  <c r="C58" i="11"/>
  <c r="B57" i="19" s="1"/>
  <c r="B58" i="11"/>
  <c r="A58" i="11"/>
  <c r="A57" i="19" s="1"/>
  <c r="BQ57" i="11"/>
  <c r="AU57" i="11"/>
  <c r="AT57" i="11"/>
  <c r="AR57" i="11"/>
  <c r="AQ57" i="11"/>
  <c r="BJ57" i="11" s="1"/>
  <c r="AP57" i="11"/>
  <c r="AV57" i="11" s="1"/>
  <c r="AO57" i="11"/>
  <c r="AN57" i="11"/>
  <c r="AM57" i="11"/>
  <c r="AL57" i="11"/>
  <c r="AK57" i="11"/>
  <c r="AI57" i="11"/>
  <c r="AH57" i="11"/>
  <c r="AG57" i="11"/>
  <c r="AF57" i="11"/>
  <c r="AE57" i="11"/>
  <c r="AD57" i="11"/>
  <c r="AB57" i="11"/>
  <c r="BN57" i="11" s="1"/>
  <c r="AA57" i="11"/>
  <c r="Z57" i="11"/>
  <c r="Y57" i="11"/>
  <c r="X57" i="11"/>
  <c r="W57" i="11"/>
  <c r="V57" i="11"/>
  <c r="U57" i="11"/>
  <c r="T57" i="11"/>
  <c r="S57" i="11"/>
  <c r="R57" i="11"/>
  <c r="P57" i="11"/>
  <c r="P56" i="19" s="1"/>
  <c r="O57" i="11"/>
  <c r="N57" i="11"/>
  <c r="M57" i="11"/>
  <c r="L57" i="11"/>
  <c r="K57" i="11"/>
  <c r="BM57" i="11" s="1"/>
  <c r="J57" i="11"/>
  <c r="BL57" i="11" s="1"/>
  <c r="I57" i="11"/>
  <c r="BK57" i="11" s="1"/>
  <c r="H57" i="11"/>
  <c r="AW57" i="11" s="1"/>
  <c r="G57" i="11"/>
  <c r="F57" i="11"/>
  <c r="E57" i="11"/>
  <c r="D57" i="11"/>
  <c r="C57" i="11"/>
  <c r="B56" i="19" s="1"/>
  <c r="B57" i="11"/>
  <c r="A57" i="11"/>
  <c r="A56" i="19" s="1"/>
  <c r="BQ56" i="11"/>
  <c r="AU56" i="11"/>
  <c r="AT56" i="11"/>
  <c r="AR56" i="11"/>
  <c r="AQ56" i="11"/>
  <c r="AP56" i="11"/>
  <c r="AV56" i="11" s="1"/>
  <c r="AO56" i="11"/>
  <c r="AN56" i="11"/>
  <c r="AM56" i="11"/>
  <c r="AL56" i="11"/>
  <c r="AK56" i="11"/>
  <c r="AI56" i="11"/>
  <c r="AH56" i="11"/>
  <c r="AG56" i="11"/>
  <c r="AF56" i="11"/>
  <c r="AE56" i="11"/>
  <c r="AD56" i="11"/>
  <c r="AB56" i="11"/>
  <c r="BN56" i="11" s="1"/>
  <c r="AA56" i="11"/>
  <c r="Z56" i="11"/>
  <c r="Y56" i="11"/>
  <c r="X56" i="11"/>
  <c r="BD56" i="11" s="1"/>
  <c r="W56" i="11"/>
  <c r="V56" i="11"/>
  <c r="U56" i="11"/>
  <c r="T56" i="11"/>
  <c r="S56" i="11"/>
  <c r="R56" i="11"/>
  <c r="P56" i="11"/>
  <c r="P55" i="19" s="1"/>
  <c r="O56" i="11"/>
  <c r="N56" i="11"/>
  <c r="M56" i="11"/>
  <c r="L56" i="11"/>
  <c r="K56" i="11"/>
  <c r="BM56" i="11" s="1"/>
  <c r="J56" i="11"/>
  <c r="BL56" i="11" s="1"/>
  <c r="I56" i="11"/>
  <c r="BK56" i="11" s="1"/>
  <c r="H56" i="11"/>
  <c r="AW56" i="11" s="1"/>
  <c r="G56" i="11"/>
  <c r="F56" i="11"/>
  <c r="E56" i="11"/>
  <c r="D56" i="11"/>
  <c r="C56" i="11"/>
  <c r="B55" i="19" s="1"/>
  <c r="B56" i="11"/>
  <c r="A56" i="11"/>
  <c r="A55" i="19" s="1"/>
  <c r="BQ55" i="11"/>
  <c r="AU55" i="11"/>
  <c r="AT55" i="11"/>
  <c r="AR55" i="11"/>
  <c r="AQ55" i="11"/>
  <c r="BJ55" i="11" s="1"/>
  <c r="AP55" i="11"/>
  <c r="AV55" i="11" s="1"/>
  <c r="AN55" i="11"/>
  <c r="AM55" i="11"/>
  <c r="AL55" i="11"/>
  <c r="AK55" i="11"/>
  <c r="AI55" i="11"/>
  <c r="AH55" i="11"/>
  <c r="AG55" i="11"/>
  <c r="AF55" i="11"/>
  <c r="AE55" i="11"/>
  <c r="AD55" i="11"/>
  <c r="AB55" i="11"/>
  <c r="BN55" i="11" s="1"/>
  <c r="AA55" i="11"/>
  <c r="Z55" i="11"/>
  <c r="Y55" i="11"/>
  <c r="X55" i="11"/>
  <c r="BD55" i="11" s="1"/>
  <c r="W55" i="11"/>
  <c r="V55" i="11"/>
  <c r="U55" i="11"/>
  <c r="T55" i="11"/>
  <c r="S55" i="11"/>
  <c r="R55" i="11"/>
  <c r="P55" i="11"/>
  <c r="P54" i="19" s="1"/>
  <c r="O55" i="11"/>
  <c r="N55" i="11"/>
  <c r="M55" i="11"/>
  <c r="L55" i="11"/>
  <c r="K55" i="11"/>
  <c r="BM55" i="11" s="1"/>
  <c r="J55" i="11"/>
  <c r="BL55" i="11" s="1"/>
  <c r="I55" i="11"/>
  <c r="BK55" i="11" s="1"/>
  <c r="H55" i="11"/>
  <c r="AW55" i="11" s="1"/>
  <c r="G55" i="11"/>
  <c r="F55" i="11"/>
  <c r="E55" i="11"/>
  <c r="D55" i="11"/>
  <c r="C55" i="11"/>
  <c r="B54" i="19" s="1"/>
  <c r="B55" i="11"/>
  <c r="A55" i="11"/>
  <c r="A54" i="19" s="1"/>
  <c r="BQ54" i="11"/>
  <c r="AU54" i="11"/>
  <c r="AT54" i="11"/>
  <c r="AR54" i="11"/>
  <c r="AQ54" i="11"/>
  <c r="BJ54" i="11" s="1"/>
  <c r="AP54" i="11"/>
  <c r="AV54" i="11" s="1"/>
  <c r="AN54" i="11"/>
  <c r="AM54" i="11"/>
  <c r="AL54" i="11"/>
  <c r="AK54" i="11"/>
  <c r="AI54" i="11"/>
  <c r="AH54" i="11"/>
  <c r="AG54" i="11"/>
  <c r="AF54" i="11"/>
  <c r="AE54" i="11"/>
  <c r="AD54" i="11"/>
  <c r="AB54" i="11"/>
  <c r="BN54" i="11" s="1"/>
  <c r="AA54" i="11"/>
  <c r="Z54" i="11"/>
  <c r="Y54" i="11"/>
  <c r="X54" i="11"/>
  <c r="W54" i="11"/>
  <c r="V54" i="11"/>
  <c r="U54" i="11"/>
  <c r="T54" i="11"/>
  <c r="S54" i="11"/>
  <c r="R54" i="11"/>
  <c r="P54" i="11"/>
  <c r="P53" i="19" s="1"/>
  <c r="O54" i="11"/>
  <c r="N54" i="11"/>
  <c r="M54" i="11"/>
  <c r="L54" i="11"/>
  <c r="K54" i="11"/>
  <c r="BM54" i="11" s="1"/>
  <c r="J54" i="11"/>
  <c r="BL54" i="11" s="1"/>
  <c r="I54" i="11"/>
  <c r="BK54" i="11" s="1"/>
  <c r="H54" i="11"/>
  <c r="AW54" i="11" s="1"/>
  <c r="G54" i="11"/>
  <c r="F54" i="11"/>
  <c r="E54" i="11"/>
  <c r="D54" i="11"/>
  <c r="C54" i="11"/>
  <c r="B53" i="19" s="1"/>
  <c r="B54" i="11"/>
  <c r="A54" i="11"/>
  <c r="A53" i="19" s="1"/>
  <c r="BQ53" i="11"/>
  <c r="AU53" i="11"/>
  <c r="AT53" i="11"/>
  <c r="AR53" i="11"/>
  <c r="AQ53" i="11"/>
  <c r="BJ53" i="11" s="1"/>
  <c r="AP53" i="11"/>
  <c r="AV53" i="11" s="1"/>
  <c r="AO53" i="11"/>
  <c r="AN53" i="11"/>
  <c r="AM53" i="11"/>
  <c r="AL53" i="11"/>
  <c r="AK53" i="11"/>
  <c r="AI53" i="11"/>
  <c r="AH53" i="11"/>
  <c r="AG53" i="11"/>
  <c r="AF53" i="11"/>
  <c r="AE53" i="11"/>
  <c r="AD53" i="11"/>
  <c r="BP53" i="11" s="1"/>
  <c r="AB53" i="11"/>
  <c r="BN53" i="11" s="1"/>
  <c r="AA53" i="11"/>
  <c r="Z53" i="11"/>
  <c r="Y53" i="11"/>
  <c r="X53" i="11"/>
  <c r="W53" i="11"/>
  <c r="V53" i="11"/>
  <c r="U53" i="11"/>
  <c r="T53" i="11"/>
  <c r="S53" i="11"/>
  <c r="R53" i="11"/>
  <c r="P53" i="11"/>
  <c r="P52" i="19" s="1"/>
  <c r="O53" i="11"/>
  <c r="N53" i="11"/>
  <c r="M53" i="11"/>
  <c r="L53" i="11"/>
  <c r="K52" i="19" s="1"/>
  <c r="K53" i="11"/>
  <c r="BM53" i="11" s="1"/>
  <c r="J53" i="11"/>
  <c r="BL53" i="11" s="1"/>
  <c r="I53" i="11"/>
  <c r="BK53" i="11" s="1"/>
  <c r="H53" i="11"/>
  <c r="AW53" i="11" s="1"/>
  <c r="G53" i="11"/>
  <c r="F53" i="11"/>
  <c r="E53" i="11"/>
  <c r="D53" i="11"/>
  <c r="C53" i="11"/>
  <c r="B52" i="19" s="1"/>
  <c r="B53" i="11"/>
  <c r="A53" i="11"/>
  <c r="A52" i="19" s="1"/>
  <c r="BQ52" i="11"/>
  <c r="AU52" i="11"/>
  <c r="AT52" i="11"/>
  <c r="AR52" i="11"/>
  <c r="AQ52" i="11"/>
  <c r="AP52" i="11"/>
  <c r="AV52" i="11" s="1"/>
  <c r="AO52" i="11"/>
  <c r="AN52" i="11"/>
  <c r="AM52" i="11"/>
  <c r="AL52" i="11"/>
  <c r="AK52" i="11"/>
  <c r="AI52" i="11"/>
  <c r="AH52" i="11"/>
  <c r="AG52" i="11"/>
  <c r="AF52" i="11"/>
  <c r="AE52" i="11"/>
  <c r="AD52" i="11"/>
  <c r="AB52" i="11"/>
  <c r="BN52" i="11" s="1"/>
  <c r="AA52" i="11"/>
  <c r="Z52" i="11"/>
  <c r="Y52" i="11"/>
  <c r="X52" i="11"/>
  <c r="BD52" i="11" s="1"/>
  <c r="W52" i="11"/>
  <c r="V52" i="11"/>
  <c r="U52" i="11"/>
  <c r="T52" i="11"/>
  <c r="S52" i="11"/>
  <c r="R52" i="11"/>
  <c r="P52" i="11"/>
  <c r="P51" i="19" s="1"/>
  <c r="O52" i="11"/>
  <c r="N52" i="11"/>
  <c r="M52" i="11"/>
  <c r="L52" i="11"/>
  <c r="K51" i="19" s="1"/>
  <c r="K52" i="11"/>
  <c r="BM52" i="11" s="1"/>
  <c r="J52" i="11"/>
  <c r="BL52" i="11" s="1"/>
  <c r="I52" i="11"/>
  <c r="BK52" i="11" s="1"/>
  <c r="H52" i="11"/>
  <c r="AW52" i="11" s="1"/>
  <c r="G52" i="11"/>
  <c r="F52" i="11"/>
  <c r="E52" i="11"/>
  <c r="D52" i="11"/>
  <c r="C52" i="11"/>
  <c r="B51" i="19" s="1"/>
  <c r="B52" i="11"/>
  <c r="A52" i="11"/>
  <c r="A51" i="19" s="1"/>
  <c r="BQ51" i="11"/>
  <c r="AU51" i="11"/>
  <c r="AT51" i="11"/>
  <c r="AR51" i="11"/>
  <c r="AQ51" i="11"/>
  <c r="AP51" i="11"/>
  <c r="AV51" i="11" s="1"/>
  <c r="AO51" i="11"/>
  <c r="AN51" i="11"/>
  <c r="AM51" i="11"/>
  <c r="AL51" i="11"/>
  <c r="AK51" i="11"/>
  <c r="AI51" i="11"/>
  <c r="AH51" i="11"/>
  <c r="AG51" i="11"/>
  <c r="AF51" i="11"/>
  <c r="AE51" i="11"/>
  <c r="AD51" i="11"/>
  <c r="BP51" i="11" s="1"/>
  <c r="AB51" i="11"/>
  <c r="BN51" i="11" s="1"/>
  <c r="AA51" i="11"/>
  <c r="Z51" i="11"/>
  <c r="Y51" i="11"/>
  <c r="X51" i="11"/>
  <c r="W51" i="11"/>
  <c r="V51" i="11"/>
  <c r="U51" i="11"/>
  <c r="T51" i="11"/>
  <c r="S51" i="11"/>
  <c r="R51" i="11"/>
  <c r="P51" i="11"/>
  <c r="P50" i="19" s="1"/>
  <c r="O51" i="11"/>
  <c r="N51" i="11"/>
  <c r="M51" i="11"/>
  <c r="L51" i="11"/>
  <c r="K51" i="11"/>
  <c r="BM51" i="11" s="1"/>
  <c r="J51" i="11"/>
  <c r="BL51" i="11" s="1"/>
  <c r="I51" i="11"/>
  <c r="BK51" i="11" s="1"/>
  <c r="H51" i="11"/>
  <c r="AW51" i="11" s="1"/>
  <c r="G51" i="11"/>
  <c r="F51" i="11"/>
  <c r="E51" i="11"/>
  <c r="D51" i="11"/>
  <c r="C51" i="11"/>
  <c r="B50" i="19" s="1"/>
  <c r="B51" i="11"/>
  <c r="A51" i="11"/>
  <c r="A50" i="19" s="1"/>
  <c r="BQ50" i="11"/>
  <c r="AU50" i="11"/>
  <c r="AT50" i="11"/>
  <c r="AR50" i="11"/>
  <c r="AQ50" i="11"/>
  <c r="BJ50" i="11" s="1"/>
  <c r="AP50" i="11"/>
  <c r="AV50" i="11" s="1"/>
  <c r="AO50" i="11"/>
  <c r="AN50" i="11"/>
  <c r="AM50" i="11"/>
  <c r="AL50" i="11"/>
  <c r="AK50" i="11"/>
  <c r="AI50" i="11"/>
  <c r="AH50" i="11"/>
  <c r="AG50" i="11"/>
  <c r="AF50" i="11"/>
  <c r="AE50" i="11"/>
  <c r="AD50" i="11"/>
  <c r="AB50" i="11"/>
  <c r="BN50" i="11" s="1"/>
  <c r="AA50" i="11"/>
  <c r="Z50" i="11"/>
  <c r="Y50" i="11"/>
  <c r="X50" i="11"/>
  <c r="W50" i="11"/>
  <c r="V50" i="11"/>
  <c r="U50" i="11"/>
  <c r="T50" i="11"/>
  <c r="S50" i="11"/>
  <c r="R50" i="11"/>
  <c r="P50" i="11"/>
  <c r="P49" i="19" s="1"/>
  <c r="O50" i="11"/>
  <c r="N50" i="11"/>
  <c r="M50" i="11"/>
  <c r="L50" i="11"/>
  <c r="K50" i="11"/>
  <c r="BM50" i="11" s="1"/>
  <c r="J50" i="11"/>
  <c r="BL50" i="11" s="1"/>
  <c r="I50" i="11"/>
  <c r="BK50" i="11" s="1"/>
  <c r="H50" i="11"/>
  <c r="AW50" i="11" s="1"/>
  <c r="G50" i="11"/>
  <c r="F50" i="11"/>
  <c r="E50" i="11"/>
  <c r="D50" i="11"/>
  <c r="C50" i="11"/>
  <c r="B49" i="19" s="1"/>
  <c r="B50" i="11"/>
  <c r="A50" i="11"/>
  <c r="A49" i="19" s="1"/>
  <c r="BQ49" i="11"/>
  <c r="AU49" i="11"/>
  <c r="AT49" i="11"/>
  <c r="AR49" i="11"/>
  <c r="AQ49" i="11"/>
  <c r="AP49" i="11"/>
  <c r="AV49" i="11" s="1"/>
  <c r="AN49" i="11"/>
  <c r="AM49" i="11"/>
  <c r="AL49" i="11"/>
  <c r="AK49" i="11"/>
  <c r="AI49" i="11"/>
  <c r="AH49" i="11"/>
  <c r="AG49" i="11"/>
  <c r="AF49" i="11"/>
  <c r="AE49" i="11"/>
  <c r="AD49" i="11"/>
  <c r="BP49" i="11" s="1"/>
  <c r="AB49" i="11"/>
  <c r="BN49" i="11" s="1"/>
  <c r="AA49" i="11"/>
  <c r="Z49" i="11"/>
  <c r="Y49" i="11"/>
  <c r="X49" i="11"/>
  <c r="BD49" i="11" s="1"/>
  <c r="W49" i="11"/>
  <c r="V49" i="11"/>
  <c r="U49" i="11"/>
  <c r="T49" i="11"/>
  <c r="S49" i="11"/>
  <c r="R49" i="11"/>
  <c r="P49" i="11"/>
  <c r="P48" i="19" s="1"/>
  <c r="O49" i="11"/>
  <c r="N49" i="11"/>
  <c r="M49" i="11"/>
  <c r="L49" i="11"/>
  <c r="K49" i="11"/>
  <c r="BM49" i="11" s="1"/>
  <c r="J49" i="11"/>
  <c r="BL49" i="11" s="1"/>
  <c r="I49" i="11"/>
  <c r="BK49" i="11" s="1"/>
  <c r="H49" i="11"/>
  <c r="AW49" i="11" s="1"/>
  <c r="G49" i="11"/>
  <c r="E49" i="11"/>
  <c r="D49" i="11"/>
  <c r="C49" i="11"/>
  <c r="B48" i="19" s="1"/>
  <c r="B49" i="11"/>
  <c r="A49" i="11"/>
  <c r="A48" i="19" s="1"/>
  <c r="BQ48" i="11"/>
  <c r="AU48" i="11"/>
  <c r="AT48" i="11"/>
  <c r="AR48" i="11"/>
  <c r="AQ48" i="11"/>
  <c r="AP48" i="11"/>
  <c r="AV48" i="11" s="1"/>
  <c r="AN48" i="11"/>
  <c r="AM48" i="11"/>
  <c r="AL48" i="11"/>
  <c r="AK48" i="11"/>
  <c r="AI48" i="11"/>
  <c r="AH48" i="11"/>
  <c r="AG48" i="11"/>
  <c r="AF48" i="11"/>
  <c r="AE48" i="11"/>
  <c r="AD48" i="11"/>
  <c r="AB48" i="11"/>
  <c r="BN48" i="11" s="1"/>
  <c r="AA48" i="11"/>
  <c r="Z48" i="11"/>
  <c r="Y48" i="11"/>
  <c r="X48" i="11"/>
  <c r="W48" i="11"/>
  <c r="V48" i="11"/>
  <c r="U48" i="11"/>
  <c r="T48" i="11"/>
  <c r="S48" i="11"/>
  <c r="R48" i="11"/>
  <c r="P48" i="11"/>
  <c r="P47" i="19" s="1"/>
  <c r="O48" i="11"/>
  <c r="N48" i="11"/>
  <c r="M48" i="11"/>
  <c r="L48" i="11"/>
  <c r="K48" i="11"/>
  <c r="BM48" i="11" s="1"/>
  <c r="J48" i="11"/>
  <c r="BL48" i="11" s="1"/>
  <c r="I48" i="11"/>
  <c r="BK48" i="11" s="1"/>
  <c r="H48" i="11"/>
  <c r="AW48" i="11" s="1"/>
  <c r="G48" i="11"/>
  <c r="F48" i="11"/>
  <c r="E48" i="11"/>
  <c r="D48" i="11"/>
  <c r="C48" i="11"/>
  <c r="B47" i="19" s="1"/>
  <c r="B48" i="11"/>
  <c r="A48" i="11"/>
  <c r="A47" i="19" s="1"/>
  <c r="BQ47" i="11"/>
  <c r="AU47" i="11"/>
  <c r="AT47" i="11"/>
  <c r="AR47" i="11"/>
  <c r="AQ47" i="11"/>
  <c r="BJ47" i="11" s="1"/>
  <c r="AP47" i="11"/>
  <c r="AV47" i="11" s="1"/>
  <c r="AN47" i="11"/>
  <c r="AM47" i="11"/>
  <c r="AL47" i="11"/>
  <c r="AK47" i="11"/>
  <c r="AI47" i="11"/>
  <c r="AH47" i="11"/>
  <c r="AG47" i="11"/>
  <c r="AF47" i="11"/>
  <c r="AE47" i="11"/>
  <c r="AD47" i="11"/>
  <c r="AB47" i="11"/>
  <c r="BN47" i="11" s="1"/>
  <c r="AA47" i="11"/>
  <c r="Z47" i="11"/>
  <c r="Y47" i="11"/>
  <c r="X47" i="11"/>
  <c r="W47" i="11"/>
  <c r="V47" i="11"/>
  <c r="U47" i="11"/>
  <c r="T47" i="11"/>
  <c r="S47" i="11"/>
  <c r="R47" i="11"/>
  <c r="P47" i="11"/>
  <c r="P46" i="19" s="1"/>
  <c r="O47" i="11"/>
  <c r="N47" i="11"/>
  <c r="M47" i="11"/>
  <c r="L47" i="11"/>
  <c r="K47" i="11"/>
  <c r="BM47" i="11" s="1"/>
  <c r="J47" i="11"/>
  <c r="BL47" i="11" s="1"/>
  <c r="I47" i="11"/>
  <c r="BK47" i="11" s="1"/>
  <c r="H47" i="11"/>
  <c r="AW47" i="11" s="1"/>
  <c r="G47" i="11"/>
  <c r="F47" i="11"/>
  <c r="E47" i="11"/>
  <c r="D47" i="11"/>
  <c r="C47" i="11"/>
  <c r="B46" i="19" s="1"/>
  <c r="B47" i="11"/>
  <c r="A47" i="11"/>
  <c r="A46" i="19" s="1"/>
  <c r="BQ46" i="11"/>
  <c r="AU46" i="11"/>
  <c r="AT46" i="11"/>
  <c r="AR46" i="11"/>
  <c r="AQ46" i="11"/>
  <c r="AP46" i="11"/>
  <c r="AV46" i="11" s="1"/>
  <c r="AN46" i="11"/>
  <c r="AM46" i="11"/>
  <c r="AL46" i="11"/>
  <c r="AK46" i="11"/>
  <c r="AI46" i="11"/>
  <c r="AH46" i="11"/>
  <c r="AG46" i="11"/>
  <c r="AF46" i="11"/>
  <c r="AE46" i="11"/>
  <c r="AD46" i="11"/>
  <c r="BP46" i="11" s="1"/>
  <c r="AB46" i="11"/>
  <c r="BN46" i="11" s="1"/>
  <c r="AA46" i="11"/>
  <c r="Z46" i="11"/>
  <c r="Y46" i="11"/>
  <c r="X46" i="11"/>
  <c r="BD46" i="11" s="1"/>
  <c r="W46" i="11"/>
  <c r="V46" i="11"/>
  <c r="U46" i="11"/>
  <c r="T46" i="11"/>
  <c r="S46" i="11"/>
  <c r="R46" i="11"/>
  <c r="P46" i="11"/>
  <c r="P45" i="19" s="1"/>
  <c r="O46" i="11"/>
  <c r="N46" i="11"/>
  <c r="M46" i="11"/>
  <c r="L46" i="11"/>
  <c r="K46" i="11"/>
  <c r="BM46" i="11" s="1"/>
  <c r="J46" i="11"/>
  <c r="BL46" i="11" s="1"/>
  <c r="I46" i="11"/>
  <c r="BK46" i="11" s="1"/>
  <c r="H46" i="11"/>
  <c r="AW46" i="11" s="1"/>
  <c r="G46" i="11"/>
  <c r="F46" i="11"/>
  <c r="E46" i="11"/>
  <c r="D46" i="11"/>
  <c r="C46" i="11"/>
  <c r="B45" i="19" s="1"/>
  <c r="B46" i="11"/>
  <c r="A46" i="11"/>
  <c r="A45" i="19" s="1"/>
  <c r="BQ45" i="11"/>
  <c r="AU45" i="11"/>
  <c r="AT45" i="11"/>
  <c r="AR45" i="11"/>
  <c r="AQ45" i="11"/>
  <c r="BJ45" i="11" s="1"/>
  <c r="AP45" i="11"/>
  <c r="AV45" i="11" s="1"/>
  <c r="AN45" i="11"/>
  <c r="AM45" i="11"/>
  <c r="AL45" i="11"/>
  <c r="AK45" i="11"/>
  <c r="AI45" i="11"/>
  <c r="AH45" i="11"/>
  <c r="AG45" i="11"/>
  <c r="AF45" i="11"/>
  <c r="AE45" i="11"/>
  <c r="AD45" i="11"/>
  <c r="AB45" i="11"/>
  <c r="BN45" i="11" s="1"/>
  <c r="AA45" i="11"/>
  <c r="Z45" i="11"/>
  <c r="Y45" i="11"/>
  <c r="X45" i="11"/>
  <c r="W45" i="11"/>
  <c r="V45" i="11"/>
  <c r="U45" i="11"/>
  <c r="T45" i="11"/>
  <c r="S45" i="11"/>
  <c r="R45" i="11"/>
  <c r="P45" i="11"/>
  <c r="P44" i="19" s="1"/>
  <c r="O45" i="11"/>
  <c r="N45" i="11"/>
  <c r="M45" i="11"/>
  <c r="L45" i="11"/>
  <c r="K45" i="11"/>
  <c r="BM45" i="11" s="1"/>
  <c r="J45" i="11"/>
  <c r="BL45" i="11" s="1"/>
  <c r="I45" i="11"/>
  <c r="BK45" i="11" s="1"/>
  <c r="H45" i="11"/>
  <c r="AW45" i="11" s="1"/>
  <c r="G45" i="11"/>
  <c r="F45" i="11"/>
  <c r="E45" i="11"/>
  <c r="D45" i="11"/>
  <c r="C45" i="11"/>
  <c r="B44" i="19" s="1"/>
  <c r="B45" i="11"/>
  <c r="A45" i="11"/>
  <c r="A44" i="19" s="1"/>
  <c r="BQ44" i="11"/>
  <c r="AU44" i="11"/>
  <c r="AT44" i="11"/>
  <c r="AR44" i="11"/>
  <c r="AQ44" i="11"/>
  <c r="BJ44" i="11" s="1"/>
  <c r="AP44" i="11"/>
  <c r="AV44" i="11" s="1"/>
  <c r="AN44" i="11"/>
  <c r="AM44" i="11"/>
  <c r="AL44" i="11"/>
  <c r="AK44" i="11"/>
  <c r="AI44" i="11"/>
  <c r="AH44" i="11"/>
  <c r="AG44" i="11"/>
  <c r="AF44" i="11"/>
  <c r="AE44" i="11"/>
  <c r="AD44" i="11"/>
  <c r="AB44" i="11"/>
  <c r="BN44" i="11" s="1"/>
  <c r="AA44" i="11"/>
  <c r="Z44" i="11"/>
  <c r="Y44" i="11"/>
  <c r="X44" i="11"/>
  <c r="BD44" i="11" s="1"/>
  <c r="W44" i="11"/>
  <c r="V44" i="11"/>
  <c r="U44" i="11"/>
  <c r="T44" i="11"/>
  <c r="S44" i="11"/>
  <c r="R44" i="11"/>
  <c r="P44" i="11"/>
  <c r="P43" i="19" s="1"/>
  <c r="O44" i="11"/>
  <c r="N44" i="11"/>
  <c r="M44" i="11"/>
  <c r="L44" i="11"/>
  <c r="K44" i="11"/>
  <c r="BM44" i="11" s="1"/>
  <c r="J44" i="11"/>
  <c r="BL44" i="11" s="1"/>
  <c r="I44" i="11"/>
  <c r="BK44" i="11" s="1"/>
  <c r="H44" i="11"/>
  <c r="AW44" i="11" s="1"/>
  <c r="G44" i="11"/>
  <c r="F44" i="11"/>
  <c r="E44" i="11"/>
  <c r="D44" i="11"/>
  <c r="C44" i="11"/>
  <c r="B43" i="19" s="1"/>
  <c r="B44" i="11"/>
  <c r="A44" i="11"/>
  <c r="A43" i="19" s="1"/>
  <c r="BQ43" i="11"/>
  <c r="AU43" i="11"/>
  <c r="AT43" i="11"/>
  <c r="AR43" i="11"/>
  <c r="AQ43" i="11"/>
  <c r="AP43" i="11"/>
  <c r="AV43" i="11" s="1"/>
  <c r="AN43" i="11"/>
  <c r="AM43" i="11"/>
  <c r="AL43" i="11"/>
  <c r="AK43" i="11"/>
  <c r="AI43" i="11"/>
  <c r="AH43" i="11"/>
  <c r="AG43" i="11"/>
  <c r="AF43" i="11"/>
  <c r="AE43" i="11"/>
  <c r="AD43" i="11"/>
  <c r="BP43" i="11" s="1"/>
  <c r="AB43" i="11"/>
  <c r="BN43" i="11" s="1"/>
  <c r="AA43" i="11"/>
  <c r="Z43" i="11"/>
  <c r="Y43" i="11"/>
  <c r="X43" i="11"/>
  <c r="BD43" i="11" s="1"/>
  <c r="W43" i="11"/>
  <c r="V43" i="11"/>
  <c r="U43" i="11"/>
  <c r="T43" i="11"/>
  <c r="S43" i="11"/>
  <c r="R43" i="11"/>
  <c r="P43" i="11"/>
  <c r="P42" i="19" s="1"/>
  <c r="O43" i="11"/>
  <c r="N43" i="11"/>
  <c r="M43" i="11"/>
  <c r="L43" i="11"/>
  <c r="K43" i="11"/>
  <c r="BM43" i="11" s="1"/>
  <c r="J43" i="11"/>
  <c r="BL43" i="11" s="1"/>
  <c r="I43" i="11"/>
  <c r="BK43" i="11" s="1"/>
  <c r="H43" i="11"/>
  <c r="AW43" i="11" s="1"/>
  <c r="G43" i="11"/>
  <c r="F43" i="11"/>
  <c r="E43" i="11"/>
  <c r="D43" i="11"/>
  <c r="C43" i="11"/>
  <c r="B42" i="19" s="1"/>
  <c r="B43" i="11"/>
  <c r="A43" i="11"/>
  <c r="A42" i="19" s="1"/>
  <c r="BQ42" i="11"/>
  <c r="AU42" i="11"/>
  <c r="AT42" i="11"/>
  <c r="AR42" i="11"/>
  <c r="AQ42" i="11"/>
  <c r="BJ42" i="11" s="1"/>
  <c r="AP42" i="11"/>
  <c r="AV42" i="11" s="1"/>
  <c r="AN42" i="11"/>
  <c r="AM42" i="11"/>
  <c r="AL42" i="11"/>
  <c r="AK42" i="11"/>
  <c r="AI42" i="11"/>
  <c r="AH42" i="11"/>
  <c r="AG42" i="11"/>
  <c r="AF42" i="11"/>
  <c r="AE42" i="11"/>
  <c r="AD42" i="11"/>
  <c r="AB42" i="11"/>
  <c r="BN42" i="11" s="1"/>
  <c r="AA42" i="11"/>
  <c r="Z42" i="11"/>
  <c r="Y42" i="11"/>
  <c r="X42" i="11"/>
  <c r="W42" i="11"/>
  <c r="V42" i="11"/>
  <c r="U42" i="11"/>
  <c r="T42" i="11"/>
  <c r="S42" i="11"/>
  <c r="R42" i="11"/>
  <c r="P42" i="11"/>
  <c r="P41" i="19" s="1"/>
  <c r="O42" i="11"/>
  <c r="N42" i="11"/>
  <c r="M42" i="11"/>
  <c r="L42" i="11"/>
  <c r="K42" i="11"/>
  <c r="BM42" i="11" s="1"/>
  <c r="J42" i="11"/>
  <c r="BL42" i="11" s="1"/>
  <c r="I42" i="11"/>
  <c r="BK42" i="11" s="1"/>
  <c r="H42" i="11"/>
  <c r="AW42" i="11" s="1"/>
  <c r="G42" i="11"/>
  <c r="F42" i="11"/>
  <c r="E42" i="11"/>
  <c r="D42" i="11"/>
  <c r="C42" i="11"/>
  <c r="B41" i="19" s="1"/>
  <c r="B42" i="11"/>
  <c r="A42" i="11"/>
  <c r="A41" i="19" s="1"/>
  <c r="BQ41" i="11"/>
  <c r="AU41" i="11"/>
  <c r="AT41" i="11"/>
  <c r="AR41" i="11"/>
  <c r="AQ41" i="11"/>
  <c r="AP41" i="11"/>
  <c r="AV41" i="11" s="1"/>
  <c r="AN41" i="11"/>
  <c r="AM41" i="11"/>
  <c r="AL41" i="11"/>
  <c r="AK41" i="11"/>
  <c r="AI41" i="11"/>
  <c r="AH41" i="11"/>
  <c r="AG41" i="11"/>
  <c r="AF41" i="11"/>
  <c r="AE41" i="11"/>
  <c r="AD41" i="11"/>
  <c r="AB41" i="11"/>
  <c r="BN41" i="11" s="1"/>
  <c r="AA41" i="11"/>
  <c r="Z41" i="11"/>
  <c r="Y41" i="11"/>
  <c r="X41" i="11"/>
  <c r="W41" i="11"/>
  <c r="V41" i="11"/>
  <c r="U41" i="11"/>
  <c r="T41" i="11"/>
  <c r="S41" i="11"/>
  <c r="R41" i="11"/>
  <c r="P41" i="11"/>
  <c r="P40" i="19" s="1"/>
  <c r="O41" i="11"/>
  <c r="N41" i="11"/>
  <c r="M41" i="11"/>
  <c r="L41" i="11"/>
  <c r="K40" i="19" s="1"/>
  <c r="K41" i="11"/>
  <c r="BM41" i="11" s="1"/>
  <c r="J41" i="11"/>
  <c r="BL41" i="11" s="1"/>
  <c r="I41" i="11"/>
  <c r="BK41" i="11" s="1"/>
  <c r="H41" i="11"/>
  <c r="AW41" i="11" s="1"/>
  <c r="G41" i="11"/>
  <c r="F41" i="11"/>
  <c r="E41" i="11"/>
  <c r="D41" i="11"/>
  <c r="C41" i="11"/>
  <c r="B40" i="19" s="1"/>
  <c r="B41" i="11"/>
  <c r="A41" i="11"/>
  <c r="A40" i="19" s="1"/>
  <c r="BQ40" i="11"/>
  <c r="AU40" i="11"/>
  <c r="AT40" i="11"/>
  <c r="AR40" i="11"/>
  <c r="AQ40" i="11"/>
  <c r="AP40" i="11"/>
  <c r="AV40" i="11" s="1"/>
  <c r="AO40" i="11"/>
  <c r="AN40" i="11"/>
  <c r="AM40" i="11"/>
  <c r="AL40" i="11"/>
  <c r="AK40" i="11"/>
  <c r="AI40" i="11"/>
  <c r="AH40" i="11"/>
  <c r="AG40" i="11"/>
  <c r="AF40" i="11"/>
  <c r="AE40" i="11"/>
  <c r="AD40" i="11"/>
  <c r="AB40" i="11"/>
  <c r="BN40" i="11" s="1"/>
  <c r="AA40" i="11"/>
  <c r="Z40" i="11"/>
  <c r="Y40" i="11"/>
  <c r="X40" i="11"/>
  <c r="BD40" i="11" s="1"/>
  <c r="W40" i="11"/>
  <c r="V40" i="11"/>
  <c r="U40" i="11"/>
  <c r="T40" i="11"/>
  <c r="S40" i="11"/>
  <c r="R40" i="11"/>
  <c r="P40" i="11"/>
  <c r="P39" i="19" s="1"/>
  <c r="O40" i="11"/>
  <c r="N40" i="11"/>
  <c r="M40" i="11"/>
  <c r="L40" i="11"/>
  <c r="K40" i="11"/>
  <c r="BM40" i="11" s="1"/>
  <c r="J40" i="11"/>
  <c r="BL40" i="11" s="1"/>
  <c r="I40" i="11"/>
  <c r="BK40" i="11" s="1"/>
  <c r="H40" i="11"/>
  <c r="AW40" i="11" s="1"/>
  <c r="G40" i="11"/>
  <c r="F40" i="11"/>
  <c r="E40" i="11"/>
  <c r="D40" i="11"/>
  <c r="C40" i="11"/>
  <c r="B39" i="19" s="1"/>
  <c r="B40" i="11"/>
  <c r="A40" i="11"/>
  <c r="A39" i="19" s="1"/>
  <c r="BQ39" i="11"/>
  <c r="AU39" i="11"/>
  <c r="AT39" i="11"/>
  <c r="AR39" i="11"/>
  <c r="AQ39" i="11"/>
  <c r="BJ39" i="11" s="1"/>
  <c r="AP39" i="11"/>
  <c r="AV39" i="11" s="1"/>
  <c r="AO39" i="11"/>
  <c r="AN39" i="11"/>
  <c r="AM39" i="11"/>
  <c r="AL39" i="11"/>
  <c r="AK39" i="11"/>
  <c r="AI39" i="11"/>
  <c r="AH39" i="11"/>
  <c r="AG39" i="11"/>
  <c r="AF39" i="11"/>
  <c r="AE39" i="11"/>
  <c r="AD39" i="11"/>
  <c r="BP39" i="11" s="1"/>
  <c r="AB39" i="11"/>
  <c r="BN39" i="11" s="1"/>
  <c r="AA39" i="11"/>
  <c r="Z39" i="11"/>
  <c r="Y39" i="11"/>
  <c r="X39" i="11"/>
  <c r="BD39" i="11" s="1"/>
  <c r="W39" i="11"/>
  <c r="V39" i="11"/>
  <c r="U39" i="11"/>
  <c r="T39" i="11"/>
  <c r="S39" i="11"/>
  <c r="R39" i="11"/>
  <c r="P39" i="11"/>
  <c r="P38" i="19" s="1"/>
  <c r="O39" i="11"/>
  <c r="N39" i="11"/>
  <c r="M39" i="11"/>
  <c r="L39" i="11"/>
  <c r="K38" i="19" s="1"/>
  <c r="K39" i="11"/>
  <c r="BM39" i="11" s="1"/>
  <c r="J39" i="11"/>
  <c r="BL39" i="11" s="1"/>
  <c r="I39" i="11"/>
  <c r="BK39" i="11" s="1"/>
  <c r="H39" i="11"/>
  <c r="AW39" i="11" s="1"/>
  <c r="G39" i="11"/>
  <c r="F39" i="11"/>
  <c r="E39" i="11"/>
  <c r="D39" i="11"/>
  <c r="C39" i="11"/>
  <c r="B38" i="19" s="1"/>
  <c r="B39" i="11"/>
  <c r="A39" i="11"/>
  <c r="A38" i="19" s="1"/>
  <c r="BQ38" i="11"/>
  <c r="AU38" i="11"/>
  <c r="AT38" i="11"/>
  <c r="AR38" i="11"/>
  <c r="AQ38" i="11"/>
  <c r="BJ38" i="11" s="1"/>
  <c r="AP38" i="11"/>
  <c r="AV38" i="11" s="1"/>
  <c r="AN38" i="11"/>
  <c r="AM38" i="11"/>
  <c r="AL38" i="11"/>
  <c r="AK38" i="11"/>
  <c r="AI38" i="11"/>
  <c r="AH38" i="11"/>
  <c r="AG38" i="11"/>
  <c r="AF38" i="11"/>
  <c r="AE38" i="11"/>
  <c r="AD38" i="11"/>
  <c r="BP38" i="11" s="1"/>
  <c r="AB38" i="11"/>
  <c r="BN38" i="11" s="1"/>
  <c r="AA38" i="11"/>
  <c r="Z38" i="11"/>
  <c r="Y38" i="11"/>
  <c r="X38" i="11"/>
  <c r="BD38" i="11" s="1"/>
  <c r="W38" i="11"/>
  <c r="V38" i="11"/>
  <c r="U38" i="11"/>
  <c r="T38" i="11"/>
  <c r="S38" i="11"/>
  <c r="R38" i="11"/>
  <c r="P38" i="11"/>
  <c r="P37" i="19" s="1"/>
  <c r="O38" i="11"/>
  <c r="N38" i="11"/>
  <c r="M38" i="11"/>
  <c r="L38" i="11"/>
  <c r="K38" i="11"/>
  <c r="BM38" i="11" s="1"/>
  <c r="J38" i="11"/>
  <c r="BL38" i="11" s="1"/>
  <c r="I38" i="11"/>
  <c r="BK38" i="11" s="1"/>
  <c r="H38" i="11"/>
  <c r="AW38" i="11" s="1"/>
  <c r="G38" i="11"/>
  <c r="E38" i="11"/>
  <c r="D38" i="11"/>
  <c r="C38" i="11"/>
  <c r="B37" i="19" s="1"/>
  <c r="B38" i="11"/>
  <c r="A38" i="11"/>
  <c r="A37" i="19" s="1"/>
  <c r="BQ37" i="11"/>
  <c r="AU37" i="11"/>
  <c r="AT37" i="11"/>
  <c r="AR37" i="11"/>
  <c r="AQ37" i="11"/>
  <c r="BJ37" i="11" s="1"/>
  <c r="AP37" i="11"/>
  <c r="AV37" i="11" s="1"/>
  <c r="AN37" i="11"/>
  <c r="AM37" i="11"/>
  <c r="AL37" i="11"/>
  <c r="AK37" i="11"/>
  <c r="AI37" i="11"/>
  <c r="AH37" i="11"/>
  <c r="AG37" i="11"/>
  <c r="AF37" i="11"/>
  <c r="AE37" i="11"/>
  <c r="AD37" i="11"/>
  <c r="AB37" i="11"/>
  <c r="BN37" i="11" s="1"/>
  <c r="AA37" i="11"/>
  <c r="Z37" i="11"/>
  <c r="Y37" i="11"/>
  <c r="X37" i="11"/>
  <c r="BD37" i="11" s="1"/>
  <c r="W37" i="11"/>
  <c r="V37" i="11"/>
  <c r="U37" i="11"/>
  <c r="T37" i="11"/>
  <c r="S37" i="11"/>
  <c r="R37" i="11"/>
  <c r="P37" i="11"/>
  <c r="P36" i="19" s="1"/>
  <c r="O37" i="11"/>
  <c r="N37" i="11"/>
  <c r="M37" i="11"/>
  <c r="L37" i="11"/>
  <c r="K37" i="11"/>
  <c r="BM37" i="11" s="1"/>
  <c r="J37" i="11"/>
  <c r="BL37" i="11" s="1"/>
  <c r="I37" i="11"/>
  <c r="BK37" i="11" s="1"/>
  <c r="H37" i="11"/>
  <c r="AW37" i="11" s="1"/>
  <c r="G37" i="11"/>
  <c r="F37" i="11"/>
  <c r="E37" i="11"/>
  <c r="D37" i="11"/>
  <c r="C37" i="11"/>
  <c r="B36" i="19" s="1"/>
  <c r="B37" i="11"/>
  <c r="A37" i="11"/>
  <c r="A36" i="19" s="1"/>
  <c r="BQ36" i="11"/>
  <c r="AU36" i="11"/>
  <c r="AT36" i="11"/>
  <c r="AR36" i="11"/>
  <c r="AQ36" i="11"/>
  <c r="BJ36" i="11" s="1"/>
  <c r="AP36" i="11"/>
  <c r="AO36" i="11"/>
  <c r="AN36" i="11"/>
  <c r="AM36" i="11"/>
  <c r="AL36" i="11"/>
  <c r="AK36" i="11"/>
  <c r="AI36" i="11"/>
  <c r="AH36" i="11"/>
  <c r="AG36" i="11"/>
  <c r="AF36" i="11"/>
  <c r="AE36" i="11"/>
  <c r="AD36" i="11"/>
  <c r="BP36" i="11" s="1"/>
  <c r="AB36" i="11"/>
  <c r="BN36" i="11" s="1"/>
  <c r="AA36" i="11"/>
  <c r="Z36" i="11"/>
  <c r="Y36" i="11"/>
  <c r="X36" i="11"/>
  <c r="W36" i="11"/>
  <c r="V36" i="11"/>
  <c r="U36" i="11"/>
  <c r="T36" i="11"/>
  <c r="S36" i="11"/>
  <c r="R36" i="11"/>
  <c r="P36" i="11"/>
  <c r="P35" i="19" s="1"/>
  <c r="O36" i="11"/>
  <c r="N36" i="11"/>
  <c r="M36" i="11"/>
  <c r="L36" i="11"/>
  <c r="K35" i="19" s="1"/>
  <c r="K36" i="11"/>
  <c r="BM36" i="11" s="1"/>
  <c r="J36" i="11"/>
  <c r="BL36" i="11" s="1"/>
  <c r="I36" i="11"/>
  <c r="BK36" i="11" s="1"/>
  <c r="H36" i="11"/>
  <c r="AW36" i="11" s="1"/>
  <c r="G36" i="11"/>
  <c r="F36" i="11"/>
  <c r="E36" i="11"/>
  <c r="D36" i="11"/>
  <c r="C36" i="11"/>
  <c r="B35" i="19" s="1"/>
  <c r="B36" i="11"/>
  <c r="A36" i="11"/>
  <c r="A35" i="19" s="1"/>
  <c r="BQ35" i="11"/>
  <c r="AU35" i="11"/>
  <c r="AT35" i="11"/>
  <c r="AR35" i="11"/>
  <c r="AQ35" i="11"/>
  <c r="BJ35" i="11" s="1"/>
  <c r="AP35" i="11"/>
  <c r="AV35" i="11" s="1"/>
  <c r="AN35" i="11"/>
  <c r="AM35" i="11"/>
  <c r="AL35" i="11"/>
  <c r="AK35" i="11"/>
  <c r="AI35" i="11"/>
  <c r="AH35" i="11"/>
  <c r="AG35" i="11"/>
  <c r="AF35" i="11"/>
  <c r="AE35" i="11"/>
  <c r="AD35" i="11"/>
  <c r="BP35" i="11" s="1"/>
  <c r="AB35" i="11"/>
  <c r="BN35" i="11" s="1"/>
  <c r="AA35" i="11"/>
  <c r="Z35" i="11"/>
  <c r="Y35" i="11"/>
  <c r="X35" i="11"/>
  <c r="W35" i="11"/>
  <c r="V35" i="11"/>
  <c r="U35" i="11"/>
  <c r="T35" i="11"/>
  <c r="S35" i="11"/>
  <c r="R35" i="11"/>
  <c r="P35" i="11"/>
  <c r="P34" i="19" s="1"/>
  <c r="O35" i="11"/>
  <c r="N35" i="11"/>
  <c r="M35" i="11"/>
  <c r="L35" i="11"/>
  <c r="K34" i="19" s="1"/>
  <c r="K35" i="11"/>
  <c r="BM35" i="11" s="1"/>
  <c r="J35" i="11"/>
  <c r="BL35" i="11" s="1"/>
  <c r="I35" i="11"/>
  <c r="BK35" i="11" s="1"/>
  <c r="H35" i="11"/>
  <c r="AW35" i="11" s="1"/>
  <c r="G35" i="11"/>
  <c r="F35" i="11"/>
  <c r="E35" i="11"/>
  <c r="D35" i="11"/>
  <c r="C35" i="11"/>
  <c r="B34" i="19" s="1"/>
  <c r="B35" i="11"/>
  <c r="A35" i="11"/>
  <c r="A34" i="19" s="1"/>
  <c r="BQ34" i="11"/>
  <c r="AU34" i="11"/>
  <c r="AT34" i="11"/>
  <c r="AR34" i="11"/>
  <c r="AQ34" i="11"/>
  <c r="AP34" i="11"/>
  <c r="AV34" i="11" s="1"/>
  <c r="AN34" i="11"/>
  <c r="AM34" i="11"/>
  <c r="AL34" i="11"/>
  <c r="AK34" i="11"/>
  <c r="AI34" i="11"/>
  <c r="AH34" i="11"/>
  <c r="AG34" i="11"/>
  <c r="AF34" i="11"/>
  <c r="AE34" i="11"/>
  <c r="AD34" i="11"/>
  <c r="BP34" i="11" s="1"/>
  <c r="AB34" i="11"/>
  <c r="BN34" i="11" s="1"/>
  <c r="AA34" i="11"/>
  <c r="Z34" i="11"/>
  <c r="Y34" i="11"/>
  <c r="X34" i="11"/>
  <c r="W34" i="11"/>
  <c r="V34" i="11"/>
  <c r="U34" i="11"/>
  <c r="T34" i="11"/>
  <c r="S34" i="11"/>
  <c r="R34" i="11"/>
  <c r="P34" i="11"/>
  <c r="P33" i="19" s="1"/>
  <c r="O34" i="11"/>
  <c r="N34" i="11"/>
  <c r="M34" i="11"/>
  <c r="L34" i="11"/>
  <c r="K34" i="11"/>
  <c r="BM34" i="11" s="1"/>
  <c r="J34" i="11"/>
  <c r="BL34" i="11" s="1"/>
  <c r="I34" i="11"/>
  <c r="BK34" i="11" s="1"/>
  <c r="H34" i="11"/>
  <c r="AW34" i="11" s="1"/>
  <c r="G34" i="11"/>
  <c r="F34" i="11"/>
  <c r="E34" i="11"/>
  <c r="D34" i="11"/>
  <c r="C34" i="11"/>
  <c r="B33" i="19" s="1"/>
  <c r="B34" i="11"/>
  <c r="A34" i="11"/>
  <c r="A33" i="19" s="1"/>
  <c r="BQ33" i="11"/>
  <c r="AU33" i="11"/>
  <c r="AT33" i="11"/>
  <c r="AR33" i="11"/>
  <c r="AQ33" i="11"/>
  <c r="BJ33" i="11" s="1"/>
  <c r="AP33" i="11"/>
  <c r="AV33" i="11" s="1"/>
  <c r="AO33" i="11"/>
  <c r="AN33" i="11"/>
  <c r="AM33" i="11"/>
  <c r="AL33" i="11"/>
  <c r="AK33" i="11"/>
  <c r="AI33" i="11"/>
  <c r="AH33" i="11"/>
  <c r="AG33" i="11"/>
  <c r="AF33" i="11"/>
  <c r="AE33" i="11"/>
  <c r="AD33" i="11"/>
  <c r="AB33" i="11"/>
  <c r="BN33" i="11" s="1"/>
  <c r="AA33" i="11"/>
  <c r="Z33" i="11"/>
  <c r="Y33" i="11"/>
  <c r="X33" i="11"/>
  <c r="W33" i="11"/>
  <c r="V33" i="11"/>
  <c r="U33" i="11"/>
  <c r="T33" i="11"/>
  <c r="S33" i="11"/>
  <c r="R33" i="11"/>
  <c r="P33" i="11"/>
  <c r="P32" i="19" s="1"/>
  <c r="O33" i="11"/>
  <c r="N33" i="11"/>
  <c r="M33" i="11"/>
  <c r="L33" i="11"/>
  <c r="K32" i="19" s="1"/>
  <c r="K33" i="11"/>
  <c r="BM33" i="11" s="1"/>
  <c r="J33" i="11"/>
  <c r="BL33" i="11" s="1"/>
  <c r="I33" i="11"/>
  <c r="BK33" i="11" s="1"/>
  <c r="H33" i="11"/>
  <c r="AW33" i="11" s="1"/>
  <c r="G33" i="11"/>
  <c r="F33" i="11"/>
  <c r="E33" i="11"/>
  <c r="D33" i="11"/>
  <c r="C33" i="11"/>
  <c r="B32" i="19" s="1"/>
  <c r="B33" i="11"/>
  <c r="A33" i="11"/>
  <c r="A32" i="19" s="1"/>
  <c r="BQ32" i="11"/>
  <c r="AU32" i="11"/>
  <c r="AT32" i="11"/>
  <c r="AR32" i="11"/>
  <c r="AQ32" i="11"/>
  <c r="AP32" i="11"/>
  <c r="AV32" i="11" s="1"/>
  <c r="AN32" i="11"/>
  <c r="AM32" i="11"/>
  <c r="AL32" i="11"/>
  <c r="AK32" i="11"/>
  <c r="AI32" i="11"/>
  <c r="AH32" i="11"/>
  <c r="AG32" i="11"/>
  <c r="AF32" i="11"/>
  <c r="AE32" i="11"/>
  <c r="AD32" i="11"/>
  <c r="AB32" i="11"/>
  <c r="BN32" i="11" s="1"/>
  <c r="AA32" i="11"/>
  <c r="Z32" i="11"/>
  <c r="Y32" i="11"/>
  <c r="X32" i="11"/>
  <c r="W32" i="11"/>
  <c r="V32" i="11"/>
  <c r="U32" i="11"/>
  <c r="T32" i="11"/>
  <c r="S32" i="11"/>
  <c r="R32" i="11"/>
  <c r="P32" i="11"/>
  <c r="P31" i="19" s="1"/>
  <c r="O32" i="11"/>
  <c r="N32" i="11"/>
  <c r="M32" i="11"/>
  <c r="L32" i="11"/>
  <c r="K32" i="11"/>
  <c r="BM32" i="11" s="1"/>
  <c r="J32" i="11"/>
  <c r="BL32" i="11" s="1"/>
  <c r="I32" i="11"/>
  <c r="BK32" i="11" s="1"/>
  <c r="H32" i="11"/>
  <c r="AW32" i="11" s="1"/>
  <c r="G32" i="11"/>
  <c r="F32" i="11"/>
  <c r="E32" i="11"/>
  <c r="D32" i="11"/>
  <c r="C32" i="11"/>
  <c r="B31" i="19" s="1"/>
  <c r="B32" i="11"/>
  <c r="A32" i="11"/>
  <c r="A31" i="19" s="1"/>
  <c r="BQ31" i="11"/>
  <c r="AU31" i="11"/>
  <c r="AT31" i="11"/>
  <c r="AR31" i="11"/>
  <c r="AQ31" i="11"/>
  <c r="BJ31" i="11" s="1"/>
  <c r="AP31" i="11"/>
  <c r="AO31" i="11"/>
  <c r="AN31" i="11"/>
  <c r="AM31" i="11"/>
  <c r="AL31" i="11"/>
  <c r="AK31" i="11"/>
  <c r="AI31" i="11"/>
  <c r="AH31" i="11"/>
  <c r="AG31" i="11"/>
  <c r="AF31" i="11"/>
  <c r="AE31" i="11"/>
  <c r="AD31" i="11"/>
  <c r="AB31" i="11"/>
  <c r="BN31" i="11" s="1"/>
  <c r="AA31" i="11"/>
  <c r="Z31" i="11"/>
  <c r="Y31" i="11"/>
  <c r="X31" i="11"/>
  <c r="W31" i="11"/>
  <c r="V31" i="11"/>
  <c r="U31" i="11"/>
  <c r="T31" i="11"/>
  <c r="S31" i="11"/>
  <c r="R31" i="11"/>
  <c r="P31" i="11"/>
  <c r="P30" i="19" s="1"/>
  <c r="O31" i="11"/>
  <c r="N31" i="11"/>
  <c r="M31" i="11"/>
  <c r="L31" i="11"/>
  <c r="K31" i="11"/>
  <c r="BM31" i="11" s="1"/>
  <c r="J31" i="11"/>
  <c r="BL31" i="11" s="1"/>
  <c r="I31" i="11"/>
  <c r="BK31" i="11" s="1"/>
  <c r="H31" i="11"/>
  <c r="AW31" i="11" s="1"/>
  <c r="G31" i="11"/>
  <c r="F31" i="11"/>
  <c r="E31" i="11"/>
  <c r="D31" i="11"/>
  <c r="C31" i="11"/>
  <c r="B30" i="19" s="1"/>
  <c r="B31" i="11"/>
  <c r="A31" i="11"/>
  <c r="A30" i="19" s="1"/>
  <c r="BQ30" i="11"/>
  <c r="AU30" i="11"/>
  <c r="AT30" i="11"/>
  <c r="AR30" i="11"/>
  <c r="AQ30" i="11"/>
  <c r="AP30" i="11"/>
  <c r="AV30" i="11" s="1"/>
  <c r="AN30" i="11"/>
  <c r="AM30" i="11"/>
  <c r="AL30" i="11"/>
  <c r="AK30" i="11"/>
  <c r="AI30" i="11"/>
  <c r="AH30" i="11"/>
  <c r="AG30" i="11"/>
  <c r="AF30" i="11"/>
  <c r="AE30" i="11"/>
  <c r="AD30" i="11"/>
  <c r="AB30" i="11"/>
  <c r="BN30" i="11" s="1"/>
  <c r="AA30" i="11"/>
  <c r="Z30" i="11"/>
  <c r="Y30" i="11"/>
  <c r="X30" i="11"/>
  <c r="W30" i="11"/>
  <c r="V30" i="11"/>
  <c r="U30" i="11"/>
  <c r="T30" i="11"/>
  <c r="S30" i="11"/>
  <c r="R30" i="11"/>
  <c r="P30" i="11"/>
  <c r="P29" i="19" s="1"/>
  <c r="O30" i="11"/>
  <c r="N30" i="11"/>
  <c r="M30" i="11"/>
  <c r="L30" i="11"/>
  <c r="K30" i="11"/>
  <c r="BM30" i="11" s="1"/>
  <c r="J30" i="11"/>
  <c r="BL30" i="11" s="1"/>
  <c r="I30" i="11"/>
  <c r="BK30" i="11" s="1"/>
  <c r="H30" i="11"/>
  <c r="AW30" i="11" s="1"/>
  <c r="G30" i="11"/>
  <c r="F30" i="11"/>
  <c r="E30" i="11"/>
  <c r="D30" i="11"/>
  <c r="C30" i="11"/>
  <c r="B29" i="19" s="1"/>
  <c r="B30" i="11"/>
  <c r="A30" i="11"/>
  <c r="A29" i="19" s="1"/>
  <c r="BQ29" i="11"/>
  <c r="AU29" i="11"/>
  <c r="AT29" i="11"/>
  <c r="AR29" i="11"/>
  <c r="AQ29" i="11"/>
  <c r="AP29" i="11"/>
  <c r="AV29" i="11" s="1"/>
  <c r="AO29" i="11"/>
  <c r="AN29" i="11"/>
  <c r="AM29" i="11"/>
  <c r="AL29" i="11"/>
  <c r="AK29" i="11"/>
  <c r="AI29" i="11"/>
  <c r="AH29" i="11"/>
  <c r="AG29" i="11"/>
  <c r="AF29" i="11"/>
  <c r="AE29" i="11"/>
  <c r="AD29" i="11"/>
  <c r="AB29" i="11"/>
  <c r="BN29" i="11" s="1"/>
  <c r="AA29" i="11"/>
  <c r="Z29" i="11"/>
  <c r="Y29" i="11"/>
  <c r="X29" i="11"/>
  <c r="W29" i="11"/>
  <c r="V29" i="11"/>
  <c r="U29" i="11"/>
  <c r="T29" i="11"/>
  <c r="S29" i="11"/>
  <c r="R29" i="11"/>
  <c r="P29" i="11"/>
  <c r="P28" i="19" s="1"/>
  <c r="O29" i="11"/>
  <c r="N29" i="11"/>
  <c r="M29" i="11"/>
  <c r="L29" i="11"/>
  <c r="K29" i="11"/>
  <c r="BM29" i="11" s="1"/>
  <c r="J29" i="11"/>
  <c r="BL29" i="11" s="1"/>
  <c r="I29" i="11"/>
  <c r="BK29" i="11" s="1"/>
  <c r="H29" i="11"/>
  <c r="AW29" i="11" s="1"/>
  <c r="G29" i="11"/>
  <c r="F29" i="11"/>
  <c r="E29" i="11"/>
  <c r="D29" i="11"/>
  <c r="C29" i="11"/>
  <c r="B28" i="19" s="1"/>
  <c r="B29" i="11"/>
  <c r="A29" i="11"/>
  <c r="A28" i="19" s="1"/>
  <c r="BQ28" i="11"/>
  <c r="AU28" i="11"/>
  <c r="AT28" i="11"/>
  <c r="AR28" i="11"/>
  <c r="AQ28" i="11"/>
  <c r="BJ28" i="11" s="1"/>
  <c r="AP28" i="11"/>
  <c r="AN28" i="11"/>
  <c r="AM28" i="11"/>
  <c r="AL28" i="11"/>
  <c r="AK28" i="11"/>
  <c r="AI28" i="11"/>
  <c r="AH28" i="11"/>
  <c r="AG28" i="11"/>
  <c r="AF28" i="11"/>
  <c r="AE28" i="11"/>
  <c r="AD28" i="11"/>
  <c r="AB28" i="11"/>
  <c r="BN28" i="11" s="1"/>
  <c r="AA28" i="11"/>
  <c r="Z28" i="11"/>
  <c r="Y28" i="11"/>
  <c r="X28" i="11"/>
  <c r="W28" i="11"/>
  <c r="V28" i="11"/>
  <c r="U28" i="11"/>
  <c r="T28" i="11"/>
  <c r="S28" i="11"/>
  <c r="R28" i="11"/>
  <c r="P28" i="11"/>
  <c r="P27" i="19" s="1"/>
  <c r="O28" i="11"/>
  <c r="N28" i="11"/>
  <c r="M28" i="11"/>
  <c r="L28" i="11"/>
  <c r="K27" i="19" s="1"/>
  <c r="K28" i="11"/>
  <c r="BM28" i="11" s="1"/>
  <c r="J28" i="11"/>
  <c r="BL28" i="11" s="1"/>
  <c r="I28" i="11"/>
  <c r="BK28" i="11" s="1"/>
  <c r="H28" i="11"/>
  <c r="AW28" i="11" s="1"/>
  <c r="G28" i="11"/>
  <c r="F28" i="11"/>
  <c r="E28" i="11"/>
  <c r="D28" i="11"/>
  <c r="C28" i="11"/>
  <c r="B27" i="19" s="1"/>
  <c r="B28" i="11"/>
  <c r="A28" i="11"/>
  <c r="A27" i="19" s="1"/>
  <c r="BQ27" i="11"/>
  <c r="AU27" i="11"/>
  <c r="AT27" i="11"/>
  <c r="AR27" i="11"/>
  <c r="AQ27" i="11"/>
  <c r="BJ27" i="11" s="1"/>
  <c r="AP27" i="11"/>
  <c r="AN27" i="11"/>
  <c r="AM27" i="11"/>
  <c r="AL27" i="11"/>
  <c r="AK27" i="11"/>
  <c r="AI27" i="11"/>
  <c r="AH27" i="11"/>
  <c r="AG27" i="11"/>
  <c r="AF27" i="11"/>
  <c r="AE27" i="11"/>
  <c r="AD27" i="11"/>
  <c r="AB27" i="11"/>
  <c r="BN27" i="11" s="1"/>
  <c r="AA27" i="11"/>
  <c r="Z27" i="11"/>
  <c r="Y27" i="11"/>
  <c r="X27" i="11"/>
  <c r="W27" i="11"/>
  <c r="V27" i="11"/>
  <c r="U27" i="11"/>
  <c r="T27" i="11"/>
  <c r="S27" i="11"/>
  <c r="R27" i="11"/>
  <c r="P27" i="11"/>
  <c r="P26" i="19" s="1"/>
  <c r="O27" i="11"/>
  <c r="N27" i="11"/>
  <c r="M27" i="11"/>
  <c r="L27" i="11"/>
  <c r="K27" i="11"/>
  <c r="BM27" i="11" s="1"/>
  <c r="J27" i="11"/>
  <c r="BL27" i="11" s="1"/>
  <c r="I27" i="11"/>
  <c r="BK27" i="11" s="1"/>
  <c r="H27" i="11"/>
  <c r="AW27" i="11" s="1"/>
  <c r="G27" i="11"/>
  <c r="F27" i="11"/>
  <c r="E27" i="11"/>
  <c r="D27" i="11"/>
  <c r="C27" i="11"/>
  <c r="B26" i="19" s="1"/>
  <c r="B27" i="11"/>
  <c r="A27" i="11"/>
  <c r="A26" i="19" s="1"/>
  <c r="BQ26" i="11"/>
  <c r="AU26" i="11"/>
  <c r="AT26" i="11"/>
  <c r="AR26" i="11"/>
  <c r="AQ26" i="11"/>
  <c r="AP26" i="11"/>
  <c r="AV26" i="11" s="1"/>
  <c r="AN26" i="11"/>
  <c r="AM26" i="11"/>
  <c r="AL26" i="11"/>
  <c r="AK26" i="11"/>
  <c r="AI26" i="11"/>
  <c r="AH26" i="11"/>
  <c r="AG26" i="11"/>
  <c r="AF26" i="11"/>
  <c r="AE26" i="11"/>
  <c r="AD26" i="11"/>
  <c r="AB26" i="11"/>
  <c r="BN26" i="11" s="1"/>
  <c r="AA26" i="11"/>
  <c r="Z26" i="11"/>
  <c r="Y26" i="11"/>
  <c r="X26" i="11"/>
  <c r="BD26" i="11" s="1"/>
  <c r="W26" i="11"/>
  <c r="V26" i="11"/>
  <c r="U26" i="11"/>
  <c r="T26" i="11"/>
  <c r="S26" i="11"/>
  <c r="R26" i="11"/>
  <c r="P26" i="11"/>
  <c r="P25" i="19" s="1"/>
  <c r="O26" i="11"/>
  <c r="N26" i="11"/>
  <c r="M26" i="11"/>
  <c r="L26" i="11"/>
  <c r="K26" i="11"/>
  <c r="BM26" i="11" s="1"/>
  <c r="J26" i="11"/>
  <c r="BL26" i="11" s="1"/>
  <c r="I26" i="11"/>
  <c r="BK26" i="11" s="1"/>
  <c r="H26" i="11"/>
  <c r="AW26" i="11" s="1"/>
  <c r="G26" i="11"/>
  <c r="F26" i="11"/>
  <c r="E26" i="11"/>
  <c r="D26" i="11"/>
  <c r="C26" i="11"/>
  <c r="B25" i="19" s="1"/>
  <c r="B26" i="11"/>
  <c r="A26" i="11"/>
  <c r="A25" i="19" s="1"/>
  <c r="BQ25" i="11"/>
  <c r="AU25" i="11"/>
  <c r="AT25" i="11"/>
  <c r="AR25" i="11"/>
  <c r="AQ25" i="11"/>
  <c r="BJ25" i="11" s="1"/>
  <c r="AP25" i="11"/>
  <c r="AN25" i="11"/>
  <c r="AM25" i="11"/>
  <c r="AL25" i="11"/>
  <c r="AK25" i="11"/>
  <c r="AI25" i="11"/>
  <c r="AH25" i="11"/>
  <c r="AG25" i="11"/>
  <c r="AF25" i="11"/>
  <c r="AE25" i="11"/>
  <c r="AD25" i="11"/>
  <c r="BP25" i="11" s="1"/>
  <c r="AB25" i="11"/>
  <c r="BN25" i="11" s="1"/>
  <c r="AA25" i="11"/>
  <c r="Z25" i="11"/>
  <c r="Y25" i="11"/>
  <c r="X25" i="11"/>
  <c r="BD25" i="11" s="1"/>
  <c r="W25" i="11"/>
  <c r="V25" i="11"/>
  <c r="U25" i="11"/>
  <c r="T25" i="11"/>
  <c r="S25" i="11"/>
  <c r="R25" i="11"/>
  <c r="P25" i="11"/>
  <c r="P24" i="19" s="1"/>
  <c r="O25" i="11"/>
  <c r="N25" i="11"/>
  <c r="M25" i="11"/>
  <c r="L25" i="11"/>
  <c r="K25" i="11"/>
  <c r="BM25" i="11" s="1"/>
  <c r="J25" i="11"/>
  <c r="BL25" i="11" s="1"/>
  <c r="I25" i="11"/>
  <c r="BK25" i="11" s="1"/>
  <c r="H25" i="11"/>
  <c r="AW25" i="11" s="1"/>
  <c r="G25" i="11"/>
  <c r="F25" i="11"/>
  <c r="E25" i="11"/>
  <c r="D25" i="11"/>
  <c r="C25" i="11"/>
  <c r="B24" i="19" s="1"/>
  <c r="B25" i="11"/>
  <c r="A25" i="11"/>
  <c r="A24" i="19" s="1"/>
  <c r="BQ24" i="11"/>
  <c r="AU24" i="11"/>
  <c r="AT24" i="11"/>
  <c r="AR24" i="11"/>
  <c r="AQ24" i="11"/>
  <c r="BJ24" i="11" s="1"/>
  <c r="AP24" i="11"/>
  <c r="AV24" i="11" s="1"/>
  <c r="AN24" i="11"/>
  <c r="AM24" i="11"/>
  <c r="AL24" i="11"/>
  <c r="AK24" i="11"/>
  <c r="AI24" i="11"/>
  <c r="AH24" i="11"/>
  <c r="AG24" i="11"/>
  <c r="AF24" i="11"/>
  <c r="AE24" i="11"/>
  <c r="AD24" i="11"/>
  <c r="AB24" i="11"/>
  <c r="BN24" i="11" s="1"/>
  <c r="AA24" i="11"/>
  <c r="Z24" i="11"/>
  <c r="Y24" i="11"/>
  <c r="X24" i="11"/>
  <c r="W24" i="11"/>
  <c r="V24" i="11"/>
  <c r="U24" i="11"/>
  <c r="T24" i="11"/>
  <c r="S24" i="11"/>
  <c r="R24" i="11"/>
  <c r="P24" i="11"/>
  <c r="P22" i="19" s="1"/>
  <c r="O24" i="11"/>
  <c r="N24" i="11"/>
  <c r="M24" i="11"/>
  <c r="L24" i="11"/>
  <c r="K22" i="19" s="1"/>
  <c r="K24" i="11"/>
  <c r="BM24" i="11" s="1"/>
  <c r="J24" i="11"/>
  <c r="BL24" i="11" s="1"/>
  <c r="I24" i="11"/>
  <c r="BK24" i="11" s="1"/>
  <c r="H24" i="11"/>
  <c r="AW24" i="11" s="1"/>
  <c r="G24" i="11"/>
  <c r="F24" i="11"/>
  <c r="E24" i="11"/>
  <c r="D24" i="11"/>
  <c r="C24" i="11"/>
  <c r="B22" i="19" s="1"/>
  <c r="B24" i="11"/>
  <c r="A24" i="11"/>
  <c r="A22" i="19" s="1"/>
  <c r="BQ23" i="11"/>
  <c r="AU23" i="11"/>
  <c r="AT23" i="11"/>
  <c r="AR23" i="11"/>
  <c r="AQ23" i="11"/>
  <c r="AP23" i="11"/>
  <c r="AV23" i="11" s="1"/>
  <c r="AN23" i="11"/>
  <c r="AM23" i="11"/>
  <c r="AL23" i="11"/>
  <c r="AK23" i="11"/>
  <c r="AI23" i="11"/>
  <c r="AH23" i="11"/>
  <c r="AG23" i="11"/>
  <c r="AF23" i="11"/>
  <c r="AE23" i="11"/>
  <c r="AD23" i="11"/>
  <c r="BP23" i="11" s="1"/>
  <c r="AB23" i="11"/>
  <c r="BN23" i="11" s="1"/>
  <c r="AA23" i="11"/>
  <c r="Z23" i="11"/>
  <c r="Y23" i="11"/>
  <c r="X23" i="11"/>
  <c r="W23" i="11"/>
  <c r="V23" i="11"/>
  <c r="U23" i="11"/>
  <c r="T23" i="11"/>
  <c r="S23" i="11"/>
  <c r="R23" i="11"/>
  <c r="P23" i="11"/>
  <c r="P21" i="19" s="1"/>
  <c r="O23" i="11"/>
  <c r="N23" i="11"/>
  <c r="M23" i="11"/>
  <c r="L23" i="11"/>
  <c r="K21" i="19" s="1"/>
  <c r="K23" i="11"/>
  <c r="BM23" i="11" s="1"/>
  <c r="J23" i="11"/>
  <c r="BL23" i="11" s="1"/>
  <c r="I23" i="11"/>
  <c r="BK23" i="11" s="1"/>
  <c r="H23" i="11"/>
  <c r="AW23" i="11" s="1"/>
  <c r="G23" i="11"/>
  <c r="F23" i="11"/>
  <c r="E23" i="11"/>
  <c r="D23" i="11"/>
  <c r="C23" i="11"/>
  <c r="B21" i="19" s="1"/>
  <c r="B23" i="11"/>
  <c r="A23" i="11"/>
  <c r="A21" i="19" s="1"/>
  <c r="BQ22" i="11"/>
  <c r="AU22" i="11"/>
  <c r="AT22" i="11"/>
  <c r="AR22" i="11"/>
  <c r="AQ22" i="11"/>
  <c r="BJ22" i="11" s="1"/>
  <c r="AP22" i="11"/>
  <c r="AN22" i="11"/>
  <c r="AM22" i="11"/>
  <c r="AL22" i="11"/>
  <c r="AK22" i="11"/>
  <c r="AI22" i="11"/>
  <c r="AH22" i="11"/>
  <c r="AG22" i="11"/>
  <c r="AF22" i="11"/>
  <c r="AE22" i="11"/>
  <c r="AD22" i="11"/>
  <c r="BP22" i="11" s="1"/>
  <c r="AB22" i="11"/>
  <c r="BN22" i="11" s="1"/>
  <c r="AA22" i="11"/>
  <c r="Z22" i="11"/>
  <c r="Y22" i="11"/>
  <c r="X22" i="11"/>
  <c r="W22" i="11"/>
  <c r="V22" i="11"/>
  <c r="U22" i="11"/>
  <c r="T22" i="11"/>
  <c r="S22" i="11"/>
  <c r="R22" i="11"/>
  <c r="P22" i="11"/>
  <c r="P20" i="19" s="1"/>
  <c r="O22" i="11"/>
  <c r="N22" i="11"/>
  <c r="M22" i="11"/>
  <c r="L22" i="11"/>
  <c r="K22" i="11"/>
  <c r="BM22" i="11" s="1"/>
  <c r="J22" i="11"/>
  <c r="BL22" i="11" s="1"/>
  <c r="I22" i="11"/>
  <c r="BK22" i="11" s="1"/>
  <c r="H22" i="11"/>
  <c r="AW22" i="11" s="1"/>
  <c r="G22" i="11"/>
  <c r="F22" i="11"/>
  <c r="E22" i="11"/>
  <c r="D22" i="11"/>
  <c r="C22" i="11"/>
  <c r="B20" i="19" s="1"/>
  <c r="B22" i="11"/>
  <c r="A22" i="11"/>
  <c r="A20" i="19" s="1"/>
  <c r="BQ21" i="11"/>
  <c r="AU21" i="11"/>
  <c r="AT21" i="11"/>
  <c r="AR21" i="11"/>
  <c r="AQ21" i="11"/>
  <c r="AP21" i="11"/>
  <c r="AV21" i="11" s="1"/>
  <c r="AN21" i="11"/>
  <c r="AM21" i="11"/>
  <c r="AL21" i="11"/>
  <c r="AK21" i="11"/>
  <c r="AI21" i="11"/>
  <c r="AH21" i="11"/>
  <c r="AG21" i="11"/>
  <c r="AF21" i="11"/>
  <c r="AE21" i="11"/>
  <c r="AD21" i="11"/>
  <c r="AB21" i="11"/>
  <c r="BN21" i="11" s="1"/>
  <c r="AA21" i="11"/>
  <c r="Z21" i="11"/>
  <c r="Y21" i="11"/>
  <c r="X21" i="11"/>
  <c r="W21" i="11"/>
  <c r="V21" i="11"/>
  <c r="U21" i="11"/>
  <c r="T21" i="11"/>
  <c r="S21" i="11"/>
  <c r="R21" i="11"/>
  <c r="P21" i="11"/>
  <c r="P19" i="19" s="1"/>
  <c r="O21" i="11"/>
  <c r="N21" i="11"/>
  <c r="M21" i="11"/>
  <c r="L21" i="11"/>
  <c r="K19" i="19" s="1"/>
  <c r="K21" i="11"/>
  <c r="BM21" i="11" s="1"/>
  <c r="J21" i="11"/>
  <c r="BL21" i="11" s="1"/>
  <c r="I21" i="11"/>
  <c r="BK21" i="11" s="1"/>
  <c r="H21" i="11"/>
  <c r="AW21" i="11" s="1"/>
  <c r="G21" i="11"/>
  <c r="F21" i="11"/>
  <c r="E21" i="11"/>
  <c r="D21" i="11"/>
  <c r="C21" i="11"/>
  <c r="B19" i="19" s="1"/>
  <c r="B21" i="11"/>
  <c r="A21" i="11"/>
  <c r="A19" i="19" s="1"/>
  <c r="BQ20" i="11"/>
  <c r="AU20" i="11"/>
  <c r="AT20" i="11"/>
  <c r="AR20" i="11"/>
  <c r="AQ20" i="11"/>
  <c r="BJ20" i="11" s="1"/>
  <c r="AP20" i="11"/>
  <c r="AV20" i="11" s="1"/>
  <c r="AN20" i="11"/>
  <c r="AM20" i="11"/>
  <c r="AL20" i="11"/>
  <c r="AK20" i="11"/>
  <c r="AI20" i="11"/>
  <c r="AH20" i="11"/>
  <c r="AG20" i="11"/>
  <c r="AF20" i="11"/>
  <c r="AE20" i="11"/>
  <c r="AD20" i="11"/>
  <c r="AB20" i="11"/>
  <c r="BN20" i="11" s="1"/>
  <c r="AA20" i="11"/>
  <c r="Z20" i="11"/>
  <c r="Y20" i="11"/>
  <c r="X20" i="11"/>
  <c r="BD20" i="11" s="1"/>
  <c r="W20" i="11"/>
  <c r="V20" i="11"/>
  <c r="U20" i="11"/>
  <c r="T20" i="11"/>
  <c r="S20" i="11"/>
  <c r="R20" i="11"/>
  <c r="P20" i="11"/>
  <c r="P18" i="19" s="1"/>
  <c r="O20" i="11"/>
  <c r="N20" i="11"/>
  <c r="M20" i="11"/>
  <c r="L20" i="11"/>
  <c r="K20" i="11"/>
  <c r="BM20" i="11" s="1"/>
  <c r="J20" i="11"/>
  <c r="BL20" i="11" s="1"/>
  <c r="I20" i="11"/>
  <c r="BK20" i="11" s="1"/>
  <c r="H20" i="11"/>
  <c r="AW20" i="11" s="1"/>
  <c r="G20" i="11"/>
  <c r="F20" i="11"/>
  <c r="E20" i="11"/>
  <c r="D20" i="11"/>
  <c r="C20" i="11"/>
  <c r="B18" i="19" s="1"/>
  <c r="B20" i="11"/>
  <c r="A20" i="11"/>
  <c r="A18" i="19" s="1"/>
  <c r="BQ19" i="11"/>
  <c r="AU19" i="11"/>
  <c r="AT19" i="11"/>
  <c r="AR19" i="11"/>
  <c r="AQ19" i="11"/>
  <c r="BJ19" i="11" s="1"/>
  <c r="AP19" i="11"/>
  <c r="AN19" i="11"/>
  <c r="AM19" i="11"/>
  <c r="AL19" i="11"/>
  <c r="AK19" i="11"/>
  <c r="AI19" i="11"/>
  <c r="AH19" i="11"/>
  <c r="AG19" i="11"/>
  <c r="AF19" i="11"/>
  <c r="AE19" i="11"/>
  <c r="AD19" i="11"/>
  <c r="BP19" i="11" s="1"/>
  <c r="AB19" i="11"/>
  <c r="BN19" i="11" s="1"/>
  <c r="AA19" i="11"/>
  <c r="Z19" i="11"/>
  <c r="Y19" i="11"/>
  <c r="X19" i="11"/>
  <c r="BD19" i="11" s="1"/>
  <c r="W19" i="11"/>
  <c r="V19" i="11"/>
  <c r="U19" i="11"/>
  <c r="T19" i="11"/>
  <c r="S19" i="11"/>
  <c r="R19" i="11"/>
  <c r="P19" i="11"/>
  <c r="P17" i="19" s="1"/>
  <c r="O19" i="11"/>
  <c r="N19" i="11"/>
  <c r="M19" i="11"/>
  <c r="L19" i="11"/>
  <c r="K19" i="11"/>
  <c r="BM19" i="11" s="1"/>
  <c r="J19" i="11"/>
  <c r="BL19" i="11" s="1"/>
  <c r="I19" i="11"/>
  <c r="BK19" i="11" s="1"/>
  <c r="H19" i="11"/>
  <c r="AW19" i="11" s="1"/>
  <c r="G19" i="11"/>
  <c r="F19" i="11"/>
  <c r="E19" i="11"/>
  <c r="D19" i="11"/>
  <c r="C19" i="11"/>
  <c r="B17" i="19" s="1"/>
  <c r="B19" i="11"/>
  <c r="A19" i="11"/>
  <c r="A17" i="19" s="1"/>
  <c r="BQ18" i="11"/>
  <c r="AU18" i="11"/>
  <c r="AT18" i="11"/>
  <c r="AR18" i="11"/>
  <c r="AQ18" i="11"/>
  <c r="BJ18" i="11" s="1"/>
  <c r="AP18" i="11"/>
  <c r="AO18" i="11"/>
  <c r="AN18" i="11"/>
  <c r="AM18" i="11"/>
  <c r="AL18" i="11"/>
  <c r="AK18" i="11"/>
  <c r="AI18" i="11"/>
  <c r="AH18" i="11"/>
  <c r="AG18" i="11"/>
  <c r="AF18" i="11"/>
  <c r="AE18" i="11"/>
  <c r="AD18" i="11"/>
  <c r="BP18" i="11" s="1"/>
  <c r="AB18" i="11"/>
  <c r="BN18" i="11" s="1"/>
  <c r="AA18" i="11"/>
  <c r="Z18" i="11"/>
  <c r="Y18" i="11"/>
  <c r="X18" i="11"/>
  <c r="BD18" i="11" s="1"/>
  <c r="W18" i="11"/>
  <c r="V18" i="11"/>
  <c r="U18" i="11"/>
  <c r="T18" i="11"/>
  <c r="S18" i="11"/>
  <c r="R18" i="11"/>
  <c r="P18" i="11"/>
  <c r="P16" i="19" s="1"/>
  <c r="O18" i="11"/>
  <c r="N18" i="11"/>
  <c r="M18" i="11"/>
  <c r="L18" i="11"/>
  <c r="K18" i="11"/>
  <c r="BM18" i="11" s="1"/>
  <c r="J18" i="11"/>
  <c r="BL18" i="11" s="1"/>
  <c r="I18" i="11"/>
  <c r="BK18" i="11" s="1"/>
  <c r="H18" i="11"/>
  <c r="AW18" i="11" s="1"/>
  <c r="G18" i="11"/>
  <c r="F18" i="11"/>
  <c r="E18" i="11"/>
  <c r="D18" i="11"/>
  <c r="C18" i="11"/>
  <c r="B16" i="19" s="1"/>
  <c r="B18" i="11"/>
  <c r="A18" i="11"/>
  <c r="A16" i="19" s="1"/>
  <c r="BQ17" i="11"/>
  <c r="AU17" i="11"/>
  <c r="AT17" i="11"/>
  <c r="AR17" i="11"/>
  <c r="AQ17" i="11"/>
  <c r="BJ17" i="11" s="1"/>
  <c r="AP17" i="11"/>
  <c r="AV17" i="11" s="1"/>
  <c r="AN17" i="11"/>
  <c r="AM17" i="11"/>
  <c r="AL17" i="11"/>
  <c r="AK17" i="11"/>
  <c r="AI17" i="11"/>
  <c r="AH17" i="11"/>
  <c r="AG17" i="11"/>
  <c r="AF17" i="11"/>
  <c r="AE17" i="11"/>
  <c r="AD17" i="11"/>
  <c r="AB17" i="11"/>
  <c r="BN17" i="11" s="1"/>
  <c r="AA17" i="11"/>
  <c r="Z17" i="11"/>
  <c r="Y17" i="11"/>
  <c r="X17" i="11"/>
  <c r="W17" i="11"/>
  <c r="V17" i="11"/>
  <c r="U17" i="11"/>
  <c r="T17" i="11"/>
  <c r="S17" i="11"/>
  <c r="R17" i="11"/>
  <c r="P17" i="11"/>
  <c r="P15" i="19" s="1"/>
  <c r="O17" i="11"/>
  <c r="N17" i="11"/>
  <c r="M17" i="11"/>
  <c r="L17" i="11"/>
  <c r="K15" i="19" s="1"/>
  <c r="K17" i="11"/>
  <c r="BM17" i="11" s="1"/>
  <c r="J17" i="11"/>
  <c r="BL17" i="11" s="1"/>
  <c r="I17" i="11"/>
  <c r="BK17" i="11" s="1"/>
  <c r="H17" i="11"/>
  <c r="AW17" i="11" s="1"/>
  <c r="G17" i="11"/>
  <c r="F17" i="11"/>
  <c r="E17" i="11"/>
  <c r="D17" i="11"/>
  <c r="C17" i="11"/>
  <c r="B15" i="19" s="1"/>
  <c r="B17" i="11"/>
  <c r="A17" i="11"/>
  <c r="A15" i="19" s="1"/>
  <c r="BQ16" i="11"/>
  <c r="AU16" i="11"/>
  <c r="AT16" i="11"/>
  <c r="AR16" i="11"/>
  <c r="AQ16" i="11"/>
  <c r="AP16" i="11"/>
  <c r="AV16" i="11" s="1"/>
  <c r="AN16" i="11"/>
  <c r="AM16" i="11"/>
  <c r="AL16" i="11"/>
  <c r="AK16" i="11"/>
  <c r="AI16" i="11"/>
  <c r="AH16" i="11"/>
  <c r="AG16" i="11"/>
  <c r="AF16" i="11"/>
  <c r="AE16" i="11"/>
  <c r="AD16" i="11"/>
  <c r="BP16" i="11" s="1"/>
  <c r="AB16" i="11"/>
  <c r="BN16" i="11" s="1"/>
  <c r="AA16" i="11"/>
  <c r="Z16" i="11"/>
  <c r="Y16" i="11"/>
  <c r="X16" i="11"/>
  <c r="W16" i="11"/>
  <c r="V16" i="11"/>
  <c r="U16" i="11"/>
  <c r="T16" i="11"/>
  <c r="S16" i="11"/>
  <c r="R16" i="11"/>
  <c r="P16" i="11"/>
  <c r="P14" i="19" s="1"/>
  <c r="O16" i="11"/>
  <c r="N16" i="11"/>
  <c r="M16" i="11"/>
  <c r="L16" i="11"/>
  <c r="K16" i="11"/>
  <c r="BM16" i="11" s="1"/>
  <c r="J16" i="11"/>
  <c r="BL16" i="11" s="1"/>
  <c r="I16" i="11"/>
  <c r="BK16" i="11" s="1"/>
  <c r="H16" i="11"/>
  <c r="AW16" i="11" s="1"/>
  <c r="G16" i="11"/>
  <c r="F16" i="11"/>
  <c r="E16" i="11"/>
  <c r="D16" i="11"/>
  <c r="C16" i="11"/>
  <c r="B14" i="19" s="1"/>
  <c r="B16" i="11"/>
  <c r="A16" i="11"/>
  <c r="A14" i="19" s="1"/>
  <c r="BQ15" i="11"/>
  <c r="AU15" i="11"/>
  <c r="AT15" i="11"/>
  <c r="AR15" i="11"/>
  <c r="AQ15" i="11"/>
  <c r="AP15" i="11"/>
  <c r="AV15" i="11" s="1"/>
  <c r="AN15" i="11"/>
  <c r="AM15" i="11"/>
  <c r="AL15" i="11"/>
  <c r="AK15" i="11"/>
  <c r="AI15" i="11"/>
  <c r="AH15" i="11"/>
  <c r="AG15" i="11"/>
  <c r="AF15" i="11"/>
  <c r="AE15" i="11"/>
  <c r="AD15" i="11"/>
  <c r="BP15" i="11" s="1"/>
  <c r="AB15" i="11"/>
  <c r="BN15" i="11" s="1"/>
  <c r="AA15" i="11"/>
  <c r="Z15" i="11"/>
  <c r="Y15" i="11"/>
  <c r="X15" i="11"/>
  <c r="W15" i="11"/>
  <c r="V15" i="11"/>
  <c r="U15" i="11"/>
  <c r="T15" i="11"/>
  <c r="S15" i="11"/>
  <c r="R15" i="11"/>
  <c r="P15" i="11"/>
  <c r="P13" i="19" s="1"/>
  <c r="O15" i="11"/>
  <c r="N15" i="11"/>
  <c r="M15" i="11"/>
  <c r="L15" i="11"/>
  <c r="K15" i="11"/>
  <c r="BM15" i="11" s="1"/>
  <c r="J15" i="11"/>
  <c r="BL15" i="11" s="1"/>
  <c r="I15" i="11"/>
  <c r="BK15" i="11" s="1"/>
  <c r="H15" i="11"/>
  <c r="AW15" i="11" s="1"/>
  <c r="G15" i="11"/>
  <c r="F15" i="11"/>
  <c r="E15" i="11"/>
  <c r="D15" i="11"/>
  <c r="C15" i="11"/>
  <c r="B13" i="19" s="1"/>
  <c r="B15" i="11"/>
  <c r="A15" i="11"/>
  <c r="A13" i="19" s="1"/>
  <c r="BQ14" i="11"/>
  <c r="AU14" i="11"/>
  <c r="AT14" i="11"/>
  <c r="AR14" i="11"/>
  <c r="AQ14" i="11"/>
  <c r="BJ14" i="11" s="1"/>
  <c r="AP14" i="11"/>
  <c r="AV14" i="11" s="1"/>
  <c r="AO14" i="11"/>
  <c r="AN14" i="11"/>
  <c r="AM14" i="11"/>
  <c r="AL14" i="11"/>
  <c r="AK14" i="11"/>
  <c r="AI14" i="11"/>
  <c r="AH14" i="11"/>
  <c r="AG14" i="11"/>
  <c r="AF14" i="11"/>
  <c r="AE14" i="11"/>
  <c r="AD14" i="11"/>
  <c r="AB14" i="11"/>
  <c r="BN14" i="11" s="1"/>
  <c r="AA14" i="11"/>
  <c r="Z14" i="11"/>
  <c r="Y14" i="11"/>
  <c r="X14" i="11"/>
  <c r="BD14" i="11" s="1"/>
  <c r="W14" i="11"/>
  <c r="V14" i="11"/>
  <c r="U14" i="11"/>
  <c r="T14" i="11"/>
  <c r="S14" i="11"/>
  <c r="R14" i="11"/>
  <c r="P14" i="11"/>
  <c r="P12" i="19" s="1"/>
  <c r="O14" i="11"/>
  <c r="N14" i="11"/>
  <c r="M14" i="11"/>
  <c r="L14" i="11"/>
  <c r="K14" i="11"/>
  <c r="BM14" i="11" s="1"/>
  <c r="J14" i="11"/>
  <c r="BL14" i="11" s="1"/>
  <c r="I14" i="11"/>
  <c r="BK14" i="11" s="1"/>
  <c r="H14" i="11"/>
  <c r="AW14" i="11" s="1"/>
  <c r="G14" i="11"/>
  <c r="F14" i="11"/>
  <c r="E14" i="11"/>
  <c r="D14" i="11"/>
  <c r="C14" i="11"/>
  <c r="B12" i="19" s="1"/>
  <c r="B14" i="11"/>
  <c r="A14" i="11"/>
  <c r="A12" i="19" s="1"/>
  <c r="BQ13" i="11"/>
  <c r="AU13" i="11"/>
  <c r="AT13" i="11"/>
  <c r="AR13" i="11"/>
  <c r="AQ13" i="11"/>
  <c r="BJ13" i="11" s="1"/>
  <c r="AP13" i="11"/>
  <c r="AV13" i="11" s="1"/>
  <c r="AO13" i="11"/>
  <c r="AN13" i="11"/>
  <c r="AM13" i="11"/>
  <c r="AL13" i="11"/>
  <c r="AK13" i="11"/>
  <c r="AI13" i="11"/>
  <c r="AH13" i="11"/>
  <c r="AG13" i="11"/>
  <c r="AF13" i="11"/>
  <c r="AE13" i="11"/>
  <c r="AD13" i="11"/>
  <c r="AB13" i="11"/>
  <c r="BN13" i="11" s="1"/>
  <c r="AA13" i="11"/>
  <c r="Z13" i="11"/>
  <c r="Y13" i="11"/>
  <c r="X13" i="11"/>
  <c r="BD13" i="11" s="1"/>
  <c r="W13" i="11"/>
  <c r="V13" i="11"/>
  <c r="U13" i="11"/>
  <c r="T13" i="11"/>
  <c r="S13" i="11"/>
  <c r="R13" i="11"/>
  <c r="P13" i="11"/>
  <c r="P11" i="19" s="1"/>
  <c r="O13" i="11"/>
  <c r="N13" i="11"/>
  <c r="M13" i="11"/>
  <c r="L13" i="11"/>
  <c r="K11" i="19" s="1"/>
  <c r="K13" i="11"/>
  <c r="BM13" i="11" s="1"/>
  <c r="J13" i="11"/>
  <c r="BL13" i="11" s="1"/>
  <c r="I13" i="11"/>
  <c r="BK13" i="11" s="1"/>
  <c r="H13" i="11"/>
  <c r="AW13" i="11" s="1"/>
  <c r="G13" i="11"/>
  <c r="F13" i="11"/>
  <c r="E13" i="11"/>
  <c r="D13" i="11"/>
  <c r="C13" i="11"/>
  <c r="B11" i="19" s="1"/>
  <c r="B13" i="11"/>
  <c r="A13" i="11"/>
  <c r="A11" i="19" s="1"/>
  <c r="BQ12" i="11"/>
  <c r="AU12" i="11"/>
  <c r="AT12" i="11"/>
  <c r="AR12" i="11"/>
  <c r="AQ12" i="11"/>
  <c r="AP12" i="11"/>
  <c r="AV12" i="11" s="1"/>
  <c r="AN12" i="11"/>
  <c r="AM12" i="11"/>
  <c r="AL12" i="11"/>
  <c r="AK12" i="11"/>
  <c r="AI12" i="11"/>
  <c r="AH12" i="11"/>
  <c r="AG12" i="11"/>
  <c r="AF12" i="11"/>
  <c r="AE12" i="11"/>
  <c r="AD12" i="11"/>
  <c r="AB12" i="11"/>
  <c r="BN12" i="11" s="1"/>
  <c r="AA12" i="11"/>
  <c r="Z12" i="11"/>
  <c r="Y12" i="11"/>
  <c r="X12" i="11"/>
  <c r="W12" i="11"/>
  <c r="V12" i="11"/>
  <c r="U12" i="11"/>
  <c r="T12" i="11"/>
  <c r="S12" i="11"/>
  <c r="R12" i="11"/>
  <c r="P12" i="11"/>
  <c r="P10" i="19" s="1"/>
  <c r="O12" i="11"/>
  <c r="N12" i="11"/>
  <c r="M12" i="11"/>
  <c r="L12" i="11"/>
  <c r="K12" i="11"/>
  <c r="BM12" i="11" s="1"/>
  <c r="J12" i="11"/>
  <c r="BL12" i="11" s="1"/>
  <c r="I12" i="11"/>
  <c r="BK12" i="11" s="1"/>
  <c r="H12" i="11"/>
  <c r="AW12" i="11" s="1"/>
  <c r="G12" i="11"/>
  <c r="F12" i="11"/>
  <c r="E12" i="11"/>
  <c r="D12" i="11"/>
  <c r="C12" i="11"/>
  <c r="B10" i="19" s="1"/>
  <c r="B12" i="11"/>
  <c r="A12" i="11"/>
  <c r="A10" i="19" s="1"/>
  <c r="BQ11" i="11"/>
  <c r="AU11" i="11"/>
  <c r="AT11" i="11"/>
  <c r="AR11" i="11"/>
  <c r="AQ11" i="11"/>
  <c r="AP11" i="11"/>
  <c r="AV11" i="11" s="1"/>
  <c r="AO11" i="11"/>
  <c r="AN11" i="11"/>
  <c r="AM11" i="11"/>
  <c r="AL11" i="11"/>
  <c r="AK11" i="11"/>
  <c r="AI11" i="11"/>
  <c r="AH11" i="11"/>
  <c r="AG11" i="11"/>
  <c r="AF11" i="11"/>
  <c r="AE11" i="11"/>
  <c r="AD11" i="11"/>
  <c r="AB11" i="11"/>
  <c r="BN11" i="11" s="1"/>
  <c r="AA11" i="11"/>
  <c r="Z11" i="11"/>
  <c r="Y11" i="11"/>
  <c r="X11" i="11"/>
  <c r="BD11" i="11" s="1"/>
  <c r="W11" i="11"/>
  <c r="V11" i="11"/>
  <c r="U11" i="11"/>
  <c r="T11" i="11"/>
  <c r="S11" i="11"/>
  <c r="R11" i="11"/>
  <c r="P11" i="11"/>
  <c r="P9" i="19" s="1"/>
  <c r="O11" i="11"/>
  <c r="N11" i="11"/>
  <c r="M11" i="11"/>
  <c r="L11" i="11"/>
  <c r="K11" i="11"/>
  <c r="BM11" i="11" s="1"/>
  <c r="J11" i="11"/>
  <c r="BL11" i="11" s="1"/>
  <c r="I11" i="11"/>
  <c r="BK11" i="11" s="1"/>
  <c r="H11" i="11"/>
  <c r="AW11" i="11" s="1"/>
  <c r="G11" i="11"/>
  <c r="F11" i="11"/>
  <c r="E11" i="11"/>
  <c r="D11" i="11"/>
  <c r="C11" i="11"/>
  <c r="B9" i="19" s="1"/>
  <c r="B11" i="11"/>
  <c r="A11" i="11"/>
  <c r="A9" i="19" s="1"/>
  <c r="BQ10" i="11"/>
  <c r="AU10" i="11"/>
  <c r="AT10" i="11"/>
  <c r="AR10" i="11"/>
  <c r="AQ10" i="11"/>
  <c r="BJ10" i="11" s="1"/>
  <c r="AP10" i="11"/>
  <c r="AV10" i="11" s="1"/>
  <c r="AN10" i="11"/>
  <c r="AM10" i="11"/>
  <c r="AL10" i="11"/>
  <c r="AK10" i="11"/>
  <c r="AI10" i="11"/>
  <c r="AH10" i="11"/>
  <c r="AG10" i="11"/>
  <c r="AF10" i="11"/>
  <c r="AE10" i="11"/>
  <c r="AD10" i="11"/>
  <c r="AB10" i="11"/>
  <c r="BN10" i="11" s="1"/>
  <c r="AA10" i="11"/>
  <c r="Z10" i="11"/>
  <c r="Y10" i="11"/>
  <c r="X10" i="11"/>
  <c r="BD10" i="11" s="1"/>
  <c r="W10" i="11"/>
  <c r="V10" i="11"/>
  <c r="U10" i="11"/>
  <c r="T10" i="11"/>
  <c r="S10" i="11"/>
  <c r="R10" i="11"/>
  <c r="P10" i="11"/>
  <c r="P8" i="19" s="1"/>
  <c r="O10" i="11"/>
  <c r="N10" i="11"/>
  <c r="M10" i="11"/>
  <c r="L10" i="11"/>
  <c r="K8" i="19" s="1"/>
  <c r="K10" i="11"/>
  <c r="BM10" i="11" s="1"/>
  <c r="J10" i="11"/>
  <c r="BL10" i="11" s="1"/>
  <c r="I10" i="11"/>
  <c r="BK10" i="11" s="1"/>
  <c r="H10" i="11"/>
  <c r="AW10" i="11" s="1"/>
  <c r="G10" i="11"/>
  <c r="F10" i="11"/>
  <c r="E10" i="11"/>
  <c r="D10" i="11"/>
  <c r="C10" i="11"/>
  <c r="B8" i="19" s="1"/>
  <c r="B10" i="11"/>
  <c r="A10" i="11"/>
  <c r="A8" i="19" s="1"/>
  <c r="BQ9" i="11"/>
  <c r="AU9" i="11"/>
  <c r="AT9" i="11"/>
  <c r="AR9" i="11"/>
  <c r="AQ9" i="11"/>
  <c r="AP9" i="11"/>
  <c r="AV9" i="11" s="1"/>
  <c r="AN9" i="11"/>
  <c r="AM9" i="11"/>
  <c r="AL9" i="11"/>
  <c r="AK9" i="11"/>
  <c r="AI9" i="11"/>
  <c r="AH9" i="11"/>
  <c r="AG9" i="11"/>
  <c r="AF9" i="11"/>
  <c r="AE9" i="11"/>
  <c r="AD9" i="11"/>
  <c r="BP9" i="11" s="1"/>
  <c r="AB9" i="11"/>
  <c r="BN9" i="11" s="1"/>
  <c r="AA9" i="11"/>
  <c r="Z9" i="11"/>
  <c r="Y9" i="11"/>
  <c r="X9" i="11"/>
  <c r="BD9" i="11" s="1"/>
  <c r="W9" i="11"/>
  <c r="V9" i="11"/>
  <c r="U9" i="11"/>
  <c r="T9" i="11"/>
  <c r="S9" i="11"/>
  <c r="R9" i="11"/>
  <c r="P9" i="11"/>
  <c r="P7" i="19" s="1"/>
  <c r="O9" i="11"/>
  <c r="N9" i="11"/>
  <c r="M9" i="11"/>
  <c r="L9" i="11"/>
  <c r="K9" i="11"/>
  <c r="BM9" i="11" s="1"/>
  <c r="J9" i="11"/>
  <c r="BL9" i="11" s="1"/>
  <c r="I9" i="11"/>
  <c r="BK9" i="11" s="1"/>
  <c r="H9" i="11"/>
  <c r="AW9" i="11" s="1"/>
  <c r="G9" i="11"/>
  <c r="F9" i="11"/>
  <c r="E9" i="11"/>
  <c r="D9" i="11"/>
  <c r="C9" i="11"/>
  <c r="B7" i="19" s="1"/>
  <c r="B9" i="11"/>
  <c r="A9" i="11"/>
  <c r="A7" i="19" s="1"/>
  <c r="BQ8" i="11"/>
  <c r="AU8" i="11"/>
  <c r="AT8" i="11"/>
  <c r="AR8" i="11"/>
  <c r="AQ8" i="11"/>
  <c r="BJ8" i="11" s="1"/>
  <c r="AP8" i="11"/>
  <c r="AN8" i="11"/>
  <c r="AM8" i="11"/>
  <c r="AL8" i="11"/>
  <c r="AK8" i="11"/>
  <c r="AI8" i="11"/>
  <c r="AH8" i="11"/>
  <c r="AG8" i="11"/>
  <c r="AF8" i="11"/>
  <c r="AE8" i="11"/>
  <c r="AD8" i="11"/>
  <c r="AB8" i="11"/>
  <c r="BN8" i="11" s="1"/>
  <c r="AA8" i="11"/>
  <c r="Z8" i="11"/>
  <c r="Y8" i="11"/>
  <c r="X8" i="11"/>
  <c r="W8" i="11"/>
  <c r="V8" i="11"/>
  <c r="U8" i="11"/>
  <c r="T8" i="11"/>
  <c r="S8" i="11"/>
  <c r="R8" i="11"/>
  <c r="P8" i="11"/>
  <c r="P6" i="19" s="1"/>
  <c r="O8" i="11"/>
  <c r="N8" i="11"/>
  <c r="M8" i="11"/>
  <c r="L8" i="11"/>
  <c r="K6" i="19" s="1"/>
  <c r="K8" i="11"/>
  <c r="BM8" i="11" s="1"/>
  <c r="J8" i="11"/>
  <c r="BL8" i="11" s="1"/>
  <c r="I8" i="11"/>
  <c r="BK8" i="11" s="1"/>
  <c r="H8" i="11"/>
  <c r="AW8" i="11" s="1"/>
  <c r="G8" i="11"/>
  <c r="F8" i="11"/>
  <c r="E8" i="11"/>
  <c r="D8" i="11"/>
  <c r="C8" i="11"/>
  <c r="B6" i="19" s="1"/>
  <c r="B8" i="11"/>
  <c r="A8" i="11"/>
  <c r="A6" i="19" s="1"/>
  <c r="BQ7" i="11"/>
  <c r="AU7" i="11"/>
  <c r="AT7" i="11"/>
  <c r="AR7" i="11"/>
  <c r="AQ7" i="11"/>
  <c r="BJ7" i="11" s="1"/>
  <c r="AP7" i="11"/>
  <c r="AV7" i="11" s="1"/>
  <c r="AO7" i="11"/>
  <c r="AN7" i="11"/>
  <c r="AM7" i="11"/>
  <c r="AL7" i="11"/>
  <c r="AK7" i="11"/>
  <c r="AI7" i="11"/>
  <c r="AH7" i="11"/>
  <c r="AG7" i="11"/>
  <c r="AF7" i="11"/>
  <c r="AE7" i="11"/>
  <c r="AD7" i="11"/>
  <c r="BP7" i="11" s="1"/>
  <c r="AB7" i="11"/>
  <c r="BN7" i="11" s="1"/>
  <c r="AA7" i="11"/>
  <c r="Z7" i="11"/>
  <c r="Y7" i="11"/>
  <c r="X7" i="11"/>
  <c r="W7" i="11"/>
  <c r="V7" i="11"/>
  <c r="U7" i="11"/>
  <c r="T7" i="11"/>
  <c r="S7" i="11"/>
  <c r="R7" i="11"/>
  <c r="P7" i="11"/>
  <c r="P5" i="19" s="1"/>
  <c r="O7" i="11"/>
  <c r="N7" i="11"/>
  <c r="M7" i="11"/>
  <c r="L7" i="11"/>
  <c r="K5" i="19" s="1"/>
  <c r="K7" i="11"/>
  <c r="BM7" i="11" s="1"/>
  <c r="J7" i="11"/>
  <c r="BL7" i="11" s="1"/>
  <c r="I7" i="11"/>
  <c r="BK7" i="11" s="1"/>
  <c r="H7" i="11"/>
  <c r="AW7" i="11" s="1"/>
  <c r="G7" i="11"/>
  <c r="F7" i="11"/>
  <c r="E7" i="11"/>
  <c r="D7" i="11"/>
  <c r="C7" i="11"/>
  <c r="B5" i="19" s="1"/>
  <c r="B7" i="11"/>
  <c r="A7" i="11"/>
  <c r="A5" i="19" s="1"/>
  <c r="BQ6" i="11"/>
  <c r="AU6" i="11"/>
  <c r="AT6" i="11"/>
  <c r="AR6" i="11"/>
  <c r="AQ6" i="11"/>
  <c r="AP6" i="11"/>
  <c r="AV6" i="11" s="1"/>
  <c r="AN6" i="11"/>
  <c r="AM6" i="11"/>
  <c r="AL6" i="11"/>
  <c r="AK6" i="11"/>
  <c r="AI6" i="11"/>
  <c r="AH6" i="11"/>
  <c r="AG6" i="11"/>
  <c r="AF6" i="11"/>
  <c r="AE6" i="11"/>
  <c r="AD6" i="11"/>
  <c r="BP6" i="11" s="1"/>
  <c r="AB6" i="11"/>
  <c r="BN6" i="11" s="1"/>
  <c r="AA6" i="11"/>
  <c r="Z6" i="11"/>
  <c r="Y6" i="11"/>
  <c r="X6" i="11"/>
  <c r="W6" i="11"/>
  <c r="V6" i="11"/>
  <c r="U6" i="11"/>
  <c r="T6" i="11"/>
  <c r="S6" i="11"/>
  <c r="R6" i="11"/>
  <c r="P6" i="11"/>
  <c r="O6" i="11"/>
  <c r="N6" i="11"/>
  <c r="M6" i="11"/>
  <c r="L6" i="11"/>
  <c r="K6" i="11"/>
  <c r="BM6" i="11" s="1"/>
  <c r="J6" i="11"/>
  <c r="BL6" i="11" s="1"/>
  <c r="I6" i="11"/>
  <c r="BK6" i="11" s="1"/>
  <c r="H6" i="11"/>
  <c r="AW6" i="11" s="1"/>
  <c r="G6" i="11"/>
  <c r="F6" i="11"/>
  <c r="E6" i="11"/>
  <c r="D6" i="11"/>
  <c r="C6" i="11"/>
  <c r="B6" i="11"/>
  <c r="A6" i="11"/>
  <c r="BQ5" i="11"/>
  <c r="AU5" i="11"/>
  <c r="AT5" i="11"/>
  <c r="AR5" i="11"/>
  <c r="AQ5" i="11"/>
  <c r="AP5" i="11"/>
  <c r="AV5" i="11" s="1"/>
  <c r="AN5" i="11"/>
  <c r="AM5" i="11"/>
  <c r="AL5" i="11"/>
  <c r="AK5" i="11"/>
  <c r="AI5" i="11"/>
  <c r="AH5" i="11"/>
  <c r="AG5" i="11"/>
  <c r="AF5" i="11"/>
  <c r="AE5" i="11"/>
  <c r="AD5" i="11"/>
  <c r="BP5" i="11" s="1"/>
  <c r="AB5" i="11"/>
  <c r="BN5" i="11" s="1"/>
  <c r="AA5" i="11"/>
  <c r="Z5" i="11"/>
  <c r="Y5" i="11"/>
  <c r="X5" i="11"/>
  <c r="W5" i="11"/>
  <c r="V5" i="11"/>
  <c r="U5" i="11"/>
  <c r="T5" i="11"/>
  <c r="S5" i="11"/>
  <c r="R5" i="11"/>
  <c r="P5" i="11"/>
  <c r="P4" i="19" s="1"/>
  <c r="O5" i="11"/>
  <c r="N5" i="11"/>
  <c r="M5" i="11"/>
  <c r="L5" i="11"/>
  <c r="K5" i="11"/>
  <c r="BM5" i="11" s="1"/>
  <c r="J5" i="11"/>
  <c r="BL5" i="11" s="1"/>
  <c r="I5" i="11"/>
  <c r="BK5" i="11" s="1"/>
  <c r="H5" i="11"/>
  <c r="AW5" i="11" s="1"/>
  <c r="G5" i="11"/>
  <c r="E5" i="11"/>
  <c r="D5" i="11"/>
  <c r="C5" i="11"/>
  <c r="B4" i="19" s="1"/>
  <c r="B5" i="11"/>
  <c r="A5" i="11"/>
  <c r="A4" i="19" s="1"/>
  <c r="BQ4" i="11"/>
  <c r="AU4" i="11"/>
  <c r="AT4" i="11"/>
  <c r="AR4" i="11"/>
  <c r="AQ4" i="11"/>
  <c r="AP4" i="11"/>
  <c r="AV4" i="11" s="1"/>
  <c r="AN4" i="11"/>
  <c r="AM4" i="11"/>
  <c r="AL4" i="11"/>
  <c r="AK4" i="11"/>
  <c r="AI4" i="11"/>
  <c r="AH4" i="11"/>
  <c r="AG4" i="11"/>
  <c r="AF4" i="11"/>
  <c r="AE4" i="11"/>
  <c r="AD4" i="11"/>
  <c r="AB4" i="11"/>
  <c r="BN4" i="11" s="1"/>
  <c r="AA4" i="11"/>
  <c r="Z4" i="11"/>
  <c r="Y4" i="11"/>
  <c r="X4" i="11"/>
  <c r="W4" i="11"/>
  <c r="V4" i="11"/>
  <c r="U4" i="11"/>
  <c r="T4" i="11"/>
  <c r="S4" i="11"/>
  <c r="R4" i="11"/>
  <c r="P4" i="11"/>
  <c r="P3" i="19" s="1"/>
  <c r="O4" i="11"/>
  <c r="N4" i="11"/>
  <c r="M4" i="11"/>
  <c r="L4" i="11"/>
  <c r="K4" i="11"/>
  <c r="BM4" i="11" s="1"/>
  <c r="J4" i="11"/>
  <c r="BL4" i="11" s="1"/>
  <c r="I4" i="11"/>
  <c r="BK4" i="11" s="1"/>
  <c r="H4" i="11"/>
  <c r="AW4" i="11" s="1"/>
  <c r="G4" i="11"/>
  <c r="F4" i="11"/>
  <c r="E4" i="11"/>
  <c r="D4" i="11"/>
  <c r="C4" i="11"/>
  <c r="B3" i="19" s="1"/>
  <c r="B4" i="11"/>
  <c r="A4" i="11"/>
  <c r="A3" i="19" s="1"/>
  <c r="BQ3" i="11"/>
  <c r="AU3" i="11"/>
  <c r="AT3" i="11"/>
  <c r="AR3" i="11"/>
  <c r="AQ3" i="11"/>
  <c r="BJ3" i="11" s="1"/>
  <c r="AP3" i="11"/>
  <c r="AV3" i="11" s="1"/>
  <c r="AO3" i="11"/>
  <c r="AN3" i="11"/>
  <c r="AM3" i="11"/>
  <c r="AL3" i="11"/>
  <c r="AK3" i="11"/>
  <c r="AI3" i="11"/>
  <c r="AH3" i="11"/>
  <c r="AG3" i="11"/>
  <c r="AF3" i="11"/>
  <c r="AE3" i="11"/>
  <c r="AD3" i="11"/>
  <c r="BP3" i="11" s="1"/>
  <c r="AB3" i="11"/>
  <c r="BN3" i="11" s="1"/>
  <c r="AA3" i="11"/>
  <c r="Z3" i="11"/>
  <c r="Y3" i="11"/>
  <c r="X3" i="11"/>
  <c r="W3" i="11"/>
  <c r="V3" i="11"/>
  <c r="U3" i="11"/>
  <c r="T3" i="11"/>
  <c r="S3" i="11"/>
  <c r="R3" i="11"/>
  <c r="P3" i="11"/>
  <c r="P2" i="19" s="1"/>
  <c r="O3" i="11"/>
  <c r="N3" i="11"/>
  <c r="M3" i="11"/>
  <c r="L3" i="11"/>
  <c r="K3" i="11"/>
  <c r="BM3" i="11" s="1"/>
  <c r="J3" i="11"/>
  <c r="BL3" i="11" s="1"/>
  <c r="I3" i="11"/>
  <c r="BK3" i="11" s="1"/>
  <c r="H3" i="11"/>
  <c r="AW3" i="11" s="1"/>
  <c r="G3" i="11"/>
  <c r="F3" i="11"/>
  <c r="E3" i="11"/>
  <c r="D3" i="11"/>
  <c r="C3" i="11"/>
  <c r="B2" i="19" s="1"/>
  <c r="B3" i="11"/>
  <c r="A3" i="11"/>
  <c r="A2" i="19" s="1"/>
  <c r="AR2" i="11"/>
  <c r="AQ2" i="11"/>
  <c r="AP2" i="11"/>
  <c r="AO2" i="11"/>
  <c r="AN2" i="11"/>
  <c r="AM2" i="11"/>
  <c r="AL2" i="11"/>
  <c r="AK2" i="11"/>
  <c r="AI2" i="11"/>
  <c r="AH2" i="11"/>
  <c r="AG2" i="11"/>
  <c r="AF2" i="11"/>
  <c r="AE2" i="11"/>
  <c r="AD2" i="11"/>
  <c r="AB2" i="11"/>
  <c r="AA2" i="11"/>
  <c r="Z2" i="11"/>
  <c r="Y2" i="11"/>
  <c r="X2" i="11"/>
  <c r="W2" i="11"/>
  <c r="V2" i="11"/>
  <c r="U2" i="11"/>
  <c r="T2" i="11"/>
  <c r="S2" i="11"/>
  <c r="R2" i="11"/>
  <c r="P2" i="11"/>
  <c r="O2" i="11"/>
  <c r="N2" i="11"/>
  <c r="M2" i="11"/>
  <c r="L2" i="11"/>
  <c r="K2" i="11"/>
  <c r="J2" i="11"/>
  <c r="I2" i="11"/>
  <c r="H2" i="11"/>
  <c r="G2" i="11"/>
  <c r="F2" i="11"/>
  <c r="E2" i="11"/>
  <c r="D2" i="11"/>
  <c r="C2" i="11"/>
  <c r="B2" i="11"/>
  <c r="A2" i="11"/>
  <c r="E487" i="10"/>
  <c r="D487" i="10"/>
  <c r="C487" i="10"/>
  <c r="B487" i="10"/>
  <c r="A487" i="10"/>
  <c r="E486" i="10"/>
  <c r="D486" i="10"/>
  <c r="C486" i="10"/>
  <c r="B486" i="10"/>
  <c r="A486" i="10"/>
  <c r="E485" i="10"/>
  <c r="D485" i="10"/>
  <c r="C485" i="10"/>
  <c r="B485" i="10"/>
  <c r="A485" i="10"/>
  <c r="E484" i="10"/>
  <c r="D484" i="10"/>
  <c r="C484" i="10"/>
  <c r="B484" i="10"/>
  <c r="A484" i="10"/>
  <c r="E483" i="10"/>
  <c r="D483" i="10"/>
  <c r="C483" i="10"/>
  <c r="B483" i="10"/>
  <c r="A483" i="10"/>
  <c r="E482" i="10"/>
  <c r="D482" i="10"/>
  <c r="C482" i="10"/>
  <c r="B482" i="10"/>
  <c r="A482" i="10"/>
  <c r="E481" i="10"/>
  <c r="D481" i="10"/>
  <c r="C481" i="10"/>
  <c r="B481" i="10"/>
  <c r="A481" i="10"/>
  <c r="E480" i="10"/>
  <c r="D480" i="10"/>
  <c r="C480" i="10"/>
  <c r="B480" i="10"/>
  <c r="A480" i="10"/>
  <c r="E479" i="10"/>
  <c r="D479" i="10"/>
  <c r="C479" i="10"/>
  <c r="B479" i="10"/>
  <c r="A479" i="10"/>
  <c r="E478" i="10"/>
  <c r="D478" i="10"/>
  <c r="C478" i="10"/>
  <c r="B478" i="10"/>
  <c r="A478" i="10"/>
  <c r="E477" i="10"/>
  <c r="D477" i="10"/>
  <c r="C477" i="10"/>
  <c r="B477" i="10"/>
  <c r="A477" i="10"/>
  <c r="E476" i="10"/>
  <c r="D476" i="10"/>
  <c r="C476" i="10"/>
  <c r="B476" i="10"/>
  <c r="A476" i="10"/>
  <c r="E475" i="10"/>
  <c r="D475" i="10"/>
  <c r="C475" i="10"/>
  <c r="B475" i="10"/>
  <c r="A475" i="10"/>
  <c r="E474" i="10"/>
  <c r="D474" i="10"/>
  <c r="C474" i="10"/>
  <c r="B474" i="10"/>
  <c r="A474" i="10"/>
  <c r="E473" i="10"/>
  <c r="D473" i="10"/>
  <c r="C473" i="10"/>
  <c r="B473" i="10"/>
  <c r="A473" i="10"/>
  <c r="E472" i="10"/>
  <c r="D472" i="10"/>
  <c r="C472" i="10"/>
  <c r="B472" i="10"/>
  <c r="A472" i="10"/>
  <c r="E471" i="10"/>
  <c r="D471" i="10"/>
  <c r="C471" i="10"/>
  <c r="B471" i="10"/>
  <c r="A471" i="10"/>
  <c r="E470" i="10"/>
  <c r="D470" i="10"/>
  <c r="C470" i="10"/>
  <c r="B470" i="10"/>
  <c r="A470" i="10"/>
  <c r="E469" i="10"/>
  <c r="D469" i="10"/>
  <c r="C469" i="10"/>
  <c r="B469" i="10"/>
  <c r="A469" i="10"/>
  <c r="E468" i="10"/>
  <c r="D468" i="10"/>
  <c r="C468" i="10"/>
  <c r="B468" i="10"/>
  <c r="A468" i="10"/>
  <c r="E467" i="10"/>
  <c r="D467" i="10"/>
  <c r="C467" i="10"/>
  <c r="B467" i="10"/>
  <c r="A467" i="10"/>
  <c r="E466" i="10"/>
  <c r="D466" i="10"/>
  <c r="C466" i="10"/>
  <c r="B466" i="10"/>
  <c r="A466" i="10"/>
  <c r="E465" i="10"/>
  <c r="D465" i="10"/>
  <c r="C465" i="10"/>
  <c r="B465" i="10"/>
  <c r="A465" i="10"/>
  <c r="E464" i="10"/>
  <c r="D464" i="10"/>
  <c r="C464" i="10"/>
  <c r="B464" i="10"/>
  <c r="A464" i="10"/>
  <c r="E463" i="10"/>
  <c r="D463" i="10"/>
  <c r="C463" i="10"/>
  <c r="B463" i="10"/>
  <c r="A463" i="10"/>
  <c r="E462" i="10"/>
  <c r="D462" i="10"/>
  <c r="C462" i="10"/>
  <c r="B462" i="10"/>
  <c r="A462" i="10"/>
  <c r="E461" i="10"/>
  <c r="D461" i="10"/>
  <c r="C461" i="10"/>
  <c r="B461" i="10"/>
  <c r="A461" i="10"/>
  <c r="E460" i="10"/>
  <c r="D460" i="10"/>
  <c r="C460" i="10"/>
  <c r="B460" i="10"/>
  <c r="A460" i="10"/>
  <c r="E459" i="10"/>
  <c r="D459" i="10"/>
  <c r="C459" i="10"/>
  <c r="B459" i="10"/>
  <c r="A459" i="10"/>
  <c r="E458" i="10"/>
  <c r="D458" i="10"/>
  <c r="C458" i="10"/>
  <c r="B458" i="10"/>
  <c r="A458" i="10"/>
  <c r="E457" i="10"/>
  <c r="D457" i="10"/>
  <c r="C457" i="10"/>
  <c r="B457" i="10"/>
  <c r="A457" i="10"/>
  <c r="E456" i="10"/>
  <c r="D456" i="10"/>
  <c r="C456" i="10"/>
  <c r="B456" i="10"/>
  <c r="A456" i="10"/>
  <c r="E455" i="10"/>
  <c r="D455" i="10"/>
  <c r="C455" i="10"/>
  <c r="B455" i="10"/>
  <c r="A455" i="10"/>
  <c r="E454" i="10"/>
  <c r="D454" i="10"/>
  <c r="C454" i="10"/>
  <c r="B454" i="10"/>
  <c r="A454" i="10"/>
  <c r="E453" i="10"/>
  <c r="D453" i="10"/>
  <c r="C453" i="10"/>
  <c r="B453" i="10"/>
  <c r="A453" i="10"/>
  <c r="E452" i="10"/>
  <c r="D452" i="10"/>
  <c r="C452" i="10"/>
  <c r="B452" i="10"/>
  <c r="A452" i="10"/>
  <c r="E451" i="10"/>
  <c r="D451" i="10"/>
  <c r="C451" i="10"/>
  <c r="B451" i="10"/>
  <c r="A451" i="10"/>
  <c r="E450" i="10"/>
  <c r="D450" i="10"/>
  <c r="C450" i="10"/>
  <c r="B450" i="10"/>
  <c r="A450" i="10"/>
  <c r="E449" i="10"/>
  <c r="D449" i="10"/>
  <c r="C449" i="10"/>
  <c r="B449" i="10"/>
  <c r="A449" i="10"/>
  <c r="E448" i="10"/>
  <c r="D448" i="10"/>
  <c r="C448" i="10"/>
  <c r="B448" i="10"/>
  <c r="A448" i="10"/>
  <c r="E447" i="10"/>
  <c r="D447" i="10"/>
  <c r="C447" i="10"/>
  <c r="B447" i="10"/>
  <c r="A447" i="10"/>
  <c r="E446" i="10"/>
  <c r="D446" i="10"/>
  <c r="C446" i="10"/>
  <c r="B446" i="10"/>
  <c r="A446" i="10"/>
  <c r="E445" i="10"/>
  <c r="D445" i="10"/>
  <c r="C445" i="10"/>
  <c r="B445" i="10"/>
  <c r="A445" i="10"/>
  <c r="E444" i="10"/>
  <c r="D444" i="10"/>
  <c r="C444" i="10"/>
  <c r="B444" i="10"/>
  <c r="A444" i="10"/>
  <c r="E443" i="10"/>
  <c r="D443" i="10"/>
  <c r="C443" i="10"/>
  <c r="B443" i="10"/>
  <c r="A443" i="10"/>
  <c r="E442" i="10"/>
  <c r="D442" i="10"/>
  <c r="C442" i="10"/>
  <c r="B442" i="10"/>
  <c r="A442" i="10"/>
  <c r="E441" i="10"/>
  <c r="D441" i="10"/>
  <c r="C441" i="10"/>
  <c r="B441" i="10"/>
  <c r="A441" i="10"/>
  <c r="E440" i="10"/>
  <c r="D440" i="10"/>
  <c r="C440" i="10"/>
  <c r="B440" i="10"/>
  <c r="A440" i="10"/>
  <c r="E439" i="10"/>
  <c r="D439" i="10"/>
  <c r="C439" i="10"/>
  <c r="B439" i="10"/>
  <c r="A439" i="10"/>
  <c r="E438" i="10"/>
  <c r="D438" i="10"/>
  <c r="C438" i="10"/>
  <c r="B438" i="10"/>
  <c r="A438" i="10"/>
  <c r="E437" i="10"/>
  <c r="D437" i="10"/>
  <c r="C437" i="10"/>
  <c r="B437" i="10"/>
  <c r="A437" i="10"/>
  <c r="E436" i="10"/>
  <c r="D436" i="10"/>
  <c r="C436" i="10"/>
  <c r="B436" i="10"/>
  <c r="A436" i="10"/>
  <c r="E435" i="10"/>
  <c r="D435" i="10"/>
  <c r="C435" i="10"/>
  <c r="B435" i="10"/>
  <c r="A435" i="10"/>
  <c r="E434" i="10"/>
  <c r="D434" i="10"/>
  <c r="C434" i="10"/>
  <c r="B434" i="10"/>
  <c r="A434" i="10"/>
  <c r="E433" i="10"/>
  <c r="D433" i="10"/>
  <c r="C433" i="10"/>
  <c r="B433" i="10"/>
  <c r="A433" i="10"/>
  <c r="E432" i="10"/>
  <c r="D432" i="10"/>
  <c r="C432" i="10"/>
  <c r="B432" i="10"/>
  <c r="A432" i="10"/>
  <c r="E431" i="10"/>
  <c r="D431" i="10"/>
  <c r="C431" i="10"/>
  <c r="B431" i="10"/>
  <c r="A431" i="10"/>
  <c r="E430" i="10"/>
  <c r="D430" i="10"/>
  <c r="C430" i="10"/>
  <c r="B430" i="10"/>
  <c r="A430" i="10"/>
  <c r="E429" i="10"/>
  <c r="D429" i="10"/>
  <c r="C429" i="10"/>
  <c r="B429" i="10"/>
  <c r="A429" i="10"/>
  <c r="E428" i="10"/>
  <c r="D428" i="10"/>
  <c r="C428" i="10"/>
  <c r="B428" i="10"/>
  <c r="A428" i="10"/>
  <c r="E427" i="10"/>
  <c r="D427" i="10"/>
  <c r="C427" i="10"/>
  <c r="B427" i="10"/>
  <c r="A427" i="10"/>
  <c r="E426" i="10"/>
  <c r="D426" i="10"/>
  <c r="C426" i="10"/>
  <c r="B426" i="10"/>
  <c r="A426" i="10"/>
  <c r="E425" i="10"/>
  <c r="D425" i="10"/>
  <c r="C425" i="10"/>
  <c r="B425" i="10"/>
  <c r="A425" i="10"/>
  <c r="E424" i="10"/>
  <c r="D424" i="10"/>
  <c r="C424" i="10"/>
  <c r="B424" i="10"/>
  <c r="A424" i="10"/>
  <c r="E423" i="10"/>
  <c r="D423" i="10"/>
  <c r="C423" i="10"/>
  <c r="B423" i="10"/>
  <c r="A423" i="10"/>
  <c r="E422" i="10"/>
  <c r="D422" i="10"/>
  <c r="C422" i="10"/>
  <c r="B422" i="10"/>
  <c r="A422" i="10"/>
  <c r="E421" i="10"/>
  <c r="D421" i="10"/>
  <c r="C421" i="10"/>
  <c r="B421" i="10"/>
  <c r="A421" i="10"/>
  <c r="E420" i="10"/>
  <c r="D420" i="10"/>
  <c r="C420" i="10"/>
  <c r="B420" i="10"/>
  <c r="A420" i="10"/>
  <c r="E419" i="10"/>
  <c r="D419" i="10"/>
  <c r="C419" i="10"/>
  <c r="B419" i="10"/>
  <c r="A419" i="10"/>
  <c r="E418" i="10"/>
  <c r="D418" i="10"/>
  <c r="C418" i="10"/>
  <c r="B418" i="10"/>
  <c r="A418" i="10"/>
  <c r="E417" i="10"/>
  <c r="D417" i="10"/>
  <c r="C417" i="10"/>
  <c r="B417" i="10"/>
  <c r="A417" i="10"/>
  <c r="E416" i="10"/>
  <c r="D416" i="10"/>
  <c r="C416" i="10"/>
  <c r="B416" i="10"/>
  <c r="A416" i="10"/>
  <c r="E415" i="10"/>
  <c r="D415" i="10"/>
  <c r="C415" i="10"/>
  <c r="B415" i="10"/>
  <c r="A415" i="10"/>
  <c r="E414" i="10"/>
  <c r="D414" i="10"/>
  <c r="C414" i="10"/>
  <c r="B414" i="10"/>
  <c r="A414" i="10"/>
  <c r="E413" i="10"/>
  <c r="D413" i="10"/>
  <c r="C413" i="10"/>
  <c r="B413" i="10"/>
  <c r="A413" i="10"/>
  <c r="E412" i="10"/>
  <c r="D412" i="10"/>
  <c r="C412" i="10"/>
  <c r="B412" i="10"/>
  <c r="A412" i="10"/>
  <c r="E411" i="10"/>
  <c r="D411" i="10"/>
  <c r="C411" i="10"/>
  <c r="B411" i="10"/>
  <c r="A411" i="10"/>
  <c r="E410" i="10"/>
  <c r="D410" i="10"/>
  <c r="C410" i="10"/>
  <c r="B410" i="10"/>
  <c r="A410" i="10"/>
  <c r="E409" i="10"/>
  <c r="D409" i="10"/>
  <c r="C409" i="10"/>
  <c r="B409" i="10"/>
  <c r="A409" i="10"/>
  <c r="E408" i="10"/>
  <c r="D408" i="10"/>
  <c r="C408" i="10"/>
  <c r="B408" i="10"/>
  <c r="A408" i="10"/>
  <c r="E407" i="10"/>
  <c r="D407" i="10"/>
  <c r="C407" i="10"/>
  <c r="B407" i="10"/>
  <c r="A407" i="10"/>
  <c r="E406" i="10"/>
  <c r="D406" i="10"/>
  <c r="C406" i="10"/>
  <c r="B406" i="10"/>
  <c r="A406" i="10"/>
  <c r="E405" i="10"/>
  <c r="D405" i="10"/>
  <c r="C405" i="10"/>
  <c r="B405" i="10"/>
  <c r="A405" i="10"/>
  <c r="E404" i="10"/>
  <c r="D404" i="10"/>
  <c r="C404" i="10"/>
  <c r="B404" i="10"/>
  <c r="A404" i="10"/>
  <c r="E403" i="10"/>
  <c r="D403" i="10"/>
  <c r="C403" i="10"/>
  <c r="B403" i="10"/>
  <c r="A403" i="10"/>
  <c r="E402" i="10"/>
  <c r="D402" i="10"/>
  <c r="C402" i="10"/>
  <c r="B402" i="10"/>
  <c r="A402" i="10"/>
  <c r="E401" i="10"/>
  <c r="D401" i="10"/>
  <c r="C401" i="10"/>
  <c r="B401" i="10"/>
  <c r="A401" i="10"/>
  <c r="E400" i="10"/>
  <c r="D400" i="10"/>
  <c r="C400" i="10"/>
  <c r="B400" i="10"/>
  <c r="A400" i="10"/>
  <c r="E399" i="10"/>
  <c r="D399" i="10"/>
  <c r="C399" i="10"/>
  <c r="B399" i="10"/>
  <c r="A399" i="10"/>
  <c r="E398" i="10"/>
  <c r="D398" i="10"/>
  <c r="C398" i="10"/>
  <c r="B398" i="10"/>
  <c r="A398" i="10"/>
  <c r="E397" i="10"/>
  <c r="D397" i="10"/>
  <c r="C397" i="10"/>
  <c r="B397" i="10"/>
  <c r="A397" i="10"/>
  <c r="E396" i="10"/>
  <c r="D396" i="10"/>
  <c r="C396" i="10"/>
  <c r="B396" i="10"/>
  <c r="A396" i="10"/>
  <c r="E395" i="10"/>
  <c r="D395" i="10"/>
  <c r="C395" i="10"/>
  <c r="B395" i="10"/>
  <c r="A395" i="10"/>
  <c r="E394" i="10"/>
  <c r="D394" i="10"/>
  <c r="C394" i="10"/>
  <c r="B394" i="10"/>
  <c r="A394" i="10"/>
  <c r="E393" i="10"/>
  <c r="D393" i="10"/>
  <c r="C393" i="10"/>
  <c r="B393" i="10"/>
  <c r="A393" i="10"/>
  <c r="E392" i="10"/>
  <c r="D392" i="10"/>
  <c r="C392" i="10"/>
  <c r="B392" i="10"/>
  <c r="A392" i="10"/>
  <c r="E391" i="10"/>
  <c r="D391" i="10"/>
  <c r="C391" i="10"/>
  <c r="B391" i="10"/>
  <c r="A391" i="10"/>
  <c r="E390" i="10"/>
  <c r="D390" i="10"/>
  <c r="C390" i="10"/>
  <c r="B390" i="10"/>
  <c r="A390" i="10"/>
  <c r="E389" i="10"/>
  <c r="D389" i="10"/>
  <c r="C389" i="10"/>
  <c r="B389" i="10"/>
  <c r="A389" i="10"/>
  <c r="E388" i="10"/>
  <c r="D388" i="10"/>
  <c r="C388" i="10"/>
  <c r="B388" i="10"/>
  <c r="A388" i="10"/>
  <c r="E387" i="10"/>
  <c r="D387" i="10"/>
  <c r="C387" i="10"/>
  <c r="B387" i="10"/>
  <c r="A387" i="10"/>
  <c r="E386" i="10"/>
  <c r="D386" i="10"/>
  <c r="C386" i="10"/>
  <c r="B386" i="10"/>
  <c r="A386" i="10"/>
  <c r="E385" i="10"/>
  <c r="D385" i="10"/>
  <c r="C385" i="10"/>
  <c r="B385" i="10"/>
  <c r="A385" i="10"/>
  <c r="E384" i="10"/>
  <c r="D384" i="10"/>
  <c r="C384" i="10"/>
  <c r="B384" i="10"/>
  <c r="A384" i="10"/>
  <c r="E383" i="10"/>
  <c r="D383" i="10"/>
  <c r="C383" i="10"/>
  <c r="B383" i="10"/>
  <c r="A383" i="10"/>
  <c r="E382" i="10"/>
  <c r="D382" i="10"/>
  <c r="C382" i="10"/>
  <c r="B382" i="10"/>
  <c r="A382" i="10"/>
  <c r="E381" i="10"/>
  <c r="D381" i="10"/>
  <c r="C381" i="10"/>
  <c r="B381" i="10"/>
  <c r="A381" i="10"/>
  <c r="E380" i="10"/>
  <c r="D380" i="10"/>
  <c r="C380" i="10"/>
  <c r="B380" i="10"/>
  <c r="A380" i="10"/>
  <c r="E379" i="10"/>
  <c r="D379" i="10"/>
  <c r="C379" i="10"/>
  <c r="B379" i="10"/>
  <c r="A379" i="10"/>
  <c r="E378" i="10"/>
  <c r="D378" i="10"/>
  <c r="C378" i="10"/>
  <c r="B378" i="10"/>
  <c r="A378" i="10"/>
  <c r="E377" i="10"/>
  <c r="D377" i="10"/>
  <c r="C377" i="10"/>
  <c r="B377" i="10"/>
  <c r="A377" i="10"/>
  <c r="E376" i="10"/>
  <c r="D376" i="10"/>
  <c r="C376" i="10"/>
  <c r="B376" i="10"/>
  <c r="A376" i="10"/>
  <c r="E375" i="10"/>
  <c r="D375" i="10"/>
  <c r="C375" i="10"/>
  <c r="B375" i="10"/>
  <c r="A375" i="10"/>
  <c r="E374" i="10"/>
  <c r="D374" i="10"/>
  <c r="C374" i="10"/>
  <c r="B374" i="10"/>
  <c r="A374" i="10"/>
  <c r="E373" i="10"/>
  <c r="D373" i="10"/>
  <c r="C373" i="10"/>
  <c r="B373" i="10"/>
  <c r="A373" i="10"/>
  <c r="E372" i="10"/>
  <c r="D372" i="10"/>
  <c r="C372" i="10"/>
  <c r="B372" i="10"/>
  <c r="A372" i="10"/>
  <c r="E371" i="10"/>
  <c r="D371" i="10"/>
  <c r="C371" i="10"/>
  <c r="B371" i="10"/>
  <c r="A371" i="10"/>
  <c r="E370" i="10"/>
  <c r="D370" i="10"/>
  <c r="C370" i="10"/>
  <c r="B370" i="10"/>
  <c r="A370" i="10"/>
  <c r="E369" i="10"/>
  <c r="D369" i="10"/>
  <c r="C369" i="10"/>
  <c r="B369" i="10"/>
  <c r="A369" i="10"/>
  <c r="E368" i="10"/>
  <c r="D368" i="10"/>
  <c r="C368" i="10"/>
  <c r="B368" i="10"/>
  <c r="A368" i="10"/>
  <c r="E367" i="10"/>
  <c r="D367" i="10"/>
  <c r="C367" i="10"/>
  <c r="B367" i="10"/>
  <c r="A367" i="10"/>
  <c r="E366" i="10"/>
  <c r="D366" i="10"/>
  <c r="C366" i="10"/>
  <c r="B366" i="10"/>
  <c r="A366" i="10"/>
  <c r="E365" i="10"/>
  <c r="D365" i="10"/>
  <c r="C365" i="10"/>
  <c r="B365" i="10"/>
  <c r="A365" i="10"/>
  <c r="E364" i="10"/>
  <c r="D364" i="10"/>
  <c r="C364" i="10"/>
  <c r="B364" i="10"/>
  <c r="A364" i="10"/>
  <c r="E363" i="10"/>
  <c r="D363" i="10"/>
  <c r="C363" i="10"/>
  <c r="B363" i="10"/>
  <c r="A363" i="10"/>
  <c r="E362" i="10"/>
  <c r="D362" i="10"/>
  <c r="C362" i="10"/>
  <c r="B362" i="10"/>
  <c r="A362" i="10"/>
  <c r="E361" i="10"/>
  <c r="D361" i="10"/>
  <c r="C361" i="10"/>
  <c r="B361" i="10"/>
  <c r="A361" i="10"/>
  <c r="E360" i="10"/>
  <c r="D360" i="10"/>
  <c r="C360" i="10"/>
  <c r="B360" i="10"/>
  <c r="A360" i="10"/>
  <c r="E359" i="10"/>
  <c r="D359" i="10"/>
  <c r="C359" i="10"/>
  <c r="B359" i="10"/>
  <c r="A359" i="10"/>
  <c r="E358" i="10"/>
  <c r="D358" i="10"/>
  <c r="C358" i="10"/>
  <c r="B358" i="10"/>
  <c r="A358" i="10"/>
  <c r="E357" i="10"/>
  <c r="D357" i="10"/>
  <c r="C357" i="10"/>
  <c r="B357" i="10"/>
  <c r="A357" i="10"/>
  <c r="E356" i="10"/>
  <c r="D356" i="10"/>
  <c r="C356" i="10"/>
  <c r="B356" i="10"/>
  <c r="A356" i="10"/>
  <c r="E355" i="10"/>
  <c r="D355" i="10"/>
  <c r="C355" i="10"/>
  <c r="B355" i="10"/>
  <c r="A355" i="10"/>
  <c r="E354" i="10"/>
  <c r="D354" i="10"/>
  <c r="C354" i="10"/>
  <c r="B354" i="10"/>
  <c r="A354" i="10"/>
  <c r="E353" i="10"/>
  <c r="D353" i="10"/>
  <c r="C353" i="10"/>
  <c r="B353" i="10"/>
  <c r="A353" i="10"/>
  <c r="E352" i="10"/>
  <c r="D352" i="10"/>
  <c r="C352" i="10"/>
  <c r="B352" i="10"/>
  <c r="A352" i="10"/>
  <c r="E351" i="10"/>
  <c r="D351" i="10"/>
  <c r="C351" i="10"/>
  <c r="B351" i="10"/>
  <c r="A351" i="10"/>
  <c r="E350" i="10"/>
  <c r="D350" i="10"/>
  <c r="C350" i="10"/>
  <c r="B350" i="10"/>
  <c r="A350" i="10"/>
  <c r="E349" i="10"/>
  <c r="D349" i="10"/>
  <c r="C349" i="10"/>
  <c r="B349" i="10"/>
  <c r="A349" i="10"/>
  <c r="E348" i="10"/>
  <c r="D348" i="10"/>
  <c r="C348" i="10"/>
  <c r="B348" i="10"/>
  <c r="A348" i="10"/>
  <c r="E347" i="10"/>
  <c r="D347" i="10"/>
  <c r="C347" i="10"/>
  <c r="B347" i="10"/>
  <c r="A347" i="10"/>
  <c r="E346" i="10"/>
  <c r="D346" i="10"/>
  <c r="C346" i="10"/>
  <c r="B346" i="10"/>
  <c r="A346" i="10"/>
  <c r="E345" i="10"/>
  <c r="D345" i="10"/>
  <c r="C345" i="10"/>
  <c r="B345" i="10"/>
  <c r="A345" i="10"/>
  <c r="E344" i="10"/>
  <c r="D344" i="10"/>
  <c r="C344" i="10"/>
  <c r="B344" i="10"/>
  <c r="A344" i="10"/>
  <c r="E343" i="10"/>
  <c r="D343" i="10"/>
  <c r="C343" i="10"/>
  <c r="B343" i="10"/>
  <c r="A343" i="10"/>
  <c r="E342" i="10"/>
  <c r="D342" i="10"/>
  <c r="C342" i="10"/>
  <c r="B342" i="10"/>
  <c r="A342" i="10"/>
  <c r="E341" i="10"/>
  <c r="D341" i="10"/>
  <c r="C341" i="10"/>
  <c r="B341" i="10"/>
  <c r="A341" i="10"/>
  <c r="E340" i="10"/>
  <c r="D340" i="10"/>
  <c r="C340" i="10"/>
  <c r="B340" i="10"/>
  <c r="A340" i="10"/>
  <c r="E339" i="10"/>
  <c r="D339" i="10"/>
  <c r="C339" i="10"/>
  <c r="B339" i="10"/>
  <c r="A339" i="10"/>
  <c r="E338" i="10"/>
  <c r="D338" i="10"/>
  <c r="C338" i="10"/>
  <c r="B338" i="10"/>
  <c r="A338" i="10"/>
  <c r="E337" i="10"/>
  <c r="D337" i="10"/>
  <c r="C337" i="10"/>
  <c r="B337" i="10"/>
  <c r="A337" i="10"/>
  <c r="E336" i="10"/>
  <c r="D336" i="10"/>
  <c r="C336" i="10"/>
  <c r="B336" i="10"/>
  <c r="A336" i="10"/>
  <c r="E335" i="10"/>
  <c r="D335" i="10"/>
  <c r="C335" i="10"/>
  <c r="B335" i="10"/>
  <c r="A335" i="10"/>
  <c r="E334" i="10"/>
  <c r="D334" i="10"/>
  <c r="C334" i="10"/>
  <c r="B334" i="10"/>
  <c r="A334" i="10"/>
  <c r="E333" i="10"/>
  <c r="D333" i="10"/>
  <c r="C333" i="10"/>
  <c r="B333" i="10"/>
  <c r="A333" i="10"/>
  <c r="E332" i="10"/>
  <c r="D332" i="10"/>
  <c r="C332" i="10"/>
  <c r="B332" i="10"/>
  <c r="A332" i="10"/>
  <c r="E331" i="10"/>
  <c r="D331" i="10"/>
  <c r="C331" i="10"/>
  <c r="B331" i="10"/>
  <c r="A331" i="10"/>
  <c r="E330" i="10"/>
  <c r="D330" i="10"/>
  <c r="C330" i="10"/>
  <c r="B330" i="10"/>
  <c r="A330" i="10"/>
  <c r="E329" i="10"/>
  <c r="D329" i="10"/>
  <c r="C329" i="10"/>
  <c r="B329" i="10"/>
  <c r="A329" i="10"/>
  <c r="E328" i="10"/>
  <c r="D328" i="10"/>
  <c r="C328" i="10"/>
  <c r="B328" i="10"/>
  <c r="A328" i="10"/>
  <c r="E327" i="10"/>
  <c r="D327" i="10"/>
  <c r="C327" i="10"/>
  <c r="B327" i="10"/>
  <c r="A327" i="10"/>
  <c r="E326" i="10"/>
  <c r="D326" i="10"/>
  <c r="C326" i="10"/>
  <c r="B326" i="10"/>
  <c r="A326" i="10"/>
  <c r="E325" i="10"/>
  <c r="D325" i="10"/>
  <c r="C325" i="10"/>
  <c r="B325" i="10"/>
  <c r="A325" i="10"/>
  <c r="E324" i="10"/>
  <c r="D324" i="10"/>
  <c r="C324" i="10"/>
  <c r="B324" i="10"/>
  <c r="A324" i="10"/>
  <c r="E323" i="10"/>
  <c r="D323" i="10"/>
  <c r="C323" i="10"/>
  <c r="B323" i="10"/>
  <c r="A323" i="10"/>
  <c r="E322" i="10"/>
  <c r="D322" i="10"/>
  <c r="C322" i="10"/>
  <c r="B322" i="10"/>
  <c r="A322" i="10"/>
  <c r="E321" i="10"/>
  <c r="D321" i="10"/>
  <c r="C321" i="10"/>
  <c r="B321" i="10"/>
  <c r="A321" i="10"/>
  <c r="E320" i="10"/>
  <c r="D320" i="10"/>
  <c r="C320" i="10"/>
  <c r="B320" i="10"/>
  <c r="A320" i="10"/>
  <c r="E319" i="10"/>
  <c r="D319" i="10"/>
  <c r="C319" i="10"/>
  <c r="B319" i="10"/>
  <c r="A319" i="10"/>
  <c r="E318" i="10"/>
  <c r="D318" i="10"/>
  <c r="C318" i="10"/>
  <c r="B318" i="10"/>
  <c r="A318" i="10"/>
  <c r="E317" i="10"/>
  <c r="D317" i="10"/>
  <c r="C317" i="10"/>
  <c r="B317" i="10"/>
  <c r="A317" i="10"/>
  <c r="E316" i="10"/>
  <c r="D316" i="10"/>
  <c r="C316" i="10"/>
  <c r="B316" i="10"/>
  <c r="A316" i="10"/>
  <c r="E315" i="10"/>
  <c r="D315" i="10"/>
  <c r="C315" i="10"/>
  <c r="B315" i="10"/>
  <c r="A315" i="10"/>
  <c r="E314" i="10"/>
  <c r="D314" i="10"/>
  <c r="C314" i="10"/>
  <c r="B314" i="10"/>
  <c r="A314" i="10"/>
  <c r="E313" i="10"/>
  <c r="D313" i="10"/>
  <c r="C313" i="10"/>
  <c r="B313" i="10"/>
  <c r="A313" i="10"/>
  <c r="E312" i="10"/>
  <c r="D312" i="10"/>
  <c r="C312" i="10"/>
  <c r="B312" i="10"/>
  <c r="A312" i="10"/>
  <c r="E311" i="10"/>
  <c r="D311" i="10"/>
  <c r="C311" i="10"/>
  <c r="B311" i="10"/>
  <c r="A311" i="10"/>
  <c r="E310" i="10"/>
  <c r="D310" i="10"/>
  <c r="C310" i="10"/>
  <c r="B310" i="10"/>
  <c r="A310" i="10"/>
  <c r="E309" i="10"/>
  <c r="D309" i="10"/>
  <c r="C309" i="10"/>
  <c r="B309" i="10"/>
  <c r="A309" i="10"/>
  <c r="E308" i="10"/>
  <c r="D308" i="10"/>
  <c r="C308" i="10"/>
  <c r="B308" i="10"/>
  <c r="A308" i="10"/>
  <c r="E307" i="10"/>
  <c r="D307" i="10"/>
  <c r="C307" i="10"/>
  <c r="B307" i="10"/>
  <c r="A307" i="10"/>
  <c r="E306" i="10"/>
  <c r="D306" i="10"/>
  <c r="C306" i="10"/>
  <c r="B306" i="10"/>
  <c r="A306" i="10"/>
  <c r="E305" i="10"/>
  <c r="D305" i="10"/>
  <c r="C305" i="10"/>
  <c r="B305" i="10"/>
  <c r="A305" i="10"/>
  <c r="E304" i="10"/>
  <c r="D304" i="10"/>
  <c r="C304" i="10"/>
  <c r="B304" i="10"/>
  <c r="A304" i="10"/>
  <c r="E303" i="10"/>
  <c r="D303" i="10"/>
  <c r="C303" i="10"/>
  <c r="B303" i="10"/>
  <c r="A303" i="10"/>
  <c r="E302" i="10"/>
  <c r="D302" i="10"/>
  <c r="C302" i="10"/>
  <c r="B302" i="10"/>
  <c r="A302" i="10"/>
  <c r="E301" i="10"/>
  <c r="D301" i="10"/>
  <c r="C301" i="10"/>
  <c r="B301" i="10"/>
  <c r="A301" i="10"/>
  <c r="E300" i="10"/>
  <c r="D300" i="10"/>
  <c r="C300" i="10"/>
  <c r="B300" i="10"/>
  <c r="A300" i="10"/>
  <c r="E299" i="10"/>
  <c r="D299" i="10"/>
  <c r="C299" i="10"/>
  <c r="B299" i="10"/>
  <c r="A299" i="10"/>
  <c r="E298" i="10"/>
  <c r="D298" i="10"/>
  <c r="C298" i="10"/>
  <c r="B298" i="10"/>
  <c r="A298" i="10"/>
  <c r="E297" i="10"/>
  <c r="D297" i="10"/>
  <c r="C297" i="10"/>
  <c r="B297" i="10"/>
  <c r="A297" i="10"/>
  <c r="E296" i="10"/>
  <c r="D296" i="10"/>
  <c r="C296" i="10"/>
  <c r="B296" i="10"/>
  <c r="A296" i="10"/>
  <c r="E295" i="10"/>
  <c r="D295" i="10"/>
  <c r="C295" i="10"/>
  <c r="B295" i="10"/>
  <c r="A295" i="10"/>
  <c r="E294" i="10"/>
  <c r="D294" i="10"/>
  <c r="C294" i="10"/>
  <c r="B294" i="10"/>
  <c r="A294" i="10"/>
  <c r="E293" i="10"/>
  <c r="D293" i="10"/>
  <c r="C293" i="10"/>
  <c r="B293" i="10"/>
  <c r="A293" i="10"/>
  <c r="E292" i="10"/>
  <c r="D292" i="10"/>
  <c r="C292" i="10"/>
  <c r="B292" i="10"/>
  <c r="A292" i="10"/>
  <c r="E291" i="10"/>
  <c r="D291" i="10"/>
  <c r="C291" i="10"/>
  <c r="B291" i="10"/>
  <c r="A291" i="10"/>
  <c r="E290" i="10"/>
  <c r="D290" i="10"/>
  <c r="C290" i="10"/>
  <c r="B290" i="10"/>
  <c r="A290" i="10"/>
  <c r="E289" i="10"/>
  <c r="D289" i="10"/>
  <c r="C289" i="10"/>
  <c r="B289" i="10"/>
  <c r="A289" i="10"/>
  <c r="E288" i="10"/>
  <c r="D288" i="10"/>
  <c r="C288" i="10"/>
  <c r="B288" i="10"/>
  <c r="A288" i="10"/>
  <c r="E287" i="10"/>
  <c r="D287" i="10"/>
  <c r="C287" i="10"/>
  <c r="B287" i="10"/>
  <c r="A287" i="10"/>
  <c r="E286" i="10"/>
  <c r="D286" i="10"/>
  <c r="C286" i="10"/>
  <c r="B286" i="10"/>
  <c r="A286" i="10"/>
  <c r="E285" i="10"/>
  <c r="D285" i="10"/>
  <c r="C285" i="10"/>
  <c r="B285" i="10"/>
  <c r="A285" i="10"/>
  <c r="E284" i="10"/>
  <c r="D284" i="10"/>
  <c r="C284" i="10"/>
  <c r="B284" i="10"/>
  <c r="A284" i="10"/>
  <c r="E283" i="10"/>
  <c r="D283" i="10"/>
  <c r="C283" i="10"/>
  <c r="B283" i="10"/>
  <c r="A283" i="10"/>
  <c r="E282" i="10"/>
  <c r="D282" i="10"/>
  <c r="C282" i="10"/>
  <c r="B282" i="10"/>
  <c r="A282" i="10"/>
  <c r="E281" i="10"/>
  <c r="D281" i="10"/>
  <c r="C281" i="10"/>
  <c r="B281" i="10"/>
  <c r="A281" i="10"/>
  <c r="E280" i="10"/>
  <c r="D280" i="10"/>
  <c r="C280" i="10"/>
  <c r="B280" i="10"/>
  <c r="A280" i="10"/>
  <c r="E279" i="10"/>
  <c r="D279" i="10"/>
  <c r="C279" i="10"/>
  <c r="B279" i="10"/>
  <c r="A279" i="10"/>
  <c r="E278" i="10"/>
  <c r="D278" i="10"/>
  <c r="C278" i="10"/>
  <c r="B278" i="10"/>
  <c r="A278" i="10"/>
  <c r="E277" i="10"/>
  <c r="D277" i="10"/>
  <c r="C277" i="10"/>
  <c r="B277" i="10"/>
  <c r="A277" i="10"/>
  <c r="E276" i="10"/>
  <c r="D276" i="10"/>
  <c r="C276" i="10"/>
  <c r="B276" i="10"/>
  <c r="A276" i="10"/>
  <c r="E275" i="10"/>
  <c r="D275" i="10"/>
  <c r="C275" i="10"/>
  <c r="B275" i="10"/>
  <c r="A275" i="10"/>
  <c r="E274" i="10"/>
  <c r="D274" i="10"/>
  <c r="C274" i="10"/>
  <c r="B274" i="10"/>
  <c r="A274" i="10"/>
  <c r="E273" i="10"/>
  <c r="D273" i="10"/>
  <c r="C273" i="10"/>
  <c r="B273" i="10"/>
  <c r="A273" i="10"/>
  <c r="E272" i="10"/>
  <c r="D272" i="10"/>
  <c r="C272" i="10"/>
  <c r="B272" i="10"/>
  <c r="A272" i="10"/>
  <c r="E271" i="10"/>
  <c r="D271" i="10"/>
  <c r="C271" i="10"/>
  <c r="B271" i="10"/>
  <c r="A271" i="10"/>
  <c r="E270" i="10"/>
  <c r="D270" i="10"/>
  <c r="C270" i="10"/>
  <c r="B270" i="10"/>
  <c r="A270" i="10"/>
  <c r="E269" i="10"/>
  <c r="D269" i="10"/>
  <c r="C269" i="10"/>
  <c r="B269" i="10"/>
  <c r="A269" i="10"/>
  <c r="E268" i="10"/>
  <c r="D268" i="10"/>
  <c r="C268" i="10"/>
  <c r="B268" i="10"/>
  <c r="A268" i="10"/>
  <c r="E267" i="10"/>
  <c r="D267" i="10"/>
  <c r="C267" i="10"/>
  <c r="B267" i="10"/>
  <c r="A267" i="10"/>
  <c r="E266" i="10"/>
  <c r="D266" i="10"/>
  <c r="C266" i="10"/>
  <c r="B266" i="10"/>
  <c r="A266" i="10"/>
  <c r="E265" i="10"/>
  <c r="D265" i="10"/>
  <c r="C265" i="10"/>
  <c r="B265" i="10"/>
  <c r="A265" i="10"/>
  <c r="E264" i="10"/>
  <c r="D264" i="10"/>
  <c r="C264" i="10"/>
  <c r="B264" i="10"/>
  <c r="A264" i="10"/>
  <c r="E263" i="10"/>
  <c r="D263" i="10"/>
  <c r="C263" i="10"/>
  <c r="B263" i="10"/>
  <c r="A263" i="10"/>
  <c r="E262" i="10"/>
  <c r="D262" i="10"/>
  <c r="C262" i="10"/>
  <c r="B262" i="10"/>
  <c r="A262" i="10"/>
  <c r="E261" i="10"/>
  <c r="D261" i="10"/>
  <c r="C261" i="10"/>
  <c r="B261" i="10"/>
  <c r="A261" i="10"/>
  <c r="E260" i="10"/>
  <c r="D260" i="10"/>
  <c r="C260" i="10"/>
  <c r="B260" i="10"/>
  <c r="A260" i="10"/>
  <c r="E259" i="10"/>
  <c r="D259" i="10"/>
  <c r="C259" i="10"/>
  <c r="B259" i="10"/>
  <c r="A259" i="10"/>
  <c r="E258" i="10"/>
  <c r="D258" i="10"/>
  <c r="C258" i="10"/>
  <c r="B258" i="10"/>
  <c r="A258" i="10"/>
  <c r="E257" i="10"/>
  <c r="D257" i="10"/>
  <c r="C257" i="10"/>
  <c r="B257" i="10"/>
  <c r="A257" i="10"/>
  <c r="E256" i="10"/>
  <c r="D256" i="10"/>
  <c r="C256" i="10"/>
  <c r="B256" i="10"/>
  <c r="A256" i="10"/>
  <c r="E255" i="10"/>
  <c r="D255" i="10"/>
  <c r="C255" i="10"/>
  <c r="B255" i="10"/>
  <c r="A255" i="10"/>
  <c r="E254" i="10"/>
  <c r="D254" i="10"/>
  <c r="C254" i="10"/>
  <c r="B254" i="10"/>
  <c r="A254" i="10"/>
  <c r="E253" i="10"/>
  <c r="D253" i="10"/>
  <c r="C253" i="10"/>
  <c r="B253" i="10"/>
  <c r="A253" i="10"/>
  <c r="E252" i="10"/>
  <c r="D252" i="10"/>
  <c r="C252" i="10"/>
  <c r="B252" i="10"/>
  <c r="A252" i="10"/>
  <c r="E251" i="10"/>
  <c r="D251" i="10"/>
  <c r="C251" i="10"/>
  <c r="B251" i="10"/>
  <c r="A251" i="10"/>
  <c r="E250" i="10"/>
  <c r="D250" i="10"/>
  <c r="C250" i="10"/>
  <c r="B250" i="10"/>
  <c r="A250" i="10"/>
  <c r="E249" i="10"/>
  <c r="D249" i="10"/>
  <c r="C249" i="10"/>
  <c r="B249" i="10"/>
  <c r="A249" i="10"/>
  <c r="E248" i="10"/>
  <c r="D248" i="10"/>
  <c r="C248" i="10"/>
  <c r="B248" i="10"/>
  <c r="A248" i="10"/>
  <c r="E247" i="10"/>
  <c r="D247" i="10"/>
  <c r="C247" i="10"/>
  <c r="B247" i="10"/>
  <c r="A247" i="10"/>
  <c r="E246" i="10"/>
  <c r="D246" i="10"/>
  <c r="C246" i="10"/>
  <c r="B246" i="10"/>
  <c r="A246" i="10"/>
  <c r="E245" i="10"/>
  <c r="D245" i="10"/>
  <c r="C245" i="10"/>
  <c r="B245" i="10"/>
  <c r="A245" i="10"/>
  <c r="E244" i="10"/>
  <c r="D244" i="10"/>
  <c r="C244" i="10"/>
  <c r="B244" i="10"/>
  <c r="A244" i="10"/>
  <c r="E243" i="10"/>
  <c r="D243" i="10"/>
  <c r="C243" i="10"/>
  <c r="B243" i="10"/>
  <c r="A243" i="10"/>
  <c r="E242" i="10"/>
  <c r="D242" i="10"/>
  <c r="C242" i="10"/>
  <c r="B242" i="10"/>
  <c r="A242" i="10"/>
  <c r="E241" i="10"/>
  <c r="D241" i="10"/>
  <c r="C241" i="10"/>
  <c r="B241" i="10"/>
  <c r="A241" i="10"/>
  <c r="E240" i="10"/>
  <c r="D240" i="10"/>
  <c r="C240" i="10"/>
  <c r="B240" i="10"/>
  <c r="A240" i="10"/>
  <c r="E239" i="10"/>
  <c r="D239" i="10"/>
  <c r="C239" i="10"/>
  <c r="B239" i="10"/>
  <c r="A239" i="10"/>
  <c r="E238" i="10"/>
  <c r="D238" i="10"/>
  <c r="C238" i="10"/>
  <c r="B238" i="10"/>
  <c r="A238" i="10"/>
  <c r="E237" i="10"/>
  <c r="D237" i="10"/>
  <c r="C237" i="10"/>
  <c r="B237" i="10"/>
  <c r="A237" i="10"/>
  <c r="E236" i="10"/>
  <c r="D236" i="10"/>
  <c r="C236" i="10"/>
  <c r="B236" i="10"/>
  <c r="A236" i="10"/>
  <c r="E235" i="10"/>
  <c r="D235" i="10"/>
  <c r="C235" i="10"/>
  <c r="B235" i="10"/>
  <c r="A235" i="10"/>
  <c r="E234" i="10"/>
  <c r="D234" i="10"/>
  <c r="C234" i="10"/>
  <c r="B234" i="10"/>
  <c r="A234" i="10"/>
  <c r="E233" i="10"/>
  <c r="D233" i="10"/>
  <c r="C233" i="10"/>
  <c r="B233" i="10"/>
  <c r="A233" i="10"/>
  <c r="E232" i="10"/>
  <c r="D232" i="10"/>
  <c r="C232" i="10"/>
  <c r="B232" i="10"/>
  <c r="A232" i="10"/>
  <c r="E231" i="10"/>
  <c r="D231" i="10"/>
  <c r="C231" i="10"/>
  <c r="B231" i="10"/>
  <c r="A231" i="10"/>
  <c r="E230" i="10"/>
  <c r="D230" i="10"/>
  <c r="C230" i="10"/>
  <c r="B230" i="10"/>
  <c r="A230" i="10"/>
  <c r="E229" i="10"/>
  <c r="D229" i="10"/>
  <c r="C229" i="10"/>
  <c r="B229" i="10"/>
  <c r="A229" i="10"/>
  <c r="E228" i="10"/>
  <c r="D228" i="10"/>
  <c r="C228" i="10"/>
  <c r="B228" i="10"/>
  <c r="A228" i="10"/>
  <c r="E227" i="10"/>
  <c r="D227" i="10"/>
  <c r="C227" i="10"/>
  <c r="B227" i="10"/>
  <c r="A227" i="10"/>
  <c r="E226" i="10"/>
  <c r="D226" i="10"/>
  <c r="C226" i="10"/>
  <c r="B226" i="10"/>
  <c r="A226" i="10"/>
  <c r="E225" i="10"/>
  <c r="D225" i="10"/>
  <c r="C225" i="10"/>
  <c r="B225" i="10"/>
  <c r="A225" i="10"/>
  <c r="E224" i="10"/>
  <c r="D224" i="10"/>
  <c r="C224" i="10"/>
  <c r="B224" i="10"/>
  <c r="A224" i="10"/>
  <c r="E223" i="10"/>
  <c r="D223" i="10"/>
  <c r="C223" i="10"/>
  <c r="B223" i="10"/>
  <c r="A223" i="10"/>
  <c r="E222" i="10"/>
  <c r="D222" i="10"/>
  <c r="C222" i="10"/>
  <c r="B222" i="10"/>
  <c r="A222" i="10"/>
  <c r="E221" i="10"/>
  <c r="D221" i="10"/>
  <c r="C221" i="10"/>
  <c r="B221" i="10"/>
  <c r="A221" i="10"/>
  <c r="E220" i="10"/>
  <c r="D220" i="10"/>
  <c r="C220" i="10"/>
  <c r="B220" i="10"/>
  <c r="A220" i="10"/>
  <c r="E219" i="10"/>
  <c r="D219" i="10"/>
  <c r="C219" i="10"/>
  <c r="B219" i="10"/>
  <c r="A219" i="10"/>
  <c r="E218" i="10"/>
  <c r="D218" i="10"/>
  <c r="C218" i="10"/>
  <c r="B218" i="10"/>
  <c r="A218" i="10"/>
  <c r="E217" i="10"/>
  <c r="D217" i="10"/>
  <c r="C217" i="10"/>
  <c r="B217" i="10"/>
  <c r="A217" i="10"/>
  <c r="E216" i="10"/>
  <c r="D216" i="10"/>
  <c r="C216" i="10"/>
  <c r="B216" i="10"/>
  <c r="A216" i="10"/>
  <c r="E215" i="10"/>
  <c r="D215" i="10"/>
  <c r="C215" i="10"/>
  <c r="B215" i="10"/>
  <c r="A215" i="10"/>
  <c r="E214" i="10"/>
  <c r="D214" i="10"/>
  <c r="C214" i="10"/>
  <c r="B214" i="10"/>
  <c r="A214" i="10"/>
  <c r="E213" i="10"/>
  <c r="D213" i="10"/>
  <c r="C213" i="10"/>
  <c r="B213" i="10"/>
  <c r="A213" i="10"/>
  <c r="E212" i="10"/>
  <c r="D212" i="10"/>
  <c r="C212" i="10"/>
  <c r="B212" i="10"/>
  <c r="A212" i="10"/>
  <c r="E211" i="10"/>
  <c r="D211" i="10"/>
  <c r="C211" i="10"/>
  <c r="B211" i="10"/>
  <c r="A211" i="10"/>
  <c r="E210" i="10"/>
  <c r="D210" i="10"/>
  <c r="C210" i="10"/>
  <c r="B210" i="10"/>
  <c r="A210" i="10"/>
  <c r="E209" i="10"/>
  <c r="D209" i="10"/>
  <c r="C209" i="10"/>
  <c r="B209" i="10"/>
  <c r="A209" i="10"/>
  <c r="E208" i="10"/>
  <c r="D208" i="10"/>
  <c r="C208" i="10"/>
  <c r="B208" i="10"/>
  <c r="A208" i="10"/>
  <c r="E207" i="10"/>
  <c r="D207" i="10"/>
  <c r="C207" i="10"/>
  <c r="B207" i="10"/>
  <c r="A207" i="10"/>
  <c r="E206" i="10"/>
  <c r="D206" i="10"/>
  <c r="C206" i="10"/>
  <c r="B206" i="10"/>
  <c r="A206" i="10"/>
  <c r="E205" i="10"/>
  <c r="D205" i="10"/>
  <c r="C205" i="10"/>
  <c r="B205" i="10"/>
  <c r="A205" i="10"/>
  <c r="E204" i="10"/>
  <c r="D204" i="10"/>
  <c r="C204" i="10"/>
  <c r="B204" i="10"/>
  <c r="A204" i="10"/>
  <c r="E203" i="10"/>
  <c r="D203" i="10"/>
  <c r="C203" i="10"/>
  <c r="B203" i="10"/>
  <c r="A203" i="10"/>
  <c r="E202" i="10"/>
  <c r="D202" i="10"/>
  <c r="C202" i="10"/>
  <c r="B202" i="10"/>
  <c r="A202" i="10"/>
  <c r="E201" i="10"/>
  <c r="D201" i="10"/>
  <c r="C201" i="10"/>
  <c r="B201" i="10"/>
  <c r="A201" i="10"/>
  <c r="E200" i="10"/>
  <c r="D200" i="10"/>
  <c r="C200" i="10"/>
  <c r="B200" i="10"/>
  <c r="A200" i="10"/>
  <c r="E199" i="10"/>
  <c r="D199" i="10"/>
  <c r="C199" i="10"/>
  <c r="B199" i="10"/>
  <c r="A199" i="10"/>
  <c r="E198" i="10"/>
  <c r="D198" i="10"/>
  <c r="C198" i="10"/>
  <c r="B198" i="10"/>
  <c r="A198" i="10"/>
  <c r="E197" i="10"/>
  <c r="D197" i="10"/>
  <c r="C197" i="10"/>
  <c r="B197" i="10"/>
  <c r="A197" i="10"/>
  <c r="E196" i="10"/>
  <c r="D196" i="10"/>
  <c r="C196" i="10"/>
  <c r="B196" i="10"/>
  <c r="A196" i="10"/>
  <c r="E195" i="10"/>
  <c r="D195" i="10"/>
  <c r="C195" i="10"/>
  <c r="B195" i="10"/>
  <c r="A195" i="10"/>
  <c r="E194" i="10"/>
  <c r="D194" i="10"/>
  <c r="C194" i="10"/>
  <c r="B194" i="10"/>
  <c r="A194" i="10"/>
  <c r="E193" i="10"/>
  <c r="D193" i="10"/>
  <c r="C193" i="10"/>
  <c r="B193" i="10"/>
  <c r="A193" i="10"/>
  <c r="E192" i="10"/>
  <c r="D192" i="10"/>
  <c r="C192" i="10"/>
  <c r="B192" i="10"/>
  <c r="A192" i="10"/>
  <c r="E191" i="10"/>
  <c r="D191" i="10"/>
  <c r="C191" i="10"/>
  <c r="B191" i="10"/>
  <c r="A191" i="10"/>
  <c r="E190" i="10"/>
  <c r="D190" i="10"/>
  <c r="C190" i="10"/>
  <c r="B190" i="10"/>
  <c r="A190" i="10"/>
  <c r="E189" i="10"/>
  <c r="D189" i="10"/>
  <c r="C189" i="10"/>
  <c r="B189" i="10"/>
  <c r="A189" i="10"/>
  <c r="E188" i="10"/>
  <c r="D188" i="10"/>
  <c r="C188" i="10"/>
  <c r="B188" i="10"/>
  <c r="A188" i="10"/>
  <c r="E187" i="10"/>
  <c r="D187" i="10"/>
  <c r="C187" i="10"/>
  <c r="B187" i="10"/>
  <c r="A187" i="10"/>
  <c r="E186" i="10"/>
  <c r="D186" i="10"/>
  <c r="C186" i="10"/>
  <c r="B186" i="10"/>
  <c r="A186" i="10"/>
  <c r="E185" i="10"/>
  <c r="D185" i="10"/>
  <c r="C185" i="10"/>
  <c r="B185" i="10"/>
  <c r="A185" i="10"/>
  <c r="E184" i="10"/>
  <c r="D184" i="10"/>
  <c r="C184" i="10"/>
  <c r="B184" i="10"/>
  <c r="A184" i="10"/>
  <c r="E183" i="10"/>
  <c r="D183" i="10"/>
  <c r="C183" i="10"/>
  <c r="B183" i="10"/>
  <c r="A183" i="10"/>
  <c r="E182" i="10"/>
  <c r="D182" i="10"/>
  <c r="C182" i="10"/>
  <c r="B182" i="10"/>
  <c r="A182" i="10"/>
  <c r="E181" i="10"/>
  <c r="D181" i="10"/>
  <c r="C181" i="10"/>
  <c r="B181" i="10"/>
  <c r="A181" i="10"/>
  <c r="E180" i="10"/>
  <c r="D180" i="10"/>
  <c r="C180" i="10"/>
  <c r="B180" i="10"/>
  <c r="A180" i="10"/>
  <c r="E179" i="10"/>
  <c r="D179" i="10"/>
  <c r="C179" i="10"/>
  <c r="B179" i="10"/>
  <c r="A179" i="10"/>
  <c r="E178" i="10"/>
  <c r="D178" i="10"/>
  <c r="C178" i="10"/>
  <c r="B178" i="10"/>
  <c r="A178" i="10"/>
  <c r="E177" i="10"/>
  <c r="D177" i="10"/>
  <c r="C177" i="10"/>
  <c r="B177" i="10"/>
  <c r="A177" i="10"/>
  <c r="E176" i="10"/>
  <c r="D176" i="10"/>
  <c r="C176" i="10"/>
  <c r="B176" i="10"/>
  <c r="A176" i="10"/>
  <c r="E175" i="10"/>
  <c r="D175" i="10"/>
  <c r="C175" i="10"/>
  <c r="B175" i="10"/>
  <c r="A175" i="10"/>
  <c r="E174" i="10"/>
  <c r="D174" i="10"/>
  <c r="C174" i="10"/>
  <c r="B174" i="10"/>
  <c r="A174" i="10"/>
  <c r="E173" i="10"/>
  <c r="D173" i="10"/>
  <c r="C173" i="10"/>
  <c r="B173" i="10"/>
  <c r="A173" i="10"/>
  <c r="E172" i="10"/>
  <c r="D172" i="10"/>
  <c r="C172" i="10"/>
  <c r="B172" i="10"/>
  <c r="A172" i="10"/>
  <c r="E171" i="10"/>
  <c r="D171" i="10"/>
  <c r="C171" i="10"/>
  <c r="B171" i="10"/>
  <c r="A171" i="10"/>
  <c r="E170" i="10"/>
  <c r="D170" i="10"/>
  <c r="C170" i="10"/>
  <c r="B170" i="10"/>
  <c r="A170" i="10"/>
  <c r="E169" i="10"/>
  <c r="D169" i="10"/>
  <c r="C169" i="10"/>
  <c r="B169" i="10"/>
  <c r="A169" i="10"/>
  <c r="E168" i="10"/>
  <c r="D168" i="10"/>
  <c r="C168" i="10"/>
  <c r="B168" i="10"/>
  <c r="A168" i="10"/>
  <c r="E167" i="10"/>
  <c r="D167" i="10"/>
  <c r="C167" i="10"/>
  <c r="B167" i="10"/>
  <c r="A167" i="10"/>
  <c r="E166" i="10"/>
  <c r="D166" i="10"/>
  <c r="C166" i="10"/>
  <c r="B166" i="10"/>
  <c r="A166" i="10"/>
  <c r="E165" i="10"/>
  <c r="D165" i="10"/>
  <c r="C165" i="10"/>
  <c r="B165" i="10"/>
  <c r="A165" i="10"/>
  <c r="E164" i="10"/>
  <c r="D164" i="10"/>
  <c r="C164" i="10"/>
  <c r="B164" i="10"/>
  <c r="A164" i="10"/>
  <c r="E163" i="10"/>
  <c r="D163" i="10"/>
  <c r="C163" i="10"/>
  <c r="B163" i="10"/>
  <c r="A163" i="10"/>
  <c r="E162" i="10"/>
  <c r="D162" i="10"/>
  <c r="C162" i="10"/>
  <c r="B162" i="10"/>
  <c r="A162" i="10"/>
  <c r="E161" i="10"/>
  <c r="D161" i="10"/>
  <c r="C161" i="10"/>
  <c r="B161" i="10"/>
  <c r="A161" i="10"/>
  <c r="E160" i="10"/>
  <c r="D160" i="10"/>
  <c r="C160" i="10"/>
  <c r="B160" i="10"/>
  <c r="A160" i="10"/>
  <c r="E159" i="10"/>
  <c r="D159" i="10"/>
  <c r="C159" i="10"/>
  <c r="B159" i="10"/>
  <c r="A159" i="10"/>
  <c r="E158" i="10"/>
  <c r="D158" i="10"/>
  <c r="C158" i="10"/>
  <c r="B158" i="10"/>
  <c r="A158" i="10"/>
  <c r="E157" i="10"/>
  <c r="D157" i="10"/>
  <c r="C157" i="10"/>
  <c r="B157" i="10"/>
  <c r="A157" i="10"/>
  <c r="E156" i="10"/>
  <c r="D156" i="10"/>
  <c r="C156" i="10"/>
  <c r="B156" i="10"/>
  <c r="A156" i="10"/>
  <c r="E155" i="10"/>
  <c r="D155" i="10"/>
  <c r="C155" i="10"/>
  <c r="B155" i="10"/>
  <c r="A155" i="10"/>
  <c r="E154" i="10"/>
  <c r="D154" i="10"/>
  <c r="C154" i="10"/>
  <c r="B154" i="10"/>
  <c r="A154" i="10"/>
  <c r="E153" i="10"/>
  <c r="D153" i="10"/>
  <c r="C153" i="10"/>
  <c r="B153" i="10"/>
  <c r="A153" i="10"/>
  <c r="E152" i="10"/>
  <c r="D152" i="10"/>
  <c r="C152" i="10"/>
  <c r="B152" i="10"/>
  <c r="A152" i="10"/>
  <c r="E151" i="10"/>
  <c r="D151" i="10"/>
  <c r="C151" i="10"/>
  <c r="B151" i="10"/>
  <c r="A151" i="10"/>
  <c r="E150" i="10"/>
  <c r="D150" i="10"/>
  <c r="C150" i="10"/>
  <c r="B150" i="10"/>
  <c r="A150" i="10"/>
  <c r="E149" i="10"/>
  <c r="D149" i="10"/>
  <c r="C149" i="10"/>
  <c r="B149" i="10"/>
  <c r="A149" i="10"/>
  <c r="E148" i="10"/>
  <c r="D148" i="10"/>
  <c r="C148" i="10"/>
  <c r="B148" i="10"/>
  <c r="A148" i="10"/>
  <c r="E147" i="10"/>
  <c r="D147" i="10"/>
  <c r="C147" i="10"/>
  <c r="B147" i="10"/>
  <c r="A147" i="10"/>
  <c r="E146" i="10"/>
  <c r="D146" i="10"/>
  <c r="C146" i="10"/>
  <c r="B146" i="10"/>
  <c r="A146" i="10"/>
  <c r="E145" i="10"/>
  <c r="D145" i="10"/>
  <c r="C145" i="10"/>
  <c r="B145" i="10"/>
  <c r="A145" i="10"/>
  <c r="E144" i="10"/>
  <c r="D144" i="10"/>
  <c r="C144" i="10"/>
  <c r="B144" i="10"/>
  <c r="A144" i="10"/>
  <c r="E143" i="10"/>
  <c r="D143" i="10"/>
  <c r="C143" i="10"/>
  <c r="B143" i="10"/>
  <c r="A143" i="10"/>
  <c r="E142" i="10"/>
  <c r="D142" i="10"/>
  <c r="C142" i="10"/>
  <c r="B142" i="10"/>
  <c r="A142" i="10"/>
  <c r="E141" i="10"/>
  <c r="D141" i="10"/>
  <c r="C141" i="10"/>
  <c r="B141" i="10"/>
  <c r="A141" i="10"/>
  <c r="E140" i="10"/>
  <c r="D140" i="10"/>
  <c r="C140" i="10"/>
  <c r="B140" i="10"/>
  <c r="A140" i="10"/>
  <c r="E139" i="10"/>
  <c r="D139" i="10"/>
  <c r="C139" i="10"/>
  <c r="B139" i="10"/>
  <c r="A139" i="10"/>
  <c r="E138" i="10"/>
  <c r="D138" i="10"/>
  <c r="C138" i="10"/>
  <c r="B138" i="10"/>
  <c r="A138" i="10"/>
  <c r="E137" i="10"/>
  <c r="D137" i="10"/>
  <c r="C137" i="10"/>
  <c r="B137" i="10"/>
  <c r="A137" i="10"/>
  <c r="E136" i="10"/>
  <c r="D136" i="10"/>
  <c r="C136" i="10"/>
  <c r="B136" i="10"/>
  <c r="A136" i="10"/>
  <c r="E135" i="10"/>
  <c r="D135" i="10"/>
  <c r="C135" i="10"/>
  <c r="B135" i="10"/>
  <c r="A135" i="10"/>
  <c r="E134" i="10"/>
  <c r="D134" i="10"/>
  <c r="C134" i="10"/>
  <c r="B134" i="10"/>
  <c r="A134" i="10"/>
  <c r="E133" i="10"/>
  <c r="D133" i="10"/>
  <c r="C133" i="10"/>
  <c r="B133" i="10"/>
  <c r="A133" i="10"/>
  <c r="E132" i="10"/>
  <c r="D132" i="10"/>
  <c r="C132" i="10"/>
  <c r="B132" i="10"/>
  <c r="A132" i="10"/>
  <c r="E131" i="10"/>
  <c r="D131" i="10"/>
  <c r="C131" i="10"/>
  <c r="B131" i="10"/>
  <c r="A131" i="10"/>
  <c r="E130" i="10"/>
  <c r="D130" i="10"/>
  <c r="C130" i="10"/>
  <c r="B130" i="10"/>
  <c r="A130" i="10"/>
  <c r="E129" i="10"/>
  <c r="D129" i="10"/>
  <c r="C129" i="10"/>
  <c r="B129" i="10"/>
  <c r="A129" i="10"/>
  <c r="E128" i="10"/>
  <c r="D128" i="10"/>
  <c r="C128" i="10"/>
  <c r="B128" i="10"/>
  <c r="A128" i="10"/>
  <c r="E127" i="10"/>
  <c r="D127" i="10"/>
  <c r="C127" i="10"/>
  <c r="B127" i="10"/>
  <c r="A127" i="10"/>
  <c r="E126" i="10"/>
  <c r="D126" i="10"/>
  <c r="C126" i="10"/>
  <c r="B126" i="10"/>
  <c r="A126" i="10"/>
  <c r="E125" i="10"/>
  <c r="D125" i="10"/>
  <c r="C125" i="10"/>
  <c r="B125" i="10"/>
  <c r="A125" i="10"/>
  <c r="E124" i="10"/>
  <c r="D124" i="10"/>
  <c r="C124" i="10"/>
  <c r="B124" i="10"/>
  <c r="A124" i="10"/>
  <c r="E123" i="10"/>
  <c r="D123" i="10"/>
  <c r="C123" i="10"/>
  <c r="B123" i="10"/>
  <c r="A123" i="10"/>
  <c r="E122" i="10"/>
  <c r="D122" i="10"/>
  <c r="C122" i="10"/>
  <c r="B122" i="10"/>
  <c r="A122" i="10"/>
  <c r="E121" i="10"/>
  <c r="D121" i="10"/>
  <c r="C121" i="10"/>
  <c r="B121" i="10"/>
  <c r="A121" i="10"/>
  <c r="E120" i="10"/>
  <c r="D120" i="10"/>
  <c r="C120" i="10"/>
  <c r="B120" i="10"/>
  <c r="A120" i="10"/>
  <c r="E119" i="10"/>
  <c r="D119" i="10"/>
  <c r="C119" i="10"/>
  <c r="B119" i="10"/>
  <c r="A119" i="10"/>
  <c r="E118" i="10"/>
  <c r="D118" i="10"/>
  <c r="C118" i="10"/>
  <c r="B118" i="10"/>
  <c r="A118" i="10"/>
  <c r="E117" i="10"/>
  <c r="D117" i="10"/>
  <c r="C117" i="10"/>
  <c r="B117" i="10"/>
  <c r="A117" i="10"/>
  <c r="E116" i="10"/>
  <c r="D116" i="10"/>
  <c r="C116" i="10"/>
  <c r="B116" i="10"/>
  <c r="A116" i="10"/>
  <c r="E115" i="10"/>
  <c r="D115" i="10"/>
  <c r="C115" i="10"/>
  <c r="B115" i="10"/>
  <c r="A115" i="10"/>
  <c r="E114" i="10"/>
  <c r="D114" i="10"/>
  <c r="C114" i="10"/>
  <c r="B114" i="10"/>
  <c r="A114" i="10"/>
  <c r="E113" i="10"/>
  <c r="D113" i="10"/>
  <c r="C113" i="10"/>
  <c r="B113" i="10"/>
  <c r="A113" i="10"/>
  <c r="E112" i="10"/>
  <c r="D112" i="10"/>
  <c r="C112" i="10"/>
  <c r="B112" i="10"/>
  <c r="A112" i="10"/>
  <c r="E111" i="10"/>
  <c r="D111" i="10"/>
  <c r="C111" i="10"/>
  <c r="B111" i="10"/>
  <c r="A111" i="10"/>
  <c r="E110" i="10"/>
  <c r="D110" i="10"/>
  <c r="C110" i="10"/>
  <c r="B110" i="10"/>
  <c r="A110" i="10"/>
  <c r="E109" i="10"/>
  <c r="D109" i="10"/>
  <c r="C109" i="10"/>
  <c r="B109" i="10"/>
  <c r="A109" i="10"/>
  <c r="E108" i="10"/>
  <c r="D108" i="10"/>
  <c r="C108" i="10"/>
  <c r="B108" i="10"/>
  <c r="A108" i="10"/>
  <c r="E107" i="10"/>
  <c r="D107" i="10"/>
  <c r="C107" i="10"/>
  <c r="B107" i="10"/>
  <c r="A107" i="10"/>
  <c r="E106" i="10"/>
  <c r="D106" i="10"/>
  <c r="C106" i="10"/>
  <c r="B106" i="10"/>
  <c r="A106" i="10"/>
  <c r="E105" i="10"/>
  <c r="D105" i="10"/>
  <c r="C105" i="10"/>
  <c r="B105" i="10"/>
  <c r="A105" i="10"/>
  <c r="E104" i="10"/>
  <c r="D104" i="10"/>
  <c r="C104" i="10"/>
  <c r="B104" i="10"/>
  <c r="A104" i="10"/>
  <c r="E103" i="10"/>
  <c r="D103" i="10"/>
  <c r="C103" i="10"/>
  <c r="B103" i="10"/>
  <c r="A103" i="10"/>
  <c r="E102" i="10"/>
  <c r="D102" i="10"/>
  <c r="C102" i="10"/>
  <c r="B102" i="10"/>
  <c r="A102" i="10"/>
  <c r="E101" i="10"/>
  <c r="D101" i="10"/>
  <c r="C101" i="10"/>
  <c r="B101" i="10"/>
  <c r="A101" i="10"/>
  <c r="E100" i="10"/>
  <c r="D100" i="10"/>
  <c r="C100" i="10"/>
  <c r="B100" i="10"/>
  <c r="A100" i="10"/>
  <c r="E99" i="10"/>
  <c r="D99" i="10"/>
  <c r="C99" i="10"/>
  <c r="B99" i="10"/>
  <c r="A99" i="10"/>
  <c r="E98" i="10"/>
  <c r="D98" i="10"/>
  <c r="C98" i="10"/>
  <c r="B98" i="10"/>
  <c r="A98" i="10"/>
  <c r="E97" i="10"/>
  <c r="D97" i="10"/>
  <c r="C97" i="10"/>
  <c r="B97" i="10"/>
  <c r="A97" i="10"/>
  <c r="E96" i="10"/>
  <c r="D96" i="10"/>
  <c r="C96" i="10"/>
  <c r="B96" i="10"/>
  <c r="A96" i="10"/>
  <c r="E95" i="10"/>
  <c r="D95" i="10"/>
  <c r="C95" i="10"/>
  <c r="B95" i="10"/>
  <c r="A95" i="10"/>
  <c r="E94" i="10"/>
  <c r="D94" i="10"/>
  <c r="C94" i="10"/>
  <c r="B94" i="10"/>
  <c r="A94" i="10"/>
  <c r="E93" i="10"/>
  <c r="D93" i="10"/>
  <c r="C93" i="10"/>
  <c r="B93" i="10"/>
  <c r="A93" i="10"/>
  <c r="E92" i="10"/>
  <c r="D92" i="10"/>
  <c r="C92" i="10"/>
  <c r="B92" i="10"/>
  <c r="A92" i="10"/>
  <c r="E91" i="10"/>
  <c r="D91" i="10"/>
  <c r="C91" i="10"/>
  <c r="B91" i="10"/>
  <c r="A91" i="10"/>
  <c r="E90" i="10"/>
  <c r="D90" i="10"/>
  <c r="C90" i="10"/>
  <c r="B90" i="10"/>
  <c r="A90" i="10"/>
  <c r="E89" i="10"/>
  <c r="D89" i="10"/>
  <c r="C89" i="10"/>
  <c r="B89" i="10"/>
  <c r="A89" i="10"/>
  <c r="E88" i="10"/>
  <c r="D88" i="10"/>
  <c r="C88" i="10"/>
  <c r="B88" i="10"/>
  <c r="A88" i="10"/>
  <c r="E87" i="10"/>
  <c r="D87" i="10"/>
  <c r="C87" i="10"/>
  <c r="B87" i="10"/>
  <c r="A87" i="10"/>
  <c r="E86" i="10"/>
  <c r="D86" i="10"/>
  <c r="C86" i="10"/>
  <c r="B86" i="10"/>
  <c r="A86" i="10"/>
  <c r="E85" i="10"/>
  <c r="D85" i="10"/>
  <c r="C85" i="10"/>
  <c r="B85" i="10"/>
  <c r="A85" i="10"/>
  <c r="E84" i="10"/>
  <c r="D84" i="10"/>
  <c r="C84" i="10"/>
  <c r="B84" i="10"/>
  <c r="A84" i="10"/>
  <c r="E83" i="10"/>
  <c r="D83" i="10"/>
  <c r="C83" i="10"/>
  <c r="B83" i="10"/>
  <c r="A83" i="10"/>
  <c r="E82" i="10"/>
  <c r="D82" i="10"/>
  <c r="C82" i="10"/>
  <c r="B82" i="10"/>
  <c r="A82" i="10"/>
  <c r="E81" i="10"/>
  <c r="D81" i="10"/>
  <c r="C81" i="10"/>
  <c r="B81" i="10"/>
  <c r="A81" i="10"/>
  <c r="E80" i="10"/>
  <c r="D80" i="10"/>
  <c r="C80" i="10"/>
  <c r="B80" i="10"/>
  <c r="A80" i="10"/>
  <c r="E79" i="10"/>
  <c r="D79" i="10"/>
  <c r="C79" i="10"/>
  <c r="B79" i="10"/>
  <c r="A79" i="10"/>
  <c r="E78" i="10"/>
  <c r="D78" i="10"/>
  <c r="C78" i="10"/>
  <c r="B78" i="10"/>
  <c r="A78" i="10"/>
  <c r="E77" i="10"/>
  <c r="D77" i="10"/>
  <c r="C77" i="10"/>
  <c r="B77" i="10"/>
  <c r="A77" i="10"/>
  <c r="E76" i="10"/>
  <c r="D76" i="10"/>
  <c r="C76" i="10"/>
  <c r="B76" i="10"/>
  <c r="A76" i="10"/>
  <c r="E75" i="10"/>
  <c r="D75" i="10"/>
  <c r="C75" i="10"/>
  <c r="B75" i="10"/>
  <c r="A75" i="10"/>
  <c r="E74" i="10"/>
  <c r="D74" i="10"/>
  <c r="C74" i="10"/>
  <c r="B74" i="10"/>
  <c r="A74" i="10"/>
  <c r="E73" i="10"/>
  <c r="D73" i="10"/>
  <c r="C73" i="10"/>
  <c r="B73" i="10"/>
  <c r="A73" i="10"/>
  <c r="E72" i="10"/>
  <c r="D72" i="10"/>
  <c r="C72" i="10"/>
  <c r="B72" i="10"/>
  <c r="A72" i="10"/>
  <c r="E71" i="10"/>
  <c r="D71" i="10"/>
  <c r="C71" i="10"/>
  <c r="B71" i="10"/>
  <c r="A71" i="10"/>
  <c r="E70" i="10"/>
  <c r="D70" i="10"/>
  <c r="C70" i="10"/>
  <c r="B70" i="10"/>
  <c r="A70" i="10"/>
  <c r="E69" i="10"/>
  <c r="D69" i="10"/>
  <c r="C69" i="10"/>
  <c r="B69" i="10"/>
  <c r="A69" i="10"/>
  <c r="E68" i="10"/>
  <c r="D68" i="10"/>
  <c r="C68" i="10"/>
  <c r="B68" i="10"/>
  <c r="A68" i="10"/>
  <c r="E67" i="10"/>
  <c r="D67" i="10"/>
  <c r="C67" i="10"/>
  <c r="B67" i="10"/>
  <c r="A67" i="10"/>
  <c r="E66" i="10"/>
  <c r="D66" i="10"/>
  <c r="C66" i="10"/>
  <c r="B66" i="10"/>
  <c r="A66" i="10"/>
  <c r="E65" i="10"/>
  <c r="D65" i="10"/>
  <c r="C65" i="10"/>
  <c r="B65" i="10"/>
  <c r="A65" i="10"/>
  <c r="E64" i="10"/>
  <c r="D64" i="10"/>
  <c r="C64" i="10"/>
  <c r="B64" i="10"/>
  <c r="A64" i="10"/>
  <c r="E63" i="10"/>
  <c r="D63" i="10"/>
  <c r="C63" i="10"/>
  <c r="B63" i="10"/>
  <c r="A63" i="10"/>
  <c r="E62" i="10"/>
  <c r="D62" i="10"/>
  <c r="C62" i="10"/>
  <c r="B62" i="10"/>
  <c r="A62" i="10"/>
  <c r="E61" i="10"/>
  <c r="D61" i="10"/>
  <c r="C61" i="10"/>
  <c r="B61" i="10"/>
  <c r="A61" i="10"/>
  <c r="E60" i="10"/>
  <c r="D60" i="10"/>
  <c r="C60" i="10"/>
  <c r="B60" i="10"/>
  <c r="A60" i="10"/>
  <c r="E59" i="10"/>
  <c r="D59" i="10"/>
  <c r="C59" i="10"/>
  <c r="B59" i="10"/>
  <c r="A59" i="10"/>
  <c r="E58" i="10"/>
  <c r="D58" i="10"/>
  <c r="C58" i="10"/>
  <c r="B58" i="10"/>
  <c r="A58" i="10"/>
  <c r="E57" i="10"/>
  <c r="D57" i="10"/>
  <c r="C57" i="10"/>
  <c r="B57" i="10"/>
  <c r="A57" i="10"/>
  <c r="E56" i="10"/>
  <c r="D56" i="10"/>
  <c r="C56" i="10"/>
  <c r="B56" i="10"/>
  <c r="A56" i="10"/>
  <c r="E55" i="10"/>
  <c r="D55" i="10"/>
  <c r="C55" i="10"/>
  <c r="B55" i="10"/>
  <c r="A55" i="10"/>
  <c r="E54" i="10"/>
  <c r="D54" i="10"/>
  <c r="C54" i="10"/>
  <c r="B54" i="10"/>
  <c r="A54" i="10"/>
  <c r="E53" i="10"/>
  <c r="D53" i="10"/>
  <c r="C53" i="10"/>
  <c r="B53" i="10"/>
  <c r="A53" i="10"/>
  <c r="E52" i="10"/>
  <c r="D52" i="10"/>
  <c r="C52" i="10"/>
  <c r="B52" i="10"/>
  <c r="A52" i="10"/>
  <c r="E51" i="10"/>
  <c r="D51" i="10"/>
  <c r="C51" i="10"/>
  <c r="B51" i="10"/>
  <c r="A51" i="10"/>
  <c r="E50" i="10"/>
  <c r="D50" i="10"/>
  <c r="C50" i="10"/>
  <c r="B50" i="10"/>
  <c r="A50" i="10"/>
  <c r="E49" i="10"/>
  <c r="D49" i="10"/>
  <c r="C49" i="10"/>
  <c r="B49" i="10"/>
  <c r="A49" i="10"/>
  <c r="E48" i="10"/>
  <c r="D48" i="10"/>
  <c r="C48" i="10"/>
  <c r="B48" i="10"/>
  <c r="A48" i="10"/>
  <c r="E47" i="10"/>
  <c r="D47" i="10"/>
  <c r="C47" i="10"/>
  <c r="B47" i="10"/>
  <c r="A47" i="10"/>
  <c r="E46" i="10"/>
  <c r="D46" i="10"/>
  <c r="C46" i="10"/>
  <c r="B46" i="10"/>
  <c r="A46" i="10"/>
  <c r="E45" i="10"/>
  <c r="D45" i="10"/>
  <c r="C45" i="10"/>
  <c r="B45" i="10"/>
  <c r="A45" i="10"/>
  <c r="E44" i="10"/>
  <c r="D44" i="10"/>
  <c r="C44" i="10"/>
  <c r="B44" i="10"/>
  <c r="A44" i="10"/>
  <c r="E43" i="10"/>
  <c r="D43" i="10"/>
  <c r="C43" i="10"/>
  <c r="B43" i="10"/>
  <c r="A43" i="10"/>
  <c r="E42" i="10"/>
  <c r="D42" i="10"/>
  <c r="C42" i="10"/>
  <c r="B42" i="10"/>
  <c r="A42" i="10"/>
  <c r="E41" i="10"/>
  <c r="D41" i="10"/>
  <c r="C41" i="10"/>
  <c r="B41" i="10"/>
  <c r="A41" i="10"/>
  <c r="E40" i="10"/>
  <c r="D40" i="10"/>
  <c r="C40" i="10"/>
  <c r="B40" i="10"/>
  <c r="A40" i="10"/>
  <c r="E39" i="10"/>
  <c r="D39" i="10"/>
  <c r="C39" i="10"/>
  <c r="B39" i="10"/>
  <c r="A39" i="10"/>
  <c r="E38" i="10"/>
  <c r="D38" i="10"/>
  <c r="C38" i="10"/>
  <c r="B38" i="10"/>
  <c r="A38" i="10"/>
  <c r="E37" i="10"/>
  <c r="D37" i="10"/>
  <c r="C37" i="10"/>
  <c r="B37" i="10"/>
  <c r="A37" i="10"/>
  <c r="E36" i="10"/>
  <c r="D36" i="10"/>
  <c r="C36" i="10"/>
  <c r="B36" i="10"/>
  <c r="A36" i="10"/>
  <c r="E35" i="10"/>
  <c r="D35" i="10"/>
  <c r="C35" i="10"/>
  <c r="B35" i="10"/>
  <c r="A35" i="10"/>
  <c r="E34" i="10"/>
  <c r="D34" i="10"/>
  <c r="C34" i="10"/>
  <c r="B34" i="10"/>
  <c r="A34" i="10"/>
  <c r="E33" i="10"/>
  <c r="D33" i="10"/>
  <c r="C33" i="10"/>
  <c r="B33" i="10"/>
  <c r="A33" i="10"/>
  <c r="E32" i="10"/>
  <c r="D32" i="10"/>
  <c r="C32" i="10"/>
  <c r="B32" i="10"/>
  <c r="A32" i="10"/>
  <c r="E31" i="10"/>
  <c r="D31" i="10"/>
  <c r="C31" i="10"/>
  <c r="B31" i="10"/>
  <c r="A31" i="10"/>
  <c r="E30" i="10"/>
  <c r="D30" i="10"/>
  <c r="C30" i="10"/>
  <c r="B30" i="10"/>
  <c r="A30" i="10"/>
  <c r="E29" i="10"/>
  <c r="D29" i="10"/>
  <c r="C29" i="10"/>
  <c r="B29" i="10"/>
  <c r="A29" i="10"/>
  <c r="E28" i="10"/>
  <c r="D28" i="10"/>
  <c r="C28" i="10"/>
  <c r="B28" i="10"/>
  <c r="A28" i="10"/>
  <c r="E27" i="10"/>
  <c r="D27" i="10"/>
  <c r="C27" i="10"/>
  <c r="B27" i="10"/>
  <c r="A27" i="10"/>
  <c r="E26" i="10"/>
  <c r="D26" i="10"/>
  <c r="C26" i="10"/>
  <c r="B26" i="10"/>
  <c r="A26" i="10"/>
  <c r="E25" i="10"/>
  <c r="D25" i="10"/>
  <c r="C25" i="10"/>
  <c r="B25" i="10"/>
  <c r="A25" i="10"/>
  <c r="E24" i="10"/>
  <c r="D24" i="10"/>
  <c r="C24" i="10"/>
  <c r="B24" i="10"/>
  <c r="A24" i="10"/>
  <c r="E23" i="10"/>
  <c r="D23" i="10"/>
  <c r="C23" i="10"/>
  <c r="B23" i="10"/>
  <c r="A23" i="10"/>
  <c r="E22" i="10"/>
  <c r="D22" i="10"/>
  <c r="C22" i="10"/>
  <c r="B22" i="10"/>
  <c r="A22" i="10"/>
  <c r="E21" i="10"/>
  <c r="D21" i="10"/>
  <c r="C21" i="10"/>
  <c r="B21" i="10"/>
  <c r="A21" i="10"/>
  <c r="E20" i="10"/>
  <c r="D20" i="10"/>
  <c r="C20" i="10"/>
  <c r="B20" i="10"/>
  <c r="A20" i="10"/>
  <c r="E19" i="10"/>
  <c r="D19" i="10"/>
  <c r="C19" i="10"/>
  <c r="B19" i="10"/>
  <c r="A19" i="10"/>
  <c r="E18" i="10"/>
  <c r="D18" i="10"/>
  <c r="C18" i="10"/>
  <c r="B18" i="10"/>
  <c r="A18" i="10"/>
  <c r="E17" i="10"/>
  <c r="D17" i="10"/>
  <c r="C17" i="10"/>
  <c r="B17" i="10"/>
  <c r="A17" i="10"/>
  <c r="E16" i="10"/>
  <c r="D16" i="10"/>
  <c r="C16" i="10"/>
  <c r="B16" i="10"/>
  <c r="A16" i="10"/>
  <c r="E15" i="10"/>
  <c r="D15" i="10"/>
  <c r="C15" i="10"/>
  <c r="B15" i="10"/>
  <c r="A15" i="10"/>
  <c r="E14" i="10"/>
  <c r="D14" i="10"/>
  <c r="C14" i="10"/>
  <c r="B14" i="10"/>
  <c r="A14" i="10"/>
  <c r="E13" i="10"/>
  <c r="D13" i="10"/>
  <c r="C13" i="10"/>
  <c r="B13" i="10"/>
  <c r="A13" i="10"/>
  <c r="E12" i="10"/>
  <c r="D12" i="10"/>
  <c r="C12" i="10"/>
  <c r="B12" i="10"/>
  <c r="A12" i="10"/>
  <c r="E11" i="10"/>
  <c r="D11" i="10"/>
  <c r="C11" i="10"/>
  <c r="B11" i="10"/>
  <c r="A11" i="10"/>
  <c r="E10" i="10"/>
  <c r="D10" i="10"/>
  <c r="C10" i="10"/>
  <c r="B10" i="10"/>
  <c r="A10" i="10"/>
  <c r="E9" i="10"/>
  <c r="D9" i="10"/>
  <c r="C9" i="10"/>
  <c r="B9" i="10"/>
  <c r="A9" i="10"/>
  <c r="E8" i="10"/>
  <c r="D8" i="10"/>
  <c r="C8" i="10"/>
  <c r="B8" i="10"/>
  <c r="A8" i="10"/>
  <c r="E7" i="10"/>
  <c r="D7" i="10"/>
  <c r="C7" i="10"/>
  <c r="B7" i="10"/>
  <c r="A7" i="10"/>
  <c r="E6" i="10"/>
  <c r="D6" i="10"/>
  <c r="C6" i="10"/>
  <c r="B6" i="10"/>
  <c r="A6" i="10"/>
  <c r="E5" i="10"/>
  <c r="D5" i="10"/>
  <c r="C5" i="10"/>
  <c r="B5" i="10"/>
  <c r="A5" i="10"/>
  <c r="E4" i="10"/>
  <c r="D4" i="10"/>
  <c r="C4" i="10"/>
  <c r="B4" i="10"/>
  <c r="A4" i="10"/>
  <c r="E3" i="10"/>
  <c r="D3" i="10"/>
  <c r="C3" i="10"/>
  <c r="B3" i="10"/>
  <c r="A3" i="10"/>
  <c r="E2" i="10"/>
  <c r="D2" i="10"/>
  <c r="C2" i="10"/>
  <c r="B2" i="10"/>
  <c r="A2" i="10"/>
  <c r="T82" i="8"/>
  <c r="S82" i="8"/>
  <c r="R82" i="8"/>
  <c r="Q82" i="8"/>
  <c r="P82" i="8"/>
  <c r="O82" i="8"/>
  <c r="N82" i="8"/>
  <c r="M82" i="8"/>
  <c r="L82" i="8"/>
  <c r="K82" i="8"/>
  <c r="J82" i="8"/>
  <c r="I82" i="8"/>
  <c r="T81" i="8"/>
  <c r="S81" i="8"/>
  <c r="R81" i="8"/>
  <c r="Q81" i="8"/>
  <c r="P81" i="8"/>
  <c r="O81" i="8"/>
  <c r="N81" i="8"/>
  <c r="M81" i="8"/>
  <c r="L81" i="8"/>
  <c r="K81" i="8"/>
  <c r="J81" i="8"/>
  <c r="I81" i="8"/>
  <c r="T80" i="8"/>
  <c r="S80" i="8"/>
  <c r="R80" i="8"/>
  <c r="Q80" i="8"/>
  <c r="P80" i="8"/>
  <c r="O80" i="8"/>
  <c r="N80" i="8"/>
  <c r="M80" i="8"/>
  <c r="L80" i="8"/>
  <c r="K80" i="8"/>
  <c r="J80" i="8"/>
  <c r="I80" i="8"/>
  <c r="T79" i="8"/>
  <c r="S79" i="8"/>
  <c r="R79" i="8"/>
  <c r="Q79" i="8"/>
  <c r="P79" i="8"/>
  <c r="O79" i="8"/>
  <c r="N79" i="8"/>
  <c r="M79" i="8"/>
  <c r="L79" i="8"/>
  <c r="K79" i="8"/>
  <c r="J79" i="8"/>
  <c r="I79" i="8"/>
  <c r="T78" i="8"/>
  <c r="S78" i="8"/>
  <c r="R78" i="8"/>
  <c r="Q78" i="8"/>
  <c r="P78" i="8"/>
  <c r="O78" i="8"/>
  <c r="N78" i="8"/>
  <c r="M78" i="8"/>
  <c r="L78" i="8"/>
  <c r="K78" i="8"/>
  <c r="J78" i="8"/>
  <c r="I78" i="8"/>
  <c r="T77" i="8"/>
  <c r="S77" i="8"/>
  <c r="R77" i="8"/>
  <c r="Q77" i="8"/>
  <c r="P77" i="8"/>
  <c r="O77" i="8"/>
  <c r="N77" i="8"/>
  <c r="M77" i="8"/>
  <c r="L77" i="8"/>
  <c r="K77" i="8"/>
  <c r="J77" i="8"/>
  <c r="I77" i="8"/>
  <c r="T76" i="8"/>
  <c r="S76" i="8"/>
  <c r="R76" i="8"/>
  <c r="Q76" i="8"/>
  <c r="P76" i="8"/>
  <c r="O76" i="8"/>
  <c r="N76" i="8"/>
  <c r="M76" i="8"/>
  <c r="L76" i="8"/>
  <c r="K76" i="8"/>
  <c r="J76" i="8"/>
  <c r="I76" i="8"/>
  <c r="T75" i="8"/>
  <c r="S75" i="8"/>
  <c r="R75" i="8"/>
  <c r="Q75" i="8"/>
  <c r="P75" i="8"/>
  <c r="O75" i="8"/>
  <c r="N75" i="8"/>
  <c r="M75" i="8"/>
  <c r="L75" i="8"/>
  <c r="K75" i="8"/>
  <c r="J75" i="8"/>
  <c r="I75" i="8"/>
  <c r="T74" i="8"/>
  <c r="S74" i="8"/>
  <c r="R74" i="8"/>
  <c r="Q74" i="8"/>
  <c r="P74" i="8"/>
  <c r="O74" i="8"/>
  <c r="N74" i="8"/>
  <c r="M74" i="8"/>
  <c r="L74" i="8"/>
  <c r="K74" i="8"/>
  <c r="J74" i="8"/>
  <c r="I74" i="8"/>
  <c r="T73" i="8"/>
  <c r="S73" i="8"/>
  <c r="R73" i="8"/>
  <c r="Q73" i="8"/>
  <c r="P73" i="8"/>
  <c r="O73" i="8"/>
  <c r="N73" i="8"/>
  <c r="M73" i="8"/>
  <c r="L73" i="8"/>
  <c r="K73" i="8"/>
  <c r="J73" i="8"/>
  <c r="I73" i="8"/>
  <c r="T72" i="8"/>
  <c r="S72" i="8"/>
  <c r="R72" i="8"/>
  <c r="Q72" i="8"/>
  <c r="P72" i="8"/>
  <c r="O72" i="8"/>
  <c r="N72" i="8"/>
  <c r="M72" i="8"/>
  <c r="L72" i="8"/>
  <c r="K72" i="8"/>
  <c r="J72" i="8"/>
  <c r="I72" i="8"/>
  <c r="T71" i="8"/>
  <c r="S71" i="8"/>
  <c r="R71" i="8"/>
  <c r="Q71" i="8"/>
  <c r="P71" i="8"/>
  <c r="O71" i="8"/>
  <c r="N71" i="8"/>
  <c r="M71" i="8"/>
  <c r="L71" i="8"/>
  <c r="K71" i="8"/>
  <c r="J71" i="8"/>
  <c r="I71" i="8"/>
  <c r="T70" i="8"/>
  <c r="S70" i="8"/>
  <c r="R70" i="8"/>
  <c r="Q70" i="8"/>
  <c r="P70" i="8"/>
  <c r="O70" i="8"/>
  <c r="N70" i="8"/>
  <c r="M70" i="8"/>
  <c r="L70" i="8"/>
  <c r="K70" i="8"/>
  <c r="J70" i="8"/>
  <c r="I70" i="8"/>
  <c r="T69" i="8"/>
  <c r="S69" i="8"/>
  <c r="R69" i="8"/>
  <c r="Q69" i="8"/>
  <c r="P69" i="8"/>
  <c r="O69" i="8"/>
  <c r="N69" i="8"/>
  <c r="M69" i="8"/>
  <c r="L69" i="8"/>
  <c r="K69" i="8"/>
  <c r="J69" i="8"/>
  <c r="I69" i="8"/>
  <c r="T68" i="8"/>
  <c r="S68" i="8"/>
  <c r="R68" i="8"/>
  <c r="Q68" i="8"/>
  <c r="P68" i="8"/>
  <c r="O68" i="8"/>
  <c r="N68" i="8"/>
  <c r="M68" i="8"/>
  <c r="L68" i="8"/>
  <c r="K68" i="8"/>
  <c r="J68" i="8"/>
  <c r="I68" i="8"/>
  <c r="T67" i="8"/>
  <c r="S67" i="8"/>
  <c r="R67" i="8"/>
  <c r="Q67" i="8"/>
  <c r="P67" i="8"/>
  <c r="O67" i="8"/>
  <c r="N67" i="8"/>
  <c r="M67" i="8"/>
  <c r="L67" i="8"/>
  <c r="K67" i="8"/>
  <c r="J67" i="8"/>
  <c r="I67" i="8"/>
  <c r="T66" i="8"/>
  <c r="S66" i="8"/>
  <c r="R66" i="8"/>
  <c r="Q66" i="8"/>
  <c r="P66" i="8"/>
  <c r="O66" i="8"/>
  <c r="N66" i="8"/>
  <c r="M66" i="8"/>
  <c r="L66" i="8"/>
  <c r="K66" i="8"/>
  <c r="J66" i="8"/>
  <c r="I66" i="8"/>
  <c r="T65" i="8"/>
  <c r="S65" i="8"/>
  <c r="R65" i="8"/>
  <c r="Q65" i="8"/>
  <c r="P65" i="8"/>
  <c r="O65" i="8"/>
  <c r="N65" i="8"/>
  <c r="M65" i="8"/>
  <c r="L65" i="8"/>
  <c r="K65" i="8"/>
  <c r="J65" i="8"/>
  <c r="I65" i="8"/>
  <c r="T64" i="8"/>
  <c r="S64" i="8"/>
  <c r="R64" i="8"/>
  <c r="Q64" i="8"/>
  <c r="P64" i="8"/>
  <c r="O64" i="8"/>
  <c r="N64" i="8"/>
  <c r="M64" i="8"/>
  <c r="L64" i="8"/>
  <c r="K64" i="8"/>
  <c r="J64" i="8"/>
  <c r="I64" i="8"/>
  <c r="T63" i="8"/>
  <c r="S63" i="8"/>
  <c r="R63" i="8"/>
  <c r="Q63" i="8"/>
  <c r="P63" i="8"/>
  <c r="O63" i="8"/>
  <c r="N63" i="8"/>
  <c r="M63" i="8"/>
  <c r="L63" i="8"/>
  <c r="K63" i="8"/>
  <c r="J63" i="8"/>
  <c r="I63" i="8"/>
  <c r="T62" i="8"/>
  <c r="S62" i="8"/>
  <c r="R62" i="8"/>
  <c r="Q62" i="8"/>
  <c r="P62" i="8"/>
  <c r="O62" i="8"/>
  <c r="N62" i="8"/>
  <c r="M62" i="8"/>
  <c r="L62" i="8"/>
  <c r="K62" i="8"/>
  <c r="J62" i="8"/>
  <c r="I62" i="8"/>
  <c r="T61" i="8"/>
  <c r="S61" i="8"/>
  <c r="R61" i="8"/>
  <c r="Q61" i="8"/>
  <c r="P61" i="8"/>
  <c r="O61" i="8"/>
  <c r="N61" i="8"/>
  <c r="M61" i="8"/>
  <c r="L61" i="8"/>
  <c r="K61" i="8"/>
  <c r="J61" i="8"/>
  <c r="I61" i="8"/>
  <c r="T60" i="8"/>
  <c r="S60" i="8"/>
  <c r="R60" i="8"/>
  <c r="Q60" i="8"/>
  <c r="P60" i="8"/>
  <c r="O60" i="8"/>
  <c r="N60" i="8"/>
  <c r="M60" i="8"/>
  <c r="L60" i="8"/>
  <c r="K60" i="8"/>
  <c r="J60" i="8"/>
  <c r="I60" i="8"/>
  <c r="T59" i="8"/>
  <c r="S59" i="8"/>
  <c r="R59" i="8"/>
  <c r="Q59" i="8"/>
  <c r="P59" i="8"/>
  <c r="O59" i="8"/>
  <c r="N59" i="8"/>
  <c r="M59" i="8"/>
  <c r="L59" i="8"/>
  <c r="K59" i="8"/>
  <c r="J59" i="8"/>
  <c r="I59" i="8"/>
  <c r="T58" i="8"/>
  <c r="S58" i="8"/>
  <c r="R58" i="8"/>
  <c r="Q58" i="8"/>
  <c r="P58" i="8"/>
  <c r="O58" i="8"/>
  <c r="N58" i="8"/>
  <c r="M58" i="8"/>
  <c r="L58" i="8"/>
  <c r="K58" i="8"/>
  <c r="J58" i="8"/>
  <c r="I58" i="8"/>
  <c r="T57" i="8"/>
  <c r="S57" i="8"/>
  <c r="R57" i="8"/>
  <c r="Q57" i="8"/>
  <c r="P57" i="8"/>
  <c r="O57" i="8"/>
  <c r="N57" i="8"/>
  <c r="M57" i="8"/>
  <c r="L57" i="8"/>
  <c r="K57" i="8"/>
  <c r="J57" i="8"/>
  <c r="I57" i="8"/>
  <c r="T56" i="8"/>
  <c r="S56" i="8"/>
  <c r="R56" i="8"/>
  <c r="Q56" i="8"/>
  <c r="P56" i="8"/>
  <c r="O56" i="8"/>
  <c r="N56" i="8"/>
  <c r="M56" i="8"/>
  <c r="L56" i="8"/>
  <c r="K56" i="8"/>
  <c r="J56" i="8"/>
  <c r="I56" i="8"/>
  <c r="T55" i="8"/>
  <c r="S55" i="8"/>
  <c r="R55" i="8"/>
  <c r="Q55" i="8"/>
  <c r="P55" i="8"/>
  <c r="O55" i="8"/>
  <c r="N55" i="8"/>
  <c r="M55" i="8"/>
  <c r="L55" i="8"/>
  <c r="K55" i="8"/>
  <c r="J55" i="8"/>
  <c r="I55" i="8"/>
  <c r="T54" i="8"/>
  <c r="S54" i="8"/>
  <c r="R54" i="8"/>
  <c r="Q54" i="8"/>
  <c r="P54" i="8"/>
  <c r="O54" i="8"/>
  <c r="N54" i="8"/>
  <c r="M54" i="8"/>
  <c r="L54" i="8"/>
  <c r="K54" i="8"/>
  <c r="J54" i="8"/>
  <c r="I54" i="8"/>
  <c r="T53" i="8"/>
  <c r="S53" i="8"/>
  <c r="R53" i="8"/>
  <c r="Q53" i="8"/>
  <c r="P53" i="8"/>
  <c r="O53" i="8"/>
  <c r="N53" i="8"/>
  <c r="M53" i="8"/>
  <c r="L53" i="8"/>
  <c r="K53" i="8"/>
  <c r="J53" i="8"/>
  <c r="I53" i="8"/>
  <c r="T52" i="8"/>
  <c r="S52" i="8"/>
  <c r="R52" i="8"/>
  <c r="Q52" i="8"/>
  <c r="P52" i="8"/>
  <c r="O52" i="8"/>
  <c r="N52" i="8"/>
  <c r="M52" i="8"/>
  <c r="L52" i="8"/>
  <c r="K52" i="8"/>
  <c r="J52" i="8"/>
  <c r="I52" i="8"/>
  <c r="T51" i="8"/>
  <c r="S51" i="8"/>
  <c r="R51" i="8"/>
  <c r="Q51" i="8"/>
  <c r="P51" i="8"/>
  <c r="O51" i="8"/>
  <c r="N51" i="8"/>
  <c r="M51" i="8"/>
  <c r="L51" i="8"/>
  <c r="K51" i="8"/>
  <c r="J51" i="8"/>
  <c r="I51" i="8"/>
  <c r="T50" i="8"/>
  <c r="S50" i="8"/>
  <c r="R50" i="8"/>
  <c r="Q50" i="8"/>
  <c r="P50" i="8"/>
  <c r="O50" i="8"/>
  <c r="N50" i="8"/>
  <c r="M50" i="8"/>
  <c r="L50" i="8"/>
  <c r="K50" i="8"/>
  <c r="J50" i="8"/>
  <c r="I50" i="8"/>
  <c r="T49" i="8"/>
  <c r="S49" i="8"/>
  <c r="R49" i="8"/>
  <c r="Q49" i="8"/>
  <c r="P49" i="8"/>
  <c r="O49" i="8"/>
  <c r="N49" i="8"/>
  <c r="M49" i="8"/>
  <c r="L49" i="8"/>
  <c r="K49" i="8"/>
  <c r="J49" i="8"/>
  <c r="I49" i="8"/>
  <c r="T48" i="8"/>
  <c r="S48" i="8"/>
  <c r="R48" i="8"/>
  <c r="Q48" i="8"/>
  <c r="P48" i="8"/>
  <c r="O48" i="8"/>
  <c r="N48" i="8"/>
  <c r="M48" i="8"/>
  <c r="L48" i="8"/>
  <c r="K48" i="8"/>
  <c r="J48" i="8"/>
  <c r="I48" i="8"/>
  <c r="T47" i="8"/>
  <c r="S47" i="8"/>
  <c r="R47" i="8"/>
  <c r="Q47" i="8"/>
  <c r="P47" i="8"/>
  <c r="O47" i="8"/>
  <c r="N47" i="8"/>
  <c r="M47" i="8"/>
  <c r="L47" i="8"/>
  <c r="K47" i="8"/>
  <c r="J47" i="8"/>
  <c r="I47" i="8"/>
  <c r="T46" i="8"/>
  <c r="S46" i="8"/>
  <c r="R46" i="8"/>
  <c r="Q46" i="8"/>
  <c r="P46" i="8"/>
  <c r="O46" i="8"/>
  <c r="N46" i="8"/>
  <c r="M46" i="8"/>
  <c r="L46" i="8"/>
  <c r="K46" i="8"/>
  <c r="J46" i="8"/>
  <c r="I46" i="8"/>
  <c r="T45" i="8"/>
  <c r="S45" i="8"/>
  <c r="R45" i="8"/>
  <c r="Q45" i="8"/>
  <c r="P45" i="8"/>
  <c r="O45" i="8"/>
  <c r="N45" i="8"/>
  <c r="M45" i="8"/>
  <c r="L45" i="8"/>
  <c r="K45" i="8"/>
  <c r="J45" i="8"/>
  <c r="I45" i="8"/>
  <c r="T44" i="8"/>
  <c r="S44" i="8"/>
  <c r="R44" i="8"/>
  <c r="Q44" i="8"/>
  <c r="P44" i="8"/>
  <c r="O44" i="8"/>
  <c r="N44" i="8"/>
  <c r="M44" i="8"/>
  <c r="L44" i="8"/>
  <c r="K44" i="8"/>
  <c r="J44" i="8"/>
  <c r="I44" i="8"/>
  <c r="T43" i="8"/>
  <c r="S43" i="8"/>
  <c r="R43" i="8"/>
  <c r="Q43" i="8"/>
  <c r="P43" i="8"/>
  <c r="O43" i="8"/>
  <c r="N43" i="8"/>
  <c r="M43" i="8"/>
  <c r="L43" i="8"/>
  <c r="K43" i="8"/>
  <c r="J43" i="8"/>
  <c r="I43" i="8"/>
  <c r="T42" i="8"/>
  <c r="S42" i="8"/>
  <c r="R42" i="8"/>
  <c r="Q42" i="8"/>
  <c r="P42" i="8"/>
  <c r="O42" i="8"/>
  <c r="N42" i="8"/>
  <c r="M42" i="8"/>
  <c r="L42" i="8"/>
  <c r="K42" i="8"/>
  <c r="J42" i="8"/>
  <c r="I42" i="8"/>
  <c r="T41" i="8"/>
  <c r="S41" i="8"/>
  <c r="R41" i="8"/>
  <c r="Q41" i="8"/>
  <c r="P41" i="8"/>
  <c r="O41" i="8"/>
  <c r="N41" i="8"/>
  <c r="M41" i="8"/>
  <c r="L41" i="8"/>
  <c r="K41" i="8"/>
  <c r="J41" i="8"/>
  <c r="I41" i="8"/>
  <c r="T40" i="8"/>
  <c r="S40" i="8"/>
  <c r="R40" i="8"/>
  <c r="Q40" i="8"/>
  <c r="P40" i="8"/>
  <c r="O40" i="8"/>
  <c r="N40" i="8"/>
  <c r="M40" i="8"/>
  <c r="L40" i="8"/>
  <c r="K40" i="8"/>
  <c r="J40" i="8"/>
  <c r="I40" i="8"/>
  <c r="T39" i="8"/>
  <c r="S39" i="8"/>
  <c r="R39" i="8"/>
  <c r="Q39" i="8"/>
  <c r="P39" i="8"/>
  <c r="O39" i="8"/>
  <c r="N39" i="8"/>
  <c r="M39" i="8"/>
  <c r="L39" i="8"/>
  <c r="K39" i="8"/>
  <c r="J39" i="8"/>
  <c r="I39" i="8"/>
  <c r="T38" i="8"/>
  <c r="S38" i="8"/>
  <c r="R38" i="8"/>
  <c r="Q38" i="8"/>
  <c r="P38" i="8"/>
  <c r="O38" i="8"/>
  <c r="N38" i="8"/>
  <c r="M38" i="8"/>
  <c r="L38" i="8"/>
  <c r="K38" i="8"/>
  <c r="J38" i="8"/>
  <c r="I38" i="8"/>
  <c r="T37" i="8"/>
  <c r="S37" i="8"/>
  <c r="R37" i="8"/>
  <c r="Q37" i="8"/>
  <c r="P37" i="8"/>
  <c r="O37" i="8"/>
  <c r="N37" i="8"/>
  <c r="M37" i="8"/>
  <c r="L37" i="8"/>
  <c r="K37" i="8"/>
  <c r="J37" i="8"/>
  <c r="I37" i="8"/>
  <c r="T36" i="8"/>
  <c r="S36" i="8"/>
  <c r="R36" i="8"/>
  <c r="Q36" i="8"/>
  <c r="P36" i="8"/>
  <c r="O36" i="8"/>
  <c r="N36" i="8"/>
  <c r="M36" i="8"/>
  <c r="L36" i="8"/>
  <c r="K36" i="8"/>
  <c r="J36" i="8"/>
  <c r="I36" i="8"/>
  <c r="T35" i="8"/>
  <c r="S35" i="8"/>
  <c r="R35" i="8"/>
  <c r="Q35" i="8"/>
  <c r="P35" i="8"/>
  <c r="O35" i="8"/>
  <c r="N35" i="8"/>
  <c r="M35" i="8"/>
  <c r="L35" i="8"/>
  <c r="K35" i="8"/>
  <c r="J35" i="8"/>
  <c r="I35" i="8"/>
  <c r="T34" i="8"/>
  <c r="S34" i="8"/>
  <c r="R34" i="8"/>
  <c r="Q34" i="8"/>
  <c r="P34" i="8"/>
  <c r="O34" i="8"/>
  <c r="N34" i="8"/>
  <c r="M34" i="8"/>
  <c r="L34" i="8"/>
  <c r="K34" i="8"/>
  <c r="J34" i="8"/>
  <c r="I34" i="8"/>
  <c r="T33" i="8"/>
  <c r="S33" i="8"/>
  <c r="R33" i="8"/>
  <c r="Q33" i="8"/>
  <c r="P33" i="8"/>
  <c r="O33" i="8"/>
  <c r="N33" i="8"/>
  <c r="M33" i="8"/>
  <c r="L33" i="8"/>
  <c r="K33" i="8"/>
  <c r="J33" i="8"/>
  <c r="I33" i="8"/>
  <c r="T32" i="8"/>
  <c r="S32" i="8"/>
  <c r="R32" i="8"/>
  <c r="Q32" i="8"/>
  <c r="P32" i="8"/>
  <c r="O32" i="8"/>
  <c r="N32" i="8"/>
  <c r="M32" i="8"/>
  <c r="L32" i="8"/>
  <c r="K32" i="8"/>
  <c r="J32" i="8"/>
  <c r="I32" i="8"/>
  <c r="T31" i="8"/>
  <c r="S31" i="8"/>
  <c r="R31" i="8"/>
  <c r="Q31" i="8"/>
  <c r="P31" i="8"/>
  <c r="O31" i="8"/>
  <c r="N31" i="8"/>
  <c r="M31" i="8"/>
  <c r="L31" i="8"/>
  <c r="K31" i="8"/>
  <c r="J31" i="8"/>
  <c r="I31" i="8"/>
  <c r="T30" i="8"/>
  <c r="S30" i="8"/>
  <c r="R30" i="8"/>
  <c r="Q30" i="8"/>
  <c r="P30" i="8"/>
  <c r="O30" i="8"/>
  <c r="N30" i="8"/>
  <c r="M30" i="8"/>
  <c r="L30" i="8"/>
  <c r="K30" i="8"/>
  <c r="J30" i="8"/>
  <c r="I30" i="8"/>
  <c r="T29" i="8"/>
  <c r="S29" i="8"/>
  <c r="R29" i="8"/>
  <c r="Q29" i="8"/>
  <c r="P29" i="8"/>
  <c r="O29" i="8"/>
  <c r="N29" i="8"/>
  <c r="M29" i="8"/>
  <c r="L29" i="8"/>
  <c r="K29" i="8"/>
  <c r="J29" i="8"/>
  <c r="I29" i="8"/>
  <c r="T28" i="8"/>
  <c r="S28" i="8"/>
  <c r="R28" i="8"/>
  <c r="Q28" i="8"/>
  <c r="P28" i="8"/>
  <c r="O28" i="8"/>
  <c r="N28" i="8"/>
  <c r="M28" i="8"/>
  <c r="L28" i="8"/>
  <c r="K28" i="8"/>
  <c r="J28" i="8"/>
  <c r="I28" i="8"/>
  <c r="T27" i="8"/>
  <c r="S27" i="8"/>
  <c r="R27" i="8"/>
  <c r="Q27" i="8"/>
  <c r="P27" i="8"/>
  <c r="O27" i="8"/>
  <c r="N27" i="8"/>
  <c r="M27" i="8"/>
  <c r="L27" i="8"/>
  <c r="K27" i="8"/>
  <c r="J27" i="8"/>
  <c r="I27" i="8"/>
  <c r="T26" i="8"/>
  <c r="S26" i="8"/>
  <c r="R26" i="8"/>
  <c r="Q26" i="8"/>
  <c r="P26" i="8"/>
  <c r="O26" i="8"/>
  <c r="N26" i="8"/>
  <c r="M26" i="8"/>
  <c r="L26" i="8"/>
  <c r="K26" i="8"/>
  <c r="J26" i="8"/>
  <c r="I26" i="8"/>
  <c r="T25" i="8"/>
  <c r="S25" i="8"/>
  <c r="R25" i="8"/>
  <c r="Q25" i="8"/>
  <c r="P25" i="8"/>
  <c r="O25" i="8"/>
  <c r="N25" i="8"/>
  <c r="M25" i="8"/>
  <c r="L25" i="8"/>
  <c r="K25" i="8"/>
  <c r="J25" i="8"/>
  <c r="I25" i="8"/>
  <c r="T24" i="8"/>
  <c r="S24" i="8"/>
  <c r="R24" i="8"/>
  <c r="Q24" i="8"/>
  <c r="P24" i="8"/>
  <c r="O24" i="8"/>
  <c r="N24" i="8"/>
  <c r="M24" i="8"/>
  <c r="L24" i="8"/>
  <c r="K24" i="8"/>
  <c r="J24" i="8"/>
  <c r="I24" i="8"/>
  <c r="T23" i="8"/>
  <c r="S23" i="8"/>
  <c r="R23" i="8"/>
  <c r="Q23" i="8"/>
  <c r="P23" i="8"/>
  <c r="O23" i="8"/>
  <c r="N23" i="8"/>
  <c r="M23" i="8"/>
  <c r="L23" i="8"/>
  <c r="K23" i="8"/>
  <c r="J23" i="8"/>
  <c r="I23" i="8"/>
  <c r="T22" i="8"/>
  <c r="S22" i="8"/>
  <c r="R22" i="8"/>
  <c r="Q22" i="8"/>
  <c r="P22" i="8"/>
  <c r="O22" i="8"/>
  <c r="N22" i="8"/>
  <c r="M22" i="8"/>
  <c r="L22" i="8"/>
  <c r="K22" i="8"/>
  <c r="J22" i="8"/>
  <c r="I22" i="8"/>
  <c r="T21" i="8"/>
  <c r="S21" i="8"/>
  <c r="R21" i="8"/>
  <c r="Q21" i="8"/>
  <c r="P21" i="8"/>
  <c r="O21" i="8"/>
  <c r="N21" i="8"/>
  <c r="M21" i="8"/>
  <c r="L21" i="8"/>
  <c r="K21" i="8"/>
  <c r="J21" i="8"/>
  <c r="I21" i="8"/>
  <c r="T20" i="8"/>
  <c r="S20" i="8"/>
  <c r="R20" i="8"/>
  <c r="Q20" i="8"/>
  <c r="P20" i="8"/>
  <c r="O20" i="8"/>
  <c r="N20" i="8"/>
  <c r="M20" i="8"/>
  <c r="L20" i="8"/>
  <c r="K20" i="8"/>
  <c r="J20" i="8"/>
  <c r="I20" i="8"/>
  <c r="T19" i="8"/>
  <c r="S19" i="8"/>
  <c r="R19" i="8"/>
  <c r="Q19" i="8"/>
  <c r="P19" i="8"/>
  <c r="O19" i="8"/>
  <c r="N19" i="8"/>
  <c r="M19" i="8"/>
  <c r="L19" i="8"/>
  <c r="K19" i="8"/>
  <c r="J19" i="8"/>
  <c r="I19" i="8"/>
  <c r="T18" i="8"/>
  <c r="S18" i="8"/>
  <c r="R18" i="8"/>
  <c r="Q18" i="8"/>
  <c r="P18" i="8"/>
  <c r="O18" i="8"/>
  <c r="N18" i="8"/>
  <c r="M18" i="8"/>
  <c r="L18" i="8"/>
  <c r="K18" i="8"/>
  <c r="J18" i="8"/>
  <c r="I18" i="8"/>
  <c r="T17" i="8"/>
  <c r="S17" i="8"/>
  <c r="R17" i="8"/>
  <c r="Q17" i="8"/>
  <c r="P17" i="8"/>
  <c r="O17" i="8"/>
  <c r="N17" i="8"/>
  <c r="M17" i="8"/>
  <c r="L17" i="8"/>
  <c r="K17" i="8"/>
  <c r="J17" i="8"/>
  <c r="I17" i="8"/>
  <c r="T16" i="8"/>
  <c r="S16" i="8"/>
  <c r="R16" i="8"/>
  <c r="Q16" i="8"/>
  <c r="P16" i="8"/>
  <c r="O16" i="8"/>
  <c r="N16" i="8"/>
  <c r="M16" i="8"/>
  <c r="L16" i="8"/>
  <c r="K16" i="8"/>
  <c r="J16" i="8"/>
  <c r="I16" i="8"/>
  <c r="T15" i="8"/>
  <c r="S15" i="8"/>
  <c r="R15" i="8"/>
  <c r="Q15" i="8"/>
  <c r="P15" i="8"/>
  <c r="O15" i="8"/>
  <c r="N15" i="8"/>
  <c r="M15" i="8"/>
  <c r="L15" i="8"/>
  <c r="K15" i="8"/>
  <c r="J15" i="8"/>
  <c r="I15" i="8"/>
  <c r="T14" i="8"/>
  <c r="S14" i="8"/>
  <c r="R14" i="8"/>
  <c r="Q14" i="8"/>
  <c r="P14" i="8"/>
  <c r="O14" i="8"/>
  <c r="N14" i="8"/>
  <c r="M14" i="8"/>
  <c r="L14" i="8"/>
  <c r="K14" i="8"/>
  <c r="J14" i="8"/>
  <c r="I14" i="8"/>
  <c r="T13" i="8"/>
  <c r="S13" i="8"/>
  <c r="R13" i="8"/>
  <c r="Q13" i="8"/>
  <c r="P13" i="8"/>
  <c r="O13" i="8"/>
  <c r="N13" i="8"/>
  <c r="M13" i="8"/>
  <c r="L13" i="8"/>
  <c r="K13" i="8"/>
  <c r="J13" i="8"/>
  <c r="I13" i="8"/>
  <c r="T12" i="8"/>
  <c r="S12" i="8"/>
  <c r="R12" i="8"/>
  <c r="Q12" i="8"/>
  <c r="P12" i="8"/>
  <c r="O12" i="8"/>
  <c r="N12" i="8"/>
  <c r="M12" i="8"/>
  <c r="L12" i="8"/>
  <c r="K12" i="8"/>
  <c r="J12" i="8"/>
  <c r="I12" i="8"/>
  <c r="T11" i="8"/>
  <c r="S11" i="8"/>
  <c r="R11" i="8"/>
  <c r="Q11" i="8"/>
  <c r="P11" i="8"/>
  <c r="O11" i="8"/>
  <c r="N11" i="8"/>
  <c r="M11" i="8"/>
  <c r="L11" i="8"/>
  <c r="K11" i="8"/>
  <c r="J11" i="8"/>
  <c r="I11" i="8"/>
  <c r="T10" i="8"/>
  <c r="S10" i="8"/>
  <c r="R10" i="8"/>
  <c r="Q10" i="8"/>
  <c r="P10" i="8"/>
  <c r="O10" i="8"/>
  <c r="N10" i="8"/>
  <c r="M10" i="8"/>
  <c r="L10" i="8"/>
  <c r="K10" i="8"/>
  <c r="J10" i="8"/>
  <c r="I10" i="8"/>
  <c r="T9" i="8"/>
  <c r="S9" i="8"/>
  <c r="R9" i="8"/>
  <c r="Q9" i="8"/>
  <c r="P9" i="8"/>
  <c r="O9" i="8"/>
  <c r="N9" i="8"/>
  <c r="M9" i="8"/>
  <c r="L9" i="8"/>
  <c r="K9" i="8"/>
  <c r="J9" i="8"/>
  <c r="I9" i="8"/>
  <c r="T8" i="8"/>
  <c r="S8" i="8"/>
  <c r="R8" i="8"/>
  <c r="Q8" i="8"/>
  <c r="P8" i="8"/>
  <c r="O8" i="8"/>
  <c r="N8" i="8"/>
  <c r="M8" i="8"/>
  <c r="L8" i="8"/>
  <c r="K8" i="8"/>
  <c r="J8" i="8"/>
  <c r="I8" i="8"/>
  <c r="T7" i="8"/>
  <c r="S7" i="8"/>
  <c r="R7" i="8"/>
  <c r="Q7" i="8"/>
  <c r="P7" i="8"/>
  <c r="O7" i="8"/>
  <c r="N7" i="8"/>
  <c r="M7" i="8"/>
  <c r="L7" i="8"/>
  <c r="K7" i="8"/>
  <c r="J7" i="8"/>
  <c r="I7" i="8"/>
  <c r="T6" i="8"/>
  <c r="S6" i="8"/>
  <c r="R6" i="8"/>
  <c r="Q6" i="8"/>
  <c r="P6" i="8"/>
  <c r="O6" i="8"/>
  <c r="N6" i="8"/>
  <c r="M6" i="8"/>
  <c r="L6" i="8"/>
  <c r="K6" i="8"/>
  <c r="J6" i="8"/>
  <c r="I6" i="8"/>
  <c r="T5" i="8"/>
  <c r="S5" i="8"/>
  <c r="R5" i="8"/>
  <c r="Q5" i="8"/>
  <c r="P5" i="8"/>
  <c r="O5" i="8"/>
  <c r="N5" i="8"/>
  <c r="M5" i="8"/>
  <c r="L5" i="8"/>
  <c r="K5" i="8"/>
  <c r="J5" i="8"/>
  <c r="I5" i="8"/>
  <c r="T4" i="8"/>
  <c r="S4" i="8"/>
  <c r="R4" i="8"/>
  <c r="Q4" i="8"/>
  <c r="P4" i="8"/>
  <c r="O4" i="8"/>
  <c r="N4" i="8"/>
  <c r="M4" i="8"/>
  <c r="L4" i="8"/>
  <c r="K4" i="8"/>
  <c r="J4" i="8"/>
  <c r="I4" i="8"/>
  <c r="T3" i="8"/>
  <c r="S3" i="8"/>
  <c r="R3" i="8"/>
  <c r="Q3" i="8"/>
  <c r="P3" i="8"/>
  <c r="O3" i="8"/>
  <c r="N3" i="8"/>
  <c r="M3" i="8"/>
  <c r="L3" i="8"/>
  <c r="K3" i="8"/>
  <c r="J3" i="8"/>
  <c r="I3" i="8"/>
  <c r="T2" i="8"/>
  <c r="S2" i="8"/>
  <c r="R2" i="8"/>
  <c r="Q2" i="8"/>
  <c r="P2" i="8"/>
  <c r="O2" i="8"/>
  <c r="N2" i="8"/>
  <c r="M2" i="8"/>
  <c r="L2" i="8"/>
  <c r="K2" i="8"/>
  <c r="J2" i="8"/>
  <c r="I2" i="8"/>
  <c r="C2" i="8" a="1"/>
  <c r="E930" i="8" s="1"/>
  <c r="T1" i="8"/>
  <c r="S1" i="8"/>
  <c r="R1" i="8"/>
  <c r="Q1" i="8"/>
  <c r="P1" i="8"/>
  <c r="O1" i="8"/>
  <c r="N1" i="8"/>
  <c r="M1" i="8"/>
  <c r="L1" i="8"/>
  <c r="K1" i="8"/>
  <c r="J1" i="8"/>
  <c r="I1" i="8"/>
  <c r="H1" i="8"/>
  <c r="G1" i="8"/>
  <c r="F1" i="8"/>
  <c r="E1" i="8"/>
  <c r="D1" i="8"/>
  <c r="C1" i="8"/>
  <c r="A1" i="8" a="1"/>
  <c r="A992" i="8" s="1"/>
  <c r="S66" i="6"/>
  <c r="R66" i="6"/>
  <c r="S65" i="6"/>
  <c r="R65" i="6"/>
  <c r="S64" i="6"/>
  <c r="R64" i="6"/>
  <c r="S63" i="6"/>
  <c r="R63" i="6"/>
  <c r="S62" i="6"/>
  <c r="R62" i="6"/>
  <c r="S61" i="6"/>
  <c r="R61" i="6"/>
  <c r="S60" i="6"/>
  <c r="R60" i="6"/>
  <c r="S59" i="6"/>
  <c r="R59" i="6"/>
  <c r="S58" i="6"/>
  <c r="R58" i="6"/>
  <c r="S57" i="6"/>
  <c r="R57" i="6"/>
  <c r="S56" i="6"/>
  <c r="R56" i="6"/>
  <c r="S55" i="6"/>
  <c r="R55" i="6"/>
  <c r="S54" i="6"/>
  <c r="R54" i="6"/>
  <c r="S53" i="6"/>
  <c r="R53" i="6"/>
  <c r="S52" i="6"/>
  <c r="R52" i="6"/>
  <c r="S51" i="6"/>
  <c r="R51" i="6"/>
  <c r="S50" i="6"/>
  <c r="R50" i="6"/>
  <c r="S49" i="6"/>
  <c r="R49" i="6"/>
  <c r="S48" i="6"/>
  <c r="R48" i="6"/>
  <c r="S47" i="6"/>
  <c r="R47" i="6"/>
  <c r="S46" i="6"/>
  <c r="R46" i="6"/>
  <c r="S45" i="6"/>
  <c r="R45" i="6"/>
  <c r="S44" i="6"/>
  <c r="R44" i="6"/>
  <c r="S43" i="6"/>
  <c r="R43" i="6"/>
  <c r="S42" i="6"/>
  <c r="R42" i="6"/>
  <c r="S41" i="6"/>
  <c r="R41" i="6"/>
  <c r="S40" i="6"/>
  <c r="R40" i="6"/>
  <c r="S39" i="6"/>
  <c r="R39" i="6"/>
  <c r="S38" i="6"/>
  <c r="R38" i="6"/>
  <c r="S37" i="6"/>
  <c r="R37" i="6"/>
  <c r="S36" i="6"/>
  <c r="R36" i="6"/>
  <c r="S35" i="6"/>
  <c r="R35" i="6"/>
  <c r="S34" i="6"/>
  <c r="R34" i="6"/>
  <c r="S33" i="6"/>
  <c r="R33" i="6"/>
  <c r="S32" i="6"/>
  <c r="R32" i="6"/>
  <c r="S31" i="6"/>
  <c r="R31" i="6"/>
  <c r="S30" i="6"/>
  <c r="R30" i="6"/>
  <c r="S29" i="6"/>
  <c r="R29" i="6"/>
  <c r="S28" i="6"/>
  <c r="R28" i="6"/>
  <c r="S27" i="6"/>
  <c r="R27" i="6"/>
  <c r="S26" i="6"/>
  <c r="R26" i="6"/>
  <c r="S25" i="6"/>
  <c r="R25" i="6"/>
  <c r="S24" i="6"/>
  <c r="R24" i="6"/>
  <c r="S23" i="6"/>
  <c r="R23" i="6"/>
  <c r="S22" i="6"/>
  <c r="R22" i="6"/>
  <c r="S21" i="6"/>
  <c r="R21" i="6"/>
  <c r="S20" i="6"/>
  <c r="R20" i="6"/>
  <c r="S19" i="6"/>
  <c r="R19" i="6"/>
  <c r="S18" i="6"/>
  <c r="R18" i="6"/>
  <c r="S17" i="6"/>
  <c r="R17" i="6"/>
  <c r="S16" i="6"/>
  <c r="R16" i="6"/>
  <c r="S15" i="6"/>
  <c r="R15" i="6"/>
  <c r="S14" i="6"/>
  <c r="R14" i="6"/>
  <c r="S13" i="6"/>
  <c r="R13" i="6"/>
  <c r="S12" i="6"/>
  <c r="R12" i="6"/>
  <c r="S11" i="6"/>
  <c r="R11" i="6"/>
  <c r="S10" i="6"/>
  <c r="R10" i="6"/>
  <c r="S9" i="6"/>
  <c r="R9" i="6"/>
  <c r="S8" i="6"/>
  <c r="R8" i="6"/>
  <c r="S7" i="6"/>
  <c r="R7" i="6"/>
  <c r="S6" i="6"/>
  <c r="R6" i="6"/>
  <c r="S5" i="6"/>
  <c r="R5" i="6"/>
  <c r="S4" i="6"/>
  <c r="R4" i="6"/>
  <c r="S3" i="6"/>
  <c r="R3" i="6"/>
  <c r="S2" i="6"/>
  <c r="R2" i="6"/>
  <c r="AA54" i="5"/>
  <c r="Z54" i="5"/>
  <c r="C54" i="5"/>
  <c r="B54" i="5"/>
  <c r="A54" i="5"/>
  <c r="AA53" i="5"/>
  <c r="Z53" i="5"/>
  <c r="C53" i="5"/>
  <c r="B53" i="5"/>
  <c r="A53" i="5"/>
  <c r="AA52" i="5"/>
  <c r="Z52" i="5"/>
  <c r="C52" i="5"/>
  <c r="B52" i="5"/>
  <c r="A52" i="5"/>
  <c r="AA51" i="5"/>
  <c r="Z51" i="5"/>
  <c r="C51" i="5"/>
  <c r="B51" i="5"/>
  <c r="A51" i="5"/>
  <c r="AA50" i="5"/>
  <c r="Z50" i="5"/>
  <c r="C50" i="5"/>
  <c r="B50" i="5"/>
  <c r="A50" i="5"/>
  <c r="AA49" i="5"/>
  <c r="Z49" i="5"/>
  <c r="C49" i="5"/>
  <c r="B49" i="5"/>
  <c r="A49" i="5"/>
  <c r="AA48" i="5"/>
  <c r="Z48" i="5"/>
  <c r="C48" i="5"/>
  <c r="B48" i="5"/>
  <c r="A48" i="5"/>
  <c r="AA47" i="5"/>
  <c r="Z47" i="5"/>
  <c r="C47" i="5"/>
  <c r="B47" i="5"/>
  <c r="A47" i="5"/>
  <c r="AA46" i="5"/>
  <c r="Z46" i="5"/>
  <c r="C46" i="5"/>
  <c r="B46" i="5"/>
  <c r="A46" i="5"/>
  <c r="AA45" i="5"/>
  <c r="Z45" i="5"/>
  <c r="C45" i="5"/>
  <c r="B45" i="5"/>
  <c r="A45" i="5"/>
  <c r="AA44" i="5"/>
  <c r="Z44" i="5"/>
  <c r="C44" i="5"/>
  <c r="B44" i="5"/>
  <c r="A44" i="5"/>
  <c r="AA43" i="5"/>
  <c r="Z43" i="5"/>
  <c r="C43" i="5"/>
  <c r="B43" i="5"/>
  <c r="A43" i="5"/>
  <c r="AA42" i="5"/>
  <c r="Z42" i="5"/>
  <c r="C42" i="5"/>
  <c r="B42" i="5"/>
  <c r="A42" i="5"/>
  <c r="AA41" i="5"/>
  <c r="Z41" i="5"/>
  <c r="C41" i="5"/>
  <c r="B41" i="5"/>
  <c r="A41" i="5"/>
  <c r="AA40" i="5"/>
  <c r="Z40" i="5"/>
  <c r="C40" i="5"/>
  <c r="B40" i="5"/>
  <c r="A40" i="5"/>
  <c r="AA39" i="5"/>
  <c r="Z39" i="5"/>
  <c r="C39" i="5"/>
  <c r="B39" i="5"/>
  <c r="A39" i="5"/>
  <c r="AA38" i="5"/>
  <c r="Z38" i="5"/>
  <c r="C38" i="5"/>
  <c r="B38" i="5"/>
  <c r="A38" i="5"/>
  <c r="AA37" i="5"/>
  <c r="Z37" i="5"/>
  <c r="C37" i="5"/>
  <c r="B37" i="5"/>
  <c r="A37" i="5"/>
  <c r="AA36" i="5"/>
  <c r="Z36" i="5"/>
  <c r="C36" i="5"/>
  <c r="B36" i="5"/>
  <c r="A36" i="5"/>
  <c r="AA35" i="5"/>
  <c r="Z35" i="5"/>
  <c r="C35" i="5"/>
  <c r="B35" i="5"/>
  <c r="A35" i="5"/>
  <c r="AA34" i="5"/>
  <c r="Z34" i="5"/>
  <c r="C34" i="5"/>
  <c r="B34" i="5"/>
  <c r="A34" i="5"/>
  <c r="AA33" i="5"/>
  <c r="Z33" i="5"/>
  <c r="C33" i="5"/>
  <c r="B33" i="5"/>
  <c r="A33" i="5"/>
  <c r="AA32" i="5"/>
  <c r="Z32" i="5"/>
  <c r="C32" i="5"/>
  <c r="B32" i="5"/>
  <c r="A32" i="5"/>
  <c r="AA31" i="5"/>
  <c r="Z31" i="5"/>
  <c r="C31" i="5"/>
  <c r="B31" i="5"/>
  <c r="A31" i="5"/>
  <c r="AA30" i="5"/>
  <c r="Z30" i="5"/>
  <c r="C30" i="5"/>
  <c r="B30" i="5"/>
  <c r="A30" i="5"/>
  <c r="AA29" i="5"/>
  <c r="Z29" i="5"/>
  <c r="C29" i="5"/>
  <c r="AA28" i="5"/>
  <c r="Z28" i="5"/>
  <c r="C28" i="5"/>
  <c r="B28" i="5"/>
  <c r="A28" i="5"/>
  <c r="AA27" i="5"/>
  <c r="Z27" i="5"/>
  <c r="C27" i="5"/>
  <c r="B27" i="5"/>
  <c r="A27" i="5"/>
  <c r="AA26" i="5"/>
  <c r="Z26" i="5"/>
  <c r="C26" i="5"/>
  <c r="B26" i="5"/>
  <c r="A26" i="5"/>
  <c r="AA25" i="5"/>
  <c r="Z25" i="5"/>
  <c r="C25" i="5"/>
  <c r="B25" i="5"/>
  <c r="A25" i="5"/>
  <c r="AA24" i="5"/>
  <c r="Z24" i="5"/>
  <c r="C24" i="5"/>
  <c r="B24" i="5"/>
  <c r="A24" i="5"/>
  <c r="AA23" i="5"/>
  <c r="Z23" i="5"/>
  <c r="C23" i="5"/>
  <c r="B23" i="5"/>
  <c r="A23" i="5"/>
  <c r="AA22" i="5"/>
  <c r="Z22" i="5"/>
  <c r="C22" i="5"/>
  <c r="B22" i="5"/>
  <c r="A22" i="5"/>
  <c r="AA21" i="5"/>
  <c r="Z21" i="5"/>
  <c r="C21" i="5"/>
  <c r="B21" i="5"/>
  <c r="A21" i="5"/>
  <c r="AA20" i="5"/>
  <c r="Z20" i="5"/>
  <c r="C20" i="5"/>
  <c r="B20" i="5"/>
  <c r="A20" i="5"/>
  <c r="AA19" i="5"/>
  <c r="Z19" i="5"/>
  <c r="C19" i="5"/>
  <c r="B19" i="5"/>
  <c r="A19" i="5"/>
  <c r="AA18" i="5"/>
  <c r="Z18" i="5"/>
  <c r="C18" i="5"/>
  <c r="B18" i="5"/>
  <c r="A18" i="5"/>
  <c r="AA17" i="5"/>
  <c r="Z17" i="5"/>
  <c r="C17" i="5"/>
  <c r="B17" i="5"/>
  <c r="A17" i="5"/>
  <c r="AA16" i="5"/>
  <c r="Z16" i="5"/>
  <c r="C16" i="5"/>
  <c r="B16" i="5"/>
  <c r="A16" i="5"/>
  <c r="AA15" i="5"/>
  <c r="Z15" i="5"/>
  <c r="C15" i="5"/>
  <c r="B15" i="5"/>
  <c r="A15" i="5"/>
  <c r="AA14" i="5"/>
  <c r="Z14" i="5"/>
  <c r="C14" i="5"/>
  <c r="B14" i="5"/>
  <c r="A14" i="5"/>
  <c r="AA13" i="5"/>
  <c r="Z13" i="5"/>
  <c r="C13" i="5"/>
  <c r="B13" i="5"/>
  <c r="A13" i="5"/>
  <c r="AA12" i="5"/>
  <c r="Z12" i="5"/>
  <c r="C12" i="5"/>
  <c r="B12" i="5"/>
  <c r="A12" i="5"/>
  <c r="AA11" i="5"/>
  <c r="Z11" i="5"/>
  <c r="C11" i="5"/>
  <c r="B11" i="5"/>
  <c r="A11" i="5"/>
  <c r="AA10" i="5"/>
  <c r="Z10" i="5"/>
  <c r="C10" i="5"/>
  <c r="B10" i="5"/>
  <c r="A10" i="5"/>
  <c r="AA9" i="5"/>
  <c r="Z9" i="5"/>
  <c r="C9" i="5"/>
  <c r="B9" i="5"/>
  <c r="A9" i="5"/>
  <c r="AA8" i="5"/>
  <c r="Z8" i="5"/>
  <c r="C8" i="5"/>
  <c r="B8" i="5"/>
  <c r="A8" i="5"/>
  <c r="AA7" i="5"/>
  <c r="Z7" i="5"/>
  <c r="C7" i="5"/>
  <c r="B7" i="5"/>
  <c r="A7" i="5"/>
  <c r="AA6" i="5"/>
  <c r="Z6" i="5"/>
  <c r="C6" i="5"/>
  <c r="B6" i="5"/>
  <c r="A6" i="5"/>
  <c r="AA5" i="5"/>
  <c r="Z5" i="5"/>
  <c r="C5" i="5"/>
  <c r="B5" i="5"/>
  <c r="A5" i="5"/>
  <c r="AA4" i="5"/>
  <c r="Z4" i="5"/>
  <c r="C4" i="5"/>
  <c r="B4" i="5"/>
  <c r="A4" i="5"/>
  <c r="AA3" i="5"/>
  <c r="Z3" i="5"/>
  <c r="C3" i="5"/>
  <c r="B3" i="5"/>
  <c r="A3" i="5"/>
  <c r="L16" i="4"/>
  <c r="J16" i="4"/>
  <c r="H16" i="4"/>
  <c r="F16" i="4"/>
  <c r="L14" i="4"/>
  <c r="J14" i="4"/>
  <c r="H14" i="4"/>
  <c r="F14" i="4"/>
  <c r="L1" i="4"/>
  <c r="J1" i="4"/>
  <c r="H1" i="4"/>
  <c r="F1" i="4"/>
  <c r="L28" i="3" a="1"/>
  <c r="R28" i="3" s="1"/>
  <c r="L27" i="3" a="1"/>
  <c r="N27" i="3" s="1"/>
  <c r="Z24" i="3"/>
  <c r="Y24" i="3"/>
  <c r="X24" i="3"/>
  <c r="L24" i="3" a="1"/>
  <c r="F21" i="3"/>
  <c r="D21" i="3"/>
  <c r="F18" i="3"/>
  <c r="D18" i="3"/>
  <c r="L15" i="3" a="1"/>
  <c r="R15" i="3" s="1"/>
  <c r="H15" i="3"/>
  <c r="F15" i="3"/>
  <c r="B15" i="3"/>
  <c r="B14" i="3"/>
  <c r="AB12" i="3"/>
  <c r="AA12" i="3"/>
  <c r="Y12" i="3"/>
  <c r="W12" i="3"/>
  <c r="T12" i="3"/>
  <c r="S12" i="3"/>
  <c r="P12" i="3"/>
  <c r="B12" i="3"/>
  <c r="B11" i="3"/>
  <c r="Z10" i="3"/>
  <c r="X10" i="3"/>
  <c r="W10" i="3"/>
  <c r="L10" i="3" a="1"/>
  <c r="H10" i="3"/>
  <c r="B10" i="3"/>
  <c r="R9" i="3"/>
  <c r="L8" i="3" a="1"/>
  <c r="R8" i="3" s="1"/>
  <c r="L7" i="3" a="1"/>
  <c r="R7" i="3" s="1"/>
  <c r="BA6" i="3"/>
  <c r="AZ6" i="3"/>
  <c r="AY6" i="3"/>
  <c r="AW6" i="3"/>
  <c r="AV6" i="3"/>
  <c r="AU6" i="3"/>
  <c r="AT6" i="3"/>
  <c r="AS6" i="3"/>
  <c r="AR6" i="3"/>
  <c r="AQ6" i="3"/>
  <c r="AP6" i="3"/>
  <c r="AN6" i="3"/>
  <c r="AM6" i="3"/>
  <c r="AL6" i="3"/>
  <c r="AK6" i="3"/>
  <c r="AJ6" i="3"/>
  <c r="AI6" i="3"/>
  <c r="AH6" i="3"/>
  <c r="O6" i="3" s="1"/>
  <c r="AG6" i="3"/>
  <c r="AF6" i="3"/>
  <c r="AE6" i="3"/>
  <c r="AD6" i="3"/>
  <c r="W6" i="3"/>
  <c r="V6" i="3"/>
  <c r="P6" i="3"/>
  <c r="BA5" i="3"/>
  <c r="AZ5" i="3"/>
  <c r="AY5" i="3"/>
  <c r="AW5" i="3"/>
  <c r="AV5" i="3"/>
  <c r="AU5" i="3"/>
  <c r="AT5" i="3"/>
  <c r="AS5" i="3"/>
  <c r="AR5" i="3"/>
  <c r="L16" i="3" s="1" a="1"/>
  <c r="AQ5" i="3"/>
  <c r="AP5" i="3"/>
  <c r="AN5" i="3"/>
  <c r="AM5" i="3"/>
  <c r="AL5" i="3"/>
  <c r="AK5" i="3"/>
  <c r="AJ5" i="3"/>
  <c r="AI5" i="3"/>
  <c r="AH5" i="3"/>
  <c r="N6" i="3" s="1"/>
  <c r="AG5" i="3"/>
  <c r="AF5" i="3"/>
  <c r="AE5" i="3"/>
  <c r="L3" i="3" s="1" a="1"/>
  <c r="AD5" i="3"/>
  <c r="B5" i="3"/>
  <c r="BD4" i="3"/>
  <c r="BA4" i="3"/>
  <c r="AZ4" i="3"/>
  <c r="AY4" i="3"/>
  <c r="AW4" i="3"/>
  <c r="AV4" i="3"/>
  <c r="AU4" i="3"/>
  <c r="AT4" i="3"/>
  <c r="AS4" i="3"/>
  <c r="L17" i="3" s="1" a="1"/>
  <c r="AR4" i="3"/>
  <c r="AQ4" i="3"/>
  <c r="AP4" i="3"/>
  <c r="L14" i="3" s="1" a="1"/>
  <c r="AN4" i="3"/>
  <c r="L12" i="3" s="1" a="1"/>
  <c r="M12" i="3" s="1"/>
  <c r="AM4" i="3"/>
  <c r="AL4" i="3"/>
  <c r="AK4" i="3"/>
  <c r="M9" i="3" s="1"/>
  <c r="AJ4" i="3"/>
  <c r="AI4" i="3"/>
  <c r="AH4" i="3"/>
  <c r="AG4" i="3"/>
  <c r="L5" i="3" s="1" a="1"/>
  <c r="AF4" i="3"/>
  <c r="AE4" i="3"/>
  <c r="AD4" i="3"/>
  <c r="G4" i="3"/>
  <c r="B4" i="3"/>
  <c r="BD3" i="3"/>
  <c r="L28" i="3" s="1"/>
  <c r="BC3" i="3"/>
  <c r="L27" i="3" s="1"/>
  <c r="BA3" i="3"/>
  <c r="L25" i="3" s="1" a="1"/>
  <c r="AZ3" i="3"/>
  <c r="AY3" i="3"/>
  <c r="L23" i="3" s="1" a="1"/>
  <c r="AW3" i="3"/>
  <c r="L21" i="3" s="1" a="1"/>
  <c r="AV3" i="3"/>
  <c r="L20" i="3" s="1" a="1"/>
  <c r="AA20" i="3" s="1"/>
  <c r="AU3" i="3"/>
  <c r="L19" i="3" s="1" a="1"/>
  <c r="AT3" i="3"/>
  <c r="AS3" i="3"/>
  <c r="AR3" i="3"/>
  <c r="AQ3" i="3"/>
  <c r="L15" i="3" s="1"/>
  <c r="AP3" i="3"/>
  <c r="AN3" i="3"/>
  <c r="AM3" i="3"/>
  <c r="L11" i="3" s="1" a="1"/>
  <c r="AL3" i="3"/>
  <c r="AK3" i="3"/>
  <c r="L9" i="3" s="1" a="1"/>
  <c r="AJ3" i="3"/>
  <c r="AI3" i="3"/>
  <c r="AH3" i="3"/>
  <c r="L6" i="3" s="1" a="1"/>
  <c r="AB6" i="3" s="1"/>
  <c r="AG3" i="3"/>
  <c r="AF3" i="3"/>
  <c r="AE3" i="3"/>
  <c r="AD3" i="3"/>
  <c r="B3" i="3"/>
  <c r="AD2" i="3" a="1"/>
  <c r="BB2" i="3" s="1"/>
  <c r="L2" i="3" a="1"/>
  <c r="R2" i="3" s="1"/>
  <c r="H32" i="2"/>
  <c r="G32" i="2"/>
  <c r="F32" i="2"/>
  <c r="D32" i="2"/>
  <c r="C32" i="2"/>
  <c r="B32" i="2"/>
  <c r="H30" i="2"/>
  <c r="G30" i="2"/>
  <c r="F30" i="2"/>
  <c r="D30" i="2"/>
  <c r="C30" i="2"/>
  <c r="B30" i="2"/>
  <c r="H29" i="2"/>
  <c r="G29" i="2"/>
  <c r="F29" i="2"/>
  <c r="D29" i="2"/>
  <c r="C29" i="2"/>
  <c r="B29" i="2"/>
  <c r="H27" i="2"/>
  <c r="G27" i="2"/>
  <c r="F27" i="2"/>
  <c r="D27" i="2"/>
  <c r="C27" i="2"/>
  <c r="B27" i="2"/>
  <c r="H26" i="2"/>
  <c r="G26" i="2"/>
  <c r="F26" i="2"/>
  <c r="D26" i="2"/>
  <c r="C26" i="2"/>
  <c r="B26" i="2"/>
  <c r="H25" i="2"/>
  <c r="G25" i="2"/>
  <c r="F25" i="2"/>
  <c r="D25" i="2"/>
  <c r="C25" i="2"/>
  <c r="B25" i="2"/>
  <c r="H23" i="2"/>
  <c r="G23" i="2"/>
  <c r="F23" i="2"/>
  <c r="D23" i="2"/>
  <c r="C23" i="2"/>
  <c r="B23" i="2"/>
  <c r="H22" i="2"/>
  <c r="G22" i="2"/>
  <c r="F22" i="2"/>
  <c r="D22" i="2"/>
  <c r="C22" i="2"/>
  <c r="B22" i="2"/>
  <c r="H21" i="2"/>
  <c r="G21" i="2"/>
  <c r="F21" i="2"/>
  <c r="D21" i="2"/>
  <c r="C21" i="2"/>
  <c r="B21" i="2"/>
  <c r="H20" i="2"/>
  <c r="G20" i="2"/>
  <c r="F20" i="2"/>
  <c r="D20" i="2"/>
  <c r="C20" i="2"/>
  <c r="B20" i="2"/>
  <c r="H19" i="2"/>
  <c r="G19" i="2"/>
  <c r="F19" i="2"/>
  <c r="D19" i="2"/>
  <c r="C19" i="2"/>
  <c r="B19" i="2"/>
  <c r="H18" i="2"/>
  <c r="G18" i="2"/>
  <c r="F18" i="2"/>
  <c r="D18" i="2"/>
  <c r="C18" i="2"/>
  <c r="B18" i="2"/>
  <c r="H16" i="2"/>
  <c r="G16" i="2"/>
  <c r="F16" i="2"/>
  <c r="D16" i="2"/>
  <c r="C16" i="2"/>
  <c r="B16" i="2"/>
  <c r="H15" i="2"/>
  <c r="G15" i="2"/>
  <c r="F15" i="2"/>
  <c r="D15" i="2"/>
  <c r="C15" i="2"/>
  <c r="B15" i="2"/>
  <c r="H14" i="2"/>
  <c r="G14" i="2"/>
  <c r="F14" i="2"/>
  <c r="D14" i="2"/>
  <c r="C14" i="2"/>
  <c r="B14" i="2"/>
  <c r="H13" i="2"/>
  <c r="G13" i="2"/>
  <c r="F13" i="2"/>
  <c r="D13" i="2"/>
  <c r="C13" i="2"/>
  <c r="B13" i="2"/>
  <c r="H12" i="2"/>
  <c r="G12" i="2"/>
  <c r="F12" i="2"/>
  <c r="D12" i="2"/>
  <c r="C12" i="2"/>
  <c r="B12" i="2"/>
  <c r="H11" i="2"/>
  <c r="G11" i="2"/>
  <c r="F11" i="2"/>
  <c r="D11" i="2"/>
  <c r="C11" i="2"/>
  <c r="B11" i="2"/>
  <c r="H10" i="2"/>
  <c r="G10" i="2"/>
  <c r="F10" i="2"/>
  <c r="D10" i="2"/>
  <c r="C10" i="2"/>
  <c r="B10" i="2"/>
  <c r="H32" i="1"/>
  <c r="G32" i="1"/>
  <c r="F32" i="1"/>
  <c r="D32" i="1"/>
  <c r="C32" i="1"/>
  <c r="B32" i="1"/>
  <c r="H30" i="1"/>
  <c r="G30" i="1"/>
  <c r="F30" i="1"/>
  <c r="D30" i="1"/>
  <c r="C30" i="1"/>
  <c r="B30" i="1"/>
  <c r="H29" i="1"/>
  <c r="G29" i="1"/>
  <c r="F29" i="1"/>
  <c r="D29" i="1"/>
  <c r="C29" i="1"/>
  <c r="B29" i="1"/>
  <c r="H27" i="1"/>
  <c r="G27" i="1"/>
  <c r="F27" i="1"/>
  <c r="D27" i="1"/>
  <c r="C27" i="1"/>
  <c r="B27" i="1"/>
  <c r="H26" i="1"/>
  <c r="G26" i="1"/>
  <c r="F26" i="1"/>
  <c r="D26" i="1"/>
  <c r="C26" i="1"/>
  <c r="B26" i="1"/>
  <c r="H25" i="1"/>
  <c r="G25" i="1"/>
  <c r="F25" i="1"/>
  <c r="D25" i="1"/>
  <c r="C25" i="1"/>
  <c r="B25" i="1"/>
  <c r="H23" i="1"/>
  <c r="G23" i="1"/>
  <c r="F23" i="1"/>
  <c r="D23" i="1"/>
  <c r="C23" i="1"/>
  <c r="B23" i="1"/>
  <c r="H22" i="1"/>
  <c r="G22" i="1"/>
  <c r="F22" i="1"/>
  <c r="D22" i="1"/>
  <c r="C22" i="1"/>
  <c r="B22" i="1"/>
  <c r="H21" i="1"/>
  <c r="G21" i="1"/>
  <c r="F21" i="1"/>
  <c r="D21" i="1"/>
  <c r="C21" i="1"/>
  <c r="B21" i="1"/>
  <c r="H20" i="1"/>
  <c r="G20" i="1"/>
  <c r="F20" i="1"/>
  <c r="D20" i="1"/>
  <c r="C20" i="1"/>
  <c r="B20" i="1"/>
  <c r="H19" i="1"/>
  <c r="G19" i="1"/>
  <c r="F19" i="1"/>
  <c r="D19" i="1"/>
  <c r="C19" i="1"/>
  <c r="B19" i="1"/>
  <c r="H18" i="1"/>
  <c r="G18" i="1"/>
  <c r="F18" i="1"/>
  <c r="D18" i="1"/>
  <c r="C18" i="1"/>
  <c r="B18" i="1"/>
  <c r="H16" i="1"/>
  <c r="G16" i="1"/>
  <c r="F16" i="1"/>
  <c r="D16" i="1"/>
  <c r="C16" i="1"/>
  <c r="B16" i="1"/>
  <c r="H15" i="1"/>
  <c r="G15" i="1"/>
  <c r="F15" i="1"/>
  <c r="D15" i="1"/>
  <c r="C15" i="1"/>
  <c r="B15" i="1"/>
  <c r="H14" i="1"/>
  <c r="G14" i="1"/>
  <c r="F14" i="1"/>
  <c r="D14" i="1"/>
  <c r="C14" i="1"/>
  <c r="B14" i="1"/>
  <c r="H13" i="1"/>
  <c r="G13" i="1"/>
  <c r="F13" i="1"/>
  <c r="D13" i="1"/>
  <c r="C13" i="1"/>
  <c r="B13" i="1"/>
  <c r="H12" i="1"/>
  <c r="G12" i="1"/>
  <c r="F12" i="1"/>
  <c r="D12" i="1"/>
  <c r="C12" i="1"/>
  <c r="B12" i="1"/>
  <c r="H11" i="1"/>
  <c r="G11" i="1"/>
  <c r="F11" i="1"/>
  <c r="D11" i="1"/>
  <c r="C11" i="1"/>
  <c r="B11" i="1"/>
  <c r="H10" i="1"/>
  <c r="G10" i="1"/>
  <c r="F10" i="1"/>
  <c r="D10" i="1"/>
  <c r="C10" i="1"/>
  <c r="B10" i="1"/>
  <c r="H3" i="1"/>
  <c r="G3" i="1"/>
  <c r="F3" i="1"/>
  <c r="D3" i="1"/>
  <c r="C3" i="1"/>
  <c r="B3" i="1"/>
  <c r="BA119" i="11" l="1"/>
  <c r="BJ120" i="11"/>
  <c r="Y45" i="5" s="1"/>
  <c r="BE119" i="11"/>
  <c r="BE109" i="11"/>
  <c r="AX34" i="11"/>
  <c r="BA89" i="11"/>
  <c r="BR20" i="11"/>
  <c r="BA65" i="11"/>
  <c r="BE19" i="11"/>
  <c r="BB21" i="11"/>
  <c r="BC21" i="11" s="1"/>
  <c r="BB33" i="11"/>
  <c r="BE34" i="11"/>
  <c r="BA95" i="11"/>
  <c r="BE82" i="11"/>
  <c r="BR36" i="11"/>
  <c r="BA31" i="11"/>
  <c r="BB114" i="11"/>
  <c r="BC114" i="11" s="1"/>
  <c r="BA15" i="11"/>
  <c r="BB74" i="11"/>
  <c r="BC74" i="11" s="1"/>
  <c r="O39" i="5" s="1"/>
  <c r="AY90" i="11"/>
  <c r="BA107" i="11"/>
  <c r="BA4" i="11"/>
  <c r="BE39" i="11"/>
  <c r="BF39" i="11" s="1"/>
  <c r="BA56" i="11"/>
  <c r="BA101" i="11"/>
  <c r="E42" i="5"/>
  <c r="W42" i="5" s="1"/>
  <c r="BE113" i="11"/>
  <c r="BF113" i="11" s="1"/>
  <c r="BB70" i="11"/>
  <c r="BC70" i="11" s="1"/>
  <c r="BE100" i="11"/>
  <c r="BF100" i="11" s="1"/>
  <c r="BB59" i="11"/>
  <c r="BC59" i="11" s="1"/>
  <c r="BA103" i="11"/>
  <c r="BA39" i="11"/>
  <c r="BA44" i="11"/>
  <c r="BR94" i="11"/>
  <c r="AC33" i="5"/>
  <c r="BE44" i="11"/>
  <c r="BF44" i="11" s="1"/>
  <c r="BE83" i="11"/>
  <c r="BA93" i="11"/>
  <c r="BE84" i="11"/>
  <c r="BF84" i="11" s="1"/>
  <c r="BA19" i="11"/>
  <c r="BB57" i="11"/>
  <c r="BC57" i="11" s="1"/>
  <c r="BA74" i="11"/>
  <c r="BA87" i="11"/>
  <c r="BA102" i="11"/>
  <c r="L13" i="4"/>
  <c r="BA96" i="11"/>
  <c r="E10" i="5"/>
  <c r="N10" i="5" s="1"/>
  <c r="AB3" i="5"/>
  <c r="E44" i="5"/>
  <c r="V44" i="5" s="1"/>
  <c r="BR108" i="11"/>
  <c r="D6" i="1"/>
  <c r="BB76" i="11"/>
  <c r="BC76" i="11" s="1"/>
  <c r="BR115" i="11"/>
  <c r="Y54" i="5"/>
  <c r="BA12" i="11"/>
  <c r="BB56" i="11"/>
  <c r="BC56" i="11" s="1"/>
  <c r="BA70" i="11"/>
  <c r="BB95" i="11"/>
  <c r="BC95" i="11" s="1"/>
  <c r="BB101" i="11"/>
  <c r="BC101" i="11" s="1"/>
  <c r="BR5" i="11"/>
  <c r="BB103" i="11"/>
  <c r="BC103" i="11" s="1"/>
  <c r="BR17" i="11"/>
  <c r="BE18" i="11"/>
  <c r="BF18" i="11" s="1"/>
  <c r="BA41" i="11"/>
  <c r="AC51" i="5"/>
  <c r="BH99" i="11"/>
  <c r="Y52" i="5"/>
  <c r="F5" i="4"/>
  <c r="AB14" i="5"/>
  <c r="E53" i="5"/>
  <c r="Q53" i="5" s="1"/>
  <c r="AX6" i="11"/>
  <c r="BB11" i="11"/>
  <c r="BC11" i="11" s="1"/>
  <c r="BD83" i="11"/>
  <c r="BR88" i="11"/>
  <c r="BE101" i="11"/>
  <c r="BA32" i="11"/>
  <c r="BH50" i="11"/>
  <c r="BH96" i="11"/>
  <c r="BB99" i="11"/>
  <c r="AX120" i="11"/>
  <c r="AB18" i="5"/>
  <c r="Y37" i="5"/>
  <c r="AB9" i="5"/>
  <c r="AB12" i="5"/>
  <c r="AC19" i="5"/>
  <c r="AY18" i="11"/>
  <c r="BB20" i="11"/>
  <c r="BC20" i="11" s="1"/>
  <c r="O28" i="5" s="1"/>
  <c r="BB26" i="11"/>
  <c r="BC26" i="11" s="1"/>
  <c r="BH35" i="11"/>
  <c r="BB47" i="11"/>
  <c r="BC47" i="11" s="1"/>
  <c r="BA50" i="11"/>
  <c r="BA72" i="11"/>
  <c r="BE74" i="11"/>
  <c r="BA76" i="11"/>
  <c r="BA79" i="11"/>
  <c r="BB96" i="11"/>
  <c r="BC96" i="11" s="1"/>
  <c r="BA108" i="11"/>
  <c r="BG108" i="11"/>
  <c r="BA114" i="11"/>
  <c r="BB54" i="11"/>
  <c r="BC54" i="11" s="1"/>
  <c r="BB108" i="11"/>
  <c r="BC108" i="11" s="1"/>
  <c r="BB4" i="11"/>
  <c r="BC4" i="11" s="1"/>
  <c r="AY24" i="11"/>
  <c r="BR30" i="11"/>
  <c r="BG37" i="11"/>
  <c r="BR64" i="11"/>
  <c r="AX80" i="11"/>
  <c r="BA85" i="11"/>
  <c r="BA94" i="11"/>
  <c r="BH94" i="11"/>
  <c r="BE106" i="11"/>
  <c r="BF106" i="11" s="1"/>
  <c r="H8" i="4"/>
  <c r="AB15" i="5"/>
  <c r="L29" i="5"/>
  <c r="B6" i="1"/>
  <c r="AB6" i="5"/>
  <c r="U29" i="5"/>
  <c r="Y43" i="5"/>
  <c r="U50" i="5"/>
  <c r="BA22" i="11"/>
  <c r="BE23" i="11"/>
  <c r="BB40" i="11"/>
  <c r="BC40" i="11" s="1"/>
  <c r="BA49" i="11"/>
  <c r="BB53" i="11"/>
  <c r="BC53" i="11" s="1"/>
  <c r="O19" i="5" s="1"/>
  <c r="AX73" i="11"/>
  <c r="BA120" i="11"/>
  <c r="L24" i="3"/>
  <c r="BH42" i="11"/>
  <c r="AX23" i="11"/>
  <c r="BB49" i="11"/>
  <c r="BC49" i="11" s="1"/>
  <c r="BR63" i="11"/>
  <c r="BB66" i="11"/>
  <c r="BC66" i="11" s="1"/>
  <c r="BH117" i="11"/>
  <c r="BB120" i="11"/>
  <c r="BR81" i="11"/>
  <c r="AC39" i="5"/>
  <c r="BE10" i="11"/>
  <c r="BF10" i="11" s="1"/>
  <c r="BH11" i="11"/>
  <c r="AY16" i="11"/>
  <c r="BB71" i="11"/>
  <c r="BC71" i="11" s="1"/>
  <c r="O30" i="5" s="1"/>
  <c r="BG71" i="11"/>
  <c r="BB77" i="11"/>
  <c r="BC77" i="11" s="1"/>
  <c r="AY78" i="11"/>
  <c r="BE81" i="11"/>
  <c r="BF81" i="11" s="1"/>
  <c r="BB107" i="11"/>
  <c r="BC107" i="11" s="1"/>
  <c r="E4" i="5"/>
  <c r="W4" i="5" s="1"/>
  <c r="Y11" i="5"/>
  <c r="AC29" i="5"/>
  <c r="G6" i="2"/>
  <c r="Y23" i="5"/>
  <c r="BA11" i="11"/>
  <c r="BA14" i="11"/>
  <c r="BB18" i="11"/>
  <c r="BC18" i="11" s="1"/>
  <c r="BB42" i="11"/>
  <c r="BC42" i="11" s="1"/>
  <c r="AX43" i="11"/>
  <c r="BR47" i="11"/>
  <c r="BB62" i="11"/>
  <c r="BC62" i="11" s="1"/>
  <c r="BB93" i="11"/>
  <c r="BC93" i="11" s="1"/>
  <c r="BB100" i="11"/>
  <c r="BC100" i="11" s="1"/>
  <c r="E4" i="8"/>
  <c r="D11" i="8"/>
  <c r="E20" i="8"/>
  <c r="H30" i="8"/>
  <c r="F41" i="8"/>
  <c r="G51" i="8"/>
  <c r="C63" i="8"/>
  <c r="E73" i="8"/>
  <c r="G83" i="8"/>
  <c r="D95" i="8"/>
  <c r="C105" i="8"/>
  <c r="G116" i="8"/>
  <c r="H126" i="8"/>
  <c r="E138" i="8"/>
  <c r="F148" i="8"/>
  <c r="G159" i="8"/>
  <c r="H171" i="8"/>
  <c r="C183" i="8"/>
  <c r="C197" i="8"/>
  <c r="H208" i="8"/>
  <c r="G222" i="8"/>
  <c r="G234" i="8"/>
  <c r="C247" i="8"/>
  <c r="E261" i="8"/>
  <c r="F276" i="8"/>
  <c r="G291" i="8"/>
  <c r="G307" i="8"/>
  <c r="E324" i="8"/>
  <c r="E342" i="8"/>
  <c r="F359" i="8"/>
  <c r="G377" i="8"/>
  <c r="H400" i="8"/>
  <c r="G423" i="8"/>
  <c r="G446" i="8"/>
  <c r="H469" i="8"/>
  <c r="H495" i="8"/>
  <c r="F522" i="8"/>
  <c r="E554" i="8"/>
  <c r="H588" i="8"/>
  <c r="C631" i="8"/>
  <c r="C698" i="8"/>
  <c r="H767" i="8"/>
  <c r="H852" i="8"/>
  <c r="E974" i="8"/>
  <c r="G4" i="8"/>
  <c r="E11" i="8"/>
  <c r="H20" i="8"/>
  <c r="E32" i="8"/>
  <c r="G41" i="8"/>
  <c r="E52" i="8"/>
  <c r="G63" i="8"/>
  <c r="F73" i="8"/>
  <c r="C85" i="8"/>
  <c r="E95" i="8"/>
  <c r="F105" i="8"/>
  <c r="H116" i="8"/>
  <c r="C127" i="8"/>
  <c r="F138" i="8"/>
  <c r="G148" i="8"/>
  <c r="D161" i="8"/>
  <c r="E172" i="8"/>
  <c r="E183" i="8"/>
  <c r="D197" i="8"/>
  <c r="D209" i="8"/>
  <c r="H222" i="8"/>
  <c r="H234" i="8"/>
  <c r="E248" i="8"/>
  <c r="E263" i="8"/>
  <c r="E278" i="8"/>
  <c r="D293" i="8"/>
  <c r="D309" i="8"/>
  <c r="H325" i="8"/>
  <c r="F343" i="8"/>
  <c r="C361" i="8"/>
  <c r="E380" i="8"/>
  <c r="C403" i="8"/>
  <c r="G425" i="8"/>
  <c r="D449" i="8"/>
  <c r="H472" i="8"/>
  <c r="G497" i="8"/>
  <c r="F525" i="8"/>
  <c r="G558" i="8"/>
  <c r="H591" i="8"/>
  <c r="C640" i="8"/>
  <c r="H703" i="8"/>
  <c r="H773" i="8"/>
  <c r="F865" i="8"/>
  <c r="F993" i="8"/>
  <c r="C5" i="8"/>
  <c r="E12" i="8"/>
  <c r="C33" i="8"/>
  <c r="H42" i="8"/>
  <c r="E54" i="8"/>
  <c r="F64" i="8"/>
  <c r="G75" i="8"/>
  <c r="E96" i="8"/>
  <c r="E107" i="8"/>
  <c r="E117" i="8"/>
  <c r="C129" i="8"/>
  <c r="C139" i="8"/>
  <c r="E162" i="8"/>
  <c r="E173" i="8"/>
  <c r="G185" i="8"/>
  <c r="E198" i="8"/>
  <c r="F211" i="8"/>
  <c r="E237" i="8"/>
  <c r="E249" i="8"/>
  <c r="H263" i="8"/>
  <c r="H278" i="8"/>
  <c r="G294" i="8"/>
  <c r="C327" i="8"/>
  <c r="C345" i="8"/>
  <c r="F362" i="8"/>
  <c r="G381" i="8"/>
  <c r="F427" i="8"/>
  <c r="D451" i="8"/>
  <c r="F474" i="8"/>
  <c r="G527" i="8"/>
  <c r="E559" i="8"/>
  <c r="D641" i="8"/>
  <c r="C708" i="8"/>
  <c r="D871" i="8"/>
  <c r="F3" i="8"/>
  <c r="E10" i="8"/>
  <c r="H19" i="8"/>
  <c r="F30" i="8"/>
  <c r="E41" i="8"/>
  <c r="E51" i="8"/>
  <c r="H61" i="8"/>
  <c r="C73" i="8"/>
  <c r="D83" i="8"/>
  <c r="F94" i="8"/>
  <c r="H104" i="8"/>
  <c r="E116" i="8"/>
  <c r="H136" i="8"/>
  <c r="E148" i="8"/>
  <c r="D159" i="8"/>
  <c r="G171" i="8"/>
  <c r="H182" i="8"/>
  <c r="E196" i="8"/>
  <c r="G208" i="8"/>
  <c r="F234" i="8"/>
  <c r="E246" i="8"/>
  <c r="C261" i="8"/>
  <c r="H290" i="8"/>
  <c r="F323" i="8"/>
  <c r="F358" i="8"/>
  <c r="E399" i="8"/>
  <c r="H445" i="8"/>
  <c r="E494" i="8"/>
  <c r="F553" i="8"/>
  <c r="E693" i="8"/>
  <c r="C850" i="8"/>
  <c r="G22" i="8"/>
  <c r="G85" i="8"/>
  <c r="C151" i="8"/>
  <c r="F223" i="8"/>
  <c r="F310" i="8"/>
  <c r="H403" i="8"/>
  <c r="C499" i="8"/>
  <c r="F595" i="8"/>
  <c r="D784" i="8"/>
  <c r="H6" i="2"/>
  <c r="AB10" i="5"/>
  <c r="H5" i="8"/>
  <c r="G13" i="8"/>
  <c r="F23" i="8"/>
  <c r="G33" i="8"/>
  <c r="H44" i="8"/>
  <c r="C55" i="8"/>
  <c r="G66" i="8"/>
  <c r="G76" i="8"/>
  <c r="C87" i="8"/>
  <c r="E98" i="8"/>
  <c r="E108" i="8"/>
  <c r="F119" i="8"/>
  <c r="G129" i="8"/>
  <c r="D141" i="8"/>
  <c r="F151" i="8"/>
  <c r="D163" i="8"/>
  <c r="E175" i="8"/>
  <c r="H186" i="8"/>
  <c r="G200" i="8"/>
  <c r="H212" i="8"/>
  <c r="E226" i="8"/>
  <c r="H237" i="8"/>
  <c r="E252" i="8"/>
  <c r="H266" i="8"/>
  <c r="F281" i="8"/>
  <c r="F297" i="8"/>
  <c r="F313" i="8"/>
  <c r="G330" i="8"/>
  <c r="E348" i="8"/>
  <c r="F365" i="8"/>
  <c r="G385" i="8"/>
  <c r="F408" i="8"/>
  <c r="G431" i="8"/>
  <c r="D455" i="8"/>
  <c r="D479" i="8"/>
  <c r="G503" i="8"/>
  <c r="D533" i="8"/>
  <c r="H565" i="8"/>
  <c r="H601" i="8"/>
  <c r="G654" i="8"/>
  <c r="E722" i="8"/>
  <c r="D797" i="8"/>
  <c r="F892" i="8"/>
  <c r="E6" i="8"/>
  <c r="E14" i="8"/>
  <c r="G23" i="8"/>
  <c r="H33" i="8"/>
  <c r="D45" i="8"/>
  <c r="D55" i="8"/>
  <c r="H66" i="8"/>
  <c r="H76" i="8"/>
  <c r="E88" i="8"/>
  <c r="F98" i="8"/>
  <c r="G108" i="8"/>
  <c r="G119" i="8"/>
  <c r="H129" i="8"/>
  <c r="E141" i="8"/>
  <c r="G151" i="8"/>
  <c r="G164" i="8"/>
  <c r="F175" i="8"/>
  <c r="F187" i="8"/>
  <c r="H200" i="8"/>
  <c r="C213" i="8"/>
  <c r="F226" i="8"/>
  <c r="F238" i="8"/>
  <c r="F252" i="8"/>
  <c r="C267" i="8"/>
  <c r="G281" i="8"/>
  <c r="G297" i="8"/>
  <c r="G313" i="8"/>
  <c r="H330" i="8"/>
  <c r="F348" i="8"/>
  <c r="E366" i="8"/>
  <c r="E386" i="8"/>
  <c r="G409" i="8"/>
  <c r="E432" i="8"/>
  <c r="E455" i="8"/>
  <c r="E479" i="8"/>
  <c r="E504" i="8"/>
  <c r="G534" i="8"/>
  <c r="H566" i="8"/>
  <c r="H602" i="8"/>
  <c r="C655" i="8"/>
  <c r="C723" i="8"/>
  <c r="H798" i="8"/>
  <c r="D896" i="8"/>
  <c r="AC17" i="5"/>
  <c r="E17" i="5"/>
  <c r="J17" i="5" s="1"/>
  <c r="F6" i="8"/>
  <c r="H14" i="8"/>
  <c r="G25" i="8"/>
  <c r="G35" i="8"/>
  <c r="G45" i="8"/>
  <c r="D57" i="8"/>
  <c r="E67" i="8"/>
  <c r="H78" i="8"/>
  <c r="H88" i="8"/>
  <c r="D99" i="8"/>
  <c r="G110" i="8"/>
  <c r="G120" i="8"/>
  <c r="E132" i="8"/>
  <c r="E142" i="8"/>
  <c r="E154" i="8"/>
  <c r="F165" i="8"/>
  <c r="H176" i="8"/>
  <c r="F189" i="8"/>
  <c r="F201" i="8"/>
  <c r="F215" i="8"/>
  <c r="D227" i="8"/>
  <c r="H240" i="8"/>
  <c r="F253" i="8"/>
  <c r="G268" i="8"/>
  <c r="E283" i="8"/>
  <c r="D299" i="8"/>
  <c r="C315" i="8"/>
  <c r="E332" i="8"/>
  <c r="G349" i="8"/>
  <c r="G367" i="8"/>
  <c r="G388" i="8"/>
  <c r="C411" i="8"/>
  <c r="E434" i="8"/>
  <c r="E457" i="8"/>
  <c r="G481" i="8"/>
  <c r="C507" i="8"/>
  <c r="F536" i="8"/>
  <c r="G568" i="8"/>
  <c r="E607" i="8"/>
  <c r="E662" i="8"/>
  <c r="C728" i="8"/>
  <c r="H803" i="8"/>
  <c r="C907" i="8"/>
  <c r="G6" i="8"/>
  <c r="C15" i="8"/>
  <c r="H25" i="8"/>
  <c r="H35" i="8"/>
  <c r="F46" i="8"/>
  <c r="E57" i="8"/>
  <c r="F67" i="8"/>
  <c r="D79" i="8"/>
  <c r="D89" i="8"/>
  <c r="H100" i="8"/>
  <c r="H110" i="8"/>
  <c r="E121" i="8"/>
  <c r="F132" i="8"/>
  <c r="F142" i="8"/>
  <c r="F154" i="8"/>
  <c r="G165" i="8"/>
  <c r="E178" i="8"/>
  <c r="G189" i="8"/>
  <c r="E202" i="8"/>
  <c r="G215" i="8"/>
  <c r="E227" i="8"/>
  <c r="C241" i="8"/>
  <c r="E254" i="8"/>
  <c r="D269" i="8"/>
  <c r="H283" i="8"/>
  <c r="F299" i="8"/>
  <c r="G315" i="8"/>
  <c r="H332" i="8"/>
  <c r="G350" i="8"/>
  <c r="G368" i="8"/>
  <c r="D389" i="8"/>
  <c r="G411" i="8"/>
  <c r="H434" i="8"/>
  <c r="F458" i="8"/>
  <c r="D483" i="8"/>
  <c r="H507" i="8"/>
  <c r="C537" i="8"/>
  <c r="G571" i="8"/>
  <c r="F608" i="8"/>
  <c r="D664" i="8"/>
  <c r="E729" i="8"/>
  <c r="G808" i="8"/>
  <c r="D913" i="8"/>
  <c r="D7" i="8"/>
  <c r="F15" i="8"/>
  <c r="F26" i="8"/>
  <c r="E36" i="8"/>
  <c r="G47" i="8"/>
  <c r="G57" i="8"/>
  <c r="H67" i="8"/>
  <c r="E79" i="8"/>
  <c r="F89" i="8"/>
  <c r="C101" i="8"/>
  <c r="C111" i="8"/>
  <c r="F122" i="8"/>
  <c r="G132" i="8"/>
  <c r="C143" i="8"/>
  <c r="G154" i="8"/>
  <c r="H165" i="8"/>
  <c r="G178" i="8"/>
  <c r="H189" i="8"/>
  <c r="G203" i="8"/>
  <c r="H215" i="8"/>
  <c r="G228" i="8"/>
  <c r="F241" i="8"/>
  <c r="H255" i="8"/>
  <c r="G270" i="8"/>
  <c r="E285" i="8"/>
  <c r="E301" i="8"/>
  <c r="F317" i="8"/>
  <c r="C335" i="8"/>
  <c r="G352" i="8"/>
  <c r="H369" i="8"/>
  <c r="G391" i="8"/>
  <c r="H414" i="8"/>
  <c r="G437" i="8"/>
  <c r="G460" i="8"/>
  <c r="G484" i="8"/>
  <c r="G510" i="8"/>
  <c r="D541" i="8"/>
  <c r="E574" i="8"/>
  <c r="E611" i="8"/>
  <c r="D672" i="8"/>
  <c r="C739" i="8"/>
  <c r="F816" i="8"/>
  <c r="G927" i="8"/>
  <c r="B6" i="2"/>
  <c r="C2" i="8"/>
  <c r="F7" i="8"/>
  <c r="D17" i="8"/>
  <c r="D27" i="8"/>
  <c r="F38" i="8"/>
  <c r="F48" i="8"/>
  <c r="C59" i="8"/>
  <c r="H69" i="8"/>
  <c r="H79" i="8"/>
  <c r="E91" i="8"/>
  <c r="F101" i="8"/>
  <c r="D113" i="8"/>
  <c r="C123" i="8"/>
  <c r="F133" i="8"/>
  <c r="H144" i="8"/>
  <c r="H155" i="8"/>
  <c r="F168" i="8"/>
  <c r="E179" i="8"/>
  <c r="G192" i="8"/>
  <c r="H204" i="8"/>
  <c r="C217" i="8"/>
  <c r="E230" i="8"/>
  <c r="G242" i="8"/>
  <c r="H256" i="8"/>
  <c r="F271" i="8"/>
  <c r="F286" i="8"/>
  <c r="F302" i="8"/>
  <c r="F318" i="8"/>
  <c r="E336" i="8"/>
  <c r="F353" i="8"/>
  <c r="D371" i="8"/>
  <c r="E393" i="8"/>
  <c r="E415" i="8"/>
  <c r="C439" i="8"/>
  <c r="H462" i="8"/>
  <c r="D487" i="8"/>
  <c r="E512" i="8"/>
  <c r="D543" i="8"/>
  <c r="G575" i="8"/>
  <c r="C616" i="8"/>
  <c r="F674" i="8"/>
  <c r="C742" i="8"/>
  <c r="E823" i="8"/>
  <c r="D996" i="8"/>
  <c r="E1000" i="8"/>
  <c r="E991" i="8"/>
  <c r="G981" i="8"/>
  <c r="F971" i="8"/>
  <c r="G963" i="8"/>
  <c r="E954" i="8"/>
  <c r="F946" i="8"/>
  <c r="C937" i="8"/>
  <c r="C929" i="8"/>
  <c r="H919" i="8"/>
  <c r="D911" i="8"/>
  <c r="G901" i="8"/>
  <c r="G893" i="8"/>
  <c r="E884" i="8"/>
  <c r="D876" i="8"/>
  <c r="E867" i="8"/>
  <c r="H858" i="8"/>
  <c r="D851" i="8"/>
  <c r="G844" i="8"/>
  <c r="C836" i="8"/>
  <c r="C830" i="8"/>
  <c r="H821" i="8"/>
  <c r="E816" i="8"/>
  <c r="H808" i="8"/>
  <c r="F802" i="8"/>
  <c r="C796" i="8"/>
  <c r="D789" i="8"/>
  <c r="E782" i="8"/>
  <c r="C777" i="8"/>
  <c r="E770" i="8"/>
  <c r="H764" i="8"/>
  <c r="D758" i="8"/>
  <c r="C753" i="8"/>
  <c r="G746" i="8"/>
  <c r="H741" i="8"/>
  <c r="D735" i="8"/>
  <c r="F730" i="8"/>
  <c r="F724" i="8"/>
  <c r="D719" i="8"/>
  <c r="C713" i="8"/>
  <c r="H991" i="8"/>
  <c r="D980" i="8"/>
  <c r="H970" i="8"/>
  <c r="H961" i="8"/>
  <c r="H951" i="8"/>
  <c r="D942" i="8"/>
  <c r="D933" i="8"/>
  <c r="D924" i="8"/>
  <c r="F913" i="8"/>
  <c r="C905" i="8"/>
  <c r="H894" i="8"/>
  <c r="C887" i="8"/>
  <c r="G875" i="8"/>
  <c r="G865" i="8"/>
  <c r="D857" i="8"/>
  <c r="D849" i="8"/>
  <c r="H840" i="8"/>
  <c r="E834" i="8"/>
  <c r="E825" i="8"/>
  <c r="H817" i="8"/>
  <c r="G810" i="8"/>
  <c r="E803" i="8"/>
  <c r="G796" i="8"/>
  <c r="G788" i="8"/>
  <c r="C782" i="8"/>
  <c r="E775" i="8"/>
  <c r="E769" i="8"/>
  <c r="E761" i="8"/>
  <c r="C756" i="8"/>
  <c r="E749" i="8"/>
  <c r="D743" i="8"/>
  <c r="E737" i="8"/>
  <c r="E731" i="8"/>
  <c r="E725" i="8"/>
  <c r="F718" i="8"/>
  <c r="F712" i="8"/>
  <c r="D707" i="8"/>
  <c r="C701" i="8"/>
  <c r="D696" i="8"/>
  <c r="E690" i="8"/>
  <c r="F684" i="8"/>
  <c r="H678" i="8"/>
  <c r="E673" i="8"/>
  <c r="E667" i="8"/>
  <c r="F662" i="8"/>
  <c r="G656" i="8"/>
  <c r="C651" i="8"/>
  <c r="D645" i="8"/>
  <c r="D640" i="8"/>
  <c r="D634" i="8"/>
  <c r="G628" i="8"/>
  <c r="D624" i="8"/>
  <c r="D620" i="8"/>
  <c r="E616" i="8"/>
  <c r="C613" i="8"/>
  <c r="D609" i="8"/>
  <c r="H999" i="8"/>
  <c r="E988" i="8"/>
  <c r="E976" i="8"/>
  <c r="G965" i="8"/>
  <c r="H956" i="8"/>
  <c r="F945" i="8"/>
  <c r="C935" i="8"/>
  <c r="C925" i="8"/>
  <c r="H915" i="8"/>
  <c r="H904" i="8"/>
  <c r="C893" i="8"/>
  <c r="H882" i="8"/>
  <c r="H871" i="8"/>
  <c r="H862" i="8"/>
  <c r="E853" i="8"/>
  <c r="H844" i="8"/>
  <c r="E835" i="8"/>
  <c r="E826" i="8"/>
  <c r="C819" i="8"/>
  <c r="E811" i="8"/>
  <c r="C803" i="8"/>
  <c r="E794" i="8"/>
  <c r="G786" i="8"/>
  <c r="E780" i="8"/>
  <c r="C773" i="8"/>
  <c r="E765" i="8"/>
  <c r="C758" i="8"/>
  <c r="H751" i="8"/>
  <c r="G744" i="8"/>
  <c r="F738" i="8"/>
  <c r="H731" i="8"/>
  <c r="E724" i="8"/>
  <c r="D718" i="8"/>
  <c r="C711" i="8"/>
  <c r="H704" i="8"/>
  <c r="C700" i="8"/>
  <c r="D693" i="8"/>
  <c r="G686" i="8"/>
  <c r="C681" i="8"/>
  <c r="G674" i="8"/>
  <c r="G668" i="8"/>
  <c r="G662" i="8"/>
  <c r="C656" i="8"/>
  <c r="H649" i="8"/>
  <c r="H643" i="8"/>
  <c r="C638" i="8"/>
  <c r="C632" i="8"/>
  <c r="C626" i="8"/>
  <c r="H621" i="8"/>
  <c r="H617" i="8"/>
  <c r="F613" i="8"/>
  <c r="H609" i="8"/>
  <c r="C606" i="8"/>
  <c r="E602" i="8"/>
  <c r="D598" i="8"/>
  <c r="E594" i="8"/>
  <c r="C591" i="8"/>
  <c r="D587" i="8"/>
  <c r="G583" i="8"/>
  <c r="E580" i="8"/>
  <c r="C577" i="8"/>
  <c r="G573" i="8"/>
  <c r="E570" i="8"/>
  <c r="C567" i="8"/>
  <c r="E563" i="8"/>
  <c r="G559" i="8"/>
  <c r="F556" i="8"/>
  <c r="D553" i="8"/>
  <c r="G549" i="8"/>
  <c r="E546" i="8"/>
  <c r="C543" i="8"/>
  <c r="F539" i="8"/>
  <c r="E536" i="8"/>
  <c r="C533" i="8"/>
  <c r="G529" i="8"/>
  <c r="F526" i="8"/>
  <c r="D523" i="8"/>
  <c r="E520" i="8"/>
  <c r="C517" i="8"/>
  <c r="H513" i="8"/>
  <c r="H510" i="8"/>
  <c r="G507" i="8"/>
  <c r="G504" i="8"/>
  <c r="F501" i="8"/>
  <c r="G498" i="8"/>
  <c r="D495" i="8"/>
  <c r="E492" i="8"/>
  <c r="C489" i="8"/>
  <c r="G485" i="8"/>
  <c r="H482" i="8"/>
  <c r="F479" i="8"/>
  <c r="G476" i="8"/>
  <c r="E473" i="8"/>
  <c r="F470" i="8"/>
  <c r="E467" i="8"/>
  <c r="G464" i="8"/>
  <c r="F461" i="8"/>
  <c r="H458" i="8"/>
  <c r="G455" i="8"/>
  <c r="C453" i="8"/>
  <c r="E450" i="8"/>
  <c r="D447" i="8"/>
  <c r="F444" i="8"/>
  <c r="F441" i="8"/>
  <c r="H438" i="8"/>
  <c r="H435" i="8"/>
  <c r="C433" i="8"/>
  <c r="E430" i="8"/>
  <c r="E427" i="8"/>
  <c r="F424" i="8"/>
  <c r="F421" i="8"/>
  <c r="G418" i="8"/>
  <c r="G415" i="8"/>
  <c r="C413" i="8"/>
  <c r="E410" i="8"/>
  <c r="E407" i="8"/>
  <c r="G404" i="8"/>
  <c r="F401" i="8"/>
  <c r="H398" i="8"/>
  <c r="H395" i="8"/>
  <c r="C393" i="8"/>
  <c r="E390" i="8"/>
  <c r="D387" i="8"/>
  <c r="F384" i="8"/>
  <c r="F381" i="8"/>
  <c r="H378" i="8"/>
  <c r="H375" i="8"/>
  <c r="C373" i="8"/>
  <c r="E370" i="8"/>
  <c r="E367" i="8"/>
  <c r="G364" i="8"/>
  <c r="F361" i="8"/>
  <c r="G358" i="8"/>
  <c r="G355" i="8"/>
  <c r="C353" i="8"/>
  <c r="E350" i="8"/>
  <c r="E347" i="8"/>
  <c r="G344" i="8"/>
  <c r="F341" i="8"/>
  <c r="H338" i="8"/>
  <c r="H335" i="8"/>
  <c r="D333" i="8"/>
  <c r="E330" i="8"/>
  <c r="D327" i="8"/>
  <c r="F324" i="8"/>
  <c r="F321" i="8"/>
  <c r="H318" i="8"/>
  <c r="H315" i="8"/>
  <c r="C313" i="8"/>
  <c r="E310" i="8"/>
  <c r="E307" i="8"/>
  <c r="G304" i="8"/>
  <c r="G301" i="8"/>
  <c r="G298" i="8"/>
  <c r="G295" i="8"/>
  <c r="C293" i="8"/>
  <c r="E290" i="8"/>
  <c r="C995" i="8"/>
  <c r="H982" i="8"/>
  <c r="E969" i="8"/>
  <c r="C959" i="8"/>
  <c r="E947" i="8"/>
  <c r="D936" i="8"/>
  <c r="H924" i="8"/>
  <c r="H911" i="8"/>
  <c r="H900" i="8"/>
  <c r="G889" i="8"/>
  <c r="F878" i="8"/>
  <c r="E868" i="8"/>
  <c r="E856" i="8"/>
  <c r="H847" i="8"/>
  <c r="E838" i="8"/>
  <c r="G828" i="8"/>
  <c r="D820" i="8"/>
  <c r="F810" i="8"/>
  <c r="C802" i="8"/>
  <c r="H792" i="8"/>
  <c r="C785" i="8"/>
  <c r="E777" i="8"/>
  <c r="H769" i="8"/>
  <c r="C761" i="8"/>
  <c r="E753" i="8"/>
  <c r="E746" i="8"/>
  <c r="H738" i="8"/>
  <c r="C732" i="8"/>
  <c r="C724" i="8"/>
  <c r="G716" i="8"/>
  <c r="H709" i="8"/>
  <c r="E703" i="8"/>
  <c r="H696" i="8"/>
  <c r="H689" i="8"/>
  <c r="C683" i="8"/>
  <c r="C677" i="8"/>
  <c r="C670" i="8"/>
  <c r="D663" i="8"/>
  <c r="H656" i="8"/>
  <c r="E649" i="8"/>
  <c r="D643" i="8"/>
  <c r="F636" i="8"/>
  <c r="H629" i="8"/>
  <c r="E624" i="8"/>
  <c r="H619" i="8"/>
  <c r="E615" i="8"/>
  <c r="H610" i="8"/>
  <c r="H606" i="8"/>
  <c r="G602" i="8"/>
  <c r="G598" i="8"/>
  <c r="D594" i="8"/>
  <c r="D590" i="8"/>
  <c r="E586" i="8"/>
  <c r="G582" i="8"/>
  <c r="D579" i="8"/>
  <c r="D575" i="8"/>
  <c r="F571" i="8"/>
  <c r="G567" i="8"/>
  <c r="F564" i="8"/>
  <c r="G560" i="8"/>
  <c r="G556" i="8"/>
  <c r="C553" i="8"/>
  <c r="C549" i="8"/>
  <c r="F545" i="8"/>
  <c r="G541" i="8"/>
  <c r="E538" i="8"/>
  <c r="F534" i="8"/>
  <c r="H530" i="8"/>
  <c r="F527" i="8"/>
  <c r="H523" i="8"/>
  <c r="H520" i="8"/>
  <c r="E517" i="8"/>
  <c r="F513" i="8"/>
  <c r="E994" i="8"/>
  <c r="H979" i="8"/>
  <c r="C969" i="8"/>
  <c r="E958" i="8"/>
  <c r="H946" i="8"/>
  <c r="H934" i="8"/>
  <c r="H922" i="8"/>
  <c r="G911" i="8"/>
  <c r="D900" i="8"/>
  <c r="H888" i="8"/>
  <c r="E878" i="8"/>
  <c r="D867" i="8"/>
  <c r="C855" i="8"/>
  <c r="E846" i="8"/>
  <c r="D838" i="8"/>
  <c r="F828" i="8"/>
  <c r="H818" i="8"/>
  <c r="E810" i="8"/>
  <c r="C801" i="8"/>
  <c r="G792" i="8"/>
  <c r="F784" i="8"/>
  <c r="G776" i="8"/>
  <c r="C768" i="8"/>
  <c r="G760" i="8"/>
  <c r="D753" i="8"/>
  <c r="C746" i="8"/>
  <c r="G738" i="8"/>
  <c r="C731" i="8"/>
  <c r="D723" i="8"/>
  <c r="D716" i="8"/>
  <c r="H708" i="8"/>
  <c r="D703" i="8"/>
  <c r="E696" i="8"/>
  <c r="E689" i="8"/>
  <c r="F682" i="8"/>
  <c r="C676" i="8"/>
  <c r="H669" i="8"/>
  <c r="C663" i="8"/>
  <c r="H655" i="8"/>
  <c r="H648" i="8"/>
  <c r="E642" i="8"/>
  <c r="E636" i="8"/>
  <c r="D629" i="8"/>
  <c r="F623" i="8"/>
  <c r="E619" i="8"/>
  <c r="C615" i="8"/>
  <c r="G610" i="8"/>
  <c r="E606" i="8"/>
  <c r="F602" i="8"/>
  <c r="H597" i="8"/>
  <c r="C594" i="8"/>
  <c r="C590" i="8"/>
  <c r="H585" i="8"/>
  <c r="F582" i="8"/>
  <c r="G578" i="8"/>
  <c r="H574" i="8"/>
  <c r="E571" i="8"/>
  <c r="F567" i="8"/>
  <c r="E564" i="8"/>
  <c r="E560" i="8"/>
  <c r="E556" i="8"/>
  <c r="H552" i="8"/>
  <c r="H548" i="8"/>
  <c r="E545" i="8"/>
  <c r="F541" i="8"/>
  <c r="G537" i="8"/>
  <c r="H533" i="8"/>
  <c r="G530" i="8"/>
  <c r="E527" i="8"/>
  <c r="G523" i="8"/>
  <c r="F520" i="8"/>
  <c r="H516" i="8"/>
  <c r="E513" i="8"/>
  <c r="D991" i="8"/>
  <c r="E975" i="8"/>
  <c r="D963" i="8"/>
  <c r="F950" i="8"/>
  <c r="H936" i="8"/>
  <c r="E921" i="8"/>
  <c r="E907" i="8"/>
  <c r="H895" i="8"/>
  <c r="F881" i="8"/>
  <c r="F868" i="8"/>
  <c r="F854" i="8"/>
  <c r="H842" i="8"/>
  <c r="C832" i="8"/>
  <c r="C821" i="8"/>
  <c r="D812" i="8"/>
  <c r="E799" i="8"/>
  <c r="D790" i="8"/>
  <c r="F780" i="8"/>
  <c r="C771" i="8"/>
  <c r="D761" i="8"/>
  <c r="C752" i="8"/>
  <c r="E742" i="8"/>
  <c r="G734" i="8"/>
  <c r="H726" i="8"/>
  <c r="C717" i="8"/>
  <c r="F708" i="8"/>
  <c r="G700" i="8"/>
  <c r="H692" i="8"/>
  <c r="G684" i="8"/>
  <c r="D677" i="8"/>
  <c r="C668" i="8"/>
  <c r="D660" i="8"/>
  <c r="G652" i="8"/>
  <c r="C645" i="8"/>
  <c r="H636" i="8"/>
  <c r="F628" i="8"/>
  <c r="F622" i="8"/>
  <c r="D617" i="8"/>
  <c r="H611" i="8"/>
  <c r="C607" i="8"/>
  <c r="F601" i="8"/>
  <c r="G596" i="8"/>
  <c r="C592" i="8"/>
  <c r="E587" i="8"/>
  <c r="H582" i="8"/>
  <c r="H577" i="8"/>
  <c r="H573" i="8"/>
  <c r="D569" i="8"/>
  <c r="C565" i="8"/>
  <c r="C561" i="8"/>
  <c r="G555" i="8"/>
  <c r="E551" i="8"/>
  <c r="C547" i="8"/>
  <c r="H542" i="8"/>
  <c r="G538" i="8"/>
  <c r="F533" i="8"/>
  <c r="E529" i="8"/>
  <c r="E525" i="8"/>
  <c r="E521" i="8"/>
  <c r="F517" i="8"/>
  <c r="C513" i="8"/>
  <c r="F509" i="8"/>
  <c r="E506" i="8"/>
  <c r="G502" i="8"/>
  <c r="E499" i="8"/>
  <c r="E496" i="8"/>
  <c r="G492" i="8"/>
  <c r="E489" i="8"/>
  <c r="F485" i="8"/>
  <c r="E482" i="8"/>
  <c r="C479" i="8"/>
  <c r="F475" i="8"/>
  <c r="F472" i="8"/>
  <c r="G468" i="8"/>
  <c r="F465" i="8"/>
  <c r="G462" i="8"/>
  <c r="E459" i="8"/>
  <c r="F456" i="8"/>
  <c r="D453" i="8"/>
  <c r="G449" i="8"/>
  <c r="H446" i="8"/>
  <c r="G443" i="8"/>
  <c r="H440" i="8"/>
  <c r="E437" i="8"/>
  <c r="F434" i="8"/>
  <c r="E431" i="8"/>
  <c r="E428" i="8"/>
  <c r="D425" i="8"/>
  <c r="E422" i="8"/>
  <c r="C419" i="8"/>
  <c r="F415" i="8"/>
  <c r="G412" i="8"/>
  <c r="F409" i="8"/>
  <c r="F406" i="8"/>
  <c r="D403" i="8"/>
  <c r="E400" i="8"/>
  <c r="C397" i="8"/>
  <c r="H393" i="8"/>
  <c r="C391" i="8"/>
  <c r="G387" i="8"/>
  <c r="G384" i="8"/>
  <c r="E381" i="8"/>
  <c r="F378" i="8"/>
  <c r="D375" i="8"/>
  <c r="H371" i="8"/>
  <c r="C369" i="8"/>
  <c r="G365" i="8"/>
  <c r="H362" i="8"/>
  <c r="G359" i="8"/>
  <c r="H356" i="8"/>
  <c r="E353" i="8"/>
  <c r="F350" i="8"/>
  <c r="D347" i="8"/>
  <c r="H343" i="8"/>
  <c r="C341" i="8"/>
  <c r="G337" i="8"/>
  <c r="G334" i="8"/>
  <c r="F331" i="8"/>
  <c r="G328" i="8"/>
  <c r="F325" i="8"/>
  <c r="E322" i="8"/>
  <c r="D319" i="8"/>
  <c r="E316" i="8"/>
  <c r="H312" i="8"/>
  <c r="G309" i="8"/>
  <c r="G306" i="8"/>
  <c r="E303" i="8"/>
  <c r="F300" i="8"/>
  <c r="E297" i="8"/>
  <c r="F294" i="8"/>
  <c r="D291" i="8"/>
  <c r="H287" i="8"/>
  <c r="D285" i="8"/>
  <c r="F282" i="8"/>
  <c r="E279" i="8"/>
  <c r="G276" i="8"/>
  <c r="G273" i="8"/>
  <c r="C271" i="8"/>
  <c r="E268" i="8"/>
  <c r="E265" i="8"/>
  <c r="F262" i="8"/>
  <c r="E259" i="8"/>
  <c r="G256" i="8"/>
  <c r="G253" i="8"/>
  <c r="C251" i="8"/>
  <c r="H247" i="8"/>
  <c r="D245" i="8"/>
  <c r="F242" i="8"/>
  <c r="F239" i="8"/>
  <c r="H236" i="8"/>
  <c r="G233" i="8"/>
  <c r="C231" i="8"/>
  <c r="H227" i="8"/>
  <c r="D225" i="8"/>
  <c r="F222" i="8"/>
  <c r="E219" i="8"/>
  <c r="G216" i="8"/>
  <c r="G213" i="8"/>
  <c r="C211" i="8"/>
  <c r="E208" i="8"/>
  <c r="E205" i="8"/>
  <c r="F202" i="8"/>
  <c r="F199" i="8"/>
  <c r="G196" i="8"/>
  <c r="G193" i="8"/>
  <c r="C191" i="8"/>
  <c r="H187" i="8"/>
  <c r="D185" i="8"/>
  <c r="F182" i="8"/>
  <c r="D1000" i="8"/>
  <c r="F985" i="8"/>
  <c r="H968" i="8"/>
  <c r="G953" i="8"/>
  <c r="H939" i="8"/>
  <c r="D925" i="8"/>
  <c r="G909" i="8"/>
  <c r="F894" i="8"/>
  <c r="H879" i="8"/>
  <c r="G863" i="8"/>
  <c r="E850" i="8"/>
  <c r="H839" i="8"/>
  <c r="C826" i="8"/>
  <c r="F814" i="8"/>
  <c r="C804" i="8"/>
  <c r="E792" i="8"/>
  <c r="E781" i="8"/>
  <c r="C772" i="8"/>
  <c r="E760" i="8"/>
  <c r="E750" i="8"/>
  <c r="D741" i="8"/>
  <c r="G732" i="8"/>
  <c r="D722" i="8"/>
  <c r="H712" i="8"/>
  <c r="D704" i="8"/>
  <c r="E694" i="8"/>
  <c r="F686" i="8"/>
  <c r="E678" i="8"/>
  <c r="E669" i="8"/>
  <c r="C660" i="8"/>
  <c r="E652" i="8"/>
  <c r="E641" i="8"/>
  <c r="H633" i="8"/>
  <c r="F625" i="8"/>
  <c r="C620" i="8"/>
  <c r="H613" i="8"/>
  <c r="D608" i="8"/>
  <c r="C603" i="8"/>
  <c r="E597" i="8"/>
  <c r="E592" i="8"/>
  <c r="C587" i="8"/>
  <c r="G581" i="8"/>
  <c r="D577" i="8"/>
  <c r="F572" i="8"/>
  <c r="E567" i="8"/>
  <c r="F562" i="8"/>
  <c r="E558" i="8"/>
  <c r="E553" i="8"/>
  <c r="E548" i="8"/>
  <c r="E543" i="8"/>
  <c r="H538" i="8"/>
  <c r="E533" i="8"/>
  <c r="G528" i="8"/>
  <c r="H524" i="8"/>
  <c r="G519" i="8"/>
  <c r="F515" i="8"/>
  <c r="E511" i="8"/>
  <c r="E507" i="8"/>
  <c r="H503" i="8"/>
  <c r="H499" i="8"/>
  <c r="G496" i="8"/>
  <c r="C493" i="8"/>
  <c r="H488" i="8"/>
  <c r="D485" i="8"/>
  <c r="F481" i="8"/>
  <c r="H477" i="8"/>
  <c r="E474" i="8"/>
  <c r="G470" i="8"/>
  <c r="C467" i="8"/>
  <c r="E463" i="8"/>
  <c r="E460" i="8"/>
  <c r="H456" i="8"/>
  <c r="F453" i="8"/>
  <c r="F449" i="8"/>
  <c r="F446" i="8"/>
  <c r="D443" i="8"/>
  <c r="F439" i="8"/>
  <c r="F436" i="8"/>
  <c r="H432" i="8"/>
  <c r="E429" i="8"/>
  <c r="E426" i="8"/>
  <c r="H422" i="8"/>
  <c r="F419" i="8"/>
  <c r="H415" i="8"/>
  <c r="F412" i="8"/>
  <c r="C409" i="8"/>
  <c r="F405" i="8"/>
  <c r="F402" i="8"/>
  <c r="C399" i="8"/>
  <c r="E395" i="8"/>
  <c r="H391" i="8"/>
  <c r="H388" i="8"/>
  <c r="F385" i="8"/>
  <c r="H381" i="8"/>
  <c r="G378" i="8"/>
  <c r="C375" i="8"/>
  <c r="F371" i="8"/>
  <c r="E368" i="8"/>
  <c r="C365" i="8"/>
  <c r="E361" i="8"/>
  <c r="H357" i="8"/>
  <c r="H354" i="8"/>
  <c r="E351" i="8"/>
  <c r="H347" i="8"/>
  <c r="H344" i="8"/>
  <c r="D341" i="8"/>
  <c r="F337" i="8"/>
  <c r="E334" i="8"/>
  <c r="C331" i="8"/>
  <c r="E327" i="8"/>
  <c r="H323" i="8"/>
  <c r="H320" i="8"/>
  <c r="E317" i="8"/>
  <c r="H313" i="8"/>
  <c r="G310" i="8"/>
  <c r="D307" i="8"/>
  <c r="G303" i="8"/>
  <c r="E300" i="8"/>
  <c r="C297" i="8"/>
  <c r="E293" i="8"/>
  <c r="H289" i="8"/>
  <c r="C287" i="8"/>
  <c r="G283" i="8"/>
  <c r="H280" i="8"/>
  <c r="F277" i="8"/>
  <c r="F274" i="8"/>
  <c r="E271" i="8"/>
  <c r="F268" i="8"/>
  <c r="C265" i="8"/>
  <c r="G261" i="8"/>
  <c r="H258" i="8"/>
  <c r="G255" i="8"/>
  <c r="G252" i="8"/>
  <c r="F249" i="8"/>
  <c r="F246" i="8"/>
  <c r="D243" i="8"/>
  <c r="E240" i="8"/>
  <c r="D237" i="8"/>
  <c r="E234" i="8"/>
  <c r="G230" i="8"/>
  <c r="F227" i="8"/>
  <c r="G224" i="8"/>
  <c r="E221" i="8"/>
  <c r="F218" i="8"/>
  <c r="E215" i="8"/>
  <c r="H211" i="8"/>
  <c r="C209" i="8"/>
  <c r="H205" i="8"/>
  <c r="C203" i="8"/>
  <c r="G199" i="8"/>
  <c r="F196" i="8"/>
  <c r="E193" i="8"/>
  <c r="E190" i="8"/>
  <c r="D187" i="8"/>
  <c r="E184" i="8"/>
  <c r="H180" i="8"/>
  <c r="H177" i="8"/>
  <c r="D175" i="8"/>
  <c r="F172" i="8"/>
  <c r="F169" i="8"/>
  <c r="G166" i="8"/>
  <c r="G163" i="8"/>
  <c r="C161" i="8"/>
  <c r="E158" i="8"/>
  <c r="E155" i="8"/>
  <c r="G152" i="8"/>
  <c r="E149" i="8"/>
  <c r="G146" i="8"/>
  <c r="G999" i="8"/>
  <c r="D988" i="8"/>
  <c r="C971" i="8"/>
  <c r="D954" i="8"/>
  <c r="D939" i="8"/>
  <c r="H920" i="8"/>
  <c r="H905" i="8"/>
  <c r="D888" i="8"/>
  <c r="F872" i="8"/>
  <c r="F858" i="8"/>
  <c r="C844" i="8"/>
  <c r="H830" i="8"/>
  <c r="G816" i="8"/>
  <c r="D806" i="8"/>
  <c r="C794" i="8"/>
  <c r="H780" i="8"/>
  <c r="C770" i="8"/>
  <c r="H757" i="8"/>
  <c r="E748" i="8"/>
  <c r="D737" i="8"/>
  <c r="E727" i="8"/>
  <c r="H715" i="8"/>
  <c r="C707" i="8"/>
  <c r="H697" i="8"/>
  <c r="E688" i="8"/>
  <c r="G678" i="8"/>
  <c r="C667" i="8"/>
  <c r="C659" i="8"/>
  <c r="G648" i="8"/>
  <c r="E640" i="8"/>
  <c r="H630" i="8"/>
  <c r="G622" i="8"/>
  <c r="D616" i="8"/>
  <c r="E610" i="8"/>
  <c r="E604" i="8"/>
  <c r="E599" i="8"/>
  <c r="C593" i="8"/>
  <c r="H586" i="8"/>
  <c r="D581" i="8"/>
  <c r="F576" i="8"/>
  <c r="G570" i="8"/>
  <c r="E565" i="8"/>
  <c r="F559" i="8"/>
  <c r="H554" i="8"/>
  <c r="E550" i="8"/>
  <c r="E544" i="8"/>
  <c r="D539" i="8"/>
  <c r="G533" i="8"/>
  <c r="F528" i="8"/>
  <c r="F523" i="8"/>
  <c r="H518" i="8"/>
  <c r="F514" i="8"/>
  <c r="G509" i="8"/>
  <c r="F505" i="8"/>
  <c r="G501" i="8"/>
  <c r="E497" i="8"/>
  <c r="G493" i="8"/>
  <c r="G489" i="8"/>
  <c r="E485" i="8"/>
  <c r="E481" i="8"/>
  <c r="E477" i="8"/>
  <c r="D473" i="8"/>
  <c r="F469" i="8"/>
  <c r="E465" i="8"/>
  <c r="G461" i="8"/>
  <c r="H457" i="8"/>
  <c r="F454" i="8"/>
  <c r="C451" i="8"/>
  <c r="C447" i="8"/>
  <c r="E443" i="8"/>
  <c r="E439" i="8"/>
  <c r="G435" i="8"/>
  <c r="H431" i="8"/>
  <c r="G428" i="8"/>
  <c r="H424" i="8"/>
  <c r="H420" i="8"/>
  <c r="E417" i="8"/>
  <c r="F413" i="8"/>
  <c r="H409" i="8"/>
  <c r="H405" i="8"/>
  <c r="G402" i="8"/>
  <c r="G398" i="8"/>
  <c r="C395" i="8"/>
  <c r="E391" i="8"/>
  <c r="E387" i="8"/>
  <c r="C989" i="8"/>
  <c r="H973" i="8"/>
  <c r="D952" i="8"/>
  <c r="F933" i="8"/>
  <c r="C917" i="8"/>
  <c r="G899" i="8"/>
  <c r="C883" i="8"/>
  <c r="D865" i="8"/>
  <c r="H849" i="8"/>
  <c r="H834" i="8"/>
  <c r="H820" i="8"/>
  <c r="G806" i="8"/>
  <c r="D794" i="8"/>
  <c r="C780" i="8"/>
  <c r="E767" i="8"/>
  <c r="D756" i="8"/>
  <c r="F744" i="8"/>
  <c r="C734" i="8"/>
  <c r="C722" i="8"/>
  <c r="G710" i="8"/>
  <c r="E700" i="8"/>
  <c r="F690" i="8"/>
  <c r="E679" i="8"/>
  <c r="C671" i="8"/>
  <c r="F658" i="8"/>
  <c r="C648" i="8"/>
  <c r="D638" i="8"/>
  <c r="G626" i="8"/>
  <c r="E620" i="8"/>
  <c r="D613" i="8"/>
  <c r="D606" i="8"/>
  <c r="D600" i="8"/>
  <c r="H593" i="8"/>
  <c r="H587" i="8"/>
  <c r="F581" i="8"/>
  <c r="F988" i="8"/>
  <c r="F969" i="8"/>
  <c r="E951" i="8"/>
  <c r="C933" i="8"/>
  <c r="H916" i="8"/>
  <c r="C899" i="8"/>
  <c r="F882" i="8"/>
  <c r="D863" i="8"/>
  <c r="H848" i="8"/>
  <c r="F834" i="8"/>
  <c r="G820" i="8"/>
  <c r="E806" i="8"/>
  <c r="F790" i="8"/>
  <c r="D778" i="8"/>
  <c r="E766" i="8"/>
  <c r="H755" i="8"/>
  <c r="E744" i="8"/>
  <c r="H733" i="8"/>
  <c r="F720" i="8"/>
  <c r="F710" i="8"/>
  <c r="D700" i="8"/>
  <c r="H688" i="8"/>
  <c r="C679" i="8"/>
  <c r="H666" i="8"/>
  <c r="E658" i="8"/>
  <c r="D647" i="8"/>
  <c r="H637" i="8"/>
  <c r="E626" i="8"/>
  <c r="D619" i="8"/>
  <c r="H612" i="8"/>
  <c r="E605" i="8"/>
  <c r="C600" i="8"/>
  <c r="F593" i="8"/>
  <c r="F587" i="8"/>
  <c r="C581" i="8"/>
  <c r="E575" i="8"/>
  <c r="G569" i="8"/>
  <c r="G563" i="8"/>
  <c r="F558" i="8"/>
  <c r="G551" i="8"/>
  <c r="G546" i="8"/>
  <c r="G540" i="8"/>
  <c r="F535" i="8"/>
  <c r="H529" i="8"/>
  <c r="G524" i="8"/>
  <c r="G518" i="8"/>
  <c r="D513" i="8"/>
  <c r="H508" i="8"/>
  <c r="F504" i="8"/>
  <c r="G499" i="8"/>
  <c r="G495" i="8"/>
  <c r="D491" i="8"/>
  <c r="C487" i="8"/>
  <c r="G482" i="8"/>
  <c r="E478" i="8"/>
  <c r="F473" i="8"/>
  <c r="H468" i="8"/>
  <c r="C465" i="8"/>
  <c r="H460" i="8"/>
  <c r="C457" i="8"/>
  <c r="G452" i="8"/>
  <c r="H448" i="8"/>
  <c r="H444" i="8"/>
  <c r="C441" i="8"/>
  <c r="H436" i="8"/>
  <c r="G432" i="8"/>
  <c r="H428" i="8"/>
  <c r="E424" i="8"/>
  <c r="F420" i="8"/>
  <c r="G416" i="8"/>
  <c r="E412" i="8"/>
  <c r="E408" i="8"/>
  <c r="E404" i="8"/>
  <c r="F400" i="8"/>
  <c r="F396" i="8"/>
  <c r="E392" i="8"/>
  <c r="F388" i="8"/>
  <c r="H383" i="8"/>
  <c r="G380" i="8"/>
  <c r="H376" i="8"/>
  <c r="E373" i="8"/>
  <c r="H985" i="8"/>
  <c r="C965" i="8"/>
  <c r="F944" i="8"/>
  <c r="E927" i="8"/>
  <c r="E903" i="8"/>
  <c r="C881" i="8"/>
  <c r="F860" i="8"/>
  <c r="E841" i="8"/>
  <c r="G824" i="8"/>
  <c r="D808" i="8"/>
  <c r="E790" i="8"/>
  <c r="D776" i="8"/>
  <c r="E763" i="8"/>
  <c r="G748" i="8"/>
  <c r="H734" i="8"/>
  <c r="E720" i="8"/>
  <c r="E707" i="8"/>
  <c r="D694" i="8"/>
  <c r="E682" i="8"/>
  <c r="E671" i="8"/>
  <c r="C657" i="8"/>
  <c r="H645" i="8"/>
  <c r="G632" i="8"/>
  <c r="C622" i="8"/>
  <c r="C614" i="8"/>
  <c r="H604" i="8"/>
  <c r="F597" i="8"/>
  <c r="G590" i="8"/>
  <c r="E584" i="8"/>
  <c r="H576" i="8"/>
  <c r="F570" i="8"/>
  <c r="G564" i="8"/>
  <c r="F557" i="8"/>
  <c r="D551" i="8"/>
  <c r="D545" i="8"/>
  <c r="C539" i="8"/>
  <c r="F532" i="8"/>
  <c r="G526" i="8"/>
  <c r="D521" i="8"/>
  <c r="E515" i="8"/>
  <c r="E510" i="8"/>
  <c r="C505" i="8"/>
  <c r="E500" i="8"/>
  <c r="C495" i="8"/>
  <c r="G490" i="8"/>
  <c r="E486" i="8"/>
  <c r="H480" i="8"/>
  <c r="H475" i="8"/>
  <c r="D471" i="8"/>
  <c r="G466" i="8"/>
  <c r="F462" i="8"/>
  <c r="G457" i="8"/>
  <c r="G453" i="8"/>
  <c r="C449" i="8"/>
  <c r="G444" i="8"/>
  <c r="H439" i="8"/>
  <c r="E435" i="8"/>
  <c r="D431" i="8"/>
  <c r="H426" i="8"/>
  <c r="G422" i="8"/>
  <c r="H417" i="8"/>
  <c r="G413" i="8"/>
  <c r="E409" i="8"/>
  <c r="C405" i="8"/>
  <c r="G400" i="8"/>
  <c r="E396" i="8"/>
  <c r="F391" i="8"/>
  <c r="H386" i="8"/>
  <c r="D383" i="8"/>
  <c r="D379" i="8"/>
  <c r="G374" i="8"/>
  <c r="C371" i="8"/>
  <c r="D367" i="8"/>
  <c r="E363" i="8"/>
  <c r="H359" i="8"/>
  <c r="H355" i="8"/>
  <c r="F352" i="8"/>
  <c r="H348" i="8"/>
  <c r="D345" i="8"/>
  <c r="E341" i="8"/>
  <c r="E337" i="8"/>
  <c r="G333" i="8"/>
  <c r="G329" i="8"/>
  <c r="F326" i="8"/>
  <c r="C323" i="8"/>
  <c r="G985" i="8"/>
  <c r="H964" i="8"/>
  <c r="E942" i="8"/>
  <c r="F921" i="8"/>
  <c r="F901" i="8"/>
  <c r="E877" i="8"/>
  <c r="D860" i="8"/>
  <c r="E840" i="8"/>
  <c r="C824" i="8"/>
  <c r="D807" i="8"/>
  <c r="C790" i="8"/>
  <c r="E774" i="8"/>
  <c r="E762" i="8"/>
  <c r="D748" i="8"/>
  <c r="F734" i="8"/>
  <c r="D720" i="8"/>
  <c r="H705" i="8"/>
  <c r="C694" i="8"/>
  <c r="C682" i="8"/>
  <c r="D671" i="8"/>
  <c r="D655" i="8"/>
  <c r="G644" i="8"/>
  <c r="D632" i="8"/>
  <c r="F621" i="8"/>
  <c r="E613" i="8"/>
  <c r="G604" i="8"/>
  <c r="D597" i="8"/>
  <c r="H589" i="8"/>
  <c r="E583" i="8"/>
  <c r="G576" i="8"/>
  <c r="H569" i="8"/>
  <c r="H562" i="8"/>
  <c r="E557" i="8"/>
  <c r="C551" i="8"/>
  <c r="C545" i="8"/>
  <c r="E537" i="8"/>
  <c r="G531" i="8"/>
  <c r="H525" i="8"/>
  <c r="C521" i="8"/>
  <c r="D515" i="8"/>
  <c r="E509" i="8"/>
  <c r="H504" i="8"/>
  <c r="F499" i="8"/>
  <c r="G494" i="8"/>
  <c r="F490" i="8"/>
  <c r="H484" i="8"/>
  <c r="F480" i="8"/>
  <c r="G475" i="8"/>
  <c r="C471" i="8"/>
  <c r="E466" i="8"/>
  <c r="E462" i="8"/>
  <c r="F457" i="8"/>
  <c r="H452" i="8"/>
  <c r="G448" i="8"/>
  <c r="E444" i="8"/>
  <c r="G439" i="8"/>
  <c r="D435" i="8"/>
  <c r="C431" i="8"/>
  <c r="G426" i="8"/>
  <c r="F422" i="8"/>
  <c r="G417" i="8"/>
  <c r="E413" i="8"/>
  <c r="G408" i="8"/>
  <c r="H404" i="8"/>
  <c r="H399" i="8"/>
  <c r="F395" i="8"/>
  <c r="D391" i="8"/>
  <c r="G386" i="8"/>
  <c r="C383" i="8"/>
  <c r="C379" i="8"/>
  <c r="F374" i="8"/>
  <c r="E983" i="8"/>
  <c r="E959" i="8"/>
  <c r="H930" i="8"/>
  <c r="E910" i="8"/>
  <c r="D887" i="8"/>
  <c r="H857" i="8"/>
  <c r="H835" i="8"/>
  <c r="C815" i="8"/>
  <c r="G798" i="8"/>
  <c r="C778" i="8"/>
  <c r="C760" i="8"/>
  <c r="D742" i="8"/>
  <c r="H727" i="8"/>
  <c r="E712" i="8"/>
  <c r="E697" i="8"/>
  <c r="D681" i="8"/>
  <c r="H665" i="8"/>
  <c r="F652" i="8"/>
  <c r="H635" i="8"/>
  <c r="E623" i="8"/>
  <c r="G612" i="8"/>
  <c r="D603" i="8"/>
  <c r="E595" i="8"/>
  <c r="D585" i="8"/>
  <c r="F577" i="8"/>
  <c r="C569" i="8"/>
  <c r="H561" i="8"/>
  <c r="G554" i="8"/>
  <c r="F547" i="8"/>
  <c r="E540" i="8"/>
  <c r="E531" i="8"/>
  <c r="D525" i="8"/>
  <c r="E518" i="8"/>
  <c r="F511" i="8"/>
  <c r="G505" i="8"/>
  <c r="D499" i="8"/>
  <c r="H493" i="8"/>
  <c r="H487" i="8"/>
  <c r="C483" i="8"/>
  <c r="H476" i="8"/>
  <c r="H470" i="8"/>
  <c r="D465" i="8"/>
  <c r="H459" i="8"/>
  <c r="C455" i="8"/>
  <c r="E449" i="8"/>
  <c r="H443" i="8"/>
  <c r="G438" i="8"/>
  <c r="G433" i="8"/>
  <c r="H427" i="8"/>
  <c r="D423" i="8"/>
  <c r="F417" i="8"/>
  <c r="H411" i="8"/>
  <c r="D407" i="8"/>
  <c r="G401" i="8"/>
  <c r="H396" i="8"/>
  <c r="H390" i="8"/>
  <c r="H385" i="8"/>
  <c r="C381" i="8"/>
  <c r="F376" i="8"/>
  <c r="E371" i="8"/>
  <c r="F367" i="8"/>
  <c r="D363" i="8"/>
  <c r="E359" i="8"/>
  <c r="D355" i="8"/>
  <c r="C351" i="8"/>
  <c r="C347" i="8"/>
  <c r="C343" i="8"/>
  <c r="D339" i="8"/>
  <c r="D335" i="8"/>
  <c r="D331" i="8"/>
  <c r="H326" i="8"/>
  <c r="D323" i="8"/>
  <c r="C319" i="8"/>
  <c r="D315" i="8"/>
  <c r="F311" i="8"/>
  <c r="H307" i="8"/>
  <c r="F304" i="8"/>
  <c r="G300" i="8"/>
  <c r="H296" i="8"/>
  <c r="H292" i="8"/>
  <c r="E289" i="8"/>
  <c r="H285" i="8"/>
  <c r="G282" i="8"/>
  <c r="C279" i="8"/>
  <c r="G275" i="8"/>
  <c r="E272" i="8"/>
  <c r="C269" i="8"/>
  <c r="G265" i="8"/>
  <c r="H261" i="8"/>
  <c r="G258" i="8"/>
  <c r="D255" i="8"/>
  <c r="H251" i="8"/>
  <c r="G248" i="8"/>
  <c r="C245" i="8"/>
  <c r="G241" i="8"/>
  <c r="E238" i="8"/>
  <c r="C235" i="8"/>
  <c r="G231" i="8"/>
  <c r="F228" i="8"/>
  <c r="H224" i="8"/>
  <c r="D221" i="8"/>
  <c r="H217" i="8"/>
  <c r="F214" i="8"/>
  <c r="D211" i="8"/>
  <c r="G207" i="8"/>
  <c r="E204" i="8"/>
  <c r="C201" i="8"/>
  <c r="F197" i="8"/>
  <c r="F194" i="8"/>
  <c r="G190" i="8"/>
  <c r="E187" i="8"/>
  <c r="H183" i="8"/>
  <c r="F180" i="8"/>
  <c r="E177" i="8"/>
  <c r="F174" i="8"/>
  <c r="D171" i="8"/>
  <c r="E168" i="8"/>
  <c r="C165" i="8"/>
  <c r="G161" i="8"/>
  <c r="H158" i="8"/>
  <c r="G155" i="8"/>
  <c r="H152" i="8"/>
  <c r="D149" i="8"/>
  <c r="E146" i="8"/>
  <c r="E143" i="8"/>
  <c r="G140" i="8"/>
  <c r="F137" i="8"/>
  <c r="H134" i="8"/>
  <c r="H131" i="8"/>
  <c r="D129" i="8"/>
  <c r="F126" i="8"/>
  <c r="D123" i="8"/>
  <c r="F120" i="8"/>
  <c r="F117" i="8"/>
  <c r="H114" i="8"/>
  <c r="H111" i="8"/>
  <c r="C109" i="8"/>
  <c r="E106" i="8"/>
  <c r="E103" i="8"/>
  <c r="G100" i="8"/>
  <c r="G97" i="8"/>
  <c r="C95" i="8"/>
  <c r="G91" i="8"/>
  <c r="C89" i="8"/>
  <c r="E86" i="8"/>
  <c r="E83" i="8"/>
  <c r="G80" i="8"/>
  <c r="F77" i="8"/>
  <c r="H74" i="8"/>
  <c r="H71" i="8"/>
  <c r="D69" i="8"/>
  <c r="F66" i="8"/>
  <c r="E63" i="8"/>
  <c r="F60" i="8"/>
  <c r="F57" i="8"/>
  <c r="H54" i="8"/>
  <c r="H51" i="8"/>
  <c r="C49" i="8"/>
  <c r="E46" i="8"/>
  <c r="E43" i="8"/>
  <c r="G40" i="8"/>
  <c r="G37" i="8"/>
  <c r="C35" i="8"/>
  <c r="H31" i="8"/>
  <c r="C29" i="8"/>
  <c r="E26" i="8"/>
  <c r="E23" i="8"/>
  <c r="G20" i="8"/>
  <c r="G17" i="8"/>
  <c r="D15" i="8"/>
  <c r="D979" i="8"/>
  <c r="D957" i="8"/>
  <c r="D930" i="8"/>
  <c r="D906" i="8"/>
  <c r="H876" i="8"/>
  <c r="F997" i="8"/>
  <c r="F965" i="8"/>
  <c r="F938" i="8"/>
  <c r="G905" i="8"/>
  <c r="E871" i="8"/>
  <c r="G848" i="8"/>
  <c r="D825" i="8"/>
  <c r="D802" i="8"/>
  <c r="E784" i="8"/>
  <c r="C764" i="8"/>
  <c r="E745" i="8"/>
  <c r="D727" i="8"/>
  <c r="G708" i="8"/>
  <c r="D692" i="8"/>
  <c r="C675" i="8"/>
  <c r="F660" i="8"/>
  <c r="E643" i="8"/>
  <c r="C627" i="8"/>
  <c r="H616" i="8"/>
  <c r="D607" i="8"/>
  <c r="D596" i="8"/>
  <c r="E585" i="8"/>
  <c r="E577" i="8"/>
  <c r="F568" i="8"/>
  <c r="D561" i="8"/>
  <c r="F552" i="8"/>
  <c r="G543" i="8"/>
  <c r="H535" i="8"/>
  <c r="H527" i="8"/>
  <c r="H519" i="8"/>
  <c r="G512" i="8"/>
  <c r="H506" i="8"/>
  <c r="C501" i="8"/>
  <c r="F493" i="8"/>
  <c r="E487" i="8"/>
  <c r="C481" i="8"/>
  <c r="H474" i="8"/>
  <c r="E468" i="8"/>
  <c r="C463" i="8"/>
  <c r="G456" i="8"/>
  <c r="E451" i="8"/>
  <c r="G445" i="8"/>
  <c r="D439" i="8"/>
  <c r="H433" i="8"/>
  <c r="G427" i="8"/>
  <c r="G421" i="8"/>
  <c r="E416" i="8"/>
  <c r="H410" i="8"/>
  <c r="D405" i="8"/>
  <c r="D399" i="8"/>
  <c r="F393" i="8"/>
  <c r="E388" i="8"/>
  <c r="E382" i="8"/>
  <c r="C377" i="8"/>
  <c r="G371" i="8"/>
  <c r="H366" i="8"/>
  <c r="G362" i="8"/>
  <c r="E358" i="8"/>
  <c r="E354" i="8"/>
  <c r="F349" i="8"/>
  <c r="E345" i="8"/>
  <c r="F340" i="8"/>
  <c r="F336" i="8"/>
  <c r="H331" i="8"/>
  <c r="H327" i="8"/>
  <c r="E323" i="8"/>
  <c r="G318" i="8"/>
  <c r="H314" i="8"/>
  <c r="C311" i="8"/>
  <c r="F306" i="8"/>
  <c r="G302" i="8"/>
  <c r="F298" i="8"/>
  <c r="H294" i="8"/>
  <c r="G290" i="8"/>
  <c r="G286" i="8"/>
  <c r="C283" i="8"/>
  <c r="D279" i="8"/>
  <c r="F275" i="8"/>
  <c r="G271" i="8"/>
  <c r="H267" i="8"/>
  <c r="E264" i="8"/>
  <c r="H260" i="8"/>
  <c r="D257" i="8"/>
  <c r="E253" i="8"/>
  <c r="G249" i="8"/>
  <c r="E997" i="8"/>
  <c r="C983" i="8"/>
  <c r="D951" i="8"/>
  <c r="E919" i="8"/>
  <c r="H891" i="8"/>
  <c r="D861" i="8"/>
  <c r="F838" i="8"/>
  <c r="E814" i="8"/>
  <c r="C797" i="8"/>
  <c r="E773" i="8"/>
  <c r="E754" i="8"/>
  <c r="E738" i="8"/>
  <c r="C720" i="8"/>
  <c r="E701" i="8"/>
  <c r="D686" i="8"/>
  <c r="C672" i="8"/>
  <c r="C653" i="8"/>
  <c r="E638" i="8"/>
  <c r="H622" i="8"/>
  <c r="C611" i="8"/>
  <c r="H600" i="8"/>
  <c r="E591" i="8"/>
  <c r="E582" i="8"/>
  <c r="D573" i="8"/>
  <c r="G565" i="8"/>
  <c r="D557" i="8"/>
  <c r="G548" i="8"/>
  <c r="C541" i="8"/>
  <c r="G532" i="8"/>
  <c r="C525" i="8"/>
  <c r="G516" i="8"/>
  <c r="F510" i="8"/>
  <c r="D503" i="8"/>
  <c r="D497" i="8"/>
  <c r="E491" i="8"/>
  <c r="F484" i="8"/>
  <c r="G478" i="8"/>
  <c r="G472" i="8"/>
  <c r="H465" i="8"/>
  <c r="F460" i="8"/>
  <c r="G454" i="8"/>
  <c r="F448" i="8"/>
  <c r="F442" i="8"/>
  <c r="D437" i="8"/>
  <c r="F431" i="8"/>
  <c r="F425" i="8"/>
  <c r="H419" i="8"/>
  <c r="G414" i="8"/>
  <c r="H407" i="8"/>
  <c r="H402" i="8"/>
  <c r="E397" i="8"/>
  <c r="F390" i="8"/>
  <c r="C385" i="8"/>
  <c r="G379" i="8"/>
  <c r="E374" i="8"/>
  <c r="G369" i="8"/>
  <c r="E365" i="8"/>
  <c r="H360" i="8"/>
  <c r="C357" i="8"/>
  <c r="E352" i="8"/>
  <c r="G347" i="8"/>
  <c r="D343" i="8"/>
  <c r="C339" i="8"/>
  <c r="F334" i="8"/>
  <c r="F329" i="8"/>
  <c r="G325" i="8"/>
  <c r="D321" i="8"/>
  <c r="C317" i="8"/>
  <c r="E313" i="8"/>
  <c r="C309" i="8"/>
  <c r="D305" i="8"/>
  <c r="C301" i="8"/>
  <c r="D297" i="8"/>
  <c r="G292" i="8"/>
  <c r="H288" i="8"/>
  <c r="C285" i="8"/>
  <c r="E281" i="8"/>
  <c r="G277" i="8"/>
  <c r="H273" i="8"/>
  <c r="F270" i="8"/>
  <c r="G266" i="8"/>
  <c r="D263" i="8"/>
  <c r="D259" i="8"/>
  <c r="E255" i="8"/>
  <c r="F251" i="8"/>
  <c r="G247" i="8"/>
  <c r="F244" i="8"/>
  <c r="G240" i="8"/>
  <c r="C237" i="8"/>
  <c r="C233" i="8"/>
  <c r="F229" i="8"/>
  <c r="H225" i="8"/>
  <c r="E222" i="8"/>
  <c r="G218" i="8"/>
  <c r="G214" i="8"/>
  <c r="H210" i="8"/>
  <c r="C207" i="8"/>
  <c r="F203" i="8"/>
  <c r="H199" i="8"/>
  <c r="H195" i="8"/>
  <c r="F192" i="8"/>
  <c r="H188" i="8"/>
  <c r="C185" i="8"/>
  <c r="F181" i="8"/>
  <c r="G177" i="8"/>
  <c r="G174" i="8"/>
  <c r="C171" i="8"/>
  <c r="F167" i="8"/>
  <c r="E164" i="8"/>
  <c r="H160" i="8"/>
  <c r="E157" i="8"/>
  <c r="H153" i="8"/>
  <c r="H150" i="8"/>
  <c r="E147" i="8"/>
  <c r="H143" i="8"/>
  <c r="C141" i="8"/>
  <c r="G137" i="8"/>
  <c r="G134" i="8"/>
  <c r="F131" i="8"/>
  <c r="E128" i="8"/>
  <c r="D125" i="8"/>
  <c r="E122" i="8"/>
  <c r="D119" i="8"/>
  <c r="H115" i="8"/>
  <c r="H112" i="8"/>
  <c r="G109" i="8"/>
  <c r="G106" i="8"/>
  <c r="F103" i="8"/>
  <c r="F100" i="8"/>
  <c r="C97" i="8"/>
  <c r="H93" i="8"/>
  <c r="C91" i="8"/>
  <c r="H87" i="8"/>
  <c r="H84" i="8"/>
  <c r="G81" i="8"/>
  <c r="G78" i="8"/>
  <c r="E75" i="8"/>
  <c r="F72" i="8"/>
  <c r="E69" i="8"/>
  <c r="E66" i="8"/>
  <c r="H62" i="8"/>
  <c r="G59" i="8"/>
  <c r="H56" i="8"/>
  <c r="F53" i="8"/>
  <c r="G50" i="8"/>
  <c r="E47" i="8"/>
  <c r="E44" i="8"/>
  <c r="D41" i="8"/>
  <c r="E38" i="8"/>
  <c r="D35" i="8"/>
  <c r="F31" i="8"/>
  <c r="G28" i="8"/>
  <c r="F25" i="8"/>
  <c r="F22" i="8"/>
  <c r="E19" i="8"/>
  <c r="G16" i="8"/>
  <c r="F13" i="8"/>
  <c r="C11" i="8"/>
  <c r="F8" i="8"/>
  <c r="G5" i="8"/>
  <c r="D3" i="8"/>
  <c r="H977" i="8"/>
  <c r="D948" i="8"/>
  <c r="H917" i="8"/>
  <c r="H889" i="8"/>
  <c r="C861" i="8"/>
  <c r="C835" i="8"/>
  <c r="D813" i="8"/>
  <c r="G794" i="8"/>
  <c r="D773" i="8"/>
  <c r="C754" i="8"/>
  <c r="C737" i="8"/>
  <c r="E718" i="8"/>
  <c r="D701" i="8"/>
  <c r="C686" i="8"/>
  <c r="F666" i="8"/>
  <c r="H652" i="8"/>
  <c r="F634" i="8"/>
  <c r="E621" i="8"/>
  <c r="F610" i="8"/>
  <c r="F600" i="8"/>
  <c r="D591" i="8"/>
  <c r="F580" i="8"/>
  <c r="C573" i="8"/>
  <c r="D565" i="8"/>
  <c r="H555" i="8"/>
  <c r="F548" i="8"/>
  <c r="F540" i="8"/>
  <c r="D531" i="8"/>
  <c r="C523" i="8"/>
  <c r="E516" i="8"/>
  <c r="C509" i="8"/>
  <c r="C503" i="8"/>
  <c r="C497" i="8"/>
  <c r="C491" i="8"/>
  <c r="E484" i="8"/>
  <c r="F478" i="8"/>
  <c r="G471" i="8"/>
  <c r="G465" i="8"/>
  <c r="G459" i="8"/>
  <c r="E454" i="8"/>
  <c r="H447" i="8"/>
  <c r="E442" i="8"/>
  <c r="C437" i="8"/>
  <c r="G430" i="8"/>
  <c r="E425" i="8"/>
  <c r="G419" i="8"/>
  <c r="F414" i="8"/>
  <c r="G407" i="8"/>
  <c r="E402" i="8"/>
  <c r="G396" i="8"/>
  <c r="G389" i="8"/>
  <c r="H384" i="8"/>
  <c r="F379" i="8"/>
  <c r="H373" i="8"/>
  <c r="E369" i="8"/>
  <c r="D365" i="8"/>
  <c r="G360" i="8"/>
  <c r="E356" i="8"/>
  <c r="H351" i="8"/>
  <c r="F347" i="8"/>
  <c r="H342" i="8"/>
  <c r="G338" i="8"/>
  <c r="H333" i="8"/>
  <c r="E329" i="8"/>
  <c r="E325" i="8"/>
  <c r="C321" i="8"/>
  <c r="H316" i="8"/>
  <c r="G312" i="8"/>
  <c r="H308" i="8"/>
  <c r="C305" i="8"/>
  <c r="H300" i="8"/>
  <c r="G296" i="8"/>
  <c r="F292" i="8"/>
  <c r="G288" i="8"/>
  <c r="H284" i="8"/>
  <c r="D281" i="8"/>
  <c r="E277" i="8"/>
  <c r="F273" i="8"/>
  <c r="G269" i="8"/>
  <c r="F266" i="8"/>
  <c r="C263" i="8"/>
  <c r="C259" i="8"/>
  <c r="C255" i="8"/>
  <c r="E251" i="8"/>
  <c r="F247" i="8"/>
  <c r="E244" i="8"/>
  <c r="F240" i="8"/>
  <c r="G236" i="8"/>
  <c r="H232" i="8"/>
  <c r="E229" i="8"/>
  <c r="G225" i="8"/>
  <c r="G221" i="8"/>
  <c r="E218" i="8"/>
  <c r="E214" i="8"/>
  <c r="G210" i="8"/>
  <c r="H206" i="8"/>
  <c r="E203" i="8"/>
  <c r="D199" i="8"/>
  <c r="G195" i="8"/>
  <c r="E192" i="8"/>
  <c r="G188" i="8"/>
  <c r="H184" i="8"/>
  <c r="E181" i="8"/>
  <c r="F177" i="8"/>
  <c r="E174" i="8"/>
  <c r="H170" i="8"/>
  <c r="E167" i="8"/>
  <c r="H163" i="8"/>
  <c r="G160" i="8"/>
  <c r="C157" i="8"/>
  <c r="G153" i="8"/>
  <c r="G150" i="8"/>
  <c r="D147" i="8"/>
  <c r="G143" i="8"/>
  <c r="H140" i="8"/>
  <c r="E137" i="8"/>
  <c r="F134" i="8"/>
  <c r="D131" i="8"/>
  <c r="H127" i="8"/>
  <c r="C125" i="8"/>
  <c r="H121" i="8"/>
  <c r="C119" i="8"/>
  <c r="G115" i="8"/>
  <c r="G112" i="8"/>
  <c r="F109" i="8"/>
  <c r="F106" i="8"/>
  <c r="D103" i="8"/>
  <c r="E100" i="8"/>
  <c r="H96" i="8"/>
  <c r="G93" i="8"/>
  <c r="H90" i="8"/>
  <c r="G87" i="8"/>
  <c r="G84" i="8"/>
  <c r="E81" i="8"/>
  <c r="F78" i="8"/>
  <c r="D75" i="8"/>
  <c r="E72" i="8"/>
  <c r="C69" i="8"/>
  <c r="F65" i="8"/>
  <c r="G62" i="8"/>
  <c r="F59" i="8"/>
  <c r="G56" i="8"/>
  <c r="E53" i="8"/>
  <c r="F50" i="8"/>
  <c r="D47" i="8"/>
  <c r="H43" i="8"/>
  <c r="C41" i="8"/>
  <c r="H37" i="8"/>
  <c r="G34" i="8"/>
  <c r="E31" i="8"/>
  <c r="F28" i="8"/>
  <c r="E25" i="8"/>
  <c r="E22" i="8"/>
  <c r="D19" i="8"/>
  <c r="E16" i="8"/>
  <c r="E13" i="8"/>
  <c r="H10" i="8"/>
  <c r="E8" i="8"/>
  <c r="F5" i="8"/>
  <c r="C3" i="8"/>
  <c r="D975" i="8"/>
  <c r="D916" i="8"/>
  <c r="D854" i="8"/>
  <c r="G812" i="8"/>
  <c r="D770" i="8"/>
  <c r="C730" i="8"/>
  <c r="D698" i="8"/>
  <c r="E683" i="8"/>
  <c r="G650" i="8"/>
  <c r="F618" i="8"/>
  <c r="H599" i="8"/>
  <c r="C589" i="8"/>
  <c r="G562" i="8"/>
  <c r="H546" i="8"/>
  <c r="F530" i="8"/>
  <c r="G515" i="8"/>
  <c r="E502" i="8"/>
  <c r="F489" i="8"/>
  <c r="C477" i="8"/>
  <c r="E464" i="8"/>
  <c r="E452" i="8"/>
  <c r="G441" i="8"/>
  <c r="H429" i="8"/>
  <c r="H412" i="8"/>
  <c r="D401" i="8"/>
  <c r="E389" i="8"/>
  <c r="E378" i="8"/>
  <c r="H368" i="8"/>
  <c r="E360" i="8"/>
  <c r="H350" i="8"/>
  <c r="F342" i="8"/>
  <c r="E333" i="8"/>
  <c r="G324" i="8"/>
  <c r="F316" i="8"/>
  <c r="E308" i="8"/>
  <c r="G299" i="8"/>
  <c r="H291" i="8"/>
  <c r="E284" i="8"/>
  <c r="D273" i="8"/>
  <c r="H265" i="8"/>
  <c r="G254" i="8"/>
  <c r="D247" i="8"/>
  <c r="G235" i="8"/>
  <c r="C225" i="8"/>
  <c r="F213" i="8"/>
  <c r="F206" i="8"/>
  <c r="H198" i="8"/>
  <c r="G191" i="8"/>
  <c r="F184" i="8"/>
  <c r="C177" i="8"/>
  <c r="E170" i="8"/>
  <c r="E163" i="8"/>
  <c r="G156" i="8"/>
  <c r="E150" i="8"/>
  <c r="D143" i="8"/>
  <c r="C137" i="8"/>
  <c r="G130" i="8"/>
  <c r="G124" i="8"/>
  <c r="F118" i="8"/>
  <c r="E112" i="8"/>
  <c r="G105" i="8"/>
  <c r="E99" i="8"/>
  <c r="E93" i="8"/>
  <c r="D87" i="8"/>
  <c r="C81" i="8"/>
  <c r="G74" i="8"/>
  <c r="E68" i="8"/>
  <c r="E62" i="8"/>
  <c r="H55" i="8"/>
  <c r="G49" i="8"/>
  <c r="F43" i="8"/>
  <c r="E37" i="8"/>
  <c r="H27" i="8"/>
  <c r="G21" i="8"/>
  <c r="G15" i="8"/>
  <c r="F10" i="8"/>
  <c r="D5" i="8"/>
  <c r="F977" i="8"/>
  <c r="F947" i="8"/>
  <c r="E916" i="8"/>
  <c r="H887" i="8"/>
  <c r="H854" i="8"/>
  <c r="C833" i="8"/>
  <c r="C813" i="8"/>
  <c r="D788" i="8"/>
  <c r="G772" i="8"/>
  <c r="G752" i="8"/>
  <c r="C735" i="8"/>
  <c r="E715" i="8"/>
  <c r="H700" i="8"/>
  <c r="E684" i="8"/>
  <c r="E666" i="8"/>
  <c r="D651" i="8"/>
  <c r="E634" i="8"/>
  <c r="D621" i="8"/>
  <c r="F609" i="8"/>
  <c r="E600" i="8"/>
  <c r="D589" i="8"/>
  <c r="H579" i="8"/>
  <c r="H572" i="8"/>
  <c r="H564" i="8"/>
  <c r="F555" i="8"/>
  <c r="H547" i="8"/>
  <c r="G539" i="8"/>
  <c r="C531" i="8"/>
  <c r="H522" i="8"/>
  <c r="H515" i="8"/>
  <c r="F508" i="8"/>
  <c r="F502" i="8"/>
  <c r="H496" i="8"/>
  <c r="H489" i="8"/>
  <c r="H483" i="8"/>
  <c r="F477" i="8"/>
  <c r="E471" i="8"/>
  <c r="H464" i="8"/>
  <c r="D459" i="8"/>
  <c r="H453" i="8"/>
  <c r="G447" i="8"/>
  <c r="H441" i="8"/>
  <c r="G436" i="8"/>
  <c r="F430" i="8"/>
  <c r="C425" i="8"/>
  <c r="D419" i="8"/>
  <c r="D413" i="8"/>
  <c r="F407" i="8"/>
  <c r="E401" i="8"/>
  <c r="D395" i="8"/>
  <c r="F389" i="8"/>
  <c r="E384" i="8"/>
  <c r="E379" i="8"/>
  <c r="G373" i="8"/>
  <c r="D369" i="8"/>
  <c r="H364" i="8"/>
  <c r="F360" i="8"/>
  <c r="F355" i="8"/>
  <c r="G351" i="8"/>
  <c r="G346" i="8"/>
  <c r="G342" i="8"/>
  <c r="F338" i="8"/>
  <c r="F333" i="8"/>
  <c r="D329" i="8"/>
  <c r="H324" i="8"/>
  <c r="G320" i="8"/>
  <c r="G316" i="8"/>
  <c r="F312" i="8"/>
  <c r="G308" i="8"/>
  <c r="H304" i="8"/>
  <c r="H299" i="8"/>
  <c r="H295" i="8"/>
  <c r="E292" i="8"/>
  <c r="E288" i="8"/>
  <c r="G284" i="8"/>
  <c r="C281" i="8"/>
  <c r="C277" i="8"/>
  <c r="E273" i="8"/>
  <c r="F269" i="8"/>
  <c r="E266" i="8"/>
  <c r="G262" i="8"/>
  <c r="F258" i="8"/>
  <c r="H254" i="8"/>
  <c r="D251" i="8"/>
  <c r="E247" i="8"/>
  <c r="G243" i="8"/>
  <c r="H239" i="8"/>
  <c r="E236" i="8"/>
  <c r="G232" i="8"/>
  <c r="C229" i="8"/>
  <c r="E225" i="8"/>
  <c r="F221" i="8"/>
  <c r="F217" i="8"/>
  <c r="H213" i="8"/>
  <c r="F210" i="8"/>
  <c r="G206" i="8"/>
  <c r="D203" i="8"/>
  <c r="C199" i="8"/>
  <c r="E195" i="8"/>
  <c r="H191" i="8"/>
  <c r="E188" i="8"/>
  <c r="G184" i="8"/>
  <c r="G180" i="8"/>
  <c r="D177" i="8"/>
  <c r="G173" i="8"/>
  <c r="F170" i="8"/>
  <c r="D167" i="8"/>
  <c r="F163" i="8"/>
  <c r="F160" i="8"/>
  <c r="H156" i="8"/>
  <c r="F153" i="8"/>
  <c r="F150" i="8"/>
  <c r="H146" i="8"/>
  <c r="F143" i="8"/>
  <c r="E140" i="8"/>
  <c r="D137" i="8"/>
  <c r="E134" i="8"/>
  <c r="C131" i="8"/>
  <c r="G127" i="8"/>
  <c r="H124" i="8"/>
  <c r="G121" i="8"/>
  <c r="G118" i="8"/>
  <c r="E115" i="8"/>
  <c r="F112" i="8"/>
  <c r="E109" i="8"/>
  <c r="H105" i="8"/>
  <c r="C103" i="8"/>
  <c r="G99" i="8"/>
  <c r="G96" i="8"/>
  <c r="F93" i="8"/>
  <c r="G90" i="8"/>
  <c r="E87" i="8"/>
  <c r="F84" i="8"/>
  <c r="D81" i="8"/>
  <c r="E78" i="8"/>
  <c r="C75" i="8"/>
  <c r="G71" i="8"/>
  <c r="H68" i="8"/>
  <c r="E65" i="8"/>
  <c r="F62" i="8"/>
  <c r="E59" i="8"/>
  <c r="E56" i="8"/>
  <c r="D53" i="8"/>
  <c r="H49" i="8"/>
  <c r="C47" i="8"/>
  <c r="G43" i="8"/>
  <c r="H40" i="8"/>
  <c r="F37" i="8"/>
  <c r="E34" i="8"/>
  <c r="D31" i="8"/>
  <c r="E28" i="8"/>
  <c r="C25" i="8"/>
  <c r="H21" i="8"/>
  <c r="C19" i="8"/>
  <c r="H15" i="8"/>
  <c r="D13" i="8"/>
  <c r="G10" i="8"/>
  <c r="H7" i="8"/>
  <c r="E5" i="8"/>
  <c r="H2" i="8"/>
  <c r="D945" i="8"/>
  <c r="F887" i="8"/>
  <c r="C831" i="8"/>
  <c r="C788" i="8"/>
  <c r="G750" i="8"/>
  <c r="C715" i="8"/>
  <c r="F664" i="8"/>
  <c r="E633" i="8"/>
  <c r="H608" i="8"/>
  <c r="G579" i="8"/>
  <c r="E555" i="8"/>
  <c r="D537" i="8"/>
  <c r="G522" i="8"/>
  <c r="E508" i="8"/>
  <c r="F496" i="8"/>
  <c r="G483" i="8"/>
  <c r="E470" i="8"/>
  <c r="C459" i="8"/>
  <c r="E447" i="8"/>
  <c r="E436" i="8"/>
  <c r="H423" i="8"/>
  <c r="F418" i="8"/>
  <c r="C407" i="8"/>
  <c r="G394" i="8"/>
  <c r="G383" i="8"/>
  <c r="F373" i="8"/>
  <c r="E364" i="8"/>
  <c r="E355" i="8"/>
  <c r="F346" i="8"/>
  <c r="H337" i="8"/>
  <c r="C329" i="8"/>
  <c r="E320" i="8"/>
  <c r="E312" i="8"/>
  <c r="H303" i="8"/>
  <c r="F295" i="8"/>
  <c r="G287" i="8"/>
  <c r="F280" i="8"/>
  <c r="H276" i="8"/>
  <c r="E269" i="8"/>
  <c r="F261" i="8"/>
  <c r="G250" i="8"/>
  <c r="E243" i="8"/>
  <c r="G239" i="8"/>
  <c r="F232" i="8"/>
  <c r="H228" i="8"/>
  <c r="C221" i="8"/>
  <c r="E217" i="8"/>
  <c r="E210" i="8"/>
  <c r="G202" i="8"/>
  <c r="D195" i="8"/>
  <c r="G187" i="8"/>
  <c r="E180" i="8"/>
  <c r="F173" i="8"/>
  <c r="C167" i="8"/>
  <c r="H159" i="8"/>
  <c r="E153" i="8"/>
  <c r="F146" i="8"/>
  <c r="H139" i="8"/>
  <c r="G133" i="8"/>
  <c r="F127" i="8"/>
  <c r="F121" i="8"/>
  <c r="D115" i="8"/>
  <c r="H108" i="8"/>
  <c r="H102" i="8"/>
  <c r="F96" i="8"/>
  <c r="F90" i="8"/>
  <c r="H83" i="8"/>
  <c r="G77" i="8"/>
  <c r="F71" i="8"/>
  <c r="D65" i="8"/>
  <c r="D59" i="8"/>
  <c r="C53" i="8"/>
  <c r="G46" i="8"/>
  <c r="F40" i="8"/>
  <c r="C31" i="8"/>
  <c r="H24" i="8"/>
  <c r="G18" i="8"/>
  <c r="C13" i="8"/>
  <c r="G7" i="8"/>
  <c r="G2" i="8"/>
  <c r="H571" i="8"/>
  <c r="E258" i="8"/>
  <c r="D974" i="8"/>
  <c r="H940" i="8"/>
  <c r="F910" i="8"/>
  <c r="E875" i="8"/>
  <c r="G852" i="8"/>
  <c r="H828" i="8"/>
  <c r="C806" i="8"/>
  <c r="E785" i="8"/>
  <c r="D766" i="8"/>
  <c r="D749" i="8"/>
  <c r="D729" i="8"/>
  <c r="F714" i="8"/>
  <c r="C696" i="8"/>
  <c r="E677" i="8"/>
  <c r="C664" i="8"/>
  <c r="C647" i="8"/>
  <c r="E630" i="8"/>
  <c r="D618" i="8"/>
  <c r="F607" i="8"/>
  <c r="F596" i="8"/>
  <c r="G588" i="8"/>
  <c r="E579" i="8"/>
  <c r="C571" i="8"/>
  <c r="G561" i="8"/>
  <c r="H553" i="8"/>
  <c r="G545" i="8"/>
  <c r="G536" i="8"/>
  <c r="H528" i="8"/>
  <c r="E522" i="8"/>
  <c r="E514" i="8"/>
  <c r="D507" i="8"/>
  <c r="E501" i="8"/>
  <c r="F494" i="8"/>
  <c r="E488" i="8"/>
  <c r="H481" i="8"/>
  <c r="E475" i="8"/>
  <c r="G469" i="8"/>
  <c r="F463" i="8"/>
  <c r="E458" i="8"/>
  <c r="G451" i="8"/>
  <c r="E446" i="8"/>
  <c r="D441" i="8"/>
  <c r="G434" i="8"/>
  <c r="D429" i="8"/>
  <c r="E423" i="8"/>
  <c r="D417" i="8"/>
  <c r="D411" i="8"/>
  <c r="G405" i="8"/>
  <c r="G399" i="8"/>
  <c r="E394" i="8"/>
  <c r="C389" i="8"/>
  <c r="E383" i="8"/>
  <c r="F377" i="8"/>
  <c r="G372" i="8"/>
  <c r="H367" i="8"/>
  <c r="G363" i="8"/>
  <c r="C359" i="8"/>
  <c r="G354" i="8"/>
  <c r="H349" i="8"/>
  <c r="G345" i="8"/>
  <c r="G341" i="8"/>
  <c r="H336" i="8"/>
  <c r="G332" i="8"/>
  <c r="F328" i="8"/>
  <c r="G323" i="8"/>
  <c r="F319" i="8"/>
  <c r="E315" i="8"/>
  <c r="E311" i="8"/>
  <c r="F307" i="8"/>
  <c r="C303" i="8"/>
  <c r="E299" i="8"/>
  <c r="D295" i="8"/>
  <c r="E291" i="8"/>
  <c r="E287" i="8"/>
  <c r="F283" i="8"/>
  <c r="H279" i="8"/>
  <c r="E276" i="8"/>
  <c r="G272" i="8"/>
  <c r="H268" i="8"/>
  <c r="G264" i="8"/>
  <c r="D261" i="8"/>
  <c r="F257" i="8"/>
  <c r="H253" i="8"/>
  <c r="E250" i="8"/>
  <c r="H246" i="8"/>
  <c r="H242" i="8"/>
  <c r="D239" i="8"/>
  <c r="E235" i="8"/>
  <c r="H231" i="8"/>
  <c r="G227" i="8"/>
  <c r="H223" i="8"/>
  <c r="G220" i="8"/>
  <c r="H216" i="8"/>
  <c r="D213" i="8"/>
  <c r="E209" i="8"/>
  <c r="G205" i="8"/>
  <c r="G201" i="8"/>
  <c r="F198" i="8"/>
  <c r="H194" i="8"/>
  <c r="D191" i="8"/>
  <c r="C187" i="8"/>
  <c r="D183" i="8"/>
  <c r="G179" i="8"/>
  <c r="G176" i="8"/>
  <c r="C173" i="8"/>
  <c r="G169" i="8"/>
  <c r="E166" i="8"/>
  <c r="C163" i="8"/>
  <c r="E159" i="8"/>
  <c r="E156" i="8"/>
  <c r="C153" i="8"/>
  <c r="C149" i="8"/>
  <c r="G145" i="8"/>
  <c r="G142" i="8"/>
  <c r="F139" i="8"/>
  <c r="F136" i="8"/>
  <c r="E133" i="8"/>
  <c r="E130" i="8"/>
  <c r="D127" i="8"/>
  <c r="E124" i="8"/>
  <c r="C121" i="8"/>
  <c r="G117" i="8"/>
  <c r="G114" i="8"/>
  <c r="E111" i="8"/>
  <c r="F108" i="8"/>
  <c r="E105" i="8"/>
  <c r="E102" i="8"/>
  <c r="C99" i="8"/>
  <c r="H95" i="8"/>
  <c r="C93" i="8"/>
  <c r="G89" i="8"/>
  <c r="G86" i="8"/>
  <c r="F83" i="8"/>
  <c r="E80" i="8"/>
  <c r="D77" i="8"/>
  <c r="E74" i="8"/>
  <c r="C71" i="8"/>
  <c r="G67" i="8"/>
  <c r="H64" i="8"/>
  <c r="G61" i="8"/>
  <c r="G58" i="8"/>
  <c r="F55" i="8"/>
  <c r="F52" i="8"/>
  <c r="E49" i="8"/>
  <c r="H45" i="8"/>
  <c r="C43" i="8"/>
  <c r="H39" i="8"/>
  <c r="G36" i="8"/>
  <c r="F33" i="8"/>
  <c r="G30" i="8"/>
  <c r="E27" i="8"/>
  <c r="F24" i="8"/>
  <c r="D21" i="8"/>
  <c r="E18" i="8"/>
  <c r="E15" i="8"/>
  <c r="G12" i="8"/>
  <c r="H9" i="8"/>
  <c r="E7" i="8"/>
  <c r="H4" i="8"/>
  <c r="E2" i="8"/>
  <c r="D962" i="8"/>
  <c r="F898" i="8"/>
  <c r="E845" i="8"/>
  <c r="H799" i="8"/>
  <c r="H763" i="8"/>
  <c r="E726" i="8"/>
  <c r="H691" i="8"/>
  <c r="E660" i="8"/>
  <c r="D626" i="8"/>
  <c r="F604" i="8"/>
  <c r="H584" i="8"/>
  <c r="H567" i="8"/>
  <c r="F551" i="8"/>
  <c r="G535" i="8"/>
  <c r="E519" i="8"/>
  <c r="G506" i="8"/>
  <c r="E493" i="8"/>
  <c r="E480" i="8"/>
  <c r="H467" i="8"/>
  <c r="E456" i="8"/>
  <c r="E445" i="8"/>
  <c r="F433" i="8"/>
  <c r="E421" i="8"/>
  <c r="G410" i="8"/>
  <c r="E398" i="8"/>
  <c r="C387" i="8"/>
  <c r="G376" i="8"/>
  <c r="G366" i="8"/>
  <c r="G357" i="8"/>
  <c r="E349" i="8"/>
  <c r="E340" i="8"/>
  <c r="G331" i="8"/>
  <c r="G322" i="8"/>
  <c r="F314" i="8"/>
  <c r="E306" i="8"/>
  <c r="E298" i="8"/>
  <c r="F290" i="8"/>
  <c r="H282" i="8"/>
  <c r="D275" i="8"/>
  <c r="G267" i="8"/>
  <c r="G260" i="8"/>
  <c r="C253" i="8"/>
  <c r="G245" i="8"/>
  <c r="E239" i="8"/>
  <c r="F233" i="8"/>
  <c r="C227" i="8"/>
  <c r="E220" i="8"/>
  <c r="C215" i="8"/>
  <c r="F208" i="8"/>
  <c r="E201" i="8"/>
  <c r="C195" i="8"/>
  <c r="E189" i="8"/>
  <c r="G182" i="8"/>
  <c r="E176" i="8"/>
  <c r="E171" i="8"/>
  <c r="D165" i="8"/>
  <c r="C159" i="8"/>
  <c r="D153" i="8"/>
  <c r="H147" i="8"/>
  <c r="H141" i="8"/>
  <c r="E136" i="8"/>
  <c r="G131" i="8"/>
  <c r="G125" i="8"/>
  <c r="E120" i="8"/>
  <c r="C115" i="8"/>
  <c r="E110" i="8"/>
  <c r="G104" i="8"/>
  <c r="H98" i="8"/>
  <c r="E94" i="8"/>
  <c r="G88" i="8"/>
  <c r="C83" i="8"/>
  <c r="E77" i="8"/>
  <c r="H72" i="8"/>
  <c r="D67" i="8"/>
  <c r="F61" i="8"/>
  <c r="C57" i="8"/>
  <c r="D51" i="8"/>
  <c r="F45" i="8"/>
  <c r="E40" i="8"/>
  <c r="F35" i="8"/>
  <c r="E30" i="8"/>
  <c r="G24" i="8"/>
  <c r="G19" i="8"/>
  <c r="G14" i="8"/>
  <c r="G9" i="8"/>
  <c r="F959" i="8"/>
  <c r="F897" i="8"/>
  <c r="D845" i="8"/>
  <c r="C799" i="8"/>
  <c r="C759" i="8"/>
  <c r="H725" i="8"/>
  <c r="G690" i="8"/>
  <c r="H659" i="8"/>
  <c r="C625" i="8"/>
  <c r="D604" i="8"/>
  <c r="G584" i="8"/>
  <c r="D567" i="8"/>
  <c r="G550" i="8"/>
  <c r="H534" i="8"/>
  <c r="D519" i="8"/>
  <c r="E505" i="8"/>
  <c r="F492" i="8"/>
  <c r="H479" i="8"/>
  <c r="G467" i="8"/>
  <c r="F455" i="8"/>
  <c r="C445" i="8"/>
  <c r="E433" i="8"/>
  <c r="C421" i="8"/>
  <c r="F410" i="8"/>
  <c r="H397" i="8"/>
  <c r="F386" i="8"/>
  <c r="E376" i="8"/>
  <c r="F366" i="8"/>
  <c r="F357" i="8"/>
  <c r="C349" i="8"/>
  <c r="H339" i="8"/>
  <c r="E331" i="8"/>
  <c r="H321" i="8"/>
  <c r="E314" i="8"/>
  <c r="G305" i="8"/>
  <c r="H297" i="8"/>
  <c r="G289" i="8"/>
  <c r="E282" i="8"/>
  <c r="C275" i="8"/>
  <c r="D267" i="8"/>
  <c r="E260" i="8"/>
  <c r="H252" i="8"/>
  <c r="F245" i="8"/>
  <c r="C239" i="8"/>
  <c r="D233" i="8"/>
  <c r="G226" i="8"/>
  <c r="H219" i="8"/>
  <c r="E213" i="8"/>
  <c r="H207" i="8"/>
  <c r="D201" i="8"/>
  <c r="G194" i="8"/>
  <c r="D189" i="8"/>
  <c r="E182" i="8"/>
  <c r="H175" i="8"/>
  <c r="H169" i="8"/>
  <c r="H164" i="8"/>
  <c r="G158" i="8"/>
  <c r="H151" i="8"/>
  <c r="G147" i="8"/>
  <c r="F141" i="8"/>
  <c r="H135" i="8"/>
  <c r="F130" i="8"/>
  <c r="F125" i="8"/>
  <c r="H119" i="8"/>
  <c r="F114" i="8"/>
  <c r="H109" i="8"/>
  <c r="E104" i="8"/>
  <c r="G98" i="8"/>
  <c r="D93" i="8"/>
  <c r="F88" i="8"/>
  <c r="G82" i="8"/>
  <c r="C77" i="8"/>
  <c r="G72" i="8"/>
  <c r="C67" i="8"/>
  <c r="E61" i="8"/>
  <c r="G55" i="8"/>
  <c r="C51" i="8"/>
  <c r="E45" i="8"/>
  <c r="E39" i="8"/>
  <c r="E35" i="8"/>
  <c r="G29" i="8"/>
  <c r="E24" i="8"/>
  <c r="F19" i="8"/>
  <c r="F14" i="8"/>
  <c r="F9" i="8"/>
  <c r="G941" i="8"/>
  <c r="D883" i="8"/>
  <c r="E830" i="8"/>
  <c r="F786" i="8"/>
  <c r="H749" i="8"/>
  <c r="H714" i="8"/>
  <c r="H680" i="8"/>
  <c r="E648" i="8"/>
  <c r="E618" i="8"/>
  <c r="F599" i="8"/>
  <c r="F579" i="8"/>
  <c r="E562" i="8"/>
  <c r="H545" i="8"/>
  <c r="E530" i="8"/>
  <c r="G514" i="8"/>
  <c r="H501" i="8"/>
  <c r="G488" i="8"/>
  <c r="E476" i="8"/>
  <c r="H463" i="8"/>
  <c r="H451" i="8"/>
  <c r="E441" i="8"/>
  <c r="F429" i="8"/>
  <c r="E418" i="8"/>
  <c r="G406" i="8"/>
  <c r="F394" i="8"/>
  <c r="F383" i="8"/>
  <c r="H372" i="8"/>
  <c r="H363" i="8"/>
  <c r="C355" i="8"/>
  <c r="E346" i="8"/>
  <c r="C337" i="8"/>
  <c r="H328" i="8"/>
  <c r="H319" i="8"/>
  <c r="G311" i="8"/>
  <c r="D303" i="8"/>
  <c r="E295" i="8"/>
  <c r="F287" i="8"/>
  <c r="E280" i="8"/>
  <c r="C273" i="8"/>
  <c r="F265" i="8"/>
  <c r="G257" i="8"/>
  <c r="F250" i="8"/>
  <c r="G244" i="8"/>
  <c r="G237" i="8"/>
  <c r="D231" i="8"/>
  <c r="E224" i="8"/>
  <c r="C219" i="8"/>
  <c r="E212" i="8"/>
  <c r="F205" i="8"/>
  <c r="E200" i="8"/>
  <c r="C193" i="8"/>
  <c r="G186" i="8"/>
  <c r="H179" i="8"/>
  <c r="C175" i="8"/>
  <c r="H168" i="8"/>
  <c r="G162" i="8"/>
  <c r="G157" i="8"/>
  <c r="E151" i="8"/>
  <c r="E145" i="8"/>
  <c r="G139" i="8"/>
  <c r="D135" i="8"/>
  <c r="F129" i="8"/>
  <c r="H123" i="8"/>
  <c r="E119" i="8"/>
  <c r="F113" i="8"/>
  <c r="H107" i="8"/>
  <c r="F102" i="8"/>
  <c r="H97" i="8"/>
  <c r="E92" i="8"/>
  <c r="F86" i="8"/>
  <c r="H81" i="8"/>
  <c r="E76" i="8"/>
  <c r="F70" i="8"/>
  <c r="C65" i="8"/>
  <c r="E60" i="8"/>
  <c r="G54" i="8"/>
  <c r="H48" i="8"/>
  <c r="G44" i="8"/>
  <c r="H38" i="8"/>
  <c r="E33" i="8"/>
  <c r="H28" i="8"/>
  <c r="D23" i="8"/>
  <c r="F17" i="8"/>
  <c r="H12" i="8"/>
  <c r="H8" i="8"/>
  <c r="H3" i="8"/>
  <c r="F940" i="8"/>
  <c r="F874" i="8"/>
  <c r="D826" i="8"/>
  <c r="D785" i="8"/>
  <c r="F746" i="8"/>
  <c r="D712" i="8"/>
  <c r="D675" i="8"/>
  <c r="C646" i="8"/>
  <c r="E617" i="8"/>
  <c r="E596" i="8"/>
  <c r="E578" i="8"/>
  <c r="E561" i="8"/>
  <c r="H543" i="8"/>
  <c r="E528" i="8"/>
  <c r="H512" i="8"/>
  <c r="D501" i="8"/>
  <c r="G487" i="8"/>
  <c r="D475" i="8"/>
  <c r="D463" i="8"/>
  <c r="F451" i="8"/>
  <c r="G440" i="8"/>
  <c r="C429" i="8"/>
  <c r="C417" i="8"/>
  <c r="E405" i="8"/>
  <c r="G393" i="8"/>
  <c r="F382" i="8"/>
  <c r="F372" i="8"/>
  <c r="C363" i="8"/>
  <c r="F354" i="8"/>
  <c r="F345" i="8"/>
  <c r="G336" i="8"/>
  <c r="E328" i="8"/>
  <c r="E319" i="8"/>
  <c r="D311" i="8"/>
  <c r="H302" i="8"/>
  <c r="C295" i="8"/>
  <c r="D287" i="8"/>
  <c r="G279" i="8"/>
  <c r="H271" i="8"/>
  <c r="F264" i="8"/>
  <c r="E257" i="8"/>
  <c r="H249" i="8"/>
  <c r="C243" i="8"/>
  <c r="F237" i="8"/>
  <c r="F230" i="8"/>
  <c r="G223" i="8"/>
  <c r="H218" i="8"/>
  <c r="G211" i="8"/>
  <c r="C205" i="8"/>
  <c r="G198" i="8"/>
  <c r="H192" i="8"/>
  <c r="E186" i="8"/>
  <c r="F179" i="8"/>
  <c r="H174" i="8"/>
  <c r="G168" i="8"/>
  <c r="F162" i="8"/>
  <c r="F156" i="8"/>
  <c r="D151" i="8"/>
  <c r="C145" i="8"/>
  <c r="E139" i="8"/>
  <c r="C135" i="8"/>
  <c r="E129" i="8"/>
  <c r="G123" i="8"/>
  <c r="H117" i="8"/>
  <c r="E113" i="8"/>
  <c r="F107" i="8"/>
  <c r="G101" i="8"/>
  <c r="F97" i="8"/>
  <c r="F91" i="8"/>
  <c r="H85" i="8"/>
  <c r="H80" i="8"/>
  <c r="H75" i="8"/>
  <c r="E70" i="8"/>
  <c r="G64" i="8"/>
  <c r="H59" i="8"/>
  <c r="F54" i="8"/>
  <c r="G48" i="8"/>
  <c r="D43" i="8"/>
  <c r="G38" i="8"/>
  <c r="D33" i="8"/>
  <c r="G27" i="8"/>
  <c r="C23" i="8"/>
  <c r="E17" i="8"/>
  <c r="F12" i="8"/>
  <c r="G8" i="8"/>
  <c r="G3" i="8"/>
  <c r="H996" i="8"/>
  <c r="F929" i="8"/>
  <c r="C871" i="8"/>
  <c r="E821" i="8"/>
  <c r="D782" i="8"/>
  <c r="C741" i="8"/>
  <c r="E705" i="8"/>
  <c r="D674" i="8"/>
  <c r="C641" i="8"/>
  <c r="H615" i="8"/>
  <c r="F594" i="8"/>
  <c r="G574" i="8"/>
  <c r="C559" i="8"/>
  <c r="G542" i="8"/>
  <c r="D527" i="8"/>
  <c r="G511" i="8"/>
  <c r="H498" i="8"/>
  <c r="H486" i="8"/>
  <c r="G473" i="8"/>
  <c r="E461" i="8"/>
  <c r="G450" i="8"/>
  <c r="F438" i="8"/>
  <c r="C427" i="8"/>
  <c r="D415" i="8"/>
  <c r="G403" i="8"/>
  <c r="H392" i="8"/>
  <c r="D381" i="8"/>
  <c r="G370" i="8"/>
  <c r="E362" i="8"/>
  <c r="D353" i="8"/>
  <c r="E344" i="8"/>
  <c r="G335" i="8"/>
  <c r="G326" i="8"/>
  <c r="E318" i="8"/>
  <c r="H309" i="8"/>
  <c r="E302" i="8"/>
  <c r="E294" i="8"/>
  <c r="E286" i="8"/>
  <c r="G278" i="8"/>
  <c r="D271" i="8"/>
  <c r="G263" i="8"/>
  <c r="F256" i="8"/>
  <c r="C249" i="8"/>
  <c r="E242" i="8"/>
  <c r="F235" i="8"/>
  <c r="H229" i="8"/>
  <c r="E223" i="8"/>
  <c r="F216" i="8"/>
  <c r="E211" i="8"/>
  <c r="F204" i="8"/>
  <c r="G197" i="8"/>
  <c r="E191" i="8"/>
  <c r="F185" i="8"/>
  <c r="D179" i="8"/>
  <c r="H172" i="8"/>
  <c r="G167" i="8"/>
  <c r="F161" i="8"/>
  <c r="F155" i="8"/>
  <c r="G149" i="8"/>
  <c r="G144" i="8"/>
  <c r="H138" i="8"/>
  <c r="C133" i="8"/>
  <c r="G128" i="8"/>
  <c r="H122" i="8"/>
  <c r="D117" i="8"/>
  <c r="G111" i="8"/>
  <c r="D107" i="8"/>
  <c r="E101" i="8"/>
  <c r="G95" i="8"/>
  <c r="D91" i="8"/>
  <c r="F85" i="8"/>
  <c r="G79" i="8"/>
  <c r="F74" i="8"/>
  <c r="G69" i="8"/>
  <c r="E64" i="8"/>
  <c r="F58" i="8"/>
  <c r="G53" i="8"/>
  <c r="E48" i="8"/>
  <c r="G42" i="8"/>
  <c r="H36" i="8"/>
  <c r="H32" i="8"/>
  <c r="C27" i="8"/>
  <c r="F21" i="8"/>
  <c r="C17" i="8"/>
  <c r="H11" i="8"/>
  <c r="D995" i="8"/>
  <c r="H927" i="8"/>
  <c r="H868" i="8"/>
  <c r="E817" i="8"/>
  <c r="H777" i="8"/>
  <c r="H740" i="8"/>
  <c r="G704" i="8"/>
  <c r="H672" i="8"/>
  <c r="H640" i="8"/>
  <c r="H614" i="8"/>
  <c r="D593" i="8"/>
  <c r="F574" i="8"/>
  <c r="H558" i="8"/>
  <c r="E542" i="8"/>
  <c r="G525" i="8"/>
  <c r="C511" i="8"/>
  <c r="F498" i="8"/>
  <c r="G486" i="8"/>
  <c r="C473" i="8"/>
  <c r="C461" i="8"/>
  <c r="F450" i="8"/>
  <c r="E438" i="8"/>
  <c r="F426" i="8"/>
  <c r="C415" i="8"/>
  <c r="E403" i="8"/>
  <c r="G392" i="8"/>
  <c r="H380" i="8"/>
  <c r="F370" i="8"/>
  <c r="H361" i="8"/>
  <c r="H352" i="8"/>
  <c r="G343" i="8"/>
  <c r="E335" i="8"/>
  <c r="E326" i="8"/>
  <c r="G317" i="8"/>
  <c r="F309" i="8"/>
  <c r="H301" i="8"/>
  <c r="G293" i="8"/>
  <c r="F285" i="8"/>
  <c r="F278" i="8"/>
  <c r="H270" i="8"/>
  <c r="F263" i="8"/>
  <c r="E256" i="8"/>
  <c r="H248" i="8"/>
  <c r="H241" i="8"/>
  <c r="D235" i="8"/>
  <c r="G229" i="8"/>
  <c r="D223" i="8"/>
  <c r="E216" i="8"/>
  <c r="F209" i="8"/>
  <c r="H203" i="8"/>
  <c r="E197" i="8"/>
  <c r="F190" i="8"/>
  <c r="E185" i="8"/>
  <c r="C179" i="8"/>
  <c r="G172" i="8"/>
  <c r="F166" i="8"/>
  <c r="E161" i="8"/>
  <c r="D155" i="8"/>
  <c r="H148" i="8"/>
  <c r="E144" i="8"/>
  <c r="G138" i="8"/>
  <c r="H132" i="8"/>
  <c r="E127" i="8"/>
  <c r="G122" i="8"/>
  <c r="C117" i="8"/>
  <c r="D111" i="8"/>
  <c r="C107" i="8"/>
  <c r="D101" i="8"/>
  <c r="F95" i="8"/>
  <c r="E90" i="8"/>
  <c r="E85" i="8"/>
  <c r="F79" i="8"/>
  <c r="H73" i="8"/>
  <c r="F69" i="8"/>
  <c r="H63" i="8"/>
  <c r="E58" i="8"/>
  <c r="G52" i="8"/>
  <c r="H47" i="8"/>
  <c r="E42" i="8"/>
  <c r="F36" i="8"/>
  <c r="G32" i="8"/>
  <c r="H26" i="8"/>
  <c r="C21" i="8"/>
  <c r="H16" i="8"/>
  <c r="G11" i="8"/>
  <c r="C7" i="8"/>
  <c r="F2" i="8"/>
  <c r="C9" i="8"/>
  <c r="H17" i="8"/>
  <c r="E29" i="8"/>
  <c r="F49" i="8"/>
  <c r="H60" i="8"/>
  <c r="G70" i="8"/>
  <c r="E82" i="8"/>
  <c r="G92" i="8"/>
  <c r="G113" i="8"/>
  <c r="F124" i="8"/>
  <c r="E135" i="8"/>
  <c r="F145" i="8"/>
  <c r="H157" i="8"/>
  <c r="C169" i="8"/>
  <c r="F193" i="8"/>
  <c r="E206" i="8"/>
  <c r="D219" i="8"/>
  <c r="E231" i="8"/>
  <c r="H244" i="8"/>
  <c r="E274" i="8"/>
  <c r="C289" i="8"/>
  <c r="E305" i="8"/>
  <c r="E321" i="8"/>
  <c r="D357" i="8"/>
  <c r="E375" i="8"/>
  <c r="F397" i="8"/>
  <c r="G442" i="8"/>
  <c r="D467" i="8"/>
  <c r="H517" i="8"/>
  <c r="E549" i="8"/>
  <c r="F624" i="8"/>
  <c r="F756" i="8"/>
  <c r="E956" i="8"/>
  <c r="AC7" i="5"/>
  <c r="E7" i="5"/>
  <c r="Q7" i="5" s="1"/>
  <c r="G126" i="8"/>
  <c r="H220" i="8"/>
  <c r="H275" i="8"/>
  <c r="C307" i="8"/>
  <c r="G340" i="8"/>
  <c r="D377" i="8"/>
  <c r="C423" i="8"/>
  <c r="F468" i="8"/>
  <c r="G521" i="8"/>
  <c r="G585" i="8"/>
  <c r="H628" i="8"/>
  <c r="C765" i="8"/>
  <c r="D968" i="8"/>
  <c r="F6" i="1"/>
  <c r="E11" i="5"/>
  <c r="J11" i="5" s="1"/>
  <c r="C39" i="8"/>
  <c r="G103" i="8"/>
  <c r="G181" i="8"/>
  <c r="G259" i="8"/>
  <c r="E339" i="8"/>
  <c r="E420" i="8"/>
  <c r="F491" i="8"/>
  <c r="C583" i="8"/>
  <c r="H686" i="8"/>
  <c r="C840" i="8"/>
  <c r="AB17" i="5"/>
  <c r="AC20" i="5"/>
  <c r="AB20" i="5"/>
  <c r="E3" i="8"/>
  <c r="E9" i="8"/>
  <c r="F18" i="8"/>
  <c r="F29" i="8"/>
  <c r="D39" i="8"/>
  <c r="H50" i="8"/>
  <c r="C61" i="8"/>
  <c r="E71" i="8"/>
  <c r="F82" i="8"/>
  <c r="H92" i="8"/>
  <c r="H103" i="8"/>
  <c r="E114" i="8"/>
  <c r="E125" i="8"/>
  <c r="G135" i="8"/>
  <c r="H145" i="8"/>
  <c r="F158" i="8"/>
  <c r="E169" i="8"/>
  <c r="H181" i="8"/>
  <c r="H193" i="8"/>
  <c r="E207" i="8"/>
  <c r="G219" i="8"/>
  <c r="E232" i="8"/>
  <c r="E245" i="8"/>
  <c r="H259" i="8"/>
  <c r="G274" i="8"/>
  <c r="F289" i="8"/>
  <c r="F305" i="8"/>
  <c r="G321" i="8"/>
  <c r="G339" i="8"/>
  <c r="E357" i="8"/>
  <c r="G375" i="8"/>
  <c r="G397" i="8"/>
  <c r="G420" i="8"/>
  <c r="F443" i="8"/>
  <c r="F467" i="8"/>
  <c r="G491" i="8"/>
  <c r="F518" i="8"/>
  <c r="F550" i="8"/>
  <c r="F584" i="8"/>
  <c r="H624" i="8"/>
  <c r="F688" i="8"/>
  <c r="G756" i="8"/>
  <c r="G842" i="8"/>
  <c r="D959" i="8"/>
  <c r="AC41" i="5"/>
  <c r="E32" i="5"/>
  <c r="V32" i="5" s="1"/>
  <c r="BA26" i="11"/>
  <c r="H12" i="4"/>
  <c r="E28" i="5"/>
  <c r="P28" i="5" s="1"/>
  <c r="J18" i="4"/>
  <c r="AB13" i="5"/>
  <c r="AC53" i="5"/>
  <c r="BH15" i="11"/>
  <c r="BR26" i="11"/>
  <c r="BJ26" i="11"/>
  <c r="BA51" i="11"/>
  <c r="BH19" i="11"/>
  <c r="BR24" i="11"/>
  <c r="BD17" i="11"/>
  <c r="BE17" i="11"/>
  <c r="AV18" i="11"/>
  <c r="BR18" i="11"/>
  <c r="BR11" i="11"/>
  <c r="BJ11" i="11"/>
  <c r="BH47" i="11"/>
  <c r="BB83" i="11"/>
  <c r="BC83" i="11" s="1"/>
  <c r="O44" i="5" s="1"/>
  <c r="AY10" i="11"/>
  <c r="BJ49" i="11"/>
  <c r="BR49" i="11"/>
  <c r="BA8" i="11"/>
  <c r="BE9" i="11"/>
  <c r="BF9" i="11" s="1"/>
  <c r="BR31" i="11"/>
  <c r="AV31" i="11"/>
  <c r="AY57" i="11"/>
  <c r="AX21" i="11"/>
  <c r="BA46" i="11"/>
  <c r="BB46" i="11"/>
  <c r="BC46" i="11" s="1"/>
  <c r="BE56" i="11"/>
  <c r="BF56" i="11" s="1"/>
  <c r="BB75" i="11"/>
  <c r="BC75" i="11" s="1"/>
  <c r="BB3" i="11"/>
  <c r="BC3" i="11" s="1"/>
  <c r="BG10" i="11"/>
  <c r="BA54" i="11"/>
  <c r="BB28" i="11"/>
  <c r="BC28" i="11" s="1"/>
  <c r="BE62" i="11"/>
  <c r="BF62" i="11" s="1"/>
  <c r="BR73" i="11"/>
  <c r="BJ73" i="11"/>
  <c r="AX29" i="11"/>
  <c r="BB37" i="11"/>
  <c r="BC37" i="11" s="1"/>
  <c r="BH56" i="11"/>
  <c r="AY59" i="11"/>
  <c r="BA60" i="11"/>
  <c r="BB7" i="11"/>
  <c r="BH25" i="11"/>
  <c r="BA29" i="11"/>
  <c r="BG39" i="11"/>
  <c r="BR43" i="11"/>
  <c r="BE59" i="11"/>
  <c r="BA9" i="11"/>
  <c r="BA35" i="11"/>
  <c r="BA47" i="11"/>
  <c r="K48" i="19"/>
  <c r="AX49" i="11"/>
  <c r="BG60" i="11"/>
  <c r="BH73" i="11"/>
  <c r="BA23" i="11"/>
  <c r="BE25" i="11"/>
  <c r="BF25" i="11" s="1"/>
  <c r="BB32" i="11"/>
  <c r="BC32" i="11" s="1"/>
  <c r="BE64" i="11"/>
  <c r="BF64" i="11" s="1"/>
  <c r="BA66" i="11"/>
  <c r="BD74" i="11"/>
  <c r="BA78" i="11"/>
  <c r="K70" i="19"/>
  <c r="AX71" i="11"/>
  <c r="BA82" i="11"/>
  <c r="BR87" i="11"/>
  <c r="AB21" i="5"/>
  <c r="BR107" i="11"/>
  <c r="BJ107" i="11"/>
  <c r="Y46" i="5" s="1"/>
  <c r="BE112" i="11"/>
  <c r="BF112" i="11" s="1"/>
  <c r="K102" i="19"/>
  <c r="AY103" i="11"/>
  <c r="BB5" i="11"/>
  <c r="BC5" i="11" s="1"/>
  <c r="BB9" i="11"/>
  <c r="BC9" i="11" s="1"/>
  <c r="AY15" i="11"/>
  <c r="BB17" i="11"/>
  <c r="BC17" i="11" s="1"/>
  <c r="BG26" i="11"/>
  <c r="BG31" i="11"/>
  <c r="BR57" i="11"/>
  <c r="BH65" i="11"/>
  <c r="BE75" i="11"/>
  <c r="BA81" i="11"/>
  <c r="BD82" i="11"/>
  <c r="BA100" i="11"/>
  <c r="BR102" i="11"/>
  <c r="BR80" i="11"/>
  <c r="BJ80" i="11"/>
  <c r="Y22" i="5" s="1"/>
  <c r="BR68" i="11"/>
  <c r="BA69" i="11"/>
  <c r="BB69" i="11"/>
  <c r="BC69" i="11" s="1"/>
  <c r="BB81" i="11"/>
  <c r="BC81" i="11" s="1"/>
  <c r="BB94" i="11"/>
  <c r="BC94" i="11" s="1"/>
  <c r="AX103" i="11"/>
  <c r="AX62" i="11"/>
  <c r="BB65" i="11"/>
  <c r="BC65" i="11" s="1"/>
  <c r="AY66" i="11"/>
  <c r="BE73" i="11"/>
  <c r="BG96" i="11"/>
  <c r="BI96" i="11" s="1"/>
  <c r="BA99" i="11"/>
  <c r="BJ110" i="11"/>
  <c r="BD114" i="11"/>
  <c r="BE114" i="11"/>
  <c r="AY70" i="11"/>
  <c r="AY98" i="11"/>
  <c r="BG38" i="11"/>
  <c r="BE40" i="11"/>
  <c r="BF40" i="11" s="1"/>
  <c r="BE55" i="11"/>
  <c r="BF55" i="11" s="1"/>
  <c r="BA59" i="11"/>
  <c r="BH63" i="11"/>
  <c r="BB84" i="11"/>
  <c r="BC84" i="11" s="1"/>
  <c r="BB88" i="11"/>
  <c r="BC88" i="11" s="1"/>
  <c r="O53" i="5" s="1"/>
  <c r="BB89" i="11"/>
  <c r="BC89" i="11" s="1"/>
  <c r="AY91" i="11"/>
  <c r="BE97" i="11"/>
  <c r="BF97" i="11" s="1"/>
  <c r="BH67" i="11"/>
  <c r="BB68" i="11"/>
  <c r="BC68" i="11" s="1"/>
  <c r="BJ68" i="11"/>
  <c r="BA75" i="11"/>
  <c r="BA83" i="11"/>
  <c r="BA92" i="11"/>
  <c r="AY105" i="11"/>
  <c r="AY112" i="11"/>
  <c r="BR117" i="11"/>
  <c r="BH108" i="11"/>
  <c r="BE116" i="11"/>
  <c r="BF116" i="11" s="1"/>
  <c r="AX118" i="11"/>
  <c r="BR90" i="11"/>
  <c r="BG117" i="11"/>
  <c r="BI117" i="11" s="1"/>
  <c r="BH14" i="11"/>
  <c r="E38" i="5"/>
  <c r="N38" i="5" s="1"/>
  <c r="BH41" i="11"/>
  <c r="BR48" i="11"/>
  <c r="BA57" i="11"/>
  <c r="BB58" i="11"/>
  <c r="BC58" i="11" s="1"/>
  <c r="BA62" i="11"/>
  <c r="BA68" i="11"/>
  <c r="BA80" i="11"/>
  <c r="BB86" i="11"/>
  <c r="BC86" i="11" s="1"/>
  <c r="BE87" i="11"/>
  <c r="AX100" i="11"/>
  <c r="BB102" i="11"/>
  <c r="BC102" i="11" s="1"/>
  <c r="BH111" i="11"/>
  <c r="BJ112" i="11"/>
  <c r="AX115" i="11"/>
  <c r="BH116" i="11"/>
  <c r="BA117" i="11"/>
  <c r="AX119" i="11"/>
  <c r="AX109" i="11"/>
  <c r="BA110" i="11"/>
  <c r="BD119" i="11"/>
  <c r="BF119" i="11" s="1"/>
  <c r="BB80" i="11"/>
  <c r="BC80" i="11" s="1"/>
  <c r="BA84" i="11"/>
  <c r="BE92" i="11"/>
  <c r="BH106" i="11"/>
  <c r="BG115" i="11"/>
  <c r="BJ118" i="11"/>
  <c r="Y38" i="5" s="1"/>
  <c r="Y5" i="5"/>
  <c r="AB5" i="5"/>
  <c r="BE29" i="11"/>
  <c r="BD29" i="11"/>
  <c r="BJ105" i="11"/>
  <c r="BR105" i="11"/>
  <c r="AC5" i="5"/>
  <c r="AC25" i="5"/>
  <c r="E45" i="5"/>
  <c r="J45" i="5" s="1"/>
  <c r="AY19" i="11"/>
  <c r="BR21" i="11"/>
  <c r="BJ21" i="11"/>
  <c r="AB25" i="5"/>
  <c r="C6" i="2"/>
  <c r="E5" i="5"/>
  <c r="V5" i="5" s="1"/>
  <c r="AC10" i="5"/>
  <c r="L9" i="3"/>
  <c r="AB7" i="5"/>
  <c r="AB11" i="5"/>
  <c r="AB28" i="5"/>
  <c r="E30" i="5"/>
  <c r="W30" i="5" s="1"/>
  <c r="E33" i="5"/>
  <c r="R33" i="5" s="1"/>
  <c r="Y39" i="5"/>
  <c r="F12" i="4"/>
  <c r="AC11" i="5"/>
  <c r="AC28" i="5"/>
  <c r="E41" i="5"/>
  <c r="F41" i="5" s="1"/>
  <c r="K2" i="19"/>
  <c r="AY3" i="11"/>
  <c r="AX3" i="11"/>
  <c r="BD28" i="11"/>
  <c r="BE28" i="11"/>
  <c r="AB8" i="5"/>
  <c r="AC35" i="5"/>
  <c r="AC47" i="5"/>
  <c r="BJ30" i="11"/>
  <c r="C6" i="1"/>
  <c r="B4" i="1" s="1"/>
  <c r="D7" i="1" s="1"/>
  <c r="L20" i="4"/>
  <c r="AC8" i="5"/>
  <c r="O29" i="5"/>
  <c r="E51" i="5"/>
  <c r="R51" i="5" s="1"/>
  <c r="K14" i="19"/>
  <c r="AX16" i="11"/>
  <c r="BE22" i="11"/>
  <c r="BD22" i="11"/>
  <c r="BB98" i="11"/>
  <c r="BC98" i="11" s="1"/>
  <c r="BA98" i="11"/>
  <c r="H6" i="1"/>
  <c r="AC14" i="5"/>
  <c r="E14" i="5"/>
  <c r="Q14" i="5" s="1"/>
  <c r="BD53" i="11"/>
  <c r="BE53" i="11"/>
  <c r="BE54" i="11"/>
  <c r="BD54" i="11"/>
  <c r="E8" i="5"/>
  <c r="M8" i="5" s="1"/>
  <c r="E25" i="5"/>
  <c r="I25" i="5" s="1"/>
  <c r="E39" i="5"/>
  <c r="W39" i="5" s="1"/>
  <c r="D6" i="2"/>
  <c r="L10" i="3"/>
  <c r="H5" i="4"/>
  <c r="F20" i="4"/>
  <c r="O15" i="5"/>
  <c r="E20" i="5"/>
  <c r="Q20" i="5" s="1"/>
  <c r="E35" i="5"/>
  <c r="N35" i="5" s="1"/>
  <c r="E47" i="5"/>
  <c r="N47" i="5" s="1"/>
  <c r="G6" i="1"/>
  <c r="F6" i="2"/>
  <c r="F8" i="4"/>
  <c r="H20" i="4"/>
  <c r="E36" i="5"/>
  <c r="N36" i="5" s="1"/>
  <c r="E48" i="5"/>
  <c r="M48" i="5" s="1"/>
  <c r="E50" i="5"/>
  <c r="V50" i="5" s="1"/>
  <c r="BG48" i="11"/>
  <c r="BH48" i="11"/>
  <c r="AC45" i="5"/>
  <c r="O50" i="5"/>
  <c r="Y28" i="5"/>
  <c r="Y31" i="5"/>
  <c r="BJ46" i="11"/>
  <c r="Y49" i="5" s="1"/>
  <c r="BR46" i="11"/>
  <c r="C628" i="8"/>
  <c r="D631" i="8"/>
  <c r="C635" i="8"/>
  <c r="F638" i="8"/>
  <c r="G642" i="8"/>
  <c r="D646" i="8"/>
  <c r="C650" i="8"/>
  <c r="E653" i="8"/>
  <c r="D657" i="8"/>
  <c r="G660" i="8"/>
  <c r="C665" i="8"/>
  <c r="H668" i="8"/>
  <c r="E672" i="8"/>
  <c r="D676" i="8"/>
  <c r="H679" i="8"/>
  <c r="H683" i="8"/>
  <c r="C687" i="8"/>
  <c r="C691" i="8"/>
  <c r="F694" i="8"/>
  <c r="E698" i="8"/>
  <c r="E702" i="8"/>
  <c r="D706" i="8"/>
  <c r="C710" i="8"/>
  <c r="D713" i="8"/>
  <c r="D717" i="8"/>
  <c r="H720" i="8"/>
  <c r="G724" i="8"/>
  <c r="G728" i="8"/>
  <c r="D732" i="8"/>
  <c r="C736" i="8"/>
  <c r="D739" i="8"/>
  <c r="E743" i="8"/>
  <c r="C747" i="8"/>
  <c r="H750" i="8"/>
  <c r="F754" i="8"/>
  <c r="E758" i="8"/>
  <c r="F762" i="8"/>
  <c r="F766" i="8"/>
  <c r="F770" i="8"/>
  <c r="G774" i="8"/>
  <c r="F778" i="8"/>
  <c r="G782" i="8"/>
  <c r="H786" i="8"/>
  <c r="E791" i="8"/>
  <c r="D796" i="8"/>
  <c r="C800" i="8"/>
  <c r="G804" i="8"/>
  <c r="C809" i="8"/>
  <c r="E813" i="8"/>
  <c r="C818" i="8"/>
  <c r="F822" i="8"/>
  <c r="C827" i="8"/>
  <c r="D832" i="8"/>
  <c r="D836" i="8"/>
  <c r="C842" i="8"/>
  <c r="G846" i="8"/>
  <c r="E851" i="8"/>
  <c r="F856" i="8"/>
  <c r="F861" i="8"/>
  <c r="F867" i="8"/>
  <c r="C873" i="8"/>
  <c r="D879" i="8"/>
  <c r="H884" i="8"/>
  <c r="E890" i="8"/>
  <c r="E896" i="8"/>
  <c r="D902" i="8"/>
  <c r="E908" i="8"/>
  <c r="H913" i="8"/>
  <c r="D920" i="8"/>
  <c r="F925" i="8"/>
  <c r="E931" i="8"/>
  <c r="D937" i="8"/>
  <c r="H942" i="8"/>
  <c r="H948" i="8"/>
  <c r="F954" i="8"/>
  <c r="D960" i="8"/>
  <c r="D966" i="8"/>
  <c r="H971" i="8"/>
  <c r="D978" i="8"/>
  <c r="F983" i="8"/>
  <c r="G989" i="8"/>
  <c r="E995" i="8"/>
  <c r="F1000" i="8"/>
  <c r="BE11" i="11"/>
  <c r="BF11" i="11" s="1"/>
  <c r="BE41" i="11"/>
  <c r="BD41" i="11"/>
  <c r="D628" i="8"/>
  <c r="E631" i="8"/>
  <c r="D635" i="8"/>
  <c r="G638" i="8"/>
  <c r="H642" i="8"/>
  <c r="E646" i="8"/>
  <c r="D650" i="8"/>
  <c r="H653" i="8"/>
  <c r="E657" i="8"/>
  <c r="H661" i="8"/>
  <c r="D665" i="8"/>
  <c r="C669" i="8"/>
  <c r="F672" i="8"/>
  <c r="E676" i="8"/>
  <c r="D680" i="8"/>
  <c r="C684" i="8"/>
  <c r="D687" i="8"/>
  <c r="D691" i="8"/>
  <c r="C695" i="8"/>
  <c r="F698" i="8"/>
  <c r="H702" i="8"/>
  <c r="E706" i="8"/>
  <c r="D710" i="8"/>
  <c r="E713" i="8"/>
  <c r="E717" i="8"/>
  <c r="E721" i="8"/>
  <c r="H724" i="8"/>
  <c r="H728" i="8"/>
  <c r="E732" i="8"/>
  <c r="D736" i="8"/>
  <c r="C740" i="8"/>
  <c r="C744" i="8"/>
  <c r="D747" i="8"/>
  <c r="C751" i="8"/>
  <c r="C755" i="8"/>
  <c r="G758" i="8"/>
  <c r="C763" i="8"/>
  <c r="C767" i="8"/>
  <c r="G770" i="8"/>
  <c r="H774" i="8"/>
  <c r="C779" i="8"/>
  <c r="C783" i="8"/>
  <c r="D787" i="8"/>
  <c r="H791" i="8"/>
  <c r="E796" i="8"/>
  <c r="D800" i="8"/>
  <c r="E805" i="8"/>
  <c r="D809" i="8"/>
  <c r="H813" i="8"/>
  <c r="D818" i="8"/>
  <c r="G822" i="8"/>
  <c r="H827" i="8"/>
  <c r="E832" i="8"/>
  <c r="H837" i="8"/>
  <c r="D842" i="8"/>
  <c r="H846" i="8"/>
  <c r="D852" i="8"/>
  <c r="H856" i="8"/>
  <c r="G861" i="8"/>
  <c r="G867" i="8"/>
  <c r="D873" i="8"/>
  <c r="E879" i="8"/>
  <c r="C885" i="8"/>
  <c r="E891" i="8"/>
  <c r="C897" i="8"/>
  <c r="F902" i="8"/>
  <c r="F908" i="8"/>
  <c r="D914" i="8"/>
  <c r="E920" i="8"/>
  <c r="G925" i="8"/>
  <c r="H931" i="8"/>
  <c r="E937" i="8"/>
  <c r="D943" i="8"/>
  <c r="F949" i="8"/>
  <c r="H954" i="8"/>
  <c r="D961" i="8"/>
  <c r="E966" i="8"/>
  <c r="E973" i="8"/>
  <c r="E978" i="8"/>
  <c r="H983" i="8"/>
  <c r="H989" i="8"/>
  <c r="F995" i="8"/>
  <c r="BR6" i="11"/>
  <c r="BJ6" i="11"/>
  <c r="BG13" i="11"/>
  <c r="BH13" i="11"/>
  <c r="BR19" i="11"/>
  <c r="AV19" i="11"/>
  <c r="AY71" i="11"/>
  <c r="E628" i="8"/>
  <c r="H631" i="8"/>
  <c r="E635" i="8"/>
  <c r="D639" i="8"/>
  <c r="C643" i="8"/>
  <c r="F646" i="8"/>
  <c r="E650" i="8"/>
  <c r="E654" i="8"/>
  <c r="D658" i="8"/>
  <c r="C662" i="8"/>
  <c r="E665" i="8"/>
  <c r="D669" i="8"/>
  <c r="G672" i="8"/>
  <c r="G676" i="8"/>
  <c r="G680" i="8"/>
  <c r="D684" i="8"/>
  <c r="C688" i="8"/>
  <c r="E691" i="8"/>
  <c r="D695" i="8"/>
  <c r="C699" i="8"/>
  <c r="C703" i="8"/>
  <c r="F706" i="8"/>
  <c r="E710" i="8"/>
  <c r="E714" i="8"/>
  <c r="C718" i="8"/>
  <c r="H721" i="8"/>
  <c r="C725" i="8"/>
  <c r="C729" i="8"/>
  <c r="F732" i="8"/>
  <c r="E736" i="8"/>
  <c r="G740" i="8"/>
  <c r="D744" i="8"/>
  <c r="C748" i="8"/>
  <c r="E751" i="8"/>
  <c r="D755" i="8"/>
  <c r="H758" i="8"/>
  <c r="D763" i="8"/>
  <c r="D767" i="8"/>
  <c r="H770" i="8"/>
  <c r="C775" i="8"/>
  <c r="E779" i="8"/>
  <c r="C784" i="8"/>
  <c r="E787" i="8"/>
  <c r="D792" i="8"/>
  <c r="F796" i="8"/>
  <c r="H800" i="8"/>
  <c r="H805" i="8"/>
  <c r="E809" i="8"/>
  <c r="D814" i="8"/>
  <c r="E818" i="8"/>
  <c r="H822" i="8"/>
  <c r="D828" i="8"/>
  <c r="G832" i="8"/>
  <c r="C838" i="8"/>
  <c r="F842" i="8"/>
  <c r="C847" i="8"/>
  <c r="E852" i="8"/>
  <c r="C857" i="8"/>
  <c r="E862" i="8"/>
  <c r="H867" i="8"/>
  <c r="E874" i="8"/>
  <c r="G879" i="8"/>
  <c r="E885" i="8"/>
  <c r="G891" i="8"/>
  <c r="D897" i="8"/>
  <c r="D903" i="8"/>
  <c r="D909" i="8"/>
  <c r="D915" i="8"/>
  <c r="F920" i="8"/>
  <c r="H925" i="8"/>
  <c r="E932" i="8"/>
  <c r="F937" i="8"/>
  <c r="H943" i="8"/>
  <c r="D950" i="8"/>
  <c r="D955" i="8"/>
  <c r="G961" i="8"/>
  <c r="E967" i="8"/>
  <c r="F973" i="8"/>
  <c r="C979" i="8"/>
  <c r="C985" i="8"/>
  <c r="F990" i="8"/>
  <c r="BE14" i="11"/>
  <c r="BF14" i="11" s="1"/>
  <c r="BG15" i="11"/>
  <c r="BE33" i="11"/>
  <c r="BD33" i="11"/>
  <c r="BJ56" i="11"/>
  <c r="BR56" i="11"/>
  <c r="BJ62" i="11"/>
  <c r="BR62" i="11"/>
  <c r="K13" i="19"/>
  <c r="AX15" i="11"/>
  <c r="BD27" i="11"/>
  <c r="BE27" i="11"/>
  <c r="BJ101" i="11"/>
  <c r="BR101" i="11"/>
  <c r="G997" i="8"/>
  <c r="F994" i="8"/>
  <c r="C991" i="8"/>
  <c r="G987" i="8"/>
  <c r="G983" i="8"/>
  <c r="F980" i="8"/>
  <c r="C977" i="8"/>
  <c r="G973" i="8"/>
  <c r="F970" i="8"/>
  <c r="F966" i="8"/>
  <c r="E963" i="8"/>
  <c r="G959" i="8"/>
  <c r="F956" i="8"/>
  <c r="C953" i="8"/>
  <c r="E949" i="8"/>
  <c r="G945" i="8"/>
  <c r="F942" i="8"/>
  <c r="E939" i="8"/>
  <c r="G935" i="8"/>
  <c r="D932" i="8"/>
  <c r="F928" i="8"/>
  <c r="E925" i="8"/>
  <c r="G921" i="8"/>
  <c r="F918" i="8"/>
  <c r="F914" i="8"/>
  <c r="E911" i="8"/>
  <c r="D908" i="8"/>
  <c r="F904" i="8"/>
  <c r="E901" i="8"/>
  <c r="E897" i="8"/>
  <c r="D894" i="8"/>
  <c r="F890" i="8"/>
  <c r="E887" i="8"/>
  <c r="D884" i="8"/>
  <c r="D880" i="8"/>
  <c r="C877" i="8"/>
  <c r="E873" i="8"/>
  <c r="D870" i="8"/>
  <c r="F866" i="8"/>
  <c r="C863" i="8"/>
  <c r="F859" i="8"/>
  <c r="G856" i="8"/>
  <c r="C854" i="8"/>
  <c r="C851" i="8"/>
  <c r="C848" i="8"/>
  <c r="C845" i="8"/>
  <c r="E842" i="8"/>
  <c r="E839" i="8"/>
  <c r="G836" i="8"/>
  <c r="E833" i="8"/>
  <c r="G830" i="8"/>
  <c r="C828" i="8"/>
  <c r="C825" i="8"/>
  <c r="D998" i="8"/>
  <c r="H994" i="8"/>
  <c r="H990" i="8"/>
  <c r="F986" i="8"/>
  <c r="D983" i="8"/>
  <c r="E979" i="8"/>
  <c r="F975" i="8"/>
  <c r="G971" i="8"/>
  <c r="E968" i="8"/>
  <c r="F964" i="8"/>
  <c r="H960" i="8"/>
  <c r="C957" i="8"/>
  <c r="F953" i="8"/>
  <c r="D949" i="8"/>
  <c r="E945" i="8"/>
  <c r="H941" i="8"/>
  <c r="G937" i="8"/>
  <c r="E934" i="8"/>
  <c r="F930" i="8"/>
  <c r="E926" i="8"/>
  <c r="C923" i="8"/>
  <c r="D919" i="8"/>
  <c r="G915" i="8"/>
  <c r="F911" i="8"/>
  <c r="H907" i="8"/>
  <c r="D904" i="8"/>
  <c r="H899" i="8"/>
  <c r="F896" i="8"/>
  <c r="H892" i="8"/>
  <c r="C889" i="8"/>
  <c r="D885" i="8"/>
  <c r="G881" i="8"/>
  <c r="F877" i="8"/>
  <c r="G873" i="8"/>
  <c r="E870" i="8"/>
  <c r="H865" i="8"/>
  <c r="F862" i="8"/>
  <c r="C859" i="8"/>
  <c r="C856" i="8"/>
  <c r="F852" i="8"/>
  <c r="E849" i="8"/>
  <c r="F846" i="8"/>
  <c r="C843" i="8"/>
  <c r="D840" i="8"/>
  <c r="C837" i="8"/>
  <c r="H833" i="8"/>
  <c r="F830" i="8"/>
  <c r="E827" i="8"/>
  <c r="D824" i="8"/>
  <c r="D821" i="8"/>
  <c r="F818" i="8"/>
  <c r="H815" i="8"/>
  <c r="H812" i="8"/>
  <c r="H809" i="8"/>
  <c r="H806" i="8"/>
  <c r="D804" i="8"/>
  <c r="D801" i="8"/>
  <c r="F798" i="8"/>
  <c r="D795" i="8"/>
  <c r="F792" i="8"/>
  <c r="H789" i="8"/>
  <c r="H1000" i="8"/>
  <c r="D997" i="8"/>
  <c r="H992" i="8"/>
  <c r="H988" i="8"/>
  <c r="D985" i="8"/>
  <c r="H980" i="8"/>
  <c r="F976" i="8"/>
  <c r="D972" i="8"/>
  <c r="F968" i="8"/>
  <c r="H963" i="8"/>
  <c r="H959" i="8"/>
  <c r="D956" i="8"/>
  <c r="G951" i="8"/>
  <c r="G947" i="8"/>
  <c r="E943" i="8"/>
  <c r="G939" i="8"/>
  <c r="D935" i="8"/>
  <c r="D931" i="8"/>
  <c r="F927" i="8"/>
  <c r="D923" i="8"/>
  <c r="C919" i="8"/>
  <c r="E914" i="8"/>
  <c r="H910" i="8"/>
  <c r="E906" i="8"/>
  <c r="E902" i="8"/>
  <c r="H898" i="8"/>
  <c r="E894" i="8"/>
  <c r="D890" i="8"/>
  <c r="G885" i="8"/>
  <c r="D882" i="8"/>
  <c r="D878" i="8"/>
  <c r="F873" i="8"/>
  <c r="G869" i="8"/>
  <c r="E865" i="8"/>
  <c r="E861" i="8"/>
  <c r="E857" i="8"/>
  <c r="E854" i="8"/>
  <c r="F850" i="8"/>
  <c r="D847" i="8"/>
  <c r="D844" i="8"/>
  <c r="F840" i="8"/>
  <c r="D837" i="8"/>
  <c r="D833" i="8"/>
  <c r="D830" i="8"/>
  <c r="F826" i="8"/>
  <c r="D823" i="8"/>
  <c r="E820" i="8"/>
  <c r="H816" i="8"/>
  <c r="C814" i="8"/>
  <c r="H810" i="8"/>
  <c r="C808" i="8"/>
  <c r="F804" i="8"/>
  <c r="E801" i="8"/>
  <c r="E798" i="8"/>
  <c r="H794" i="8"/>
  <c r="C792" i="8"/>
  <c r="H788" i="8"/>
  <c r="H785" i="8"/>
  <c r="H782" i="8"/>
  <c r="D780" i="8"/>
  <c r="D777" i="8"/>
  <c r="F774" i="8"/>
  <c r="D771" i="8"/>
  <c r="F768" i="8"/>
  <c r="H765" i="8"/>
  <c r="H762" i="8"/>
  <c r="D760" i="8"/>
  <c r="H756" i="8"/>
  <c r="D754" i="8"/>
  <c r="D751" i="8"/>
  <c r="F748" i="8"/>
  <c r="H745" i="8"/>
  <c r="F742" i="8"/>
  <c r="H739" i="8"/>
  <c r="H736" i="8"/>
  <c r="D734" i="8"/>
  <c r="D731" i="8"/>
  <c r="D728" i="8"/>
  <c r="D725" i="8"/>
  <c r="F722" i="8"/>
  <c r="H719" i="8"/>
  <c r="H716" i="8"/>
  <c r="H713" i="8"/>
  <c r="H710" i="8"/>
  <c r="D708" i="8"/>
  <c r="D705" i="8"/>
  <c r="F702" i="8"/>
  <c r="D699" i="8"/>
  <c r="F696" i="8"/>
  <c r="H693" i="8"/>
  <c r="H690" i="8"/>
  <c r="D688" i="8"/>
  <c r="H684" i="8"/>
  <c r="D682" i="8"/>
  <c r="D679" i="8"/>
  <c r="F676" i="8"/>
  <c r="H673" i="8"/>
  <c r="F670" i="8"/>
  <c r="H667" i="8"/>
  <c r="H664" i="8"/>
  <c r="D662" i="8"/>
  <c r="D659" i="8"/>
  <c r="D656" i="8"/>
  <c r="D653" i="8"/>
  <c r="F650" i="8"/>
  <c r="H647" i="8"/>
  <c r="H644" i="8"/>
  <c r="H641" i="8"/>
  <c r="H638" i="8"/>
  <c r="D636" i="8"/>
  <c r="D633" i="8"/>
  <c r="F630" i="8"/>
  <c r="D627" i="8"/>
  <c r="G624" i="8"/>
  <c r="D622" i="8"/>
  <c r="F619" i="8"/>
  <c r="C617" i="8"/>
  <c r="D614" i="8"/>
  <c r="F611" i="8"/>
  <c r="C609" i="8"/>
  <c r="F606" i="8"/>
  <c r="C604" i="8"/>
  <c r="C601" i="8"/>
  <c r="F598" i="8"/>
  <c r="C596" i="8"/>
  <c r="E593" i="8"/>
  <c r="H590" i="8"/>
  <c r="C588" i="8"/>
  <c r="F585" i="8"/>
  <c r="D583" i="8"/>
  <c r="H580" i="8"/>
  <c r="F578" i="8"/>
  <c r="H575" i="8"/>
  <c r="F573" i="8"/>
  <c r="D571" i="8"/>
  <c r="H568" i="8"/>
  <c r="F566" i="8"/>
  <c r="H563" i="8"/>
  <c r="F561" i="8"/>
  <c r="D559" i="8"/>
  <c r="H556" i="8"/>
  <c r="F554" i="8"/>
  <c r="H551" i="8"/>
  <c r="F549" i="8"/>
  <c r="D547" i="8"/>
  <c r="H544" i="8"/>
  <c r="F542" i="8"/>
  <c r="H539" i="8"/>
  <c r="F537" i="8"/>
  <c r="D535" i="8"/>
  <c r="H532" i="8"/>
  <c r="E998" i="8"/>
  <c r="G993" i="8"/>
  <c r="F989" i="8"/>
  <c r="E985" i="8"/>
  <c r="E980" i="8"/>
  <c r="D976" i="8"/>
  <c r="E971" i="8"/>
  <c r="H966" i="8"/>
  <c r="E962" i="8"/>
  <c r="G957" i="8"/>
  <c r="H953" i="8"/>
  <c r="C949" i="8"/>
  <c r="H944" i="8"/>
  <c r="D940" i="8"/>
  <c r="H935" i="8"/>
  <c r="C931" i="8"/>
  <c r="D926" i="8"/>
  <c r="E922" i="8"/>
  <c r="F917" i="8"/>
  <c r="E913" i="8"/>
  <c r="H908" i="8"/>
  <c r="E904" i="8"/>
  <c r="F899" i="8"/>
  <c r="E895" i="8"/>
  <c r="D891" i="8"/>
  <c r="E886" i="8"/>
  <c r="H881" i="8"/>
  <c r="D877" i="8"/>
  <c r="H872" i="8"/>
  <c r="D868" i="8"/>
  <c r="H863" i="8"/>
  <c r="E859" i="8"/>
  <c r="D855" i="8"/>
  <c r="C852" i="8"/>
  <c r="D848" i="8"/>
  <c r="F844" i="8"/>
  <c r="G840" i="8"/>
  <c r="H836" i="8"/>
  <c r="H832" i="8"/>
  <c r="E829" i="8"/>
  <c r="H825" i="8"/>
  <c r="E822" i="8"/>
  <c r="G818" i="8"/>
  <c r="D815" i="8"/>
  <c r="H811" i="8"/>
  <c r="F808" i="8"/>
  <c r="H804" i="8"/>
  <c r="H801" i="8"/>
  <c r="H797" i="8"/>
  <c r="F794" i="8"/>
  <c r="D791" i="8"/>
  <c r="H787" i="8"/>
  <c r="G784" i="8"/>
  <c r="H781" i="8"/>
  <c r="E778" i="8"/>
  <c r="D775" i="8"/>
  <c r="E772" i="8"/>
  <c r="H768" i="8"/>
  <c r="C766" i="8"/>
  <c r="G762" i="8"/>
  <c r="D759" i="8"/>
  <c r="C997" i="8"/>
  <c r="D992" i="8"/>
  <c r="D987" i="8"/>
  <c r="F982" i="8"/>
  <c r="G977" i="8"/>
  <c r="H972" i="8"/>
  <c r="H967" i="8"/>
  <c r="F962" i="8"/>
  <c r="F957" i="8"/>
  <c r="E952" i="8"/>
  <c r="H947" i="8"/>
  <c r="C943" i="8"/>
  <c r="H937" i="8"/>
  <c r="E933" i="8"/>
  <c r="E928" i="8"/>
  <c r="F923" i="8"/>
  <c r="H918" i="8"/>
  <c r="G913" i="8"/>
  <c r="C909" i="8"/>
  <c r="F903" i="8"/>
  <c r="D899" i="8"/>
  <c r="H893" i="8"/>
  <c r="D889" i="8"/>
  <c r="F884" i="8"/>
  <c r="F879" i="8"/>
  <c r="H874" i="8"/>
  <c r="H869" i="8"/>
  <c r="C865" i="8"/>
  <c r="E860" i="8"/>
  <c r="D856" i="8"/>
  <c r="H851" i="8"/>
  <c r="E847" i="8"/>
  <c r="D843" i="8"/>
  <c r="D839" i="8"/>
  <c r="D835" i="8"/>
  <c r="D831" i="8"/>
  <c r="D827" i="8"/>
  <c r="C823" i="8"/>
  <c r="D819" i="8"/>
  <c r="C816" i="8"/>
  <c r="C812" i="8"/>
  <c r="E808" i="8"/>
  <c r="E804" i="8"/>
  <c r="G800" i="8"/>
  <c r="H796" i="8"/>
  <c r="E793" i="8"/>
  <c r="E789" i="8"/>
  <c r="E786" i="8"/>
  <c r="F782" i="8"/>
  <c r="D779" i="8"/>
  <c r="H775" i="8"/>
  <c r="F772" i="8"/>
  <c r="G768" i="8"/>
  <c r="D765" i="8"/>
  <c r="H761" i="8"/>
  <c r="F758" i="8"/>
  <c r="E755" i="8"/>
  <c r="D752" i="8"/>
  <c r="C749" i="8"/>
  <c r="D746" i="8"/>
  <c r="C743" i="8"/>
  <c r="E739" i="8"/>
  <c r="F736" i="8"/>
  <c r="E733" i="8"/>
  <c r="D730" i="8"/>
  <c r="C727" i="8"/>
  <c r="D724" i="8"/>
  <c r="G720" i="8"/>
  <c r="H717" i="8"/>
  <c r="G714" i="8"/>
  <c r="D711" i="8"/>
  <c r="E708" i="8"/>
  <c r="C705" i="8"/>
  <c r="H701" i="8"/>
  <c r="G698" i="8"/>
  <c r="H695" i="8"/>
  <c r="G692" i="8"/>
  <c r="D689" i="8"/>
  <c r="E686" i="8"/>
  <c r="D683" i="8"/>
  <c r="C680" i="8"/>
  <c r="H676" i="8"/>
  <c r="C674" i="8"/>
  <c r="E670" i="8"/>
  <c r="D667" i="8"/>
  <c r="E664" i="8"/>
  <c r="H660" i="8"/>
  <c r="C658" i="8"/>
  <c r="H654" i="8"/>
  <c r="C652" i="8"/>
  <c r="F648" i="8"/>
  <c r="E645" i="8"/>
  <c r="F642" i="8"/>
  <c r="C639" i="8"/>
  <c r="C636" i="8"/>
  <c r="H632" i="8"/>
  <c r="E629" i="8"/>
  <c r="F626" i="8"/>
  <c r="H623" i="8"/>
  <c r="G620" i="8"/>
  <c r="C618" i="8"/>
  <c r="D615" i="8"/>
  <c r="F612" i="8"/>
  <c r="E609" i="8"/>
  <c r="G606" i="8"/>
  <c r="H603" i="8"/>
  <c r="G600" i="8"/>
  <c r="C598" i="8"/>
  <c r="D595" i="8"/>
  <c r="D592" i="8"/>
  <c r="E589" i="8"/>
  <c r="G586" i="8"/>
  <c r="H583" i="8"/>
  <c r="E581" i="8"/>
  <c r="H578" i="8"/>
  <c r="E576" i="8"/>
  <c r="E573" i="8"/>
  <c r="H570" i="8"/>
  <c r="E568" i="8"/>
  <c r="F565" i="8"/>
  <c r="C563" i="8"/>
  <c r="F560" i="8"/>
  <c r="G557" i="8"/>
  <c r="D555" i="8"/>
  <c r="G552" i="8"/>
  <c r="H549" i="8"/>
  <c r="E547" i="8"/>
  <c r="G544" i="8"/>
  <c r="H541" i="8"/>
  <c r="E539" i="8"/>
  <c r="H536" i="8"/>
  <c r="E534" i="8"/>
  <c r="F531" i="8"/>
  <c r="D529" i="8"/>
  <c r="H526" i="8"/>
  <c r="F524" i="8"/>
  <c r="H521" i="8"/>
  <c r="F519" i="8"/>
  <c r="D517" i="8"/>
  <c r="H514" i="8"/>
  <c r="F512" i="8"/>
  <c r="H509" i="8"/>
  <c r="F507" i="8"/>
  <c r="D505" i="8"/>
  <c r="H502" i="8"/>
  <c r="F500" i="8"/>
  <c r="H497" i="8"/>
  <c r="F495" i="8"/>
  <c r="D493" i="8"/>
  <c r="H490" i="8"/>
  <c r="F488" i="8"/>
  <c r="H485" i="8"/>
  <c r="F483" i="8"/>
  <c r="D481" i="8"/>
  <c r="H478" i="8"/>
  <c r="F476" i="8"/>
  <c r="H473" i="8"/>
  <c r="F471" i="8"/>
  <c r="D469" i="8"/>
  <c r="H997" i="8"/>
  <c r="F992" i="8"/>
  <c r="H987" i="8"/>
  <c r="E982" i="8"/>
  <c r="H976" i="8"/>
  <c r="D971" i="8"/>
  <c r="H965" i="8"/>
  <c r="C961" i="8"/>
  <c r="C955" i="8"/>
  <c r="E950" i="8"/>
  <c r="C945" i="8"/>
  <c r="F939" i="8"/>
  <c r="G933" i="8"/>
  <c r="H928" i="8"/>
  <c r="E923" i="8"/>
  <c r="G917" i="8"/>
  <c r="C913" i="8"/>
  <c r="D907" i="8"/>
  <c r="H901" i="8"/>
  <c r="H896" i="8"/>
  <c r="F891" i="8"/>
  <c r="F885" i="8"/>
  <c r="E880" i="8"/>
  <c r="F875" i="8"/>
  <c r="F870" i="8"/>
  <c r="H864" i="8"/>
  <c r="D859" i="8"/>
  <c r="G854" i="8"/>
  <c r="D850" i="8"/>
  <c r="H845" i="8"/>
  <c r="H841" i="8"/>
  <c r="E837" i="8"/>
  <c r="F832" i="8"/>
  <c r="E828" i="8"/>
  <c r="H823" i="8"/>
  <c r="C820" i="8"/>
  <c r="E815" i="8"/>
  <c r="D811" i="8"/>
  <c r="C807" i="8"/>
  <c r="D803" i="8"/>
  <c r="D799" i="8"/>
  <c r="C795" i="8"/>
  <c r="C791" i="8"/>
  <c r="C787" i="8"/>
  <c r="D783" i="8"/>
  <c r="H779" i="8"/>
  <c r="C776" i="8"/>
  <c r="D772" i="8"/>
  <c r="D768" i="8"/>
  <c r="G764" i="8"/>
  <c r="H760" i="8"/>
  <c r="E757" i="8"/>
  <c r="H753" i="8"/>
  <c r="F750" i="8"/>
  <c r="H746" i="8"/>
  <c r="H743" i="8"/>
  <c r="D740" i="8"/>
  <c r="G736" i="8"/>
  <c r="H732" i="8"/>
  <c r="H729" i="8"/>
  <c r="F726" i="8"/>
  <c r="H722" i="8"/>
  <c r="E719" i="8"/>
  <c r="C716" i="8"/>
  <c r="G712" i="8"/>
  <c r="E709" i="8"/>
  <c r="C706" i="8"/>
  <c r="G702" i="8"/>
  <c r="H698" i="8"/>
  <c r="E695" i="8"/>
  <c r="C692" i="8"/>
  <c r="G688" i="8"/>
  <c r="E685" i="8"/>
  <c r="H681" i="8"/>
  <c r="F678" i="8"/>
  <c r="H674" i="8"/>
  <c r="H671" i="8"/>
  <c r="D668" i="8"/>
  <c r="G664" i="8"/>
  <c r="E661" i="8"/>
  <c r="H657" i="8"/>
  <c r="F654" i="8"/>
  <c r="H650" i="8"/>
  <c r="E647" i="8"/>
  <c r="C644" i="8"/>
  <c r="G640" i="8"/>
  <c r="E637" i="8"/>
  <c r="C634" i="8"/>
  <c r="G630" i="8"/>
  <c r="H626" i="8"/>
  <c r="C624" i="8"/>
  <c r="F620" i="8"/>
  <c r="F617" i="8"/>
  <c r="G614" i="8"/>
  <c r="D611" i="8"/>
  <c r="E608" i="8"/>
  <c r="C605" i="8"/>
  <c r="D602" i="8"/>
  <c r="H598" i="8"/>
  <c r="H595" i="8"/>
  <c r="H592" i="8"/>
  <c r="F589" i="8"/>
  <c r="F586" i="8"/>
  <c r="F583" i="8"/>
  <c r="G580" i="8"/>
  <c r="G577" i="8"/>
  <c r="C575" i="8"/>
  <c r="E572" i="8"/>
  <c r="E569" i="8"/>
  <c r="G566" i="8"/>
  <c r="F563" i="8"/>
  <c r="H560" i="8"/>
  <c r="H557" i="8"/>
  <c r="C555" i="8"/>
  <c r="E552" i="8"/>
  <c r="D549" i="8"/>
  <c r="F546" i="8"/>
  <c r="F543" i="8"/>
  <c r="H540" i="8"/>
  <c r="H537" i="8"/>
  <c r="C535" i="8"/>
  <c r="E532" i="8"/>
  <c r="F529" i="8"/>
  <c r="C527" i="8"/>
  <c r="E524" i="8"/>
  <c r="F521" i="8"/>
  <c r="C519" i="8"/>
  <c r="F516" i="8"/>
  <c r="G513" i="8"/>
  <c r="D511" i="8"/>
  <c r="G508" i="8"/>
  <c r="H505" i="8"/>
  <c r="E503" i="8"/>
  <c r="H500" i="8"/>
  <c r="E498" i="8"/>
  <c r="E495" i="8"/>
  <c r="H492" i="8"/>
  <c r="E490" i="8"/>
  <c r="F487" i="8"/>
  <c r="C485" i="8"/>
  <c r="F482" i="8"/>
  <c r="G479" i="8"/>
  <c r="D477" i="8"/>
  <c r="G474" i="8"/>
  <c r="H471" i="8"/>
  <c r="E469" i="8"/>
  <c r="H466" i="8"/>
  <c r="F464" i="8"/>
  <c r="H461" i="8"/>
  <c r="F459" i="8"/>
  <c r="D457" i="8"/>
  <c r="H454" i="8"/>
  <c r="F452" i="8"/>
  <c r="H449" i="8"/>
  <c r="F447" i="8"/>
  <c r="D445" i="8"/>
  <c r="H442" i="8"/>
  <c r="F440" i="8"/>
  <c r="H437" i="8"/>
  <c r="F435" i="8"/>
  <c r="D433" i="8"/>
  <c r="H430" i="8"/>
  <c r="F428" i="8"/>
  <c r="H425" i="8"/>
  <c r="F423" i="8"/>
  <c r="D421" i="8"/>
  <c r="H418" i="8"/>
  <c r="F416" i="8"/>
  <c r="H413" i="8"/>
  <c r="F411" i="8"/>
  <c r="D409" i="8"/>
  <c r="H406" i="8"/>
  <c r="F404" i="8"/>
  <c r="H401" i="8"/>
  <c r="F399" i="8"/>
  <c r="D397" i="8"/>
  <c r="H394" i="8"/>
  <c r="F392" i="8"/>
  <c r="H389" i="8"/>
  <c r="F387" i="8"/>
  <c r="D385" i="8"/>
  <c r="H382" i="8"/>
  <c r="F380" i="8"/>
  <c r="H377" i="8"/>
  <c r="F375" i="8"/>
  <c r="D373" i="8"/>
  <c r="H370" i="8"/>
  <c r="F368" i="8"/>
  <c r="H365" i="8"/>
  <c r="F363" i="8"/>
  <c r="D361" i="8"/>
  <c r="H358" i="8"/>
  <c r="F356" i="8"/>
  <c r="H353" i="8"/>
  <c r="F351" i="8"/>
  <c r="D349" i="8"/>
  <c r="H346" i="8"/>
  <c r="F344" i="8"/>
  <c r="H341" i="8"/>
  <c r="F339" i="8"/>
  <c r="D337" i="8"/>
  <c r="H334" i="8"/>
  <c r="F332" i="8"/>
  <c r="H329" i="8"/>
  <c r="F327" i="8"/>
  <c r="D325" i="8"/>
  <c r="H322" i="8"/>
  <c r="F320" i="8"/>
  <c r="H317" i="8"/>
  <c r="F315" i="8"/>
  <c r="D313" i="8"/>
  <c r="H310" i="8"/>
  <c r="F308" i="8"/>
  <c r="H305" i="8"/>
  <c r="F303" i="8"/>
  <c r="D301" i="8"/>
  <c r="H298" i="8"/>
  <c r="F296" i="8"/>
  <c r="H293" i="8"/>
  <c r="F291" i="8"/>
  <c r="D289" i="8"/>
  <c r="H286" i="8"/>
  <c r="F284" i="8"/>
  <c r="H281" i="8"/>
  <c r="F279" i="8"/>
  <c r="D277" i="8"/>
  <c r="H274" i="8"/>
  <c r="F272" i="8"/>
  <c r="H269" i="8"/>
  <c r="F267" i="8"/>
  <c r="D265" i="8"/>
  <c r="H262" i="8"/>
  <c r="F260" i="8"/>
  <c r="H257" i="8"/>
  <c r="F255" i="8"/>
  <c r="D253" i="8"/>
  <c r="H250" i="8"/>
  <c r="F248" i="8"/>
  <c r="H245" i="8"/>
  <c r="F243" i="8"/>
  <c r="D241" i="8"/>
  <c r="H238" i="8"/>
  <c r="F236" i="8"/>
  <c r="H233" i="8"/>
  <c r="F231" i="8"/>
  <c r="D229" i="8"/>
  <c r="H226" i="8"/>
  <c r="F224" i="8"/>
  <c r="H221" i="8"/>
  <c r="F219" i="8"/>
  <c r="D217" i="8"/>
  <c r="H214" i="8"/>
  <c r="F212" i="8"/>
  <c r="H209" i="8"/>
  <c r="F207" i="8"/>
  <c r="D205" i="8"/>
  <c r="H202" i="8"/>
  <c r="F200" i="8"/>
  <c r="H197" i="8"/>
  <c r="F195" i="8"/>
  <c r="D193" i="8"/>
  <c r="H190" i="8"/>
  <c r="F188" i="8"/>
  <c r="H185" i="8"/>
  <c r="F183" i="8"/>
  <c r="D181" i="8"/>
  <c r="H178" i="8"/>
  <c r="F176" i="8"/>
  <c r="H173" i="8"/>
  <c r="F171" i="8"/>
  <c r="D169" i="8"/>
  <c r="H166" i="8"/>
  <c r="F164" i="8"/>
  <c r="H161" i="8"/>
  <c r="F159" i="8"/>
  <c r="D157" i="8"/>
  <c r="H154" i="8"/>
  <c r="F152" i="8"/>
  <c r="H149" i="8"/>
  <c r="F147" i="8"/>
  <c r="D145" i="8"/>
  <c r="H142" i="8"/>
  <c r="F140" i="8"/>
  <c r="H137" i="8"/>
  <c r="F135" i="8"/>
  <c r="D133" i="8"/>
  <c r="H130" i="8"/>
  <c r="F128" i="8"/>
  <c r="H125" i="8"/>
  <c r="F123" i="8"/>
  <c r="D121" i="8"/>
  <c r="H118" i="8"/>
  <c r="F116" i="8"/>
  <c r="H113" i="8"/>
  <c r="F111" i="8"/>
  <c r="D109" i="8"/>
  <c r="H106" i="8"/>
  <c r="F104" i="8"/>
  <c r="H101" i="8"/>
  <c r="F99" i="8"/>
  <c r="D97" i="8"/>
  <c r="H94" i="8"/>
  <c r="F92" i="8"/>
  <c r="H89" i="8"/>
  <c r="F87" i="8"/>
  <c r="D85" i="8"/>
  <c r="H82" i="8"/>
  <c r="F80" i="8"/>
  <c r="H77" i="8"/>
  <c r="F75" i="8"/>
  <c r="D73" i="8"/>
  <c r="H70" i="8"/>
  <c r="F68" i="8"/>
  <c r="H65" i="8"/>
  <c r="F63" i="8"/>
  <c r="D61" i="8"/>
  <c r="H58" i="8"/>
  <c r="F56" i="8"/>
  <c r="H53" i="8"/>
  <c r="F51" i="8"/>
  <c r="D49" i="8"/>
  <c r="H46" i="8"/>
  <c r="F44" i="8"/>
  <c r="H41" i="8"/>
  <c r="F39" i="8"/>
  <c r="D37" i="8"/>
  <c r="H34" i="8"/>
  <c r="F32" i="8"/>
  <c r="H29" i="8"/>
  <c r="F27" i="8"/>
  <c r="D25" i="8"/>
  <c r="H22" i="8"/>
  <c r="F20" i="8"/>
  <c r="F4" i="8"/>
  <c r="H6" i="8"/>
  <c r="D9" i="8"/>
  <c r="F11" i="8"/>
  <c r="H13" i="8"/>
  <c r="F16" i="8"/>
  <c r="H18" i="8"/>
  <c r="E21" i="8"/>
  <c r="H23" i="8"/>
  <c r="G26" i="8"/>
  <c r="D29" i="8"/>
  <c r="G31" i="8"/>
  <c r="F34" i="8"/>
  <c r="C37" i="8"/>
  <c r="G39" i="8"/>
  <c r="F42" i="8"/>
  <c r="C45" i="8"/>
  <c r="F47" i="8"/>
  <c r="E50" i="8"/>
  <c r="H52" i="8"/>
  <c r="E55" i="8"/>
  <c r="H57" i="8"/>
  <c r="G60" i="8"/>
  <c r="D63" i="8"/>
  <c r="G65" i="8"/>
  <c r="G68" i="8"/>
  <c r="D71" i="8"/>
  <c r="G73" i="8"/>
  <c r="F76" i="8"/>
  <c r="C79" i="8"/>
  <c r="F81" i="8"/>
  <c r="E84" i="8"/>
  <c r="H86" i="8"/>
  <c r="E89" i="8"/>
  <c r="H91" i="8"/>
  <c r="G94" i="8"/>
  <c r="E97" i="8"/>
  <c r="H99" i="8"/>
  <c r="G102" i="8"/>
  <c r="D105" i="8"/>
  <c r="G107" i="8"/>
  <c r="F110" i="8"/>
  <c r="C113" i="8"/>
  <c r="F115" i="8"/>
  <c r="E118" i="8"/>
  <c r="H120" i="8"/>
  <c r="E123" i="8"/>
  <c r="E126" i="8"/>
  <c r="H128" i="8"/>
  <c r="E131" i="8"/>
  <c r="H133" i="8"/>
  <c r="G136" i="8"/>
  <c r="D139" i="8"/>
  <c r="G141" i="8"/>
  <c r="F144" i="8"/>
  <c r="C147" i="8"/>
  <c r="F149" i="8"/>
  <c r="E152" i="8"/>
  <c r="C155" i="8"/>
  <c r="F157" i="8"/>
  <c r="E160" i="8"/>
  <c r="H162" i="8"/>
  <c r="E165" i="8"/>
  <c r="H167" i="8"/>
  <c r="G170" i="8"/>
  <c r="D173" i="8"/>
  <c r="G175" i="8"/>
  <c r="F178" i="8"/>
  <c r="C181" i="8"/>
  <c r="G183" i="8"/>
  <c r="F186" i="8"/>
  <c r="C189" i="8"/>
  <c r="F191" i="8"/>
  <c r="E194" i="8"/>
  <c r="H196" i="8"/>
  <c r="E199" i="8"/>
  <c r="H201" i="8"/>
  <c r="G204" i="8"/>
  <c r="D207" i="8"/>
  <c r="G209" i="8"/>
  <c r="G212" i="8"/>
  <c r="D215" i="8"/>
  <c r="G217" i="8"/>
  <c r="F220" i="8"/>
  <c r="C223" i="8"/>
  <c r="F225" i="8"/>
  <c r="E228" i="8"/>
  <c r="H230" i="8"/>
  <c r="E233" i="8"/>
  <c r="H235" i="8"/>
  <c r="G238" i="8"/>
  <c r="E241" i="8"/>
  <c r="H243" i="8"/>
  <c r="G246" i="8"/>
  <c r="D249" i="8"/>
  <c r="G251" i="8"/>
  <c r="F254" i="8"/>
  <c r="C257" i="8"/>
  <c r="F259" i="8"/>
  <c r="E262" i="8"/>
  <c r="H264" i="8"/>
  <c r="E267" i="8"/>
  <c r="E270" i="8"/>
  <c r="H272" i="8"/>
  <c r="E275" i="8"/>
  <c r="H277" i="8"/>
  <c r="G280" i="8"/>
  <c r="D283" i="8"/>
  <c r="G285" i="8"/>
  <c r="F288" i="8"/>
  <c r="C291" i="8"/>
  <c r="F293" i="8"/>
  <c r="E296" i="8"/>
  <c r="C299" i="8"/>
  <c r="F301" i="8"/>
  <c r="E304" i="8"/>
  <c r="H306" i="8"/>
  <c r="E309" i="8"/>
  <c r="H311" i="8"/>
  <c r="G314" i="8"/>
  <c r="D317" i="8"/>
  <c r="G319" i="8"/>
  <c r="F322" i="8"/>
  <c r="C325" i="8"/>
  <c r="G327" i="8"/>
  <c r="F330" i="8"/>
  <c r="C333" i="8"/>
  <c r="F335" i="8"/>
  <c r="E338" i="8"/>
  <c r="H340" i="8"/>
  <c r="E343" i="8"/>
  <c r="H345" i="8"/>
  <c r="G348" i="8"/>
  <c r="D351" i="8"/>
  <c r="G353" i="8"/>
  <c r="G356" i="8"/>
  <c r="D359" i="8"/>
  <c r="G361" i="8"/>
  <c r="F364" i="8"/>
  <c r="C367" i="8"/>
  <c r="F369" i="8"/>
  <c r="E372" i="8"/>
  <c r="H374" i="8"/>
  <c r="E377" i="8"/>
  <c r="H379" i="8"/>
  <c r="G382" i="8"/>
  <c r="E385" i="8"/>
  <c r="H387" i="8"/>
  <c r="G390" i="8"/>
  <c r="D393" i="8"/>
  <c r="G395" i="8"/>
  <c r="F398" i="8"/>
  <c r="C401" i="8"/>
  <c r="F403" i="8"/>
  <c r="E406" i="8"/>
  <c r="H408" i="8"/>
  <c r="E411" i="8"/>
  <c r="E414" i="8"/>
  <c r="H416" i="8"/>
  <c r="E419" i="8"/>
  <c r="H421" i="8"/>
  <c r="G424" i="8"/>
  <c r="D427" i="8"/>
  <c r="G429" i="8"/>
  <c r="F432" i="8"/>
  <c r="C435" i="8"/>
  <c r="F437" i="8"/>
  <c r="E440" i="8"/>
  <c r="C443" i="8"/>
  <c r="F445" i="8"/>
  <c r="E448" i="8"/>
  <c r="H450" i="8"/>
  <c r="E453" i="8"/>
  <c r="H455" i="8"/>
  <c r="G458" i="8"/>
  <c r="D461" i="8"/>
  <c r="G463" i="8"/>
  <c r="F466" i="8"/>
  <c r="C469" i="8"/>
  <c r="E472" i="8"/>
  <c r="C475" i="8"/>
  <c r="G477" i="8"/>
  <c r="G480" i="8"/>
  <c r="E483" i="8"/>
  <c r="F486" i="8"/>
  <c r="D489" i="8"/>
  <c r="H491" i="8"/>
  <c r="H494" i="8"/>
  <c r="F497" i="8"/>
  <c r="G500" i="8"/>
  <c r="F503" i="8"/>
  <c r="F506" i="8"/>
  <c r="D509" i="8"/>
  <c r="H511" i="8"/>
  <c r="C515" i="8"/>
  <c r="G517" i="8"/>
  <c r="G520" i="8"/>
  <c r="E523" i="8"/>
  <c r="E526" i="8"/>
  <c r="C529" i="8"/>
  <c r="H531" i="8"/>
  <c r="E535" i="8"/>
  <c r="F538" i="8"/>
  <c r="E541" i="8"/>
  <c r="F544" i="8"/>
  <c r="G547" i="8"/>
  <c r="H550" i="8"/>
  <c r="G553" i="8"/>
  <c r="C557" i="8"/>
  <c r="H559" i="8"/>
  <c r="D563" i="8"/>
  <c r="E566" i="8"/>
  <c r="F569" i="8"/>
  <c r="G572" i="8"/>
  <c r="F575" i="8"/>
  <c r="C579" i="8"/>
  <c r="H581" i="8"/>
  <c r="C585" i="8"/>
  <c r="F588" i="8"/>
  <c r="F591" i="8"/>
  <c r="C595" i="8"/>
  <c r="E598" i="8"/>
  <c r="C602" i="8"/>
  <c r="D605" i="8"/>
  <c r="G608" i="8"/>
  <c r="C612" i="8"/>
  <c r="F615" i="8"/>
  <c r="C619" i="8"/>
  <c r="E622" i="8"/>
  <c r="H625" i="8"/>
  <c r="C629" i="8"/>
  <c r="C633" i="8"/>
  <c r="G636" i="8"/>
  <c r="F640" i="8"/>
  <c r="D644" i="8"/>
  <c r="D648" i="8"/>
  <c r="D652" i="8"/>
  <c r="E655" i="8"/>
  <c r="E659" i="8"/>
  <c r="H662" i="8"/>
  <c r="G666" i="8"/>
  <c r="D670" i="8"/>
  <c r="E674" i="8"/>
  <c r="H677" i="8"/>
  <c r="E681" i="8"/>
  <c r="H685" i="8"/>
  <c r="C689" i="8"/>
  <c r="C693" i="8"/>
  <c r="G696" i="8"/>
  <c r="F700" i="8"/>
  <c r="C704" i="8"/>
  <c r="H707" i="8"/>
  <c r="C712" i="8"/>
  <c r="D715" i="8"/>
  <c r="C719" i="8"/>
  <c r="G722" i="8"/>
  <c r="G726" i="8"/>
  <c r="E730" i="8"/>
  <c r="E734" i="8"/>
  <c r="H737" i="8"/>
  <c r="E741" i="8"/>
  <c r="H744" i="8"/>
  <c r="H748" i="8"/>
  <c r="H752" i="8"/>
  <c r="E756" i="8"/>
  <c r="F760" i="8"/>
  <c r="D764" i="8"/>
  <c r="E768" i="8"/>
  <c r="H772" i="8"/>
  <c r="H776" i="8"/>
  <c r="G780" i="8"/>
  <c r="H784" i="8"/>
  <c r="C789" i="8"/>
  <c r="H793" i="8"/>
  <c r="E797" i="8"/>
  <c r="E802" i="8"/>
  <c r="F806" i="8"/>
  <c r="C811" i="8"/>
  <c r="D816" i="8"/>
  <c r="F820" i="8"/>
  <c r="H824" i="8"/>
  <c r="H829" i="8"/>
  <c r="G834" i="8"/>
  <c r="C839" i="8"/>
  <c r="E844" i="8"/>
  <c r="C849" i="8"/>
  <c r="H853" i="8"/>
  <c r="G858" i="8"/>
  <c r="D864" i="8"/>
  <c r="H870" i="8"/>
  <c r="H875" i="8"/>
  <c r="E882" i="8"/>
  <c r="G887" i="8"/>
  <c r="F893" i="8"/>
  <c r="E899" i="8"/>
  <c r="F905" i="8"/>
  <c r="C911" i="8"/>
  <c r="F916" i="8"/>
  <c r="F922" i="8"/>
  <c r="D928" i="8"/>
  <c r="F934" i="8"/>
  <c r="E940" i="8"/>
  <c r="E946" i="8"/>
  <c r="F951" i="8"/>
  <c r="E957" i="8"/>
  <c r="F963" i="8"/>
  <c r="D969" i="8"/>
  <c r="F974" i="8"/>
  <c r="C981" i="8"/>
  <c r="D986" i="8"/>
  <c r="E992" i="8"/>
  <c r="E999" i="8"/>
  <c r="D981" i="8"/>
  <c r="E986" i="8"/>
  <c r="E993" i="8"/>
  <c r="F999" i="8"/>
  <c r="BG4" i="11"/>
  <c r="BJ5" i="11"/>
  <c r="BD8" i="11"/>
  <c r="BE8" i="11"/>
  <c r="BR9" i="11"/>
  <c r="BJ9" i="11"/>
  <c r="F10" i="3" s="1"/>
  <c r="BD23" i="11"/>
  <c r="BD36" i="11"/>
  <c r="BE36" i="11"/>
  <c r="BA67" i="11"/>
  <c r="BB67" i="11"/>
  <c r="BC67" i="11" s="1"/>
  <c r="BR93" i="11"/>
  <c r="BJ93" i="11"/>
  <c r="BA97" i="11"/>
  <c r="BB97" i="11"/>
  <c r="BC97" i="11" s="1"/>
  <c r="BA10" i="11"/>
  <c r="BD24" i="11"/>
  <c r="BE24" i="11"/>
  <c r="BB55" i="11"/>
  <c r="BC55" i="11" s="1"/>
  <c r="BA55" i="11"/>
  <c r="BG11" i="11"/>
  <c r="AX13" i="11"/>
  <c r="AY13" i="11"/>
  <c r="K4" i="19"/>
  <c r="AX5" i="11"/>
  <c r="AY7" i="11"/>
  <c r="AX7" i="11"/>
  <c r="BA5" i="11"/>
  <c r="BG5" i="11"/>
  <c r="BH6" i="11"/>
  <c r="BH28" i="11"/>
  <c r="BG33" i="11"/>
  <c r="K7" i="19"/>
  <c r="AY9" i="11"/>
  <c r="AX9" i="11"/>
  <c r="BE16" i="11"/>
  <c r="K20" i="19"/>
  <c r="AY22" i="11"/>
  <c r="AX22" i="11"/>
  <c r="BH45" i="11"/>
  <c r="AX52" i="11"/>
  <c r="AV77" i="11"/>
  <c r="BR77" i="11"/>
  <c r="BH114" i="11"/>
  <c r="AY51" i="11"/>
  <c r="K116" i="19"/>
  <c r="AX117" i="11"/>
  <c r="AX42" i="11"/>
  <c r="K94" i="19"/>
  <c r="AY95" i="11"/>
  <c r="BG98" i="11"/>
  <c r="BB104" i="11"/>
  <c r="BC104" i="11" s="1"/>
  <c r="BA104" i="11"/>
  <c r="BR111" i="11"/>
  <c r="BJ111" i="11"/>
  <c r="BB113" i="11"/>
  <c r="BC113" i="11" s="1"/>
  <c r="BR3" i="11"/>
  <c r="BB10" i="11"/>
  <c r="BC10" i="11" s="1"/>
  <c r="BH17" i="11"/>
  <c r="BG17" i="11"/>
  <c r="BA20" i="11"/>
  <c r="BB27" i="11"/>
  <c r="BC27" i="11" s="1"/>
  <c r="O16" i="5" s="1"/>
  <c r="BD34" i="11"/>
  <c r="BR39" i="11"/>
  <c r="BE35" i="11"/>
  <c r="BD35" i="11"/>
  <c r="K37" i="19"/>
  <c r="AX38" i="11"/>
  <c r="AY38" i="11"/>
  <c r="BR45" i="11"/>
  <c r="AX46" i="11"/>
  <c r="BR59" i="11"/>
  <c r="BH100" i="11"/>
  <c r="BG100" i="11"/>
  <c r="BE45" i="11"/>
  <c r="BD45" i="11"/>
  <c r="BB60" i="11"/>
  <c r="BC60" i="11" s="1"/>
  <c r="O13" i="5" s="1"/>
  <c r="BA3" i="11"/>
  <c r="BG3" i="11"/>
  <c r="BJ4" i="11"/>
  <c r="Y40" i="5" s="1"/>
  <c r="BR4" i="11"/>
  <c r="BG8" i="11"/>
  <c r="BH8" i="11"/>
  <c r="BH12" i="11"/>
  <c r="BE13" i="11"/>
  <c r="BF13" i="11" s="1"/>
  <c r="K12" i="19"/>
  <c r="AX14" i="11"/>
  <c r="BG25" i="11"/>
  <c r="BA27" i="11"/>
  <c r="BA28" i="11"/>
  <c r="K29" i="19"/>
  <c r="AY30" i="11"/>
  <c r="AX30" i="11"/>
  <c r="BH40" i="11"/>
  <c r="BD51" i="11"/>
  <c r="BE51" i="11"/>
  <c r="K33" i="19"/>
  <c r="AY34" i="11"/>
  <c r="BB44" i="11"/>
  <c r="BC44" i="11" s="1"/>
  <c r="AY5" i="11"/>
  <c r="BE6" i="11"/>
  <c r="BR12" i="11"/>
  <c r="BB19" i="11"/>
  <c r="BC19" i="11" s="1"/>
  <c r="BG20" i="11"/>
  <c r="BR22" i="11"/>
  <c r="AV22" i="11"/>
  <c r="BG27" i="11"/>
  <c r="BH34" i="11"/>
  <c r="BA36" i="11"/>
  <c r="BB39" i="11"/>
  <c r="BC39" i="11" s="1"/>
  <c r="BG68" i="11"/>
  <c r="BE79" i="11"/>
  <c r="BD79" i="11"/>
  <c r="BG6" i="11"/>
  <c r="BA7" i="11"/>
  <c r="BG7" i="11"/>
  <c r="BE12" i="11"/>
  <c r="BD12" i="11"/>
  <c r="BE20" i="11"/>
  <c r="BF20" i="11" s="1"/>
  <c r="X28" i="5" s="1"/>
  <c r="BE30" i="11"/>
  <c r="BD30" i="11"/>
  <c r="BE49" i="11"/>
  <c r="BF49" i="11" s="1"/>
  <c r="AX50" i="11"/>
  <c r="AY52" i="11"/>
  <c r="BE63" i="11"/>
  <c r="BF63" i="11" s="1"/>
  <c r="K71" i="19"/>
  <c r="AY72" i="11"/>
  <c r="BE78" i="11"/>
  <c r="BF78" i="11" s="1"/>
  <c r="BH53" i="11"/>
  <c r="BR55" i="11"/>
  <c r="AY60" i="11"/>
  <c r="BG73" i="11"/>
  <c r="BR91" i="11"/>
  <c r="BR99" i="11"/>
  <c r="BB16" i="11"/>
  <c r="BC16" i="11" s="1"/>
  <c r="BA18" i="11"/>
  <c r="BB23" i="11"/>
  <c r="BC23" i="11" s="1"/>
  <c r="BA24" i="11"/>
  <c r="BG24" i="11"/>
  <c r="BE26" i="11"/>
  <c r="BF26" i="11" s="1"/>
  <c r="BB35" i="11"/>
  <c r="BC35" i="11" s="1"/>
  <c r="BB38" i="11"/>
  <c r="BC38" i="11" s="1"/>
  <c r="BH38" i="11"/>
  <c r="BI38" i="11" s="1"/>
  <c r="BG42" i="11"/>
  <c r="BB43" i="11"/>
  <c r="BC43" i="11" s="1"/>
  <c r="BA48" i="11"/>
  <c r="BR60" i="11"/>
  <c r="AY61" i="11"/>
  <c r="BE61" i="11"/>
  <c r="BF61" i="11" s="1"/>
  <c r="BH64" i="11"/>
  <c r="BE70" i="11"/>
  <c r="BF70" i="11" s="1"/>
  <c r="AY75" i="11"/>
  <c r="BE76" i="11"/>
  <c r="BF76" i="11" s="1"/>
  <c r="BB79" i="11"/>
  <c r="BC79" i="11" s="1"/>
  <c r="BG83" i="11"/>
  <c r="BR84" i="11"/>
  <c r="BR92" i="11"/>
  <c r="BR104" i="11"/>
  <c r="BE107" i="11"/>
  <c r="BF107" i="11" s="1"/>
  <c r="AX108" i="11"/>
  <c r="BE111" i="11"/>
  <c r="BF111" i="11" s="1"/>
  <c r="BB112" i="11"/>
  <c r="BC112" i="11" s="1"/>
  <c r="AX76" i="11"/>
  <c r="BG80" i="11"/>
  <c r="BH81" i="11"/>
  <c r="BD101" i="11"/>
  <c r="AX105" i="11"/>
  <c r="BH113" i="11"/>
  <c r="BG118" i="11"/>
  <c r="BA21" i="11"/>
  <c r="BG21" i="11"/>
  <c r="BB24" i="11"/>
  <c r="BC24" i="11" s="1"/>
  <c r="AY31" i="11"/>
  <c r="BE37" i="11"/>
  <c r="BF37" i="11" s="1"/>
  <c r="BH39" i="11"/>
  <c r="BJ43" i="11"/>
  <c r="Y34" i="5" s="1"/>
  <c r="BB48" i="11"/>
  <c r="BR50" i="11"/>
  <c r="BE57" i="11"/>
  <c r="BH58" i="11"/>
  <c r="BR61" i="11"/>
  <c r="BH66" i="11"/>
  <c r="BR76" i="11"/>
  <c r="BB82" i="11"/>
  <c r="BC82" i="11" s="1"/>
  <c r="AY87" i="11"/>
  <c r="AX93" i="11"/>
  <c r="BE94" i="11"/>
  <c r="BF94" i="11" s="1"/>
  <c r="BA113" i="11"/>
  <c r="BG76" i="11"/>
  <c r="AY77" i="11"/>
  <c r="BH85" i="11"/>
  <c r="AY102" i="11"/>
  <c r="AX106" i="11"/>
  <c r="BE108" i="11"/>
  <c r="BF108" i="11" s="1"/>
  <c r="BB14" i="11"/>
  <c r="BC14" i="11" s="1"/>
  <c r="AY23" i="11"/>
  <c r="BB29" i="11"/>
  <c r="BC29" i="11" s="1"/>
  <c r="BB50" i="11"/>
  <c r="BC50" i="11" s="1"/>
  <c r="BJ59" i="11"/>
  <c r="BG61" i="11"/>
  <c r="BH62" i="11"/>
  <c r="BH69" i="11"/>
  <c r="BH71" i="11"/>
  <c r="AY79" i="11"/>
  <c r="BH83" i="11"/>
  <c r="BG87" i="11"/>
  <c r="AY89" i="11"/>
  <c r="BG93" i="11"/>
  <c r="BA105" i="11"/>
  <c r="BD109" i="11"/>
  <c r="BF109" i="11" s="1"/>
  <c r="BB110" i="11"/>
  <c r="BC110" i="11" s="1"/>
  <c r="AX110" i="11"/>
  <c r="AX112" i="11"/>
  <c r="BJ119" i="11"/>
  <c r="BE3" i="11"/>
  <c r="BD3" i="11"/>
  <c r="BH5" i="11"/>
  <c r="AX36" i="11"/>
  <c r="BH37" i="11"/>
  <c r="BA40" i="11"/>
  <c r="AV61" i="11"/>
  <c r="BG67" i="11"/>
  <c r="AX70" i="11"/>
  <c r="AV76" i="11"/>
  <c r="BH77" i="11"/>
  <c r="BR79" i="11"/>
  <c r="BE80" i="11"/>
  <c r="BF80" i="11" s="1"/>
  <c r="BB85" i="11"/>
  <c r="BC85" i="11" s="1"/>
  <c r="BH86" i="11"/>
  <c r="BB87" i="11"/>
  <c r="BC87" i="11" s="1"/>
  <c r="AX87" i="11"/>
  <c r="BJ90" i="11"/>
  <c r="BB92" i="11"/>
  <c r="BC92" i="11" s="1"/>
  <c r="BH92" i="11"/>
  <c r="BR95" i="11"/>
  <c r="BE115" i="11"/>
  <c r="BF115" i="11" s="1"/>
  <c r="BA37" i="11"/>
  <c r="BR66" i="11"/>
  <c r="AX67" i="11"/>
  <c r="AY82" i="11"/>
  <c r="BA86" i="11"/>
  <c r="BH88" i="11"/>
  <c r="BG94" i="11"/>
  <c r="AY97" i="11"/>
  <c r="BR103" i="11"/>
  <c r="BE85" i="11"/>
  <c r="BF85" i="11" s="1"/>
  <c r="BH87" i="11"/>
  <c r="BA88" i="11"/>
  <c r="BR89" i="11"/>
  <c r="BR98" i="11"/>
  <c r="BH102" i="11"/>
  <c r="BG106" i="11"/>
  <c r="AX111" i="11"/>
  <c r="BG35" i="11"/>
  <c r="BB41" i="11"/>
  <c r="BC41" i="11" s="1"/>
  <c r="AX45" i="11"/>
  <c r="BG49" i="11"/>
  <c r="BG63" i="11"/>
  <c r="BA64" i="11"/>
  <c r="BG66" i="11"/>
  <c r="BE68" i="11"/>
  <c r="BF68" i="11" s="1"/>
  <c r="BB72" i="11"/>
  <c r="BC72" i="11" s="1"/>
  <c r="BD87" i="11"/>
  <c r="AY111" i="11"/>
  <c r="BR113" i="11"/>
  <c r="Y23" i="3"/>
  <c r="M23" i="3"/>
  <c r="V23" i="3"/>
  <c r="U23" i="3"/>
  <c r="AB23" i="3"/>
  <c r="P23" i="3"/>
  <c r="Z23" i="3"/>
  <c r="N23" i="3"/>
  <c r="S23" i="3"/>
  <c r="R23" i="3"/>
  <c r="L23" i="3"/>
  <c r="Q23" i="3"/>
  <c r="O23" i="3"/>
  <c r="X23" i="3"/>
  <c r="W23" i="3"/>
  <c r="T23" i="3"/>
  <c r="AA23" i="3"/>
  <c r="Q11" i="3"/>
  <c r="Z11" i="3"/>
  <c r="N11" i="3"/>
  <c r="Y11" i="3"/>
  <c r="M11" i="3"/>
  <c r="T11" i="3"/>
  <c r="S11" i="3"/>
  <c r="R11" i="3"/>
  <c r="P11" i="3"/>
  <c r="O11" i="3"/>
  <c r="L11" i="3"/>
  <c r="AB11" i="3"/>
  <c r="W11" i="3"/>
  <c r="V11" i="3"/>
  <c r="U11" i="3"/>
  <c r="AA11" i="3"/>
  <c r="X11" i="3"/>
  <c r="Y25" i="3"/>
  <c r="M25" i="3"/>
  <c r="V25" i="3"/>
  <c r="U25" i="3"/>
  <c r="AB25" i="3"/>
  <c r="P25" i="3"/>
  <c r="Z25" i="3"/>
  <c r="N25" i="3"/>
  <c r="X25" i="3"/>
  <c r="W25" i="3"/>
  <c r="T25" i="3"/>
  <c r="Q25" i="3"/>
  <c r="S25" i="3"/>
  <c r="R25" i="3"/>
  <c r="O25" i="3"/>
  <c r="AA25" i="3"/>
  <c r="L25" i="3"/>
  <c r="S21" i="3"/>
  <c r="AB21" i="3"/>
  <c r="P21" i="3"/>
  <c r="AA21" i="3"/>
  <c r="O21" i="3"/>
  <c r="V21" i="3"/>
  <c r="T21" i="3"/>
  <c r="Q21" i="3"/>
  <c r="N21" i="3"/>
  <c r="M21" i="3"/>
  <c r="L21" i="3"/>
  <c r="Z21" i="3"/>
  <c r="U21" i="3"/>
  <c r="R21" i="3"/>
  <c r="Y21" i="3"/>
  <c r="X21" i="3"/>
  <c r="W21" i="3"/>
  <c r="V14" i="3"/>
  <c r="S14" i="3"/>
  <c r="R14" i="3"/>
  <c r="Y14" i="3"/>
  <c r="M14" i="3"/>
  <c r="W14" i="3"/>
  <c r="L14" i="3"/>
  <c r="N14" i="3"/>
  <c r="AB14" i="3"/>
  <c r="AA14" i="3"/>
  <c r="Z14" i="3"/>
  <c r="X14" i="3"/>
  <c r="P14" i="3"/>
  <c r="O14" i="3"/>
  <c r="U14" i="3"/>
  <c r="T14" i="3"/>
  <c r="Q14" i="3"/>
  <c r="V19" i="3"/>
  <c r="S19" i="3"/>
  <c r="R19" i="3"/>
  <c r="Y19" i="3"/>
  <c r="M19" i="3"/>
  <c r="W19" i="3"/>
  <c r="L19" i="3"/>
  <c r="P19" i="3"/>
  <c r="O19" i="3"/>
  <c r="N19" i="3"/>
  <c r="AB19" i="3"/>
  <c r="AA19" i="3"/>
  <c r="U19" i="3"/>
  <c r="T19" i="3"/>
  <c r="Q19" i="3"/>
  <c r="Z19" i="3"/>
  <c r="X19" i="3"/>
  <c r="Y17" i="3"/>
  <c r="M17" i="3"/>
  <c r="V17" i="3"/>
  <c r="U17" i="3"/>
  <c r="AB17" i="3"/>
  <c r="P17" i="3"/>
  <c r="Z17" i="3"/>
  <c r="N17" i="3"/>
  <c r="O17" i="3"/>
  <c r="AA17" i="3"/>
  <c r="L17" i="3"/>
  <c r="X17" i="3"/>
  <c r="S17" i="3"/>
  <c r="R17" i="3"/>
  <c r="Q17" i="3"/>
  <c r="W17" i="3"/>
  <c r="T17" i="3"/>
  <c r="S3" i="3"/>
  <c r="AB3" i="3"/>
  <c r="P3" i="3"/>
  <c r="AA3" i="3"/>
  <c r="O3" i="3"/>
  <c r="V3" i="3"/>
  <c r="Q3" i="3"/>
  <c r="N3" i="3"/>
  <c r="M3" i="3"/>
  <c r="L3" i="3"/>
  <c r="Z3" i="3"/>
  <c r="Y3" i="3"/>
  <c r="U3" i="3"/>
  <c r="T3" i="3"/>
  <c r="R3" i="3"/>
  <c r="X3" i="3"/>
  <c r="W3" i="3"/>
  <c r="S16" i="3"/>
  <c r="AB16" i="3"/>
  <c r="P16" i="3"/>
  <c r="AA16" i="3"/>
  <c r="O16" i="3"/>
  <c r="V16" i="3"/>
  <c r="T16" i="3"/>
  <c r="L16" i="3"/>
  <c r="X16" i="3"/>
  <c r="Z16" i="3"/>
  <c r="Y16" i="3"/>
  <c r="W16" i="3"/>
  <c r="Q16" i="3"/>
  <c r="N16" i="3"/>
  <c r="M16" i="3"/>
  <c r="U16" i="3"/>
  <c r="R16" i="3"/>
  <c r="Z5" i="3"/>
  <c r="N5" i="3"/>
  <c r="W5" i="3"/>
  <c r="L5" i="3"/>
  <c r="V5" i="3"/>
  <c r="Q5" i="3"/>
  <c r="AB5" i="3"/>
  <c r="AA5" i="3"/>
  <c r="U5" i="3"/>
  <c r="Y5" i="3"/>
  <c r="X5" i="3"/>
  <c r="T5" i="3"/>
  <c r="O5" i="3"/>
  <c r="M5" i="3"/>
  <c r="S5" i="3"/>
  <c r="R5" i="3"/>
  <c r="P5" i="3"/>
  <c r="X9" i="3"/>
  <c r="U9" i="3"/>
  <c r="T9" i="3"/>
  <c r="AA9" i="3"/>
  <c r="O9" i="3"/>
  <c r="O7" i="3"/>
  <c r="N8" i="3"/>
  <c r="N9" i="3"/>
  <c r="J20" i="4"/>
  <c r="Q2" i="3"/>
  <c r="AI2" i="3"/>
  <c r="BA2" i="3"/>
  <c r="S6" i="3"/>
  <c r="Q7" i="3"/>
  <c r="Q8" i="3"/>
  <c r="P9" i="3"/>
  <c r="AA10" i="3"/>
  <c r="Q15" i="3"/>
  <c r="Z20" i="3"/>
  <c r="M27" i="3"/>
  <c r="Q28" i="3"/>
  <c r="L3" i="4"/>
  <c r="L8" i="4"/>
  <c r="R17" i="5"/>
  <c r="G17" i="5"/>
  <c r="AB19" i="5"/>
  <c r="AJ2" i="3"/>
  <c r="T6" i="3"/>
  <c r="Q9" i="3"/>
  <c r="Z12" i="3"/>
  <c r="J4" i="4"/>
  <c r="J9" i="4"/>
  <c r="J21" i="4"/>
  <c r="E19" i="5"/>
  <c r="S19" i="5" s="1"/>
  <c r="AC26" i="5"/>
  <c r="E26" i="5"/>
  <c r="G26" i="5" s="1"/>
  <c r="AB26" i="5"/>
  <c r="S2" i="3"/>
  <c r="AB2" i="3"/>
  <c r="P2" i="3"/>
  <c r="AA2" i="3"/>
  <c r="O2" i="3"/>
  <c r="V2" i="3"/>
  <c r="BC2" i="3"/>
  <c r="AQ2" i="3"/>
  <c r="AE2" i="3"/>
  <c r="AZ2" i="3"/>
  <c r="AN2" i="3"/>
  <c r="AY2" i="3"/>
  <c r="AM2" i="3"/>
  <c r="AT2" i="3"/>
  <c r="AH2" i="3"/>
  <c r="AV2" i="3"/>
  <c r="AB20" i="3"/>
  <c r="P20" i="3"/>
  <c r="Y20" i="3"/>
  <c r="M20" i="3"/>
  <c r="X20" i="3"/>
  <c r="S20" i="3"/>
  <c r="Q20" i="3"/>
  <c r="Y7" i="3"/>
  <c r="M7" i="3"/>
  <c r="V7" i="3"/>
  <c r="U7" i="3"/>
  <c r="AB7" i="3"/>
  <c r="P7" i="3"/>
  <c r="S8" i="3"/>
  <c r="AB8" i="3"/>
  <c r="P8" i="3"/>
  <c r="AA8" i="3"/>
  <c r="O8" i="3"/>
  <c r="V8" i="3"/>
  <c r="U20" i="3"/>
  <c r="M2" i="3"/>
  <c r="AF2" i="3"/>
  <c r="AW2" i="3"/>
  <c r="N7" i="3"/>
  <c r="M8" i="3"/>
  <c r="Y15" i="3"/>
  <c r="M15" i="3"/>
  <c r="V15" i="3"/>
  <c r="U15" i="3"/>
  <c r="AB15" i="3"/>
  <c r="P15" i="3"/>
  <c r="Z15" i="3"/>
  <c r="N15" i="3"/>
  <c r="V20" i="3"/>
  <c r="Y28" i="3"/>
  <c r="M28" i="3"/>
  <c r="V28" i="3"/>
  <c r="U28" i="3"/>
  <c r="AB28" i="3"/>
  <c r="P28" i="3"/>
  <c r="Z28" i="3"/>
  <c r="N28" i="3"/>
  <c r="L18" i="4"/>
  <c r="L10" i="4"/>
  <c r="L7" i="4"/>
  <c r="L4" i="4"/>
  <c r="Y19" i="5"/>
  <c r="N2" i="3"/>
  <c r="AG2" i="3"/>
  <c r="AX2" i="3"/>
  <c r="O15" i="3"/>
  <c r="W20" i="3"/>
  <c r="S27" i="3"/>
  <c r="AB27" i="3"/>
  <c r="P27" i="3"/>
  <c r="AA27" i="3"/>
  <c r="O27" i="3"/>
  <c r="V27" i="3"/>
  <c r="T27" i="3"/>
  <c r="O28" i="3"/>
  <c r="J3" i="4"/>
  <c r="J8" i="4"/>
  <c r="Y13" i="5"/>
  <c r="T2" i="3"/>
  <c r="AK2" i="3"/>
  <c r="BD2" i="3"/>
  <c r="S7" i="3"/>
  <c r="Y10" i="3"/>
  <c r="M10" i="3"/>
  <c r="V10" i="3"/>
  <c r="U10" i="3"/>
  <c r="AB10" i="3"/>
  <c r="P10" i="3"/>
  <c r="S15" i="3"/>
  <c r="S24" i="3"/>
  <c r="AB24" i="3"/>
  <c r="P24" i="3"/>
  <c r="AA24" i="3"/>
  <c r="O24" i="3"/>
  <c r="V24" i="3"/>
  <c r="T24" i="3"/>
  <c r="Q27" i="3"/>
  <c r="S28" i="3"/>
  <c r="L9" i="4"/>
  <c r="L21" i="4"/>
  <c r="AB4" i="5"/>
  <c r="E13" i="5"/>
  <c r="V13" i="5" s="1"/>
  <c r="AC13" i="5"/>
  <c r="AB22" i="5"/>
  <c r="U2" i="3"/>
  <c r="AL2" i="3"/>
  <c r="U8" i="3"/>
  <c r="S9" i="3"/>
  <c r="N10" i="3"/>
  <c r="T15" i="3"/>
  <c r="T28" i="3"/>
  <c r="J10" i="4"/>
  <c r="AC22" i="5"/>
  <c r="Y27" i="5"/>
  <c r="AC27" i="5"/>
  <c r="E27" i="5"/>
  <c r="P27" i="5" s="1"/>
  <c r="AB27" i="5"/>
  <c r="W2" i="3"/>
  <c r="AO2" i="3"/>
  <c r="Y6" i="3"/>
  <c r="W7" i="3"/>
  <c r="W8" i="3"/>
  <c r="V9" i="3"/>
  <c r="O10" i="3"/>
  <c r="L12" i="3"/>
  <c r="W15" i="3"/>
  <c r="L20" i="3"/>
  <c r="N24" i="3"/>
  <c r="U27" i="3"/>
  <c r="W28" i="3"/>
  <c r="J5" i="4"/>
  <c r="V10" i="5"/>
  <c r="J10" i="5"/>
  <c r="Y10" i="5"/>
  <c r="AC23" i="5"/>
  <c r="E23" i="5"/>
  <c r="J23" i="5" s="1"/>
  <c r="AB23" i="5"/>
  <c r="S28" i="5"/>
  <c r="X2" i="3"/>
  <c r="AP2" i="3"/>
  <c r="Z6" i="3"/>
  <c r="X7" i="3"/>
  <c r="X8" i="3"/>
  <c r="W9" i="3"/>
  <c r="Q10" i="3"/>
  <c r="X15" i="3"/>
  <c r="N20" i="3"/>
  <c r="Q24" i="3"/>
  <c r="W27" i="3"/>
  <c r="X28" i="3"/>
  <c r="L5" i="4"/>
  <c r="Y16" i="5"/>
  <c r="M17" i="5"/>
  <c r="E22" i="5"/>
  <c r="AR2" i="3"/>
  <c r="L4" i="3" a="1"/>
  <c r="AA6" i="3"/>
  <c r="Z7" i="3"/>
  <c r="Y9" i="3"/>
  <c r="O20" i="3"/>
  <c r="R24" i="3"/>
  <c r="X27" i="3"/>
  <c r="AA28" i="3"/>
  <c r="J6" i="4"/>
  <c r="J12" i="4"/>
  <c r="J17" i="4"/>
  <c r="AC24" i="5"/>
  <c r="E24" i="5"/>
  <c r="G24" i="5" s="1"/>
  <c r="AB24" i="5"/>
  <c r="AC4" i="5"/>
  <c r="Y2" i="3"/>
  <c r="U12" i="3"/>
  <c r="R12" i="3"/>
  <c r="Q12" i="3"/>
  <c r="X12" i="3"/>
  <c r="V12" i="3"/>
  <c r="Y8" i="3"/>
  <c r="R10" i="3"/>
  <c r="N12" i="3"/>
  <c r="AA15" i="3"/>
  <c r="Z2" i="3"/>
  <c r="AS2" i="3"/>
  <c r="L18" i="3" a="1"/>
  <c r="L6" i="3"/>
  <c r="AA7" i="3"/>
  <c r="Z8" i="3"/>
  <c r="Z9" i="3"/>
  <c r="S10" i="3"/>
  <c r="O12" i="3"/>
  <c r="R20" i="3"/>
  <c r="U24" i="3"/>
  <c r="Y27" i="3"/>
  <c r="F18" i="4"/>
  <c r="F10" i="4"/>
  <c r="F7" i="4"/>
  <c r="F4" i="4"/>
  <c r="F21" i="4"/>
  <c r="F17" i="4"/>
  <c r="F13" i="4"/>
  <c r="F9" i="4"/>
  <c r="F6" i="4"/>
  <c r="F3" i="4"/>
  <c r="L6" i="4"/>
  <c r="L12" i="4"/>
  <c r="L17" i="4"/>
  <c r="Y7" i="5"/>
  <c r="AB16" i="5"/>
  <c r="Q17" i="5"/>
  <c r="W28" i="5"/>
  <c r="I28" i="5"/>
  <c r="H28" i="5"/>
  <c r="R28" i="5"/>
  <c r="T8" i="3"/>
  <c r="T7" i="3"/>
  <c r="M24" i="3"/>
  <c r="R27" i="3"/>
  <c r="L2" i="3"/>
  <c r="AD2" i="3"/>
  <c r="AU2" i="3"/>
  <c r="U6" i="3"/>
  <c r="R6" i="3"/>
  <c r="Q6" i="3"/>
  <c r="X6" i="3"/>
  <c r="M6" i="3"/>
  <c r="L7" i="3"/>
  <c r="L8" i="3"/>
  <c r="AB9" i="3"/>
  <c r="T10" i="3"/>
  <c r="T20" i="3"/>
  <c r="W24" i="3"/>
  <c r="Z27" i="3"/>
  <c r="H21" i="4"/>
  <c r="H17" i="4"/>
  <c r="H13" i="4"/>
  <c r="H9" i="4"/>
  <c r="H6" i="4"/>
  <c r="H3" i="4"/>
  <c r="H18" i="4"/>
  <c r="H10" i="4"/>
  <c r="H7" i="4"/>
  <c r="H4" i="4"/>
  <c r="J7" i="4"/>
  <c r="J13" i="4"/>
  <c r="E16" i="5"/>
  <c r="P16" i="5" s="1"/>
  <c r="AC16" i="5"/>
  <c r="N17" i="5"/>
  <c r="V17" i="5"/>
  <c r="A6" i="8"/>
  <c r="A17" i="8"/>
  <c r="B27" i="8"/>
  <c r="A37" i="8"/>
  <c r="B47" i="8"/>
  <c r="A58" i="8"/>
  <c r="B67" i="8"/>
  <c r="A78" i="8"/>
  <c r="A89" i="8"/>
  <c r="B99" i="8"/>
  <c r="A109" i="8"/>
  <c r="B119" i="8"/>
  <c r="A130" i="8"/>
  <c r="B139" i="8"/>
  <c r="A150" i="8"/>
  <c r="A161" i="8"/>
  <c r="B171" i="8"/>
  <c r="A181" i="8"/>
  <c r="B191" i="8"/>
  <c r="B203" i="8"/>
  <c r="B215" i="8"/>
  <c r="B228" i="8"/>
  <c r="B241" i="8"/>
  <c r="B254" i="8"/>
  <c r="A268" i="8"/>
  <c r="A281" i="8"/>
  <c r="A294" i="8"/>
  <c r="A307" i="8"/>
  <c r="A320" i="8"/>
  <c r="B333" i="8"/>
  <c r="B346" i="8"/>
  <c r="B359" i="8"/>
  <c r="B372" i="8"/>
  <c r="B385" i="8"/>
  <c r="B398" i="8"/>
  <c r="A412" i="8"/>
  <c r="A425" i="8"/>
  <c r="A438" i="8"/>
  <c r="A451" i="8"/>
  <c r="A464" i="8"/>
  <c r="B477" i="8"/>
  <c r="B490" i="8"/>
  <c r="B503" i="8"/>
  <c r="B516" i="8"/>
  <c r="B529" i="8"/>
  <c r="B542" i="8"/>
  <c r="A556" i="8"/>
  <c r="A569" i="8"/>
  <c r="A582" i="8"/>
  <c r="A595" i="8"/>
  <c r="A608" i="8"/>
  <c r="B621" i="8"/>
  <c r="B634" i="8"/>
  <c r="B647" i="8"/>
  <c r="B660" i="8"/>
  <c r="B673" i="8"/>
  <c r="B686" i="8"/>
  <c r="B701" i="8"/>
  <c r="A718" i="8"/>
  <c r="B732" i="8"/>
  <c r="A750" i="8"/>
  <c r="B764" i="8"/>
  <c r="A780" i="8"/>
  <c r="B796" i="8"/>
  <c r="A811" i="8"/>
  <c r="B828" i="8"/>
  <c r="B843" i="8"/>
  <c r="B858" i="8"/>
  <c r="A875" i="8"/>
  <c r="B889" i="8"/>
  <c r="A907" i="8"/>
  <c r="A922" i="8"/>
  <c r="A937" i="8"/>
  <c r="B953" i="8"/>
  <c r="A968" i="8"/>
  <c r="B985" i="8"/>
  <c r="B1000" i="8"/>
  <c r="K31" i="19"/>
  <c r="AX32" i="11"/>
  <c r="AY32" i="11"/>
  <c r="BH36" i="11"/>
  <c r="BG36" i="11"/>
  <c r="D51" i="19"/>
  <c r="H51" i="19"/>
  <c r="I51" i="19"/>
  <c r="G51" i="19"/>
  <c r="F51" i="19"/>
  <c r="E51" i="19"/>
  <c r="BB52" i="11"/>
  <c r="BC52" i="11" s="1"/>
  <c r="BH52" i="11"/>
  <c r="BG52" i="11"/>
  <c r="N68" i="19"/>
  <c r="L68" i="19"/>
  <c r="O68" i="19"/>
  <c r="M68" i="19"/>
  <c r="AV69" i="11"/>
  <c r="BR69" i="11"/>
  <c r="BD72" i="11"/>
  <c r="BE72" i="11"/>
  <c r="A7" i="8"/>
  <c r="B17" i="8"/>
  <c r="A28" i="8"/>
  <c r="B37" i="8"/>
  <c r="A48" i="8"/>
  <c r="A59" i="8"/>
  <c r="B69" i="8"/>
  <c r="A79" i="8"/>
  <c r="B89" i="8"/>
  <c r="A100" i="8"/>
  <c r="B109" i="8"/>
  <c r="A120" i="8"/>
  <c r="A131" i="8"/>
  <c r="B141" i="8"/>
  <c r="A151" i="8"/>
  <c r="B161" i="8"/>
  <c r="A172" i="8"/>
  <c r="B181" i="8"/>
  <c r="A192" i="8"/>
  <c r="A204" i="8"/>
  <c r="A216" i="8"/>
  <c r="A229" i="8"/>
  <c r="A242" i="8"/>
  <c r="B255" i="8"/>
  <c r="B268" i="8"/>
  <c r="B281" i="8"/>
  <c r="B294" i="8"/>
  <c r="B307" i="8"/>
  <c r="B320" i="8"/>
  <c r="A334" i="8"/>
  <c r="A347" i="8"/>
  <c r="A360" i="8"/>
  <c r="A373" i="8"/>
  <c r="A386" i="8"/>
  <c r="B399" i="8"/>
  <c r="B412" i="8"/>
  <c r="B425" i="8"/>
  <c r="B438" i="8"/>
  <c r="B451" i="8"/>
  <c r="B464" i="8"/>
  <c r="A478" i="8"/>
  <c r="A491" i="8"/>
  <c r="A504" i="8"/>
  <c r="A517" i="8"/>
  <c r="A530" i="8"/>
  <c r="B543" i="8"/>
  <c r="B556" i="8"/>
  <c r="B569" i="8"/>
  <c r="B582" i="8"/>
  <c r="B595" i="8"/>
  <c r="B608" i="8"/>
  <c r="A622" i="8"/>
  <c r="A635" i="8"/>
  <c r="A648" i="8"/>
  <c r="A661" i="8"/>
  <c r="A674" i="8"/>
  <c r="B687" i="8"/>
  <c r="A704" i="8"/>
  <c r="A719" i="8"/>
  <c r="A734" i="8"/>
  <c r="B750" i="8"/>
  <c r="B765" i="8"/>
  <c r="B782" i="8"/>
  <c r="B797" i="8"/>
  <c r="B812" i="8"/>
  <c r="A829" i="8"/>
  <c r="A844" i="8"/>
  <c r="B861" i="8"/>
  <c r="A876" i="8"/>
  <c r="B891" i="8"/>
  <c r="B907" i="8"/>
  <c r="B922" i="8"/>
  <c r="A940" i="8"/>
  <c r="B954" i="8"/>
  <c r="A970" i="8"/>
  <c r="A986" i="8"/>
  <c r="AY21" i="11"/>
  <c r="BG23" i="11"/>
  <c r="M113" i="19"/>
  <c r="L113" i="19"/>
  <c r="O113" i="19"/>
  <c r="N113" i="19"/>
  <c r="BJ114" i="11"/>
  <c r="BR114" i="11"/>
  <c r="E3" i="5"/>
  <c r="N3" i="5" s="1"/>
  <c r="AC3" i="5"/>
  <c r="E6" i="5"/>
  <c r="N6" i="5" s="1"/>
  <c r="AC6" i="5"/>
  <c r="E9" i="5"/>
  <c r="Q9" i="5" s="1"/>
  <c r="AC9" i="5"/>
  <c r="E12" i="5"/>
  <c r="Q12" i="5" s="1"/>
  <c r="AC12" i="5"/>
  <c r="E15" i="5"/>
  <c r="Q15" i="5" s="1"/>
  <c r="AC15" i="5"/>
  <c r="E18" i="5"/>
  <c r="N18" i="5" s="1"/>
  <c r="AC18" i="5"/>
  <c r="E21" i="5"/>
  <c r="Q21" i="5" s="1"/>
  <c r="AC21" i="5"/>
  <c r="N28" i="5"/>
  <c r="AB30" i="5"/>
  <c r="AB32" i="5"/>
  <c r="AC34" i="5"/>
  <c r="E34" i="5"/>
  <c r="P34" i="5" s="1"/>
  <c r="AB34" i="5"/>
  <c r="AB36" i="5"/>
  <c r="AB38" i="5"/>
  <c r="AC40" i="5"/>
  <c r="E40" i="5"/>
  <c r="P40" i="5" s="1"/>
  <c r="AB40" i="5"/>
  <c r="AB42" i="5"/>
  <c r="AB44" i="5"/>
  <c r="Y44" i="5"/>
  <c r="AC46" i="5"/>
  <c r="E46" i="5"/>
  <c r="AB46" i="5"/>
  <c r="AB48" i="5"/>
  <c r="AB50" i="5"/>
  <c r="Y50" i="5"/>
  <c r="X50" i="5"/>
  <c r="L50" i="5"/>
  <c r="AC52" i="5"/>
  <c r="E52" i="5"/>
  <c r="P52" i="5" s="1"/>
  <c r="AB52" i="5"/>
  <c r="AB54" i="5"/>
  <c r="B7" i="8"/>
  <c r="A18" i="8"/>
  <c r="A29" i="8"/>
  <c r="B39" i="8"/>
  <c r="A49" i="8"/>
  <c r="B59" i="8"/>
  <c r="A70" i="8"/>
  <c r="B79" i="8"/>
  <c r="A90" i="8"/>
  <c r="A101" i="8"/>
  <c r="B111" i="8"/>
  <c r="A121" i="8"/>
  <c r="B131" i="8"/>
  <c r="A142" i="8"/>
  <c r="B151" i="8"/>
  <c r="A162" i="8"/>
  <c r="A173" i="8"/>
  <c r="B183" i="8"/>
  <c r="A193" i="8"/>
  <c r="A205" i="8"/>
  <c r="A217" i="8"/>
  <c r="A230" i="8"/>
  <c r="B243" i="8"/>
  <c r="B256" i="8"/>
  <c r="B269" i="8"/>
  <c r="B282" i="8"/>
  <c r="B295" i="8"/>
  <c r="B308" i="8"/>
  <c r="A322" i="8"/>
  <c r="A335" i="8"/>
  <c r="A348" i="8"/>
  <c r="A361" i="8"/>
  <c r="A374" i="8"/>
  <c r="B387" i="8"/>
  <c r="B400" i="8"/>
  <c r="B413" i="8"/>
  <c r="B426" i="8"/>
  <c r="B439" i="8"/>
  <c r="B452" i="8"/>
  <c r="A466" i="8"/>
  <c r="A479" i="8"/>
  <c r="A492" i="8"/>
  <c r="A505" i="8"/>
  <c r="A518" i="8"/>
  <c r="B531" i="8"/>
  <c r="B544" i="8"/>
  <c r="B557" i="8"/>
  <c r="B570" i="8"/>
  <c r="B583" i="8"/>
  <c r="B596" i="8"/>
  <c r="A610" i="8"/>
  <c r="A623" i="8"/>
  <c r="A636" i="8"/>
  <c r="A649" i="8"/>
  <c r="A662" i="8"/>
  <c r="B675" i="8"/>
  <c r="B688" i="8"/>
  <c r="B704" i="8"/>
  <c r="B719" i="8"/>
  <c r="A737" i="8"/>
  <c r="B751" i="8"/>
  <c r="A767" i="8"/>
  <c r="B783" i="8"/>
  <c r="A798" i="8"/>
  <c r="B815" i="8"/>
  <c r="A830" i="8"/>
  <c r="B845" i="8"/>
  <c r="A862" i="8"/>
  <c r="B876" i="8"/>
  <c r="A894" i="8"/>
  <c r="B908" i="8"/>
  <c r="A924" i="8"/>
  <c r="B940" i="8"/>
  <c r="A955" i="8"/>
  <c r="B972" i="8"/>
  <c r="B987" i="8"/>
  <c r="BH9" i="11"/>
  <c r="BG9" i="11"/>
  <c r="AB29" i="5"/>
  <c r="Y29" i="5"/>
  <c r="X29" i="5"/>
  <c r="T10" i="19"/>
  <c r="R10" i="19"/>
  <c r="BP12" i="11"/>
  <c r="AY28" i="11"/>
  <c r="AX28" i="11"/>
  <c r="AY41" i="11"/>
  <c r="AX41" i="11"/>
  <c r="BJ41" i="11"/>
  <c r="BR41" i="11"/>
  <c r="T53" i="19"/>
  <c r="R53" i="19"/>
  <c r="BP54" i="11"/>
  <c r="B9" i="8"/>
  <c r="A19" i="8"/>
  <c r="B29" i="8"/>
  <c r="A40" i="8"/>
  <c r="B49" i="8"/>
  <c r="A60" i="8"/>
  <c r="A71" i="8"/>
  <c r="B81" i="8"/>
  <c r="A91" i="8"/>
  <c r="B101" i="8"/>
  <c r="A112" i="8"/>
  <c r="B121" i="8"/>
  <c r="A132" i="8"/>
  <c r="A143" i="8"/>
  <c r="B153" i="8"/>
  <c r="A163" i="8"/>
  <c r="B173" i="8"/>
  <c r="A184" i="8"/>
  <c r="B195" i="8"/>
  <c r="B207" i="8"/>
  <c r="A220" i="8"/>
  <c r="A233" i="8"/>
  <c r="A246" i="8"/>
  <c r="A259" i="8"/>
  <c r="A272" i="8"/>
  <c r="B285" i="8"/>
  <c r="B298" i="8"/>
  <c r="B311" i="8"/>
  <c r="B324" i="8"/>
  <c r="B337" i="8"/>
  <c r="B350" i="8"/>
  <c r="A364" i="8"/>
  <c r="A377" i="8"/>
  <c r="A390" i="8"/>
  <c r="A403" i="8"/>
  <c r="A416" i="8"/>
  <c r="B429" i="8"/>
  <c r="B442" i="8"/>
  <c r="B455" i="8"/>
  <c r="B468" i="8"/>
  <c r="B481" i="8"/>
  <c r="B494" i="8"/>
  <c r="A508" i="8"/>
  <c r="A521" i="8"/>
  <c r="A534" i="8"/>
  <c r="A547" i="8"/>
  <c r="A560" i="8"/>
  <c r="B573" i="8"/>
  <c r="B586" i="8"/>
  <c r="B599" i="8"/>
  <c r="B612" i="8"/>
  <c r="B625" i="8"/>
  <c r="B638" i="8"/>
  <c r="A652" i="8"/>
  <c r="A665" i="8"/>
  <c r="A678" i="8"/>
  <c r="A691" i="8"/>
  <c r="A706" i="8"/>
  <c r="A721" i="8"/>
  <c r="B737" i="8"/>
  <c r="A752" i="8"/>
  <c r="B769" i="8"/>
  <c r="B784" i="8"/>
  <c r="B799" i="8"/>
  <c r="A816" i="8"/>
  <c r="B830" i="8"/>
  <c r="A848" i="8"/>
  <c r="A863" i="8"/>
  <c r="A878" i="8"/>
  <c r="B894" i="8"/>
  <c r="B909" i="8"/>
  <c r="B926" i="8"/>
  <c r="B941" i="8"/>
  <c r="B956" i="8"/>
  <c r="A973" i="8"/>
  <c r="A988" i="8"/>
  <c r="AX25" i="11"/>
  <c r="BH31" i="11"/>
  <c r="AY35" i="11"/>
  <c r="AX35" i="11"/>
  <c r="R40" i="19"/>
  <c r="T40" i="19"/>
  <c r="BP41" i="11"/>
  <c r="BH54" i="11"/>
  <c r="BG54" i="11"/>
  <c r="AX56" i="11"/>
  <c r="M64" i="19"/>
  <c r="N64" i="19"/>
  <c r="O64" i="19"/>
  <c r="L64" i="19"/>
  <c r="BG70" i="11"/>
  <c r="A10" i="8"/>
  <c r="B19" i="8"/>
  <c r="A30" i="8"/>
  <c r="A41" i="8"/>
  <c r="B51" i="8"/>
  <c r="A61" i="8"/>
  <c r="B71" i="8"/>
  <c r="A82" i="8"/>
  <c r="B91" i="8"/>
  <c r="A102" i="8"/>
  <c r="A113" i="8"/>
  <c r="B123" i="8"/>
  <c r="A133" i="8"/>
  <c r="B143" i="8"/>
  <c r="A154" i="8"/>
  <c r="B163" i="8"/>
  <c r="A174" i="8"/>
  <c r="A185" i="8"/>
  <c r="A196" i="8"/>
  <c r="A208" i="8"/>
  <c r="B220" i="8"/>
  <c r="B233" i="8"/>
  <c r="B246" i="8"/>
  <c r="B259" i="8"/>
  <c r="B272" i="8"/>
  <c r="A286" i="8"/>
  <c r="A299" i="8"/>
  <c r="A312" i="8"/>
  <c r="A325" i="8"/>
  <c r="A338" i="8"/>
  <c r="B351" i="8"/>
  <c r="B364" i="8"/>
  <c r="B377" i="8"/>
  <c r="B390" i="8"/>
  <c r="B403" i="8"/>
  <c r="B416" i="8"/>
  <c r="A430" i="8"/>
  <c r="A443" i="8"/>
  <c r="A456" i="8"/>
  <c r="A469" i="8"/>
  <c r="A482" i="8"/>
  <c r="B495" i="8"/>
  <c r="B508" i="8"/>
  <c r="B521" i="8"/>
  <c r="B534" i="8"/>
  <c r="B547" i="8"/>
  <c r="B560" i="8"/>
  <c r="A574" i="8"/>
  <c r="A587" i="8"/>
  <c r="A600" i="8"/>
  <c r="A613" i="8"/>
  <c r="A626" i="8"/>
  <c r="B639" i="8"/>
  <c r="B652" i="8"/>
  <c r="B665" i="8"/>
  <c r="B678" i="8"/>
  <c r="B691" i="8"/>
  <c r="B706" i="8"/>
  <c r="A724" i="8"/>
  <c r="B738" i="8"/>
  <c r="A754" i="8"/>
  <c r="A770" i="8"/>
  <c r="A785" i="8"/>
  <c r="B802" i="8"/>
  <c r="A817" i="8"/>
  <c r="B832" i="8"/>
  <c r="B848" i="8"/>
  <c r="B863" i="8"/>
  <c r="A881" i="8"/>
  <c r="B895" i="8"/>
  <c r="A911" i="8"/>
  <c r="B927" i="8"/>
  <c r="A942" i="8"/>
  <c r="B959" i="8"/>
  <c r="A974" i="8"/>
  <c r="B989" i="8"/>
  <c r="T19" i="19"/>
  <c r="R19" i="19"/>
  <c r="BP21" i="11"/>
  <c r="AY33" i="11"/>
  <c r="AX33" i="11"/>
  <c r="O34" i="19"/>
  <c r="L34" i="19"/>
  <c r="N34" i="19"/>
  <c r="M34" i="19"/>
  <c r="BH59" i="11"/>
  <c r="BG59" i="11"/>
  <c r="BJ65" i="11"/>
  <c r="Y48" i="5" s="1"/>
  <c r="BR65" i="11"/>
  <c r="E54" i="5"/>
  <c r="G54" i="5" s="1"/>
  <c r="A11" i="8"/>
  <c r="B21" i="8"/>
  <c r="A31" i="8"/>
  <c r="B41" i="8"/>
  <c r="A52" i="8"/>
  <c r="B61" i="8"/>
  <c r="A72" i="8"/>
  <c r="A83" i="8"/>
  <c r="B93" i="8"/>
  <c r="A103" i="8"/>
  <c r="B113" i="8"/>
  <c r="A124" i="8"/>
  <c r="B133" i="8"/>
  <c r="A144" i="8"/>
  <c r="A155" i="8"/>
  <c r="B165" i="8"/>
  <c r="A175" i="8"/>
  <c r="B185" i="8"/>
  <c r="A197" i="8"/>
  <c r="A209" i="8"/>
  <c r="B221" i="8"/>
  <c r="B234" i="8"/>
  <c r="B247" i="8"/>
  <c r="B260" i="8"/>
  <c r="A274" i="8"/>
  <c r="A287" i="8"/>
  <c r="A300" i="8"/>
  <c r="A313" i="8"/>
  <c r="A326" i="8"/>
  <c r="B339" i="8"/>
  <c r="B352" i="8"/>
  <c r="B365" i="8"/>
  <c r="B378" i="8"/>
  <c r="B391" i="8"/>
  <c r="B404" i="8"/>
  <c r="A418" i="8"/>
  <c r="A431" i="8"/>
  <c r="A444" i="8"/>
  <c r="A457" i="8"/>
  <c r="A470" i="8"/>
  <c r="B483" i="8"/>
  <c r="B496" i="8"/>
  <c r="B509" i="8"/>
  <c r="B522" i="8"/>
  <c r="B535" i="8"/>
  <c r="B548" i="8"/>
  <c r="A562" i="8"/>
  <c r="A575" i="8"/>
  <c r="A588" i="8"/>
  <c r="A601" i="8"/>
  <c r="A614" i="8"/>
  <c r="B627" i="8"/>
  <c r="B640" i="8"/>
  <c r="B653" i="8"/>
  <c r="B666" i="8"/>
  <c r="B679" i="8"/>
  <c r="B692" i="8"/>
  <c r="A708" i="8"/>
  <c r="B724" i="8"/>
  <c r="A739" i="8"/>
  <c r="B756" i="8"/>
  <c r="B771" i="8"/>
  <c r="B786" i="8"/>
  <c r="A803" i="8"/>
  <c r="B817" i="8"/>
  <c r="A835" i="8"/>
  <c r="A850" i="8"/>
  <c r="A865" i="8"/>
  <c r="B881" i="8"/>
  <c r="A896" i="8"/>
  <c r="B913" i="8"/>
  <c r="B928" i="8"/>
  <c r="B943" i="8"/>
  <c r="A960" i="8"/>
  <c r="B974" i="8"/>
  <c r="M9" i="19"/>
  <c r="O9" i="19"/>
  <c r="N9" i="19"/>
  <c r="L9" i="19"/>
  <c r="L24" i="19"/>
  <c r="O24" i="19"/>
  <c r="N24" i="19"/>
  <c r="M24" i="19"/>
  <c r="BR25" i="11"/>
  <c r="AV25" i="11"/>
  <c r="BG46" i="11"/>
  <c r="BH46" i="11"/>
  <c r="L55" i="19"/>
  <c r="O55" i="19"/>
  <c r="M55" i="19"/>
  <c r="N55" i="19"/>
  <c r="AY94" i="11"/>
  <c r="AX94" i="11"/>
  <c r="A999" i="8"/>
  <c r="A993" i="8"/>
  <c r="A987" i="8"/>
  <c r="A981" i="8"/>
  <c r="A975" i="8"/>
  <c r="A969" i="8"/>
  <c r="A963" i="8"/>
  <c r="A957" i="8"/>
  <c r="A951" i="8"/>
  <c r="A945" i="8"/>
  <c r="A939" i="8"/>
  <c r="A933" i="8"/>
  <c r="A927" i="8"/>
  <c r="A921" i="8"/>
  <c r="A915" i="8"/>
  <c r="A909" i="8"/>
  <c r="A903" i="8"/>
  <c r="A897" i="8"/>
  <c r="A891" i="8"/>
  <c r="A885" i="8"/>
  <c r="A879" i="8"/>
  <c r="A873" i="8"/>
  <c r="A867" i="8"/>
  <c r="A861" i="8"/>
  <c r="A855" i="8"/>
  <c r="A849" i="8"/>
  <c r="A843" i="8"/>
  <c r="A837" i="8"/>
  <c r="A831" i="8"/>
  <c r="A825" i="8"/>
  <c r="A819" i="8"/>
  <c r="A813" i="8"/>
  <c r="A807" i="8"/>
  <c r="A801" i="8"/>
  <c r="A795" i="8"/>
  <c r="A789" i="8"/>
  <c r="A783" i="8"/>
  <c r="A777" i="8"/>
  <c r="A771" i="8"/>
  <c r="A765" i="8"/>
  <c r="A759" i="8"/>
  <c r="A753" i="8"/>
  <c r="A747" i="8"/>
  <c r="A741" i="8"/>
  <c r="A735" i="8"/>
  <c r="A729" i="8"/>
  <c r="A723" i="8"/>
  <c r="A717" i="8"/>
  <c r="A711" i="8"/>
  <c r="A705" i="8"/>
  <c r="A699" i="8"/>
  <c r="A693" i="8"/>
  <c r="A687" i="8"/>
  <c r="A681" i="8"/>
  <c r="A675" i="8"/>
  <c r="A669" i="8"/>
  <c r="A663" i="8"/>
  <c r="A657" i="8"/>
  <c r="A651" i="8"/>
  <c r="A645" i="8"/>
  <c r="A639" i="8"/>
  <c r="A633" i="8"/>
  <c r="A627" i="8"/>
  <c r="A621" i="8"/>
  <c r="A615" i="8"/>
  <c r="A609" i="8"/>
  <c r="A603" i="8"/>
  <c r="A597" i="8"/>
  <c r="A591" i="8"/>
  <c r="A585" i="8"/>
  <c r="A579" i="8"/>
  <c r="A573" i="8"/>
  <c r="A567" i="8"/>
  <c r="A561" i="8"/>
  <c r="A555" i="8"/>
  <c r="A549" i="8"/>
  <c r="A543" i="8"/>
  <c r="A537" i="8"/>
  <c r="A531" i="8"/>
  <c r="A525" i="8"/>
  <c r="A519" i="8"/>
  <c r="A513" i="8"/>
  <c r="A507" i="8"/>
  <c r="A501" i="8"/>
  <c r="A495" i="8"/>
  <c r="A489" i="8"/>
  <c r="A483" i="8"/>
  <c r="A477" i="8"/>
  <c r="A471" i="8"/>
  <c r="A465" i="8"/>
  <c r="A459" i="8"/>
  <c r="A453" i="8"/>
  <c r="A447" i="8"/>
  <c r="A441" i="8"/>
  <c r="A435" i="8"/>
  <c r="A429" i="8"/>
  <c r="A423" i="8"/>
  <c r="A417" i="8"/>
  <c r="A411" i="8"/>
  <c r="A405" i="8"/>
  <c r="A399" i="8"/>
  <c r="A393" i="8"/>
  <c r="A387" i="8"/>
  <c r="A381" i="8"/>
  <c r="A375" i="8"/>
  <c r="A369" i="8"/>
  <c r="A363" i="8"/>
  <c r="A357" i="8"/>
  <c r="A351" i="8"/>
  <c r="A345" i="8"/>
  <c r="A339" i="8"/>
  <c r="A333" i="8"/>
  <c r="A327" i="8"/>
  <c r="A321" i="8"/>
  <c r="A315" i="8"/>
  <c r="A309" i="8"/>
  <c r="A303" i="8"/>
  <c r="A297" i="8"/>
  <c r="A291" i="8"/>
  <c r="A285" i="8"/>
  <c r="A279" i="8"/>
  <c r="A273" i="8"/>
  <c r="A267" i="8"/>
  <c r="A261" i="8"/>
  <c r="A255" i="8"/>
  <c r="A249" i="8"/>
  <c r="A243" i="8"/>
  <c r="A237" i="8"/>
  <c r="A231" i="8"/>
  <c r="A225" i="8"/>
  <c r="A219" i="8"/>
  <c r="A1000" i="8"/>
  <c r="B993" i="8"/>
  <c r="B986" i="8"/>
  <c r="A980" i="8"/>
  <c r="B973" i="8"/>
  <c r="A967" i="8"/>
  <c r="B960" i="8"/>
  <c r="A954" i="8"/>
  <c r="B947" i="8"/>
  <c r="A941" i="8"/>
  <c r="B934" i="8"/>
  <c r="A928" i="8"/>
  <c r="B921" i="8"/>
  <c r="B914" i="8"/>
  <c r="A908" i="8"/>
  <c r="B901" i="8"/>
  <c r="A895" i="8"/>
  <c r="B888" i="8"/>
  <c r="A882" i="8"/>
  <c r="B875" i="8"/>
  <c r="A869" i="8"/>
  <c r="B862" i="8"/>
  <c r="A856" i="8"/>
  <c r="B849" i="8"/>
  <c r="B842" i="8"/>
  <c r="A836" i="8"/>
  <c r="B829" i="8"/>
  <c r="A823" i="8"/>
  <c r="B816" i="8"/>
  <c r="A810" i="8"/>
  <c r="B803" i="8"/>
  <c r="A797" i="8"/>
  <c r="B790" i="8"/>
  <c r="A784" i="8"/>
  <c r="B777" i="8"/>
  <c r="B770" i="8"/>
  <c r="A764" i="8"/>
  <c r="B757" i="8"/>
  <c r="A751" i="8"/>
  <c r="B744" i="8"/>
  <c r="A738" i="8"/>
  <c r="B731" i="8"/>
  <c r="A725" i="8"/>
  <c r="B718" i="8"/>
  <c r="A712" i="8"/>
  <c r="B705" i="8"/>
  <c r="B698" i="8"/>
  <c r="A692" i="8"/>
  <c r="B685" i="8"/>
  <c r="A679" i="8"/>
  <c r="B672" i="8"/>
  <c r="A666" i="8"/>
  <c r="B659" i="8"/>
  <c r="A653" i="8"/>
  <c r="B646" i="8"/>
  <c r="A640" i="8"/>
  <c r="B633" i="8"/>
  <c r="B626" i="8"/>
  <c r="A620" i="8"/>
  <c r="B613" i="8"/>
  <c r="A607" i="8"/>
  <c r="B600" i="8"/>
  <c r="A594" i="8"/>
  <c r="B587" i="8"/>
  <c r="A581" i="8"/>
  <c r="B574" i="8"/>
  <c r="A568" i="8"/>
  <c r="B561" i="8"/>
  <c r="B554" i="8"/>
  <c r="A548" i="8"/>
  <c r="B541" i="8"/>
  <c r="A535" i="8"/>
  <c r="B528" i="8"/>
  <c r="A522" i="8"/>
  <c r="B515" i="8"/>
  <c r="A509" i="8"/>
  <c r="B502" i="8"/>
  <c r="A496" i="8"/>
  <c r="B489" i="8"/>
  <c r="B482" i="8"/>
  <c r="A476" i="8"/>
  <c r="B469" i="8"/>
  <c r="A463" i="8"/>
  <c r="B456" i="8"/>
  <c r="A450" i="8"/>
  <c r="B443" i="8"/>
  <c r="A437" i="8"/>
  <c r="B430" i="8"/>
  <c r="A424" i="8"/>
  <c r="B417" i="8"/>
  <c r="B410" i="8"/>
  <c r="A404" i="8"/>
  <c r="B397" i="8"/>
  <c r="A391" i="8"/>
  <c r="B384" i="8"/>
  <c r="A378" i="8"/>
  <c r="B371" i="8"/>
  <c r="A365" i="8"/>
  <c r="B358" i="8"/>
  <c r="A352" i="8"/>
  <c r="B345" i="8"/>
  <c r="B338" i="8"/>
  <c r="A332" i="8"/>
  <c r="B325" i="8"/>
  <c r="A319" i="8"/>
  <c r="B312" i="8"/>
  <c r="A306" i="8"/>
  <c r="B299" i="8"/>
  <c r="A293" i="8"/>
  <c r="B286" i="8"/>
  <c r="A280" i="8"/>
  <c r="B273" i="8"/>
  <c r="B266" i="8"/>
  <c r="A260" i="8"/>
  <c r="B253" i="8"/>
  <c r="A247" i="8"/>
  <c r="B240" i="8"/>
  <c r="A234" i="8"/>
  <c r="B227" i="8"/>
  <c r="A221" i="8"/>
  <c r="B214" i="8"/>
  <c r="B208" i="8"/>
  <c r="B202" i="8"/>
  <c r="B196" i="8"/>
  <c r="B190" i="8"/>
  <c r="B184" i="8"/>
  <c r="B178" i="8"/>
  <c r="B172" i="8"/>
  <c r="B166" i="8"/>
  <c r="B160" i="8"/>
  <c r="B154" i="8"/>
  <c r="B148" i="8"/>
  <c r="B142" i="8"/>
  <c r="B136" i="8"/>
  <c r="B130" i="8"/>
  <c r="B124" i="8"/>
  <c r="B118" i="8"/>
  <c r="B112" i="8"/>
  <c r="B106" i="8"/>
  <c r="B100" i="8"/>
  <c r="B94" i="8"/>
  <c r="B88" i="8"/>
  <c r="B82" i="8"/>
  <c r="B76" i="8"/>
  <c r="B70" i="8"/>
  <c r="B64" i="8"/>
  <c r="B58" i="8"/>
  <c r="B52" i="8"/>
  <c r="B46" i="8"/>
  <c r="B40" i="8"/>
  <c r="B34" i="8"/>
  <c r="B28" i="8"/>
  <c r="B22" i="8"/>
  <c r="B16" i="8"/>
  <c r="B10" i="8"/>
  <c r="B4" i="8"/>
  <c r="A998" i="8"/>
  <c r="B991" i="8"/>
  <c r="A985" i="8"/>
  <c r="B978" i="8"/>
  <c r="A972" i="8"/>
  <c r="B965" i="8"/>
  <c r="A959" i="8"/>
  <c r="B952" i="8"/>
  <c r="A946" i="8"/>
  <c r="B939" i="8"/>
  <c r="B932" i="8"/>
  <c r="A926" i="8"/>
  <c r="B919" i="8"/>
  <c r="A913" i="8"/>
  <c r="B906" i="8"/>
  <c r="A900" i="8"/>
  <c r="B893" i="8"/>
  <c r="A887" i="8"/>
  <c r="B880" i="8"/>
  <c r="A874" i="8"/>
  <c r="B867" i="8"/>
  <c r="B860" i="8"/>
  <c r="A854" i="8"/>
  <c r="B847" i="8"/>
  <c r="A841" i="8"/>
  <c r="B834" i="8"/>
  <c r="A828" i="8"/>
  <c r="B821" i="8"/>
  <c r="A815" i="8"/>
  <c r="B808" i="8"/>
  <c r="A802" i="8"/>
  <c r="B795" i="8"/>
  <c r="B788" i="8"/>
  <c r="A782" i="8"/>
  <c r="B775" i="8"/>
  <c r="A769" i="8"/>
  <c r="B762" i="8"/>
  <c r="A756" i="8"/>
  <c r="B749" i="8"/>
  <c r="A743" i="8"/>
  <c r="B736" i="8"/>
  <c r="A730" i="8"/>
  <c r="B723" i="8"/>
  <c r="B716" i="8"/>
  <c r="A710" i="8"/>
  <c r="B703" i="8"/>
  <c r="A697" i="8"/>
  <c r="B690" i="8"/>
  <c r="A684" i="8"/>
  <c r="B677" i="8"/>
  <c r="A671" i="8"/>
  <c r="B664" i="8"/>
  <c r="A658" i="8"/>
  <c r="B651" i="8"/>
  <c r="B644" i="8"/>
  <c r="A638" i="8"/>
  <c r="B631" i="8"/>
  <c r="A625" i="8"/>
  <c r="B618" i="8"/>
  <c r="A612" i="8"/>
  <c r="B605" i="8"/>
  <c r="A599" i="8"/>
  <c r="B592" i="8"/>
  <c r="A586" i="8"/>
  <c r="B579" i="8"/>
  <c r="B572" i="8"/>
  <c r="A566" i="8"/>
  <c r="B559" i="8"/>
  <c r="A553" i="8"/>
  <c r="B546" i="8"/>
  <c r="A540" i="8"/>
  <c r="B533" i="8"/>
  <c r="A527" i="8"/>
  <c r="B520" i="8"/>
  <c r="A514" i="8"/>
  <c r="B507" i="8"/>
  <c r="B500" i="8"/>
  <c r="A494" i="8"/>
  <c r="B487" i="8"/>
  <c r="A481" i="8"/>
  <c r="B474" i="8"/>
  <c r="A468" i="8"/>
  <c r="B461" i="8"/>
  <c r="A455" i="8"/>
  <c r="B448" i="8"/>
  <c r="A442" i="8"/>
  <c r="B435" i="8"/>
  <c r="B428" i="8"/>
  <c r="A422" i="8"/>
  <c r="B415" i="8"/>
  <c r="A409" i="8"/>
  <c r="B402" i="8"/>
  <c r="A396" i="8"/>
  <c r="B389" i="8"/>
  <c r="A383" i="8"/>
  <c r="B376" i="8"/>
  <c r="A370" i="8"/>
  <c r="B363" i="8"/>
  <c r="B356" i="8"/>
  <c r="A350" i="8"/>
  <c r="B343" i="8"/>
  <c r="A337" i="8"/>
  <c r="B330" i="8"/>
  <c r="A324" i="8"/>
  <c r="B317" i="8"/>
  <c r="A311" i="8"/>
  <c r="B304" i="8"/>
  <c r="A298" i="8"/>
  <c r="B291" i="8"/>
  <c r="B284" i="8"/>
  <c r="A278" i="8"/>
  <c r="B271" i="8"/>
  <c r="A265" i="8"/>
  <c r="B258" i="8"/>
  <c r="A252" i="8"/>
  <c r="B245" i="8"/>
  <c r="A239" i="8"/>
  <c r="B232" i="8"/>
  <c r="A226" i="8"/>
  <c r="B219" i="8"/>
  <c r="A213" i="8"/>
  <c r="A207" i="8"/>
  <c r="A201" i="8"/>
  <c r="A195" i="8"/>
  <c r="A189" i="8"/>
  <c r="A183" i="8"/>
  <c r="A177" i="8"/>
  <c r="A171" i="8"/>
  <c r="A165" i="8"/>
  <c r="A159" i="8"/>
  <c r="A153" i="8"/>
  <c r="A147" i="8"/>
  <c r="A141" i="8"/>
  <c r="A135" i="8"/>
  <c r="A129" i="8"/>
  <c r="A123" i="8"/>
  <c r="A117" i="8"/>
  <c r="A111" i="8"/>
  <c r="A105" i="8"/>
  <c r="A99" i="8"/>
  <c r="A93" i="8"/>
  <c r="A87" i="8"/>
  <c r="A81" i="8"/>
  <c r="A75" i="8"/>
  <c r="A69" i="8"/>
  <c r="A63" i="8"/>
  <c r="A57" i="8"/>
  <c r="A51" i="8"/>
  <c r="A45" i="8"/>
  <c r="A39" i="8"/>
  <c r="A33" i="8"/>
  <c r="A27" i="8"/>
  <c r="A21" i="8"/>
  <c r="A15" i="8"/>
  <c r="A9" i="8"/>
  <c r="A3" i="8"/>
  <c r="B997" i="8"/>
  <c r="A991" i="8"/>
  <c r="B984" i="8"/>
  <c r="A978" i="8"/>
  <c r="B971" i="8"/>
  <c r="A965" i="8"/>
  <c r="B958" i="8"/>
  <c r="A952" i="8"/>
  <c r="B945" i="8"/>
  <c r="B938" i="8"/>
  <c r="A932" i="8"/>
  <c r="B925" i="8"/>
  <c r="A919" i="8"/>
  <c r="B912" i="8"/>
  <c r="A906" i="8"/>
  <c r="B899" i="8"/>
  <c r="A893" i="8"/>
  <c r="B886" i="8"/>
  <c r="A880" i="8"/>
  <c r="B873" i="8"/>
  <c r="B866" i="8"/>
  <c r="A860" i="8"/>
  <c r="B853" i="8"/>
  <c r="A847" i="8"/>
  <c r="B840" i="8"/>
  <c r="A834" i="8"/>
  <c r="B827" i="8"/>
  <c r="A821" i="8"/>
  <c r="B814" i="8"/>
  <c r="A808" i="8"/>
  <c r="B801" i="8"/>
  <c r="B794" i="8"/>
  <c r="A788" i="8"/>
  <c r="B781" i="8"/>
  <c r="A775" i="8"/>
  <c r="B768" i="8"/>
  <c r="A762" i="8"/>
  <c r="B755" i="8"/>
  <c r="A749" i="8"/>
  <c r="B742" i="8"/>
  <c r="A736" i="8"/>
  <c r="B729" i="8"/>
  <c r="B722" i="8"/>
  <c r="A716" i="8"/>
  <c r="B709" i="8"/>
  <c r="A703" i="8"/>
  <c r="B696" i="8"/>
  <c r="A690" i="8"/>
  <c r="B683" i="8"/>
  <c r="A677" i="8"/>
  <c r="B670" i="8"/>
  <c r="A664" i="8"/>
  <c r="B657" i="8"/>
  <c r="B650" i="8"/>
  <c r="A644" i="8"/>
  <c r="B637" i="8"/>
  <c r="A631" i="8"/>
  <c r="B624" i="8"/>
  <c r="A618" i="8"/>
  <c r="B611" i="8"/>
  <c r="A605" i="8"/>
  <c r="B598" i="8"/>
  <c r="A592" i="8"/>
  <c r="B585" i="8"/>
  <c r="B578" i="8"/>
  <c r="A572" i="8"/>
  <c r="B565" i="8"/>
  <c r="A559" i="8"/>
  <c r="B552" i="8"/>
  <c r="A546" i="8"/>
  <c r="B539" i="8"/>
  <c r="A533" i="8"/>
  <c r="B526" i="8"/>
  <c r="A520" i="8"/>
  <c r="B513" i="8"/>
  <c r="B506" i="8"/>
  <c r="A500" i="8"/>
  <c r="B493" i="8"/>
  <c r="A487" i="8"/>
  <c r="B480" i="8"/>
  <c r="A474" i="8"/>
  <c r="B467" i="8"/>
  <c r="A461" i="8"/>
  <c r="B454" i="8"/>
  <c r="A448" i="8"/>
  <c r="B441" i="8"/>
  <c r="B434" i="8"/>
  <c r="A428" i="8"/>
  <c r="B421" i="8"/>
  <c r="A415" i="8"/>
  <c r="B408" i="8"/>
  <c r="A402" i="8"/>
  <c r="B395" i="8"/>
  <c r="A389" i="8"/>
  <c r="B382" i="8"/>
  <c r="A376" i="8"/>
  <c r="B369" i="8"/>
  <c r="B362" i="8"/>
  <c r="A356" i="8"/>
  <c r="B349" i="8"/>
  <c r="A343" i="8"/>
  <c r="B336" i="8"/>
  <c r="A330" i="8"/>
  <c r="B323" i="8"/>
  <c r="A317" i="8"/>
  <c r="B310" i="8"/>
  <c r="A304" i="8"/>
  <c r="B297" i="8"/>
  <c r="B290" i="8"/>
  <c r="A284" i="8"/>
  <c r="B277" i="8"/>
  <c r="A271" i="8"/>
  <c r="B264" i="8"/>
  <c r="A258" i="8"/>
  <c r="B251" i="8"/>
  <c r="A245" i="8"/>
  <c r="B238" i="8"/>
  <c r="A232" i="8"/>
  <c r="B225" i="8"/>
  <c r="B218" i="8"/>
  <c r="B212" i="8"/>
  <c r="B206" i="8"/>
  <c r="B200" i="8"/>
  <c r="B194" i="8"/>
  <c r="B188" i="8"/>
  <c r="B182" i="8"/>
  <c r="B176" i="8"/>
  <c r="B170" i="8"/>
  <c r="B164" i="8"/>
  <c r="B158" i="8"/>
  <c r="B152" i="8"/>
  <c r="B146" i="8"/>
  <c r="B140" i="8"/>
  <c r="B134" i="8"/>
  <c r="B128" i="8"/>
  <c r="B122" i="8"/>
  <c r="B116" i="8"/>
  <c r="B110" i="8"/>
  <c r="B104" i="8"/>
  <c r="B98" i="8"/>
  <c r="B92" i="8"/>
  <c r="B86" i="8"/>
  <c r="B80" i="8"/>
  <c r="B74" i="8"/>
  <c r="B68" i="8"/>
  <c r="B62" i="8"/>
  <c r="B56" i="8"/>
  <c r="B50" i="8"/>
  <c r="B44" i="8"/>
  <c r="B38" i="8"/>
  <c r="B32" i="8"/>
  <c r="B26" i="8"/>
  <c r="B20" i="8"/>
  <c r="B14" i="8"/>
  <c r="B8" i="8"/>
  <c r="B2" i="8"/>
  <c r="A997" i="8"/>
  <c r="B990" i="8"/>
  <c r="A984" i="8"/>
  <c r="B977" i="8"/>
  <c r="A971" i="8"/>
  <c r="B964" i="8"/>
  <c r="A958" i="8"/>
  <c r="B951" i="8"/>
  <c r="B944" i="8"/>
  <c r="A938" i="8"/>
  <c r="B931" i="8"/>
  <c r="A925" i="8"/>
  <c r="B918" i="8"/>
  <c r="A912" i="8"/>
  <c r="B905" i="8"/>
  <c r="A899" i="8"/>
  <c r="B892" i="8"/>
  <c r="A886" i="8"/>
  <c r="B879" i="8"/>
  <c r="B872" i="8"/>
  <c r="A866" i="8"/>
  <c r="B859" i="8"/>
  <c r="A853" i="8"/>
  <c r="B846" i="8"/>
  <c r="A840" i="8"/>
  <c r="B833" i="8"/>
  <c r="A827" i="8"/>
  <c r="B820" i="8"/>
  <c r="A814" i="8"/>
  <c r="B807" i="8"/>
  <c r="B800" i="8"/>
  <c r="A794" i="8"/>
  <c r="B787" i="8"/>
  <c r="A781" i="8"/>
  <c r="B774" i="8"/>
  <c r="A768" i="8"/>
  <c r="B761" i="8"/>
  <c r="A755" i="8"/>
  <c r="B748" i="8"/>
  <c r="A742" i="8"/>
  <c r="B735" i="8"/>
  <c r="B728" i="8"/>
  <c r="A722" i="8"/>
  <c r="B715" i="8"/>
  <c r="A709" i="8"/>
  <c r="B702" i="8"/>
  <c r="A696" i="8"/>
  <c r="B689" i="8"/>
  <c r="A683" i="8"/>
  <c r="B676" i="8"/>
  <c r="A670" i="8"/>
  <c r="B663" i="8"/>
  <c r="B656" i="8"/>
  <c r="A650" i="8"/>
  <c r="B643" i="8"/>
  <c r="A637" i="8"/>
  <c r="B630" i="8"/>
  <c r="A624" i="8"/>
  <c r="B617" i="8"/>
  <c r="A611" i="8"/>
  <c r="B604" i="8"/>
  <c r="A598" i="8"/>
  <c r="B591" i="8"/>
  <c r="B584" i="8"/>
  <c r="A578" i="8"/>
  <c r="B571" i="8"/>
  <c r="A565" i="8"/>
  <c r="B558" i="8"/>
  <c r="A552" i="8"/>
  <c r="B545" i="8"/>
  <c r="A539" i="8"/>
  <c r="B532" i="8"/>
  <c r="A526" i="8"/>
  <c r="B519" i="8"/>
  <c r="B512" i="8"/>
  <c r="A506" i="8"/>
  <c r="B499" i="8"/>
  <c r="A493" i="8"/>
  <c r="B486" i="8"/>
  <c r="A480" i="8"/>
  <c r="B473" i="8"/>
  <c r="A467" i="8"/>
  <c r="B460" i="8"/>
  <c r="A454" i="8"/>
  <c r="B447" i="8"/>
  <c r="B440" i="8"/>
  <c r="A434" i="8"/>
  <c r="B427" i="8"/>
  <c r="A421" i="8"/>
  <c r="B414" i="8"/>
  <c r="A408" i="8"/>
  <c r="B401" i="8"/>
  <c r="A395" i="8"/>
  <c r="B388" i="8"/>
  <c r="A382" i="8"/>
  <c r="B375" i="8"/>
  <c r="B368" i="8"/>
  <c r="A362" i="8"/>
  <c r="B355" i="8"/>
  <c r="A349" i="8"/>
  <c r="B342" i="8"/>
  <c r="A336" i="8"/>
  <c r="B329" i="8"/>
  <c r="A323" i="8"/>
  <c r="B316" i="8"/>
  <c r="A310" i="8"/>
  <c r="B303" i="8"/>
  <c r="B296" i="8"/>
  <c r="A290" i="8"/>
  <c r="B283" i="8"/>
  <c r="A277" i="8"/>
  <c r="B270" i="8"/>
  <c r="A264" i="8"/>
  <c r="B257" i="8"/>
  <c r="A251" i="8"/>
  <c r="B244" i="8"/>
  <c r="A238" i="8"/>
  <c r="B231" i="8"/>
  <c r="B224" i="8"/>
  <c r="A218" i="8"/>
  <c r="A212" i="8"/>
  <c r="A206" i="8"/>
  <c r="A200" i="8"/>
  <c r="A194" i="8"/>
  <c r="A188" i="8"/>
  <c r="A182" i="8"/>
  <c r="A176" i="8"/>
  <c r="A170" i="8"/>
  <c r="A164" i="8"/>
  <c r="A158" i="8"/>
  <c r="A152" i="8"/>
  <c r="A146" i="8"/>
  <c r="A140" i="8"/>
  <c r="A134" i="8"/>
  <c r="A128" i="8"/>
  <c r="A122" i="8"/>
  <c r="A116" i="8"/>
  <c r="A110" i="8"/>
  <c r="A104" i="8"/>
  <c r="A98" i="8"/>
  <c r="A92" i="8"/>
  <c r="A86" i="8"/>
  <c r="A80" i="8"/>
  <c r="A74" i="8"/>
  <c r="A68" i="8"/>
  <c r="A62" i="8"/>
  <c r="A56" i="8"/>
  <c r="A50" i="8"/>
  <c r="A44" i="8"/>
  <c r="A38" i="8"/>
  <c r="A32" i="8"/>
  <c r="A26" i="8"/>
  <c r="A20" i="8"/>
  <c r="A14" i="8"/>
  <c r="A8" i="8"/>
  <c r="A2" i="8"/>
  <c r="B996" i="8"/>
  <c r="A990" i="8"/>
  <c r="B983" i="8"/>
  <c r="A977" i="8"/>
  <c r="B970" i="8"/>
  <c r="A964" i="8"/>
  <c r="B957" i="8"/>
  <c r="B950" i="8"/>
  <c r="A944" i="8"/>
  <c r="B937" i="8"/>
  <c r="A931" i="8"/>
  <c r="B924" i="8"/>
  <c r="A918" i="8"/>
  <c r="B911" i="8"/>
  <c r="A905" i="8"/>
  <c r="B898" i="8"/>
  <c r="A892" i="8"/>
  <c r="B885" i="8"/>
  <c r="B878" i="8"/>
  <c r="A872" i="8"/>
  <c r="B865" i="8"/>
  <c r="A859" i="8"/>
  <c r="B852" i="8"/>
  <c r="A846" i="8"/>
  <c r="B839" i="8"/>
  <c r="A833" i="8"/>
  <c r="B826" i="8"/>
  <c r="A820" i="8"/>
  <c r="B813" i="8"/>
  <c r="B806" i="8"/>
  <c r="A800" i="8"/>
  <c r="B793" i="8"/>
  <c r="A787" i="8"/>
  <c r="B780" i="8"/>
  <c r="A774" i="8"/>
  <c r="B767" i="8"/>
  <c r="A761" i="8"/>
  <c r="B754" i="8"/>
  <c r="A748" i="8"/>
  <c r="B741" i="8"/>
  <c r="B734" i="8"/>
  <c r="A728" i="8"/>
  <c r="B721" i="8"/>
  <c r="A715" i="8"/>
  <c r="B708" i="8"/>
  <c r="A702" i="8"/>
  <c r="B695" i="8"/>
  <c r="A689" i="8"/>
  <c r="B682" i="8"/>
  <c r="A676" i="8"/>
  <c r="B669" i="8"/>
  <c r="B662" i="8"/>
  <c r="A656" i="8"/>
  <c r="B649" i="8"/>
  <c r="A643" i="8"/>
  <c r="B636" i="8"/>
  <c r="A630" i="8"/>
  <c r="B623" i="8"/>
  <c r="A617" i="8"/>
  <c r="B610" i="8"/>
  <c r="A604" i="8"/>
  <c r="B597" i="8"/>
  <c r="B590" i="8"/>
  <c r="A584" i="8"/>
  <c r="B577" i="8"/>
  <c r="A571" i="8"/>
  <c r="B564" i="8"/>
  <c r="A558" i="8"/>
  <c r="B551" i="8"/>
  <c r="A545" i="8"/>
  <c r="B538" i="8"/>
  <c r="A532" i="8"/>
  <c r="B525" i="8"/>
  <c r="B518" i="8"/>
  <c r="A512" i="8"/>
  <c r="B505" i="8"/>
  <c r="A499" i="8"/>
  <c r="B492" i="8"/>
  <c r="A486" i="8"/>
  <c r="B479" i="8"/>
  <c r="A473" i="8"/>
  <c r="B466" i="8"/>
  <c r="A460" i="8"/>
  <c r="B453" i="8"/>
  <c r="B446" i="8"/>
  <c r="A440" i="8"/>
  <c r="B433" i="8"/>
  <c r="A427" i="8"/>
  <c r="B420" i="8"/>
  <c r="A414" i="8"/>
  <c r="B407" i="8"/>
  <c r="A401" i="8"/>
  <c r="B394" i="8"/>
  <c r="A388" i="8"/>
  <c r="B381" i="8"/>
  <c r="B374" i="8"/>
  <c r="A368" i="8"/>
  <c r="B361" i="8"/>
  <c r="A355" i="8"/>
  <c r="B348" i="8"/>
  <c r="A342" i="8"/>
  <c r="B335" i="8"/>
  <c r="A329" i="8"/>
  <c r="B322" i="8"/>
  <c r="A316" i="8"/>
  <c r="B309" i="8"/>
  <c r="B302" i="8"/>
  <c r="A296" i="8"/>
  <c r="B289" i="8"/>
  <c r="A283" i="8"/>
  <c r="B276" i="8"/>
  <c r="A270" i="8"/>
  <c r="B263" i="8"/>
  <c r="A257" i="8"/>
  <c r="B250" i="8"/>
  <c r="A244" i="8"/>
  <c r="B237" i="8"/>
  <c r="B230" i="8"/>
  <c r="A224" i="8"/>
  <c r="B217" i="8"/>
  <c r="B211" i="8"/>
  <c r="B205" i="8"/>
  <c r="B199" i="8"/>
  <c r="B193" i="8"/>
  <c r="B995" i="8"/>
  <c r="A989" i="8"/>
  <c r="B982" i="8"/>
  <c r="A976" i="8"/>
  <c r="B969" i="8"/>
  <c r="B962" i="8"/>
  <c r="A956" i="8"/>
  <c r="B949" i="8"/>
  <c r="A943" i="8"/>
  <c r="B936" i="8"/>
  <c r="A930" i="8"/>
  <c r="B923" i="8"/>
  <c r="A917" i="8"/>
  <c r="B910" i="8"/>
  <c r="A904" i="8"/>
  <c r="B897" i="8"/>
  <c r="B890" i="8"/>
  <c r="A884" i="8"/>
  <c r="B877" i="8"/>
  <c r="A871" i="8"/>
  <c r="B864" i="8"/>
  <c r="A858" i="8"/>
  <c r="B851" i="8"/>
  <c r="A845" i="8"/>
  <c r="B838" i="8"/>
  <c r="A832" i="8"/>
  <c r="B825" i="8"/>
  <c r="B818" i="8"/>
  <c r="A812" i="8"/>
  <c r="B805" i="8"/>
  <c r="A799" i="8"/>
  <c r="B792" i="8"/>
  <c r="A786" i="8"/>
  <c r="B779" i="8"/>
  <c r="A773" i="8"/>
  <c r="B766" i="8"/>
  <c r="A760" i="8"/>
  <c r="B753" i="8"/>
  <c r="B746" i="8"/>
  <c r="A740" i="8"/>
  <c r="B733" i="8"/>
  <c r="A727" i="8"/>
  <c r="B720" i="8"/>
  <c r="A714" i="8"/>
  <c r="B707" i="8"/>
  <c r="A701" i="8"/>
  <c r="B694" i="8"/>
  <c r="A688" i="8"/>
  <c r="B681" i="8"/>
  <c r="B674" i="8"/>
  <c r="A668" i="8"/>
  <c r="B661" i="8"/>
  <c r="A655" i="8"/>
  <c r="B648" i="8"/>
  <c r="A642" i="8"/>
  <c r="B635" i="8"/>
  <c r="A629" i="8"/>
  <c r="B622" i="8"/>
  <c r="A616" i="8"/>
  <c r="B609" i="8"/>
  <c r="B602" i="8"/>
  <c r="A596" i="8"/>
  <c r="B589" i="8"/>
  <c r="A583" i="8"/>
  <c r="B576" i="8"/>
  <c r="A570" i="8"/>
  <c r="B563" i="8"/>
  <c r="A557" i="8"/>
  <c r="B550" i="8"/>
  <c r="A544" i="8"/>
  <c r="B537" i="8"/>
  <c r="B530" i="8"/>
  <c r="A524" i="8"/>
  <c r="B517" i="8"/>
  <c r="A511" i="8"/>
  <c r="B504" i="8"/>
  <c r="A498" i="8"/>
  <c r="B491" i="8"/>
  <c r="A485" i="8"/>
  <c r="B478" i="8"/>
  <c r="A472" i="8"/>
  <c r="B465" i="8"/>
  <c r="B458" i="8"/>
  <c r="A452" i="8"/>
  <c r="B445" i="8"/>
  <c r="A439" i="8"/>
  <c r="B432" i="8"/>
  <c r="A426" i="8"/>
  <c r="B419" i="8"/>
  <c r="A413" i="8"/>
  <c r="B406" i="8"/>
  <c r="A400" i="8"/>
  <c r="B393" i="8"/>
  <c r="B386" i="8"/>
  <c r="A380" i="8"/>
  <c r="B373" i="8"/>
  <c r="A367" i="8"/>
  <c r="B360" i="8"/>
  <c r="A354" i="8"/>
  <c r="B347" i="8"/>
  <c r="A341" i="8"/>
  <c r="B334" i="8"/>
  <c r="A328" i="8"/>
  <c r="B321" i="8"/>
  <c r="B314" i="8"/>
  <c r="A308" i="8"/>
  <c r="B301" i="8"/>
  <c r="A295" i="8"/>
  <c r="B288" i="8"/>
  <c r="A282" i="8"/>
  <c r="B275" i="8"/>
  <c r="A269" i="8"/>
  <c r="B262" i="8"/>
  <c r="A256" i="8"/>
  <c r="B249" i="8"/>
  <c r="B242" i="8"/>
  <c r="A236" i="8"/>
  <c r="B229" i="8"/>
  <c r="A223" i="8"/>
  <c r="B216" i="8"/>
  <c r="B210" i="8"/>
  <c r="B204" i="8"/>
  <c r="B198" i="8"/>
  <c r="B192" i="8"/>
  <c r="B186" i="8"/>
  <c r="B180" i="8"/>
  <c r="B174" i="8"/>
  <c r="B168" i="8"/>
  <c r="B162" i="8"/>
  <c r="B156" i="8"/>
  <c r="B150" i="8"/>
  <c r="B144" i="8"/>
  <c r="B138" i="8"/>
  <c r="B132" i="8"/>
  <c r="B126" i="8"/>
  <c r="B120" i="8"/>
  <c r="B114" i="8"/>
  <c r="B108" i="8"/>
  <c r="B102" i="8"/>
  <c r="B96" i="8"/>
  <c r="B90" i="8"/>
  <c r="B84" i="8"/>
  <c r="B78" i="8"/>
  <c r="B72" i="8"/>
  <c r="B66" i="8"/>
  <c r="B60" i="8"/>
  <c r="B54" i="8"/>
  <c r="B48" i="8"/>
  <c r="B42" i="8"/>
  <c r="B36" i="8"/>
  <c r="B30" i="8"/>
  <c r="B24" i="8"/>
  <c r="B18" i="8"/>
  <c r="B12" i="8"/>
  <c r="B6" i="8"/>
  <c r="A1" i="8"/>
  <c r="A995" i="8"/>
  <c r="B988" i="8"/>
  <c r="A982" i="8"/>
  <c r="B975" i="8"/>
  <c r="B968" i="8"/>
  <c r="A962" i="8"/>
  <c r="B955" i="8"/>
  <c r="A949" i="8"/>
  <c r="B942" i="8"/>
  <c r="A936" i="8"/>
  <c r="B929" i="8"/>
  <c r="A923" i="8"/>
  <c r="B916" i="8"/>
  <c r="A910" i="8"/>
  <c r="B903" i="8"/>
  <c r="B896" i="8"/>
  <c r="A890" i="8"/>
  <c r="B883" i="8"/>
  <c r="A877" i="8"/>
  <c r="B870" i="8"/>
  <c r="A864" i="8"/>
  <c r="B857" i="8"/>
  <c r="A851" i="8"/>
  <c r="B844" i="8"/>
  <c r="A838" i="8"/>
  <c r="B831" i="8"/>
  <c r="B824" i="8"/>
  <c r="A818" i="8"/>
  <c r="B811" i="8"/>
  <c r="A805" i="8"/>
  <c r="B798" i="8"/>
  <c r="A792" i="8"/>
  <c r="B785" i="8"/>
  <c r="A779" i="8"/>
  <c r="B772" i="8"/>
  <c r="A766" i="8"/>
  <c r="B759" i="8"/>
  <c r="B752" i="8"/>
  <c r="A746" i="8"/>
  <c r="B739" i="8"/>
  <c r="A733" i="8"/>
  <c r="B726" i="8"/>
  <c r="A720" i="8"/>
  <c r="B713" i="8"/>
  <c r="A707" i="8"/>
  <c r="B700" i="8"/>
  <c r="A694" i="8"/>
  <c r="B11" i="8"/>
  <c r="A22" i="8"/>
  <c r="B31" i="8"/>
  <c r="A42" i="8"/>
  <c r="A53" i="8"/>
  <c r="B63" i="8"/>
  <c r="A73" i="8"/>
  <c r="B83" i="8"/>
  <c r="A94" i="8"/>
  <c r="B103" i="8"/>
  <c r="A114" i="8"/>
  <c r="A125" i="8"/>
  <c r="B135" i="8"/>
  <c r="A145" i="8"/>
  <c r="B155" i="8"/>
  <c r="A166" i="8"/>
  <c r="B175" i="8"/>
  <c r="A186" i="8"/>
  <c r="B197" i="8"/>
  <c r="B209" i="8"/>
  <c r="A222" i="8"/>
  <c r="A235" i="8"/>
  <c r="A248" i="8"/>
  <c r="B261" i="8"/>
  <c r="B274" i="8"/>
  <c r="B287" i="8"/>
  <c r="B300" i="8"/>
  <c r="B313" i="8"/>
  <c r="B326" i="8"/>
  <c r="A340" i="8"/>
  <c r="A353" i="8"/>
  <c r="A366" i="8"/>
  <c r="A379" i="8"/>
  <c r="A392" i="8"/>
  <c r="B405" i="8"/>
  <c r="B418" i="8"/>
  <c r="B431" i="8"/>
  <c r="B444" i="8"/>
  <c r="B457" i="8"/>
  <c r="B470" i="8"/>
  <c r="A484" i="8"/>
  <c r="A497" i="8"/>
  <c r="A510" i="8"/>
  <c r="A523" i="8"/>
  <c r="A536" i="8"/>
  <c r="B549" i="8"/>
  <c r="B562" i="8"/>
  <c r="B575" i="8"/>
  <c r="B588" i="8"/>
  <c r="B601" i="8"/>
  <c r="B614" i="8"/>
  <c r="A628" i="8"/>
  <c r="A641" i="8"/>
  <c r="A654" i="8"/>
  <c r="A667" i="8"/>
  <c r="A680" i="8"/>
  <c r="B693" i="8"/>
  <c r="B710" i="8"/>
  <c r="B725" i="8"/>
  <c r="B740" i="8"/>
  <c r="A757" i="8"/>
  <c r="A772" i="8"/>
  <c r="B789" i="8"/>
  <c r="A804" i="8"/>
  <c r="B819" i="8"/>
  <c r="B835" i="8"/>
  <c r="B850" i="8"/>
  <c r="A868" i="8"/>
  <c r="B882" i="8"/>
  <c r="A898" i="8"/>
  <c r="A914" i="8"/>
  <c r="A929" i="8"/>
  <c r="B946" i="8"/>
  <c r="A961" i="8"/>
  <c r="B976" i="8"/>
  <c r="B992" i="8"/>
  <c r="K43" i="19"/>
  <c r="AY44" i="11"/>
  <c r="AX44" i="11"/>
  <c r="G10" i="3"/>
  <c r="G28" i="5"/>
  <c r="E29" i="5"/>
  <c r="AC30" i="5"/>
  <c r="AC32" i="5"/>
  <c r="AC36" i="5"/>
  <c r="AC38" i="5"/>
  <c r="AC42" i="5"/>
  <c r="AC44" i="5"/>
  <c r="AC48" i="5"/>
  <c r="AC50" i="5"/>
  <c r="AC54" i="5"/>
  <c r="B1" i="8"/>
  <c r="A12" i="8"/>
  <c r="A23" i="8"/>
  <c r="B33" i="8"/>
  <c r="A43" i="8"/>
  <c r="B53" i="8"/>
  <c r="A64" i="8"/>
  <c r="B73" i="8"/>
  <c r="A84" i="8"/>
  <c r="A95" i="8"/>
  <c r="B105" i="8"/>
  <c r="A115" i="8"/>
  <c r="B125" i="8"/>
  <c r="A136" i="8"/>
  <c r="B145" i="8"/>
  <c r="A156" i="8"/>
  <c r="A167" i="8"/>
  <c r="B177" i="8"/>
  <c r="A187" i="8"/>
  <c r="A198" i="8"/>
  <c r="A210" i="8"/>
  <c r="B222" i="8"/>
  <c r="B235" i="8"/>
  <c r="B248" i="8"/>
  <c r="A262" i="8"/>
  <c r="A275" i="8"/>
  <c r="A288" i="8"/>
  <c r="A301" i="8"/>
  <c r="A314" i="8"/>
  <c r="B327" i="8"/>
  <c r="B340" i="8"/>
  <c r="B353" i="8"/>
  <c r="B366" i="8"/>
  <c r="B379" i="8"/>
  <c r="B392" i="8"/>
  <c r="A406" i="8"/>
  <c r="A419" i="8"/>
  <c r="A432" i="8"/>
  <c r="A445" i="8"/>
  <c r="A458" i="8"/>
  <c r="B471" i="8"/>
  <c r="B484" i="8"/>
  <c r="B497" i="8"/>
  <c r="B510" i="8"/>
  <c r="B523" i="8"/>
  <c r="B536" i="8"/>
  <c r="A550" i="8"/>
  <c r="A563" i="8"/>
  <c r="A576" i="8"/>
  <c r="A589" i="8"/>
  <c r="A602" i="8"/>
  <c r="B615" i="8"/>
  <c r="B628" i="8"/>
  <c r="B641" i="8"/>
  <c r="B654" i="8"/>
  <c r="B667" i="8"/>
  <c r="B680" i="8"/>
  <c r="A695" i="8"/>
  <c r="B711" i="8"/>
  <c r="A726" i="8"/>
  <c r="B743" i="8"/>
  <c r="A758" i="8"/>
  <c r="B773" i="8"/>
  <c r="A790" i="8"/>
  <c r="B804" i="8"/>
  <c r="A822" i="8"/>
  <c r="B836" i="8"/>
  <c r="A852" i="8"/>
  <c r="B868" i="8"/>
  <c r="A883" i="8"/>
  <c r="B900" i="8"/>
  <c r="B915" i="8"/>
  <c r="B930" i="8"/>
  <c r="A947" i="8"/>
  <c r="B961" i="8"/>
  <c r="A979" i="8"/>
  <c r="A994" i="8"/>
  <c r="BD4" i="11"/>
  <c r="BE4" i="11"/>
  <c r="BJ12" i="11"/>
  <c r="AC31" i="5"/>
  <c r="E31" i="5"/>
  <c r="J31" i="5" s="1"/>
  <c r="AB31" i="5"/>
  <c r="AB33" i="5"/>
  <c r="AB35" i="5"/>
  <c r="AC37" i="5"/>
  <c r="E37" i="5"/>
  <c r="J37" i="5" s="1"/>
  <c r="AB37" i="5"/>
  <c r="H39" i="5"/>
  <c r="S39" i="5"/>
  <c r="G39" i="5"/>
  <c r="AB39" i="5"/>
  <c r="V39" i="5"/>
  <c r="AB41" i="5"/>
  <c r="Y41" i="5"/>
  <c r="AC43" i="5"/>
  <c r="E43" i="5"/>
  <c r="S43" i="5" s="1"/>
  <c r="AB43" i="5"/>
  <c r="I45" i="5"/>
  <c r="H45" i="5"/>
  <c r="S45" i="5"/>
  <c r="G45" i="5"/>
  <c r="AB45" i="5"/>
  <c r="P45" i="5"/>
  <c r="V45" i="5"/>
  <c r="AB47" i="5"/>
  <c r="M47" i="5"/>
  <c r="AC49" i="5"/>
  <c r="E49" i="5"/>
  <c r="AB49" i="5"/>
  <c r="AB51" i="5"/>
  <c r="AB53" i="5"/>
  <c r="Y53" i="5"/>
  <c r="B3" i="8"/>
  <c r="A13" i="8"/>
  <c r="B23" i="8"/>
  <c r="A34" i="8"/>
  <c r="B43" i="8"/>
  <c r="A54" i="8"/>
  <c r="A65" i="8"/>
  <c r="B75" i="8"/>
  <c r="A85" i="8"/>
  <c r="B95" i="8"/>
  <c r="A106" i="8"/>
  <c r="B115" i="8"/>
  <c r="A126" i="8"/>
  <c r="A137" i="8"/>
  <c r="B147" i="8"/>
  <c r="A157" i="8"/>
  <c r="B167" i="8"/>
  <c r="A178" i="8"/>
  <c r="B187" i="8"/>
  <c r="A199" i="8"/>
  <c r="A211" i="8"/>
  <c r="B223" i="8"/>
  <c r="B236" i="8"/>
  <c r="A250" i="8"/>
  <c r="A263" i="8"/>
  <c r="A276" i="8"/>
  <c r="A289" i="8"/>
  <c r="A302" i="8"/>
  <c r="B315" i="8"/>
  <c r="B328" i="8"/>
  <c r="B341" i="8"/>
  <c r="B354" i="8"/>
  <c r="B367" i="8"/>
  <c r="B380" i="8"/>
  <c r="A394" i="8"/>
  <c r="A407" i="8"/>
  <c r="A420" i="8"/>
  <c r="A433" i="8"/>
  <c r="A446" i="8"/>
  <c r="B459" i="8"/>
  <c r="B472" i="8"/>
  <c r="B485" i="8"/>
  <c r="B498" i="8"/>
  <c r="B511" i="8"/>
  <c r="B524" i="8"/>
  <c r="A538" i="8"/>
  <c r="A551" i="8"/>
  <c r="A564" i="8"/>
  <c r="A577" i="8"/>
  <c r="A590" i="8"/>
  <c r="B603" i="8"/>
  <c r="B616" i="8"/>
  <c r="B629" i="8"/>
  <c r="B642" i="8"/>
  <c r="B655" i="8"/>
  <c r="B668" i="8"/>
  <c r="A682" i="8"/>
  <c r="B697" i="8"/>
  <c r="B712" i="8"/>
  <c r="B727" i="8"/>
  <c r="A744" i="8"/>
  <c r="B758" i="8"/>
  <c r="A776" i="8"/>
  <c r="A791" i="8"/>
  <c r="A806" i="8"/>
  <c r="B822" i="8"/>
  <c r="B837" i="8"/>
  <c r="B854" i="8"/>
  <c r="B869" i="8"/>
  <c r="B884" i="8"/>
  <c r="A901" i="8"/>
  <c r="A916" i="8"/>
  <c r="B933" i="8"/>
  <c r="A948" i="8"/>
  <c r="B963" i="8"/>
  <c r="B979" i="8"/>
  <c r="B994" i="8"/>
  <c r="K3" i="19"/>
  <c r="AY4" i="11"/>
  <c r="AX4" i="11"/>
  <c r="BB6" i="11"/>
  <c r="BC6" i="11" s="1"/>
  <c r="K18" i="19"/>
  <c r="AY20" i="11"/>
  <c r="AX20" i="11"/>
  <c r="AY53" i="11"/>
  <c r="AX53" i="11"/>
  <c r="BE58" i="11"/>
  <c r="BD58" i="11"/>
  <c r="BJ67" i="11"/>
  <c r="BR67" i="11"/>
  <c r="W45" i="5"/>
  <c r="A4" i="8"/>
  <c r="B13" i="8"/>
  <c r="A24" i="8"/>
  <c r="A35" i="8"/>
  <c r="B45" i="8"/>
  <c r="A55" i="8"/>
  <c r="B65" i="8"/>
  <c r="A76" i="8"/>
  <c r="B85" i="8"/>
  <c r="A96" i="8"/>
  <c r="A107" i="8"/>
  <c r="B117" i="8"/>
  <c r="A127" i="8"/>
  <c r="B137" i="8"/>
  <c r="A148" i="8"/>
  <c r="B157" i="8"/>
  <c r="A168" i="8"/>
  <c r="A179" i="8"/>
  <c r="B189" i="8"/>
  <c r="B201" i="8"/>
  <c r="B213" i="8"/>
  <c r="B226" i="8"/>
  <c r="B239" i="8"/>
  <c r="B252" i="8"/>
  <c r="B265" i="8"/>
  <c r="B278" i="8"/>
  <c r="A292" i="8"/>
  <c r="A305" i="8"/>
  <c r="A318" i="8"/>
  <c r="A331" i="8"/>
  <c r="A344" i="8"/>
  <c r="B357" i="8"/>
  <c r="B370" i="8"/>
  <c r="B383" i="8"/>
  <c r="B396" i="8"/>
  <c r="B409" i="8"/>
  <c r="B422" i="8"/>
  <c r="A436" i="8"/>
  <c r="A449" i="8"/>
  <c r="A462" i="8"/>
  <c r="A475" i="8"/>
  <c r="A488" i="8"/>
  <c r="B501" i="8"/>
  <c r="B514" i="8"/>
  <c r="B527" i="8"/>
  <c r="B540" i="8"/>
  <c r="B553" i="8"/>
  <c r="B566" i="8"/>
  <c r="A580" i="8"/>
  <c r="A593" i="8"/>
  <c r="A606" i="8"/>
  <c r="A619" i="8"/>
  <c r="A632" i="8"/>
  <c r="B645" i="8"/>
  <c r="B658" i="8"/>
  <c r="B671" i="8"/>
  <c r="B684" i="8"/>
  <c r="A698" i="8"/>
  <c r="A713" i="8"/>
  <c r="B730" i="8"/>
  <c r="A745" i="8"/>
  <c r="B760" i="8"/>
  <c r="B776" i="8"/>
  <c r="B791" i="8"/>
  <c r="A809" i="8"/>
  <c r="B823" i="8"/>
  <c r="A839" i="8"/>
  <c r="B855" i="8"/>
  <c r="A870" i="8"/>
  <c r="B887" i="8"/>
  <c r="A902" i="8"/>
  <c r="B917" i="8"/>
  <c r="A934" i="8"/>
  <c r="B948" i="8"/>
  <c r="A966" i="8"/>
  <c r="B980" i="8"/>
  <c r="A996" i="8"/>
  <c r="AY17" i="11"/>
  <c r="AX17" i="11"/>
  <c r="BH22" i="11"/>
  <c r="BG22" i="11"/>
  <c r="R28" i="19"/>
  <c r="T28" i="19"/>
  <c r="BP29" i="11"/>
  <c r="BR29" i="11"/>
  <c r="BJ29" i="11"/>
  <c r="Y17" i="5" s="1"/>
  <c r="K57" i="19"/>
  <c r="AY58" i="11"/>
  <c r="AX58" i="11"/>
  <c r="N82" i="19"/>
  <c r="L82" i="19"/>
  <c r="O82" i="19"/>
  <c r="M82" i="19"/>
  <c r="AV83" i="11"/>
  <c r="BR83" i="11"/>
  <c r="A5" i="8"/>
  <c r="B15" i="8"/>
  <c r="A25" i="8"/>
  <c r="B35" i="8"/>
  <c r="A46" i="8"/>
  <c r="B55" i="8"/>
  <c r="A66" i="8"/>
  <c r="A77" i="8"/>
  <c r="B87" i="8"/>
  <c r="A97" i="8"/>
  <c r="B107" i="8"/>
  <c r="A118" i="8"/>
  <c r="B127" i="8"/>
  <c r="A138" i="8"/>
  <c r="A149" i="8"/>
  <c r="B159" i="8"/>
  <c r="A169" i="8"/>
  <c r="B179" i="8"/>
  <c r="A190" i="8"/>
  <c r="A202" i="8"/>
  <c r="A214" i="8"/>
  <c r="A227" i="8"/>
  <c r="A240" i="8"/>
  <c r="A253" i="8"/>
  <c r="A266" i="8"/>
  <c r="B279" i="8"/>
  <c r="B292" i="8"/>
  <c r="B305" i="8"/>
  <c r="B318" i="8"/>
  <c r="B331" i="8"/>
  <c r="B344" i="8"/>
  <c r="A358" i="8"/>
  <c r="A371" i="8"/>
  <c r="A384" i="8"/>
  <c r="A397" i="8"/>
  <c r="A410" i="8"/>
  <c r="B423" i="8"/>
  <c r="B436" i="8"/>
  <c r="B449" i="8"/>
  <c r="B462" i="8"/>
  <c r="B475" i="8"/>
  <c r="B488" i="8"/>
  <c r="A502" i="8"/>
  <c r="A515" i="8"/>
  <c r="A528" i="8"/>
  <c r="A541" i="8"/>
  <c r="A554" i="8"/>
  <c r="B567" i="8"/>
  <c r="B580" i="8"/>
  <c r="B593" i="8"/>
  <c r="B606" i="8"/>
  <c r="B619" i="8"/>
  <c r="B632" i="8"/>
  <c r="A646" i="8"/>
  <c r="A659" i="8"/>
  <c r="A672" i="8"/>
  <c r="A685" i="8"/>
  <c r="B699" i="8"/>
  <c r="B714" i="8"/>
  <c r="A731" i="8"/>
  <c r="B745" i="8"/>
  <c r="A763" i="8"/>
  <c r="A778" i="8"/>
  <c r="A793" i="8"/>
  <c r="B809" i="8"/>
  <c r="A824" i="8"/>
  <c r="B841" i="8"/>
  <c r="B856" i="8"/>
  <c r="B871" i="8"/>
  <c r="A888" i="8"/>
  <c r="B902" i="8"/>
  <c r="A920" i="8"/>
  <c r="A935" i="8"/>
  <c r="A950" i="8"/>
  <c r="B966" i="8"/>
  <c r="B981" i="8"/>
  <c r="B998" i="8"/>
  <c r="O6" i="19"/>
  <c r="N6" i="19"/>
  <c r="M6" i="19"/>
  <c r="L6" i="19"/>
  <c r="AY8" i="11"/>
  <c r="AX8" i="11"/>
  <c r="BR8" i="11"/>
  <c r="AV8" i="11"/>
  <c r="F20" i="19"/>
  <c r="I20" i="19"/>
  <c r="H20" i="19"/>
  <c r="G20" i="19"/>
  <c r="E20" i="19"/>
  <c r="D20" i="19"/>
  <c r="BB22" i="11"/>
  <c r="BC22" i="11" s="1"/>
  <c r="T25" i="19"/>
  <c r="R25" i="19"/>
  <c r="BP26" i="11"/>
  <c r="K39" i="19"/>
  <c r="AY40" i="11"/>
  <c r="AX40" i="11"/>
  <c r="BD50" i="11"/>
  <c r="BE50" i="11"/>
  <c r="B5" i="8"/>
  <c r="A16" i="8"/>
  <c r="B25" i="8"/>
  <c r="A36" i="8"/>
  <c r="A47" i="8"/>
  <c r="B57" i="8"/>
  <c r="A67" i="8"/>
  <c r="B77" i="8"/>
  <c r="A88" i="8"/>
  <c r="B97" i="8"/>
  <c r="A108" i="8"/>
  <c r="A119" i="8"/>
  <c r="B129" i="8"/>
  <c r="A139" i="8"/>
  <c r="B149" i="8"/>
  <c r="A160" i="8"/>
  <c r="B169" i="8"/>
  <c r="A180" i="8"/>
  <c r="A191" i="8"/>
  <c r="A203" i="8"/>
  <c r="A215" i="8"/>
  <c r="A228" i="8"/>
  <c r="A241" i="8"/>
  <c r="A254" i="8"/>
  <c r="B267" i="8"/>
  <c r="B280" i="8"/>
  <c r="B293" i="8"/>
  <c r="B306" i="8"/>
  <c r="B319" i="8"/>
  <c r="B332" i="8"/>
  <c r="A346" i="8"/>
  <c r="A359" i="8"/>
  <c r="A372" i="8"/>
  <c r="A385" i="8"/>
  <c r="A398" i="8"/>
  <c r="B411" i="8"/>
  <c r="B424" i="8"/>
  <c r="B437" i="8"/>
  <c r="B450" i="8"/>
  <c r="B463" i="8"/>
  <c r="B476" i="8"/>
  <c r="A490" i="8"/>
  <c r="A503" i="8"/>
  <c r="A516" i="8"/>
  <c r="A529" i="8"/>
  <c r="A542" i="8"/>
  <c r="B555" i="8"/>
  <c r="B568" i="8"/>
  <c r="B581" i="8"/>
  <c r="B594" i="8"/>
  <c r="B607" i="8"/>
  <c r="B620" i="8"/>
  <c r="A634" i="8"/>
  <c r="A647" i="8"/>
  <c r="A660" i="8"/>
  <c r="A673" i="8"/>
  <c r="A686" i="8"/>
  <c r="A700" i="8"/>
  <c r="B717" i="8"/>
  <c r="A732" i="8"/>
  <c r="B747" i="8"/>
  <c r="B763" i="8"/>
  <c r="B778" i="8"/>
  <c r="A796" i="8"/>
  <c r="B810" i="8"/>
  <c r="A826" i="8"/>
  <c r="A842" i="8"/>
  <c r="A857" i="8"/>
  <c r="B874" i="8"/>
  <c r="A889" i="8"/>
  <c r="B904" i="8"/>
  <c r="B920" i="8"/>
  <c r="B935" i="8"/>
  <c r="A953" i="8"/>
  <c r="B967" i="8"/>
  <c r="A983" i="8"/>
  <c r="B999" i="8"/>
  <c r="BG30" i="11"/>
  <c r="BH30" i="11"/>
  <c r="BD32" i="11"/>
  <c r="BE32" i="11"/>
  <c r="K62" i="19"/>
  <c r="AY63" i="11"/>
  <c r="AX63" i="11"/>
  <c r="R6" i="19"/>
  <c r="T6" i="19"/>
  <c r="R9" i="19"/>
  <c r="T9" i="19"/>
  <c r="BP11" i="11"/>
  <c r="BG12" i="11"/>
  <c r="BG14" i="11"/>
  <c r="BI14" i="11" s="1"/>
  <c r="M15" i="19"/>
  <c r="O15" i="19"/>
  <c r="N15" i="19"/>
  <c r="L15" i="19"/>
  <c r="G16" i="19"/>
  <c r="I16" i="19"/>
  <c r="H16" i="19"/>
  <c r="F16" i="19"/>
  <c r="E16" i="19"/>
  <c r="D16" i="19"/>
  <c r="BH21" i="11"/>
  <c r="R24" i="19"/>
  <c r="T24" i="19"/>
  <c r="O27" i="19"/>
  <c r="N27" i="19"/>
  <c r="M27" i="19"/>
  <c r="L27" i="19"/>
  <c r="AV28" i="11"/>
  <c r="BR28" i="11"/>
  <c r="BG28" i="11"/>
  <c r="H29" i="19"/>
  <c r="I29" i="19"/>
  <c r="G29" i="19"/>
  <c r="F29" i="19"/>
  <c r="E29" i="19"/>
  <c r="D29" i="19"/>
  <c r="BB30" i="11"/>
  <c r="BC30" i="11" s="1"/>
  <c r="BA30" i="11"/>
  <c r="BR35" i="11"/>
  <c r="H35" i="19"/>
  <c r="G35" i="19"/>
  <c r="F35" i="19"/>
  <c r="I35" i="19"/>
  <c r="E35" i="19"/>
  <c r="D35" i="19"/>
  <c r="BB36" i="11"/>
  <c r="BC36" i="11" s="1"/>
  <c r="BG41" i="11"/>
  <c r="H41" i="19"/>
  <c r="I41" i="19"/>
  <c r="D41" i="19"/>
  <c r="G41" i="19"/>
  <c r="F41" i="19"/>
  <c r="E41" i="19"/>
  <c r="BE43" i="11"/>
  <c r="BF43" i="11" s="1"/>
  <c r="BA43" i="11"/>
  <c r="BE47" i="11"/>
  <c r="BD47" i="11"/>
  <c r="BJ48" i="11"/>
  <c r="AY49" i="11"/>
  <c r="K49" i="19"/>
  <c r="AY50" i="11"/>
  <c r="O52" i="19"/>
  <c r="N52" i="19"/>
  <c r="L52" i="19"/>
  <c r="M52" i="19"/>
  <c r="BG53" i="11"/>
  <c r="BI53" i="11" s="1"/>
  <c r="U19" i="5" s="1"/>
  <c r="BD60" i="11"/>
  <c r="BE60" i="11"/>
  <c r="R60" i="19"/>
  <c r="T60" i="19"/>
  <c r="BP61" i="11"/>
  <c r="T66" i="19"/>
  <c r="R66" i="19"/>
  <c r="BP67" i="11"/>
  <c r="BJ71" i="11"/>
  <c r="Y30" i="5" s="1"/>
  <c r="BR71" i="11"/>
  <c r="BH79" i="11"/>
  <c r="BG79" i="11"/>
  <c r="T12" i="19"/>
  <c r="R12" i="19"/>
  <c r="I13" i="19"/>
  <c r="G13" i="19"/>
  <c r="F13" i="19"/>
  <c r="E13" i="19"/>
  <c r="D13" i="19"/>
  <c r="H13" i="19"/>
  <c r="BF19" i="11"/>
  <c r="O22" i="19"/>
  <c r="N22" i="19"/>
  <c r="M22" i="19"/>
  <c r="L22" i="19"/>
  <c r="BE31" i="11"/>
  <c r="BD31" i="11"/>
  <c r="BA33" i="11"/>
  <c r="BH33" i="11"/>
  <c r="AV36" i="11"/>
  <c r="E37" i="19"/>
  <c r="G37" i="19"/>
  <c r="F37" i="19"/>
  <c r="I37" i="19"/>
  <c r="H37" i="19"/>
  <c r="D37" i="19"/>
  <c r="M39" i="19"/>
  <c r="O39" i="19"/>
  <c r="L39" i="19"/>
  <c r="N39" i="19"/>
  <c r="BR42" i="11"/>
  <c r="K42" i="19"/>
  <c r="AY43" i="11"/>
  <c r="K46" i="19"/>
  <c r="AX47" i="11"/>
  <c r="T47" i="19"/>
  <c r="R47" i="19"/>
  <c r="BP48" i="11"/>
  <c r="BH51" i="11"/>
  <c r="BG51" i="11"/>
  <c r="BR54" i="11"/>
  <c r="K54" i="19"/>
  <c r="AY55" i="11"/>
  <c r="AX55" i="11"/>
  <c r="BG56" i="11"/>
  <c r="K59" i="19"/>
  <c r="AX60" i="11"/>
  <c r="BH61" i="11"/>
  <c r="BE66" i="11"/>
  <c r="BD66" i="11"/>
  <c r="T68" i="19"/>
  <c r="R68" i="19"/>
  <c r="BP69" i="11"/>
  <c r="BH75" i="11"/>
  <c r="BG75" i="11"/>
  <c r="BF92" i="11"/>
  <c r="BG105" i="11"/>
  <c r="BH105" i="11"/>
  <c r="BR106" i="11"/>
  <c r="BJ106" i="11"/>
  <c r="BE117" i="11"/>
  <c r="BD117" i="11"/>
  <c r="BF312" i="11"/>
  <c r="BD6" i="11"/>
  <c r="N8" i="19"/>
  <c r="M8" i="19"/>
  <c r="L8" i="19"/>
  <c r="O8" i="19"/>
  <c r="I10" i="19"/>
  <c r="H10" i="19"/>
  <c r="G10" i="19"/>
  <c r="F10" i="19"/>
  <c r="E10" i="19"/>
  <c r="D10" i="19"/>
  <c r="T15" i="19"/>
  <c r="R15" i="19"/>
  <c r="K17" i="19"/>
  <c r="AX19" i="11"/>
  <c r="T27" i="19"/>
  <c r="R27" i="19"/>
  <c r="K30" i="19"/>
  <c r="AX31" i="11"/>
  <c r="D32" i="19"/>
  <c r="G32" i="19"/>
  <c r="I32" i="19"/>
  <c r="H32" i="19"/>
  <c r="F32" i="19"/>
  <c r="E32" i="19"/>
  <c r="H44" i="19"/>
  <c r="I44" i="19"/>
  <c r="E44" i="19"/>
  <c r="G44" i="19"/>
  <c r="F44" i="19"/>
  <c r="D44" i="19"/>
  <c r="BA61" i="11"/>
  <c r="R62" i="19"/>
  <c r="T62" i="19"/>
  <c r="BP63" i="11"/>
  <c r="K63" i="19"/>
  <c r="AY64" i="11"/>
  <c r="AX64" i="11"/>
  <c r="K65" i="19"/>
  <c r="AX66" i="11"/>
  <c r="K67" i="19"/>
  <c r="AX68" i="11"/>
  <c r="M71" i="19"/>
  <c r="L71" i="19"/>
  <c r="O71" i="19"/>
  <c r="N71" i="19"/>
  <c r="BH82" i="11"/>
  <c r="BG82" i="11"/>
  <c r="K84" i="19"/>
  <c r="AX85" i="11"/>
  <c r="AY85" i="11"/>
  <c r="BE103" i="11"/>
  <c r="BD103" i="11"/>
  <c r="O2" i="19"/>
  <c r="N2" i="19"/>
  <c r="M2" i="19"/>
  <c r="L2" i="19"/>
  <c r="T3" i="19"/>
  <c r="R3" i="19"/>
  <c r="G6" i="19"/>
  <c r="F6" i="19"/>
  <c r="E6" i="19"/>
  <c r="D6" i="19"/>
  <c r="I6" i="19"/>
  <c r="H6" i="19"/>
  <c r="BB8" i="11"/>
  <c r="BC8" i="11" s="1"/>
  <c r="BB12" i="11"/>
  <c r="BC12" i="11" s="1"/>
  <c r="BP17" i="11"/>
  <c r="T18" i="19"/>
  <c r="R18" i="19"/>
  <c r="F24" i="19"/>
  <c r="H24" i="19"/>
  <c r="I24" i="19"/>
  <c r="G24" i="19"/>
  <c r="E24" i="19"/>
  <c r="D24" i="19"/>
  <c r="R31" i="19"/>
  <c r="T31" i="19"/>
  <c r="N36" i="19"/>
  <c r="O36" i="19"/>
  <c r="M36" i="19"/>
  <c r="L36" i="19"/>
  <c r="AY39" i="11"/>
  <c r="AX39" i="11"/>
  <c r="T39" i="19"/>
  <c r="R39" i="19"/>
  <c r="BJ40" i="11"/>
  <c r="BR40" i="11"/>
  <c r="M42" i="19"/>
  <c r="O42" i="19"/>
  <c r="N42" i="19"/>
  <c r="L42" i="19"/>
  <c r="G50" i="19"/>
  <c r="F50" i="19"/>
  <c r="E50" i="19"/>
  <c r="D50" i="19"/>
  <c r="I50" i="19"/>
  <c r="H50" i="19"/>
  <c r="BB51" i="11"/>
  <c r="BC51" i="11" s="1"/>
  <c r="I60" i="19"/>
  <c r="G60" i="19"/>
  <c r="H60" i="19"/>
  <c r="F60" i="19"/>
  <c r="E60" i="19"/>
  <c r="D60" i="19"/>
  <c r="G72" i="19"/>
  <c r="E72" i="19"/>
  <c r="D72" i="19"/>
  <c r="I72" i="19"/>
  <c r="H72" i="19"/>
  <c r="F72" i="19"/>
  <c r="K77" i="19"/>
  <c r="AX78" i="11"/>
  <c r="BE86" i="11"/>
  <c r="BD86" i="11"/>
  <c r="BE91" i="11"/>
  <c r="BD91" i="11"/>
  <c r="AY6" i="11"/>
  <c r="BH7" i="11"/>
  <c r="BP8" i="11"/>
  <c r="T8" i="19"/>
  <c r="R8" i="19"/>
  <c r="BP10" i="11"/>
  <c r="BP14" i="11"/>
  <c r="O14" i="19"/>
  <c r="M14" i="19"/>
  <c r="L14" i="19"/>
  <c r="N14" i="19"/>
  <c r="BD16" i="11"/>
  <c r="L17" i="19"/>
  <c r="M17" i="19"/>
  <c r="O17" i="19"/>
  <c r="N17" i="19"/>
  <c r="BH20" i="11"/>
  <c r="BH24" i="11"/>
  <c r="K26" i="19"/>
  <c r="AY27" i="11"/>
  <c r="AX27" i="11"/>
  <c r="BG34" i="11"/>
  <c r="BI34" i="11" s="1"/>
  <c r="F34" i="19"/>
  <c r="E34" i="19"/>
  <c r="G34" i="19"/>
  <c r="I34" i="19"/>
  <c r="H34" i="19"/>
  <c r="D34" i="19"/>
  <c r="N38" i="19"/>
  <c r="M38" i="19"/>
  <c r="L38" i="19"/>
  <c r="O38" i="19"/>
  <c r="BG40" i="11"/>
  <c r="BE42" i="11"/>
  <c r="BD42" i="11"/>
  <c r="BA42" i="11"/>
  <c r="BE46" i="11"/>
  <c r="BF46" i="11" s="1"/>
  <c r="H47" i="19"/>
  <c r="G47" i="19"/>
  <c r="D47" i="19"/>
  <c r="E47" i="19"/>
  <c r="I47" i="19"/>
  <c r="F47" i="19"/>
  <c r="BC48" i="11"/>
  <c r="R49" i="19"/>
  <c r="T49" i="19"/>
  <c r="BP50" i="11"/>
  <c r="K56" i="19"/>
  <c r="AX57" i="11"/>
  <c r="L61" i="19"/>
  <c r="N61" i="19"/>
  <c r="O61" i="19"/>
  <c r="M61" i="19"/>
  <c r="F70" i="19"/>
  <c r="G70" i="19"/>
  <c r="E70" i="19"/>
  <c r="D70" i="19"/>
  <c r="I70" i="19"/>
  <c r="H70" i="19"/>
  <c r="T83" i="19"/>
  <c r="R83" i="19"/>
  <c r="BP84" i="11"/>
  <c r="BH107" i="11"/>
  <c r="BG107" i="11"/>
  <c r="T11" i="19"/>
  <c r="R11" i="19"/>
  <c r="BE15" i="11"/>
  <c r="BD15" i="11"/>
  <c r="BR16" i="11"/>
  <c r="BJ16" i="11"/>
  <c r="K16" i="19"/>
  <c r="AX18" i="11"/>
  <c r="BP20" i="11"/>
  <c r="M21" i="19"/>
  <c r="L21" i="19"/>
  <c r="O21" i="19"/>
  <c r="N21" i="19"/>
  <c r="BH32" i="11"/>
  <c r="BG32" i="11"/>
  <c r="N33" i="19"/>
  <c r="M33" i="19"/>
  <c r="O33" i="19"/>
  <c r="L33" i="19"/>
  <c r="R36" i="19"/>
  <c r="T36" i="19"/>
  <c r="BP37" i="11"/>
  <c r="K41" i="19"/>
  <c r="AY42" i="11"/>
  <c r="D43" i="19"/>
  <c r="G43" i="19"/>
  <c r="I43" i="19"/>
  <c r="H43" i="19"/>
  <c r="F43" i="19"/>
  <c r="E43" i="19"/>
  <c r="K45" i="19"/>
  <c r="AY46" i="11"/>
  <c r="R46" i="19"/>
  <c r="T46" i="19"/>
  <c r="BP47" i="11"/>
  <c r="BG50" i="11"/>
  <c r="F52" i="19"/>
  <c r="E52" i="19"/>
  <c r="D52" i="19"/>
  <c r="I52" i="19"/>
  <c r="H52" i="19"/>
  <c r="G52" i="19"/>
  <c r="T54" i="19"/>
  <c r="R54" i="19"/>
  <c r="BD57" i="11"/>
  <c r="BB61" i="11"/>
  <c r="BC61" i="11" s="1"/>
  <c r="L73" i="19"/>
  <c r="M73" i="19"/>
  <c r="O73" i="19"/>
  <c r="N73" i="19"/>
  <c r="AV74" i="11"/>
  <c r="BR74" i="11"/>
  <c r="BG84" i="11"/>
  <c r="BH84" i="11"/>
  <c r="BH89" i="11"/>
  <c r="BG89" i="11"/>
  <c r="K91" i="19"/>
  <c r="AX92" i="11"/>
  <c r="AY92" i="11"/>
  <c r="BP4" i="11"/>
  <c r="BE5" i="11"/>
  <c r="BD5" i="11"/>
  <c r="E5" i="19"/>
  <c r="I5" i="19"/>
  <c r="H5" i="19"/>
  <c r="G5" i="19"/>
  <c r="F5" i="19"/>
  <c r="D5" i="19"/>
  <c r="BC7" i="11"/>
  <c r="BR14" i="11"/>
  <c r="BB15" i="11"/>
  <c r="BC15" i="11" s="1"/>
  <c r="O14" i="5" s="1"/>
  <c r="BR23" i="11"/>
  <c r="BJ23" i="11"/>
  <c r="BB25" i="11"/>
  <c r="BC25" i="11" s="1"/>
  <c r="N26" i="19"/>
  <c r="L26" i="19"/>
  <c r="O26" i="19"/>
  <c r="M26" i="19"/>
  <c r="AV27" i="11"/>
  <c r="BR27" i="11"/>
  <c r="BP28" i="11"/>
  <c r="T30" i="19"/>
  <c r="R30" i="19"/>
  <c r="F31" i="19"/>
  <c r="H31" i="19"/>
  <c r="I31" i="19"/>
  <c r="G31" i="19"/>
  <c r="E31" i="19"/>
  <c r="D31" i="19"/>
  <c r="BP32" i="11"/>
  <c r="BR34" i="11"/>
  <c r="BJ34" i="11"/>
  <c r="Y9" i="5" s="1"/>
  <c r="AY36" i="11"/>
  <c r="BP40" i="11"/>
  <c r="BA45" i="11"/>
  <c r="BG47" i="11"/>
  <c r="BR53" i="11"/>
  <c r="K53" i="19"/>
  <c r="AY54" i="11"/>
  <c r="AX54" i="11"/>
  <c r="BH55" i="11"/>
  <c r="BG55" i="11"/>
  <c r="BP55" i="11"/>
  <c r="D57" i="19"/>
  <c r="G57" i="19"/>
  <c r="F57" i="19"/>
  <c r="E57" i="19"/>
  <c r="I57" i="19"/>
  <c r="H57" i="19"/>
  <c r="BH60" i="11"/>
  <c r="R61" i="19"/>
  <c r="T61" i="19"/>
  <c r="BP62" i="11"/>
  <c r="R63" i="19"/>
  <c r="T63" i="19"/>
  <c r="BP64" i="11"/>
  <c r="T67" i="19"/>
  <c r="R67" i="19"/>
  <c r="T84" i="19"/>
  <c r="R84" i="19"/>
  <c r="BJ85" i="11"/>
  <c r="Y42" i="5" s="1"/>
  <c r="BR85" i="11"/>
  <c r="K10" i="19"/>
  <c r="AY12" i="11"/>
  <c r="AX12" i="11"/>
  <c r="BP13" i="11"/>
  <c r="AY14" i="11"/>
  <c r="O16" i="19"/>
  <c r="N16" i="19"/>
  <c r="M16" i="19"/>
  <c r="L16" i="19"/>
  <c r="BG19" i="11"/>
  <c r="T21" i="19"/>
  <c r="R21" i="19"/>
  <c r="AX24" i="11"/>
  <c r="AZ24" i="11" s="1"/>
  <c r="K25" i="19"/>
  <c r="AY26" i="11"/>
  <c r="AX26" i="11"/>
  <c r="BC33" i="11"/>
  <c r="T33" i="19"/>
  <c r="R33" i="19"/>
  <c r="L35" i="19"/>
  <c r="O35" i="19"/>
  <c r="N35" i="19"/>
  <c r="M35" i="19"/>
  <c r="BR37" i="11"/>
  <c r="BR44" i="11"/>
  <c r="K44" i="19"/>
  <c r="AY45" i="11"/>
  <c r="BB45" i="11"/>
  <c r="BC45" i="11" s="1"/>
  <c r="L45" i="19"/>
  <c r="O45" i="19"/>
  <c r="N45" i="19"/>
  <c r="M45" i="19"/>
  <c r="T48" i="19"/>
  <c r="R48" i="19"/>
  <c r="T51" i="19"/>
  <c r="R51" i="19"/>
  <c r="BP52" i="11"/>
  <c r="BR52" i="11"/>
  <c r="BJ52" i="11"/>
  <c r="BA53" i="11"/>
  <c r="AX59" i="11"/>
  <c r="BD59" i="11"/>
  <c r="BF59" i="11" s="1"/>
  <c r="BG64" i="11"/>
  <c r="BE65" i="11"/>
  <c r="BD65" i="11"/>
  <c r="BP68" i="11"/>
  <c r="R69" i="19"/>
  <c r="T69" i="19"/>
  <c r="BA73" i="11"/>
  <c r="K87" i="19"/>
  <c r="AY88" i="11"/>
  <c r="AX88" i="11"/>
  <c r="I2" i="19"/>
  <c r="H2" i="19"/>
  <c r="G2" i="19"/>
  <c r="F2" i="19"/>
  <c r="E2" i="19"/>
  <c r="D2" i="19"/>
  <c r="AX10" i="11"/>
  <c r="BR10" i="11"/>
  <c r="K9" i="19"/>
  <c r="AY11" i="11"/>
  <c r="AX11" i="11"/>
  <c r="E11" i="19"/>
  <c r="I11" i="19"/>
  <c r="H11" i="19"/>
  <c r="G11" i="19"/>
  <c r="F11" i="19"/>
  <c r="D11" i="19"/>
  <c r="BB13" i="11"/>
  <c r="BC13" i="11" s="1"/>
  <c r="BA13" i="11"/>
  <c r="R20" i="19"/>
  <c r="T20" i="19"/>
  <c r="BH23" i="11"/>
  <c r="K24" i="19"/>
  <c r="AY25" i="11"/>
  <c r="R26" i="19"/>
  <c r="T26" i="19"/>
  <c r="L37" i="19"/>
  <c r="N37" i="19"/>
  <c r="M37" i="19"/>
  <c r="O37" i="19"/>
  <c r="I42" i="19"/>
  <c r="F42" i="19"/>
  <c r="H42" i="19"/>
  <c r="G42" i="19"/>
  <c r="E42" i="19"/>
  <c r="D42" i="19"/>
  <c r="F46" i="19"/>
  <c r="I46" i="19"/>
  <c r="H46" i="19"/>
  <c r="D46" i="19"/>
  <c r="E46" i="19"/>
  <c r="G46" i="19"/>
  <c r="BE48" i="11"/>
  <c r="BD48" i="11"/>
  <c r="BH49" i="11"/>
  <c r="L53" i="19"/>
  <c r="O53" i="19"/>
  <c r="N53" i="19"/>
  <c r="M53" i="19"/>
  <c r="K55" i="19"/>
  <c r="AY56" i="11"/>
  <c r="R56" i="19"/>
  <c r="T56" i="19"/>
  <c r="N58" i="19"/>
  <c r="M58" i="19"/>
  <c r="L58" i="19"/>
  <c r="O58" i="19"/>
  <c r="K60" i="19"/>
  <c r="AX61" i="11"/>
  <c r="K64" i="19"/>
  <c r="AY65" i="11"/>
  <c r="AX65" i="11"/>
  <c r="K66" i="19"/>
  <c r="AY67" i="11"/>
  <c r="BE69" i="11"/>
  <c r="BF69" i="11" s="1"/>
  <c r="BH70" i="11"/>
  <c r="BD71" i="11"/>
  <c r="BE71" i="11"/>
  <c r="BR72" i="11"/>
  <c r="K72" i="19"/>
  <c r="AY73" i="11"/>
  <c r="BB73" i="11"/>
  <c r="BC73" i="11" s="1"/>
  <c r="BA6" i="11"/>
  <c r="T7" i="19"/>
  <c r="R7" i="19"/>
  <c r="O10" i="19"/>
  <c r="N10" i="19"/>
  <c r="M10" i="19"/>
  <c r="L10" i="19"/>
  <c r="BR13" i="11"/>
  <c r="F14" i="19"/>
  <c r="I14" i="19"/>
  <c r="H14" i="19"/>
  <c r="G14" i="19"/>
  <c r="E14" i="19"/>
  <c r="D14" i="19"/>
  <c r="BG16" i="11"/>
  <c r="I17" i="19"/>
  <c r="H17" i="19"/>
  <c r="E17" i="19"/>
  <c r="G17" i="19"/>
  <c r="F17" i="19"/>
  <c r="D17" i="19"/>
  <c r="O25" i="19"/>
  <c r="L25" i="19"/>
  <c r="N25" i="19"/>
  <c r="M25" i="19"/>
  <c r="BH27" i="11"/>
  <c r="BP27" i="11"/>
  <c r="O28" i="19"/>
  <c r="N28" i="19"/>
  <c r="M28" i="19"/>
  <c r="L28" i="19"/>
  <c r="F30" i="19"/>
  <c r="E30" i="19"/>
  <c r="I30" i="19"/>
  <c r="H30" i="19"/>
  <c r="G30" i="19"/>
  <c r="D30" i="19"/>
  <c r="BB31" i="11"/>
  <c r="BC31" i="11" s="1"/>
  <c r="BP31" i="11"/>
  <c r="N32" i="19"/>
  <c r="M32" i="19"/>
  <c r="O32" i="19"/>
  <c r="L32" i="19"/>
  <c r="AX37" i="11"/>
  <c r="BR38" i="11"/>
  <c r="I38" i="19"/>
  <c r="H38" i="19"/>
  <c r="G38" i="19"/>
  <c r="F38" i="19"/>
  <c r="E38" i="19"/>
  <c r="D38" i="19"/>
  <c r="T41" i="19"/>
  <c r="R41" i="19"/>
  <c r="BP42" i="11"/>
  <c r="AY47" i="11"/>
  <c r="K47" i="19"/>
  <c r="AY48" i="11"/>
  <c r="AX48" i="11"/>
  <c r="BP57" i="11"/>
  <c r="D63" i="19"/>
  <c r="I63" i="19"/>
  <c r="G63" i="19"/>
  <c r="H63" i="19"/>
  <c r="F63" i="19"/>
  <c r="E63" i="19"/>
  <c r="BB64" i="11"/>
  <c r="BC64" i="11" s="1"/>
  <c r="AY68" i="11"/>
  <c r="K68" i="19"/>
  <c r="AX69" i="11"/>
  <c r="AY69" i="11"/>
  <c r="BG69" i="11"/>
  <c r="BP70" i="11"/>
  <c r="AX72" i="11"/>
  <c r="K88" i="19"/>
  <c r="AX89" i="11"/>
  <c r="BH97" i="11"/>
  <c r="BG97" i="11"/>
  <c r="BR100" i="11"/>
  <c r="BJ100" i="11"/>
  <c r="Y15" i="5" s="1"/>
  <c r="AY101" i="11"/>
  <c r="AX101" i="11"/>
  <c r="BF73" i="11"/>
  <c r="T81" i="19"/>
  <c r="R81" i="19"/>
  <c r="BP82" i="11"/>
  <c r="AY100" i="11"/>
  <c r="BG110" i="11"/>
  <c r="R119" i="19"/>
  <c r="T119" i="19"/>
  <c r="BP120" i="11"/>
  <c r="M51" i="19"/>
  <c r="L51" i="19"/>
  <c r="O51" i="19"/>
  <c r="N51" i="19"/>
  <c r="N56" i="19"/>
  <c r="O56" i="19"/>
  <c r="M56" i="19"/>
  <c r="L56" i="19"/>
  <c r="O57" i="19"/>
  <c r="N57" i="19"/>
  <c r="M57" i="19"/>
  <c r="L57" i="19"/>
  <c r="T59" i="19"/>
  <c r="R59" i="19"/>
  <c r="BG62" i="11"/>
  <c r="E62" i="19"/>
  <c r="I62" i="19"/>
  <c r="G62" i="19"/>
  <c r="H62" i="19"/>
  <c r="F62" i="19"/>
  <c r="D62" i="19"/>
  <c r="T65" i="19"/>
  <c r="R65" i="19"/>
  <c r="BP66" i="11"/>
  <c r="O72" i="19"/>
  <c r="N72" i="19"/>
  <c r="M72" i="19"/>
  <c r="L72" i="19"/>
  <c r="BH74" i="11"/>
  <c r="BG74" i="11"/>
  <c r="BR75" i="11"/>
  <c r="K75" i="19"/>
  <c r="AY76" i="11"/>
  <c r="BR82" i="11"/>
  <c r="AX83" i="11"/>
  <c r="BE89" i="11"/>
  <c r="BD96" i="11"/>
  <c r="BE96" i="11"/>
  <c r="K103" i="19"/>
  <c r="AY104" i="11"/>
  <c r="AX104" i="11"/>
  <c r="BH119" i="11"/>
  <c r="BG119" i="11"/>
  <c r="BI271" i="11"/>
  <c r="G1000" i="8"/>
  <c r="G998" i="8"/>
  <c r="G996" i="8"/>
  <c r="G994" i="8"/>
  <c r="G992" i="8"/>
  <c r="G990" i="8"/>
  <c r="G988" i="8"/>
  <c r="G986" i="8"/>
  <c r="G984" i="8"/>
  <c r="G982" i="8"/>
  <c r="G980" i="8"/>
  <c r="G978" i="8"/>
  <c r="G976" i="8"/>
  <c r="G974" i="8"/>
  <c r="G972" i="8"/>
  <c r="G970" i="8"/>
  <c r="G968" i="8"/>
  <c r="G966" i="8"/>
  <c r="G964" i="8"/>
  <c r="G962" i="8"/>
  <c r="G960" i="8"/>
  <c r="G958" i="8"/>
  <c r="G956" i="8"/>
  <c r="G954" i="8"/>
  <c r="G952" i="8"/>
  <c r="G950" i="8"/>
  <c r="G948" i="8"/>
  <c r="G946" i="8"/>
  <c r="G944" i="8"/>
  <c r="G942" i="8"/>
  <c r="G940" i="8"/>
  <c r="G938" i="8"/>
  <c r="G936" i="8"/>
  <c r="G934" i="8"/>
  <c r="G932" i="8"/>
  <c r="G930" i="8"/>
  <c r="G928" i="8"/>
  <c r="G926" i="8"/>
  <c r="G924" i="8"/>
  <c r="G922" i="8"/>
  <c r="G920" i="8"/>
  <c r="G918" i="8"/>
  <c r="G916" i="8"/>
  <c r="G914" i="8"/>
  <c r="G912" i="8"/>
  <c r="G910" i="8"/>
  <c r="G908" i="8"/>
  <c r="G906" i="8"/>
  <c r="G904" i="8"/>
  <c r="G902" i="8"/>
  <c r="G900" i="8"/>
  <c r="G898" i="8"/>
  <c r="G896" i="8"/>
  <c r="G894" i="8"/>
  <c r="G892" i="8"/>
  <c r="G890" i="8"/>
  <c r="G888" i="8"/>
  <c r="G886" i="8"/>
  <c r="G884" i="8"/>
  <c r="G882" i="8"/>
  <c r="G880" i="8"/>
  <c r="G878" i="8"/>
  <c r="G876" i="8"/>
  <c r="G874" i="8"/>
  <c r="G872" i="8"/>
  <c r="G870" i="8"/>
  <c r="G868" i="8"/>
  <c r="G866" i="8"/>
  <c r="G864" i="8"/>
  <c r="G862" i="8"/>
  <c r="C1000" i="8"/>
  <c r="C998" i="8"/>
  <c r="C996" i="8"/>
  <c r="C994" i="8"/>
  <c r="C992" i="8"/>
  <c r="C990" i="8"/>
  <c r="C988" i="8"/>
  <c r="C986" i="8"/>
  <c r="C984" i="8"/>
  <c r="C982" i="8"/>
  <c r="C980" i="8"/>
  <c r="C978" i="8"/>
  <c r="C976" i="8"/>
  <c r="C974" i="8"/>
  <c r="C972" i="8"/>
  <c r="C970" i="8"/>
  <c r="C968" i="8"/>
  <c r="C966" i="8"/>
  <c r="C964" i="8"/>
  <c r="C962" i="8"/>
  <c r="C960" i="8"/>
  <c r="C958" i="8"/>
  <c r="C956" i="8"/>
  <c r="C954" i="8"/>
  <c r="C952" i="8"/>
  <c r="C950" i="8"/>
  <c r="C948" i="8"/>
  <c r="C946" i="8"/>
  <c r="C944" i="8"/>
  <c r="C942" i="8"/>
  <c r="C940" i="8"/>
  <c r="C938" i="8"/>
  <c r="C936" i="8"/>
  <c r="C934" i="8"/>
  <c r="C932" i="8"/>
  <c r="C930" i="8"/>
  <c r="C928" i="8"/>
  <c r="C926" i="8"/>
  <c r="C924" i="8"/>
  <c r="C922" i="8"/>
  <c r="C920" i="8"/>
  <c r="C918" i="8"/>
  <c r="C916" i="8"/>
  <c r="C914" i="8"/>
  <c r="C912" i="8"/>
  <c r="C910" i="8"/>
  <c r="C908" i="8"/>
  <c r="C906" i="8"/>
  <c r="C904" i="8"/>
  <c r="C902" i="8"/>
  <c r="C900" i="8"/>
  <c r="C898" i="8"/>
  <c r="C896" i="8"/>
  <c r="C894" i="8"/>
  <c r="C892" i="8"/>
  <c r="C890" i="8"/>
  <c r="C888" i="8"/>
  <c r="C886" i="8"/>
  <c r="C884" i="8"/>
  <c r="C882" i="8"/>
  <c r="C880" i="8"/>
  <c r="C878" i="8"/>
  <c r="C876" i="8"/>
  <c r="C874" i="8"/>
  <c r="C872" i="8"/>
  <c r="C870" i="8"/>
  <c r="C868" i="8"/>
  <c r="C866" i="8"/>
  <c r="C864" i="8"/>
  <c r="C862" i="8"/>
  <c r="C860" i="8"/>
  <c r="C858" i="8"/>
  <c r="C999" i="8"/>
  <c r="F996" i="8"/>
  <c r="D994" i="8"/>
  <c r="G991" i="8"/>
  <c r="E989" i="8"/>
  <c r="C987" i="8"/>
  <c r="F984" i="8"/>
  <c r="D982" i="8"/>
  <c r="G979" i="8"/>
  <c r="E977" i="8"/>
  <c r="C975" i="8"/>
  <c r="F972" i="8"/>
  <c r="D970" i="8"/>
  <c r="G967" i="8"/>
  <c r="E965" i="8"/>
  <c r="C963" i="8"/>
  <c r="F960" i="8"/>
  <c r="D958" i="8"/>
  <c r="G955" i="8"/>
  <c r="E953" i="8"/>
  <c r="C951" i="8"/>
  <c r="F948" i="8"/>
  <c r="D946" i="8"/>
  <c r="G943" i="8"/>
  <c r="E941" i="8"/>
  <c r="C939" i="8"/>
  <c r="F936" i="8"/>
  <c r="D934" i="8"/>
  <c r="G931" i="8"/>
  <c r="E929" i="8"/>
  <c r="C927" i="8"/>
  <c r="F924" i="8"/>
  <c r="D922" i="8"/>
  <c r="G919" i="8"/>
  <c r="E917" i="8"/>
  <c r="C915" i="8"/>
  <c r="F912" i="8"/>
  <c r="D910" i="8"/>
  <c r="G907" i="8"/>
  <c r="E905" i="8"/>
  <c r="C903" i="8"/>
  <c r="F900" i="8"/>
  <c r="D898" i="8"/>
  <c r="G895" i="8"/>
  <c r="E893" i="8"/>
  <c r="C891" i="8"/>
  <c r="F888" i="8"/>
  <c r="D886" i="8"/>
  <c r="G883" i="8"/>
  <c r="E881" i="8"/>
  <c r="C879" i="8"/>
  <c r="F876" i="8"/>
  <c r="D874" i="8"/>
  <c r="G871" i="8"/>
  <c r="E869" i="8"/>
  <c r="C867" i="8"/>
  <c r="F864" i="8"/>
  <c r="D862" i="8"/>
  <c r="H859" i="8"/>
  <c r="G857" i="8"/>
  <c r="G855" i="8"/>
  <c r="G853" i="8"/>
  <c r="G851" i="8"/>
  <c r="G849" i="8"/>
  <c r="G847" i="8"/>
  <c r="G845" i="8"/>
  <c r="G843" i="8"/>
  <c r="G841" i="8"/>
  <c r="G839" i="8"/>
  <c r="G837" i="8"/>
  <c r="G835" i="8"/>
  <c r="G833" i="8"/>
  <c r="G831" i="8"/>
  <c r="G829" i="8"/>
  <c r="G827" i="8"/>
  <c r="G825" i="8"/>
  <c r="G823" i="8"/>
  <c r="G821" i="8"/>
  <c r="G819" i="8"/>
  <c r="G817" i="8"/>
  <c r="G815" i="8"/>
  <c r="G813" i="8"/>
  <c r="G811" i="8"/>
  <c r="G809" i="8"/>
  <c r="G807" i="8"/>
  <c r="G805" i="8"/>
  <c r="G803" i="8"/>
  <c r="G801" i="8"/>
  <c r="G799" i="8"/>
  <c r="G797" i="8"/>
  <c r="G795" i="8"/>
  <c r="G793" i="8"/>
  <c r="G791" i="8"/>
  <c r="G789" i="8"/>
  <c r="G787" i="8"/>
  <c r="G785" i="8"/>
  <c r="G783" i="8"/>
  <c r="G781" i="8"/>
  <c r="G779" i="8"/>
  <c r="G777" i="8"/>
  <c r="G775" i="8"/>
  <c r="G773" i="8"/>
  <c r="G771" i="8"/>
  <c r="G769" i="8"/>
  <c r="G767" i="8"/>
  <c r="G765" i="8"/>
  <c r="G763" i="8"/>
  <c r="G761" i="8"/>
  <c r="G759" i="8"/>
  <c r="G757" i="8"/>
  <c r="G755" i="8"/>
  <c r="G753" i="8"/>
  <c r="G751" i="8"/>
  <c r="G749" i="8"/>
  <c r="G747" i="8"/>
  <c r="G745" i="8"/>
  <c r="G743" i="8"/>
  <c r="G741" i="8"/>
  <c r="G739" i="8"/>
  <c r="G737" i="8"/>
  <c r="G735" i="8"/>
  <c r="G733" i="8"/>
  <c r="G731" i="8"/>
  <c r="G729" i="8"/>
  <c r="G727" i="8"/>
  <c r="G725" i="8"/>
  <c r="G723" i="8"/>
  <c r="G721" i="8"/>
  <c r="G719" i="8"/>
  <c r="G717" i="8"/>
  <c r="G715" i="8"/>
  <c r="G713" i="8"/>
  <c r="G711" i="8"/>
  <c r="G709" i="8"/>
  <c r="G707" i="8"/>
  <c r="G705" i="8"/>
  <c r="G703" i="8"/>
  <c r="G701" i="8"/>
  <c r="G699" i="8"/>
  <c r="G697" i="8"/>
  <c r="G695" i="8"/>
  <c r="G693" i="8"/>
  <c r="G691" i="8"/>
  <c r="G689" i="8"/>
  <c r="G687" i="8"/>
  <c r="G685" i="8"/>
  <c r="G683" i="8"/>
  <c r="G681" i="8"/>
  <c r="G679" i="8"/>
  <c r="G677" i="8"/>
  <c r="G675" i="8"/>
  <c r="G673" i="8"/>
  <c r="G671" i="8"/>
  <c r="G669" i="8"/>
  <c r="G667" i="8"/>
  <c r="G665" i="8"/>
  <c r="G663" i="8"/>
  <c r="G661" i="8"/>
  <c r="G659" i="8"/>
  <c r="G657" i="8"/>
  <c r="G655" i="8"/>
  <c r="G653" i="8"/>
  <c r="G651" i="8"/>
  <c r="G649" i="8"/>
  <c r="G647" i="8"/>
  <c r="G645" i="8"/>
  <c r="G643" i="8"/>
  <c r="G641" i="8"/>
  <c r="G639" i="8"/>
  <c r="G637" i="8"/>
  <c r="G635" i="8"/>
  <c r="G633" i="8"/>
  <c r="G631" i="8"/>
  <c r="G629" i="8"/>
  <c r="G627" i="8"/>
  <c r="G625" i="8"/>
  <c r="G623" i="8"/>
  <c r="G621" i="8"/>
  <c r="G619" i="8"/>
  <c r="G617" i="8"/>
  <c r="G615" i="8"/>
  <c r="G613" i="8"/>
  <c r="G611" i="8"/>
  <c r="G609" i="8"/>
  <c r="G607" i="8"/>
  <c r="G605" i="8"/>
  <c r="G603" i="8"/>
  <c r="G601" i="8"/>
  <c r="G599" i="8"/>
  <c r="G597" i="8"/>
  <c r="G595" i="8"/>
  <c r="G593" i="8"/>
  <c r="G591" i="8"/>
  <c r="G589" i="8"/>
  <c r="G587" i="8"/>
  <c r="H998" i="8"/>
  <c r="E996" i="8"/>
  <c r="H993" i="8"/>
  <c r="F991" i="8"/>
  <c r="D989" i="8"/>
  <c r="H986" i="8"/>
  <c r="E984" i="8"/>
  <c r="H981" i="8"/>
  <c r="F979" i="8"/>
  <c r="D977" i="8"/>
  <c r="H974" i="8"/>
  <c r="E972" i="8"/>
  <c r="H969" i="8"/>
  <c r="F967" i="8"/>
  <c r="D965" i="8"/>
  <c r="H962" i="8"/>
  <c r="E960" i="8"/>
  <c r="H957" i="8"/>
  <c r="F955" i="8"/>
  <c r="D953" i="8"/>
  <c r="H950" i="8"/>
  <c r="E948" i="8"/>
  <c r="H945" i="8"/>
  <c r="F943" i="8"/>
  <c r="D941" i="8"/>
  <c r="H938" i="8"/>
  <c r="E936" i="8"/>
  <c r="H933" i="8"/>
  <c r="F931" i="8"/>
  <c r="D929" i="8"/>
  <c r="H926" i="8"/>
  <c r="E924" i="8"/>
  <c r="H921" i="8"/>
  <c r="F919" i="8"/>
  <c r="D917" i="8"/>
  <c r="H914" i="8"/>
  <c r="E912" i="8"/>
  <c r="H909" i="8"/>
  <c r="F907" i="8"/>
  <c r="D905" i="8"/>
  <c r="H902" i="8"/>
  <c r="E900" i="8"/>
  <c r="H897" i="8"/>
  <c r="F895" i="8"/>
  <c r="D893" i="8"/>
  <c r="H890" i="8"/>
  <c r="E888" i="8"/>
  <c r="H885" i="8"/>
  <c r="F883" i="8"/>
  <c r="D881" i="8"/>
  <c r="H878" i="8"/>
  <c r="E876" i="8"/>
  <c r="H873" i="8"/>
  <c r="F871" i="8"/>
  <c r="D869" i="8"/>
  <c r="H866" i="8"/>
  <c r="E864" i="8"/>
  <c r="H861" i="8"/>
  <c r="G859" i="8"/>
  <c r="F857" i="8"/>
  <c r="F855" i="8"/>
  <c r="F853" i="8"/>
  <c r="F851" i="8"/>
  <c r="F849" i="8"/>
  <c r="F847" i="8"/>
  <c r="F845" i="8"/>
  <c r="F843" i="8"/>
  <c r="F841" i="8"/>
  <c r="F839" i="8"/>
  <c r="F837" i="8"/>
  <c r="F835" i="8"/>
  <c r="F833" i="8"/>
  <c r="F831" i="8"/>
  <c r="F829" i="8"/>
  <c r="F827" i="8"/>
  <c r="F825" i="8"/>
  <c r="F823" i="8"/>
  <c r="F821" i="8"/>
  <c r="F819" i="8"/>
  <c r="F817" i="8"/>
  <c r="F815" i="8"/>
  <c r="F813" i="8"/>
  <c r="F811" i="8"/>
  <c r="F809" i="8"/>
  <c r="F807" i="8"/>
  <c r="F805" i="8"/>
  <c r="F803" i="8"/>
  <c r="F801" i="8"/>
  <c r="F799" i="8"/>
  <c r="F797" i="8"/>
  <c r="F795" i="8"/>
  <c r="F793" i="8"/>
  <c r="F791" i="8"/>
  <c r="F789" i="8"/>
  <c r="F787" i="8"/>
  <c r="F785" i="8"/>
  <c r="F783" i="8"/>
  <c r="F781" i="8"/>
  <c r="F779" i="8"/>
  <c r="F777" i="8"/>
  <c r="F775" i="8"/>
  <c r="F773" i="8"/>
  <c r="F771" i="8"/>
  <c r="F769" i="8"/>
  <c r="F767" i="8"/>
  <c r="F765" i="8"/>
  <c r="F763" i="8"/>
  <c r="F761" i="8"/>
  <c r="F759" i="8"/>
  <c r="F757" i="8"/>
  <c r="F755" i="8"/>
  <c r="F753" i="8"/>
  <c r="F751" i="8"/>
  <c r="F749" i="8"/>
  <c r="F747" i="8"/>
  <c r="F745" i="8"/>
  <c r="F743" i="8"/>
  <c r="F741" i="8"/>
  <c r="F739" i="8"/>
  <c r="F737" i="8"/>
  <c r="F735" i="8"/>
  <c r="F733" i="8"/>
  <c r="F731" i="8"/>
  <c r="F729" i="8"/>
  <c r="F727" i="8"/>
  <c r="F725" i="8"/>
  <c r="F723" i="8"/>
  <c r="F721" i="8"/>
  <c r="F719" i="8"/>
  <c r="F717" i="8"/>
  <c r="F715" i="8"/>
  <c r="F713" i="8"/>
  <c r="F711" i="8"/>
  <c r="F709" i="8"/>
  <c r="F707" i="8"/>
  <c r="F705" i="8"/>
  <c r="F703" i="8"/>
  <c r="F701" i="8"/>
  <c r="F699" i="8"/>
  <c r="F697" i="8"/>
  <c r="F695" i="8"/>
  <c r="F693" i="8"/>
  <c r="F691" i="8"/>
  <c r="F689" i="8"/>
  <c r="F687" i="8"/>
  <c r="F685" i="8"/>
  <c r="F683" i="8"/>
  <c r="F681" i="8"/>
  <c r="F679" i="8"/>
  <c r="F677" i="8"/>
  <c r="F675" i="8"/>
  <c r="F673" i="8"/>
  <c r="F671" i="8"/>
  <c r="F669" i="8"/>
  <c r="F667" i="8"/>
  <c r="F665" i="8"/>
  <c r="F663" i="8"/>
  <c r="F661" i="8"/>
  <c r="F659" i="8"/>
  <c r="F657" i="8"/>
  <c r="F655" i="8"/>
  <c r="F653" i="8"/>
  <c r="F651" i="8"/>
  <c r="F649" i="8"/>
  <c r="F647" i="8"/>
  <c r="F645" i="8"/>
  <c r="F643" i="8"/>
  <c r="F641" i="8"/>
  <c r="F639" i="8"/>
  <c r="F637" i="8"/>
  <c r="F635" i="8"/>
  <c r="F633" i="8"/>
  <c r="F631" i="8"/>
  <c r="F629" i="8"/>
  <c r="F627" i="8"/>
  <c r="C4" i="8"/>
  <c r="C6" i="8"/>
  <c r="C8" i="8"/>
  <c r="C10" i="8"/>
  <c r="C12" i="8"/>
  <c r="C14" i="8"/>
  <c r="C16" i="8"/>
  <c r="C18" i="8"/>
  <c r="C20" i="8"/>
  <c r="C22" i="8"/>
  <c r="C24" i="8"/>
  <c r="C26" i="8"/>
  <c r="C28" i="8"/>
  <c r="C30" i="8"/>
  <c r="C32" i="8"/>
  <c r="C34" i="8"/>
  <c r="C36" i="8"/>
  <c r="C38" i="8"/>
  <c r="C40" i="8"/>
  <c r="C42" i="8"/>
  <c r="C44" i="8"/>
  <c r="C46" i="8"/>
  <c r="C48" i="8"/>
  <c r="C50" i="8"/>
  <c r="C52" i="8"/>
  <c r="C54" i="8"/>
  <c r="C56" i="8"/>
  <c r="C58" i="8"/>
  <c r="C60" i="8"/>
  <c r="C62" i="8"/>
  <c r="C64" i="8"/>
  <c r="C66" i="8"/>
  <c r="C68" i="8"/>
  <c r="C70" i="8"/>
  <c r="C72" i="8"/>
  <c r="C74" i="8"/>
  <c r="C76" i="8"/>
  <c r="C78" i="8"/>
  <c r="C80" i="8"/>
  <c r="C82" i="8"/>
  <c r="C84" i="8"/>
  <c r="C86" i="8"/>
  <c r="C88" i="8"/>
  <c r="C90" i="8"/>
  <c r="C92" i="8"/>
  <c r="C94" i="8"/>
  <c r="C96" i="8"/>
  <c r="C98" i="8"/>
  <c r="C100" i="8"/>
  <c r="C102" i="8"/>
  <c r="C104" i="8"/>
  <c r="C106" i="8"/>
  <c r="C108" i="8"/>
  <c r="C110" i="8"/>
  <c r="C112" i="8"/>
  <c r="C114" i="8"/>
  <c r="C116" i="8"/>
  <c r="C118" i="8"/>
  <c r="C120" i="8"/>
  <c r="C122" i="8"/>
  <c r="C124" i="8"/>
  <c r="C126" i="8"/>
  <c r="C128" i="8"/>
  <c r="C130" i="8"/>
  <c r="C132" i="8"/>
  <c r="C134" i="8"/>
  <c r="C136" i="8"/>
  <c r="C138" i="8"/>
  <c r="C140" i="8"/>
  <c r="C142" i="8"/>
  <c r="C144" i="8"/>
  <c r="C146" i="8"/>
  <c r="C148" i="8"/>
  <c r="C150" i="8"/>
  <c r="C152" i="8"/>
  <c r="C154" i="8"/>
  <c r="C156" i="8"/>
  <c r="C158" i="8"/>
  <c r="C160" i="8"/>
  <c r="C162" i="8"/>
  <c r="C164" i="8"/>
  <c r="C166" i="8"/>
  <c r="C168" i="8"/>
  <c r="C170" i="8"/>
  <c r="C172" i="8"/>
  <c r="C174" i="8"/>
  <c r="C176" i="8"/>
  <c r="C178" i="8"/>
  <c r="C180" i="8"/>
  <c r="C182" i="8"/>
  <c r="C184" i="8"/>
  <c r="C186" i="8"/>
  <c r="C188" i="8"/>
  <c r="C190" i="8"/>
  <c r="C192" i="8"/>
  <c r="C194" i="8"/>
  <c r="C196" i="8"/>
  <c r="C198" i="8"/>
  <c r="C200" i="8"/>
  <c r="C202" i="8"/>
  <c r="C204" i="8"/>
  <c r="C206" i="8"/>
  <c r="C208" i="8"/>
  <c r="C210" i="8"/>
  <c r="C212" i="8"/>
  <c r="C214" i="8"/>
  <c r="C216" i="8"/>
  <c r="C218" i="8"/>
  <c r="C220" i="8"/>
  <c r="C222" i="8"/>
  <c r="C224" i="8"/>
  <c r="C226" i="8"/>
  <c r="C228" i="8"/>
  <c r="C230" i="8"/>
  <c r="C232" i="8"/>
  <c r="C234" i="8"/>
  <c r="C236" i="8"/>
  <c r="C238" i="8"/>
  <c r="C240" i="8"/>
  <c r="C242" i="8"/>
  <c r="C244" i="8"/>
  <c r="C246" i="8"/>
  <c r="C248" i="8"/>
  <c r="C250" i="8"/>
  <c r="C252" i="8"/>
  <c r="C254" i="8"/>
  <c r="C256" i="8"/>
  <c r="C258" i="8"/>
  <c r="C260" i="8"/>
  <c r="C262" i="8"/>
  <c r="C264" i="8"/>
  <c r="C266" i="8"/>
  <c r="C268" i="8"/>
  <c r="C270" i="8"/>
  <c r="C272" i="8"/>
  <c r="C274" i="8"/>
  <c r="C276" i="8"/>
  <c r="C278" i="8"/>
  <c r="C280" i="8"/>
  <c r="C282" i="8"/>
  <c r="C284" i="8"/>
  <c r="C286" i="8"/>
  <c r="C288" i="8"/>
  <c r="C290" i="8"/>
  <c r="C292" i="8"/>
  <c r="C294" i="8"/>
  <c r="C296" i="8"/>
  <c r="C298" i="8"/>
  <c r="C300" i="8"/>
  <c r="C302" i="8"/>
  <c r="C304" i="8"/>
  <c r="C306" i="8"/>
  <c r="C308" i="8"/>
  <c r="C310" i="8"/>
  <c r="C312" i="8"/>
  <c r="C314" i="8"/>
  <c r="C316" i="8"/>
  <c r="C318" i="8"/>
  <c r="C320" i="8"/>
  <c r="C322" i="8"/>
  <c r="C324" i="8"/>
  <c r="C326" i="8"/>
  <c r="C328" i="8"/>
  <c r="C330" i="8"/>
  <c r="C332" i="8"/>
  <c r="C334" i="8"/>
  <c r="C336" i="8"/>
  <c r="C338" i="8"/>
  <c r="C340" i="8"/>
  <c r="C342" i="8"/>
  <c r="C344" i="8"/>
  <c r="C346" i="8"/>
  <c r="C348" i="8"/>
  <c r="C350" i="8"/>
  <c r="C352" i="8"/>
  <c r="C354" i="8"/>
  <c r="C356" i="8"/>
  <c r="C358" i="8"/>
  <c r="C360" i="8"/>
  <c r="C362" i="8"/>
  <c r="C364" i="8"/>
  <c r="C366" i="8"/>
  <c r="C368" i="8"/>
  <c r="C370" i="8"/>
  <c r="C372" i="8"/>
  <c r="C374" i="8"/>
  <c r="C376" i="8"/>
  <c r="C378" i="8"/>
  <c r="C380" i="8"/>
  <c r="C382" i="8"/>
  <c r="C384" i="8"/>
  <c r="C386" i="8"/>
  <c r="C388" i="8"/>
  <c r="C390" i="8"/>
  <c r="C392" i="8"/>
  <c r="C394" i="8"/>
  <c r="C396" i="8"/>
  <c r="C398" i="8"/>
  <c r="C400" i="8"/>
  <c r="C402" i="8"/>
  <c r="C404" i="8"/>
  <c r="C406" i="8"/>
  <c r="C408" i="8"/>
  <c r="C410" i="8"/>
  <c r="C412" i="8"/>
  <c r="C414" i="8"/>
  <c r="C416" i="8"/>
  <c r="C418" i="8"/>
  <c r="C420" i="8"/>
  <c r="C422" i="8"/>
  <c r="C424" i="8"/>
  <c r="C426" i="8"/>
  <c r="C428" i="8"/>
  <c r="C430" i="8"/>
  <c r="C432" i="8"/>
  <c r="C434" i="8"/>
  <c r="C436" i="8"/>
  <c r="C438" i="8"/>
  <c r="C440" i="8"/>
  <c r="C442" i="8"/>
  <c r="C444" i="8"/>
  <c r="C446" i="8"/>
  <c r="C448" i="8"/>
  <c r="C450" i="8"/>
  <c r="C452" i="8"/>
  <c r="C454" i="8"/>
  <c r="C456" i="8"/>
  <c r="C458" i="8"/>
  <c r="C460" i="8"/>
  <c r="C462" i="8"/>
  <c r="C464" i="8"/>
  <c r="C466" i="8"/>
  <c r="C468" i="8"/>
  <c r="C470" i="8"/>
  <c r="C472" i="8"/>
  <c r="C474" i="8"/>
  <c r="C476" i="8"/>
  <c r="C478" i="8"/>
  <c r="C480" i="8"/>
  <c r="C482" i="8"/>
  <c r="C484" i="8"/>
  <c r="C486" i="8"/>
  <c r="C488" i="8"/>
  <c r="C490" i="8"/>
  <c r="C492" i="8"/>
  <c r="C494" i="8"/>
  <c r="C496" i="8"/>
  <c r="C498" i="8"/>
  <c r="C500" i="8"/>
  <c r="C502" i="8"/>
  <c r="C504" i="8"/>
  <c r="C506" i="8"/>
  <c r="C508" i="8"/>
  <c r="C510" i="8"/>
  <c r="C512" i="8"/>
  <c r="C514" i="8"/>
  <c r="C516" i="8"/>
  <c r="C518" i="8"/>
  <c r="C520" i="8"/>
  <c r="C522" i="8"/>
  <c r="C524" i="8"/>
  <c r="C526" i="8"/>
  <c r="C528" i="8"/>
  <c r="C530" i="8"/>
  <c r="C532" i="8"/>
  <c r="C534" i="8"/>
  <c r="C536" i="8"/>
  <c r="C538" i="8"/>
  <c r="C540" i="8"/>
  <c r="C542" i="8"/>
  <c r="C544" i="8"/>
  <c r="C546" i="8"/>
  <c r="C548" i="8"/>
  <c r="C550" i="8"/>
  <c r="C552" i="8"/>
  <c r="C554" i="8"/>
  <c r="C556" i="8"/>
  <c r="C558" i="8"/>
  <c r="C560" i="8"/>
  <c r="C562" i="8"/>
  <c r="C564" i="8"/>
  <c r="C566" i="8"/>
  <c r="C568" i="8"/>
  <c r="C570" i="8"/>
  <c r="C572" i="8"/>
  <c r="C574" i="8"/>
  <c r="C576" i="8"/>
  <c r="C578" i="8"/>
  <c r="C580" i="8"/>
  <c r="C582" i="8"/>
  <c r="C584" i="8"/>
  <c r="C586" i="8"/>
  <c r="D588" i="8"/>
  <c r="E590" i="8"/>
  <c r="F592" i="8"/>
  <c r="G594" i="8"/>
  <c r="H596" i="8"/>
  <c r="C599" i="8"/>
  <c r="D601" i="8"/>
  <c r="E603" i="8"/>
  <c r="F605" i="8"/>
  <c r="H607" i="8"/>
  <c r="C610" i="8"/>
  <c r="D612" i="8"/>
  <c r="E614" i="8"/>
  <c r="F616" i="8"/>
  <c r="G618" i="8"/>
  <c r="H620" i="8"/>
  <c r="C623" i="8"/>
  <c r="D625" i="8"/>
  <c r="E627" i="8"/>
  <c r="C630" i="8"/>
  <c r="E632" i="8"/>
  <c r="G634" i="8"/>
  <c r="C637" i="8"/>
  <c r="E639" i="8"/>
  <c r="C642" i="8"/>
  <c r="E644" i="8"/>
  <c r="G646" i="8"/>
  <c r="C649" i="8"/>
  <c r="E651" i="8"/>
  <c r="C654" i="8"/>
  <c r="E656" i="8"/>
  <c r="G658" i="8"/>
  <c r="C661" i="8"/>
  <c r="E663" i="8"/>
  <c r="C666" i="8"/>
  <c r="E668" i="8"/>
  <c r="G670" i="8"/>
  <c r="C673" i="8"/>
  <c r="E675" i="8"/>
  <c r="C678" i="8"/>
  <c r="E680" i="8"/>
  <c r="G682" i="8"/>
  <c r="C685" i="8"/>
  <c r="E687" i="8"/>
  <c r="C690" i="8"/>
  <c r="E692" i="8"/>
  <c r="G694" i="8"/>
  <c r="C697" i="8"/>
  <c r="E699" i="8"/>
  <c r="C702" i="8"/>
  <c r="E704" i="8"/>
  <c r="G706" i="8"/>
  <c r="C709" i="8"/>
  <c r="E711" i="8"/>
  <c r="C714" i="8"/>
  <c r="E716" i="8"/>
  <c r="G718" i="8"/>
  <c r="C721" i="8"/>
  <c r="E723" i="8"/>
  <c r="C726" i="8"/>
  <c r="E728" i="8"/>
  <c r="G730" i="8"/>
  <c r="C733" i="8"/>
  <c r="E735" i="8"/>
  <c r="C738" i="8"/>
  <c r="E740" i="8"/>
  <c r="G742" i="8"/>
  <c r="C745" i="8"/>
  <c r="E747" i="8"/>
  <c r="C750" i="8"/>
  <c r="E752" i="8"/>
  <c r="G754" i="8"/>
  <c r="C757" i="8"/>
  <c r="E759" i="8"/>
  <c r="C762" i="8"/>
  <c r="E764" i="8"/>
  <c r="G766" i="8"/>
  <c r="C769" i="8"/>
  <c r="E771" i="8"/>
  <c r="C774" i="8"/>
  <c r="E776" i="8"/>
  <c r="G778" i="8"/>
  <c r="C781" i="8"/>
  <c r="E783" i="8"/>
  <c r="C786" i="8"/>
  <c r="E788" i="8"/>
  <c r="G790" i="8"/>
  <c r="C793" i="8"/>
  <c r="E795" i="8"/>
  <c r="C798" i="8"/>
  <c r="E800" i="8"/>
  <c r="G802" i="8"/>
  <c r="C805" i="8"/>
  <c r="E807" i="8"/>
  <c r="C810" i="8"/>
  <c r="E812" i="8"/>
  <c r="G814" i="8"/>
  <c r="C817" i="8"/>
  <c r="E819" i="8"/>
  <c r="C822" i="8"/>
  <c r="E824" i="8"/>
  <c r="G826" i="8"/>
  <c r="C829" i="8"/>
  <c r="E831" i="8"/>
  <c r="C834" i="8"/>
  <c r="E836" i="8"/>
  <c r="G838" i="8"/>
  <c r="C841" i="8"/>
  <c r="E843" i="8"/>
  <c r="C846" i="8"/>
  <c r="E848" i="8"/>
  <c r="G850" i="8"/>
  <c r="C853" i="8"/>
  <c r="E855" i="8"/>
  <c r="D858" i="8"/>
  <c r="G860" i="8"/>
  <c r="E863" i="8"/>
  <c r="D866" i="8"/>
  <c r="C869" i="8"/>
  <c r="D872" i="8"/>
  <c r="C875" i="8"/>
  <c r="G877" i="8"/>
  <c r="F880" i="8"/>
  <c r="E883" i="8"/>
  <c r="F886" i="8"/>
  <c r="E889" i="8"/>
  <c r="D892" i="8"/>
  <c r="C895" i="8"/>
  <c r="G897" i="8"/>
  <c r="C901" i="8"/>
  <c r="G903" i="8"/>
  <c r="F906" i="8"/>
  <c r="E909" i="8"/>
  <c r="D912" i="8"/>
  <c r="E915" i="8"/>
  <c r="D918" i="8"/>
  <c r="C921" i="8"/>
  <c r="G923" i="8"/>
  <c r="F926" i="8"/>
  <c r="G929" i="8"/>
  <c r="F932" i="8"/>
  <c r="E935" i="8"/>
  <c r="D938" i="8"/>
  <c r="C941" i="8"/>
  <c r="D944" i="8"/>
  <c r="C947" i="8"/>
  <c r="G949" i="8"/>
  <c r="F952" i="8"/>
  <c r="E955" i="8"/>
  <c r="F958" i="8"/>
  <c r="E961" i="8"/>
  <c r="D964" i="8"/>
  <c r="C967" i="8"/>
  <c r="G969" i="8"/>
  <c r="C973" i="8"/>
  <c r="G975" i="8"/>
  <c r="F978" i="8"/>
  <c r="E981" i="8"/>
  <c r="D984" i="8"/>
  <c r="E987" i="8"/>
  <c r="D990" i="8"/>
  <c r="C993" i="8"/>
  <c r="G995" i="8"/>
  <c r="F998" i="8"/>
  <c r="BH4" i="11"/>
  <c r="I4" i="19"/>
  <c r="H4" i="19"/>
  <c r="G4" i="19"/>
  <c r="F4" i="19"/>
  <c r="E4" i="19"/>
  <c r="D4" i="19"/>
  <c r="BD7" i="11"/>
  <c r="BE7" i="11"/>
  <c r="O7" i="19"/>
  <c r="N7" i="19"/>
  <c r="M7" i="19"/>
  <c r="L7" i="19"/>
  <c r="BH10" i="11"/>
  <c r="E9" i="19"/>
  <c r="D9" i="19"/>
  <c r="I9" i="19"/>
  <c r="H9" i="19"/>
  <c r="G9" i="19"/>
  <c r="F9" i="19"/>
  <c r="O13" i="19"/>
  <c r="N13" i="19"/>
  <c r="M13" i="19"/>
  <c r="L13" i="19"/>
  <c r="BD21" i="11"/>
  <c r="BE21" i="11"/>
  <c r="BH26" i="11"/>
  <c r="K28" i="19"/>
  <c r="AY29" i="11"/>
  <c r="R32" i="19"/>
  <c r="T32" i="19"/>
  <c r="BP33" i="11"/>
  <c r="BR33" i="11"/>
  <c r="BA34" i="11"/>
  <c r="K36" i="19"/>
  <c r="AY37" i="11"/>
  <c r="BG45" i="11"/>
  <c r="D45" i="19"/>
  <c r="F45" i="19"/>
  <c r="G45" i="19"/>
  <c r="E45" i="19"/>
  <c r="I45" i="19"/>
  <c r="H45" i="19"/>
  <c r="T55" i="19"/>
  <c r="R55" i="19"/>
  <c r="BP56" i="11"/>
  <c r="BH57" i="11"/>
  <c r="BG57" i="11"/>
  <c r="BA63" i="11"/>
  <c r="O63" i="19"/>
  <c r="M63" i="19"/>
  <c r="N63" i="19"/>
  <c r="L63" i="19"/>
  <c r="L67" i="19"/>
  <c r="M67" i="19"/>
  <c r="O67" i="19"/>
  <c r="N67" i="19"/>
  <c r="AX74" i="11"/>
  <c r="BF75" i="11"/>
  <c r="F76" i="19"/>
  <c r="D76" i="19"/>
  <c r="H76" i="19"/>
  <c r="I76" i="19"/>
  <c r="G76" i="19"/>
  <c r="E76" i="19"/>
  <c r="AX79" i="11"/>
  <c r="R82" i="19"/>
  <c r="T82" i="19"/>
  <c r="BP83" i="11"/>
  <c r="AY86" i="11"/>
  <c r="H89" i="19"/>
  <c r="D89" i="19"/>
  <c r="I89" i="19"/>
  <c r="G89" i="19"/>
  <c r="F89" i="19"/>
  <c r="E89" i="19"/>
  <c r="BB90" i="11"/>
  <c r="BC90" i="11" s="1"/>
  <c r="BH90" i="11"/>
  <c r="BG90" i="11"/>
  <c r="O95" i="19"/>
  <c r="N95" i="19"/>
  <c r="L95" i="19"/>
  <c r="M95" i="19"/>
  <c r="O100" i="19"/>
  <c r="N100" i="19"/>
  <c r="M100" i="19"/>
  <c r="L100" i="19"/>
  <c r="L115" i="19"/>
  <c r="M115" i="19"/>
  <c r="O115" i="19"/>
  <c r="N115" i="19"/>
  <c r="AX116" i="11"/>
  <c r="BJ116" i="11"/>
  <c r="BR116" i="11"/>
  <c r="BH120" i="11"/>
  <c r="BG120" i="11"/>
  <c r="D2" i="8"/>
  <c r="D4" i="8"/>
  <c r="D6" i="8"/>
  <c r="D8" i="8"/>
  <c r="D10" i="8"/>
  <c r="D12" i="8"/>
  <c r="D14" i="8"/>
  <c r="D16" i="8"/>
  <c r="D18" i="8"/>
  <c r="D20" i="8"/>
  <c r="D22" i="8"/>
  <c r="D24" i="8"/>
  <c r="D26" i="8"/>
  <c r="D28" i="8"/>
  <c r="D30" i="8"/>
  <c r="D32" i="8"/>
  <c r="D34" i="8"/>
  <c r="D36" i="8"/>
  <c r="D38" i="8"/>
  <c r="D40" i="8"/>
  <c r="D42" i="8"/>
  <c r="D44" i="8"/>
  <c r="D46" i="8"/>
  <c r="D48" i="8"/>
  <c r="D50" i="8"/>
  <c r="D52" i="8"/>
  <c r="D54" i="8"/>
  <c r="D56" i="8"/>
  <c r="D58" i="8"/>
  <c r="D60" i="8"/>
  <c r="D62" i="8"/>
  <c r="D64" i="8"/>
  <c r="D66" i="8"/>
  <c r="D68" i="8"/>
  <c r="D70" i="8"/>
  <c r="D72" i="8"/>
  <c r="D74" i="8"/>
  <c r="D76" i="8"/>
  <c r="D78" i="8"/>
  <c r="D80" i="8"/>
  <c r="D82" i="8"/>
  <c r="D84" i="8"/>
  <c r="D86" i="8"/>
  <c r="D88" i="8"/>
  <c r="D90" i="8"/>
  <c r="D92" i="8"/>
  <c r="D94" i="8"/>
  <c r="D96" i="8"/>
  <c r="D98" i="8"/>
  <c r="D100" i="8"/>
  <c r="D102" i="8"/>
  <c r="D104" i="8"/>
  <c r="D106" i="8"/>
  <c r="D108" i="8"/>
  <c r="D110" i="8"/>
  <c r="D112" i="8"/>
  <c r="D114" i="8"/>
  <c r="D116" i="8"/>
  <c r="D118" i="8"/>
  <c r="D120" i="8"/>
  <c r="D122" i="8"/>
  <c r="D124" i="8"/>
  <c r="D126" i="8"/>
  <c r="D128" i="8"/>
  <c r="D130" i="8"/>
  <c r="D132" i="8"/>
  <c r="D134" i="8"/>
  <c r="D136" i="8"/>
  <c r="D138" i="8"/>
  <c r="D140" i="8"/>
  <c r="D142" i="8"/>
  <c r="D144" i="8"/>
  <c r="D146" i="8"/>
  <c r="D148" i="8"/>
  <c r="D150" i="8"/>
  <c r="D152" i="8"/>
  <c r="D154" i="8"/>
  <c r="D156" i="8"/>
  <c r="D158" i="8"/>
  <c r="D160" i="8"/>
  <c r="D162" i="8"/>
  <c r="D164" i="8"/>
  <c r="D166" i="8"/>
  <c r="D168" i="8"/>
  <c r="D170" i="8"/>
  <c r="D172" i="8"/>
  <c r="D174" i="8"/>
  <c r="D176" i="8"/>
  <c r="D178" i="8"/>
  <c r="D180" i="8"/>
  <c r="D182" i="8"/>
  <c r="D184" i="8"/>
  <c r="D186" i="8"/>
  <c r="D188" i="8"/>
  <c r="D190" i="8"/>
  <c r="D192" i="8"/>
  <c r="D194" i="8"/>
  <c r="D196" i="8"/>
  <c r="D198" i="8"/>
  <c r="D200" i="8"/>
  <c r="D202" i="8"/>
  <c r="D204" i="8"/>
  <c r="D206" i="8"/>
  <c r="D208" i="8"/>
  <c r="D210" i="8"/>
  <c r="D212" i="8"/>
  <c r="D214" i="8"/>
  <c r="D216" i="8"/>
  <c r="D218" i="8"/>
  <c r="D220" i="8"/>
  <c r="D222" i="8"/>
  <c r="D224" i="8"/>
  <c r="D226" i="8"/>
  <c r="D228" i="8"/>
  <c r="D230" i="8"/>
  <c r="D232" i="8"/>
  <c r="D234" i="8"/>
  <c r="D236" i="8"/>
  <c r="D238" i="8"/>
  <c r="D240" i="8"/>
  <c r="D242" i="8"/>
  <c r="D244" i="8"/>
  <c r="D246" i="8"/>
  <c r="D248" i="8"/>
  <c r="D250" i="8"/>
  <c r="D252" i="8"/>
  <c r="D254" i="8"/>
  <c r="D256" i="8"/>
  <c r="D258" i="8"/>
  <c r="D260" i="8"/>
  <c r="D262" i="8"/>
  <c r="D264" i="8"/>
  <c r="D266" i="8"/>
  <c r="D268" i="8"/>
  <c r="D270" i="8"/>
  <c r="D272" i="8"/>
  <c r="D274" i="8"/>
  <c r="D276" i="8"/>
  <c r="D278" i="8"/>
  <c r="D280" i="8"/>
  <c r="D282" i="8"/>
  <c r="D284" i="8"/>
  <c r="D286" i="8"/>
  <c r="D288" i="8"/>
  <c r="D290" i="8"/>
  <c r="D292" i="8"/>
  <c r="D294" i="8"/>
  <c r="D296" i="8"/>
  <c r="D298" i="8"/>
  <c r="D300" i="8"/>
  <c r="D302" i="8"/>
  <c r="D304" i="8"/>
  <c r="D306" i="8"/>
  <c r="D308" i="8"/>
  <c r="D310" i="8"/>
  <c r="D312" i="8"/>
  <c r="D314" i="8"/>
  <c r="D316" i="8"/>
  <c r="D318" i="8"/>
  <c r="D320" i="8"/>
  <c r="D322" i="8"/>
  <c r="D324" i="8"/>
  <c r="D326" i="8"/>
  <c r="D328" i="8"/>
  <c r="D330" i="8"/>
  <c r="D332" i="8"/>
  <c r="D334" i="8"/>
  <c r="D336" i="8"/>
  <c r="D338" i="8"/>
  <c r="D340" i="8"/>
  <c r="D342" i="8"/>
  <c r="D344" i="8"/>
  <c r="D346" i="8"/>
  <c r="D348" i="8"/>
  <c r="D350" i="8"/>
  <c r="D352" i="8"/>
  <c r="D354" i="8"/>
  <c r="D356" i="8"/>
  <c r="D358" i="8"/>
  <c r="D360" i="8"/>
  <c r="D362" i="8"/>
  <c r="D364" i="8"/>
  <c r="D366" i="8"/>
  <c r="D368" i="8"/>
  <c r="D370" i="8"/>
  <c r="D372" i="8"/>
  <c r="D374" i="8"/>
  <c r="D376" i="8"/>
  <c r="D378" i="8"/>
  <c r="D380" i="8"/>
  <c r="D382" i="8"/>
  <c r="D384" i="8"/>
  <c r="D386" i="8"/>
  <c r="D388" i="8"/>
  <c r="D390" i="8"/>
  <c r="D392" i="8"/>
  <c r="D394" i="8"/>
  <c r="D396" i="8"/>
  <c r="D398" i="8"/>
  <c r="D400" i="8"/>
  <c r="D402" i="8"/>
  <c r="D404" i="8"/>
  <c r="D406" i="8"/>
  <c r="D408" i="8"/>
  <c r="D410" i="8"/>
  <c r="D412" i="8"/>
  <c r="D414" i="8"/>
  <c r="D416" i="8"/>
  <c r="D418" i="8"/>
  <c r="D420" i="8"/>
  <c r="D422" i="8"/>
  <c r="D424" i="8"/>
  <c r="D426" i="8"/>
  <c r="D428" i="8"/>
  <c r="D430" i="8"/>
  <c r="D432" i="8"/>
  <c r="D434" i="8"/>
  <c r="D436" i="8"/>
  <c r="D438" i="8"/>
  <c r="D440" i="8"/>
  <c r="D442" i="8"/>
  <c r="D444" i="8"/>
  <c r="D446" i="8"/>
  <c r="D448" i="8"/>
  <c r="D450" i="8"/>
  <c r="D452" i="8"/>
  <c r="D454" i="8"/>
  <c r="D456" i="8"/>
  <c r="D458" i="8"/>
  <c r="D460" i="8"/>
  <c r="D462" i="8"/>
  <c r="D464" i="8"/>
  <c r="D466" i="8"/>
  <c r="D468" i="8"/>
  <c r="D470" i="8"/>
  <c r="D472" i="8"/>
  <c r="D474" i="8"/>
  <c r="D476" i="8"/>
  <c r="D478" i="8"/>
  <c r="D480" i="8"/>
  <c r="D482" i="8"/>
  <c r="D484" i="8"/>
  <c r="D486" i="8"/>
  <c r="D488" i="8"/>
  <c r="D490" i="8"/>
  <c r="D492" i="8"/>
  <c r="D494" i="8"/>
  <c r="D496" i="8"/>
  <c r="D498" i="8"/>
  <c r="D500" i="8"/>
  <c r="D502" i="8"/>
  <c r="D504" i="8"/>
  <c r="D506" i="8"/>
  <c r="D508" i="8"/>
  <c r="D510" i="8"/>
  <c r="D512" i="8"/>
  <c r="D514" i="8"/>
  <c r="D516" i="8"/>
  <c r="D518" i="8"/>
  <c r="D520" i="8"/>
  <c r="D522" i="8"/>
  <c r="D524" i="8"/>
  <c r="D526" i="8"/>
  <c r="D528" i="8"/>
  <c r="D530" i="8"/>
  <c r="D532" i="8"/>
  <c r="D534" i="8"/>
  <c r="D536" i="8"/>
  <c r="D538" i="8"/>
  <c r="D540" i="8"/>
  <c r="D542" i="8"/>
  <c r="D544" i="8"/>
  <c r="D546" i="8"/>
  <c r="D548" i="8"/>
  <c r="D550" i="8"/>
  <c r="D552" i="8"/>
  <c r="D554" i="8"/>
  <c r="D556" i="8"/>
  <c r="D558" i="8"/>
  <c r="D560" i="8"/>
  <c r="D562" i="8"/>
  <c r="D564" i="8"/>
  <c r="D566" i="8"/>
  <c r="D568" i="8"/>
  <c r="D570" i="8"/>
  <c r="D572" i="8"/>
  <c r="D574" i="8"/>
  <c r="D576" i="8"/>
  <c r="D578" i="8"/>
  <c r="D580" i="8"/>
  <c r="D582" i="8"/>
  <c r="D584" i="8"/>
  <c r="D586" i="8"/>
  <c r="E588" i="8"/>
  <c r="F590" i="8"/>
  <c r="G592" i="8"/>
  <c r="H594" i="8"/>
  <c r="C597" i="8"/>
  <c r="D599" i="8"/>
  <c r="E601" i="8"/>
  <c r="F603" i="8"/>
  <c r="H605" i="8"/>
  <c r="C608" i="8"/>
  <c r="D610" i="8"/>
  <c r="E612" i="8"/>
  <c r="F614" i="8"/>
  <c r="G616" i="8"/>
  <c r="H618" i="8"/>
  <c r="C621" i="8"/>
  <c r="D623" i="8"/>
  <c r="E625" i="8"/>
  <c r="H627" i="8"/>
  <c r="D630" i="8"/>
  <c r="F632" i="8"/>
  <c r="H634" i="8"/>
  <c r="D637" i="8"/>
  <c r="H639" i="8"/>
  <c r="D642" i="8"/>
  <c r="F644" i="8"/>
  <c r="H646" i="8"/>
  <c r="D649" i="8"/>
  <c r="H651" i="8"/>
  <c r="D654" i="8"/>
  <c r="F656" i="8"/>
  <c r="H658" i="8"/>
  <c r="D661" i="8"/>
  <c r="H663" i="8"/>
  <c r="D666" i="8"/>
  <c r="F668" i="8"/>
  <c r="H670" i="8"/>
  <c r="D673" i="8"/>
  <c r="H675" i="8"/>
  <c r="D678" i="8"/>
  <c r="F680" i="8"/>
  <c r="H682" i="8"/>
  <c r="D685" i="8"/>
  <c r="H687" i="8"/>
  <c r="D690" i="8"/>
  <c r="F692" i="8"/>
  <c r="H694" i="8"/>
  <c r="D697" i="8"/>
  <c r="H699" i="8"/>
  <c r="D702" i="8"/>
  <c r="F704" i="8"/>
  <c r="H706" i="8"/>
  <c r="D709" i="8"/>
  <c r="H711" i="8"/>
  <c r="D714" i="8"/>
  <c r="F716" i="8"/>
  <c r="H718" i="8"/>
  <c r="D721" i="8"/>
  <c r="H723" i="8"/>
  <c r="D726" i="8"/>
  <c r="F728" i="8"/>
  <c r="H730" i="8"/>
  <c r="D733" i="8"/>
  <c r="H735" i="8"/>
  <c r="D738" i="8"/>
  <c r="F740" i="8"/>
  <c r="H742" i="8"/>
  <c r="D745" i="8"/>
  <c r="H747" i="8"/>
  <c r="D750" i="8"/>
  <c r="F752" i="8"/>
  <c r="H754" i="8"/>
  <c r="D757" i="8"/>
  <c r="H759" i="8"/>
  <c r="D762" i="8"/>
  <c r="F764" i="8"/>
  <c r="H766" i="8"/>
  <c r="D769" i="8"/>
  <c r="H771" i="8"/>
  <c r="D774" i="8"/>
  <c r="F776" i="8"/>
  <c r="H778" i="8"/>
  <c r="D781" i="8"/>
  <c r="H783" i="8"/>
  <c r="D786" i="8"/>
  <c r="F788" i="8"/>
  <c r="H790" i="8"/>
  <c r="D793" i="8"/>
  <c r="H795" i="8"/>
  <c r="D798" i="8"/>
  <c r="F800" i="8"/>
  <c r="H802" i="8"/>
  <c r="D805" i="8"/>
  <c r="H807" i="8"/>
  <c r="D810" i="8"/>
  <c r="F812" i="8"/>
  <c r="H814" i="8"/>
  <c r="D817" i="8"/>
  <c r="H819" i="8"/>
  <c r="D822" i="8"/>
  <c r="F824" i="8"/>
  <c r="H826" i="8"/>
  <c r="D829" i="8"/>
  <c r="H831" i="8"/>
  <c r="D834" i="8"/>
  <c r="F836" i="8"/>
  <c r="H838" i="8"/>
  <c r="D841" i="8"/>
  <c r="H843" i="8"/>
  <c r="D846" i="8"/>
  <c r="F848" i="8"/>
  <c r="H850" i="8"/>
  <c r="D853" i="8"/>
  <c r="H855" i="8"/>
  <c r="E858" i="8"/>
  <c r="H860" i="8"/>
  <c r="F863" i="8"/>
  <c r="E866" i="8"/>
  <c r="F869" i="8"/>
  <c r="E872" i="8"/>
  <c r="D875" i="8"/>
  <c r="H877" i="8"/>
  <c r="H880" i="8"/>
  <c r="H883" i="8"/>
  <c r="H886" i="8"/>
  <c r="F889" i="8"/>
  <c r="E892" i="8"/>
  <c r="D895" i="8"/>
  <c r="E898" i="8"/>
  <c r="D901" i="8"/>
  <c r="H903" i="8"/>
  <c r="H906" i="8"/>
  <c r="F909" i="8"/>
  <c r="H912" i="8"/>
  <c r="F915" i="8"/>
  <c r="E918" i="8"/>
  <c r="D921" i="8"/>
  <c r="H923" i="8"/>
  <c r="D927" i="8"/>
  <c r="H929" i="8"/>
  <c r="H932" i="8"/>
  <c r="F935" i="8"/>
  <c r="E938" i="8"/>
  <c r="F941" i="8"/>
  <c r="E944" i="8"/>
  <c r="D947" i="8"/>
  <c r="H949" i="8"/>
  <c r="H952" i="8"/>
  <c r="H955" i="8"/>
  <c r="H958" i="8"/>
  <c r="F961" i="8"/>
  <c r="E964" i="8"/>
  <c r="D967" i="8"/>
  <c r="E970" i="8"/>
  <c r="D973" i="8"/>
  <c r="H975" i="8"/>
  <c r="H978" i="8"/>
  <c r="F981" i="8"/>
  <c r="H984" i="8"/>
  <c r="F987" i="8"/>
  <c r="E990" i="8"/>
  <c r="D993" i="8"/>
  <c r="H995" i="8"/>
  <c r="D999" i="8"/>
  <c r="BH3" i="11"/>
  <c r="O12" i="19"/>
  <c r="N12" i="19"/>
  <c r="M12" i="19"/>
  <c r="L12" i="19"/>
  <c r="BR15" i="11"/>
  <c r="BJ15" i="11"/>
  <c r="Y14" i="5" s="1"/>
  <c r="BH16" i="11"/>
  <c r="E15" i="19"/>
  <c r="H15" i="19"/>
  <c r="G15" i="19"/>
  <c r="F15" i="19"/>
  <c r="D15" i="19"/>
  <c r="I15" i="19"/>
  <c r="R22" i="19"/>
  <c r="T22" i="19"/>
  <c r="BP24" i="11"/>
  <c r="BA25" i="11"/>
  <c r="BJ32" i="11"/>
  <c r="Y36" i="5" s="1"/>
  <c r="BR32" i="11"/>
  <c r="D33" i="19"/>
  <c r="I33" i="19"/>
  <c r="F33" i="19"/>
  <c r="H33" i="19"/>
  <c r="G33" i="19"/>
  <c r="E33" i="19"/>
  <c r="BB34" i="11"/>
  <c r="BC34" i="11" s="1"/>
  <c r="BA38" i="11"/>
  <c r="T42" i="19"/>
  <c r="R42" i="19"/>
  <c r="T50" i="19"/>
  <c r="R50" i="19"/>
  <c r="BJ51" i="11"/>
  <c r="BR51" i="11"/>
  <c r="BA52" i="11"/>
  <c r="O54" i="19"/>
  <c r="M54" i="19"/>
  <c r="N54" i="19"/>
  <c r="L54" i="19"/>
  <c r="BA58" i="11"/>
  <c r="BG58" i="11"/>
  <c r="F58" i="19"/>
  <c r="I58" i="19"/>
  <c r="H58" i="19"/>
  <c r="G58" i="19"/>
  <c r="E58" i="19"/>
  <c r="D58" i="19"/>
  <c r="BB63" i="11"/>
  <c r="BC63" i="11" s="1"/>
  <c r="BG65" i="11"/>
  <c r="BE67" i="11"/>
  <c r="BF67" i="11" s="1"/>
  <c r="L70" i="19"/>
  <c r="O70" i="19"/>
  <c r="N70" i="19"/>
  <c r="M70" i="19"/>
  <c r="AY74" i="11"/>
  <c r="K74" i="19"/>
  <c r="AX75" i="11"/>
  <c r="T75" i="19"/>
  <c r="R75" i="19"/>
  <c r="AX77" i="11"/>
  <c r="AV78" i="11"/>
  <c r="BR78" i="11"/>
  <c r="L85" i="19"/>
  <c r="N85" i="19"/>
  <c r="M85" i="19"/>
  <c r="O85" i="19"/>
  <c r="BH91" i="11"/>
  <c r="BG91" i="11"/>
  <c r="AV96" i="11"/>
  <c r="BR96" i="11"/>
  <c r="BI155" i="11"/>
  <c r="BI222" i="11"/>
  <c r="BF361" i="11"/>
  <c r="BH76" i="11"/>
  <c r="T79" i="19"/>
  <c r="R79" i="19"/>
  <c r="BP80" i="11"/>
  <c r="BJ81" i="11"/>
  <c r="Y21" i="5" s="1"/>
  <c r="K83" i="19"/>
  <c r="AY84" i="11"/>
  <c r="AX84" i="11"/>
  <c r="BJ86" i="11"/>
  <c r="BR86" i="11"/>
  <c r="H90" i="19"/>
  <c r="F90" i="19"/>
  <c r="D90" i="19"/>
  <c r="E90" i="19"/>
  <c r="I90" i="19"/>
  <c r="G90" i="19"/>
  <c r="BB91" i="11"/>
  <c r="BC91" i="11" s="1"/>
  <c r="BG95" i="11"/>
  <c r="BH95" i="11"/>
  <c r="F64" i="19"/>
  <c r="I64" i="19"/>
  <c r="H64" i="19"/>
  <c r="E64" i="19"/>
  <c r="G64" i="19"/>
  <c r="D64" i="19"/>
  <c r="BH68" i="11"/>
  <c r="R70" i="19"/>
  <c r="T70" i="19"/>
  <c r="H71" i="19"/>
  <c r="I71" i="19"/>
  <c r="G71" i="19"/>
  <c r="F71" i="19"/>
  <c r="E71" i="19"/>
  <c r="D71" i="19"/>
  <c r="N74" i="19"/>
  <c r="M74" i="19"/>
  <c r="O74" i="19"/>
  <c r="L74" i="19"/>
  <c r="N86" i="19"/>
  <c r="M86" i="19"/>
  <c r="O86" i="19"/>
  <c r="L86" i="19"/>
  <c r="BG92" i="11"/>
  <c r="BI92" i="11" s="1"/>
  <c r="BD98" i="11"/>
  <c r="BE98" i="11"/>
  <c r="BE118" i="11"/>
  <c r="BD118" i="11"/>
  <c r="BI164" i="11"/>
  <c r="BI263" i="11"/>
  <c r="BE77" i="11"/>
  <c r="BD77" i="11"/>
  <c r="BE90" i="11"/>
  <c r="BD90" i="11"/>
  <c r="N92" i="19"/>
  <c r="O92" i="19"/>
  <c r="L92" i="19"/>
  <c r="M92" i="19"/>
  <c r="BE99" i="11"/>
  <c r="BD99" i="11"/>
  <c r="BH112" i="11"/>
  <c r="BG112" i="11"/>
  <c r="M112" i="19"/>
  <c r="L112" i="19"/>
  <c r="O112" i="19"/>
  <c r="N112" i="19"/>
  <c r="P116" i="19"/>
  <c r="AY117" i="11"/>
  <c r="R116" i="19"/>
  <c r="T116" i="19"/>
  <c r="BP117" i="11"/>
  <c r="H77" i="19"/>
  <c r="F77" i="19"/>
  <c r="D77" i="19"/>
  <c r="E77" i="19"/>
  <c r="I77" i="19"/>
  <c r="G77" i="19"/>
  <c r="BB78" i="11"/>
  <c r="BC78" i="11" s="1"/>
  <c r="P80" i="19"/>
  <c r="AY81" i="11"/>
  <c r="T80" i="19"/>
  <c r="R80" i="19"/>
  <c r="BP81" i="11"/>
  <c r="BE88" i="11"/>
  <c r="K89" i="19"/>
  <c r="AX90" i="11"/>
  <c r="BA91" i="11"/>
  <c r="K98" i="19"/>
  <c r="AY99" i="11"/>
  <c r="AX99" i="11"/>
  <c r="BI197" i="11"/>
  <c r="R64" i="19"/>
  <c r="T64" i="19"/>
  <c r="N69" i="19"/>
  <c r="M69" i="19"/>
  <c r="L69" i="19"/>
  <c r="O69" i="19"/>
  <c r="BR70" i="11"/>
  <c r="H78" i="19"/>
  <c r="F78" i="19"/>
  <c r="I78" i="19"/>
  <c r="G78" i="19"/>
  <c r="D78" i="19"/>
  <c r="E78" i="19"/>
  <c r="AV79" i="11"/>
  <c r="BH80" i="11"/>
  <c r="BI80" i="11" s="1"/>
  <c r="BG81" i="11"/>
  <c r="BI81" i="11" s="1"/>
  <c r="K85" i="19"/>
  <c r="AX86" i="11"/>
  <c r="L93" i="19"/>
  <c r="N93" i="19"/>
  <c r="M93" i="19"/>
  <c r="O93" i="19"/>
  <c r="F104" i="19"/>
  <c r="E104" i="19"/>
  <c r="D104" i="19"/>
  <c r="I104" i="19"/>
  <c r="H104" i="19"/>
  <c r="G104" i="19"/>
  <c r="BH118" i="11"/>
  <c r="BF352" i="11"/>
  <c r="K92" i="19"/>
  <c r="AY93" i="11"/>
  <c r="F94" i="19"/>
  <c r="H94" i="19"/>
  <c r="I94" i="19"/>
  <c r="G94" i="19"/>
  <c r="E94" i="19"/>
  <c r="D94" i="19"/>
  <c r="AX96" i="11"/>
  <c r="T96" i="19"/>
  <c r="R96" i="19"/>
  <c r="BP97" i="11"/>
  <c r="N98" i="19"/>
  <c r="O98" i="19"/>
  <c r="M98" i="19"/>
  <c r="L98" i="19"/>
  <c r="AY106" i="11"/>
  <c r="AZ106" i="11" s="1"/>
  <c r="BC120" i="11"/>
  <c r="O45" i="5" s="1"/>
  <c r="BF195" i="11"/>
  <c r="BI221" i="11"/>
  <c r="BF268" i="11"/>
  <c r="BI279" i="11"/>
  <c r="BI363" i="11"/>
  <c r="BI439" i="11"/>
  <c r="BF532" i="11"/>
  <c r="M3" i="19"/>
  <c r="O3" i="19"/>
  <c r="N3" i="19"/>
  <c r="L3" i="19"/>
  <c r="O4" i="19"/>
  <c r="N4" i="19"/>
  <c r="M4" i="19"/>
  <c r="L4" i="19"/>
  <c r="O5" i="19"/>
  <c r="N5" i="19"/>
  <c r="M5" i="19"/>
  <c r="L5" i="19"/>
  <c r="BR7" i="11"/>
  <c r="BH18" i="11"/>
  <c r="BG18" i="11"/>
  <c r="N18" i="19"/>
  <c r="O18" i="19"/>
  <c r="M18" i="19"/>
  <c r="L18" i="19"/>
  <c r="M19" i="19"/>
  <c r="L19" i="19"/>
  <c r="O19" i="19"/>
  <c r="N19" i="19"/>
  <c r="D27" i="19"/>
  <c r="E27" i="19"/>
  <c r="F27" i="19"/>
  <c r="I27" i="19"/>
  <c r="H27" i="19"/>
  <c r="G27" i="19"/>
  <c r="BG29" i="11"/>
  <c r="BG43" i="11"/>
  <c r="BH43" i="11"/>
  <c r="R43" i="19"/>
  <c r="T43" i="19"/>
  <c r="BP44" i="11"/>
  <c r="L48" i="19"/>
  <c r="O48" i="19"/>
  <c r="N48" i="19"/>
  <c r="M48" i="19"/>
  <c r="L49" i="19"/>
  <c r="N49" i="19"/>
  <c r="M49" i="19"/>
  <c r="O49" i="19"/>
  <c r="K50" i="19"/>
  <c r="AX51" i="11"/>
  <c r="BE52" i="11"/>
  <c r="BF52" i="11" s="1"/>
  <c r="I55" i="19"/>
  <c r="H55" i="19"/>
  <c r="G55" i="19"/>
  <c r="E55" i="19"/>
  <c r="F55" i="19"/>
  <c r="D55" i="19"/>
  <c r="T57" i="19"/>
  <c r="R57" i="19"/>
  <c r="BR58" i="11"/>
  <c r="O59" i="19"/>
  <c r="N59" i="19"/>
  <c r="M59" i="19"/>
  <c r="L59" i="19"/>
  <c r="H65" i="19"/>
  <c r="D65" i="19"/>
  <c r="F65" i="19"/>
  <c r="G65" i="19"/>
  <c r="E65" i="19"/>
  <c r="I65" i="19"/>
  <c r="BH72" i="11"/>
  <c r="BG72" i="11"/>
  <c r="N75" i="19"/>
  <c r="O75" i="19"/>
  <c r="M75" i="19"/>
  <c r="L75" i="19"/>
  <c r="AY80" i="11"/>
  <c r="D81" i="19"/>
  <c r="H81" i="19"/>
  <c r="F81" i="19"/>
  <c r="I81" i="19"/>
  <c r="G81" i="19"/>
  <c r="E81" i="19"/>
  <c r="F82" i="19"/>
  <c r="E82" i="19"/>
  <c r="D82" i="19"/>
  <c r="I82" i="19"/>
  <c r="H82" i="19"/>
  <c r="G82" i="19"/>
  <c r="BG85" i="11"/>
  <c r="R85" i="19"/>
  <c r="T85" i="19"/>
  <c r="BG86" i="11"/>
  <c r="BI86" i="11" s="1"/>
  <c r="M87" i="19"/>
  <c r="L87" i="19"/>
  <c r="O87" i="19"/>
  <c r="N87" i="19"/>
  <c r="BD88" i="11"/>
  <c r="M88" i="19"/>
  <c r="O88" i="19"/>
  <c r="N88" i="19"/>
  <c r="L88" i="19"/>
  <c r="BD89" i="11"/>
  <c r="K90" i="19"/>
  <c r="AX91" i="11"/>
  <c r="G96" i="19"/>
  <c r="F96" i="19"/>
  <c r="E96" i="19"/>
  <c r="I96" i="19"/>
  <c r="H96" i="19"/>
  <c r="D96" i="19"/>
  <c r="BR97" i="11"/>
  <c r="K97" i="19"/>
  <c r="AX98" i="11"/>
  <c r="BG99" i="11"/>
  <c r="H101" i="19"/>
  <c r="F101" i="19"/>
  <c r="E101" i="19"/>
  <c r="D101" i="19"/>
  <c r="I101" i="19"/>
  <c r="G101" i="19"/>
  <c r="BG104" i="11"/>
  <c r="BD105" i="11"/>
  <c r="BE105" i="11"/>
  <c r="BB105" i="11"/>
  <c r="BC105" i="11" s="1"/>
  <c r="R105" i="19"/>
  <c r="T105" i="19"/>
  <c r="BP106" i="11"/>
  <c r="AY108" i="11"/>
  <c r="BI189" i="11"/>
  <c r="BF219" i="11"/>
  <c r="BF277" i="11"/>
  <c r="BI392" i="11"/>
  <c r="T2" i="19"/>
  <c r="R2" i="19"/>
  <c r="G12" i="19"/>
  <c r="D12" i="19"/>
  <c r="I12" i="19"/>
  <c r="H12" i="19"/>
  <c r="F12" i="19"/>
  <c r="E12" i="19"/>
  <c r="BA16" i="11"/>
  <c r="BA17" i="11"/>
  <c r="T17" i="19"/>
  <c r="R17" i="19"/>
  <c r="O20" i="19"/>
  <c r="N20" i="19"/>
  <c r="M20" i="19"/>
  <c r="L20" i="19"/>
  <c r="BH29" i="11"/>
  <c r="T29" i="19"/>
  <c r="R29" i="19"/>
  <c r="BP30" i="11"/>
  <c r="L31" i="19"/>
  <c r="M31" i="19"/>
  <c r="O31" i="19"/>
  <c r="N31" i="19"/>
  <c r="BE38" i="11"/>
  <c r="BF38" i="11" s="1"/>
  <c r="F40" i="19"/>
  <c r="D40" i="19"/>
  <c r="H40" i="19"/>
  <c r="I40" i="19"/>
  <c r="G40" i="19"/>
  <c r="E40" i="19"/>
  <c r="BG44" i="11"/>
  <c r="BH44" i="11"/>
  <c r="T44" i="19"/>
  <c r="R44" i="19"/>
  <c r="BP45" i="11"/>
  <c r="T45" i="19"/>
  <c r="R45" i="19"/>
  <c r="F56" i="19"/>
  <c r="E56" i="19"/>
  <c r="I56" i="19"/>
  <c r="H56" i="19"/>
  <c r="G56" i="19"/>
  <c r="D56" i="19"/>
  <c r="R58" i="19"/>
  <c r="T58" i="19"/>
  <c r="M60" i="19"/>
  <c r="L60" i="19"/>
  <c r="O60" i="19"/>
  <c r="N60" i="19"/>
  <c r="K61" i="19"/>
  <c r="AY62" i="11"/>
  <c r="AZ62" i="11" s="1"/>
  <c r="H66" i="19"/>
  <c r="I66" i="19"/>
  <c r="G66" i="19"/>
  <c r="F66" i="19"/>
  <c r="D66" i="19"/>
  <c r="E66" i="19"/>
  <c r="D69" i="19"/>
  <c r="H69" i="19"/>
  <c r="I69" i="19"/>
  <c r="G69" i="19"/>
  <c r="F69" i="19"/>
  <c r="E69" i="19"/>
  <c r="BA71" i="11"/>
  <c r="T72" i="19"/>
  <c r="R72" i="19"/>
  <c r="BP73" i="11"/>
  <c r="R73" i="19"/>
  <c r="T73" i="19"/>
  <c r="R74" i="19"/>
  <c r="T74" i="19"/>
  <c r="M76" i="19"/>
  <c r="O76" i="19"/>
  <c r="N76" i="19"/>
  <c r="L76" i="19"/>
  <c r="O77" i="19"/>
  <c r="N77" i="19"/>
  <c r="M77" i="19"/>
  <c r="L77" i="19"/>
  <c r="AX81" i="11"/>
  <c r="H83" i="19"/>
  <c r="E83" i="19"/>
  <c r="I83" i="19"/>
  <c r="G83" i="19"/>
  <c r="D83" i="19"/>
  <c r="F83" i="19"/>
  <c r="R86" i="19"/>
  <c r="T86" i="19"/>
  <c r="O89" i="19"/>
  <c r="M89" i="19"/>
  <c r="L89" i="19"/>
  <c r="N89" i="19"/>
  <c r="L91" i="19"/>
  <c r="M91" i="19"/>
  <c r="O91" i="19"/>
  <c r="N91" i="19"/>
  <c r="T92" i="19"/>
  <c r="R92" i="19"/>
  <c r="BP93" i="11"/>
  <c r="D93" i="19"/>
  <c r="H93" i="19"/>
  <c r="F93" i="19"/>
  <c r="I93" i="19"/>
  <c r="G93" i="19"/>
  <c r="E93" i="19"/>
  <c r="BE95" i="11"/>
  <c r="BF95" i="11" s="1"/>
  <c r="R100" i="19"/>
  <c r="T100" i="19"/>
  <c r="I103" i="19"/>
  <c r="H103" i="19"/>
  <c r="F103" i="19"/>
  <c r="D103" i="19"/>
  <c r="G103" i="19"/>
  <c r="E103" i="19"/>
  <c r="AX107" i="11"/>
  <c r="BR109" i="11"/>
  <c r="BJ109" i="11"/>
  <c r="Y24" i="5" s="1"/>
  <c r="BG111" i="11"/>
  <c r="BF161" i="11"/>
  <c r="BF187" i="11"/>
  <c r="I84" i="19"/>
  <c r="G84" i="19"/>
  <c r="E84" i="19"/>
  <c r="H84" i="19"/>
  <c r="F84" i="19"/>
  <c r="D84" i="19"/>
  <c r="T87" i="19"/>
  <c r="R87" i="19"/>
  <c r="R88" i="19"/>
  <c r="T88" i="19"/>
  <c r="M90" i="19"/>
  <c r="L90" i="19"/>
  <c r="O90" i="19"/>
  <c r="N90" i="19"/>
  <c r="AV94" i="11"/>
  <c r="R76" i="19"/>
  <c r="T76" i="19"/>
  <c r="BG77" i="11"/>
  <c r="O78" i="19"/>
  <c r="L78" i="19"/>
  <c r="N78" i="19"/>
  <c r="M78" i="19"/>
  <c r="I85" i="19"/>
  <c r="E85" i="19"/>
  <c r="D85" i="19"/>
  <c r="H85" i="19"/>
  <c r="G85" i="19"/>
  <c r="F85" i="19"/>
  <c r="BG88" i="11"/>
  <c r="T89" i="19"/>
  <c r="R89" i="19"/>
  <c r="R91" i="19"/>
  <c r="T91" i="19"/>
  <c r="BH93" i="11"/>
  <c r="H95" i="19"/>
  <c r="G95" i="19"/>
  <c r="F95" i="19"/>
  <c r="E95" i="19"/>
  <c r="I95" i="19"/>
  <c r="D95" i="19"/>
  <c r="BH101" i="11"/>
  <c r="D105" i="19"/>
  <c r="F105" i="19"/>
  <c r="E105" i="19"/>
  <c r="I105" i="19"/>
  <c r="H105" i="19"/>
  <c r="G105" i="19"/>
  <c r="BB106" i="11"/>
  <c r="BC106" i="11" s="1"/>
  <c r="I110" i="19"/>
  <c r="E110" i="19"/>
  <c r="D110" i="19"/>
  <c r="H110" i="19"/>
  <c r="G110" i="19"/>
  <c r="F110" i="19"/>
  <c r="BB111" i="11"/>
  <c r="BC111" i="11" s="1"/>
  <c r="BH78" i="11"/>
  <c r="BG78" i="11"/>
  <c r="E86" i="19"/>
  <c r="I86" i="19"/>
  <c r="H86" i="19"/>
  <c r="G86" i="19"/>
  <c r="F86" i="19"/>
  <c r="D86" i="19"/>
  <c r="T90" i="19"/>
  <c r="R90" i="19"/>
  <c r="T97" i="19"/>
  <c r="R97" i="19"/>
  <c r="BD102" i="11"/>
  <c r="BE102" i="11"/>
  <c r="K112" i="19"/>
  <c r="AX113" i="11"/>
  <c r="AY113" i="11"/>
  <c r="T114" i="19"/>
  <c r="R114" i="19"/>
  <c r="BF294" i="11"/>
  <c r="D75" i="19"/>
  <c r="G75" i="19"/>
  <c r="I75" i="19"/>
  <c r="F75" i="19"/>
  <c r="H75" i="19"/>
  <c r="E75" i="19"/>
  <c r="BA77" i="11"/>
  <c r="T78" i="19"/>
  <c r="R78" i="19"/>
  <c r="L79" i="19"/>
  <c r="O79" i="19"/>
  <c r="M79" i="19"/>
  <c r="N79" i="19"/>
  <c r="N80" i="19"/>
  <c r="O80" i="19"/>
  <c r="M80" i="19"/>
  <c r="L80" i="19"/>
  <c r="K81" i="19"/>
  <c r="AX82" i="11"/>
  <c r="AZ82" i="11" s="1"/>
  <c r="K82" i="19"/>
  <c r="AY83" i="11"/>
  <c r="D87" i="19"/>
  <c r="I87" i="19"/>
  <c r="G87" i="19"/>
  <c r="E87" i="19"/>
  <c r="H87" i="19"/>
  <c r="F87" i="19"/>
  <c r="F88" i="19"/>
  <c r="I88" i="19"/>
  <c r="D88" i="19"/>
  <c r="H88" i="19"/>
  <c r="G88" i="19"/>
  <c r="E88" i="19"/>
  <c r="BA90" i="11"/>
  <c r="AY96" i="11"/>
  <c r="K96" i="19"/>
  <c r="AX97" i="11"/>
  <c r="BH98" i="11"/>
  <c r="BP98" i="11"/>
  <c r="K101" i="19"/>
  <c r="AX102" i="11"/>
  <c r="BH103" i="11"/>
  <c r="BE104" i="11"/>
  <c r="BF104" i="11" s="1"/>
  <c r="E108" i="19"/>
  <c r="D108" i="19"/>
  <c r="I108" i="19"/>
  <c r="H108" i="19"/>
  <c r="G108" i="19"/>
  <c r="F108" i="19"/>
  <c r="BB109" i="11"/>
  <c r="BC109" i="11" s="1"/>
  <c r="BA109" i="11"/>
  <c r="BH109" i="11"/>
  <c r="P118" i="19"/>
  <c r="AY119" i="11"/>
  <c r="T118" i="19"/>
  <c r="R118" i="19"/>
  <c r="BP119" i="11"/>
  <c r="BF145" i="11"/>
  <c r="BI355" i="11"/>
  <c r="BF408" i="11"/>
  <c r="G98" i="19"/>
  <c r="F98" i="19"/>
  <c r="E98" i="19"/>
  <c r="I98" i="19"/>
  <c r="H98" i="19"/>
  <c r="D98" i="19"/>
  <c r="BC99" i="11"/>
  <c r="BG101" i="11"/>
  <c r="T101" i="19"/>
  <c r="R101" i="19"/>
  <c r="BG102" i="11"/>
  <c r="R102" i="19"/>
  <c r="T102" i="19"/>
  <c r="BG103" i="11"/>
  <c r="T103" i="19"/>
  <c r="R103" i="19"/>
  <c r="N106" i="19"/>
  <c r="M106" i="19"/>
  <c r="L106" i="19"/>
  <c r="O106" i="19"/>
  <c r="T107" i="19"/>
  <c r="R107" i="19"/>
  <c r="T109" i="19"/>
  <c r="R109" i="19"/>
  <c r="R110" i="19"/>
  <c r="T110" i="19"/>
  <c r="BP111" i="11"/>
  <c r="BA112" i="11"/>
  <c r="BA115" i="11"/>
  <c r="BB116" i="11"/>
  <c r="BC116" i="11" s="1"/>
  <c r="BB117" i="11"/>
  <c r="BC117" i="11" s="1"/>
  <c r="BF156" i="11"/>
  <c r="BI183" i="11"/>
  <c r="BF424" i="11"/>
  <c r="BF540" i="11"/>
  <c r="D99" i="19"/>
  <c r="G99" i="19"/>
  <c r="F99" i="19"/>
  <c r="E99" i="19"/>
  <c r="I99" i="19"/>
  <c r="H99" i="19"/>
  <c r="BG109" i="11"/>
  <c r="BH110" i="11"/>
  <c r="D111" i="19"/>
  <c r="E111" i="19"/>
  <c r="I111" i="19"/>
  <c r="H111" i="19"/>
  <c r="G111" i="19"/>
  <c r="F111" i="19"/>
  <c r="BB115" i="11"/>
  <c r="BC115" i="11" s="1"/>
  <c r="L118" i="19"/>
  <c r="O118" i="19"/>
  <c r="N118" i="19"/>
  <c r="M118" i="19"/>
  <c r="R104" i="19"/>
  <c r="T104" i="19"/>
  <c r="N105" i="19"/>
  <c r="O105" i="19"/>
  <c r="M105" i="19"/>
  <c r="L105" i="19"/>
  <c r="R106" i="19"/>
  <c r="T106" i="19"/>
  <c r="BA111" i="11"/>
  <c r="K113" i="19"/>
  <c r="AX114" i="11"/>
  <c r="O117" i="19"/>
  <c r="N117" i="19"/>
  <c r="L117" i="19"/>
  <c r="M117" i="19"/>
  <c r="I119" i="19"/>
  <c r="H119" i="19"/>
  <c r="D119" i="19"/>
  <c r="G119" i="19"/>
  <c r="F119" i="19"/>
  <c r="E119" i="19"/>
  <c r="BI123" i="11"/>
  <c r="BF180" i="11"/>
  <c r="BI255" i="11"/>
  <c r="BF384" i="11"/>
  <c r="BF448" i="11"/>
  <c r="BF484" i="11"/>
  <c r="BF496" i="11"/>
  <c r="BF508" i="11"/>
  <c r="BF520" i="11"/>
  <c r="T5" i="19"/>
  <c r="R5" i="19"/>
  <c r="I7" i="19"/>
  <c r="H7" i="19"/>
  <c r="G7" i="19"/>
  <c r="F7" i="19"/>
  <c r="E7" i="19"/>
  <c r="D7" i="19"/>
  <c r="M11" i="19"/>
  <c r="L11" i="19"/>
  <c r="O11" i="19"/>
  <c r="N11" i="19"/>
  <c r="T13" i="19"/>
  <c r="R13" i="19"/>
  <c r="R16" i="19"/>
  <c r="T16" i="19"/>
  <c r="G18" i="19"/>
  <c r="H18" i="19"/>
  <c r="F18" i="19"/>
  <c r="E18" i="19"/>
  <c r="D18" i="19"/>
  <c r="I18" i="19"/>
  <c r="E21" i="19"/>
  <c r="D21" i="19"/>
  <c r="H21" i="19"/>
  <c r="I21" i="19"/>
  <c r="G21" i="19"/>
  <c r="F21" i="19"/>
  <c r="H25" i="19"/>
  <c r="F25" i="19"/>
  <c r="I25" i="19"/>
  <c r="G25" i="19"/>
  <c r="E25" i="19"/>
  <c r="D25" i="19"/>
  <c r="F28" i="19"/>
  <c r="G28" i="19"/>
  <c r="H28" i="19"/>
  <c r="E28" i="19"/>
  <c r="I28" i="19"/>
  <c r="D28" i="19"/>
  <c r="N29" i="19"/>
  <c r="M29" i="19"/>
  <c r="O29" i="19"/>
  <c r="L29" i="19"/>
  <c r="R34" i="19"/>
  <c r="T34" i="19"/>
  <c r="I36" i="19"/>
  <c r="D36" i="19"/>
  <c r="H36" i="19"/>
  <c r="G36" i="19"/>
  <c r="F36" i="19"/>
  <c r="E36" i="19"/>
  <c r="R37" i="19"/>
  <c r="T37" i="19"/>
  <c r="D39" i="19"/>
  <c r="F39" i="19"/>
  <c r="E39" i="19"/>
  <c r="I39" i="19"/>
  <c r="H39" i="19"/>
  <c r="G39" i="19"/>
  <c r="L40" i="19"/>
  <c r="O40" i="19"/>
  <c r="N40" i="19"/>
  <c r="M40" i="19"/>
  <c r="L43" i="19"/>
  <c r="M43" i="19"/>
  <c r="O43" i="19"/>
  <c r="N43" i="19"/>
  <c r="L46" i="19"/>
  <c r="O46" i="19"/>
  <c r="N46" i="19"/>
  <c r="M46" i="19"/>
  <c r="G48" i="19"/>
  <c r="F48" i="19"/>
  <c r="E48" i="19"/>
  <c r="H48" i="19"/>
  <c r="D48" i="19"/>
  <c r="I48" i="19"/>
  <c r="H53" i="19"/>
  <c r="F53" i="19"/>
  <c r="G53" i="19"/>
  <c r="I53" i="19"/>
  <c r="E53" i="19"/>
  <c r="D53" i="19"/>
  <c r="E61" i="19"/>
  <c r="D61" i="19"/>
  <c r="H61" i="19"/>
  <c r="I61" i="19"/>
  <c r="G61" i="19"/>
  <c r="F61" i="19"/>
  <c r="N62" i="19"/>
  <c r="O62" i="19"/>
  <c r="M62" i="19"/>
  <c r="L62" i="19"/>
  <c r="O65" i="19"/>
  <c r="N65" i="19"/>
  <c r="L65" i="19"/>
  <c r="M65" i="19"/>
  <c r="E67" i="19"/>
  <c r="I67" i="19"/>
  <c r="H67" i="19"/>
  <c r="G67" i="19"/>
  <c r="F67" i="19"/>
  <c r="D67" i="19"/>
  <c r="T71" i="19"/>
  <c r="R71" i="19"/>
  <c r="I73" i="19"/>
  <c r="G73" i="19"/>
  <c r="H73" i="19"/>
  <c r="F73" i="19"/>
  <c r="E73" i="19"/>
  <c r="D73" i="19"/>
  <c r="T77" i="19"/>
  <c r="R77" i="19"/>
  <c r="F79" i="19"/>
  <c r="G79" i="19"/>
  <c r="E79" i="19"/>
  <c r="D79" i="19"/>
  <c r="I79" i="19"/>
  <c r="H79" i="19"/>
  <c r="N83" i="19"/>
  <c r="M83" i="19"/>
  <c r="L83" i="19"/>
  <c r="O83" i="19"/>
  <c r="H91" i="19"/>
  <c r="D91" i="19"/>
  <c r="G91" i="19"/>
  <c r="F91" i="19"/>
  <c r="E91" i="19"/>
  <c r="I91" i="19"/>
  <c r="R94" i="19"/>
  <c r="T94" i="19"/>
  <c r="L96" i="19"/>
  <c r="N96" i="19"/>
  <c r="M96" i="19"/>
  <c r="O96" i="19"/>
  <c r="L97" i="19"/>
  <c r="O97" i="19"/>
  <c r="N97" i="19"/>
  <c r="M97" i="19"/>
  <c r="BP103" i="11"/>
  <c r="BA106" i="11"/>
  <c r="BP107" i="11"/>
  <c r="BP108" i="11"/>
  <c r="AY109" i="11"/>
  <c r="AY110" i="11"/>
  <c r="AZ110" i="11" s="1"/>
  <c r="BG113" i="11"/>
  <c r="T113" i="19"/>
  <c r="R113" i="19"/>
  <c r="BH115" i="11"/>
  <c r="BI115" i="11" s="1"/>
  <c r="BG116" i="11"/>
  <c r="BA118" i="11"/>
  <c r="F118" i="19"/>
  <c r="H118" i="19"/>
  <c r="G118" i="19"/>
  <c r="E118" i="19"/>
  <c r="I118" i="19"/>
  <c r="D118" i="19"/>
  <c r="BB119" i="11"/>
  <c r="BC119" i="11" s="1"/>
  <c r="BE120" i="11"/>
  <c r="BD120" i="11"/>
  <c r="BF144" i="11"/>
  <c r="BF276" i="11"/>
  <c r="BI303" i="11"/>
  <c r="BI423" i="11"/>
  <c r="BF432" i="11"/>
  <c r="R112" i="19"/>
  <c r="T112" i="19"/>
  <c r="BG114" i="11"/>
  <c r="BI114" i="11" s="1"/>
  <c r="BA116" i="11"/>
  <c r="H116" i="19"/>
  <c r="D116" i="19"/>
  <c r="F116" i="19"/>
  <c r="E116" i="19"/>
  <c r="I116" i="19"/>
  <c r="G116" i="19"/>
  <c r="D117" i="19"/>
  <c r="H117" i="19"/>
  <c r="G117" i="19"/>
  <c r="F117" i="19"/>
  <c r="I117" i="19"/>
  <c r="E117" i="19"/>
  <c r="BB118" i="11"/>
  <c r="BC118" i="11" s="1"/>
  <c r="BF168" i="11"/>
  <c r="BI195" i="11"/>
  <c r="BI219" i="11"/>
  <c r="BF436" i="11"/>
  <c r="O111" i="19"/>
  <c r="M111" i="19"/>
  <c r="N111" i="19"/>
  <c r="L111" i="19"/>
  <c r="D114" i="19"/>
  <c r="H114" i="19"/>
  <c r="G114" i="19"/>
  <c r="F114" i="19"/>
  <c r="I114" i="19"/>
  <c r="E114" i="19"/>
  <c r="H115" i="19"/>
  <c r="G115" i="19"/>
  <c r="F115" i="19"/>
  <c r="D115" i="19"/>
  <c r="I115" i="19"/>
  <c r="E115" i="19"/>
  <c r="BI243" i="11"/>
  <c r="BF300" i="11"/>
  <c r="BI327" i="11"/>
  <c r="BI375" i="11"/>
  <c r="BF400" i="11"/>
  <c r="BI427" i="11"/>
  <c r="N119" i="19"/>
  <c r="M119" i="19"/>
  <c r="L119" i="19"/>
  <c r="O119" i="19"/>
  <c r="G3" i="19"/>
  <c r="F3" i="19"/>
  <c r="E3" i="19"/>
  <c r="D3" i="19"/>
  <c r="I3" i="19"/>
  <c r="H3" i="19"/>
  <c r="T4" i="19"/>
  <c r="R4" i="19"/>
  <c r="I8" i="19"/>
  <c r="H8" i="19"/>
  <c r="G8" i="19"/>
  <c r="F8" i="19"/>
  <c r="E8" i="19"/>
  <c r="D8" i="19"/>
  <c r="R14" i="19"/>
  <c r="T14" i="19"/>
  <c r="I19" i="19"/>
  <c r="D19" i="19"/>
  <c r="H19" i="19"/>
  <c r="G19" i="19"/>
  <c r="F19" i="19"/>
  <c r="E19" i="19"/>
  <c r="G22" i="19"/>
  <c r="F22" i="19"/>
  <c r="I22" i="19"/>
  <c r="H22" i="19"/>
  <c r="E22" i="19"/>
  <c r="D22" i="19"/>
  <c r="H26" i="19"/>
  <c r="G26" i="19"/>
  <c r="D26" i="19"/>
  <c r="E26" i="19"/>
  <c r="I26" i="19"/>
  <c r="F26" i="19"/>
  <c r="O30" i="19"/>
  <c r="N30" i="19"/>
  <c r="M30" i="19"/>
  <c r="L30" i="19"/>
  <c r="T35" i="19"/>
  <c r="R35" i="19"/>
  <c r="T38" i="19"/>
  <c r="R38" i="19"/>
  <c r="N41" i="19"/>
  <c r="O41" i="19"/>
  <c r="M41" i="19"/>
  <c r="L41" i="19"/>
  <c r="N44" i="19"/>
  <c r="M44" i="19"/>
  <c r="O44" i="19"/>
  <c r="L44" i="19"/>
  <c r="O47" i="19"/>
  <c r="N47" i="19"/>
  <c r="M47" i="19"/>
  <c r="L47" i="19"/>
  <c r="I49" i="19"/>
  <c r="D49" i="19"/>
  <c r="G49" i="19"/>
  <c r="F49" i="19"/>
  <c r="E49" i="19"/>
  <c r="H49" i="19"/>
  <c r="N50" i="19"/>
  <c r="O50" i="19"/>
  <c r="M50" i="19"/>
  <c r="L50" i="19"/>
  <c r="R52" i="19"/>
  <c r="T52" i="19"/>
  <c r="F54" i="19"/>
  <c r="I54" i="19"/>
  <c r="H54" i="19"/>
  <c r="G54" i="19"/>
  <c r="E54" i="19"/>
  <c r="D54" i="19"/>
  <c r="H59" i="19"/>
  <c r="E59" i="19"/>
  <c r="F59" i="19"/>
  <c r="D59" i="19"/>
  <c r="I59" i="19"/>
  <c r="G59" i="19"/>
  <c r="M66" i="19"/>
  <c r="O66" i="19"/>
  <c r="N66" i="19"/>
  <c r="L66" i="19"/>
  <c r="D68" i="19"/>
  <c r="H68" i="19"/>
  <c r="G68" i="19"/>
  <c r="F68" i="19"/>
  <c r="I68" i="19"/>
  <c r="E68" i="19"/>
  <c r="E74" i="19"/>
  <c r="D74" i="19"/>
  <c r="H74" i="19"/>
  <c r="I74" i="19"/>
  <c r="G74" i="19"/>
  <c r="F74" i="19"/>
  <c r="F80" i="19"/>
  <c r="D80" i="19"/>
  <c r="I80" i="19"/>
  <c r="H80" i="19"/>
  <c r="E80" i="19"/>
  <c r="G80" i="19"/>
  <c r="N81" i="19"/>
  <c r="M81" i="19"/>
  <c r="L81" i="19"/>
  <c r="O81" i="19"/>
  <c r="N84" i="19"/>
  <c r="M84" i="19"/>
  <c r="L84" i="19"/>
  <c r="O84" i="19"/>
  <c r="BE93" i="11"/>
  <c r="BF93" i="11" s="1"/>
  <c r="AX95" i="11"/>
  <c r="T99" i="19"/>
  <c r="R99" i="19"/>
  <c r="O101" i="19"/>
  <c r="N101" i="19"/>
  <c r="M101" i="19"/>
  <c r="L101" i="19"/>
  <c r="O102" i="19"/>
  <c r="N102" i="19"/>
  <c r="M102" i="19"/>
  <c r="L102" i="19"/>
  <c r="L103" i="19"/>
  <c r="O103" i="19"/>
  <c r="N103" i="19"/>
  <c r="M103" i="19"/>
  <c r="BP105" i="11"/>
  <c r="K106" i="19"/>
  <c r="AY107" i="11"/>
  <c r="N107" i="19"/>
  <c r="M107" i="19"/>
  <c r="L107" i="19"/>
  <c r="O107" i="19"/>
  <c r="N108" i="19"/>
  <c r="O108" i="19"/>
  <c r="M108" i="19"/>
  <c r="L108" i="19"/>
  <c r="BE110" i="11"/>
  <c r="BF110" i="11" s="1"/>
  <c r="N110" i="19"/>
  <c r="M110" i="19"/>
  <c r="L110" i="19"/>
  <c r="O110" i="19"/>
  <c r="R111" i="19"/>
  <c r="T111" i="19"/>
  <c r="BP112" i="11"/>
  <c r="F112" i="19"/>
  <c r="I112" i="19"/>
  <c r="H112" i="19"/>
  <c r="G112" i="19"/>
  <c r="D112" i="19"/>
  <c r="E112" i="19"/>
  <c r="AY114" i="11"/>
  <c r="AY115" i="11"/>
  <c r="AY116" i="11"/>
  <c r="AY118" i="11"/>
  <c r="BI159" i="11"/>
  <c r="BF240" i="11"/>
  <c r="BF324" i="11"/>
  <c r="BF480" i="11"/>
  <c r="BF492" i="11"/>
  <c r="BF504" i="11"/>
  <c r="BF516" i="11"/>
  <c r="D92" i="19"/>
  <c r="H92" i="19"/>
  <c r="G92" i="19"/>
  <c r="F92" i="19"/>
  <c r="I92" i="19"/>
  <c r="E92" i="19"/>
  <c r="T93" i="19"/>
  <c r="R93" i="19"/>
  <c r="L94" i="19"/>
  <c r="O94" i="19"/>
  <c r="N94" i="19"/>
  <c r="M94" i="19"/>
  <c r="T98" i="19"/>
  <c r="R98" i="19"/>
  <c r="BP99" i="11"/>
  <c r="O99" i="19"/>
  <c r="N99" i="19"/>
  <c r="M99" i="19"/>
  <c r="L99" i="19"/>
  <c r="F102" i="19"/>
  <c r="E102" i="19"/>
  <c r="D102" i="19"/>
  <c r="I102" i="19"/>
  <c r="H102" i="19"/>
  <c r="G102" i="19"/>
  <c r="BH104" i="11"/>
  <c r="N104" i="19"/>
  <c r="O104" i="19"/>
  <c r="M104" i="19"/>
  <c r="L104" i="19"/>
  <c r="H107" i="19"/>
  <c r="E107" i="19"/>
  <c r="D107" i="19"/>
  <c r="I107" i="19"/>
  <c r="G107" i="19"/>
  <c r="F107" i="19"/>
  <c r="R108" i="19"/>
  <c r="T108" i="19"/>
  <c r="L109" i="19"/>
  <c r="N109" i="19"/>
  <c r="M109" i="19"/>
  <c r="O109" i="19"/>
  <c r="H113" i="19"/>
  <c r="I113" i="19"/>
  <c r="D113" i="19"/>
  <c r="G113" i="19"/>
  <c r="F113" i="19"/>
  <c r="E113" i="19"/>
  <c r="N116" i="19"/>
  <c r="L116" i="19"/>
  <c r="O116" i="19"/>
  <c r="M116" i="19"/>
  <c r="K119" i="19"/>
  <c r="AY120" i="11"/>
  <c r="T115" i="19"/>
  <c r="R115" i="19"/>
  <c r="BF874" i="11"/>
  <c r="AZ921" i="11"/>
  <c r="AZ890" i="11"/>
  <c r="AZ880" i="11"/>
  <c r="BF891" i="11"/>
  <c r="BF918" i="11"/>
  <c r="AZ945" i="11"/>
  <c r="AZ957" i="11"/>
  <c r="AZ969" i="11"/>
  <c r="AZ981" i="11"/>
  <c r="AZ1000" i="11"/>
  <c r="BF882" i="11"/>
  <c r="BI901" i="11"/>
  <c r="BF922" i="11"/>
  <c r="BI923" i="11"/>
  <c r="BF994" i="11"/>
  <c r="V141" i="19"/>
  <c r="V176" i="19"/>
  <c r="T95" i="19"/>
  <c r="R95" i="19"/>
  <c r="I97" i="19"/>
  <c r="G97" i="19"/>
  <c r="H97" i="19"/>
  <c r="F97" i="19"/>
  <c r="E97" i="19"/>
  <c r="D97" i="19"/>
  <c r="F100" i="19"/>
  <c r="I100" i="19"/>
  <c r="G100" i="19"/>
  <c r="H100" i="19"/>
  <c r="E100" i="19"/>
  <c r="D100" i="19"/>
  <c r="F106" i="19"/>
  <c r="I106" i="19"/>
  <c r="H106" i="19"/>
  <c r="E106" i="19"/>
  <c r="G106" i="19"/>
  <c r="D106" i="19"/>
  <c r="I109" i="19"/>
  <c r="H109" i="19"/>
  <c r="G109" i="19"/>
  <c r="E109" i="19"/>
  <c r="F109" i="19"/>
  <c r="D109" i="19"/>
  <c r="O114" i="19"/>
  <c r="M114" i="19"/>
  <c r="N114" i="19"/>
  <c r="L114" i="19"/>
  <c r="T117" i="19"/>
  <c r="R117" i="19"/>
  <c r="BF1000" i="11"/>
  <c r="V127" i="19"/>
  <c r="BI877" i="11"/>
  <c r="BF894" i="11"/>
  <c r="AZ914" i="11"/>
  <c r="BI942" i="11"/>
  <c r="BI954" i="11"/>
  <c r="BI966" i="11"/>
  <c r="BI978" i="11"/>
  <c r="BI990" i="11"/>
  <c r="BI997" i="11"/>
  <c r="V284" i="19"/>
  <c r="AZ878" i="11"/>
  <c r="BF898" i="11"/>
  <c r="BI899" i="11"/>
  <c r="BF920" i="11"/>
  <c r="BI921" i="11"/>
  <c r="V253" i="19"/>
  <c r="BI889" i="11"/>
  <c r="BF906" i="11"/>
  <c r="AZ938" i="11"/>
  <c r="AZ950" i="11"/>
  <c r="AZ962" i="11"/>
  <c r="AZ974" i="11"/>
  <c r="AZ986" i="11"/>
  <c r="V228" i="19"/>
  <c r="V223" i="19"/>
  <c r="V258" i="19"/>
  <c r="V429" i="19"/>
  <c r="V501" i="19"/>
  <c r="V885" i="19"/>
  <c r="V924" i="19"/>
  <c r="V993" i="19"/>
  <c r="V149" i="19"/>
  <c r="V187" i="19"/>
  <c r="V240" i="19"/>
  <c r="V256" i="19"/>
  <c r="V440" i="19"/>
  <c r="V262" i="19"/>
  <c r="V265" i="19"/>
  <c r="J155" i="19"/>
  <c r="V171" i="19"/>
  <c r="J182" i="19"/>
  <c r="V182" i="19" s="1"/>
  <c r="C275" i="19"/>
  <c r="V297" i="19"/>
  <c r="J367" i="19"/>
  <c r="V367" i="19" s="1"/>
  <c r="V143" i="19"/>
  <c r="V195" i="19"/>
  <c r="V210" i="19"/>
  <c r="V283" i="19"/>
  <c r="V323" i="19"/>
  <c r="V692" i="19"/>
  <c r="V842" i="19"/>
  <c r="V861" i="19"/>
  <c r="V933" i="19"/>
  <c r="V972" i="19"/>
  <c r="V996" i="19"/>
  <c r="V126" i="19"/>
  <c r="V128" i="19"/>
  <c r="V152" i="19"/>
  <c r="V208" i="19"/>
  <c r="V259" i="19"/>
  <c r="V289" i="19"/>
  <c r="V311" i="19"/>
  <c r="V316" i="19"/>
  <c r="V393" i="19"/>
  <c r="V830" i="19"/>
  <c r="V855" i="19"/>
  <c r="V927" i="19"/>
  <c r="V966" i="19"/>
  <c r="V174" i="19"/>
  <c r="V214" i="19"/>
  <c r="V298" i="19"/>
  <c r="V300" i="19"/>
  <c r="J133" i="19"/>
  <c r="V144" i="19"/>
  <c r="V148" i="19"/>
  <c r="V162" i="19"/>
  <c r="J175" i="19"/>
  <c r="V200" i="19"/>
  <c r="J201" i="19"/>
  <c r="V204" i="19"/>
  <c r="J205" i="19"/>
  <c r="V205" i="19" s="1"/>
  <c r="J207" i="19"/>
  <c r="V207" i="19" s="1"/>
  <c r="V235" i="19"/>
  <c r="C249" i="19"/>
  <c r="V249" i="19" s="1"/>
  <c r="V279" i="19"/>
  <c r="V296" i="19"/>
  <c r="C319" i="19"/>
  <c r="V319" i="19"/>
  <c r="V342" i="19"/>
  <c r="C346" i="19"/>
  <c r="V154" i="19"/>
  <c r="V186" i="19"/>
  <c r="J246" i="19"/>
  <c r="J297" i="19"/>
  <c r="V313" i="19"/>
  <c r="V157" i="19"/>
  <c r="V188" i="19"/>
  <c r="V217" i="19"/>
  <c r="J224" i="19"/>
  <c r="V224" i="19" s="1"/>
  <c r="V227" i="19"/>
  <c r="V241" i="19"/>
  <c r="C136" i="19"/>
  <c r="J216" i="19"/>
  <c r="V286" i="19"/>
  <c r="C288" i="19"/>
  <c r="V288" i="19" s="1"/>
  <c r="V303" i="19"/>
  <c r="V305" i="19"/>
  <c r="V132" i="19"/>
  <c r="V151" i="19"/>
  <c r="J164" i="19"/>
  <c r="C167" i="19"/>
  <c r="V167" i="19"/>
  <c r="V225" i="19"/>
  <c r="J238" i="19"/>
  <c r="V238" i="19" s="1"/>
  <c r="V260" i="19"/>
  <c r="V266" i="19"/>
  <c r="V299" i="19"/>
  <c r="U122" i="19"/>
  <c r="Q122" i="19" s="1"/>
  <c r="V122" i="19" s="1"/>
  <c r="J142" i="19"/>
  <c r="V142" i="19" s="1"/>
  <c r="C145" i="19"/>
  <c r="V145" i="19" s="1"/>
  <c r="V163" i="19"/>
  <c r="C176" i="19"/>
  <c r="J190" i="19"/>
  <c r="V190" i="19" s="1"/>
  <c r="C223" i="19"/>
  <c r="J237" i="19"/>
  <c r="J242" i="19"/>
  <c r="C243" i="19"/>
  <c r="J252" i="19"/>
  <c r="V252" i="19" s="1"/>
  <c r="C253" i="19"/>
  <c r="V271" i="19"/>
  <c r="V277" i="19"/>
  <c r="C279" i="19"/>
  <c r="J320" i="19"/>
  <c r="V576" i="19"/>
  <c r="C126" i="19"/>
  <c r="V129" i="19"/>
  <c r="C131" i="19"/>
  <c r="U136" i="19"/>
  <c r="Q136" i="19" s="1"/>
  <c r="V136" i="19" s="1"/>
  <c r="J137" i="19"/>
  <c r="V137" i="19" s="1"/>
  <c r="V169" i="19"/>
  <c r="J177" i="19"/>
  <c r="J181" i="19"/>
  <c r="J183" i="19"/>
  <c r="J194" i="19"/>
  <c r="V194" i="19" s="1"/>
  <c r="J220" i="19"/>
  <c r="C240" i="19"/>
  <c r="J250" i="19"/>
  <c r="J267" i="19"/>
  <c r="V267" i="19" s="1"/>
  <c r="J274" i="19"/>
  <c r="V274" i="19" s="1"/>
  <c r="V294" i="19"/>
  <c r="U309" i="19"/>
  <c r="Q309" i="19" s="1"/>
  <c r="V309" i="19" s="1"/>
  <c r="V336" i="19"/>
  <c r="V432" i="19"/>
  <c r="V504" i="19"/>
  <c r="V287" i="19"/>
  <c r="V341" i="19"/>
  <c r="V465" i="19"/>
  <c r="C123" i="19"/>
  <c r="V123" i="19" s="1"/>
  <c r="C140" i="19"/>
  <c r="V140" i="19" s="1"/>
  <c r="V155" i="19"/>
  <c r="J178" i="19"/>
  <c r="V178" i="19" s="1"/>
  <c r="J187" i="19"/>
  <c r="J191" i="19"/>
  <c r="V191" i="19" s="1"/>
  <c r="C192" i="19"/>
  <c r="U192" i="19"/>
  <c r="Q192" i="19" s="1"/>
  <c r="V192" i="19" s="1"/>
  <c r="J198" i="19"/>
  <c r="V199" i="19"/>
  <c r="U201" i="19"/>
  <c r="Q201" i="19" s="1"/>
  <c r="V201" i="19" s="1"/>
  <c r="C203" i="19"/>
  <c r="V203" i="19" s="1"/>
  <c r="J215" i="19"/>
  <c r="V215" i="19" s="1"/>
  <c r="U218" i="19"/>
  <c r="Q218" i="19" s="1"/>
  <c r="V218" i="19" s="1"/>
  <c r="V231" i="19"/>
  <c r="J245" i="19"/>
  <c r="V245" i="19" s="1"/>
  <c r="V263" i="19"/>
  <c r="J290" i="19"/>
  <c r="J298" i="19"/>
  <c r="C317" i="19"/>
  <c r="V404" i="19"/>
  <c r="V450" i="19"/>
  <c r="V476" i="19"/>
  <c r="J530" i="19"/>
  <c r="V530" i="19" s="1"/>
  <c r="U546" i="19"/>
  <c r="Q546" i="19" s="1"/>
  <c r="V546" i="19" s="1"/>
  <c r="J602" i="19"/>
  <c r="V611" i="19"/>
  <c r="J122" i="19"/>
  <c r="J129" i="19"/>
  <c r="C135" i="19"/>
  <c r="V135" i="19"/>
  <c r="J158" i="19"/>
  <c r="V158" i="19" s="1"/>
  <c r="J165" i="19"/>
  <c r="V165" i="19" s="1"/>
  <c r="V166" i="19"/>
  <c r="C168" i="19"/>
  <c r="C177" i="19"/>
  <c r="V179" i="19"/>
  <c r="C181" i="19"/>
  <c r="V181" i="19"/>
  <c r="J213" i="19"/>
  <c r="V213" i="19" s="1"/>
  <c r="J217" i="19"/>
  <c r="V229" i="19"/>
  <c r="V244" i="19"/>
  <c r="J247" i="19"/>
  <c r="V248" i="19"/>
  <c r="J266" i="19"/>
  <c r="C322" i="19"/>
  <c r="V363" i="19"/>
  <c r="V402" i="19"/>
  <c r="V474" i="19"/>
  <c r="V540" i="19"/>
  <c r="V666" i="19"/>
  <c r="V133" i="19"/>
  <c r="J169" i="19"/>
  <c r="C207" i="19"/>
  <c r="V220" i="19"/>
  <c r="J221" i="19"/>
  <c r="V221" i="19" s="1"/>
  <c r="C222" i="19"/>
  <c r="V222" i="19" s="1"/>
  <c r="V237" i="19"/>
  <c r="J243" i="19"/>
  <c r="V243" i="19" s="1"/>
  <c r="V306" i="19"/>
  <c r="V320" i="19"/>
  <c r="V333" i="19"/>
  <c r="V353" i="19"/>
  <c r="V396" i="19"/>
  <c r="V418" i="19"/>
  <c r="V439" i="19"/>
  <c r="V468" i="19"/>
  <c r="U125" i="19"/>
  <c r="Q125" i="19" s="1"/>
  <c r="C132" i="19"/>
  <c r="C154" i="19"/>
  <c r="V164" i="19"/>
  <c r="V177" i="19"/>
  <c r="C196" i="19"/>
  <c r="V196" i="19" s="1"/>
  <c r="U209" i="19"/>
  <c r="Q209" i="19" s="1"/>
  <c r="V209" i="19" s="1"/>
  <c r="J225" i="19"/>
  <c r="C226" i="19"/>
  <c r="V226" i="19"/>
  <c r="C228" i="19"/>
  <c r="C234" i="19"/>
  <c r="V234" i="19" s="1"/>
  <c r="V246" i="19"/>
  <c r="C248" i="19"/>
  <c r="V250" i="19"/>
  <c r="C262" i="19"/>
  <c r="C269" i="19"/>
  <c r="V282" i="19"/>
  <c r="J307" i="19"/>
  <c r="V314" i="19"/>
  <c r="C324" i="19"/>
  <c r="V324" i="19" s="1"/>
  <c r="C120" i="19"/>
  <c r="V120" i="19" s="1"/>
  <c r="C127" i="19"/>
  <c r="J138" i="19"/>
  <c r="V138" i="19" s="1"/>
  <c r="C146" i="19"/>
  <c r="V146" i="19" s="1"/>
  <c r="J147" i="19"/>
  <c r="V147" i="19" s="1"/>
  <c r="C150" i="19"/>
  <c r="V150" i="19" s="1"/>
  <c r="J153" i="19"/>
  <c r="V153" i="19" s="1"/>
  <c r="J160" i="19"/>
  <c r="V160" i="19" s="1"/>
  <c r="V168" i="19"/>
  <c r="C170" i="19"/>
  <c r="U170" i="19"/>
  <c r="Q170" i="19" s="1"/>
  <c r="V170" i="19" s="1"/>
  <c r="C185" i="19"/>
  <c r="V185" i="19" s="1"/>
  <c r="U198" i="19"/>
  <c r="Q198" i="19" s="1"/>
  <c r="V198" i="19" s="1"/>
  <c r="J229" i="19"/>
  <c r="C254" i="19"/>
  <c r="V254" i="19" s="1"/>
  <c r="J255" i="19"/>
  <c r="V255" i="19" s="1"/>
  <c r="C258" i="19"/>
  <c r="J261" i="19"/>
  <c r="V261" i="19" s="1"/>
  <c r="C284" i="19"/>
  <c r="U304" i="19"/>
  <c r="Q304" i="19" s="1"/>
  <c r="V304" i="19" s="1"/>
  <c r="V386" i="19"/>
  <c r="J143" i="19"/>
  <c r="J173" i="19"/>
  <c r="V173" i="19" s="1"/>
  <c r="U180" i="19"/>
  <c r="Q180" i="19" s="1"/>
  <c r="V180" i="19" s="1"/>
  <c r="U206" i="19"/>
  <c r="Q206" i="19" s="1"/>
  <c r="V206" i="19" s="1"/>
  <c r="C214" i="19"/>
  <c r="J251" i="19"/>
  <c r="V251" i="19" s="1"/>
  <c r="U273" i="19"/>
  <c r="Q273" i="19" s="1"/>
  <c r="V273" i="19" s="1"/>
  <c r="J283" i="19"/>
  <c r="C289" i="19"/>
  <c r="J316" i="19"/>
  <c r="J345" i="19"/>
  <c r="V345" i="19" s="1"/>
  <c r="V348" i="19"/>
  <c r="J422" i="19"/>
  <c r="J458" i="19"/>
  <c r="V458" i="19" s="1"/>
  <c r="V459" i="19"/>
  <c r="J494" i="19"/>
  <c r="V494" i="19" s="1"/>
  <c r="V642" i="19"/>
  <c r="C188" i="19"/>
  <c r="J203" i="19"/>
  <c r="J293" i="19"/>
  <c r="C294" i="19"/>
  <c r="U307" i="19"/>
  <c r="Q307" i="19" s="1"/>
  <c r="V307" i="19" s="1"/>
  <c r="V371" i="19"/>
  <c r="V377" i="19"/>
  <c r="V535" i="19"/>
  <c r="V543" i="19"/>
  <c r="V571" i="19"/>
  <c r="V579" i="19"/>
  <c r="V690" i="19"/>
  <c r="V703" i="19"/>
  <c r="J125" i="19"/>
  <c r="C157" i="19"/>
  <c r="U175" i="19"/>
  <c r="Q175" i="19" s="1"/>
  <c r="V175" i="19" s="1"/>
  <c r="C183" i="19"/>
  <c r="V183" i="19" s="1"/>
  <c r="C209" i="19"/>
  <c r="J233" i="19"/>
  <c r="V233" i="19" s="1"/>
  <c r="C265" i="19"/>
  <c r="C272" i="19"/>
  <c r="V272" i="19" s="1"/>
  <c r="C281" i="19"/>
  <c r="C286" i="19"/>
  <c r="U302" i="19"/>
  <c r="Q302" i="19" s="1"/>
  <c r="V302" i="19" s="1"/>
  <c r="J313" i="19"/>
  <c r="C383" i="19"/>
  <c r="V417" i="19"/>
  <c r="V427" i="19"/>
  <c r="V435" i="19"/>
  <c r="V453" i="19"/>
  <c r="V489" i="19"/>
  <c r="V512" i="19"/>
  <c r="C527" i="19"/>
  <c r="V527" i="19" s="1"/>
  <c r="V548" i="19"/>
  <c r="C563" i="19"/>
  <c r="V563" i="19" s="1"/>
  <c r="V584" i="19"/>
  <c r="C599" i="19"/>
  <c r="V631" i="19"/>
  <c r="V650" i="19"/>
  <c r="V672" i="19"/>
  <c r="V566" i="19"/>
  <c r="V580" i="19"/>
  <c r="V602" i="19"/>
  <c r="V618" i="19"/>
  <c r="V765" i="19"/>
  <c r="V783" i="19"/>
  <c r="V849" i="19"/>
  <c r="V888" i="19"/>
  <c r="V919" i="19"/>
  <c r="V921" i="19"/>
  <c r="V960" i="19"/>
  <c r="V994" i="19"/>
  <c r="C121" i="19"/>
  <c r="V121" i="19" s="1"/>
  <c r="U139" i="19"/>
  <c r="Q139" i="19" s="1"/>
  <c r="V139" i="19" s="1"/>
  <c r="C147" i="19"/>
  <c r="C173" i="19"/>
  <c r="J197" i="19"/>
  <c r="V197" i="19" s="1"/>
  <c r="C229" i="19"/>
  <c r="U247" i="19"/>
  <c r="Q247" i="19" s="1"/>
  <c r="C255" i="19"/>
  <c r="U268" i="19"/>
  <c r="Q268" i="19" s="1"/>
  <c r="V268" i="19" s="1"/>
  <c r="U301" i="19"/>
  <c r="Q301" i="19" s="1"/>
  <c r="V301" i="19" s="1"/>
  <c r="C325" i="19"/>
  <c r="V325" i="19"/>
  <c r="C327" i="19"/>
  <c r="V327" i="19" s="1"/>
  <c r="V339" i="19"/>
  <c r="C341" i="19"/>
  <c r="J352" i="19"/>
  <c r="C382" i="19"/>
  <c r="U382" i="19"/>
  <c r="Q382" i="19" s="1"/>
  <c r="V400" i="19"/>
  <c r="V422" i="19"/>
  <c r="V472" i="19"/>
  <c r="V508" i="19"/>
  <c r="V516" i="19"/>
  <c r="C526" i="19"/>
  <c r="U526" i="19"/>
  <c r="Q526" i="19" s="1"/>
  <c r="V526" i="19" s="1"/>
  <c r="V552" i="19"/>
  <c r="C562" i="19"/>
  <c r="U562" i="19"/>
  <c r="Q562" i="19" s="1"/>
  <c r="V562" i="19" s="1"/>
  <c r="V588" i="19"/>
  <c r="C598" i="19"/>
  <c r="U598" i="19"/>
  <c r="Q598" i="19" s="1"/>
  <c r="V598" i="19" s="1"/>
  <c r="J149" i="19"/>
  <c r="C198" i="19"/>
  <c r="J227" i="19"/>
  <c r="J257" i="19"/>
  <c r="V257" i="19" s="1"/>
  <c r="J269" i="19"/>
  <c r="V269" i="19" s="1"/>
  <c r="C285" i="19"/>
  <c r="V285" i="19" s="1"/>
  <c r="V321" i="19"/>
  <c r="V343" i="19"/>
  <c r="V408" i="19"/>
  <c r="V444" i="19"/>
  <c r="V456" i="19"/>
  <c r="V480" i="19"/>
  <c r="V492" i="19"/>
  <c r="V574" i="19"/>
  <c r="V578" i="19"/>
  <c r="V667" i="19"/>
  <c r="U134" i="19"/>
  <c r="Q134" i="19" s="1"/>
  <c r="V134" i="19" s="1"/>
  <c r="C142" i="19"/>
  <c r="J179" i="19"/>
  <c r="J209" i="19"/>
  <c r="U216" i="19"/>
  <c r="Q216" i="19" s="1"/>
  <c r="V216" i="19" s="1"/>
  <c r="U242" i="19"/>
  <c r="Q242" i="19" s="1"/>
  <c r="C250" i="19"/>
  <c r="C267" i="19"/>
  <c r="C270" i="19"/>
  <c r="V270" i="19" s="1"/>
  <c r="U280" i="19"/>
  <c r="Q280" i="19" s="1"/>
  <c r="V280" i="19" s="1"/>
  <c r="J281" i="19"/>
  <c r="V281" i="19" s="1"/>
  <c r="C282" i="19"/>
  <c r="U293" i="19"/>
  <c r="Q293" i="19" s="1"/>
  <c r="C303" i="19"/>
  <c r="C308" i="19"/>
  <c r="V308" i="19" s="1"/>
  <c r="C310" i="19"/>
  <c r="V310" i="19" s="1"/>
  <c r="J314" i="19"/>
  <c r="C336" i="19"/>
  <c r="V347" i="19"/>
  <c r="J358" i="19"/>
  <c r="V398" i="19"/>
  <c r="V706" i="19"/>
  <c r="V708" i="19"/>
  <c r="J131" i="19"/>
  <c r="V131" i="19" s="1"/>
  <c r="C224" i="19"/>
  <c r="J239" i="19"/>
  <c r="V239" i="19" s="1"/>
  <c r="J275" i="19"/>
  <c r="V275" i="19" s="1"/>
  <c r="U290" i="19"/>
  <c r="Q290" i="19" s="1"/>
  <c r="V290" i="19" s="1"/>
  <c r="C295" i="19"/>
  <c r="C305" i="19"/>
  <c r="J319" i="19"/>
  <c r="C334" i="19"/>
  <c r="V357" i="19"/>
  <c r="V369" i="19"/>
  <c r="V517" i="19"/>
  <c r="V524" i="19"/>
  <c r="V547" i="19"/>
  <c r="V560" i="19"/>
  <c r="V583" i="19"/>
  <c r="V636" i="19"/>
  <c r="V665" i="19"/>
  <c r="C137" i="19"/>
  <c r="J161" i="19"/>
  <c r="V161" i="19" s="1"/>
  <c r="C193" i="19"/>
  <c r="V193" i="19" s="1"/>
  <c r="U211" i="19"/>
  <c r="Q211" i="19" s="1"/>
  <c r="V211" i="19" s="1"/>
  <c r="C219" i="19"/>
  <c r="V219" i="19" s="1"/>
  <c r="C245" i="19"/>
  <c r="U295" i="19"/>
  <c r="Q295" i="19" s="1"/>
  <c r="V295" i="19" s="1"/>
  <c r="C300" i="19"/>
  <c r="J309" i="19"/>
  <c r="J311" i="19"/>
  <c r="V322" i="19"/>
  <c r="V328" i="19"/>
  <c r="V349" i="19"/>
  <c r="V365" i="19"/>
  <c r="J374" i="19"/>
  <c r="V374" i="19" s="1"/>
  <c r="V445" i="19"/>
  <c r="V481" i="19"/>
  <c r="V511" i="19"/>
  <c r="V615" i="19"/>
  <c r="V711" i="19"/>
  <c r="V713" i="19"/>
  <c r="J326" i="19"/>
  <c r="V326" i="19" s="1"/>
  <c r="J329" i="19"/>
  <c r="V329" i="19" s="1"/>
  <c r="J332" i="19"/>
  <c r="C354" i="19"/>
  <c r="V354" i="19" s="1"/>
  <c r="J363" i="19"/>
  <c r="C378" i="19"/>
  <c r="V378" i="19" s="1"/>
  <c r="J388" i="19"/>
  <c r="V389" i="19"/>
  <c r="J390" i="19"/>
  <c r="V390" i="19" s="1"/>
  <c r="J406" i="19"/>
  <c r="V406" i="19" s="1"/>
  <c r="V410" i="19"/>
  <c r="J424" i="19"/>
  <c r="V424" i="19" s="1"/>
  <c r="C425" i="19"/>
  <c r="J426" i="19"/>
  <c r="J442" i="19"/>
  <c r="V446" i="19"/>
  <c r="C450" i="19"/>
  <c r="J460" i="19"/>
  <c r="V460" i="19" s="1"/>
  <c r="C461" i="19"/>
  <c r="V461" i="19" s="1"/>
  <c r="J462" i="19"/>
  <c r="V462" i="19" s="1"/>
  <c r="J478" i="19"/>
  <c r="V478" i="19" s="1"/>
  <c r="V482" i="19"/>
  <c r="J496" i="19"/>
  <c r="J498" i="19"/>
  <c r="J514" i="19"/>
  <c r="V518" i="19"/>
  <c r="V520" i="19"/>
  <c r="J532" i="19"/>
  <c r="V532" i="19" s="1"/>
  <c r="C533" i="19"/>
  <c r="J534" i="19"/>
  <c r="V534" i="19" s="1"/>
  <c r="J550" i="19"/>
  <c r="V554" i="19"/>
  <c r="J568" i="19"/>
  <c r="C569" i="19"/>
  <c r="J570" i="19"/>
  <c r="V570" i="19" s="1"/>
  <c r="J586" i="19"/>
  <c r="V586" i="19" s="1"/>
  <c r="V590" i="19"/>
  <c r="C663" i="19"/>
  <c r="V678" i="19"/>
  <c r="U731" i="19"/>
  <c r="Q731" i="19" s="1"/>
  <c r="V731" i="19" s="1"/>
  <c r="J807" i="19"/>
  <c r="V807" i="19" s="1"/>
  <c r="J337" i="19"/>
  <c r="V337" i="19" s="1"/>
  <c r="V344" i="19"/>
  <c r="C349" i="19"/>
  <c r="J350" i="19"/>
  <c r="V350" i="19" s="1"/>
  <c r="C364" i="19"/>
  <c r="J365" i="19"/>
  <c r="V385" i="19"/>
  <c r="C389" i="19"/>
  <c r="J392" i="19"/>
  <c r="V405" i="19"/>
  <c r="V421" i="19"/>
  <c r="J428" i="19"/>
  <c r="V441" i="19"/>
  <c r="V455" i="19"/>
  <c r="V457" i="19"/>
  <c r="V493" i="19"/>
  <c r="C497" i="19"/>
  <c r="V513" i="19"/>
  <c r="V515" i="19"/>
  <c r="V529" i="19"/>
  <c r="V565" i="19"/>
  <c r="V587" i="19"/>
  <c r="V599" i="19"/>
  <c r="V601" i="19"/>
  <c r="V603" i="19"/>
  <c r="V622" i="19"/>
  <c r="J627" i="19"/>
  <c r="V627" i="19" s="1"/>
  <c r="J681" i="19"/>
  <c r="J322" i="19"/>
  <c r="C330" i="19"/>
  <c r="V330" i="19" s="1"/>
  <c r="J334" i="19"/>
  <c r="V334" i="19" s="1"/>
  <c r="U346" i="19"/>
  <c r="Q346" i="19" s="1"/>
  <c r="J355" i="19"/>
  <c r="V355" i="19" s="1"/>
  <c r="V362" i="19"/>
  <c r="J379" i="19"/>
  <c r="C409" i="19"/>
  <c r="V409" i="19" s="1"/>
  <c r="J415" i="19"/>
  <c r="C445" i="19"/>
  <c r="J451" i="19"/>
  <c r="V451" i="19" s="1"/>
  <c r="C481" i="19"/>
  <c r="J487" i="19"/>
  <c r="C517" i="19"/>
  <c r="J523" i="19"/>
  <c r="V523" i="19" s="1"/>
  <c r="C553" i="19"/>
  <c r="V553" i="19" s="1"/>
  <c r="J559" i="19"/>
  <c r="V559" i="19" s="1"/>
  <c r="C589" i="19"/>
  <c r="V589" i="19" s="1"/>
  <c r="J595" i="19"/>
  <c r="V595" i="19" s="1"/>
  <c r="V635" i="19"/>
  <c r="J640" i="19"/>
  <c r="C654" i="19"/>
  <c r="V654" i="19" s="1"/>
  <c r="J726" i="19"/>
  <c r="C343" i="19"/>
  <c r="J349" i="19"/>
  <c r="U358" i="19"/>
  <c r="Q358" i="19" s="1"/>
  <c r="V358" i="19" s="1"/>
  <c r="J359" i="19"/>
  <c r="V359" i="19" s="1"/>
  <c r="J364" i="19"/>
  <c r="V364" i="19" s="1"/>
  <c r="C370" i="19"/>
  <c r="U370" i="19"/>
  <c r="Q370" i="19" s="1"/>
  <c r="V370" i="19" s="1"/>
  <c r="J371" i="19"/>
  <c r="J389" i="19"/>
  <c r="C397" i="19"/>
  <c r="U397" i="19"/>
  <c r="Q397" i="19" s="1"/>
  <c r="J398" i="19"/>
  <c r="J405" i="19"/>
  <c r="J412" i="19"/>
  <c r="V412" i="19" s="1"/>
  <c r="U413" i="19"/>
  <c r="Q413" i="19" s="1"/>
  <c r="V413" i="19" s="1"/>
  <c r="J425" i="19"/>
  <c r="V425" i="19" s="1"/>
  <c r="C433" i="19"/>
  <c r="U433" i="19"/>
  <c r="Q433" i="19" s="1"/>
  <c r="J434" i="19"/>
  <c r="V434" i="19" s="1"/>
  <c r="J441" i="19"/>
  <c r="J448" i="19"/>
  <c r="V448" i="19" s="1"/>
  <c r="U449" i="19"/>
  <c r="Q449" i="19" s="1"/>
  <c r="V449" i="19" s="1"/>
  <c r="J459" i="19"/>
  <c r="J461" i="19"/>
  <c r="C469" i="19"/>
  <c r="U469" i="19"/>
  <c r="Q469" i="19" s="1"/>
  <c r="V469" i="19" s="1"/>
  <c r="J470" i="19"/>
  <c r="V470" i="19" s="1"/>
  <c r="J477" i="19"/>
  <c r="V477" i="19" s="1"/>
  <c r="J484" i="19"/>
  <c r="V484" i="19" s="1"/>
  <c r="U485" i="19"/>
  <c r="Q485" i="19" s="1"/>
  <c r="V485" i="19" s="1"/>
  <c r="J497" i="19"/>
  <c r="V497" i="19" s="1"/>
  <c r="C505" i="19"/>
  <c r="U505" i="19"/>
  <c r="Q505" i="19" s="1"/>
  <c r="V505" i="19" s="1"/>
  <c r="J506" i="19"/>
  <c r="V506" i="19" s="1"/>
  <c r="J513" i="19"/>
  <c r="J520" i="19"/>
  <c r="U521" i="19"/>
  <c r="Q521" i="19" s="1"/>
  <c r="J533" i="19"/>
  <c r="V533" i="19" s="1"/>
  <c r="C541" i="19"/>
  <c r="U541" i="19"/>
  <c r="Q541" i="19" s="1"/>
  <c r="V541" i="19" s="1"/>
  <c r="J542" i="19"/>
  <c r="V542" i="19" s="1"/>
  <c r="J549" i="19"/>
  <c r="V549" i="19" s="1"/>
  <c r="J556" i="19"/>
  <c r="V556" i="19" s="1"/>
  <c r="U557" i="19"/>
  <c r="Q557" i="19" s="1"/>
  <c r="J569" i="19"/>
  <c r="V569" i="19" s="1"/>
  <c r="C577" i="19"/>
  <c r="U577" i="19"/>
  <c r="Q577" i="19" s="1"/>
  <c r="J578" i="19"/>
  <c r="C579" i="19"/>
  <c r="J585" i="19"/>
  <c r="V585" i="19" s="1"/>
  <c r="J592" i="19"/>
  <c r="V592" i="19" s="1"/>
  <c r="U593" i="19"/>
  <c r="Q593" i="19" s="1"/>
  <c r="V593" i="19" s="1"/>
  <c r="C617" i="19"/>
  <c r="U617" i="19"/>
  <c r="Q617" i="19" s="1"/>
  <c r="V619" i="19"/>
  <c r="C623" i="19"/>
  <c r="C636" i="19"/>
  <c r="J663" i="19"/>
  <c r="V663" i="19" s="1"/>
  <c r="V701" i="19"/>
  <c r="C707" i="19"/>
  <c r="J716" i="19"/>
  <c r="V716" i="19" s="1"/>
  <c r="V732" i="19"/>
  <c r="C748" i="19"/>
  <c r="V803" i="19"/>
  <c r="J299" i="19"/>
  <c r="J317" i="19"/>
  <c r="V317" i="19" s="1"/>
  <c r="J333" i="19"/>
  <c r="C342" i="19"/>
  <c r="J346" i="19"/>
  <c r="C372" i="19"/>
  <c r="V372" i="19" s="1"/>
  <c r="J391" i="19"/>
  <c r="V391" i="19" s="1"/>
  <c r="C399" i="19"/>
  <c r="V399" i="19" s="1"/>
  <c r="C413" i="19"/>
  <c r="J427" i="19"/>
  <c r="V431" i="19"/>
  <c r="C435" i="19"/>
  <c r="C449" i="19"/>
  <c r="J463" i="19"/>
  <c r="V463" i="19" s="1"/>
  <c r="V467" i="19"/>
  <c r="C471" i="19"/>
  <c r="V471" i="19" s="1"/>
  <c r="C485" i="19"/>
  <c r="J499" i="19"/>
  <c r="V499" i="19" s="1"/>
  <c r="V503" i="19"/>
  <c r="C507" i="19"/>
  <c r="V507" i="19" s="1"/>
  <c r="C521" i="19"/>
  <c r="J535" i="19"/>
  <c r="V539" i="19"/>
  <c r="C543" i="19"/>
  <c r="C557" i="19"/>
  <c r="J571" i="19"/>
  <c r="C593" i="19"/>
  <c r="V625" i="19"/>
  <c r="V630" i="19"/>
  <c r="V632" i="19"/>
  <c r="U649" i="19"/>
  <c r="Q649" i="19" s="1"/>
  <c r="V649" i="19" s="1"/>
  <c r="V677" i="19"/>
  <c r="C681" i="19"/>
  <c r="V689" i="19"/>
  <c r="V695" i="19"/>
  <c r="J725" i="19"/>
  <c r="V758" i="19"/>
  <c r="J327" i="19"/>
  <c r="J338" i="19"/>
  <c r="V338" i="19" s="1"/>
  <c r="J351" i="19"/>
  <c r="V351" i="19" s="1"/>
  <c r="C360" i="19"/>
  <c r="V360" i="19" s="1"/>
  <c r="J380" i="19"/>
  <c r="V380" i="19" s="1"/>
  <c r="C392" i="19"/>
  <c r="U392" i="19"/>
  <c r="Q392" i="19" s="1"/>
  <c r="V392" i="19" s="1"/>
  <c r="J393" i="19"/>
  <c r="J402" i="19"/>
  <c r="V411" i="19"/>
  <c r="J416" i="19"/>
  <c r="V416" i="19" s="1"/>
  <c r="C428" i="19"/>
  <c r="U428" i="19"/>
  <c r="Q428" i="19" s="1"/>
  <c r="J429" i="19"/>
  <c r="J438" i="19"/>
  <c r="V438" i="19" s="1"/>
  <c r="V447" i="19"/>
  <c r="J452" i="19"/>
  <c r="V452" i="19" s="1"/>
  <c r="C464" i="19"/>
  <c r="U464" i="19"/>
  <c r="Q464" i="19" s="1"/>
  <c r="V464" i="19" s="1"/>
  <c r="J465" i="19"/>
  <c r="J474" i="19"/>
  <c r="V483" i="19"/>
  <c r="J488" i="19"/>
  <c r="V488" i="19" s="1"/>
  <c r="C500" i="19"/>
  <c r="U500" i="19"/>
  <c r="Q500" i="19" s="1"/>
  <c r="J501" i="19"/>
  <c r="V519" i="19"/>
  <c r="J524" i="19"/>
  <c r="C536" i="19"/>
  <c r="U536" i="19"/>
  <c r="Q536" i="19" s="1"/>
  <c r="J537" i="19"/>
  <c r="V537" i="19" s="1"/>
  <c r="V555" i="19"/>
  <c r="J560" i="19"/>
  <c r="C572" i="19"/>
  <c r="U572" i="19"/>
  <c r="Q572" i="19" s="1"/>
  <c r="J573" i="19"/>
  <c r="V573" i="19" s="1"/>
  <c r="C574" i="19"/>
  <c r="V591" i="19"/>
  <c r="J596" i="19"/>
  <c r="V596" i="19" s="1"/>
  <c r="C612" i="19"/>
  <c r="V612" i="19" s="1"/>
  <c r="C642" i="19"/>
  <c r="V687" i="19"/>
  <c r="V699" i="19"/>
  <c r="V705" i="19"/>
  <c r="V717" i="19"/>
  <c r="V332" i="19"/>
  <c r="J335" i="19"/>
  <c r="V335" i="19" s="1"/>
  <c r="J343" i="19"/>
  <c r="J356" i="19"/>
  <c r="V356" i="19" s="1"/>
  <c r="J373" i="19"/>
  <c r="V373" i="19" s="1"/>
  <c r="C379" i="19"/>
  <c r="V379" i="19" s="1"/>
  <c r="J382" i="19"/>
  <c r="V388" i="19"/>
  <c r="J400" i="19"/>
  <c r="V401" i="19"/>
  <c r="J418" i="19"/>
  <c r="V426" i="19"/>
  <c r="C430" i="19"/>
  <c r="V430" i="19" s="1"/>
  <c r="J436" i="19"/>
  <c r="V436" i="19" s="1"/>
  <c r="V437" i="19"/>
  <c r="V442" i="19"/>
  <c r="J454" i="19"/>
  <c r="V454" i="19" s="1"/>
  <c r="C466" i="19"/>
  <c r="V466" i="19" s="1"/>
  <c r="J472" i="19"/>
  <c r="V473" i="19"/>
  <c r="V487" i="19"/>
  <c r="V496" i="19"/>
  <c r="V498" i="19"/>
  <c r="C502" i="19"/>
  <c r="V502" i="19" s="1"/>
  <c r="J508" i="19"/>
  <c r="V514" i="19"/>
  <c r="C538" i="19"/>
  <c r="V538" i="19" s="1"/>
  <c r="J544" i="19"/>
  <c r="V544" i="19" s="1"/>
  <c r="V545" i="19"/>
  <c r="V550" i="19"/>
  <c r="V568" i="19"/>
  <c r="J580" i="19"/>
  <c r="V608" i="19"/>
  <c r="V623" i="19"/>
  <c r="J628" i="19"/>
  <c r="V647" i="19"/>
  <c r="V662" i="19"/>
  <c r="V712" i="19"/>
  <c r="V760" i="19"/>
  <c r="J323" i="19"/>
  <c r="C337" i="19"/>
  <c r="J340" i="19"/>
  <c r="V340" i="19" s="1"/>
  <c r="U352" i="19"/>
  <c r="Q352" i="19" s="1"/>
  <c r="J361" i="19"/>
  <c r="V361" i="19" s="1"/>
  <c r="J368" i="19"/>
  <c r="V368" i="19" s="1"/>
  <c r="J375" i="19"/>
  <c r="V375" i="19" s="1"/>
  <c r="J384" i="19"/>
  <c r="V384" i="19" s="1"/>
  <c r="C415" i="19"/>
  <c r="V415" i="19" s="1"/>
  <c r="J420" i="19"/>
  <c r="V420" i="19" s="1"/>
  <c r="J456" i="19"/>
  <c r="J492" i="19"/>
  <c r="J528" i="19"/>
  <c r="V528" i="19" s="1"/>
  <c r="J645" i="19"/>
  <c r="V653" i="19"/>
  <c r="C672" i="19"/>
  <c r="V680" i="19"/>
  <c r="V698" i="19"/>
  <c r="J738" i="19"/>
  <c r="V747" i="19"/>
  <c r="J401" i="19"/>
  <c r="J437" i="19"/>
  <c r="J473" i="19"/>
  <c r="J509" i="19"/>
  <c r="V509" i="19" s="1"/>
  <c r="J545" i="19"/>
  <c r="J581" i="19"/>
  <c r="V581" i="19" s="1"/>
  <c r="C606" i="19"/>
  <c r="V606" i="19" s="1"/>
  <c r="V609" i="19"/>
  <c r="J619" i="19"/>
  <c r="J622" i="19"/>
  <c r="J633" i="19"/>
  <c r="V633" i="19" s="1"/>
  <c r="C637" i="19"/>
  <c r="U637" i="19"/>
  <c r="Q637" i="19" s="1"/>
  <c r="V637" i="19" s="1"/>
  <c r="J651" i="19"/>
  <c r="V651" i="19" s="1"/>
  <c r="C655" i="19"/>
  <c r="U655" i="19"/>
  <c r="Q655" i="19" s="1"/>
  <c r="V655" i="19" s="1"/>
  <c r="J669" i="19"/>
  <c r="C673" i="19"/>
  <c r="U673" i="19"/>
  <c r="Q673" i="19" s="1"/>
  <c r="V673" i="19" s="1"/>
  <c r="C675" i="19"/>
  <c r="V675" i="19" s="1"/>
  <c r="C682" i="19"/>
  <c r="V682" i="19" s="1"/>
  <c r="J689" i="19"/>
  <c r="J696" i="19"/>
  <c r="V696" i="19" s="1"/>
  <c r="U697" i="19"/>
  <c r="Q697" i="19" s="1"/>
  <c r="V697" i="19" s="1"/>
  <c r="C699" i="19"/>
  <c r="U704" i="19"/>
  <c r="Q704" i="19" s="1"/>
  <c r="V704" i="19" s="1"/>
  <c r="C706" i="19"/>
  <c r="C708" i="19"/>
  <c r="J712" i="19"/>
  <c r="C723" i="19"/>
  <c r="V723" i="19" s="1"/>
  <c r="C739" i="19"/>
  <c r="V739" i="19" s="1"/>
  <c r="C741" i="19"/>
  <c r="V741" i="19" s="1"/>
  <c r="V752" i="19"/>
  <c r="V767" i="19"/>
  <c r="J778" i="19"/>
  <c r="V778" i="19" s="1"/>
  <c r="V814" i="19"/>
  <c r="V856" i="19"/>
  <c r="V879" i="19"/>
  <c r="V899" i="19"/>
  <c r="V928" i="19"/>
  <c r="V955" i="19"/>
  <c r="V957" i="19"/>
  <c r="V971" i="19"/>
  <c r="V991" i="19"/>
  <c r="V995" i="19"/>
  <c r="J613" i="19"/>
  <c r="V613" i="19" s="1"/>
  <c r="J616" i="19"/>
  <c r="J643" i="19"/>
  <c r="J661" i="19"/>
  <c r="C677" i="19"/>
  <c r="C687" i="19"/>
  <c r="J717" i="19"/>
  <c r="C736" i="19"/>
  <c r="V736" i="19" s="1"/>
  <c r="U743" i="19"/>
  <c r="Q743" i="19" s="1"/>
  <c r="V743" i="19" s="1"/>
  <c r="V748" i="19"/>
  <c r="V761" i="19"/>
  <c r="V763" i="19"/>
  <c r="V779" i="19"/>
  <c r="C798" i="19"/>
  <c r="J395" i="19"/>
  <c r="V395" i="19" s="1"/>
  <c r="J431" i="19"/>
  <c r="J467" i="19"/>
  <c r="J503" i="19"/>
  <c r="J539" i="19"/>
  <c r="J575" i="19"/>
  <c r="V575" i="19" s="1"/>
  <c r="J607" i="19"/>
  <c r="V607" i="19" s="1"/>
  <c r="J610" i="19"/>
  <c r="C634" i="19"/>
  <c r="U634" i="19"/>
  <c r="Q634" i="19" s="1"/>
  <c r="J635" i="19"/>
  <c r="C652" i="19"/>
  <c r="U652" i="19"/>
  <c r="Q652" i="19" s="1"/>
  <c r="V652" i="19" s="1"/>
  <c r="J653" i="19"/>
  <c r="V657" i="19"/>
  <c r="C670" i="19"/>
  <c r="U670" i="19"/>
  <c r="Q670" i="19" s="1"/>
  <c r="V670" i="19" s="1"/>
  <c r="J671" i="19"/>
  <c r="V671" i="19" s="1"/>
  <c r="J676" i="19"/>
  <c r="J691" i="19"/>
  <c r="V691" i="19" s="1"/>
  <c r="C703" i="19"/>
  <c r="J707" i="19"/>
  <c r="J724" i="19"/>
  <c r="J728" i="19"/>
  <c r="J735" i="19"/>
  <c r="V735" i="19" s="1"/>
  <c r="V785" i="19"/>
  <c r="C804" i="19"/>
  <c r="V804" i="19" s="1"/>
  <c r="V810" i="19"/>
  <c r="C824" i="19"/>
  <c r="J383" i="19"/>
  <c r="V383" i="19" s="1"/>
  <c r="J419" i="19"/>
  <c r="V419" i="19" s="1"/>
  <c r="J455" i="19"/>
  <c r="J491" i="19"/>
  <c r="V491" i="19" s="1"/>
  <c r="J527" i="19"/>
  <c r="J563" i="19"/>
  <c r="J599" i="19"/>
  <c r="J609" i="19"/>
  <c r="C619" i="19"/>
  <c r="U628" i="19"/>
  <c r="Q628" i="19" s="1"/>
  <c r="V628" i="19" s="1"/>
  <c r="J629" i="19"/>
  <c r="V629" i="19" s="1"/>
  <c r="C646" i="19"/>
  <c r="U646" i="19"/>
  <c r="Q646" i="19" s="1"/>
  <c r="V646" i="19" s="1"/>
  <c r="J647" i="19"/>
  <c r="C664" i="19"/>
  <c r="U664" i="19"/>
  <c r="Q664" i="19" s="1"/>
  <c r="J665" i="19"/>
  <c r="V669" i="19"/>
  <c r="C689" i="19"/>
  <c r="J711" i="19"/>
  <c r="U722" i="19"/>
  <c r="Q722" i="19" s="1"/>
  <c r="V722" i="19" s="1"/>
  <c r="V793" i="19"/>
  <c r="J814" i="19"/>
  <c r="J603" i="19"/>
  <c r="V616" i="19"/>
  <c r="J623" i="19"/>
  <c r="C630" i="19"/>
  <c r="C648" i="19"/>
  <c r="V648" i="19" s="1"/>
  <c r="C666" i="19"/>
  <c r="V676" i="19"/>
  <c r="V679" i="19"/>
  <c r="V681" i="19"/>
  <c r="V684" i="19"/>
  <c r="J706" i="19"/>
  <c r="V707" i="19"/>
  <c r="V733" i="19"/>
  <c r="C755" i="19"/>
  <c r="V755" i="19" s="1"/>
  <c r="V766" i="19"/>
  <c r="V776" i="19"/>
  <c r="V801" i="19"/>
  <c r="V823" i="19"/>
  <c r="J413" i="19"/>
  <c r="J449" i="19"/>
  <c r="J485" i="19"/>
  <c r="J521" i="19"/>
  <c r="J557" i="19"/>
  <c r="J593" i="19"/>
  <c r="C607" i="19"/>
  <c r="C613" i="19"/>
  <c r="J617" i="19"/>
  <c r="J639" i="19"/>
  <c r="V639" i="19" s="1"/>
  <c r="C643" i="19"/>
  <c r="V643" i="19"/>
  <c r="J657" i="19"/>
  <c r="C661" i="19"/>
  <c r="V661" i="19"/>
  <c r="J675" i="19"/>
  <c r="C693" i="19"/>
  <c r="J727" i="19"/>
  <c r="V727" i="19" s="1"/>
  <c r="V728" i="19"/>
  <c r="V738" i="19"/>
  <c r="V744" i="19"/>
  <c r="V746" i="19"/>
  <c r="V759" i="19"/>
  <c r="V774" i="19"/>
  <c r="C788" i="19"/>
  <c r="J789" i="19"/>
  <c r="U610" i="19"/>
  <c r="Q610" i="19" s="1"/>
  <c r="J611" i="19"/>
  <c r="C624" i="19"/>
  <c r="V624" i="19" s="1"/>
  <c r="J631" i="19"/>
  <c r="J649" i="19"/>
  <c r="J667" i="19"/>
  <c r="V674" i="19"/>
  <c r="C678" i="19"/>
  <c r="U693" i="19"/>
  <c r="Q693" i="19" s="1"/>
  <c r="J701" i="19"/>
  <c r="C709" i="19"/>
  <c r="J715" i="19"/>
  <c r="V715" i="19" s="1"/>
  <c r="J720" i="19"/>
  <c r="V720" i="19" s="1"/>
  <c r="C724" i="19"/>
  <c r="U724" i="19"/>
  <c r="Q724" i="19" s="1"/>
  <c r="V724" i="19" s="1"/>
  <c r="V726" i="19"/>
  <c r="C728" i="19"/>
  <c r="C730" i="19"/>
  <c r="V730" i="19" s="1"/>
  <c r="J743" i="19"/>
  <c r="C744" i="19"/>
  <c r="J751" i="19"/>
  <c r="V751" i="19" s="1"/>
  <c r="V786" i="19"/>
  <c r="V796" i="19"/>
  <c r="J407" i="19"/>
  <c r="V407" i="19" s="1"/>
  <c r="J443" i="19"/>
  <c r="V443" i="19" s="1"/>
  <c r="J479" i="19"/>
  <c r="V479" i="19" s="1"/>
  <c r="J515" i="19"/>
  <c r="J551" i="19"/>
  <c r="V551" i="19" s="1"/>
  <c r="J587" i="19"/>
  <c r="U604" i="19"/>
  <c r="Q604" i="19" s="1"/>
  <c r="V604" i="19" s="1"/>
  <c r="J605" i="19"/>
  <c r="V605" i="19" s="1"/>
  <c r="C618" i="19"/>
  <c r="V621" i="19"/>
  <c r="C640" i="19"/>
  <c r="U640" i="19"/>
  <c r="Q640" i="19" s="1"/>
  <c r="V640" i="19" s="1"/>
  <c r="J641" i="19"/>
  <c r="V641" i="19" s="1"/>
  <c r="V645" i="19"/>
  <c r="C658" i="19"/>
  <c r="U658" i="19"/>
  <c r="Q658" i="19" s="1"/>
  <c r="J659" i="19"/>
  <c r="V659" i="19" s="1"/>
  <c r="C683" i="19"/>
  <c r="U683" i="19"/>
  <c r="Q683" i="19" s="1"/>
  <c r="V683" i="19" s="1"/>
  <c r="C688" i="19"/>
  <c r="V688" i="19" s="1"/>
  <c r="J694" i="19"/>
  <c r="V694" i="19" s="1"/>
  <c r="U702" i="19"/>
  <c r="Q702" i="19" s="1"/>
  <c r="V702" i="19" s="1"/>
  <c r="U709" i="19"/>
  <c r="Q709" i="19" s="1"/>
  <c r="V709" i="19" s="1"/>
  <c r="C711" i="19"/>
  <c r="C718" i="19"/>
  <c r="V718" i="19" s="1"/>
  <c r="V742" i="19"/>
  <c r="V750" i="19"/>
  <c r="C780" i="19"/>
  <c r="J710" i="19"/>
  <c r="V710" i="19" s="1"/>
  <c r="C731" i="19"/>
  <c r="U740" i="19"/>
  <c r="Q740" i="19" s="1"/>
  <c r="V740" i="19" s="1"/>
  <c r="J748" i="19"/>
  <c r="J756" i="19"/>
  <c r="V770" i="19"/>
  <c r="V772" i="19"/>
  <c r="V777" i="19"/>
  <c r="C779" i="19"/>
  <c r="J780" i="19"/>
  <c r="V780" i="19" s="1"/>
  <c r="V795" i="19"/>
  <c r="C797" i="19"/>
  <c r="J798" i="19"/>
  <c r="V798" i="19" s="1"/>
  <c r="V813" i="19"/>
  <c r="C815" i="19"/>
  <c r="J816" i="19"/>
  <c r="V826" i="19"/>
  <c r="V850" i="19"/>
  <c r="V873" i="19"/>
  <c r="V877" i="19"/>
  <c r="V893" i="19"/>
  <c r="V945" i="19"/>
  <c r="V949" i="19"/>
  <c r="V951" i="19"/>
  <c r="V965" i="19"/>
  <c r="V978" i="19"/>
  <c r="C743" i="19"/>
  <c r="J753" i="19"/>
  <c r="V753" i="19" s="1"/>
  <c r="J761" i="19"/>
  <c r="J773" i="19"/>
  <c r="V773" i="19" s="1"/>
  <c r="J782" i="19"/>
  <c r="J791" i="19"/>
  <c r="J800" i="19"/>
  <c r="J809" i="19"/>
  <c r="J818" i="19"/>
  <c r="V818" i="19" s="1"/>
  <c r="J827" i="19"/>
  <c r="V827" i="19" s="1"/>
  <c r="V834" i="19"/>
  <c r="V844" i="19"/>
  <c r="V867" i="19"/>
  <c r="V871" i="19"/>
  <c r="V887" i="19"/>
  <c r="V906" i="19"/>
  <c r="V916" i="19"/>
  <c r="V920" i="19"/>
  <c r="V939" i="19"/>
  <c r="V943" i="19"/>
  <c r="V959" i="19"/>
  <c r="V976" i="19"/>
  <c r="V980" i="19"/>
  <c r="V987" i="19"/>
  <c r="C725" i="19"/>
  <c r="U734" i="19"/>
  <c r="Q734" i="19" s="1"/>
  <c r="V734" i="19" s="1"/>
  <c r="J740" i="19"/>
  <c r="J765" i="19"/>
  <c r="J770" i="19"/>
  <c r="J779" i="19"/>
  <c r="C787" i="19"/>
  <c r="V787" i="19" s="1"/>
  <c r="J788" i="19"/>
  <c r="V788" i="19" s="1"/>
  <c r="J797" i="19"/>
  <c r="V797" i="19" s="1"/>
  <c r="C805" i="19"/>
  <c r="V805" i="19" s="1"/>
  <c r="J806" i="19"/>
  <c r="V806" i="19" s="1"/>
  <c r="J815" i="19"/>
  <c r="V815" i="19" s="1"/>
  <c r="C823" i="19"/>
  <c r="J824" i="19"/>
  <c r="V824" i="19" s="1"/>
  <c r="V841" i="19"/>
  <c r="V843" i="19"/>
  <c r="V847" i="19"/>
  <c r="V863" i="19"/>
  <c r="V882" i="19"/>
  <c r="V892" i="19"/>
  <c r="V896" i="19"/>
  <c r="V915" i="19"/>
  <c r="V935" i="19"/>
  <c r="V954" i="19"/>
  <c r="V964" i="19"/>
  <c r="V968" i="19"/>
  <c r="V981" i="19"/>
  <c r="V990" i="19"/>
  <c r="J692" i="19"/>
  <c r="J752" i="19"/>
  <c r="J760" i="19"/>
  <c r="V764" i="19"/>
  <c r="J772" i="19"/>
  <c r="J790" i="19"/>
  <c r="V790" i="19" s="1"/>
  <c r="J808" i="19"/>
  <c r="V808" i="19" s="1"/>
  <c r="J826" i="19"/>
  <c r="V835" i="19"/>
  <c r="V837" i="19"/>
  <c r="V876" i="19"/>
  <c r="V886" i="19"/>
  <c r="V890" i="19"/>
  <c r="V909" i="19"/>
  <c r="V913" i="19"/>
  <c r="V948" i="19"/>
  <c r="V958" i="19"/>
  <c r="V962" i="19"/>
  <c r="V979" i="19"/>
  <c r="C737" i="19"/>
  <c r="V737" i="19" s="1"/>
  <c r="J749" i="19"/>
  <c r="V749" i="19" s="1"/>
  <c r="J757" i="19"/>
  <c r="V757" i="19" s="1"/>
  <c r="J767" i="19"/>
  <c r="C782" i="19"/>
  <c r="J783" i="19"/>
  <c r="C800" i="19"/>
  <c r="J801" i="19"/>
  <c r="C818" i="19"/>
  <c r="J819" i="19"/>
  <c r="V819" i="19" s="1"/>
  <c r="C831" i="19"/>
  <c r="V831" i="19"/>
  <c r="V851" i="19"/>
  <c r="V870" i="19"/>
  <c r="V880" i="19"/>
  <c r="V884" i="19"/>
  <c r="V901" i="19"/>
  <c r="V903" i="19"/>
  <c r="V907" i="19"/>
  <c r="V923" i="19"/>
  <c r="V942" i="19"/>
  <c r="V952" i="19"/>
  <c r="V956" i="19"/>
  <c r="V988" i="19"/>
  <c r="V992" i="19"/>
  <c r="V999" i="19"/>
  <c r="J686" i="19"/>
  <c r="V686" i="19" s="1"/>
  <c r="J722" i="19"/>
  <c r="J746" i="19"/>
  <c r="C761" i="19"/>
  <c r="V771" i="19"/>
  <c r="C773" i="19"/>
  <c r="J774" i="19"/>
  <c r="V782" i="19"/>
  <c r="V784" i="19"/>
  <c r="V789" i="19"/>
  <c r="C791" i="19"/>
  <c r="V791" i="19" s="1"/>
  <c r="J792" i="19"/>
  <c r="V792" i="19" s="1"/>
  <c r="V800" i="19"/>
  <c r="V802" i="19"/>
  <c r="C809" i="19"/>
  <c r="V809" i="19" s="1"/>
  <c r="J810" i="19"/>
  <c r="V820" i="19"/>
  <c r="V825" i="19"/>
  <c r="C827" i="19"/>
  <c r="J828" i="19"/>
  <c r="V828" i="19" s="1"/>
  <c r="V845" i="19"/>
  <c r="V864" i="19"/>
  <c r="V874" i="19"/>
  <c r="V895" i="19"/>
  <c r="V897" i="19"/>
  <c r="V917" i="19"/>
  <c r="V936" i="19"/>
  <c r="V973" i="19"/>
  <c r="V997" i="19"/>
  <c r="J754" i="19"/>
  <c r="V754" i="19" s="1"/>
  <c r="V756" i="19"/>
  <c r="J762" i="19"/>
  <c r="V762" i="19" s="1"/>
  <c r="J769" i="19"/>
  <c r="V769" i="19" s="1"/>
  <c r="C775" i="19"/>
  <c r="V775" i="19" s="1"/>
  <c r="J776" i="19"/>
  <c r="J785" i="19"/>
  <c r="C793" i="19"/>
  <c r="J794" i="19"/>
  <c r="V794" i="19" s="1"/>
  <c r="J803" i="19"/>
  <c r="C811" i="19"/>
  <c r="V811" i="19" s="1"/>
  <c r="J812" i="19"/>
  <c r="V812" i="19" s="1"/>
  <c r="V816" i="19"/>
  <c r="J821" i="19"/>
  <c r="V821" i="19" s="1"/>
  <c r="C829" i="19"/>
  <c r="V829" i="19" s="1"/>
  <c r="V839" i="19"/>
  <c r="V858" i="19"/>
  <c r="V868" i="19"/>
  <c r="V872" i="19"/>
  <c r="V889" i="19"/>
  <c r="V891" i="19"/>
  <c r="V911" i="19"/>
  <c r="V930" i="19"/>
  <c r="V940" i="19"/>
  <c r="V944" i="19"/>
  <c r="V967" i="19"/>
  <c r="V969" i="19"/>
  <c r="V977" i="19"/>
  <c r="V984" i="19"/>
  <c r="AZ75" i="11" l="1"/>
  <c r="AZ91" i="11"/>
  <c r="R45" i="5"/>
  <c r="BI61" i="11"/>
  <c r="O47" i="5"/>
  <c r="G25" i="5"/>
  <c r="S4" i="5"/>
  <c r="J4" i="5"/>
  <c r="BI39" i="11"/>
  <c r="Q38" i="5"/>
  <c r="BI111" i="11"/>
  <c r="V33" i="5"/>
  <c r="W38" i="5"/>
  <c r="BF74" i="11"/>
  <c r="X39" i="5" s="1"/>
  <c r="BI3" i="11"/>
  <c r="AZ57" i="11"/>
  <c r="AZ73" i="11"/>
  <c r="BF114" i="11"/>
  <c r="O40" i="5"/>
  <c r="BI49" i="11"/>
  <c r="BI24" i="11"/>
  <c r="BI99" i="11"/>
  <c r="AZ93" i="11"/>
  <c r="AZ29" i="11"/>
  <c r="L17" i="5" s="1"/>
  <c r="AZ98" i="11"/>
  <c r="AZ90" i="11"/>
  <c r="M28" i="5"/>
  <c r="P19" i="5"/>
  <c r="F28" i="5"/>
  <c r="V28" i="5"/>
  <c r="P25" i="5"/>
  <c r="F42" i="5"/>
  <c r="BF23" i="11"/>
  <c r="BI108" i="11"/>
  <c r="M42" i="5"/>
  <c r="O31" i="5"/>
  <c r="AZ100" i="11"/>
  <c r="Q32" i="5"/>
  <c r="M25" i="5"/>
  <c r="AZ51" i="11"/>
  <c r="BI65" i="11"/>
  <c r="BI10" i="11"/>
  <c r="P32" i="5"/>
  <c r="S25" i="5"/>
  <c r="R32" i="5"/>
  <c r="G8" i="5"/>
  <c r="P42" i="5"/>
  <c r="N25" i="5"/>
  <c r="BF34" i="11"/>
  <c r="BI20" i="11"/>
  <c r="U28" i="5" s="1"/>
  <c r="AZ76" i="11"/>
  <c r="BI50" i="11"/>
  <c r="U22" i="5" s="1"/>
  <c r="BI35" i="11"/>
  <c r="R25" i="5"/>
  <c r="X15" i="5"/>
  <c r="AZ34" i="11"/>
  <c r="O23" i="5"/>
  <c r="AZ60" i="11"/>
  <c r="L13" i="5" s="1"/>
  <c r="G5" i="5"/>
  <c r="BI60" i="11"/>
  <c r="U13" i="5" s="1"/>
  <c r="P10" i="5"/>
  <c r="BI68" i="11"/>
  <c r="AZ118" i="11"/>
  <c r="BI27" i="11"/>
  <c r="U16" i="5" s="1"/>
  <c r="P39" i="5"/>
  <c r="H10" i="5"/>
  <c r="S36" i="5"/>
  <c r="I39" i="5"/>
  <c r="X3" i="5"/>
  <c r="AZ119" i="11"/>
  <c r="Q25" i="5"/>
  <c r="BF45" i="11"/>
  <c r="X42" i="5" s="1"/>
  <c r="BF29" i="11"/>
  <c r="F20" i="5"/>
  <c r="BI66" i="11"/>
  <c r="BF87" i="11"/>
  <c r="O49" i="5"/>
  <c r="BI71" i="11"/>
  <c r="U30" i="5" s="1"/>
  <c r="W9" i="5"/>
  <c r="S35" i="5"/>
  <c r="G36" i="5"/>
  <c r="BI73" i="11"/>
  <c r="AZ22" i="11"/>
  <c r="AZ7" i="11"/>
  <c r="H35" i="5"/>
  <c r="H44" i="5"/>
  <c r="W35" i="5"/>
  <c r="I35" i="5"/>
  <c r="M35" i="5"/>
  <c r="AZ70" i="11"/>
  <c r="P35" i="5"/>
  <c r="AZ61" i="11"/>
  <c r="BI62" i="11"/>
  <c r="AZ120" i="11"/>
  <c r="Y35" i="5"/>
  <c r="O27" i="5"/>
  <c r="BI85" i="11"/>
  <c r="BF57" i="11"/>
  <c r="P53" i="5"/>
  <c r="S50" i="5"/>
  <c r="AZ109" i="11"/>
  <c r="AZ77" i="11"/>
  <c r="BI45" i="11"/>
  <c r="BI98" i="11"/>
  <c r="BI77" i="11"/>
  <c r="M50" i="5"/>
  <c r="BI63" i="11"/>
  <c r="BI47" i="11"/>
  <c r="J50" i="5"/>
  <c r="F14" i="5"/>
  <c r="S5" i="5"/>
  <c r="BI113" i="11"/>
  <c r="AZ95" i="11"/>
  <c r="BI102" i="11"/>
  <c r="BI11" i="11"/>
  <c r="AZ16" i="11"/>
  <c r="BI37" i="11"/>
  <c r="Y3" i="5"/>
  <c r="H50" i="5"/>
  <c r="W50" i="5"/>
  <c r="F32" i="5"/>
  <c r="V25" i="5"/>
  <c r="G50" i="5"/>
  <c r="BI42" i="11"/>
  <c r="P50" i="5"/>
  <c r="S8" i="5"/>
  <c r="B4" i="2"/>
  <c r="C7" i="2" s="1"/>
  <c r="BI41" i="11"/>
  <c r="I8" i="5"/>
  <c r="M11" i="5"/>
  <c r="H11" i="5"/>
  <c r="O54" i="5"/>
  <c r="F8" i="5"/>
  <c r="G11" i="5"/>
  <c r="F47" i="5"/>
  <c r="O46" i="5"/>
  <c r="BI58" i="11"/>
  <c r="I47" i="5"/>
  <c r="R8" i="5"/>
  <c r="S11" i="5"/>
  <c r="BI17" i="11"/>
  <c r="Q10" i="5"/>
  <c r="BI97" i="11"/>
  <c r="AZ14" i="11"/>
  <c r="J30" i="5"/>
  <c r="Q11" i="5"/>
  <c r="I11" i="5"/>
  <c r="V11" i="5"/>
  <c r="F11" i="5"/>
  <c r="S47" i="5"/>
  <c r="R11" i="5"/>
  <c r="H47" i="5"/>
  <c r="I20" i="5"/>
  <c r="BI6" i="11"/>
  <c r="W47" i="5"/>
  <c r="P11" i="5"/>
  <c r="AZ103" i="11"/>
  <c r="BI44" i="11"/>
  <c r="BI69" i="11"/>
  <c r="BF5" i="11"/>
  <c r="X35" i="5" s="1"/>
  <c r="P47" i="5"/>
  <c r="S20" i="5"/>
  <c r="BF17" i="11"/>
  <c r="AZ102" i="11"/>
  <c r="BI118" i="11"/>
  <c r="AZ18" i="11"/>
  <c r="P41" i="5"/>
  <c r="S32" i="5"/>
  <c r="M4" i="5"/>
  <c r="O35" i="5"/>
  <c r="BI26" i="11"/>
  <c r="BI119" i="11"/>
  <c r="H32" i="5"/>
  <c r="I4" i="5"/>
  <c r="F4" i="5"/>
  <c r="H17" i="5"/>
  <c r="BI94" i="11"/>
  <c r="U31" i="5" s="1"/>
  <c r="AZ87" i="11"/>
  <c r="N4" i="5"/>
  <c r="Q42" i="5"/>
  <c r="R4" i="5"/>
  <c r="N42" i="5"/>
  <c r="W32" i="5"/>
  <c r="AZ67" i="11"/>
  <c r="J42" i="5"/>
  <c r="BI31" i="11"/>
  <c r="V42" i="5"/>
  <c r="M32" i="5"/>
  <c r="H4" i="5"/>
  <c r="R42" i="5"/>
  <c r="G4" i="5"/>
  <c r="G42" i="5"/>
  <c r="I5" i="5"/>
  <c r="I32" i="5"/>
  <c r="V4" i="5"/>
  <c r="S17" i="5"/>
  <c r="F4" i="1"/>
  <c r="H7" i="1" s="1"/>
  <c r="Y47" i="5"/>
  <c r="BI19" i="11"/>
  <c r="S41" i="5"/>
  <c r="G32" i="5"/>
  <c r="S42" i="5"/>
  <c r="F5" i="5"/>
  <c r="J32" i="5"/>
  <c r="I17" i="5"/>
  <c r="BI25" i="11"/>
  <c r="O3" i="5"/>
  <c r="BF6" i="11"/>
  <c r="X51" i="5" s="1"/>
  <c r="AZ49" i="11"/>
  <c r="L15" i="5" s="1"/>
  <c r="H41" i="5"/>
  <c r="H42" i="5"/>
  <c r="R5" i="5"/>
  <c r="P17" i="5"/>
  <c r="BF101" i="11"/>
  <c r="BI15" i="11"/>
  <c r="U14" i="5" s="1"/>
  <c r="F4" i="2"/>
  <c r="F7" i="2" s="1"/>
  <c r="U82" i="19"/>
  <c r="Q82" i="19" s="1"/>
  <c r="W41" i="5"/>
  <c r="I42" i="5"/>
  <c r="Q4" i="5"/>
  <c r="P4" i="5"/>
  <c r="N19" i="5"/>
  <c r="F17" i="5"/>
  <c r="Y4" i="5"/>
  <c r="Q28" i="5"/>
  <c r="J28" i="5"/>
  <c r="M41" i="5"/>
  <c r="I41" i="5"/>
  <c r="AZ59" i="11"/>
  <c r="BF82" i="11"/>
  <c r="X47" i="5" s="1"/>
  <c r="J52" i="19"/>
  <c r="O36" i="5"/>
  <c r="V6" i="5"/>
  <c r="H30" i="5"/>
  <c r="F30" i="5"/>
  <c r="M26" i="5"/>
  <c r="J7" i="5"/>
  <c r="J44" i="5"/>
  <c r="F10" i="5"/>
  <c r="O7" i="5"/>
  <c r="G51" i="5"/>
  <c r="W7" i="5"/>
  <c r="AZ115" i="11"/>
  <c r="O21" i="5"/>
  <c r="BI40" i="11"/>
  <c r="AZ31" i="11"/>
  <c r="X21" i="5"/>
  <c r="W51" i="5"/>
  <c r="J3" i="5"/>
  <c r="I30" i="5"/>
  <c r="M30" i="5"/>
  <c r="J20" i="5"/>
  <c r="V7" i="5"/>
  <c r="R10" i="5"/>
  <c r="H25" i="5"/>
  <c r="W44" i="5"/>
  <c r="O4" i="5"/>
  <c r="BI93" i="11"/>
  <c r="AZ80" i="11"/>
  <c r="AZ78" i="11"/>
  <c r="BI12" i="11"/>
  <c r="V51" i="5"/>
  <c r="J36" i="5"/>
  <c r="V36" i="5"/>
  <c r="G10" i="5"/>
  <c r="F25" i="5"/>
  <c r="W25" i="5"/>
  <c r="BI67" i="11"/>
  <c r="P7" i="5"/>
  <c r="O25" i="5"/>
  <c r="BI56" i="11"/>
  <c r="AZ43" i="11"/>
  <c r="P51" i="5"/>
  <c r="W21" i="5"/>
  <c r="S44" i="5"/>
  <c r="P36" i="5"/>
  <c r="S10" i="5"/>
  <c r="H7" i="5"/>
  <c r="O17" i="5"/>
  <c r="AZ15" i="11"/>
  <c r="L14" i="5" s="1"/>
  <c r="BF83" i="11"/>
  <c r="X44" i="5" s="1"/>
  <c r="W6" i="5"/>
  <c r="BI64" i="11"/>
  <c r="P33" i="5"/>
  <c r="AZ97" i="11"/>
  <c r="BI88" i="11"/>
  <c r="U53" i="5" s="1"/>
  <c r="AZ58" i="11"/>
  <c r="H51" i="5"/>
  <c r="M44" i="5"/>
  <c r="H36" i="5"/>
  <c r="V30" i="5"/>
  <c r="I19" i="5"/>
  <c r="P20" i="5"/>
  <c r="J25" i="5"/>
  <c r="AZ9" i="11"/>
  <c r="AZ42" i="11"/>
  <c r="I51" i="5"/>
  <c r="G33" i="5"/>
  <c r="P30" i="5"/>
  <c r="F7" i="5"/>
  <c r="Q44" i="5"/>
  <c r="Q36" i="5"/>
  <c r="N7" i="5"/>
  <c r="O32" i="5"/>
  <c r="I10" i="5"/>
  <c r="N44" i="5"/>
  <c r="S51" i="5"/>
  <c r="M7" i="5"/>
  <c r="AZ36" i="11"/>
  <c r="Y18" i="5"/>
  <c r="I36" i="5"/>
  <c r="AZ108" i="11"/>
  <c r="AZ6" i="11"/>
  <c r="Y6" i="5"/>
  <c r="I50" i="5"/>
  <c r="S33" i="5"/>
  <c r="G44" i="5"/>
  <c r="P44" i="5"/>
  <c r="R7" i="5"/>
  <c r="R44" i="5"/>
  <c r="R36" i="5"/>
  <c r="R20" i="5"/>
  <c r="W10" i="5"/>
  <c r="V38" i="5"/>
  <c r="BF16" i="11"/>
  <c r="H33" i="5"/>
  <c r="V21" i="5"/>
  <c r="G30" i="5"/>
  <c r="Q30" i="5"/>
  <c r="G7" i="5"/>
  <c r="F44" i="5"/>
  <c r="F36" i="5"/>
  <c r="M10" i="5"/>
  <c r="I7" i="5"/>
  <c r="Q5" i="5"/>
  <c r="BI7" i="11"/>
  <c r="BI4" i="11"/>
  <c r="AZ89" i="11"/>
  <c r="AZ46" i="11"/>
  <c r="BI116" i="11"/>
  <c r="U92" i="19"/>
  <c r="Q92" i="19" s="1"/>
  <c r="AZ117" i="11"/>
  <c r="L52" i="5" s="1"/>
  <c r="U7" i="19"/>
  <c r="Q7" i="19" s="1"/>
  <c r="AZ45" i="11"/>
  <c r="AZ12" i="11"/>
  <c r="BI55" i="11"/>
  <c r="I33" i="5"/>
  <c r="J18" i="5"/>
  <c r="S30" i="5"/>
  <c r="R30" i="5"/>
  <c r="S7" i="5"/>
  <c r="I44" i="5"/>
  <c r="M36" i="5"/>
  <c r="N5" i="5"/>
  <c r="Q50" i="5"/>
  <c r="AZ112" i="11"/>
  <c r="I53" i="5"/>
  <c r="M38" i="5"/>
  <c r="R38" i="5"/>
  <c r="U86" i="19"/>
  <c r="Q86" i="19" s="1"/>
  <c r="V48" i="5"/>
  <c r="F38" i="5"/>
  <c r="N32" i="5"/>
  <c r="W17" i="5"/>
  <c r="J116" i="19"/>
  <c r="G38" i="5"/>
  <c r="J9" i="5"/>
  <c r="P48" i="5"/>
  <c r="P38" i="5"/>
  <c r="Q48" i="5"/>
  <c r="I38" i="5"/>
  <c r="N51" i="5"/>
  <c r="G53" i="5"/>
  <c r="BI43" i="11"/>
  <c r="R48" i="5"/>
  <c r="F19" i="5"/>
  <c r="J38" i="5"/>
  <c r="F45" i="5"/>
  <c r="G48" i="5"/>
  <c r="F48" i="5"/>
  <c r="AZ72" i="11"/>
  <c r="S48" i="5"/>
  <c r="J113" i="19"/>
  <c r="U103" i="19"/>
  <c r="Q103" i="19" s="1"/>
  <c r="BI78" i="11"/>
  <c r="U55" i="19"/>
  <c r="Q55" i="19" s="1"/>
  <c r="U49" i="19"/>
  <c r="Q49" i="19" s="1"/>
  <c r="Y33" i="5"/>
  <c r="H48" i="5"/>
  <c r="N9" i="5"/>
  <c r="F51" i="5"/>
  <c r="BF15" i="11"/>
  <c r="X14" i="5" s="1"/>
  <c r="BI21" i="11"/>
  <c r="V53" i="5"/>
  <c r="S53" i="5"/>
  <c r="I48" i="5"/>
  <c r="W48" i="5"/>
  <c r="Q19" i="5"/>
  <c r="AZ23" i="11"/>
  <c r="O37" i="5"/>
  <c r="AZ71" i="11"/>
  <c r="L30" i="5" s="1"/>
  <c r="H53" i="5"/>
  <c r="J48" i="5"/>
  <c r="R53" i="5"/>
  <c r="N53" i="5"/>
  <c r="O11" i="5"/>
  <c r="AZ66" i="11"/>
  <c r="W53" i="5"/>
  <c r="S38" i="5"/>
  <c r="N48" i="5"/>
  <c r="M51" i="5"/>
  <c r="J53" i="5"/>
  <c r="N11" i="5"/>
  <c r="F53" i="5"/>
  <c r="AZ79" i="11"/>
  <c r="U28" i="19"/>
  <c r="Q28" i="19" s="1"/>
  <c r="M53" i="5"/>
  <c r="H38" i="5"/>
  <c r="BI106" i="11"/>
  <c r="U65" i="19"/>
  <c r="Q65" i="19" s="1"/>
  <c r="BF48" i="11"/>
  <c r="J24" i="19"/>
  <c r="BF103" i="11"/>
  <c r="Q43" i="5"/>
  <c r="U19" i="19"/>
  <c r="Q19" i="19" s="1"/>
  <c r="BI54" i="11"/>
  <c r="Y8" i="5"/>
  <c r="P13" i="5"/>
  <c r="E12" i="3"/>
  <c r="J117" i="19"/>
  <c r="U57" i="19"/>
  <c r="Q57" i="19" s="1"/>
  <c r="J4" i="19"/>
  <c r="U80" i="19"/>
  <c r="Q80" i="19" s="1"/>
  <c r="G16" i="5"/>
  <c r="J5" i="5"/>
  <c r="H5" i="5"/>
  <c r="AZ19" i="11"/>
  <c r="J6" i="5"/>
  <c r="J8" i="5"/>
  <c r="BI57" i="11"/>
  <c r="J13" i="19"/>
  <c r="AZ104" i="11"/>
  <c r="BI74" i="11"/>
  <c r="U39" i="5" s="1"/>
  <c r="J21" i="19"/>
  <c r="BI28" i="11"/>
  <c r="H34" i="5"/>
  <c r="J112" i="19"/>
  <c r="O10" i="5"/>
  <c r="U38" i="19"/>
  <c r="Q38" i="19" s="1"/>
  <c r="BI18" i="11"/>
  <c r="AZ99" i="11"/>
  <c r="BF90" i="11"/>
  <c r="Y51" i="5"/>
  <c r="AZ10" i="11"/>
  <c r="AZ39" i="11"/>
  <c r="BI82" i="11"/>
  <c r="AZ50" i="11"/>
  <c r="L19" i="5" s="1"/>
  <c r="BI5" i="11"/>
  <c r="BI8" i="11"/>
  <c r="AZ5" i="11"/>
  <c r="BF27" i="11"/>
  <c r="X16" i="5" s="1"/>
  <c r="BI13" i="11"/>
  <c r="U21" i="5" s="1"/>
  <c r="BF28" i="11"/>
  <c r="BF66" i="11"/>
  <c r="J15" i="19"/>
  <c r="AZ17" i="11"/>
  <c r="AZ13" i="11"/>
  <c r="W11" i="5"/>
  <c r="X11" i="5"/>
  <c r="BI46" i="11"/>
  <c r="U49" i="5" s="1"/>
  <c r="AZ69" i="11"/>
  <c r="J114" i="19"/>
  <c r="X26" i="5"/>
  <c r="BI76" i="11"/>
  <c r="J70" i="19"/>
  <c r="J115" i="19"/>
  <c r="AZ40" i="11"/>
  <c r="J21" i="5"/>
  <c r="S26" i="5"/>
  <c r="AZ105" i="11"/>
  <c r="O34" i="5"/>
  <c r="P43" i="5"/>
  <c r="S14" i="5"/>
  <c r="V23" i="5"/>
  <c r="AZ38" i="11"/>
  <c r="L7" i="5" s="1"/>
  <c r="P5" i="5"/>
  <c r="C106" i="19"/>
  <c r="C97" i="19"/>
  <c r="J81" i="19"/>
  <c r="O43" i="5"/>
  <c r="U46" i="19"/>
  <c r="Q46" i="19" s="1"/>
  <c r="AZ35" i="11"/>
  <c r="J14" i="5"/>
  <c r="H14" i="5"/>
  <c r="I14" i="5"/>
  <c r="F16" i="5"/>
  <c r="P23" i="5"/>
  <c r="BF22" i="11"/>
  <c r="X12" i="5" s="1"/>
  <c r="P14" i="5"/>
  <c r="R16" i="5"/>
  <c r="Y25" i="5"/>
  <c r="X25" i="5"/>
  <c r="U94" i="19"/>
  <c r="Q94" i="19" s="1"/>
  <c r="U97" i="19"/>
  <c r="Q97" i="19" s="1"/>
  <c r="J37" i="19"/>
  <c r="BI33" i="11"/>
  <c r="I40" i="5"/>
  <c r="T28" i="5"/>
  <c r="R14" i="5"/>
  <c r="G20" i="5"/>
  <c r="Q23" i="5"/>
  <c r="BF30" i="11"/>
  <c r="W36" i="5"/>
  <c r="W5" i="5"/>
  <c r="AZ107" i="11"/>
  <c r="J6" i="19"/>
  <c r="H43" i="5"/>
  <c r="W18" i="5"/>
  <c r="AZ21" i="11"/>
  <c r="Q41" i="5"/>
  <c r="Q45" i="5"/>
  <c r="T45" i="5" s="1"/>
  <c r="U88" i="19"/>
  <c r="Q88" i="19" s="1"/>
  <c r="J99" i="19"/>
  <c r="J111" i="19"/>
  <c r="U17" i="19"/>
  <c r="Q17" i="19" s="1"/>
  <c r="J5" i="19"/>
  <c r="BF86" i="11"/>
  <c r="U68" i="19"/>
  <c r="Q68" i="19" s="1"/>
  <c r="BF31" i="11"/>
  <c r="W15" i="5"/>
  <c r="V18" i="5"/>
  <c r="G23" i="5"/>
  <c r="W19" i="5"/>
  <c r="BI100" i="11"/>
  <c r="U15" i="5" s="1"/>
  <c r="AZ52" i="11"/>
  <c r="N41" i="5"/>
  <c r="N14" i="5"/>
  <c r="J41" i="5"/>
  <c r="R47" i="5"/>
  <c r="O38" i="5"/>
  <c r="O22" i="5"/>
  <c r="AZ27" i="11"/>
  <c r="L16" i="5" s="1"/>
  <c r="J14" i="19"/>
  <c r="F26" i="5"/>
  <c r="S23" i="5"/>
  <c r="D7" i="2"/>
  <c r="BI83" i="11"/>
  <c r="U44" i="5" s="1"/>
  <c r="M5" i="5"/>
  <c r="G41" i="5"/>
  <c r="K45" i="5"/>
  <c r="V14" i="5"/>
  <c r="J109" i="19"/>
  <c r="U43" i="19"/>
  <c r="Q43" i="19" s="1"/>
  <c r="U22" i="19"/>
  <c r="Q22" i="19" s="1"/>
  <c r="J60" i="19"/>
  <c r="C42" i="19"/>
  <c r="U26" i="19"/>
  <c r="Q26" i="19" s="1"/>
  <c r="Y26" i="5"/>
  <c r="H18" i="3"/>
  <c r="H23" i="5"/>
  <c r="M14" i="5"/>
  <c r="BF120" i="11"/>
  <c r="X45" i="5" s="1"/>
  <c r="U113" i="19"/>
  <c r="Q113" i="19" s="1"/>
  <c r="J19" i="19"/>
  <c r="J100" i="19"/>
  <c r="J35" i="19"/>
  <c r="U67" i="19"/>
  <c r="Q67" i="19" s="1"/>
  <c r="O18" i="5"/>
  <c r="U47" i="19"/>
  <c r="Q47" i="19" s="1"/>
  <c r="BF47" i="11"/>
  <c r="C29" i="19"/>
  <c r="J27" i="19"/>
  <c r="I23" i="5"/>
  <c r="G14" i="5"/>
  <c r="W16" i="5"/>
  <c r="J76" i="19"/>
  <c r="J38" i="19"/>
  <c r="C67" i="19"/>
  <c r="C25" i="19"/>
  <c r="J80" i="19"/>
  <c r="J20" i="19"/>
  <c r="U105" i="19"/>
  <c r="Q105" i="19" s="1"/>
  <c r="U85" i="19"/>
  <c r="Q85" i="19" s="1"/>
  <c r="C78" i="19"/>
  <c r="BF98" i="11"/>
  <c r="X9" i="5" s="1"/>
  <c r="U41" i="19"/>
  <c r="Q41" i="19" s="1"/>
  <c r="J32" i="19"/>
  <c r="BF71" i="11"/>
  <c r="X30" i="5" s="1"/>
  <c r="AZ11" i="11"/>
  <c r="AZ88" i="11"/>
  <c r="L53" i="5" s="1"/>
  <c r="U30" i="19"/>
  <c r="Q30" i="19" s="1"/>
  <c r="U11" i="19"/>
  <c r="Q11" i="19" s="1"/>
  <c r="BF4" i="11"/>
  <c r="X40" i="5" s="1"/>
  <c r="V3" i="5"/>
  <c r="S54" i="5"/>
  <c r="H40" i="5"/>
  <c r="M16" i="5"/>
  <c r="BF3" i="11"/>
  <c r="BF12" i="11"/>
  <c r="BF41" i="11"/>
  <c r="X33" i="5" s="1"/>
  <c r="BI48" i="11"/>
  <c r="J107" i="19"/>
  <c r="C83" i="19"/>
  <c r="J110" i="19"/>
  <c r="J11" i="19"/>
  <c r="J105" i="19"/>
  <c r="J78" i="19"/>
  <c r="J58" i="19"/>
  <c r="J73" i="19"/>
  <c r="J71" i="19"/>
  <c r="J22" i="19"/>
  <c r="P24" i="5"/>
  <c r="BF35" i="11"/>
  <c r="F33" i="5"/>
  <c r="C117" i="19"/>
  <c r="U117" i="19"/>
  <c r="Q117" i="19" s="1"/>
  <c r="C26" i="19"/>
  <c r="U4" i="19"/>
  <c r="Q4" i="19" s="1"/>
  <c r="U77" i="19"/>
  <c r="Q77" i="19" s="1"/>
  <c r="J29" i="19"/>
  <c r="U109" i="19"/>
  <c r="Q109" i="19" s="1"/>
  <c r="U102" i="19"/>
  <c r="Q102" i="19" s="1"/>
  <c r="U74" i="19"/>
  <c r="Q74" i="19" s="1"/>
  <c r="U2" i="19"/>
  <c r="Q2" i="19" s="1"/>
  <c r="J48" i="19"/>
  <c r="J86" i="19"/>
  <c r="BI95" i="11"/>
  <c r="BI91" i="11"/>
  <c r="U50" i="19"/>
  <c r="Q50" i="19" s="1"/>
  <c r="J95" i="19"/>
  <c r="J36" i="19"/>
  <c r="J7" i="19"/>
  <c r="U8" i="19"/>
  <c r="Q8" i="19" s="1"/>
  <c r="J2" i="19"/>
  <c r="O24" i="5"/>
  <c r="BI22" i="11"/>
  <c r="AZ20" i="11"/>
  <c r="L28" i="5" s="1"/>
  <c r="P37" i="5"/>
  <c r="BI59" i="11"/>
  <c r="V20" i="5"/>
  <c r="W20" i="5"/>
  <c r="M20" i="5"/>
  <c r="U116" i="19"/>
  <c r="Q116" i="19" s="1"/>
  <c r="C15" i="19"/>
  <c r="Q8" i="5"/>
  <c r="W8" i="5"/>
  <c r="J88" i="19"/>
  <c r="O20" i="5"/>
  <c r="Q24" i="5"/>
  <c r="H19" i="5"/>
  <c r="BF51" i="11"/>
  <c r="X20" i="5" s="1"/>
  <c r="BF36" i="11"/>
  <c r="N8" i="5"/>
  <c r="N33" i="5"/>
  <c r="C105" i="19"/>
  <c r="AZ74" i="11"/>
  <c r="L39" i="5" s="1"/>
  <c r="U7" i="5"/>
  <c r="AZ68" i="11"/>
  <c r="C30" i="19"/>
  <c r="C14" i="19"/>
  <c r="C22" i="19"/>
  <c r="J40" i="19"/>
  <c r="U114" i="19"/>
  <c r="Q114" i="19" s="1"/>
  <c r="U76" i="19"/>
  <c r="Q76" i="19" s="1"/>
  <c r="C66" i="19"/>
  <c r="U58" i="19"/>
  <c r="Q58" i="19" s="1"/>
  <c r="BF88" i="11"/>
  <c r="X53" i="5" s="1"/>
  <c r="C82" i="19"/>
  <c r="BI90" i="11"/>
  <c r="J51" i="19"/>
  <c r="U69" i="19"/>
  <c r="Q69" i="19" s="1"/>
  <c r="U51" i="19"/>
  <c r="Q51" i="19" s="1"/>
  <c r="U61" i="19"/>
  <c r="Q61" i="19" s="1"/>
  <c r="AZ54" i="11"/>
  <c r="U83" i="19"/>
  <c r="Q83" i="19" s="1"/>
  <c r="C72" i="19"/>
  <c r="U27" i="19"/>
  <c r="Q27" i="19" s="1"/>
  <c r="AZ47" i="11"/>
  <c r="BI79" i="11"/>
  <c r="X8" i="5"/>
  <c r="Q37" i="5"/>
  <c r="S16" i="5"/>
  <c r="J19" i="5"/>
  <c r="R50" i="5"/>
  <c r="Q51" i="5"/>
  <c r="C48" i="19"/>
  <c r="C84" i="19"/>
  <c r="C27" i="19"/>
  <c r="J93" i="19"/>
  <c r="J94" i="19"/>
  <c r="J108" i="19"/>
  <c r="BI101" i="11"/>
  <c r="J79" i="19"/>
  <c r="U96" i="19"/>
  <c r="Q96" i="19" s="1"/>
  <c r="J12" i="19"/>
  <c r="U40" i="5"/>
  <c r="U21" i="19"/>
  <c r="Q21" i="19" s="1"/>
  <c r="C6" i="19"/>
  <c r="J8" i="19"/>
  <c r="J34" i="19"/>
  <c r="BI23" i="11"/>
  <c r="R24" i="5"/>
  <c r="H16" i="5"/>
  <c r="H26" i="5"/>
  <c r="F50" i="5"/>
  <c r="BF79" i="11"/>
  <c r="AZ30" i="11"/>
  <c r="L24" i="5" s="1"/>
  <c r="BF24" i="11"/>
  <c r="X31" i="5" s="1"/>
  <c r="BF33" i="11"/>
  <c r="X41" i="5" s="1"/>
  <c r="J47" i="5"/>
  <c r="G47" i="5"/>
  <c r="V41" i="5"/>
  <c r="AZ3" i="11"/>
  <c r="R41" i="5"/>
  <c r="Q47" i="5"/>
  <c r="V35" i="5"/>
  <c r="O52" i="5"/>
  <c r="O5" i="5"/>
  <c r="O48" i="5"/>
  <c r="U78" i="19"/>
  <c r="Q78" i="19" s="1"/>
  <c r="BI72" i="11"/>
  <c r="U23" i="5" s="1"/>
  <c r="J69" i="19"/>
  <c r="BF99" i="11"/>
  <c r="C64" i="19"/>
  <c r="O9" i="5"/>
  <c r="C4" i="19"/>
  <c r="U59" i="19"/>
  <c r="Q59" i="19" s="1"/>
  <c r="AZ101" i="11"/>
  <c r="AZ48" i="11"/>
  <c r="BF42" i="11"/>
  <c r="BF91" i="11"/>
  <c r="H37" i="5"/>
  <c r="W3" i="5"/>
  <c r="V15" i="5"/>
  <c r="AZ25" i="11"/>
  <c r="Q18" i="5"/>
  <c r="Q6" i="5"/>
  <c r="BI36" i="11"/>
  <c r="W24" i="5"/>
  <c r="J16" i="5"/>
  <c r="W13" i="5"/>
  <c r="N50" i="5"/>
  <c r="N39" i="5"/>
  <c r="J39" i="5"/>
  <c r="K39" i="5" s="1"/>
  <c r="J51" i="5"/>
  <c r="H8" i="5"/>
  <c r="R39" i="5"/>
  <c r="R35" i="5"/>
  <c r="N45" i="5"/>
  <c r="M45" i="5"/>
  <c r="J104" i="19"/>
  <c r="J102" i="19"/>
  <c r="AZ114" i="11"/>
  <c r="J118" i="19"/>
  <c r="BI109" i="11"/>
  <c r="C98" i="19"/>
  <c r="J82" i="19"/>
  <c r="U29" i="19"/>
  <c r="Q29" i="19" s="1"/>
  <c r="BF118" i="11"/>
  <c r="BF65" i="11"/>
  <c r="X48" i="5" s="1"/>
  <c r="U48" i="19"/>
  <c r="Q48" i="19" s="1"/>
  <c r="U84" i="19"/>
  <c r="Q84" i="19" s="1"/>
  <c r="J33" i="19"/>
  <c r="Y32" i="5"/>
  <c r="C50" i="19"/>
  <c r="BI75" i="11"/>
  <c r="AZ55" i="11"/>
  <c r="J15" i="5"/>
  <c r="N20" i="5"/>
  <c r="V8" i="5"/>
  <c r="Q39" i="5"/>
  <c r="M52" i="5"/>
  <c r="G7" i="3"/>
  <c r="R13" i="5"/>
  <c r="BF8" i="11"/>
  <c r="J35" i="5"/>
  <c r="M39" i="5"/>
  <c r="F35" i="5"/>
  <c r="BF54" i="11"/>
  <c r="W14" i="5"/>
  <c r="N30" i="5"/>
  <c r="U66" i="19"/>
  <c r="Q66" i="19" s="1"/>
  <c r="V54" i="5"/>
  <c r="J43" i="5"/>
  <c r="Q3" i="5"/>
  <c r="E11" i="3"/>
  <c r="H7" i="3"/>
  <c r="AZ111" i="11"/>
  <c r="BI87" i="11"/>
  <c r="G35" i="5"/>
  <c r="H20" i="5"/>
  <c r="F39" i="5"/>
  <c r="BF53" i="11"/>
  <c r="X19" i="5" s="1"/>
  <c r="Q35" i="5"/>
  <c r="P8" i="5"/>
  <c r="V47" i="5"/>
  <c r="O26" i="5"/>
  <c r="W33" i="5"/>
  <c r="Q33" i="5"/>
  <c r="M33" i="5"/>
  <c r="J33" i="5"/>
  <c r="Y12" i="5"/>
  <c r="L45" i="5"/>
  <c r="O12" i="5"/>
  <c r="J29" i="5"/>
  <c r="G29" i="5"/>
  <c r="S29" i="5"/>
  <c r="F29" i="5"/>
  <c r="Q29" i="5"/>
  <c r="I29" i="5"/>
  <c r="V29" i="5"/>
  <c r="N29" i="5"/>
  <c r="P29" i="5"/>
  <c r="N46" i="5"/>
  <c r="G46" i="5"/>
  <c r="S46" i="5"/>
  <c r="R46" i="5"/>
  <c r="W46" i="5"/>
  <c r="V46" i="5"/>
  <c r="M46" i="5"/>
  <c r="F46" i="5"/>
  <c r="V22" i="5"/>
  <c r="R22" i="5"/>
  <c r="H22" i="5"/>
  <c r="F49" i="5"/>
  <c r="W49" i="5"/>
  <c r="R49" i="5"/>
  <c r="I49" i="5"/>
  <c r="G49" i="5"/>
  <c r="N49" i="5"/>
  <c r="M49" i="5"/>
  <c r="V658" i="19"/>
  <c r="V536" i="19"/>
  <c r="V617" i="19"/>
  <c r="V433" i="19"/>
  <c r="J119" i="19"/>
  <c r="U93" i="19"/>
  <c r="Q93" i="19" s="1"/>
  <c r="C59" i="19"/>
  <c r="U52" i="19"/>
  <c r="Q52" i="19" s="1"/>
  <c r="C19" i="19"/>
  <c r="C79" i="19"/>
  <c r="U71" i="19"/>
  <c r="Q71" i="19" s="1"/>
  <c r="C36" i="19"/>
  <c r="U13" i="19"/>
  <c r="Q13" i="19" s="1"/>
  <c r="U5" i="19"/>
  <c r="Q5" i="19" s="1"/>
  <c r="U118" i="19"/>
  <c r="Q118" i="19" s="1"/>
  <c r="C87" i="19"/>
  <c r="C86" i="19"/>
  <c r="U100" i="19"/>
  <c r="Q100" i="19" s="1"/>
  <c r="J61" i="19"/>
  <c r="C90" i="19"/>
  <c r="C89" i="19"/>
  <c r="C76" i="19"/>
  <c r="C45" i="19"/>
  <c r="J28" i="19"/>
  <c r="AZ83" i="11"/>
  <c r="L44" i="5" s="1"/>
  <c r="U81" i="19"/>
  <c r="Q81" i="19" s="1"/>
  <c r="C52" i="19"/>
  <c r="C70" i="19"/>
  <c r="U9" i="5"/>
  <c r="U31" i="19"/>
  <c r="Q31" i="19" s="1"/>
  <c r="O42" i="5"/>
  <c r="C32" i="19"/>
  <c r="C37" i="19"/>
  <c r="U12" i="19"/>
  <c r="Q12" i="19" s="1"/>
  <c r="U60" i="19"/>
  <c r="Q60" i="19" s="1"/>
  <c r="U6" i="19"/>
  <c r="Q6" i="19" s="1"/>
  <c r="U25" i="19"/>
  <c r="Q25" i="19" s="1"/>
  <c r="AZ53" i="11"/>
  <c r="AZ4" i="11"/>
  <c r="Q49" i="5"/>
  <c r="J46" i="5"/>
  <c r="K28" i="5"/>
  <c r="U40" i="19"/>
  <c r="Q40" i="19" s="1"/>
  <c r="U53" i="19"/>
  <c r="Q53" i="19" s="1"/>
  <c r="H29" i="5"/>
  <c r="P54" i="5"/>
  <c r="Q46" i="5"/>
  <c r="Q13" i="5"/>
  <c r="B7" i="1"/>
  <c r="M13" i="5"/>
  <c r="R26" i="5"/>
  <c r="N26" i="5"/>
  <c r="W26" i="5"/>
  <c r="E13" i="3"/>
  <c r="H21" i="3"/>
  <c r="O51" i="5"/>
  <c r="U35" i="19"/>
  <c r="Q35" i="19" s="1"/>
  <c r="C21" i="19"/>
  <c r="C108" i="19"/>
  <c r="C95" i="19"/>
  <c r="C101" i="19"/>
  <c r="J92" i="19"/>
  <c r="C38" i="19"/>
  <c r="C24" i="19"/>
  <c r="C44" i="19"/>
  <c r="N54" i="5"/>
  <c r="J57" i="19"/>
  <c r="V49" i="5"/>
  <c r="P31" i="5"/>
  <c r="J54" i="5"/>
  <c r="BI70" i="11"/>
  <c r="W29" i="5"/>
  <c r="N34" i="5"/>
  <c r="J34" i="5"/>
  <c r="G34" i="5"/>
  <c r="S34" i="5"/>
  <c r="R34" i="5"/>
  <c r="W34" i="5"/>
  <c r="V34" i="5"/>
  <c r="M34" i="5"/>
  <c r="F34" i="5"/>
  <c r="M29" i="5"/>
  <c r="S15" i="5"/>
  <c r="R15" i="5"/>
  <c r="P15" i="5"/>
  <c r="H15" i="5"/>
  <c r="M15" i="5"/>
  <c r="I15" i="5"/>
  <c r="G15" i="5"/>
  <c r="F15" i="5"/>
  <c r="I3" i="5"/>
  <c r="H3" i="5"/>
  <c r="G3" i="5"/>
  <c r="F3" i="5"/>
  <c r="S3" i="5"/>
  <c r="M3" i="5"/>
  <c r="R3" i="5"/>
  <c r="P3" i="5"/>
  <c r="I22" i="5"/>
  <c r="M27" i="5"/>
  <c r="J22" i="5"/>
  <c r="V19" i="5"/>
  <c r="Q26" i="5"/>
  <c r="K17" i="5"/>
  <c r="AZ113" i="11"/>
  <c r="C110" i="19"/>
  <c r="U87" i="19"/>
  <c r="Q87" i="19" s="1"/>
  <c r="U45" i="19"/>
  <c r="Q45" i="19" s="1"/>
  <c r="C40" i="19"/>
  <c r="J50" i="19"/>
  <c r="C71" i="19"/>
  <c r="AZ116" i="11"/>
  <c r="C9" i="19"/>
  <c r="L23" i="5"/>
  <c r="U33" i="19"/>
  <c r="Q33" i="19" s="1"/>
  <c r="BI32" i="11"/>
  <c r="O6" i="5"/>
  <c r="U39" i="19"/>
  <c r="Q39" i="19" s="1"/>
  <c r="J67" i="19"/>
  <c r="J30" i="19"/>
  <c r="BF60" i="11"/>
  <c r="X13" i="5" s="1"/>
  <c r="AZ63" i="11"/>
  <c r="L12" i="5" s="1"/>
  <c r="AZ8" i="11"/>
  <c r="J3" i="19"/>
  <c r="H49" i="5"/>
  <c r="I52" i="5"/>
  <c r="AZ33" i="11"/>
  <c r="H46" i="5"/>
  <c r="Q34" i="5"/>
  <c r="C51" i="19"/>
  <c r="S24" i="5"/>
  <c r="H24" i="5"/>
  <c r="I24" i="5"/>
  <c r="J24" i="5"/>
  <c r="F13" i="3"/>
  <c r="W22" i="5"/>
  <c r="F13" i="5"/>
  <c r="N15" i="5"/>
  <c r="E3" i="3"/>
  <c r="E4" i="3"/>
  <c r="U111" i="19"/>
  <c r="Q111" i="19" s="1"/>
  <c r="C69" i="19"/>
  <c r="BI16" i="11"/>
  <c r="U32" i="5" s="1"/>
  <c r="J26" i="19"/>
  <c r="F31" i="5"/>
  <c r="V31" i="5"/>
  <c r="R31" i="5"/>
  <c r="I31" i="5"/>
  <c r="G31" i="5"/>
  <c r="N31" i="5"/>
  <c r="M31" i="5"/>
  <c r="W31" i="5"/>
  <c r="C88" i="19"/>
  <c r="BF21" i="11"/>
  <c r="X27" i="5" s="1"/>
  <c r="J75" i="19"/>
  <c r="C63" i="19"/>
  <c r="U20" i="19"/>
  <c r="Q20" i="19" s="1"/>
  <c r="O41" i="5"/>
  <c r="C57" i="19"/>
  <c r="C43" i="19"/>
  <c r="AZ85" i="11"/>
  <c r="J65" i="19"/>
  <c r="BI105" i="11"/>
  <c r="J59" i="19"/>
  <c r="J46" i="19"/>
  <c r="J62" i="19"/>
  <c r="Q31" i="5"/>
  <c r="K50" i="5"/>
  <c r="F54" i="5"/>
  <c r="R54" i="5"/>
  <c r="Q54" i="5"/>
  <c r="H54" i="5"/>
  <c r="N52" i="5"/>
  <c r="G52" i="5"/>
  <c r="S52" i="5"/>
  <c r="R52" i="5"/>
  <c r="V52" i="5"/>
  <c r="F52" i="5"/>
  <c r="W52" i="5"/>
  <c r="F12" i="5"/>
  <c r="R12" i="5"/>
  <c r="S12" i="5"/>
  <c r="P12" i="5"/>
  <c r="H12" i="5"/>
  <c r="G12" i="5"/>
  <c r="M12" i="5"/>
  <c r="I12" i="5"/>
  <c r="T11" i="5"/>
  <c r="S27" i="5"/>
  <c r="N27" i="5"/>
  <c r="G13" i="5"/>
  <c r="S49" i="5"/>
  <c r="V352" i="19"/>
  <c r="V500" i="19"/>
  <c r="V428" i="19"/>
  <c r="V521" i="19"/>
  <c r="V382" i="19"/>
  <c r="U108" i="19"/>
  <c r="Q108" i="19" s="1"/>
  <c r="U98" i="19"/>
  <c r="Q98" i="19" s="1"/>
  <c r="C68" i="19"/>
  <c r="C54" i="19"/>
  <c r="C8" i="19"/>
  <c r="U73" i="19"/>
  <c r="Q73" i="19" s="1"/>
  <c r="U44" i="19"/>
  <c r="Q44" i="19" s="1"/>
  <c r="J90" i="19"/>
  <c r="BI29" i="11"/>
  <c r="AZ96" i="11"/>
  <c r="L49" i="5" s="1"/>
  <c r="J85" i="19"/>
  <c r="BF77" i="11"/>
  <c r="X7" i="5" s="1"/>
  <c r="AZ84" i="11"/>
  <c r="U75" i="19"/>
  <c r="Q75" i="19" s="1"/>
  <c r="C58" i="19"/>
  <c r="U119" i="19"/>
  <c r="Q119" i="19" s="1"/>
  <c r="U56" i="19"/>
  <c r="Q56" i="19" s="1"/>
  <c r="J9" i="19"/>
  <c r="J87" i="19"/>
  <c r="AZ26" i="11"/>
  <c r="U63" i="19"/>
  <c r="Q63" i="19" s="1"/>
  <c r="AZ92" i="11"/>
  <c r="BI107" i="11"/>
  <c r="J77" i="19"/>
  <c r="C60" i="19"/>
  <c r="J84" i="19"/>
  <c r="AZ64" i="11"/>
  <c r="C35" i="19"/>
  <c r="U24" i="19"/>
  <c r="Q24" i="19" s="1"/>
  <c r="BF50" i="11"/>
  <c r="X22" i="5" s="1"/>
  <c r="C20" i="19"/>
  <c r="J52" i="5"/>
  <c r="F43" i="5"/>
  <c r="V43" i="5"/>
  <c r="R43" i="5"/>
  <c r="I43" i="5"/>
  <c r="G43" i="5"/>
  <c r="M43" i="5"/>
  <c r="W43" i="5"/>
  <c r="N43" i="5"/>
  <c r="I34" i="5"/>
  <c r="AZ44" i="11"/>
  <c r="AZ94" i="11"/>
  <c r="L31" i="5" s="1"/>
  <c r="AZ41" i="11"/>
  <c r="L33" i="5" s="1"/>
  <c r="BI9" i="11"/>
  <c r="I54" i="5"/>
  <c r="Q52" i="5"/>
  <c r="J49" i="5"/>
  <c r="BI52" i="11"/>
  <c r="I27" i="5"/>
  <c r="F24" i="5"/>
  <c r="V16" i="5"/>
  <c r="Q27" i="5"/>
  <c r="M22" i="5"/>
  <c r="S13" i="5"/>
  <c r="M19" i="5"/>
  <c r="I26" i="5"/>
  <c r="B7" i="2"/>
  <c r="C7" i="1"/>
  <c r="V242" i="19"/>
  <c r="U34" i="19"/>
  <c r="Q34" i="19" s="1"/>
  <c r="C18" i="19"/>
  <c r="AZ81" i="11"/>
  <c r="L21" i="5" s="1"/>
  <c r="C114" i="19"/>
  <c r="C99" i="19"/>
  <c r="BI103" i="11"/>
  <c r="J101" i="19"/>
  <c r="C94" i="19"/>
  <c r="J89" i="19"/>
  <c r="C77" i="19"/>
  <c r="C62" i="19"/>
  <c r="BI110" i="11"/>
  <c r="U8" i="5" s="1"/>
  <c r="J66" i="19"/>
  <c r="C46" i="19"/>
  <c r="L18" i="5"/>
  <c r="J91" i="19"/>
  <c r="J41" i="19"/>
  <c r="C47" i="19"/>
  <c r="C34" i="19"/>
  <c r="J17" i="19"/>
  <c r="J42" i="19"/>
  <c r="H31" i="5"/>
  <c r="A2" i="12"/>
  <c r="N40" i="5"/>
  <c r="J40" i="5"/>
  <c r="G40" i="5"/>
  <c r="S40" i="5"/>
  <c r="R40" i="5"/>
  <c r="W40" i="5"/>
  <c r="F40" i="5"/>
  <c r="V40" i="5"/>
  <c r="M40" i="5"/>
  <c r="S21" i="5"/>
  <c r="R21" i="5"/>
  <c r="P21" i="5"/>
  <c r="M21" i="5"/>
  <c r="I21" i="5"/>
  <c r="H21" i="5"/>
  <c r="G21" i="5"/>
  <c r="F21" i="5"/>
  <c r="E5" i="3"/>
  <c r="N13" i="5"/>
  <c r="I13" i="5"/>
  <c r="H13" i="5"/>
  <c r="N24" i="5"/>
  <c r="E10" i="3"/>
  <c r="F7" i="3"/>
  <c r="C3" i="19"/>
  <c r="U106" i="19"/>
  <c r="Q106" i="19" s="1"/>
  <c r="C73" i="19"/>
  <c r="C7" i="19"/>
  <c r="BF89" i="11"/>
  <c r="X34" i="5" s="1"/>
  <c r="C55" i="19"/>
  <c r="V664" i="19"/>
  <c r="V572" i="19"/>
  <c r="V577" i="19"/>
  <c r="V397" i="19"/>
  <c r="V247" i="19"/>
  <c r="U115" i="19"/>
  <c r="Q115" i="19" s="1"/>
  <c r="C92" i="19"/>
  <c r="J106" i="19"/>
  <c r="C118" i="19"/>
  <c r="U37" i="19"/>
  <c r="Q37" i="19" s="1"/>
  <c r="U110" i="19"/>
  <c r="Q110" i="19" s="1"/>
  <c r="BF102" i="11"/>
  <c r="X46" i="5" s="1"/>
  <c r="C103" i="19"/>
  <c r="C93" i="19"/>
  <c r="U72" i="19"/>
  <c r="Q72" i="19" s="1"/>
  <c r="C56" i="19"/>
  <c r="J97" i="19"/>
  <c r="C81" i="19"/>
  <c r="BI112" i="11"/>
  <c r="J83" i="19"/>
  <c r="Y20" i="5"/>
  <c r="J68" i="19"/>
  <c r="AZ65" i="11"/>
  <c r="J55" i="19"/>
  <c r="L20" i="5"/>
  <c r="J44" i="19"/>
  <c r="J25" i="19"/>
  <c r="C5" i="19"/>
  <c r="BI89" i="11"/>
  <c r="U54" i="19"/>
  <c r="Q54" i="19" s="1"/>
  <c r="U18" i="19"/>
  <c r="Q18" i="19" s="1"/>
  <c r="U3" i="19"/>
  <c r="Q3" i="19" s="1"/>
  <c r="J63" i="19"/>
  <c r="U15" i="19"/>
  <c r="Q15" i="19" s="1"/>
  <c r="C13" i="19"/>
  <c r="C16" i="19"/>
  <c r="BF32" i="11"/>
  <c r="X36" i="5" s="1"/>
  <c r="I46" i="5"/>
  <c r="J43" i="19"/>
  <c r="AZ56" i="11"/>
  <c r="AZ28" i="11"/>
  <c r="H52" i="5"/>
  <c r="Q40" i="5"/>
  <c r="S9" i="5"/>
  <c r="R9" i="5"/>
  <c r="P9" i="5"/>
  <c r="I9" i="5"/>
  <c r="M9" i="5"/>
  <c r="H9" i="5"/>
  <c r="G9" i="5"/>
  <c r="F9" i="5"/>
  <c r="AZ32" i="11"/>
  <c r="L36" i="5" s="1"/>
  <c r="J27" i="5"/>
  <c r="P22" i="5"/>
  <c r="H27" i="5"/>
  <c r="AB18" i="3"/>
  <c r="P18" i="3"/>
  <c r="Y18" i="3"/>
  <c r="M18" i="3"/>
  <c r="X18" i="3"/>
  <c r="S18" i="3"/>
  <c r="Q18" i="3"/>
  <c r="N18" i="3"/>
  <c r="L18" i="3"/>
  <c r="AA18" i="3"/>
  <c r="Z18" i="3"/>
  <c r="W18" i="3"/>
  <c r="T18" i="3"/>
  <c r="R18" i="3"/>
  <c r="O18" i="3"/>
  <c r="V18" i="3"/>
  <c r="U18" i="3"/>
  <c r="F27" i="5"/>
  <c r="N22" i="5"/>
  <c r="J13" i="5"/>
  <c r="J26" i="5"/>
  <c r="V24" i="5"/>
  <c r="C119" i="19"/>
  <c r="J54" i="19"/>
  <c r="J39" i="19"/>
  <c r="J18" i="19"/>
  <c r="V12" i="5"/>
  <c r="J31" i="19"/>
  <c r="E7" i="3"/>
  <c r="T4" i="5"/>
  <c r="R27" i="5"/>
  <c r="F22" i="5"/>
  <c r="R19" i="5"/>
  <c r="V26" i="5"/>
  <c r="V346" i="19"/>
  <c r="J98" i="19"/>
  <c r="U14" i="19"/>
  <c r="Q14" i="19" s="1"/>
  <c r="C116" i="19"/>
  <c r="C39" i="19"/>
  <c r="C85" i="19"/>
  <c r="C112" i="19"/>
  <c r="J47" i="19"/>
  <c r="C113" i="19"/>
  <c r="U104" i="19"/>
  <c r="Q104" i="19" s="1"/>
  <c r="C75" i="19"/>
  <c r="U91" i="19"/>
  <c r="Q91" i="19" s="1"/>
  <c r="BF105" i="11"/>
  <c r="X4" i="5" s="1"/>
  <c r="C104" i="19"/>
  <c r="U32" i="19"/>
  <c r="Q32" i="19" s="1"/>
  <c r="J56" i="19"/>
  <c r="K48" i="5"/>
  <c r="P46" i="5"/>
  <c r="T36" i="5"/>
  <c r="Q22" i="5"/>
  <c r="E6" i="3"/>
  <c r="S31" i="5"/>
  <c r="W27" i="5"/>
  <c r="S22" i="5"/>
  <c r="G19" i="5"/>
  <c r="K4" i="5"/>
  <c r="H13" i="3"/>
  <c r="G13" i="3"/>
  <c r="F5" i="2"/>
  <c r="C80" i="19"/>
  <c r="C91" i="19"/>
  <c r="C12" i="19"/>
  <c r="AZ86" i="11"/>
  <c r="V610" i="19"/>
  <c r="V725" i="19"/>
  <c r="V125" i="19"/>
  <c r="C102" i="19"/>
  <c r="C61" i="19"/>
  <c r="C65" i="19"/>
  <c r="J74" i="19"/>
  <c r="C33" i="19"/>
  <c r="J103" i="19"/>
  <c r="AZ37" i="11"/>
  <c r="J10" i="19"/>
  <c r="V693" i="19"/>
  <c r="V293" i="19"/>
  <c r="C109" i="19"/>
  <c r="C107" i="19"/>
  <c r="C74" i="19"/>
  <c r="C49" i="19"/>
  <c r="C115" i="19"/>
  <c r="U112" i="19"/>
  <c r="Q112" i="19" s="1"/>
  <c r="C28" i="19"/>
  <c r="O33" i="5"/>
  <c r="C96" i="19"/>
  <c r="U70" i="19"/>
  <c r="Q70" i="19" s="1"/>
  <c r="C17" i="19"/>
  <c r="J72" i="19"/>
  <c r="J64" i="19"/>
  <c r="C11" i="19"/>
  <c r="C2" i="19"/>
  <c r="C31" i="19"/>
  <c r="J45" i="19"/>
  <c r="U36" i="19"/>
  <c r="Q36" i="19" s="1"/>
  <c r="C10" i="19"/>
  <c r="BI30" i="11"/>
  <c r="M54" i="5"/>
  <c r="P49" i="5"/>
  <c r="J12" i="5"/>
  <c r="W54" i="5"/>
  <c r="V634" i="19"/>
  <c r="V557" i="19"/>
  <c r="C100" i="19"/>
  <c r="U95" i="19"/>
  <c r="Q95" i="19" s="1"/>
  <c r="U99" i="19"/>
  <c r="Q99" i="19" s="1"/>
  <c r="C53" i="19"/>
  <c r="U16" i="19"/>
  <c r="Q16" i="19" s="1"/>
  <c r="C111" i="19"/>
  <c r="U107" i="19"/>
  <c r="Q107" i="19" s="1"/>
  <c r="U101" i="19"/>
  <c r="Q101" i="19" s="1"/>
  <c r="J96" i="19"/>
  <c r="U90" i="19"/>
  <c r="Q90" i="19" s="1"/>
  <c r="U89" i="19"/>
  <c r="Q89" i="19" s="1"/>
  <c r="BI104" i="11"/>
  <c r="U48" i="5" s="1"/>
  <c r="U64" i="19"/>
  <c r="Q64" i="19" s="1"/>
  <c r="U79" i="19"/>
  <c r="Q79" i="19" s="1"/>
  <c r="U42" i="19"/>
  <c r="Q42" i="19" s="1"/>
  <c r="BI120" i="11"/>
  <c r="U45" i="5" s="1"/>
  <c r="BF7" i="11"/>
  <c r="BF96" i="11"/>
  <c r="X49" i="5" s="1"/>
  <c r="X17" i="5"/>
  <c r="J53" i="19"/>
  <c r="BI84" i="11"/>
  <c r="U38" i="5" s="1"/>
  <c r="O8" i="5"/>
  <c r="J16" i="19"/>
  <c r="U62" i="19"/>
  <c r="Q62" i="19" s="1"/>
  <c r="BF117" i="11"/>
  <c r="BI51" i="11"/>
  <c r="J49" i="19"/>
  <c r="C41" i="19"/>
  <c r="U9" i="19"/>
  <c r="Q9" i="19" s="1"/>
  <c r="BF58" i="11"/>
  <c r="F37" i="5"/>
  <c r="V37" i="5"/>
  <c r="R37" i="5"/>
  <c r="I37" i="5"/>
  <c r="G37" i="5"/>
  <c r="W37" i="5"/>
  <c r="N37" i="5"/>
  <c r="M37" i="5"/>
  <c r="W12" i="5"/>
  <c r="R29" i="5"/>
  <c r="V9" i="5"/>
  <c r="U10" i="19"/>
  <c r="Q10" i="19" s="1"/>
  <c r="G18" i="5"/>
  <c r="F18" i="5"/>
  <c r="S18" i="5"/>
  <c r="R18" i="5"/>
  <c r="I18" i="5"/>
  <c r="H18" i="5"/>
  <c r="P18" i="5"/>
  <c r="M18" i="5"/>
  <c r="P6" i="5"/>
  <c r="M6" i="5"/>
  <c r="I6" i="5"/>
  <c r="H6" i="5"/>
  <c r="F6" i="5"/>
  <c r="G6" i="5"/>
  <c r="R6" i="5"/>
  <c r="S6" i="5"/>
  <c r="BF72" i="11"/>
  <c r="X23" i="5" s="1"/>
  <c r="N21" i="5"/>
  <c r="I16" i="5"/>
  <c r="Q16" i="5"/>
  <c r="N16" i="5"/>
  <c r="F5" i="1"/>
  <c r="G27" i="5"/>
  <c r="M24" i="5"/>
  <c r="N12" i="5"/>
  <c r="U4" i="3"/>
  <c r="R4" i="3"/>
  <c r="Q4" i="3"/>
  <c r="X4" i="3"/>
  <c r="M4" i="3"/>
  <c r="AB4" i="3"/>
  <c r="L4" i="3"/>
  <c r="AA4" i="3"/>
  <c r="Z4" i="3"/>
  <c r="Y4" i="3"/>
  <c r="W4" i="3"/>
  <c r="V4" i="3"/>
  <c r="O4" i="3"/>
  <c r="N4" i="3"/>
  <c r="T4" i="3"/>
  <c r="S4" i="3"/>
  <c r="P4" i="3"/>
  <c r="F23" i="5"/>
  <c r="M23" i="5"/>
  <c r="W23" i="5"/>
  <c r="R23" i="5"/>
  <c r="N23" i="5"/>
  <c r="V27" i="5"/>
  <c r="G22" i="5"/>
  <c r="S37" i="5"/>
  <c r="P26" i="5"/>
  <c r="K11" i="5"/>
  <c r="G7" i="1"/>
  <c r="H7" i="2" l="1"/>
  <c r="U20" i="5"/>
  <c r="U5" i="5"/>
  <c r="T17" i="5"/>
  <c r="K51" i="5"/>
  <c r="G7" i="2"/>
  <c r="T19" i="5"/>
  <c r="U25" i="5"/>
  <c r="V27" i="19"/>
  <c r="V7" i="19"/>
  <c r="K44" i="5"/>
  <c r="U34" i="5"/>
  <c r="L6" i="5"/>
  <c r="T32" i="5"/>
  <c r="T14" i="5"/>
  <c r="T48" i="5"/>
  <c r="L9" i="5"/>
  <c r="V117" i="19"/>
  <c r="U18" i="5"/>
  <c r="U33" i="5"/>
  <c r="U3" i="5"/>
  <c r="K10" i="5"/>
  <c r="T20" i="5"/>
  <c r="L40" i="5"/>
  <c r="L46" i="5"/>
  <c r="L34" i="5"/>
  <c r="V80" i="19"/>
  <c r="L42" i="5"/>
  <c r="U10" i="5"/>
  <c r="T25" i="5"/>
  <c r="L35" i="5"/>
  <c r="U27" i="5"/>
  <c r="V21" i="19"/>
  <c r="X6" i="5"/>
  <c r="L47" i="5"/>
  <c r="T10" i="5"/>
  <c r="T43" i="5"/>
  <c r="U42" i="5"/>
  <c r="X52" i="5"/>
  <c r="L8" i="5"/>
  <c r="B5" i="1"/>
  <c r="V116" i="19"/>
  <c r="L48" i="5"/>
  <c r="V32" i="19"/>
  <c r="X32" i="5"/>
  <c r="U47" i="5"/>
  <c r="T30" i="5"/>
  <c r="V105" i="19"/>
  <c r="T51" i="5"/>
  <c r="B5" i="2"/>
  <c r="V55" i="19"/>
  <c r="X54" i="5"/>
  <c r="X37" i="5"/>
  <c r="V19" i="19"/>
  <c r="T35" i="5"/>
  <c r="K32" i="5"/>
  <c r="K53" i="5"/>
  <c r="U51" i="5"/>
  <c r="T16" i="5"/>
  <c r="K8" i="5"/>
  <c r="T7" i="5"/>
  <c r="T13" i="5"/>
  <c r="L27" i="5"/>
  <c r="T50" i="5"/>
  <c r="T47" i="5"/>
  <c r="V6" i="19"/>
  <c r="V97" i="19"/>
  <c r="V113" i="19"/>
  <c r="V109" i="19"/>
  <c r="V15" i="19"/>
  <c r="V8" i="19"/>
  <c r="V69" i="19"/>
  <c r="K42" i="5"/>
  <c r="T42" i="5"/>
  <c r="K19" i="5"/>
  <c r="L43" i="5"/>
  <c r="U41" i="5"/>
  <c r="T38" i="5"/>
  <c r="T5" i="5"/>
  <c r="K36" i="5"/>
  <c r="V76" i="19"/>
  <c r="L4" i="5"/>
  <c r="U37" i="5"/>
  <c r="V65" i="19"/>
  <c r="K37" i="5"/>
  <c r="X38" i="5"/>
  <c r="L37" i="5"/>
  <c r="U43" i="5"/>
  <c r="K33" i="5"/>
  <c r="X5" i="5"/>
  <c r="U11" i="5"/>
  <c r="K38" i="5"/>
  <c r="T44" i="5"/>
  <c r="T39" i="5"/>
  <c r="X43" i="5"/>
  <c r="V88" i="19"/>
  <c r="V51" i="19"/>
  <c r="V67" i="19"/>
  <c r="T33" i="5"/>
  <c r="L54" i="5"/>
  <c r="X24" i="5"/>
  <c r="V50" i="19"/>
  <c r="U12" i="5"/>
  <c r="V2" i="19"/>
  <c r="F7" i="1"/>
  <c r="U35" i="5"/>
  <c r="K7" i="5"/>
  <c r="K25" i="5"/>
  <c r="L10" i="5"/>
  <c r="K30" i="5"/>
  <c r="K41" i="5"/>
  <c r="V14" i="19"/>
  <c r="V82" i="19"/>
  <c r="V22" i="19"/>
  <c r="K14" i="5"/>
  <c r="V83" i="19"/>
  <c r="V29" i="19"/>
  <c r="K16" i="5"/>
  <c r="V28" i="19"/>
  <c r="U6" i="5"/>
  <c r="T53" i="5"/>
  <c r="V79" i="19"/>
  <c r="L51" i="5"/>
  <c r="K23" i="5"/>
  <c r="V64" i="19"/>
  <c r="V85" i="19"/>
  <c r="L38" i="5"/>
  <c r="L25" i="5"/>
  <c r="T23" i="5"/>
  <c r="V70" i="19"/>
  <c r="V114" i="19"/>
  <c r="L5" i="5"/>
  <c r="T8" i="5"/>
  <c r="X10" i="5"/>
  <c r="V9" i="19"/>
  <c r="V92" i="19"/>
  <c r="L11" i="5"/>
  <c r="U54" i="5"/>
  <c r="V62" i="19"/>
  <c r="K35" i="5"/>
  <c r="V102" i="19"/>
  <c r="L26" i="5"/>
  <c r="K5" i="5"/>
  <c r="V57" i="19"/>
  <c r="T41" i="5"/>
  <c r="K20" i="5"/>
  <c r="V24" i="19"/>
  <c r="V46" i="19"/>
  <c r="T26" i="5"/>
  <c r="V61" i="19"/>
  <c r="U4" i="5"/>
  <c r="V38" i="19"/>
  <c r="V86" i="19"/>
  <c r="T24" i="5"/>
  <c r="U52" i="5"/>
  <c r="T37" i="5"/>
  <c r="K43" i="5"/>
  <c r="V78" i="19"/>
  <c r="U46" i="5"/>
  <c r="V48" i="19"/>
  <c r="V94" i="19"/>
  <c r="K26" i="5"/>
  <c r="V68" i="19"/>
  <c r="V103" i="19"/>
  <c r="V41" i="19"/>
  <c r="V42" i="19"/>
  <c r="V99" i="19"/>
  <c r="V3" i="19"/>
  <c r="V26" i="19"/>
  <c r="K9" i="5"/>
  <c r="K49" i="5"/>
  <c r="T22" i="5"/>
  <c r="V16" i="19"/>
  <c r="V96" i="19"/>
  <c r="T34" i="5"/>
  <c r="X18" i="5"/>
  <c r="V30" i="19"/>
  <c r="T6" i="5"/>
  <c r="V49" i="19"/>
  <c r="T52" i="5"/>
  <c r="T18" i="5"/>
  <c r="L41" i="5"/>
  <c r="K47" i="5"/>
  <c r="V77" i="19"/>
  <c r="U17" i="5"/>
  <c r="K54" i="5"/>
  <c r="V4" i="19"/>
  <c r="V74" i="19"/>
  <c r="K24" i="5"/>
  <c r="U26" i="5"/>
  <c r="V108" i="19"/>
  <c r="V59" i="19"/>
  <c r="U24" i="5"/>
  <c r="V47" i="19"/>
  <c r="V110" i="19"/>
  <c r="V17" i="19"/>
  <c r="V35" i="19"/>
  <c r="T3" i="5"/>
  <c r="V36" i="19"/>
  <c r="L32" i="5"/>
  <c r="T40" i="5"/>
  <c r="T12" i="5"/>
  <c r="V45" i="19"/>
  <c r="E9" i="3"/>
  <c r="V54" i="19"/>
  <c r="V112" i="19"/>
  <c r="K40" i="5"/>
  <c r="U36" i="5"/>
  <c r="K3" i="5"/>
  <c r="V52" i="19"/>
  <c r="L3" i="5"/>
  <c r="V90" i="19"/>
  <c r="V43" i="19"/>
  <c r="T27" i="5"/>
  <c r="V91" i="19"/>
  <c r="V72" i="19"/>
  <c r="V66" i="19"/>
  <c r="V58" i="19"/>
  <c r="V11" i="19"/>
  <c r="K27" i="5"/>
  <c r="V107" i="19"/>
  <c r="T46" i="5"/>
  <c r="V104" i="19"/>
  <c r="V84" i="19"/>
  <c r="V95" i="19"/>
  <c r="V18" i="19"/>
  <c r="V34" i="19"/>
  <c r="V75" i="19"/>
  <c r="V98" i="19"/>
  <c r="V87" i="19"/>
  <c r="T15" i="5"/>
  <c r="V40" i="19"/>
  <c r="V53" i="19"/>
  <c r="V115" i="19"/>
  <c r="V39" i="19"/>
  <c r="K29" i="5"/>
  <c r="V106" i="19"/>
  <c r="K21" i="5"/>
  <c r="K12" i="5"/>
  <c r="V31" i="19"/>
  <c r="V100" i="19"/>
  <c r="V93" i="19"/>
  <c r="V89" i="19"/>
  <c r="K6" i="5"/>
  <c r="K52" i="5"/>
  <c r="K46" i="5"/>
  <c r="K22" i="5"/>
  <c r="K18" i="5"/>
  <c r="V63" i="19"/>
  <c r="T31" i="5"/>
  <c r="V118" i="19"/>
  <c r="V33" i="19"/>
  <c r="V101" i="19"/>
  <c r="T49" i="5"/>
  <c r="T21" i="5"/>
  <c r="V81" i="19"/>
  <c r="V5" i="19"/>
  <c r="T29" i="5"/>
  <c r="F4" i="3"/>
  <c r="V10" i="19"/>
  <c r="T9" i="5"/>
  <c r="V44" i="19"/>
  <c r="V25" i="19"/>
  <c r="V13" i="19"/>
  <c r="V73" i="19"/>
  <c r="K13" i="5"/>
  <c r="K15" i="5"/>
  <c r="V37" i="19"/>
  <c r="V56" i="19"/>
  <c r="V111" i="19"/>
  <c r="T54" i="5"/>
  <c r="V60" i="19"/>
  <c r="V71" i="19"/>
  <c r="V119" i="19"/>
  <c r="V20" i="19"/>
  <c r="K31" i="5"/>
  <c r="K34" i="5"/>
  <c r="V12"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J2" authorId="0" shapeId="0" xr:uid="{00000000-0006-0000-0A00-000001000000}">
      <text>
        <r>
          <rPr>
            <sz val="10"/>
            <color rgb="FF000000"/>
            <rFont val="Arial"/>
            <scheme val="minor"/>
          </rPr>
          <t>Couldn't find a row for this in Raw Data.
	-Orion Hansen
I think this question was dropped from the input form
	-Zack Johnson</t>
        </r>
      </text>
    </comment>
  </commentList>
</comments>
</file>

<file path=xl/sharedStrings.xml><?xml version="1.0" encoding="utf-8"?>
<sst xmlns="http://schemas.openxmlformats.org/spreadsheetml/2006/main" count="5152" uniqueCount="1387">
  <si>
    <t>Practice</t>
  </si>
  <si>
    <t>Match #</t>
  </si>
  <si>
    <t>Qualification 9</t>
  </si>
  <si>
    <t>Red 1</t>
  </si>
  <si>
    <t>Red 2</t>
  </si>
  <si>
    <t>Red 3</t>
  </si>
  <si>
    <t>Breakdown</t>
  </si>
  <si>
    <t>Blue 1</t>
  </si>
  <si>
    <t>Blue 2</t>
  </si>
  <si>
    <t>Blue 3</t>
  </si>
  <si>
    <t>Team Numbers</t>
  </si>
  <si>
    <t xml:space="preserve">Predicted Score </t>
  </si>
  <si>
    <t>Margin</t>
  </si>
  <si>
    <t>Score By Team</t>
  </si>
  <si>
    <t xml:space="preserve">% Of Total Score </t>
  </si>
  <si>
    <t>Detailed View</t>
  </si>
  <si>
    <t>Auto</t>
  </si>
  <si>
    <t>Points</t>
  </si>
  <si>
    <t>Leave?</t>
  </si>
  <si>
    <t>L4 Coral</t>
  </si>
  <si>
    <t>L3 Coral</t>
  </si>
  <si>
    <t>L2 Coral</t>
  </si>
  <si>
    <t>L1 Coral</t>
  </si>
  <si>
    <t>Net Algae</t>
  </si>
  <si>
    <t>Processor Algae</t>
  </si>
  <si>
    <t>Tele-Op</t>
  </si>
  <si>
    <t>End game</t>
  </si>
  <si>
    <t>Park ?</t>
  </si>
  <si>
    <t>Climb Shallow?</t>
  </si>
  <si>
    <t>Climb Deep?</t>
  </si>
  <si>
    <t>Other</t>
  </si>
  <si>
    <t>Algae Pickup Ability</t>
  </si>
  <si>
    <t xml:space="preserve">Can Play Defense? </t>
  </si>
  <si>
    <t>Matches Scouted</t>
  </si>
  <si>
    <t>Qualifications</t>
  </si>
  <si>
    <t>GENERAL</t>
  </si>
  <si>
    <t>Match By Match</t>
  </si>
  <si>
    <t>Autonomous</t>
  </si>
  <si>
    <t>Endgame</t>
  </si>
  <si>
    <t>Comments</t>
  </si>
  <si>
    <t>Starting Location</t>
  </si>
  <si>
    <t>Leave</t>
  </si>
  <si>
    <t>Coral L4</t>
  </si>
  <si>
    <t>Coral L3</t>
  </si>
  <si>
    <t>Coral L2</t>
  </si>
  <si>
    <t>Coral L1</t>
  </si>
  <si>
    <t>Coral Missed</t>
  </si>
  <si>
    <t>Net Misses</t>
  </si>
  <si>
    <t>Strategy</t>
  </si>
  <si>
    <t>Result</t>
  </si>
  <si>
    <t>Climb Time</t>
  </si>
  <si>
    <t>General</t>
  </si>
  <si>
    <t>Team Name:</t>
  </si>
  <si>
    <t>Coral %</t>
  </si>
  <si>
    <t>Leave %</t>
  </si>
  <si>
    <t>Pick-Up Locations</t>
  </si>
  <si>
    <t>AUTO</t>
  </si>
  <si>
    <t>Blue Barge</t>
  </si>
  <si>
    <t>Middle</t>
  </si>
  <si>
    <t>Current Rank:</t>
  </si>
  <si>
    <t>L4</t>
  </si>
  <si>
    <t>Next Match:</t>
  </si>
  <si>
    <t>L3</t>
  </si>
  <si>
    <t>Algae</t>
  </si>
  <si>
    <t>L2</t>
  </si>
  <si>
    <t>Processor</t>
  </si>
  <si>
    <t>Net #</t>
  </si>
  <si>
    <t>Net %</t>
  </si>
  <si>
    <t>L1</t>
  </si>
  <si>
    <t>Defence Matches</t>
  </si>
  <si>
    <t>D Rating</t>
  </si>
  <si>
    <t>Robustness (1-5)</t>
  </si>
  <si>
    <t>Wiring (1-5)</t>
  </si>
  <si>
    <t>Bumpers (1-5)</t>
  </si>
  <si>
    <t>Reef Algae</t>
  </si>
  <si>
    <t>End Game</t>
  </si>
  <si>
    <t>TELE OP</t>
  </si>
  <si>
    <t>Net score type</t>
  </si>
  <si>
    <t>Prefered Strategy</t>
  </si>
  <si>
    <t>Park %</t>
  </si>
  <si>
    <t>Deep</t>
  </si>
  <si>
    <t>Attempts</t>
  </si>
  <si>
    <t>Successful</t>
  </si>
  <si>
    <t>Average Time</t>
  </si>
  <si>
    <t>Shallow</t>
  </si>
  <si>
    <t>Dc</t>
  </si>
  <si>
    <t>P</t>
  </si>
  <si>
    <t>Team A:</t>
  </si>
  <si>
    <t>Team A</t>
  </si>
  <si>
    <t>Team B</t>
  </si>
  <si>
    <t>Team C</t>
  </si>
  <si>
    <t>Team D</t>
  </si>
  <si>
    <t>Coral</t>
  </si>
  <si>
    <t>Team B:</t>
  </si>
  <si>
    <t>Team C:</t>
  </si>
  <si>
    <t>Team D:</t>
  </si>
  <si>
    <t>Processor #</t>
  </si>
  <si>
    <t>Net Accuracy</t>
  </si>
  <si>
    <t>Preferred Climb</t>
  </si>
  <si>
    <t>% of Successes</t>
  </si>
  <si>
    <t># of Attempts</t>
  </si>
  <si>
    <t>Defense</t>
  </si>
  <si>
    <t># of Matches with Defense Played</t>
  </si>
  <si>
    <t>Quality of Defense</t>
  </si>
  <si>
    <t>Team Number</t>
  </si>
  <si>
    <t>Team Name</t>
  </si>
  <si>
    <t>Rank</t>
  </si>
  <si>
    <t>L1 Coral #</t>
  </si>
  <si>
    <t>L2 Coral #</t>
  </si>
  <si>
    <t>L3 Coral #</t>
  </si>
  <si>
    <t>L4 Coral #</t>
  </si>
  <si>
    <t>Total Coral</t>
  </si>
  <si>
    <t>Coral Accuracy %</t>
  </si>
  <si>
    <t>Processor Algae #</t>
  </si>
  <si>
    <t>Net Algae #</t>
  </si>
  <si>
    <t>Net Algae Accuracy %</t>
  </si>
  <si>
    <t># of Matches Defence</t>
  </si>
  <si>
    <t>Average Defence Rating</t>
  </si>
  <si>
    <t>Preferred Cage Position</t>
  </si>
  <si>
    <t>% Successful Climbs</t>
  </si>
  <si>
    <t># of Climb Attempts</t>
  </si>
  <si>
    <t>Timestamp</t>
  </si>
  <si>
    <t>Scout Name:</t>
  </si>
  <si>
    <t>Team # and Name</t>
  </si>
  <si>
    <t>Taken Picture of Robot</t>
  </si>
  <si>
    <t>Taken Picture of Robot Wiring</t>
  </si>
  <si>
    <t>"What have you done to prepare your wiring for competition?"</t>
  </si>
  <si>
    <r>
      <t xml:space="preserve">Wiring Quality  </t>
    </r>
    <r>
      <rPr>
        <u/>
        <sz val="10"/>
        <color rgb="FF1155CC"/>
        <rFont val="Arial"/>
      </rPr>
      <t>Via Citrus Circuits</t>
    </r>
  </si>
  <si>
    <r>
      <t xml:space="preserve">Drivetrain Robustness </t>
    </r>
    <r>
      <rPr>
        <u/>
        <sz val="10"/>
        <color rgb="FF1155CC"/>
        <rFont val="Arial"/>
      </rPr>
      <t>Via Citrus Circuits</t>
    </r>
  </si>
  <si>
    <t>Quality of Bumpers</t>
  </si>
  <si>
    <t>Bumper Style</t>
  </si>
  <si>
    <t>Wiring Quality Comments</t>
  </si>
  <si>
    <t>Robot Robustness Comments</t>
  </si>
  <si>
    <t>Quality of Bumpers Comments</t>
  </si>
  <si>
    <r>
      <t xml:space="preserve">Coral System Robustness </t>
    </r>
    <r>
      <rPr>
        <u/>
        <sz val="10"/>
        <color rgb="FF1155CC"/>
        <rFont val="Arial"/>
      </rPr>
      <t>Via Citrus Circuits</t>
    </r>
  </si>
  <si>
    <r>
      <t xml:space="preserve">Algae System Robustness </t>
    </r>
    <r>
      <rPr>
        <u/>
        <sz val="10"/>
        <color rgb="FF1155CC"/>
        <rFont val="Arial"/>
      </rPr>
      <t>Via Citrus Circuits</t>
    </r>
  </si>
  <si>
    <r>
      <t xml:space="preserve">Climber Robustness </t>
    </r>
    <r>
      <rPr>
        <u/>
        <sz val="10"/>
        <color rgb="FF1155CC"/>
        <rFont val="Arial"/>
      </rPr>
      <t>Via Citrus Circuits</t>
    </r>
  </si>
  <si>
    <t>Email Address</t>
  </si>
  <si>
    <t>Average Robustness</t>
  </si>
  <si>
    <t>Column 1</t>
  </si>
  <si>
    <t>2472 Centurions</t>
  </si>
  <si>
    <t>Yes</t>
  </si>
  <si>
    <t>Use Anderson and heat shrink solder conectors</t>
  </si>
  <si>
    <t>Separate set for each color</t>
  </si>
  <si>
    <t>Messy</t>
  </si>
  <si>
    <t>dmcdonald@greatriverschool.org</t>
  </si>
  <si>
    <t>6909 SAKURA Tempesta</t>
  </si>
  <si>
    <t xml:space="preserve">Messy, have a power chain, loose wires, might get caught in elevator </t>
  </si>
  <si>
    <t>Every thing look structural</t>
  </si>
  <si>
    <t>2227 Tigers</t>
  </si>
  <si>
    <t>Nice wire management</t>
  </si>
  <si>
    <t>Climber is cool</t>
  </si>
  <si>
    <t>2181 GEARS</t>
  </si>
  <si>
    <t>No</t>
  </si>
  <si>
    <t>Cable managed</t>
  </si>
  <si>
    <t>Really organized</t>
  </si>
  <si>
    <t>4 pieces</t>
  </si>
  <si>
    <t>2450 Wind Chill</t>
  </si>
  <si>
    <t>Went through wiring, have a powerchain</t>
  </si>
  <si>
    <t>Very protected, little messy</t>
  </si>
  <si>
    <t xml:space="preserve">Has climber, doesn’t climb, very protected component </t>
  </si>
  <si>
    <t>4 piece bumpers</t>
  </si>
  <si>
    <t>3018 Nordic Storm</t>
  </si>
  <si>
    <t>Everything is well cable managed</t>
  </si>
  <si>
    <t>Climber pulley is supported by a miter shaft and a piece of poly carb</t>
  </si>
  <si>
    <t>2207 Bright Bears</t>
  </si>
  <si>
    <t>Little messy, wires having down the front of the elevator going to EE’S</t>
  </si>
  <si>
    <t>Lots of welding, it’s holding most of their robot together</t>
  </si>
  <si>
    <t>Over the top style</t>
  </si>
  <si>
    <t>3454 Z Bots</t>
  </si>
  <si>
    <t xml:space="preserve">2 piece </t>
  </si>
  <si>
    <t>3297 Full Metal Jackets</t>
  </si>
  <si>
    <t>Wires are under belly pan</t>
  </si>
  <si>
    <t>Can’t see most of it, what I can see looks good</t>
  </si>
  <si>
    <t>2 piece</t>
  </si>
  <si>
    <t>2846 FireBears</t>
  </si>
  <si>
    <t>Well managed and protected</t>
  </si>
  <si>
    <t>Climber untested, wood belly pan</t>
  </si>
  <si>
    <t>3082 Chicken Bot Pie</t>
  </si>
  <si>
    <t>Little messy</t>
  </si>
  <si>
    <t>5271 Open Circuits</t>
  </si>
  <si>
    <t>Coral is not secure in CEE</t>
  </si>
  <si>
    <t>2 piece bumpers</t>
  </si>
  <si>
    <t>2847 The MegaHertz</t>
  </si>
  <si>
    <t>Clean</t>
  </si>
  <si>
    <t>5996 R.U.R.</t>
  </si>
  <si>
    <t>2498 BearBotics</t>
  </si>
  <si>
    <t>3926 MPArors</t>
  </si>
  <si>
    <t>One set double sided</t>
  </si>
  <si>
    <t>Over the top bumpers</t>
  </si>
  <si>
    <t>3755 Dragon Robotics</t>
  </si>
  <si>
    <t>.25” steel plates for counter balence</t>
  </si>
  <si>
    <t>3891 Rodeo Robotics</t>
  </si>
  <si>
    <t>Wiring is messy</t>
  </si>
  <si>
    <t>3038 ICE</t>
  </si>
  <si>
    <t>Isolate sub systems wiring</t>
  </si>
  <si>
    <t>3745 Governors</t>
  </si>
  <si>
    <t>Tank drive</t>
  </si>
  <si>
    <t>4 piece</t>
  </si>
  <si>
    <t>7850 C.A.R.D.S.</t>
  </si>
  <si>
    <t>Over the top bumper</t>
  </si>
  <si>
    <t>matchLevel</t>
  </si>
  <si>
    <t>matchNumber</t>
  </si>
  <si>
    <t>winningAlliance</t>
  </si>
  <si>
    <t>tiebreaker_item1</t>
  </si>
  <si>
    <t>tiebreaker_item2</t>
  </si>
  <si>
    <t>coopertitionBonusAchieved</t>
  </si>
  <si>
    <t>coralBonusLevelsThresholdCoop</t>
  </si>
  <si>
    <t>coralBonusLevelsThresholdNonCoop</t>
  </si>
  <si>
    <t>coralBonusLevelsThreshold</t>
  </si>
  <si>
    <t>bargeBonusThreshold</t>
  </si>
  <si>
    <t>autoBonusCoralThreshold</t>
  </si>
  <si>
    <t>alliances_0_alliance</t>
  </si>
  <si>
    <t>alliances_0_autoLineRobot1</t>
  </si>
  <si>
    <t>alliances_0_endGameRobot1</t>
  </si>
  <si>
    <t>alliances_0_autoLineRobot2</t>
  </si>
  <si>
    <t>alliances_0_endGameRobot2</t>
  </si>
  <si>
    <t>alliances_0_autoLineRobot3</t>
  </si>
  <si>
    <t>alliances_0_endGameRobot3</t>
  </si>
  <si>
    <t>alliances_0_autoReef</t>
  </si>
  <si>
    <t>alliances_0_autoCoralCount</t>
  </si>
  <si>
    <t>alliances_0_autoMobilityPoints</t>
  </si>
  <si>
    <t>alliances_0_autoPoints</t>
  </si>
  <si>
    <t>alliances_0_autoCoralPoints</t>
  </si>
  <si>
    <t>alliances_0_teleopReef</t>
  </si>
  <si>
    <t>alliances_0_teleopCoralCount</t>
  </si>
  <si>
    <t>alliances_0_teleopPoints</t>
  </si>
  <si>
    <t>alliances_0_teleopCoralPoints</t>
  </si>
  <si>
    <t>alliances_0_algaePoints</t>
  </si>
  <si>
    <t>alliances_0_netAlgaeCount</t>
  </si>
  <si>
    <t>alliances_0_wallAlgaeCount</t>
  </si>
  <si>
    <t>alliances_0_endGameBargePoints</t>
  </si>
  <si>
    <t>alliances_0_autoBonusAchieved</t>
  </si>
  <si>
    <t>alliances_0_coralBonusAchieved</t>
  </si>
  <si>
    <t>alliances_0_bargeBonusAchieved</t>
  </si>
  <si>
    <t>alliances_0_coopertitionCriteriaMet</t>
  </si>
  <si>
    <t>alliances_0_foulCount</t>
  </si>
  <si>
    <t>alliances_0_techFoulCount</t>
  </si>
  <si>
    <t>alliances_0_g206Penalty</t>
  </si>
  <si>
    <t>alliances_0_g410Penalty</t>
  </si>
  <si>
    <t>alliances_0_g418Penalty</t>
  </si>
  <si>
    <t>alliances_0_g428Penalty</t>
  </si>
  <si>
    <t>alliances_0_adjustPoints</t>
  </si>
  <si>
    <t>alliances_0_foulPoints</t>
  </si>
  <si>
    <t>alliances_0_rp</t>
  </si>
  <si>
    <t>alliances_0_totalPoints</t>
  </si>
  <si>
    <t>alliances_1_alliance</t>
  </si>
  <si>
    <t>alliances_1_autoLineRobot1</t>
  </si>
  <si>
    <t>alliances_1_endGameRobot1</t>
  </si>
  <si>
    <t>alliances_1_autoLineRobot2</t>
  </si>
  <si>
    <t>alliances_1_endGameRobot2</t>
  </si>
  <si>
    <t>alliances_1_autoLineRobot3</t>
  </si>
  <si>
    <t>alliances_1_endGameRobot3</t>
  </si>
  <si>
    <t>alliances_1_autoReef</t>
  </si>
  <si>
    <t>alliances_1_autoCoralCount</t>
  </si>
  <si>
    <t>alliances_1_autoMobilityPoints</t>
  </si>
  <si>
    <t>alliances_1_autoPoints</t>
  </si>
  <si>
    <t>alliances_1_autoCoralPoints</t>
  </si>
  <si>
    <t>alliances_1_teleopReef</t>
  </si>
  <si>
    <t>alliances_1_teleopCoralCount</t>
  </si>
  <si>
    <t>alliances_1_teleopPoints</t>
  </si>
  <si>
    <t>alliances_1_teleopCoralPoints</t>
  </si>
  <si>
    <t>alliances_1_algaePoints</t>
  </si>
  <si>
    <t>alliances_1_netAlgaeCount</t>
  </si>
  <si>
    <t>alliances_1_wallAlgaeCount</t>
  </si>
  <si>
    <t>alliances_1_endGameBargePoints</t>
  </si>
  <si>
    <t>alliances_1_autoBonusAchieved</t>
  </si>
  <si>
    <t>alliances_1_coralBonusAchieved</t>
  </si>
  <si>
    <t>alliances_1_bargeBonusAchieved</t>
  </si>
  <si>
    <t>alliances_1_coopertitionCriteriaMet</t>
  </si>
  <si>
    <t>alliances_1_foulCount</t>
  </si>
  <si>
    <t>alliances_1_techFoulCount</t>
  </si>
  <si>
    <t>alliances_1_g206Penalty</t>
  </si>
  <si>
    <t>alliances_1_g410Penalty</t>
  </si>
  <si>
    <t>alliances_1_g418Penalty</t>
  </si>
  <si>
    <t>alliances_1_g428Penalty</t>
  </si>
  <si>
    <t>alliances_1_adjustPoints</t>
  </si>
  <si>
    <t>alliances_1_foulPoints</t>
  </si>
  <si>
    <t>alliances_1_rp</t>
  </si>
  <si>
    <t>alliances_1_totalPoints</t>
  </si>
  <si>
    <t>Qualification</t>
  </si>
  <si>
    <t>Blue</t>
  </si>
  <si>
    <t>Parked</t>
  </si>
  <si>
    <t>None</t>
  </si>
  <si>
    <t>{botRow={nodeA=false, nodeF=false, nodeC=false, nodeB=false, nodeG=false, nodeE=false, nodeD=false, nodeI=false, nodeL=false, nodeK=false, nodeH=false, nodeJ=false}, trough=0.0, topRow={nodeK=false, nodeI=false, nodeE=false, nodeC=false, nodeB=false, nodeL=false, nodeH=false, nodeA=false, nodeF=false, nodeJ=false, nodeG=false, nodeD=false}, midRow={nodeJ=false, nodeC=false, nodeG=false, nodeL=false, nodeA=false, nodeE=false, nodeF=false, nodeI=false, nodeH=false, nodeB=false, nodeD=false, nodeK=false}}</t>
  </si>
  <si>
    <t>{botRow={nodeB=false, nodeK=false, nodeF=false, nodeE=false, nodeH=false, nodeD=false, nodeJ=false, nodeC=false, nodeG=false, nodeL=false, nodeA=false, nodeI=false}, trough=7.0, topRow={nodeB=false, nodeG=false, nodeI=false, nodeK=false, nodeA=false, nodeJ=false, nodeC=false, nodeD=false, nodeF=false, nodeL=false, nodeH=false, nodeE=false}, midRow={nodeI=false, nodeB=false, nodeJ=false, nodeA=false, nodeK=false, nodeD=false, nodeG=false, nodeH=false, nodeE=false, nodeC=false, nodeF=false, nodeL=false}}</t>
  </si>
  <si>
    <t>Red</t>
  </si>
  <si>
    <t>{botRow={nodeD=false, nodeF=false, nodeE=false, nodeI=false, nodeC=false, nodeH=false, nodeA=false, nodeG=false, nodeL=false, nodeB=false, nodeK=false, nodeJ=false}, topRow={nodeE=false, nodeC=false, nodeI=false, nodeB=false, nodeD=false, nodeF=false, nodeA=false, nodeL=false, nodeJ=false, nodeK=false, nodeH=false, nodeG=false}, trough=2.0, midRow={nodeE=false, nodeL=false, nodeK=false, nodeC=false, nodeA=false, nodeB=false, nodeF=false, nodeJ=false, nodeG=false, nodeH=false, nodeD=false, nodeI=false}}</t>
  </si>
  <si>
    <t>{botRow={nodeC=false, nodeD=false, nodeG=false, nodeK=false, nodeH=false, nodeI=false, nodeE=false, nodeJ=false, nodeB=false, nodeF=false, nodeL=false, nodeA=false}, topRow={nodeH=false, nodeA=false, nodeL=true, nodeG=false, nodeD=false, nodeF=false, nodeI=false, nodeJ=false, nodeB=false, nodeE=false, nodeC=false, nodeK=false}, trough=3.0, midRow={nodeK=false, nodeL=false, nodeG=true, nodeB=true, nodeE=false, nodeA=true, nodeF=false, nodeJ=true, nodeC=false, nodeH=true, nodeI=true, nodeD=false}}</t>
  </si>
  <si>
    <t>{topRow={nodeJ=false, nodeF=false, nodeH=false, nodeB=false, nodeI=false, nodeA=false, nodeD=false, nodeG=false, nodeC=false, nodeE=false, nodeK=false, nodeL=false}, trough=0.0, botRow={nodeH=false, nodeL=false, nodeG=false, nodeA=false, nodeD=false, nodeB=false, nodeE=false, nodeJ=false, nodeI=false, nodeF=false, nodeC=false, nodeK=false}, midRow={nodeI=false, nodeH=false, nodeL=false, nodeF=false, nodeD=false, nodeJ=false, nodeE=false, nodeA=false, nodeC=false, nodeK=false, nodeG=false, nodeB=false}}</t>
  </si>
  <si>
    <t>{trough=0.0, botRow={nodeJ=false, nodeK=false, nodeH=false, nodeF=false, nodeL=false, nodeA=false, nodeE=false, nodeC=false, nodeD=false, nodeB=false, nodeI=false, nodeG=false}, midRow={nodeD=false, nodeH=false, nodeL=false, nodeB=false, nodeJ=false, nodeE=false, nodeK=false, nodeI=false, nodeG=false, nodeC=false, nodeF=false, nodeA=false}, topRow={nodeE=false, nodeB=true, nodeJ=true, nodeC=true, nodeI=true, nodeG=true, nodeF=true, nodeA=true, nodeL=true, nodeK=true, nodeD=true, nodeH=true}}</t>
  </si>
  <si>
    <t>{botRow={nodeB=false, nodeF=false, nodeK=false, nodeH=false, nodeJ=false, nodeL=false, nodeC=false, nodeG=false, nodeA=false, nodeI=false, nodeD=false, nodeE=false}, trough=0.0, midRow={nodeF=false, nodeK=false, nodeH=false, nodeC=false, nodeI=false, nodeL=false, nodeB=false, nodeA=false, nodeJ=false, nodeD=false, nodeE=false, nodeG=false}, topRow={nodeI=false, nodeA=false, nodeH=false, nodeL=false, nodeC=false, nodeB=false, nodeD=false, nodeJ=false, nodeG=false, nodeE=false, nodeK=false, nodeF=false}}</t>
  </si>
  <si>
    <t>{botRow={nodeD=false, nodeJ=false, nodeF=false, nodeB=false, nodeL=false, nodeA=false, nodeK=false, nodeG=false, nodeH=false, nodeI=false, nodeE=false, nodeC=false}, trough=0.0, topRow={nodeA=true, nodeJ=false, nodeB=false, nodeC=false, nodeK=true, nodeF=false, nodeL=true, nodeH=false, nodeE=false, nodeG=false, nodeI=true, nodeD=true}, midRow={nodeB=false, nodeJ=false, nodeA=false, nodeK=false, nodeG=false, nodeL=false, nodeD=false, nodeI=false, nodeE=false, nodeC=false, nodeH=false, nodeF=false}}</t>
  </si>
  <si>
    <t>DeepCage</t>
  </si>
  <si>
    <t>{topRow={nodeH=false, nodeF=false, nodeL=false, nodeJ=false, nodeA=false, nodeD=false, nodeB=false, nodeE=false, nodeK=false, nodeI=false, nodeC=false, nodeG=false}, botRow={nodeE=false, nodeK=false, nodeJ=false, nodeC=false, nodeI=false, nodeD=false, nodeH=false, nodeF=false, nodeL=false, nodeB=false, nodeA=false, nodeG=false}, trough=0.0, midRow={nodeC=false, nodeH=false, nodeB=false, nodeK=false, nodeI=false, nodeD=false, nodeG=false, nodeE=false, nodeJ=false, nodeA=false, nodeF=false, nodeL=false}}</t>
  </si>
  <si>
    <t>{topRow={nodeH=false, nodeB=false, nodeJ=false, nodeI=false, nodeF=false, nodeG=false, nodeA=true, nodeD=false, nodeL=true, nodeC=false, nodeE=false, nodeK=true}, botRow={nodeK=false, nodeH=false, nodeA=false, nodeE=false, nodeF=false, nodeI=false, nodeJ=false, nodeD=false, nodeG=false, nodeC=false, nodeL=false, nodeB=false}, trough=1.0, midRow={nodeF=false, nodeI=false, nodeD=false, nodeL=false, nodeE=false, nodeB=false, nodeA=false, nodeC=false, nodeK=false, nodeH=false, nodeG=false, nodeJ=false}}</t>
  </si>
  <si>
    <t>{midRow={nodeI=false, nodeG=false, nodeH=false, nodeK=false, nodeF=false, nodeB=false, nodeA=false, nodeC=false, nodeJ=false, nodeL=false, nodeE=false, nodeD=false}, trough=0.0, topRow={nodeI=false, nodeG=false, nodeH=false, nodeJ=false, nodeE=false, nodeF=true, nodeB=false, nodeA=false, nodeC=false, nodeK=false, nodeD=true, nodeL=false}, botRow={nodeL=false, nodeA=false, nodeC=false, nodeB=false, nodeE=false, nodeD=false, nodeJ=false, nodeF=false, nodeH=false, nodeK=false, nodeI=false, nodeG=false}}</t>
  </si>
  <si>
    <t>{topRow={nodeG=false, nodeK=false, nodeJ=false, nodeA=false, nodeH=false, nodeF=false, nodeI=false, nodeD=true, nodeB=false, nodeE=false, nodeL=false, nodeC=true}, trough=3.0, botRow={nodeL=false, nodeC=false, nodeB=false, nodeF=false, nodeE=false, nodeG=false, nodeI=false, nodeH=false, nodeD=false, nodeK=false, nodeJ=false, nodeA=false}, midRow={nodeA=true, nodeI=false, nodeD=true, nodeB=true, nodeE=true, nodeF=true, nodeG=false, nodeC=true, nodeJ=false, nodeK=false, nodeH=false, nodeL=false}}</t>
  </si>
  <si>
    <t>{midRow={nodeC=false, nodeB=false, nodeK=false, nodeI=false, nodeL=false, nodeE=false, nodeG=false, nodeJ=false, nodeH=false, nodeA=false, nodeD=false, nodeF=false}, trough=0.0, botRow={nodeA=false, nodeK=false, nodeD=false, nodeC=false, nodeE=false, nodeB=false, nodeF=false, nodeG=false, nodeH=false, nodeI=false, nodeJ=false, nodeL=false}, topRow={nodeJ=false, nodeI=false, nodeD=true, nodeK=false, nodeL=false, nodeH=false, nodeC=false, nodeF=false, nodeA=false, nodeB=false, nodeG=false, nodeE=false}}</t>
  </si>
  <si>
    <t>{topRow={nodeJ=false, nodeI=false, nodeK=false, nodeA=true, nodeF=true, nodeL=false, nodeE=true, nodeC=true, nodeB=true, nodeH=false, nodeD=true, nodeG=false}, botRow={nodeL=false, nodeE=false, nodeF=false, nodeD=false, nodeG=false, nodeH=false, nodeJ=false, nodeK=false, nodeC=false, nodeA=false, nodeI=false, nodeB=false}, trough=0.0, midRow={nodeJ=false, nodeC=false, nodeB=true, nodeF=false, nodeA=true, nodeK=true, nodeD=false, nodeG=false, nodeH=false, nodeI=false, nodeE=false, nodeL=true}}</t>
  </si>
  <si>
    <t>{trough=0.0, topRow={nodeF=false, nodeD=false, nodeL=false, nodeJ=false, nodeG=false, nodeH=false, nodeB=false, nodeA=false, nodeE=false, nodeC=false, nodeK=false, nodeI=false}, botRow={nodeG=false, nodeC=false, nodeF=false, nodeH=false, nodeE=false, nodeA=false, nodeI=false, nodeK=false, nodeL=false, nodeB=false, nodeJ=false, nodeD=false}, midRow={nodeB=false, nodeL=false, nodeC=false, nodeJ=false, nodeD=false, nodeI=false, nodeG=false, nodeE=false, nodeF=false, nodeK=false, nodeH=false, nodeA=false}}</t>
  </si>
  <si>
    <t>{botRow={nodeA=false, nodeC=false, nodeK=false, nodeL=false, nodeH=false, nodeF=false, nodeD=false, nodeI=false, nodeB=false, nodeG=false, nodeE=false, nodeJ=false}, midRow={nodeE=false, nodeB=false, nodeA=false, nodeI=false, nodeG=false, nodeL=false, nodeJ=false, nodeD=false, nodeH=false, nodeC=false, nodeF=false, nodeK=false}, trough=0.0, topRow={nodeD=true, nodeC=true, nodeK=true, nodeA=true, nodeE=false, nodeB=true, nodeL=false, nodeF=false, nodeJ=false, nodeH=false, nodeI=false, nodeG=false}}</t>
  </si>
  <si>
    <t>{botRow={nodeB=false, nodeG=false, nodeA=false, nodeJ=false, nodeK=false, nodeD=false, nodeF=false, nodeE=false, nodeI=false, nodeC=false, nodeL=false, nodeH=false}, trough=0.0, midRow={nodeI=false, nodeB=false, nodeF=false, nodeE=false, nodeD=false, nodeC=false, nodeK=false, nodeA=false, nodeL=false, nodeG=false, nodeH=false, nodeJ=false}, topRow={nodeI=false, nodeG=false, nodeH=false, nodeB=false, nodeL=false, nodeA=false, nodeF=false, nodeD=false, nodeK=false, nodeE=false, nodeC=false, nodeJ=false}}</t>
  </si>
  <si>
    <t>{botRow={nodeA=false, nodeF=false, nodeD=false, nodeB=false, nodeC=false, nodeG=false, nodeH=false, nodeL=false, nodeE=false, nodeI=false, nodeK=false, nodeJ=false}, trough=1.0, topRow={nodeG=false, nodeK=false, nodeC=true, nodeJ=false, nodeB=true, nodeE=true, nodeI=false, nodeD=false, nodeL=true, nodeH=true, nodeF=false, nodeA=true}, midRow={nodeL=false, nodeG=false, nodeH=false, nodeB=false, nodeA=false, nodeK=false, nodeJ=false, nodeC=false, nodeI=false, nodeF=true, nodeE=false, nodeD=false}}</t>
  </si>
  <si>
    <t>{midRow={nodeE=false, nodeJ=false, nodeG=false, nodeA=false, nodeH=false, nodeK=false, nodeI=false, nodeL=false, nodeC=false, nodeF=false, nodeB=false, nodeD=false}, trough=0.0, botRow={nodeH=false, nodeI=false, nodeL=false, nodeG=false, nodeA=false, nodeB=false, nodeJ=false, nodeC=false, nodeE=false, nodeF=false, nodeD=false, nodeK=false}, topRow={nodeC=false, nodeH=false, nodeD=false, nodeJ=false, nodeA=false, nodeG=false, nodeF=false, nodeK=false, nodeE=false, nodeB=false, nodeL=false, nodeI=false}}</t>
  </si>
  <si>
    <t>{trough=1.0, midRow={nodeC=true, nodeJ=false, nodeA=false, nodeF=false, nodeB=false, nodeL=false, nodeD=true, nodeH=false, nodeE=false, nodeG=false, nodeK=false, nodeI=false}, topRow={nodeE=true, nodeH=true, nodeL=true, nodeB=true, nodeF=true, nodeG=true, nodeJ=true, nodeI=true, nodeD=true, nodeK=true, nodeC=true, nodeA=true}, botRow={nodeI=false, nodeD=false, nodeJ=false, nodeA=true, nodeF=false, nodeB=true, nodeK=false, nodeH=false, nodeC=false, nodeE=false, nodeG=false, nodeL=false}}</t>
  </si>
  <si>
    <t>{topRow={nodeH=false, nodeB=false, nodeJ=false, nodeI=false, nodeK=false, nodeG=false, nodeA=false, nodeE=false, nodeF=false, nodeC=false, nodeL=false, nodeD=false}, midRow={nodeC=false, nodeA=false, nodeE=false, nodeL=false, nodeF=false, nodeB=false, nodeG=false, nodeH=false, nodeD=false, nodeI=false, nodeK=false, nodeJ=false}, trough=0.0, botRow={nodeE=false, nodeI=false, nodeL=false, nodeH=false, nodeA=false, nodeD=false, nodeB=false, nodeK=false, nodeC=false, nodeG=false, nodeF=false, nodeJ=false}}</t>
  </si>
  <si>
    <t>{topRow={nodeG=true, nodeD=false, nodeC=false, nodeB=false, nodeK=true, nodeA=true, nodeL=true, nodeJ=true, nodeH=false, nodeI=false, nodeF=true, nodeE=false}, midRow={nodeA=true, nodeG=true, nodeE=true, nodeK=false, nodeB=true, nodeH=true, nodeJ=false, nodeI=false, nodeL=false, nodeF=true, nodeC=false, nodeD=false}, trough=0.0, botRow={nodeA=true, nodeI=true, nodeH=false, nodeB=true, nodeJ=true, nodeF=false, nodeL=false, nodeG=true, nodeK=false, nodeD=false, nodeC=false, nodeE=false}}</t>
  </si>
  <si>
    <t>{botRow={nodeD=false, nodeF=false, nodeJ=false, nodeH=false, nodeK=false, nodeG=false, nodeA=false, nodeL=false, nodeC=false, nodeB=false, nodeI=false, nodeE=false}, trough=1.0, topRow={nodeF=false, nodeE=false, nodeD=false, nodeL=false, nodeG=false, nodeH=false, nodeK=false, nodeA=false, nodeC=false, nodeB=false, nodeI=false, nodeJ=false}, midRow={nodeL=false, nodeH=false, nodeB=false, nodeG=false, nodeC=false, nodeI=false, nodeK=false, nodeD=false, nodeA=false, nodeF=false, nodeE=false, nodeJ=false}}</t>
  </si>
  <si>
    <t>{midRow={nodeF=false, nodeB=true, nodeC=false, nodeL=false, nodeK=false, nodeE=false, nodeH=false, nodeA=true, nodeI=false, nodeG=false, nodeD=false, nodeJ=false}, trough=0.0, botRow={nodeC=false, nodeI=false, nodeH=false, nodeD=false, nodeB=false, nodeF=false, nodeG=false, nodeJ=false, nodeA=true, nodeL=false, nodeK=false, nodeE=false}, topRow={nodeL=false, nodeJ=false, nodeH=false, nodeB=true, nodeE=false, nodeF=false, nodeK=false, nodeD=true, nodeA=true, nodeC=false, nodeI=false, nodeG=false}}</t>
  </si>
  <si>
    <t>{trough=1.0, midRow={nodeH=false, nodeL=false, nodeJ=false, nodeC=false, nodeA=false, nodeF=false, nodeK=false, nodeB=false, nodeI=false, nodeD=false, nodeG=false, nodeE=false}, topRow={nodeJ=false, nodeC=false, nodeE=false, nodeK=false, nodeH=false, nodeI=false, nodeL=false, nodeA=false, nodeB=false, nodeF=false, nodeG=false, nodeD=false}, botRow={nodeA=false, nodeB=false, nodeH=false, nodeK=false, nodeJ=false, nodeL=false, nodeF=false, nodeI=false, nodeC=false, nodeD=false, nodeG=false, nodeE=false}}</t>
  </si>
  <si>
    <t>{midRow={nodeL=false, nodeH=false, nodeC=false, nodeE=false, nodeB=false, nodeK=false, nodeJ=false, nodeA=false, nodeI=false, nodeG=false, nodeD=false, nodeF=false}, topRow={nodeI=false, nodeL=false, nodeA=true, nodeJ=false, nodeG=false, nodeC=true, nodeH=false, nodeK=false, nodeE=false, nodeB=true, nodeF=false, nodeD=false}, trough=5.0, botRow={nodeL=false, nodeH=false, nodeF=false, nodeA=true, nodeB=true, nodeD=false, nodeE=false, nodeC=false, nodeK=false, nodeG=false, nodeI=false, nodeJ=false}}</t>
  </si>
  <si>
    <t>{trough=0.0, botRow={nodeK=false, nodeB=false, nodeD=false, nodeG=false, nodeH=false, nodeJ=false, nodeA=false, nodeL=false, nodeI=false, nodeC=false, nodeF=false, nodeE=false}, midRow={nodeA=false, nodeL=false, nodeD=false, nodeH=false, nodeB=false, nodeG=false, nodeF=false, nodeJ=false, nodeI=false, nodeE=false, nodeK=false, nodeC=false}, topRow={nodeA=false, nodeG=false, nodeJ=false, nodeB=false, nodeE=false, nodeC=false, nodeI=false, nodeH=false, nodeD=false, nodeF=true, nodeL=false, nodeK=false}}</t>
  </si>
  <si>
    <t>{midRow={nodeD=false, nodeJ=false, nodeF=false, nodeL=false, nodeE=false, nodeI=false, nodeA=true, nodeB=false, nodeC=false, nodeH=false, nodeK=false, nodeG=false}, topRow={nodeB=true, nodeK=false, nodeJ=false, nodeI=false, nodeA=true, nodeF=true, nodeG=false, nodeL=false, nodeH=false, nodeC=true, nodeE=false, nodeD=true}, trough=5.0, botRow={nodeJ=true, nodeK=false, nodeL=false, nodeE=false, nodeB=true, nodeF=false, nodeH=false, nodeA=false, nodeC=false, nodeD=false, nodeI=false, nodeG=false}}</t>
  </si>
  <si>
    <t>{trough=0.0, topRow={nodeF=false, nodeG=false, nodeJ=false, nodeI=false, nodeC=false, nodeE=false, nodeA=false, nodeL=false, nodeD=false, nodeH=false, nodeK=false, nodeB=false}, botRow={nodeH=false, nodeE=false, nodeG=false, nodeK=false, nodeL=false, nodeA=false, nodeI=false, nodeF=false, nodeJ=false, nodeC=false, nodeD=false, nodeB=false}, midRow={nodeI=false, nodeJ=false, nodeD=false, nodeA=false, nodeC=false, nodeF=false, nodeE=false, nodeH=false, nodeK=false, nodeB=false, nodeG=false, nodeL=false}}</t>
  </si>
  <si>
    <t>{botRow={nodeD=false, nodeE=true, nodeL=false, nodeB=true, nodeH=false, nodeF=false, nodeK=false, nodeI=false, nodeJ=false, nodeA=false, nodeC=false, nodeG=false}, topRow={nodeK=false, nodeB=false, nodeC=false, nodeE=false, nodeH=false, nodeI=false, nodeJ=true, nodeF=false, nodeA=false, nodeD=false, nodeG=false, nodeL=false}, trough=0.0, midRow={nodeD=false, nodeB=false, nodeH=false, nodeJ=false, nodeK=false, nodeG=false, nodeC=false, nodeI=false, nodeE=false, nodeF=false, nodeL=false, nodeA=false}}</t>
  </si>
  <si>
    <t>{trough=0.0, topRow={nodeK=false, nodeC=false, nodeI=false, nodeB=false, nodeL=false, nodeF=false, nodeA=false, nodeG=false, nodeE=false, nodeH=false, nodeD=false, nodeJ=true}, botRow={nodeB=false, nodeD=false, nodeJ=false, nodeI=false, nodeH=false, nodeF=false, nodeE=false, nodeG=false, nodeA=false, nodeL=false, nodeC=false, nodeK=false}, midRow={nodeF=false, nodeC=false, nodeD=false, nodeE=false, nodeB=false, nodeI=false, nodeA=false, nodeK=false, nodeH=false, nodeG=false, nodeJ=false, nodeL=false}}</t>
  </si>
  <si>
    <t>{midRow={nodeH=false, nodeK=false, nodeI=false, nodeD=false, nodeF=false, nodeG=false, nodeC=false, nodeE=false, nodeL=false, nodeA=false, nodeB=false, nodeJ=false}, topRow={nodeC=false, nodeF=false, nodeB=false, nodeL=false, nodeJ=true, nodeD=false, nodeA=false, nodeG=false, nodeE=false, nodeH=false, nodeI=true, nodeK=true}, botRow={nodeB=false, nodeH=false, nodeA=false, nodeE=false, nodeD=false, nodeC=false, nodeI=false, nodeG=false, nodeK=false, nodeF=false, nodeL=false, nodeJ=false}, trough=6.0}</t>
  </si>
  <si>
    <t>{topRow={nodeB=false, nodeC=false, nodeE=false, nodeF=false, nodeG=false, nodeH=false, nodeJ=false, nodeI=false, nodeL=false, nodeK=false, nodeD=false, nodeA=false}, midRow={nodeJ=false, nodeF=false, nodeK=false, nodeE=false, nodeD=false, nodeL=false, nodeH=false, nodeA=false, nodeI=false, nodeC=false, nodeG=false, nodeB=false}, botRow={nodeB=false, nodeE=false, nodeH=false, nodeF=false, nodeD=false, nodeC=false, nodeI=false, nodeK=false, nodeL=false, nodeJ=false, nodeA=false, nodeG=false}, trough=0.0}</t>
  </si>
  <si>
    <t>{topRow={nodeC=false, nodeH=false, nodeD=false, nodeA=false, nodeG=false, nodeK=false, nodeJ=false, nodeB=false, nodeI=false, nodeF=false, nodeE=false, nodeL=false}, midRow={nodeA=false, nodeJ=false, nodeI=false, nodeL=false, nodeD=false, nodeC=false, nodeE=false, nodeB=false, nodeF=false, nodeH=false, nodeG=false, nodeK=false}, botRow={nodeA=false, nodeC=false, nodeI=false, nodeL=false, nodeH=false, nodeK=true, nodeD=false, nodeJ=false, nodeF=false, nodeE=false, nodeG=false, nodeB=false}, trough=0.0}</t>
  </si>
  <si>
    <t>{trough=0.0, midRow={nodeF=false, nodeD=false, nodeL=false, nodeJ=false, nodeC=false, nodeB=false, nodeH=false, nodeK=false, nodeE=false, nodeI=false, nodeA=false, nodeG=false}, botRow={nodeD=false, nodeK=false, nodeJ=false, nodeA=false, nodeL=false, nodeB=false, nodeE=false, nodeG=false, nodeC=false, nodeF=false, nodeH=false, nodeI=false}, topRow={nodeC=false, nodeJ=false, nodeA=false, nodeK=false, nodeL=false, nodeI=false, nodeB=false, nodeD=false, nodeE=false, nodeH=false, nodeF=false, nodeG=true}}</t>
  </si>
  <si>
    <t>{trough=0.0, botRow={nodeL=false, nodeD=false, nodeH=false, nodeC=false, nodeK=false, nodeA=true, nodeG=false, nodeJ=false, nodeB=false, nodeF=false, nodeI=false, nodeE=false}, midRow={nodeH=false, nodeB=true, nodeF=false, nodeK=false, nodeG=false, nodeJ=false, nodeA=true, nodeD=false, nodeE=false, nodeI=false, nodeC=false, nodeL=false}, topRow={nodeF=false, nodeE=false, nodeK=true, nodeH=false, nodeJ=true, nodeB=false, nodeD=false, nodeC=false, nodeA=false, nodeG=true, nodeI=false, nodeL=false}}</t>
  </si>
  <si>
    <t>{midRow={nodeF=false, nodeG=false, nodeE=false, nodeJ=false, nodeB=false, nodeD=false, nodeC=false, nodeK=false, nodeH=false, nodeA=false, nodeI=false, nodeL=false}, botRow={nodeG=false, nodeI=false, nodeF=false, nodeB=false, nodeC=false, nodeE=false, nodeH=false, nodeK=false, nodeA=false, nodeJ=false, nodeL=false, nodeD=false}, topRow={nodeC=false, nodeL=false, nodeJ=false, nodeG=false, nodeK=false, nodeD=false, nodeE=false, nodeB=false, nodeF=false, nodeH=false, nodeI=false, nodeA=false}, trough=1.0}</t>
  </si>
  <si>
    <t>{trough=4.0, botRow={nodeI=false, nodeJ=false, nodeA=false, nodeK=false, nodeE=false, nodeL=false, nodeH=false, nodeC=false, nodeF=true, nodeD=false, nodeB=false, nodeG=false}, topRow={nodeL=false, nodeG=false, nodeE=false, nodeD=false, nodeA=false, nodeJ=false, nodeC=false, nodeI=true, nodeK=false, nodeH=false, nodeB=true, nodeF=false}, midRow={nodeG=false, nodeF=true, nodeJ=false, nodeI=false, nodeC=false, nodeB=false, nodeH=false, nodeK=false, nodeL=false, nodeA=false, nodeE=false, nodeD=false}}</t>
  </si>
  <si>
    <t>{topRow={nodeH=false, nodeL=false, nodeB=false, nodeK=false, nodeD=false, nodeE=false, nodeF=false, nodeC=false, nodeG=false, nodeJ=false, nodeA=false, nodeI=false}, midRow={nodeK=false, nodeE=false, nodeD=false, nodeJ=false, nodeB=false, nodeI=false, nodeC=false, nodeL=false, nodeH=false, nodeG=false, nodeF=false, nodeA=false}, botRow={nodeA=false, nodeC=false, nodeL=false, nodeI=false, nodeF=false, nodeE=false, nodeJ=false, nodeH=false, nodeD=false, nodeG=false, nodeK=false, nodeB=false}, trough=0.0}</t>
  </si>
  <si>
    <t>{midRow={nodeA=false, nodeF=false, nodeK=false, nodeG=false, nodeI=false, nodeH=false, nodeE=false, nodeJ=false, nodeD=false, nodeC=false, nodeB=false, nodeL=false}, topRow={nodeD=true, nodeF=true, nodeA=true, nodeH=true, nodeK=true, nodeI=true, nodeB=true, nodeG=true, nodeC=true, nodeL=true, nodeE=true, nodeJ=false}, botRow={nodeB=false, nodeG=false, nodeK=false, nodeF=false, nodeE=false, nodeA=false, nodeH=false, nodeC=false, nodeI=false, nodeD=false, nodeL=false, nodeJ=false}, trough=1.0}</t>
  </si>
  <si>
    <t>{trough=0.0, botRow={nodeF=false, nodeK=false, nodeG=false, nodeB=false, nodeC=false, nodeD=false, nodeA=false, nodeJ=false, nodeL=false, nodeE=false, nodeI=false, nodeH=false}, midRow={nodeD=false, nodeF=false, nodeC=false, nodeA=false, nodeK=false, nodeI=false, nodeJ=false, nodeL=false, nodeH=false, nodeE=false, nodeG=false, nodeB=false}, topRow={nodeF=false, nodeG=false, nodeJ=false, nodeI=false, nodeB=false, nodeL=false, nodeK=false, nodeD=false, nodeC=false, nodeE=false, nodeH=false, nodeA=false}}</t>
  </si>
  <si>
    <t>{topRow={nodeE=true, nodeB=true, nodeA=true, nodeJ=true, nodeI=false, nodeG=true, nodeC=true, nodeL=true, nodeH=true, nodeK=true, nodeD=true, nodeF=true}, botRow={nodeG=false, nodeA=false, nodeL=false, nodeB=false, nodeD=false, nodeC=false, nodeK=false, nodeE=false, nodeF=false, nodeI=false, nodeH=false, nodeJ=false}, trough=1.0, midRow={nodeD=true, nodeA=false, nodeI=false, nodeF=false, nodeJ=false, nodeE=false, nodeC=true, nodeB=false, nodeH=false, nodeK=true, nodeG=false, nodeL=true}}</t>
  </si>
  <si>
    <t>{botRow={nodeI=false, nodeG=false, nodeA=false, nodeL=false, nodeD=false, nodeE=false, nodeJ=false, nodeB=false, nodeK=false, nodeH=false, nodeC=false, nodeF=false}, trough=0.0, topRow={nodeF=false, nodeE=false, nodeJ=false, nodeH=false, nodeL=false, nodeG=false, nodeI=false, nodeD=false, nodeA=false, nodeK=false, nodeB=false, nodeC=false}, midRow={nodeD=false, nodeL=false, nodeE=false, nodeB=false, nodeK=false, nodeJ=false, nodeH=false, nodeF=false, nodeA=false, nodeG=false, nodeI=false, nodeC=false}}</t>
  </si>
  <si>
    <t>{trough=2.0, midRow={nodeG=false, nodeI=false, nodeE=false, nodeC=false, nodeB=false, nodeD=false, nodeL=false, nodeF=false, nodeH=false, nodeA=false, nodeK=false, nodeJ=false}, topRow={nodeA=false, nodeE=false, nodeI=false, nodeD=false, nodeH=false, nodeG=false, nodeC=false, nodeF=false, nodeL=false, nodeB=false, nodeK=false, nodeJ=false}, botRow={nodeJ=false, nodeH=false, nodeC=false, nodeI=false, nodeF=false, nodeB=false, nodeG=false, nodeA=false, nodeE=false, nodeL=false, nodeK=false, nodeD=false}}</t>
  </si>
  <si>
    <t>{topRow={nodeF=false, nodeB=false, nodeJ=false, nodeE=false, nodeK=false, nodeC=false, nodeI=false, nodeA=false, nodeH=false, nodeD=false, nodeG=false, nodeL=false}, botRow={nodeL=false, nodeK=false, nodeJ=false, nodeA=false, nodeH=false, nodeD=false, nodeB=false, nodeI=false, nodeF=false, nodeG=false, nodeC=false, nodeE=false}, trough=0.0, midRow={nodeJ=false, nodeL=false, nodeC=false, nodeG=false, nodeA=false, nodeI=false, nodeB=false, nodeE=false, nodeK=false, nodeF=false, nodeD=false, nodeH=false}}</t>
  </si>
  <si>
    <t>{topRow={nodeA=false, nodeG=false, nodeI=false, nodeD=false, nodeL=false, nodeJ=false, nodeE=false, nodeF=false, nodeH=false, nodeB=true, nodeC=true, nodeK=false}, midRow={nodeA=true, nodeD=false, nodeJ=true, nodeE=false, nodeI=true, nodeL=true, nodeK=false, nodeF=false, nodeH=true, nodeB=true, nodeG=true, nodeC=false}, botRow={nodeE=false, nodeH=false, nodeG=false, nodeK=false, nodeL=false, nodeF=false, nodeA=false, nodeJ=true, nodeI=false, nodeC=false, nodeB=true, nodeD=false}, trough=0.0}</t>
  </si>
  <si>
    <t>{botRow={nodeK=false, nodeF=false, nodeH=false, nodeG=false, nodeI=false, nodeL=false, nodeC=false, nodeB=false, nodeA=false, nodeD=false, nodeE=false, nodeJ=false}, midRow={nodeK=false, nodeJ=false, nodeE=false, nodeI=false, nodeG=false, nodeH=false, nodeB=false, nodeF=false, nodeA=false, nodeC=false, nodeL=false, nodeD=false}, trough=0.0, topRow={nodeA=false, nodeL=true, nodeH=false, nodeK=false, nodeE=false, nodeJ=true, nodeI=false, nodeC=false, nodeD=false, nodeF=false, nodeG=false, nodeB=false}}</t>
  </si>
  <si>
    <t>{midRow={nodeG=true, nodeF=false, nodeE=false, nodeL=false, nodeK=false, nodeB=false, nodeI=true, nodeH=true, nodeA=true, nodeC=false, nodeD=false, nodeJ=true}, botRow={nodeD=false, nodeB=true, nodeF=false, nodeC=false, nodeA=true, nodeE=false, nodeL=false, nodeI=false, nodeJ=false, nodeH=false, nodeG=false, nodeK=false}, trough=2.0, topRow={nodeA=true, nodeC=true, nodeH=true, nodeD=true, nodeI=true, nodeF=true, nodeJ=true, nodeL=true, nodeE=false, nodeK=true, nodeB=true, nodeG=true}}</t>
  </si>
  <si>
    <t>{topRow={nodeA=false, nodeI=false, nodeD=false, nodeB=false, nodeE=false, nodeG=false, nodeH=false, nodeF=false, nodeL=false, nodeK=false, nodeJ=false, nodeC=false}, midRow={nodeB=false, nodeJ=false, nodeA=false, nodeK=false, nodeG=false, nodeL=false, nodeI=false, nodeD=false, nodeC=false, nodeH=false, nodeF=false, nodeE=false}, botRow={nodeD=false, nodeA=false, nodeC=false, nodeK=false, nodeJ=false, nodeG=false, nodeL=false, nodeI=false, nodeE=false, nodeB=false, nodeF=false, nodeH=false}, trough=1.0}</t>
  </si>
  <si>
    <t>{topRow={nodeF=false, nodeL=false, nodeB=false, nodeA=false, nodeC=true, nodeI=false, nodeG=false, nodeE=false, nodeK=false, nodeJ=false, nodeD=true, nodeH=false}, trough=8.0, midRow={nodeE=false, nodeF=false, nodeB=true, nodeI=true, nodeL=true, nodeD=false, nodeJ=true, nodeC=false, nodeH=false, nodeA=true, nodeK=true, nodeG=false}, botRow={nodeB=false, nodeC=false, nodeL=false, nodeK=false, nodeE=false, nodeG=false, nodeA=false, nodeD=false, nodeH=false, nodeJ=false, nodeF=false, nodeI=false}}</t>
  </si>
  <si>
    <t>{midRow={nodeE=false, nodeL=false, nodeG=false, nodeC=false, nodeK=false, nodeF=false, nodeH=false, nodeD=false, nodeI=false, nodeA=false, nodeJ=false, nodeB=false}, topRow={nodeJ=false, nodeG=false, nodeL=false, nodeF=false, nodeD=false, nodeA=false, nodeB=false, nodeK=false, nodeE=false, nodeC=false, nodeH=false, nodeI=false}, botRow={nodeK=false, nodeB=false, nodeH=false, nodeE=false, nodeJ=false, nodeA=false, nodeC=false, nodeI=false, nodeF=false, nodeD=false, nodeG=false, nodeL=false}, trough=1.0}</t>
  </si>
  <si>
    <t>{midRow={nodeE=false, nodeL=false, nodeF=false, nodeJ=false, nodeA=false, nodeB=false, nodeK=false, nodeI=false, nodeG=false, nodeH=false, nodeD=false, nodeC=false}, botRow={nodeA=false, nodeD=false, nodeI=false, nodeG=false, nodeH=false, nodeC=false, nodeB=false, nodeK=false, nodeE=false, nodeL=false, nodeJ=false, nodeF=false}, trough=3.0, topRow={nodeI=false, nodeJ=false, nodeF=false, nodeC=false, nodeD=true, nodeL=true, nodeG=false, nodeK=true, nodeB=false, nodeE=false, nodeH=false, nodeA=false}}</t>
  </si>
  <si>
    <t>{trough=0.0, topRow={nodeE=false, nodeL=true, nodeG=false, nodeH=true, nodeA=false, nodeB=false, nodeK=false, nodeJ=false, nodeF=false, nodeC=false, nodeD=false, nodeI=false}, botRow={nodeC=false, nodeH=false, nodeF=false, nodeA=false, nodeG=false, nodeJ=false, nodeK=false, nodeD=false, nodeL=false, nodeB=false, nodeI=false, nodeE=false}, midRow={nodeH=false, nodeD=false, nodeE=false, nodeJ=false, nodeB=false, nodeK=false, nodeA=false, nodeC=false, nodeI=false, nodeF=false, nodeG=false, nodeL=false}}</t>
  </si>
  <si>
    <t>{topRow={nodeD=true, nodeH=true, nodeG=true, nodeC=true, nodeL=true, nodeF=true, nodeB=true, nodeJ=true, nodeK=true, nodeE=true, nodeI=true, nodeA=true}, botRow={nodeK=true, nodeC=true, nodeG=false, nodeI=false, nodeA=false, nodeE=false, nodeL=true, nodeB=true, nodeH=false, nodeJ=false, nodeF=true, nodeD=true}, trough=0.0, midRow={nodeL=true, nodeE=true, nodeH=false, nodeG=false, nodeA=true, nodeK=true, nodeB=true, nodeC=true, nodeJ=false, nodeF=false, nodeD=true, nodeI=false}}</t>
  </si>
  <si>
    <t>{topRow={nodeK=false, nodeC=false, nodeJ=false, nodeE=false, nodeF=false, nodeL=false, nodeI=false, nodeH=false, nodeD=false, nodeB=false, nodeG=false, nodeA=false}, botRow={nodeG=false, nodeL=false, nodeJ=false, nodeH=false, nodeD=false, nodeF=false, nodeE=false, nodeC=false, nodeA=false, nodeK=false, nodeB=false, nodeI=false}, trough=0.0, midRow={nodeD=false, nodeI=false, nodeC=false, nodeJ=false, nodeF=false, nodeE=false, nodeG=false, nodeH=false, nodeB=false, nodeL=false, nodeA=false, nodeK=false}}</t>
  </si>
  <si>
    <t>{midRow={nodeI=false, nodeA=true, nodeE=false, nodeJ=false, nodeL=true, nodeB=true, nodeD=false, nodeG=false, nodeH=false, nodeF=false, nodeK=true, nodeC=false}, botRow={nodeF=false, nodeH=false, nodeB=false, nodeK=false, nodeI=false, nodeA=true, nodeJ=false, nodeD=false, nodeE=false, nodeL=false, nodeG=false, nodeC=false}, trough=0.0, topRow={nodeF=true, nodeH=false, nodeK=true, nodeD=false, nodeC=true, nodeA=false, nodeL=true, nodeG=true, nodeI=true, nodeB=false, nodeJ=true, nodeE=true}}</t>
  </si>
  <si>
    <t>{botRow={nodeH=false, nodeL=false, nodeG=false, nodeF=false, nodeD=false, nodeA=false, nodeJ=false, nodeE=false, nodeB=false, nodeK=false, nodeC=false, nodeI=false}, trough=0.0, midRow={nodeD=false, nodeK=false, nodeI=false, nodeJ=false, nodeB=false, nodeL=false, nodeA=false, nodeE=false, nodeF=false, nodeC=false, nodeG=false, nodeH=false}, topRow={nodeL=false, nodeG=false, nodeD=false, nodeH=false, nodeF=false, nodeC=false, nodeE=false, nodeI=false, nodeJ=false, nodeA=false, nodeK=false, nodeB=false}}</t>
  </si>
  <si>
    <t>{botRow={nodeF=false, nodeL=false, nodeK=false, nodeA=false, nodeJ=false, nodeG=false, nodeB=false, nodeC=false, nodeE=false, nodeD=false, nodeH=false, nodeI=false}, trough=6.0, topRow={nodeH=false, nodeG=false, nodeJ=false, nodeD=false, nodeA=false, nodeC=false, nodeL=false, nodeB=false, nodeF=false, nodeE=false, nodeK=false, nodeI=false}, midRow={nodeF=false, nodeD=false, nodeL=false, nodeG=false, nodeE=false, nodeJ=false, nodeA=false, nodeH=false, nodeC=false, nodeB=false, nodeI=false, nodeK=false}}</t>
  </si>
  <si>
    <t>{botRow={nodeA=false, nodeK=false, nodeC=false, nodeH=false, nodeB=false, nodeD=false, nodeG=false, nodeL=false, nodeJ=false, nodeE=false, nodeI=false, nodeF=false}, trough=0.0, topRow={nodeK=false, nodeC=false, nodeD=true, nodeL=false, nodeG=false, nodeF=false, nodeE=false, nodeH=false, nodeB=false, nodeA=false, nodeI=false, nodeJ=false}, midRow={nodeI=false, nodeE=false, nodeJ=false, nodeG=false, nodeF=false, nodeD=false, nodeK=false, nodeL=false, nodeA=false, nodeC=false, nodeH=false, nodeB=false}}</t>
  </si>
  <si>
    <t>{topRow={nodeH=false, nodeF=false, nodeA=true, nodeE=false, nodeJ=false, nodeI=false, nodeB=true, nodeG=false, nodeK=false, nodeD=true, nodeL=false, nodeC=true}, trough=0.0, botRow={nodeK=false, nodeA=false, nodeE=false, nodeL=false, nodeB=false, nodeG=false, nodeF=false, nodeJ=false, nodeI=false, nodeD=false, nodeH=false, nodeC=false}, midRow={nodeH=false, nodeA=false, nodeK=false, nodeC=false, nodeL=false, nodeI=false, nodeF=false, nodeJ=false, nodeD=false, nodeE=false, nodeB=false, nodeG=false}}</t>
  </si>
  <si>
    <t>{trough=0.0, midRow={nodeF=false, nodeC=false, nodeE=false, nodeB=false, nodeL=false, nodeK=false, nodeA=false, nodeH=false, nodeI=false, nodeD=false, nodeJ=false, nodeG=false}, topRow={nodeD=false, nodeG=false, nodeI=false, nodeK=false, nodeC=false, nodeF=false, nodeJ=false, nodeE=false, nodeL=false, nodeB=false, nodeH=false, nodeA=false}, botRow={nodeF=false, nodeI=false, nodeD=false, nodeJ=false, nodeH=false, nodeE=false, nodeG=false, nodeL=false, nodeK=false, nodeB=false, nodeA=false, nodeC=false}}</t>
  </si>
  <si>
    <t>{topRow={nodeJ=false, nodeL=false, nodeB=false, nodeH=false, nodeD=false, nodeE=false, nodeK=false, nodeA=false, nodeF=false, nodeG=false, nodeC=false, nodeI=false}, botRow={nodeA=true, nodeF=false, nodeB=true, nodeL=false, nodeE=true, nodeH=false, nodeG=false, nodeC=true, nodeI=false, nodeK=false, nodeD=false, nodeJ=false}, trough=0.0, midRow={nodeI=false, nodeF=false, nodeK=false, nodeB=true, nodeD=true, nodeC=true, nodeL=true, nodeA=true, nodeG=false, nodeE=false, nodeJ=false, nodeH=false}}</t>
  </si>
  <si>
    <t>{midRow={nodeH=false, nodeJ=false, nodeF=false, nodeE=false, nodeI=false, nodeL=false, nodeB=false, nodeG=false, nodeC=false, nodeD=false, nodeK=false, nodeA=false}, trough=0.0, botRow={nodeC=false, nodeH=false, nodeF=false, nodeB=false, nodeA=false, nodeJ=false, nodeK=false, nodeI=false, nodeD=false, nodeL=false, nodeE=false, nodeG=false}, topRow={nodeI=false, nodeJ=false, nodeE=false, nodeK=false, nodeL=false, nodeD=false, nodeF=false, nodeG=false, nodeH=false, nodeB=false, nodeC=false, nodeA=false}}</t>
  </si>
  <si>
    <t>{midRow={nodeK=false, nodeH=false, nodeE=false, nodeI=false, nodeC=false, nodeA=false, nodeB=false, nodeD=false, nodeJ=false, nodeL=false, nodeG=false, nodeF=false}, topRow={nodeA=true, nodeC=false, nodeE=false, nodeL=false, nodeB=true, nodeH=false, nodeI=false, nodeG=false, nodeJ=false, nodeK=false, nodeD=false, nodeF=false}, botRow={nodeI=false, nodeG=false, nodeJ=true, nodeE=false, nodeB=false, nodeK=false, nodeD=false, nodeF=false, nodeA=false, nodeH=false, nodeC=false, nodeL=false}, trough=0.0}</t>
  </si>
  <si>
    <t>{topRow={nodeE=false, nodeC=false, nodeL=false, nodeK=false, nodeD=false, nodeH=false, nodeI=false, nodeB=false, nodeF=false, nodeG=false, nodeA=false, nodeJ=false}, botRow={nodeE=false, nodeB=false, nodeL=false, nodeD=false, nodeC=false, nodeF=false, nodeI=false, nodeK=false, nodeA=false, nodeJ=false, nodeG=false, nodeH=false}, midRow={nodeF=false, nodeK=false, nodeC=false, nodeG=false, nodeE=false, nodeI=false, nodeA=false, nodeB=false, nodeH=false, nodeL=false, nodeJ=false, nodeD=false}, trough=0.0}</t>
  </si>
  <si>
    <t>{botRow={nodeG=false, nodeA=true, nodeB=true, nodeE=true, nodeJ=false, nodeH=false, nodeC=false, nodeI=false, nodeL=false, nodeK=false, nodeF=false, nodeD=false}, topRow={nodeD=false, nodeE=false, nodeG=false, nodeJ=false, nodeA=false, nodeK=false, nodeI=false, nodeF=false, nodeH=false, nodeL=false, nodeB=false, nodeC=false}, trough=2.0, midRow={nodeF=false, nodeI=false, nodeC=false, nodeE=false, nodeB=false, nodeH=false, nodeJ=false, nodeA=false, nodeD=false, nodeK=false, nodeL=false, nodeG=false}}</t>
  </si>
  <si>
    <t>{midRow={nodeH=false, nodeC=false, nodeJ=false, nodeD=false, nodeK=false, nodeE=false, nodeA=false, nodeG=false, nodeI=false, nodeF=false, nodeL=false, nodeB=false}, trough=0.0, topRow={nodeJ=false, nodeF=false, nodeI=false, nodeA=false, nodeB=false, nodeL=false, nodeG=false, nodeE=false, nodeD=false, nodeC=false, nodeH=false, nodeK=true}, botRow={nodeG=false, nodeA=false, nodeK=false, nodeB=false, nodeL=false, nodeD=false, nodeI=false, nodeE=false, nodeJ=false, nodeC=false, nodeH=false, nodeF=false}}</t>
  </si>
  <si>
    <t>{botRow={nodeA=false, nodeE=false, nodeF=false, nodeH=false, nodeK=false, nodeB=false, nodeI=false, nodeC=false, nodeL=false, nodeG=false, nodeD=false, nodeJ=false}, midRow={nodeC=false, nodeE=false, nodeI=false, nodeD=false, nodeF=false, nodeB=false, nodeG=false, nodeL=false, nodeK=false, nodeH=false, nodeJ=false, nodeA=false}, trough=4.0, topRow={nodeC=false, nodeK=true, nodeL=true, nodeG=true, nodeJ=false, nodeA=true, nodeH=true, nodeB=true, nodeI=true, nodeF=true, nodeD=false, nodeE=true}}</t>
  </si>
  <si>
    <t>{trough=0.0, topRow={nodeE=false, nodeK=false, nodeB=false, nodeC=false, nodeA=false, nodeD=false, nodeL=false, nodeF=false, nodeG=false, nodeJ=false, nodeI=false, nodeH=true}, botRow={nodeA=false, nodeD=false, nodeH=false, nodeC=false, nodeK=false, nodeB=false, nodeG=false, nodeL=false, nodeI=false, nodeJ=false, nodeE=false, nodeF=false}, midRow={nodeI=false, nodeD=false, nodeG=false, nodeL=false, nodeJ=false, nodeB=false, nodeH=false, nodeF=false, nodeE=false, nodeC=false, nodeK=false, nodeA=false}}</t>
  </si>
  <si>
    <t>{midRow={nodeF=false, nodeL=false, nodeK=false, nodeE=false, nodeI=false, nodeA=false, nodeJ=false, nodeB=false, nodeH=false, nodeG=false, nodeD=false, nodeC=false}, trough=0.0, topRow={nodeC=true, nodeH=true, nodeG=true, nodeD=false, nodeF=false, nodeJ=true, nodeK=true, nodeL=true, nodeI=true, nodeE=true, nodeB=false, nodeA=true}, botRow={nodeD=true, nodeE=false, nodeK=false, nodeI=false, nodeC=true, nodeL=false, nodeH=false, nodeJ=false, nodeF=false, nodeG=false, nodeA=true, nodeB=true}}</t>
  </si>
  <si>
    <t>{midRow={nodeJ=false, nodeL=false, nodeK=false, nodeC=false, nodeG=false, nodeB=false, nodeH=false, nodeD=false, nodeE=false, nodeA=false, nodeI=false, nodeF=false}, topRow={nodeK=false, nodeE=false, nodeJ=false, nodeI=false, nodeL=false, nodeH=false, nodeD=false, nodeC=false, nodeF=false, nodeG=false, nodeB=false, nodeA=false}, trough=0.0, botRow={nodeC=false, nodeI=false, nodeE=false, nodeB=false, nodeL=false, nodeD=false, nodeA=false, nodeG=false, nodeK=false, nodeF=false, nodeH=false, nodeJ=false}}</t>
  </si>
  <si>
    <t>{midRow={nodeH=false, nodeE=false, nodeA=false, nodeF=false, nodeI=false, nodeL=true, nodeK=false, nodeG=false, nodeJ=false, nodeC=false, nodeB=false, nodeD=false}, trough=0.0, botRow={nodeE=false, nodeG=false, nodeH=false, nodeL=false, nodeJ=false, nodeB=true, nodeC=false, nodeK=false, nodeA=true, nodeD=false, nodeI=false, nodeF=false}, topRow={nodeF=false, nodeB=false, nodeC=true, nodeH=false, nodeG=false, nodeA=true, nodeJ=true, nodeE=false, nodeK=false, nodeL=false, nodeI=false, nodeD=true}}</t>
  </si>
  <si>
    <t>{trough=1.0, botRow={nodeL=false, nodeH=false, nodeG=false, nodeE=false, nodeF=false, nodeA=false, nodeD=false, nodeK=false, nodeC=false, nodeJ=false, nodeI=false, nodeB=false}, midRow={nodeH=false, nodeB=false, nodeK=false, nodeA=false, nodeD=false, nodeC=false, nodeI=false, nodeG=false, nodeF=false, nodeJ=false, nodeL=false, nodeE=false}, topRow={nodeK=false, nodeG=false, nodeF=false, nodeA=false, nodeB=false, nodeJ=true, nodeE=true, nodeD=false, nodeI=false, nodeH=false, nodeL=false, nodeC=true}}</t>
  </si>
  <si>
    <t>{trough=3.0, botRow={nodeJ=false, nodeG=false, nodeA=false, nodeI=false, nodeB=false, nodeF=false, nodeD=false, nodeL=false, nodeC=false, nodeK=true, nodeE=false, nodeH=false}, midRow={nodeL=true, nodeF=false, nodeB=false, nodeK=true, nodeE=false, nodeD=false, nodeC=false, nodeA=true, nodeI=false, nodeJ=false, nodeH=false, nodeG=false}, topRow={nodeF=true, nodeB=false, nodeG=true, nodeI=true, nodeH=false, nodeA=true, nodeJ=true, nodeK=true, nodeC=true, nodeL=false, nodeE=true, nodeD=false}}</t>
  </si>
  <si>
    <t>{midRow={nodeI=false, nodeK=false, nodeG=false, nodeE=false, nodeF=false, nodeC=false, nodeD=false, nodeL=false, nodeH=false, nodeJ=false, nodeB=false, nodeA=false}, trough=1.0, botRow={nodeC=false, nodeE=false, nodeI=false, nodeK=false, nodeG=false, nodeH=false, nodeL=false, nodeD=false, nodeB=false, nodeJ=false, nodeF=false, nodeA=false}, topRow={nodeD=false, nodeK=false, nodeE=false, nodeH=false, nodeA=false, nodeF=false, nodeG=false, nodeI=false, nodeJ=false, nodeB=false, nodeC=false, nodeL=false}}</t>
  </si>
  <si>
    <t>{botRow={nodeH=false, nodeK=false, nodeJ=true, nodeI=false, nodeA=true, nodeD=false, nodeL=false, nodeB=false, nodeF=false, nodeC=false, nodeG=false, nodeE=false}, trough=13.0, midRow={nodeK=false, nodeH=false, nodeL=false, nodeB=false, nodeJ=false, nodeI=false, nodeA=false, nodeF=false, nodeD=false, nodeE=false, nodeC=false, nodeG=false}, topRow={nodeJ=false, nodeC=false, nodeA=false, nodeF=false, nodeG=false, nodeI=false, nodeH=false, nodeB=false, nodeK=false, nodeE=false, nodeL=false, nodeD=false}}</t>
  </si>
  <si>
    <t>{botRow={nodeJ=false, nodeB=false, nodeE=false, nodeK=false, nodeG=false, nodeH=false, nodeC=false, nodeA=false, nodeF=false, nodeI=false, nodeL=false, nodeD=false}, midRow={nodeA=false, nodeK=false, nodeL=false, nodeE=false, nodeC=false, nodeG=false, nodeJ=false, nodeF=false, nodeI=false, nodeH=false, nodeB=false, nodeD=false}, topRow={nodeD=false, nodeL=false, nodeB=false, nodeK=false, nodeI=false, nodeC=false, nodeF=false, nodeJ=false, nodeA=false, nodeE=false, nodeG=false, nodeH=false}, trough=0.0}</t>
  </si>
  <si>
    <t>{midRow={nodeI=false, nodeA=false, nodeK=false, nodeL=true, nodeF=true, nodeC=true, nodeE=true, nodeG=false, nodeH=false, nodeD=true, nodeJ=false, nodeB=false}, botRow={nodeL=false, nodeB=false, nodeH=false, nodeC=false, nodeD=false, nodeA=false, nodeG=false, nodeF=false, nodeK=false, nodeE=false, nodeJ=false, nodeI=false}, trough=6.0, topRow={nodeK=false, nodeB=true, nodeG=false, nodeE=true, nodeJ=false, nodeD=true, nodeH=false, nodeL=false, nodeI=false, nodeA=true, nodeC=true, nodeF=true}}</t>
  </si>
  <si>
    <t>{topRow={nodeA=false, nodeK=false, nodeL=false, nodeC=false, nodeF=false, nodeB=false, nodeE=false, nodeJ=false, nodeD=false, nodeH=false, nodeG=false, nodeI=false}, botRow={nodeD=false, nodeA=false, nodeI=false, nodeC=false, nodeE=true, nodeG=false, nodeH=false, nodeB=false, nodeF=false, nodeJ=false, nodeL=false, nodeK=false}, trough=0.0, midRow={nodeH=false, nodeL=false, nodeI=false, nodeF=false, nodeJ=false, nodeD=false, nodeK=false, nodeB=false, nodeG=false, nodeE=false, nodeA=false, nodeC=false}}</t>
  </si>
  <si>
    <t>{topRow={nodeH=true, nodeI=true, nodeA=true, nodeB=true, nodeD=true, nodeC=true, nodeK=true, nodeF=false, nodeJ=true, nodeG=true, nodeE=true, nodeL=true}, botRow={nodeJ=false, nodeA=false, nodeI=false, nodeC=false, nodeB=false, nodeK=false, nodeE=true, nodeH=false, nodeD=false, nodeG=false, nodeL=false, nodeF=false}, trough=0.0, midRow={nodeC=false, nodeA=false, nodeE=false, nodeD=false, nodeJ=false, nodeF=false, nodeG=false, nodeL=false, nodeB=false, nodeK=false, nodeI=false, nodeH=false}}</t>
  </si>
  <si>
    <t>{topRow={nodeK=false, nodeI=false, nodeC=false, nodeJ=false, nodeH=false, nodeE=false, nodeA=false, nodeD=false, nodeL=false, nodeB=false, nodeG=false, nodeF=false}, botRow={nodeB=false, nodeF=false, nodeK=false, nodeD=false, nodeJ=false, nodeC=false, nodeA=false, nodeG=false, nodeI=false, nodeL=false, nodeH=false, nodeE=false}, midRow={nodeK=false, nodeI=false, nodeE=false, nodeL=false, nodeC=false, nodeH=false, nodeD=false, nodeJ=false, nodeA=false, nodeG=false, nodeF=false, nodeB=false}, trough=0.0}</t>
  </si>
  <si>
    <t>{topRow={nodeB=false, nodeH=false, nodeA=false, nodeI=false, nodeL=false, nodeJ=false, nodeC=false, nodeG=false, nodeF=false, nodeK=false, nodeE=false, nodeD=false}, botRow={nodeD=false, nodeH=false, nodeF=false, nodeJ=false, nodeB=false, nodeG=false, nodeA=false, nodeL=false, nodeI=false, nodeC=false, nodeE=false, nodeK=false}, trough=5.0, midRow={nodeG=false, nodeF=false, nodeB=false, nodeI=false, nodeL=false, nodeE=false, nodeJ=false, nodeC=false, nodeH=false, nodeD=false, nodeA=false, nodeK=false}}</t>
  </si>
  <si>
    <t>{midRow={nodeD=false, nodeK=false, nodeG=false, nodeJ=false, nodeC=false, nodeI=false, nodeB=false, nodeH=false, nodeL=false, nodeA=false, nodeE=false, nodeF=false}, trough=0.0, topRow={nodeL=false, nodeB=false, nodeF=false, nodeA=false, nodeE=false, nodeD=false, nodeI=false, nodeC=true, nodeJ=false, nodeG=false, nodeK=false, nodeH=false}, botRow={nodeH=false, nodeC=false, nodeB=false, nodeJ=false, nodeK=false, nodeA=false, nodeG=false, nodeD=false, nodeF=false, nodeE=false, nodeI=false, nodeL=false}}</t>
  </si>
  <si>
    <t>{midRow={nodeL=true, nodeJ=false, nodeE=false, nodeC=true, nodeF=false, nodeG=false, nodeA=false, nodeD=true, nodeH=false, nodeB=false, nodeK=true, nodeI=false}, botRow={nodeD=false, nodeI=false, nodeF=false, nodeG=false, nodeB=false, nodeA=false, nodeL=false, nodeE=false, nodeK=false, nodeC=true, nodeH=false, nodeJ=false}, topRow={nodeC=true, nodeJ=true, nodeF=true, nodeH=true, nodeA=true, nodeG=true, nodeK=true, nodeE=true, nodeI=true, nodeB=true, nodeL=true, nodeD=true}, trough=0.0}</t>
  </si>
  <si>
    <t>{botRow={nodeJ=false, nodeK=false, nodeF=false, nodeL=false, nodeA=false, nodeB=false, nodeH=false, nodeE=false, nodeG=false, nodeD=false, nodeC=false, nodeI=false}, midRow={nodeH=false, nodeI=false, nodeF=false, nodeK=false, nodeD=false, nodeG=false, nodeC=false, nodeL=false, nodeB=false, nodeE=false, nodeJ=false, nodeA=false}, topRow={nodeJ=false, nodeC=false, nodeG=false, nodeF=false, nodeD=false, nodeI=false, nodeH=false, nodeA=false, nodeE=false, nodeL=false, nodeK=false, nodeB=false}, trough=0.0}</t>
  </si>
  <si>
    <t>{topRow={nodeH=false, nodeK=false, nodeI=false, nodeG=false, nodeB=false, nodeJ=true, nodeD=false, nodeC=false, nodeE=false, nodeF=false, nodeL=false, nodeA=false}, botRow={nodeK=false, nodeF=true, nodeG=false, nodeD=true, nodeJ=false, nodeE=false, nodeI=false, nodeH=false, nodeL=false, nodeC=false, nodeB=false, nodeA=false}, midRow={nodeA=true, nodeB=true, nodeG=false, nodeF=false, nodeD=false, nodeI=false, nodeJ=false, nodeE=false, nodeL=true, nodeC=true, nodeK=false, nodeH=false}, trough=0.0}</t>
  </si>
  <si>
    <t>{botRow={nodeC=false, nodeL=false, nodeK=false, nodeE=false, nodeG=false, nodeB=false, nodeD=false, nodeJ=false, nodeA=false, nodeH=false, nodeI=false, nodeF=false}, topRow={nodeG=false, nodeH=false, nodeA=false, nodeJ=false, nodeB=false, nodeE=false, nodeC=false, nodeL=false, nodeK=false, nodeD=false, nodeF=false, nodeI=false}, midRow={nodeA=false, nodeK=false, nodeI=false, nodeG=false, nodeB=false, nodeE=false, nodeJ=false, nodeD=false, nodeC=false, nodeF=false, nodeL=false, nodeH=false}, trough=0.0}</t>
  </si>
  <si>
    <t>{trough=0.0, topRow={nodeI=false, nodeG=false, nodeC=false, nodeA=true, nodeJ=false, nodeK=false, nodeF=false, nodeE=false, nodeD=true, nodeH=false, nodeL=false, nodeB=true}, midRow={nodeJ=false, nodeD=false, nodeE=false, nodeI=false, nodeC=true, nodeF=false, nodeG=false, nodeH=false, nodeA=true, nodeL=false, nodeB=true, nodeK=false}, botRow={nodeH=false, nodeI=false, nodeC=false, nodeJ=false, nodeA=false, nodeB=false, nodeD=false, nodeK=false, nodeF=false, nodeE=false, nodeL=false, nodeG=false}}</t>
  </si>
  <si>
    <t>{trough=0.0, topRow={nodeK=false, nodeH=false, nodeI=false, nodeA=false, nodeB=false, nodeF=false, nodeG=false, nodeE=false, nodeL=true, nodeJ=false, nodeD=false, nodeC=false}, botRow={nodeK=false, nodeH=false, nodeA=false, nodeL=false, nodeG=false, nodeB=false, nodeD=false, nodeI=false, nodeJ=false, nodeF=false, nodeC=false, nodeE=false}, midRow={nodeE=false, nodeL=false, nodeG=false, nodeI=false, nodeK=false, nodeH=false, nodeF=false, nodeA=false, nodeJ=false, nodeC=false, nodeD=false, nodeB=false}}</t>
  </si>
  <si>
    <t>{botRow={nodeG=false, nodeJ=false, nodeL=false, nodeE=false, nodeH=false, nodeF=false, nodeB=false, nodeD=false, nodeA=false, nodeK=false, nodeI=false, nodeC=false}, topRow={nodeI=true, nodeA=true, nodeJ=true, nodeB=true, nodeC=true, nodeF=false, nodeK=true, nodeG=true, nodeE=true, nodeH=true, nodeL=true, nodeD=true}, midRow={nodeE=false, nodeF=false, nodeB=true, nodeD=true, nodeA=true, nodeC=false, nodeK=true, nodeI=false, nodeJ=false, nodeG=false, nodeH=false, nodeL=true}, trough=0.0}</t>
  </si>
  <si>
    <t>{botRow={nodeL=false, nodeJ=false, nodeI=false, nodeD=false, nodeF=false, nodeG=false, nodeH=false, nodeB=false, nodeE=false, nodeC=false, nodeA=false, nodeK=false}, midRow={nodeH=false, nodeJ=false, nodeG=false, nodeA=false, nodeD=false, nodeC=false, nodeB=false, nodeK=false, nodeL=false, nodeE=false, nodeI=false, nodeF=false}, trough=0.0, topRow={nodeH=false, nodeA=false, nodeD=true, nodeJ=false, nodeG=false, nodeL=false, nodeE=false, nodeB=false, nodeK=false, nodeC=false, nodeI=false, nodeF=false}}</t>
  </si>
  <si>
    <t>{botRow={nodeE=false, nodeA=false, nodeH=false, nodeD=false, nodeB=false, nodeL=false, nodeF=false, nodeI=false, nodeC=false, nodeG=false, nodeK=false, nodeJ=false}, midRow={nodeL=false, nodeE=false, nodeJ=false, nodeG=false, nodeC=true, nodeI=false, nodeB=false, nodeF=false, nodeA=false, nodeH=false, nodeK=false, nodeD=true}, topRow={nodeB=true, nodeE=true, nodeK=true, nodeG=true, nodeF=true, nodeD=true, nodeL=false, nodeI=true, nodeA=true, nodeH=true, nodeJ=false, nodeC=true}, trough=1.0}</t>
  </si>
  <si>
    <t>ShallowCage</t>
  </si>
  <si>
    <t>{botRow={nodeH=false, nodeE=false, nodeA=false, nodeL=false, nodeB=false, nodeK=false, nodeC=false, nodeJ=false, nodeG=false, nodeF=false, nodeI=false, nodeD=false}, midRow={nodeL=false, nodeD=false, nodeA=false, nodeC=false, nodeG=false, nodeF=false, nodeH=false, nodeI=false, nodeB=false, nodeE=false, nodeJ=false, nodeK=false}, topRow={nodeF=false, nodeA=false, nodeI=false, nodeG=false, nodeC=false, nodeK=false, nodeD=false, nodeL=false, nodeE=false, nodeJ=false, nodeH=false, nodeB=false}, trough=1.0}</t>
  </si>
  <si>
    <t>{trough=2.0, midRow={nodeH=false, nodeJ=false, nodeB=false, nodeC=false, nodeF=false, nodeD=false, nodeA=false, nodeK=false, nodeE=false, nodeL=false, nodeG=false, nodeI=false}, topRow={nodeC=false, nodeH=false, nodeG=false, nodeE=false, nodeK=false, nodeA=false, nodeI=false, nodeJ=false, nodeL=false, nodeF=false, nodeB=false, nodeD=false}, botRow={nodeJ=false, nodeB=false, nodeI=false, nodeG=false, nodeD=false, nodeK=false, nodeL=false, nodeE=false, nodeC=false, nodeH=false, nodeA=false, nodeF=false}}</t>
  </si>
  <si>
    <t>{midRow={nodeD=false, nodeJ=false, nodeE=false, nodeI=false, nodeF=false, nodeH=false, nodeG=false, nodeA=false, nodeB=false, nodeL=false, nodeC=false, nodeK=false}, trough=0.0, topRow={nodeI=false, nodeC=false, nodeJ=false, nodeL=false, nodeK=false, nodeD=false, nodeB=false, nodeF=false, nodeH=false, nodeE=false, nodeA=false, nodeG=false}, botRow={nodeG=false, nodeI=false, nodeL=false, nodeJ=false, nodeD=false, nodeH=false, nodeC=false, nodeE=false, nodeA=false, nodeK=false, nodeB=false, nodeF=false}}</t>
  </si>
  <si>
    <t>{midRow={nodeE=false, nodeA=false, nodeL=false, nodeK=false, nodeB=false, nodeC=false, nodeJ=false, nodeG=false, nodeD=false, nodeI=false, nodeF=false, nodeH=false}, botRow={nodeD=false, nodeJ=false, nodeA=false, nodeG=false, nodeE=false, nodeI=false, nodeF=false, nodeC=false, nodeH=false, nodeL=false, nodeK=false, nodeB=false}, topRow={nodeG=false, nodeI=true, nodeD=true, nodeF=true, nodeJ=false, nodeC=true, nodeE=false, nodeA=true, nodeL=true, nodeH=false, nodeK=true, nodeB=true}, trough=0.0}</t>
  </si>
  <si>
    <t>{botRow={nodeJ=false, nodeF=false, nodeD=false, nodeK=false, nodeL=false, nodeE=false, nodeG=false, nodeB=false, nodeA=false, nodeC=false, nodeH=false, nodeI=false}, trough=0.0, topRow={nodeJ=false, nodeK=false, nodeE=false, nodeG=false, nodeA=false, nodeB=false, nodeI=false, nodeD=false, nodeF=false, nodeC=false, nodeH=false, nodeL=false}, midRow={nodeG=false, nodeJ=false, nodeB=false, nodeA=false, nodeD=false, nodeK=false, nodeC=false, nodeE=false, nodeL=false, nodeF=false, nodeH=false, nodeI=false}}</t>
  </si>
  <si>
    <t>{topRow={nodeI=false, nodeE=false, nodeG=true, nodeL=false, nodeF=false, nodeJ=false, nodeA=false, nodeK=false, nodeD=false, nodeC=true, nodeH=false, nodeB=false}, trough=1.0, botRow={nodeJ=true, nodeA=true, nodeL=false, nodeC=false, nodeF=false, nodeE=false, nodeD=false, nodeI=true, nodeG=false, nodeB=false, nodeH=false, nodeK=false}, midRow={nodeL=true, nodeK=true, nodeE=false, nodeI=false, nodeB=false, nodeJ=false, nodeG=false, nodeC=true, nodeA=false, nodeD=true, nodeH=false, nodeF=false}}</t>
  </si>
  <si>
    <t>{topRow={nodeA=false, nodeF=true, nodeJ=false, nodeB=false, nodeC=false, nodeI=false, nodeE=false, nodeL=false, nodeK=false, nodeG=false, nodeH=false, nodeD=false}, midRow={nodeH=false, nodeJ=false, nodeL=false, nodeB=false, nodeC=false, nodeG=false, nodeE=false, nodeI=false, nodeA=false, nodeD=false, nodeF=false, nodeK=false}, trough=0.0, botRow={nodeH=false, nodeD=false, nodeI=false, nodeF=false, nodeA=false, nodeK=false, nodeG=false, nodeJ=false, nodeL=false, nodeB=false, nodeE=false, nodeC=false}}</t>
  </si>
  <si>
    <t>{trough=0.0, botRow={nodeI=false, nodeJ=false, nodeB=true, nodeE=false, nodeA=true, nodeK=true, nodeC=false, nodeD=false, nodeG=false, nodeF=true, nodeL=true, nodeH=false}, topRow={nodeH=false, nodeB=true, nodeD=false, nodeF=true, nodeL=true, nodeI=false, nodeK=false, nodeJ=false, nodeA=true, nodeE=true, nodeG=false, nodeC=true}, midRow={nodeI=false, nodeL=true, nodeE=false, nodeC=true, nodeF=false, nodeK=false, nodeH=false, nodeJ=false, nodeA=true, nodeG=false, nodeD=false, nodeB=true}}</t>
  </si>
  <si>
    <t>{trough=0.0, midRow={nodeD=false, nodeG=false, nodeF=false, nodeB=false, nodeJ=false, nodeA=false, nodeE=false, nodeL=false, nodeI=false, nodeC=false, nodeH=false, nodeK=false}, topRow={nodeK=false, nodeC=false, nodeD=false, nodeL=false, nodeG=false, nodeJ=false, nodeB=false, nodeH=false, nodeA=false, nodeE=false, nodeF=false, nodeI=false}, botRow={nodeI=false, nodeB=false, nodeL=false, nodeG=false, nodeC=false, nodeJ=false, nodeA=false, nodeE=false, nodeK=false, nodeD=false, nodeH=false, nodeF=false}}</t>
  </si>
  <si>
    <t>{topRow={nodeD=false, nodeJ=false, nodeF=false, nodeA=false, nodeC=true, nodeB=false, nodeL=false, nodeG=false, nodeE=false, nodeI=false, nodeK=false, nodeH=false}, trough=1.0, midRow={nodeJ=false, nodeK=true, nodeE=false, nodeI=false, nodeF=false, nodeC=false, nodeA=true, nodeD=true, nodeH=false, nodeB=true, nodeG=false, nodeL=true}, botRow={nodeI=false, nodeC=false, nodeK=false, nodeJ=false, nodeA=true, nodeE=true, nodeL=true, nodeH=false, nodeG=false, nodeF=false, nodeB=true, nodeD=false}}</t>
  </si>
  <si>
    <t>{botRow={nodeE=false, nodeB=false, nodeL=false, nodeC=false, nodeH=false, nodeF=false, nodeG=false, nodeA=false, nodeK=false, nodeD=false, nodeJ=false, nodeI=false}, midRow={nodeI=false, nodeK=false, nodeE=false, nodeD=false, nodeG=false, nodeJ=false, nodeC=false, nodeF=false, nodeL=false, nodeB=false, nodeA=false, nodeH=false}, topRow={nodeA=false, nodeK=false, nodeI=false, nodeC=false, nodeL=false, nodeJ=false, nodeD=false, nodeF=false, nodeH=false, nodeB=false, nodeE=false, nodeG=false}, trough=0.0}</t>
  </si>
  <si>
    <t>{topRow={nodeH=false, nodeC=false, nodeK=false, nodeL=false, nodeG=false, nodeI=false, nodeE=false, nodeJ=false, nodeB=false, nodeA=true, nodeF=false, nodeD=false}, botRow={nodeC=false, nodeJ=false, nodeD=false, nodeH=false, nodeF=false, nodeE=false, nodeL=false, nodeB=true, nodeA=true, nodeG=false, nodeI=false, nodeK=false}, midRow={nodeI=false, nodeA=false, nodeB=false, nodeH=false, nodeE=false, nodeL=false, nodeD=false, nodeC=false, nodeG=false, nodeJ=false, nodeK=false, nodeF=false}, trough=2.0}</t>
  </si>
  <si>
    <t>{topRow={nodeE=false, nodeF=false, nodeA=false, nodeC=false, nodeJ=false, nodeB=false, nodeK=false, nodeI=false, nodeD=false, nodeL=false, nodeG=false, nodeH=false}, midRow={nodeD=false, nodeI=false, nodeL=false, nodeE=false, nodeB=false, nodeA=false, nodeF=false, nodeH=false, nodeK=false, nodeJ=false, nodeC=false, nodeG=false}, trough=1.0, botRow={nodeI=false, nodeE=false, nodeK=false, nodeG=false, nodeH=false, nodeC=false, nodeF=false, nodeA=false, nodeB=false, nodeJ=false, nodeL=false, nodeD=false}}</t>
  </si>
  <si>
    <t>{botRow={nodeL=false, nodeJ=false, nodeE=false, nodeK=false, nodeC=false, nodeG=false, nodeB=false, nodeH=false, nodeF=false, nodeD=false, nodeA=true, nodeI=false}, midRow={nodeB=true, nodeD=false, nodeC=false, nodeI=false, nodeH=false, nodeA=true, nodeF=false, nodeE=false, nodeL=false, nodeJ=false, nodeG=false, nodeK=false}, topRow={nodeJ=false, nodeA=true, nodeC=false, nodeH=false, nodeK=false, nodeB=false, nodeF=false, nodeL=false, nodeI=false, nodeD=false, nodeG=false, nodeE=false}, trough=0.0}</t>
  </si>
  <si>
    <t>{trough=0.0, midRow={nodeC=false, nodeE=false, nodeF=false, nodeH=false, nodeI=false, nodeK=false, nodeG=false, nodeJ=false, nodeD=false, nodeB=false, nodeA=false, nodeL=false}, topRow={nodeG=false, nodeF=false, nodeB=false, nodeC=false, nodeA=true, nodeI=false, nodeK=true, nodeE=false, nodeH=false, nodeJ=false, nodeL=false, nodeD=false}, botRow={nodeB=false, nodeL=false, nodeJ=false, nodeI=false, nodeE=false, nodeC=false, nodeA=false, nodeH=false, nodeG=false, nodeF=false, nodeD=false, nodeK=false}}</t>
  </si>
  <si>
    <t>{topRow={nodeL=true, nodeB=true, nodeI=true, nodeA=true, nodeE=true, nodeC=true, nodeJ=true, nodeD=true, nodeG=true, nodeF=true, nodeH=true, nodeK=true}, trough=0.0, botRow={nodeJ=false, nodeH=false, nodeK=false, nodeC=false, nodeB=false, nodeD=false, nodeF=false, nodeL=false, nodeE=false, nodeG=false, nodeI=false, nodeA=false}, midRow={nodeI=false, nodeA=false, nodeL=false, nodeE=false, nodeD=false, nodeF=false, nodeC=false, nodeG=false, nodeJ=false, nodeK=false, nodeH=false, nodeB=false}}</t>
  </si>
  <si>
    <t>{topRow={nodeI=false, nodeG=false, nodeJ=false, nodeE=false, nodeF=false, nodeL=false, nodeH=false, nodeB=false, nodeD=false, nodeK=false, nodeA=false, nodeC=false}, trough=0.0, botRow={nodeF=false, nodeG=false, nodeJ=false, nodeI=false, nodeH=false, nodeK=false, nodeA=false, nodeB=false, nodeL=false, nodeE=false, nodeC=false, nodeD=false}, midRow={nodeG=false, nodeI=false, nodeK=false, nodeF=false, nodeE=false, nodeC=false, nodeJ=false, nodeL=false, nodeD=false, nodeA=false, nodeH=false, nodeB=false}}</t>
  </si>
  <si>
    <t>{topRow={nodeF=true, nodeL=false, nodeC=false, nodeK=false, nodeG=true, nodeB=false, nodeA=false, nodeJ=false, nodeD=false, nodeE=false, nodeH=false, nodeI=false}, botRow={nodeK=false, nodeG=false, nodeL=false, nodeD=false, nodeA=false, nodeC=false, nodeE=false, nodeJ=false, nodeI=false, nodeF=false, nodeH=false, nodeB=false}, trough=10.0, midRow={nodeD=false, nodeL=false, nodeC=false, nodeH=false, nodeG=false, nodeE=false, nodeI=false, nodeF=false, nodeJ=false, nodeK=false, nodeB=false, nodeA=false}}</t>
  </si>
  <si>
    <t>{botRow={nodeI=false, nodeG=false, nodeC=false, nodeK=false, nodeB=false, nodeJ=false, nodeA=false, nodeE=false, nodeL=false, nodeD=false, nodeH=false, nodeF=false}, midRow={nodeC=false, nodeF=false, nodeB=false, nodeH=false, nodeA=false, nodeI=false, nodeK=false, nodeD=false, nodeG=false, nodeL=false, nodeE=false, nodeJ=false}, topRow={nodeI=false, nodeH=false, nodeA=false, nodeG=false, nodeJ=true, nodeB=false, nodeL=true, nodeK=false, nodeF=false, nodeE=false, nodeD=false, nodeC=false}, trough=0.0}</t>
  </si>
  <si>
    <t>{midRow={nodeG=false, nodeL=true, nodeE=false, nodeF=false, nodeC=false, nodeI=true, nodeJ=true, nodeA=true, nodeD=false, nodeH=false, nodeK=true, nodeB=true}, botRow={nodeB=true, nodeI=false, nodeE=true, nodeL=true, nodeD=false, nodeF=false, nodeH=false, nodeA=true, nodeJ=false, nodeC=false, nodeG=false, nodeK=true}, trough=1.0, topRow={nodeK=false, nodeI=false, nodeB=true, nodeE=false, nodeF=true, nodeL=true, nodeD=true, nodeH=false, nodeC=true, nodeA=true, nodeG=true, nodeJ=true}}</t>
  </si>
  <si>
    <t>{topRow={nodeC=false, nodeB=false, nodeA=false, nodeH=false, nodeJ=false, nodeL=false, nodeI=false, nodeK=false, nodeG=false, nodeE=false, nodeF=false, nodeD=false}, botRow={nodeA=false, nodeH=false, nodeK=false, nodeF=false, nodeJ=false, nodeB=false, nodeC=false, nodeI=false, nodeD=false, nodeL=false, nodeE=false, nodeG=false}, midRow={nodeL=false, nodeG=false, nodeE=false, nodeI=false, nodeF=false, nodeD=false, nodeH=false, nodeJ=false, nodeC=false, nodeK=false, nodeA=false, nodeB=false}, trough=1.0}</t>
  </si>
  <si>
    <t>{topRow={nodeC=false, nodeE=false, nodeA=true, nodeL=true, nodeF=false, nodeK=true, nodeI=false, nodeG=false, nodeD=false, nodeH=false, nodeJ=false, nodeB=true}, midRow={nodeE=false, nodeG=false, nodeI=false, nodeD=false, nodeH=false, nodeB=false, nodeL=false, nodeJ=false, nodeF=false, nodeK=false, nodeA=false, nodeC=false}, botRow={nodeK=false, nodeI=false, nodeJ=false, nodeG=false, nodeH=false, nodeL=false, nodeE=true, nodeF=false, nodeB=true, nodeD=false, nodeA=true, nodeC=false}, trough=4.0}</t>
  </si>
  <si>
    <t>{topRow={nodeK=false, nodeB=false, nodeH=false, nodeI=false, nodeL=false, nodeJ=false, nodeD=false, nodeF=false, nodeA=false, nodeG=false, nodeE=false, nodeC=false}, midRow={nodeH=false, nodeB=false, nodeA=false, nodeG=false, nodeJ=false, nodeI=false, nodeC=false, nodeF=false, nodeE=false, nodeK=false, nodeD=false, nodeL=false}, botRow={nodeJ=false, nodeH=false, nodeK=false, nodeD=false, nodeL=false, nodeG=false, nodeB=false, nodeC=false, nodeE=false, nodeF=false, nodeA=false, nodeI=false}, trough=1.0}</t>
  </si>
  <si>
    <t>{botRow={nodeK=false, nodeC=false, nodeI=false, nodeB=false, nodeE=false, nodeJ=false, nodeA=false, nodeL=false, nodeG=false, nodeD=true, nodeF=false, nodeH=false}, trough=11.0, midRow={nodeD=false, nodeJ=false, nodeE=false, nodeI=false, nodeA=false, nodeF=false, nodeL=false, nodeK=false, nodeH=false, nodeB=true, nodeC=false, nodeG=false}, topRow={nodeG=false, nodeF=false, nodeJ=false, nodeD=true, nodeI=false, nodeL=false, nodeK=false, nodeC=false, nodeE=false, nodeB=false, nodeA=false, nodeH=false}}</t>
  </si>
  <si>
    <t>{topRow={nodeB=false, nodeI=false, nodeG=false, nodeF=false, nodeE=false, nodeH=false, nodeC=false, nodeA=false, nodeJ=false, nodeK=false, nodeL=false, nodeD=false}, trough=0.0, botRow={nodeH=false, nodeJ=false, nodeF=false, nodeB=false, nodeK=false, nodeE=false, nodeC=false, nodeI=false, nodeD=false, nodeA=false, nodeG=false, nodeL=false}, midRow={nodeJ=false, nodeB=false, nodeD=false, nodeC=false, nodeH=false, nodeG=false, nodeE=false, nodeF=false, nodeA=false, nodeL=false, nodeI=false, nodeK=false}}</t>
  </si>
  <si>
    <t>{botRow={nodeJ=false, nodeI=false, nodeK=false, nodeE=false, nodeH=false, nodeA=false, nodeL=false, nodeG=false, nodeF=false, nodeB=false, nodeC=false, nodeD=false}, trough=0.0, midRow={nodeF=false, nodeI=false, nodeJ=false, nodeC=true, nodeA=false, nodeE=false, nodeL=true, nodeH=false, nodeK=true, nodeD=true, nodeG=true, nodeB=true}, topRow={nodeL=true, nodeJ=false, nodeA=true, nodeC=true, nodeF=false, nodeE=false, nodeD=true, nodeI=false, nodeG=false, nodeB=true, nodeK=false, nodeH=false}}</t>
  </si>
  <si>
    <t>{trough=1.0, botRow={nodeD=false, nodeI=false, nodeE=false, nodeC=false, nodeJ=false, nodeF=false, nodeL=false, nodeK=false, nodeH=false, nodeB=false, nodeG=false, nodeA=false}, midRow={nodeD=false, nodeH=false, nodeK=false, nodeG=false, nodeB=false, nodeI=false, nodeL=false, nodeJ=false, nodeE=false, nodeA=false, nodeC=false, nodeF=false}, topRow={nodeC=false, nodeK=false, nodeH=true, nodeI=false, nodeD=false, nodeG=false, nodeL=false, nodeA=false, nodeB=false, nodeE=false, nodeF=false, nodeJ=false}}</t>
  </si>
  <si>
    <t>{botRow={nodeF=false, nodeH=false, nodeJ=false, nodeG=false, nodeB=false, nodeD=false, nodeL=false, nodeC=false, nodeI=false, nodeA=false, nodeK=false, nodeE=false}, topRow={nodeL=true, nodeD=false, nodeF=false, nodeC=true, nodeA=true, nodeJ=true, nodeI=false, nodeK=true, nodeH=true, nodeE=false, nodeB=true, nodeG=false}, trough=6.0, midRow={nodeL=false, nodeA=false, nodeJ=false, nodeE=false, nodeI=false, nodeC=false, nodeG=false, nodeF=false, nodeD=false, nodeB=false, nodeH=false, nodeK=false}}</t>
  </si>
  <si>
    <t>{topRow={nodeG=false, nodeI=false, nodeL=false, nodeD=false, nodeJ=false, nodeE=false, nodeA=false, nodeK=false, nodeF=false, nodeB=false, nodeC=false, nodeH=false}, botRow={nodeK=false, nodeJ=false, nodeI=false, nodeF=false, nodeA=false, nodeD=false, nodeB=false, nodeH=false, nodeL=false, nodeC=false, nodeG=false, nodeE=false}, midRow={nodeD=false, nodeI=false, nodeJ=false, nodeE=false, nodeH=false, nodeA=false, nodeK=false, nodeC=false, nodeB=false, nodeF=false, nodeL=false, nodeG=false}, trough=1.0}</t>
  </si>
  <si>
    <t>{botRow={nodeI=false, nodeC=false, nodeD=false, nodeA=true, nodeE=false, nodeG=true, nodeF=false, nodeK=false, nodeB=false, nodeL=false, nodeJ=false, nodeH=false}, trough=1.0, midRow={nodeF=true, nodeH=true, nodeG=false, nodeD=true, nodeA=false, nodeK=false, nodeL=false, nodeE=true, nodeJ=false, nodeB=false, nodeI=false, nodeC=true}, topRow={nodeL=true, nodeC=false, nodeD=false, nodeA=false, nodeF=false, nodeK=true, nodeB=false, nodeE=false, nodeJ=true, nodeI=true, nodeH=true, nodeG=false}}</t>
  </si>
  <si>
    <t>{topRow={nodeD=false, nodeG=false, nodeJ=false, nodeB=false, nodeE=false, nodeC=false, nodeA=false, nodeH=false, nodeI=false, nodeK=false, nodeL=false, nodeF=false}, trough=0.0, midRow={nodeE=false, nodeF=false, nodeB=false, nodeL=false, nodeC=false, nodeJ=false, nodeG=false, nodeK=false, nodeI=false, nodeD=false, nodeA=false, nodeH=false}, botRow={nodeE=false, nodeF=false, nodeK=false, nodeA=false, nodeH=false, nodeG=false, nodeJ=false, nodeD=false, nodeL=false, nodeI=false, nodeB=false, nodeC=false}}</t>
  </si>
  <si>
    <t>{trough=2.0, topRow={nodeC=true, nodeL=true, nodeJ=false, nodeA=true, nodeH=false, nodeG=false, nodeE=false, nodeK=true, nodeD=true, nodeB=true, nodeF=false, nodeI=false}, midRow={nodeK=false, nodeB=false, nodeI=false, nodeA=false, nodeD=false, nodeH=false, nodeG=false, nodeF=false, nodeE=false, nodeC=false, nodeL=false, nodeJ=false}, botRow={nodeF=false, nodeG=false, nodeI=false, nodeK=false, nodeH=false, nodeE=false, nodeC=false, nodeL=false, nodeD=false, nodeJ=false, nodeA=false, nodeB=true}}</t>
  </si>
  <si>
    <t>{trough=0.0, topRow={nodeK=true, nodeB=false, nodeE=false, nodeC=false, nodeI=true, nodeH=false, nodeJ=false, nodeF=false, nodeA=false, nodeG=false, nodeD=false, nodeL=false}, botRow={nodeH=false, nodeK=false, nodeD=false, nodeF=false, nodeB=false, nodeI=false, nodeG=false, nodeA=false, nodeE=false, nodeJ=false, nodeL=false, nodeC=false}, midRow={nodeB=false, nodeK=false, nodeD=false, nodeJ=false, nodeG=false, nodeA=false, nodeL=false, nodeF=false, nodeI=false, nodeH=false, nodeE=false, nodeC=false}}</t>
  </si>
  <si>
    <t>{trough=0.0, botRow={nodeD=false, nodeK=false, nodeB=false, nodeJ=false, nodeE=false, nodeA=false, nodeG=false, nodeF=false, nodeI=false, nodeL=false, nodeC=false, nodeH=false}, midRow={nodeB=false, nodeH=false, nodeA=false, nodeE=false, nodeI=false, nodeK=false, nodeG=false, nodeD=false, nodeF=false, nodeJ=false, nodeL=false, nodeC=false}, topRow={nodeH=false, nodeF=true, nodeE=true, nodeD=false, nodeJ=true, nodeB=false, nodeK=true, nodeA=false, nodeC=true, nodeG=false, nodeL=false, nodeI=true}}</t>
  </si>
  <si>
    <t>{trough=0.0, midRow={nodeK=false, nodeE=false, nodeH=false, nodeB=false, nodeI=false, nodeG=false, nodeA=false, nodeC=false, nodeF=false, nodeJ=false, nodeD=false, nodeL=false}, topRow={nodeF=false, nodeH=false, nodeI=false, nodeE=false, nodeB=false, nodeD=false, nodeK=false, nodeL=false, nodeG=false, nodeC=false, nodeA=false, nodeJ=false}, botRow={nodeI=false, nodeH=false, nodeK=false, nodeJ=false, nodeF=false, nodeD=false, nodeL=false, nodeE=false, nodeG=false, nodeB=false, nodeC=false, nodeA=false}}</t>
  </si>
  <si>
    <t>{trough=0.0, botRow={nodeD=false, nodeE=false, nodeL=false, nodeK=false, nodeC=false, nodeI=false, nodeJ=false, nodeF=false, nodeA=true, nodeG=false, nodeH=false, nodeB=false}, topRow={nodeG=false, nodeI=false, nodeH=false, nodeC=false, nodeE=false, nodeL=false, nodeJ=false, nodeF=false, nodeA=false, nodeD=false, nodeB=false, nodeK=false}, midRow={nodeH=false, nodeC=true, nodeA=true, nodeJ=false, nodeE=false, nodeD=false, nodeK=false, nodeF=false, nodeI=false, nodeB=true, nodeG=false, nodeL=false}}</t>
  </si>
  <si>
    <t>{trough=0.0, botRow={nodeD=false, nodeA=false, nodeG=false, nodeF=false, nodeH=false, nodeI=false, nodeC=false, nodeB=false, nodeK=false, nodeE=false, nodeL=false, nodeJ=false}, midRow={nodeD=false, nodeI=false, nodeL=false, nodeJ=false, nodeE=false, nodeF=false, nodeA=false, nodeG=false, nodeH=false, nodeC=false, nodeK=false, nodeB=false}, topRow={nodeF=false, nodeB=false, nodeC=false, nodeD=false, nodeG=false, nodeJ=false, nodeK=false, nodeH=false, nodeE=false, nodeI=false, nodeA=false, nodeL=false}}</t>
  </si>
  <si>
    <t>{trough=1.0, botRow={nodeF=false, nodeJ=false, nodeD=false, nodeI=false, nodeH=false, nodeG=false, nodeK=false, nodeB=false, nodeA=false, nodeE=false, nodeC=true, nodeL=false}, midRow={nodeH=false, nodeB=true, nodeG=false, nodeK=false, nodeJ=false, nodeF=false, nodeI=false, nodeE=true, nodeA=true, nodeD=true, nodeC=true, nodeL=false}, topRow={nodeF=true, nodeJ=false, nodeC=true, nodeI=false, nodeH=true, nodeK=false, nodeA=false, nodeG=true, nodeE=true, nodeB=false, nodeL=false, nodeD=true}}</t>
  </si>
  <si>
    <t>{botRow={nodeI=false, nodeC=false, nodeA=false, nodeF=false, nodeB=false, nodeE=false, nodeD=false, nodeH=false, nodeG=false, nodeJ=false, nodeK=false, nodeL=false}, midRow={nodeA=false, nodeI=false, nodeH=false, nodeK=false, nodeJ=false, nodeD=false, nodeB=false, nodeG=false, nodeL=false, nodeC=false, nodeE=false, nodeF=false}, trough=0.0, topRow={nodeH=false, nodeC=false, nodeB=false, nodeK=true, nodeI=false, nodeJ=false, nodeG=false, nodeA=false, nodeL=false, nodeE=false, nodeD=false, nodeF=false}}</t>
  </si>
  <si>
    <t>{trough=2.0, topRow={nodeB=true, nodeC=true, nodeE=true, nodeK=true, nodeI=false, nodeG=true, nodeJ=false, nodeH=false, nodeD=true, nodeL=true, nodeA=true, nodeF=false}, botRow={nodeJ=false, nodeG=false, nodeA=false, nodeI=false, nodeB=false, nodeD=true, nodeC=false, nodeE=true, nodeF=false, nodeH=false, nodeL=false, nodeK=false}, midRow={nodeB=true, nodeD=true, nodeH=false, nodeK=false, nodeA=true, nodeJ=false, nodeE=false, nodeI=false, nodeL=true, nodeG=false, nodeF=false, nodeC=true}}</t>
  </si>
  <si>
    <t>{topRow={nodeA=false, nodeF=false, nodeJ=false, nodeB=false, nodeG=false, nodeK=false, nodeE=false, nodeD=false, nodeC=false, nodeL=false, nodeI=false, nodeH=false}, botRow={nodeH=false, nodeE=false, nodeL=false, nodeJ=false, nodeK=false, nodeI=false, nodeF=false, nodeG=false, nodeC=false, nodeD=false, nodeB=false, nodeA=false}, midRow={nodeE=false, nodeG=false, nodeL=false, nodeC=false, nodeJ=false, nodeA=false, nodeF=false, nodeB=false, nodeK=false, nodeI=false, nodeH=false, nodeD=false}, trough=1.0}</t>
  </si>
  <si>
    <t>{trough=6.0, topRow={nodeA=false, nodeI=false, nodeE=false, nodeK=false, nodeC=false, nodeH=false, nodeB=false, nodeJ=false, nodeD=false, nodeL=false, nodeG=false, nodeF=false}, botRow={nodeC=false, nodeI=false, nodeK=false, nodeH=false, nodeL=false, nodeB=false, nodeE=false, nodeD=false, nodeF=false, nodeA=true, nodeJ=false, nodeG=false}, midRow={nodeE=false, nodeD=true, nodeL=true, nodeC=true, nodeK=false, nodeJ=false, nodeF=false, nodeB=false, nodeG=false, nodeA=false, nodeI=false, nodeH=false}}</t>
  </si>
  <si>
    <t>{midRow={nodeC=false, nodeJ=false, nodeG=false, nodeK=false, nodeH=false, nodeB=false, nodeI=false, nodeE=false, nodeD=false, nodeL=false, nodeF=false, nodeA=false}, trough=0.0, topRow={nodeK=false, nodeH=false, nodeJ=false, nodeD=false, nodeF=false, nodeI=false, nodeC=false, nodeL=false, nodeE=false, nodeB=false, nodeA=false, nodeG=false}, botRow={nodeI=false, nodeH=false, nodeK=false, nodeB=false, nodeL=false, nodeG=false, nodeA=false, nodeD=false, nodeJ=false, nodeF=false, nodeE=false, nodeC=false}}</t>
  </si>
  <si>
    <t>{topRow={nodeH=false, nodeD=false, nodeF=false, nodeK=false, nodeB=false, nodeC=false, nodeG=false, nodeL=false, nodeJ=false, nodeE=false, nodeA=true, nodeI=true}, botRow={nodeK=false, nodeH=false, nodeF=false, nodeD=false, nodeI=false, nodeJ=false, nodeL=false, nodeE=false, nodeB=false, nodeC=false, nodeG=false, nodeA=false}, midRow={nodeB=false, nodeI=false, nodeE=false, nodeK=false, nodeD=false, nodeG=false, nodeC=false, nodeF=false, nodeJ=false, nodeH=false, nodeA=false, nodeL=false}, trough=1.0}</t>
  </si>
  <si>
    <t>{botRow={nodeH=false, nodeL=false, nodeA=false, nodeK=false, nodeI=false, nodeC=false, nodeG=false, nodeF=false, nodeD=false, nodeB=false, nodeE=false, nodeJ=false}, topRow={nodeB=false, nodeE=false, nodeD=false, nodeJ=false, nodeC=true, nodeF=false, nodeI=false, nodeA=false, nodeK=true, nodeH=true, nodeG=false, nodeL=false}, trough=0.0, midRow={nodeJ=false, nodeA=false, nodeK=false, nodeI=false, nodeE=false, nodeH=false, nodeF=false, nodeC=false, nodeD=false, nodeG=false, nodeL=false, nodeB=false}}</t>
  </si>
  <si>
    <t>{trough=1.0, botRow={nodeD=true, nodeF=true, nodeC=true, nodeB=true, nodeH=false, nodeI=false, nodeL=false, nodeG=false, nodeA=true, nodeK=false, nodeJ=false, nodeE=true}, midRow={nodeL=true, nodeG=false, nodeK=true, nodeF=false, nodeB=true, nodeA=true, nodeD=true, nodeI=true, nodeJ=false, nodeE=false, nodeH=true, nodeC=false}, topRow={nodeL=false, nodeF=true, nodeE=false, nodeH=true, nodeJ=true, nodeA=true, nodeD=false, nodeB=true, nodeK=true, nodeG=true, nodeC=true, nodeI=true}}</t>
  </si>
  <si>
    <t>{trough=0.0, midRow={nodeJ=false, nodeL=false, nodeI=false, nodeC=false, nodeK=false, nodeD=false, nodeE=false, nodeB=false, nodeH=false, nodeG=false, nodeF=false, nodeA=false}, botRow={nodeF=false, nodeK=false, nodeB=false, nodeJ=false, nodeD=false, nodeH=false, nodeA=false, nodeG=false, nodeL=false, nodeI=false, nodeC=false, nodeE=false}, topRow={nodeL=false, nodeI=false, nodeF=true, nodeJ=false, nodeH=false, nodeK=false, nodeE=false, nodeB=false, nodeD=true, nodeC=false, nodeG=false, nodeA=false}}</t>
  </si>
  <si>
    <t>{midRow={nodeL=true, nodeF=false, nodeI=true, nodeA=false, nodeG=false, nodeE=false, nodeC=true, nodeJ=true, nodeK=true, nodeH=false, nodeB=false, nodeD=true}, topRow={nodeE=true, nodeL=true, nodeG=true, nodeI=true, nodeJ=true, nodeC=true, nodeH=true, nodeF=true, nodeA=true, nodeK=false, nodeD=true, nodeB=true}, botRow={nodeH=false, nodeB=false, nodeC=false, nodeK=false, nodeJ=true, nodeL=false, nodeF=false, nodeG=false, nodeD=false, nodeI=false, nodeE=false, nodeA=false}, trough=0.0}</t>
  </si>
  <si>
    <t>{topRow={nodeI=false, nodeE=false, nodeC=false, nodeH=false, nodeA=false, nodeK=false, nodeB=false, nodeF=false, nodeG=false, nodeL=false, nodeD=false, nodeJ=false}, midRow={nodeB=false, nodeE=false, nodeL=false, nodeJ=false, nodeD=false, nodeC=false, nodeI=false, nodeG=false, nodeH=false, nodeK=false, nodeA=false, nodeF=false}, botRow={nodeD=false, nodeL=false, nodeA=false, nodeK=false, nodeF=false, nodeC=false, nodeH=false, nodeI=false, nodeG=false, nodeJ=false, nodeE=false, nodeB=false}, trough=1.0}</t>
  </si>
  <si>
    <t>{midRow={nodeF=false, nodeH=false, nodeB=false, nodeK=true, nodeD=false, nodeA=false, nodeJ=false, nodeC=false, nodeI=false, nodeL=false, nodeE=false, nodeG=false}, botRow={nodeH=false, nodeD=false, nodeL=false, nodeJ=false, nodeE=false, nodeB=false, nodeI=false, nodeA=false, nodeG=false, nodeK=false, nodeC=false, nodeF=false}, trough=2.0, topRow={nodeK=false, nodeF=false, nodeI=false, nodeH=false, nodeC=false, nodeE=false, nodeG=false, nodeJ=false, nodeD=false, nodeB=false, nodeA=false, nodeL=false}}</t>
  </si>
  <si>
    <t>{botRow={nodeI=false, nodeL=false, nodeG=false, nodeB=false, nodeK=false, nodeJ=false, nodeC=false, nodeE=false, nodeF=false, nodeH=false, nodeD=false, nodeA=false}, trough=0.0, midRow={nodeI=false, nodeD=false, nodeG=false, nodeA=false, nodeB=false, nodeC=false, nodeK=false, nodeL=false, nodeJ=false, nodeF=false, nodeH=false, nodeE=false}, topRow={nodeA=false, nodeI=false, nodeL=false, nodeG=false, nodeJ=false, nodeC=false, nodeB=false, nodeK=false, nodeH=false, nodeE=false, nodeF=false, nodeD=false}}</t>
  </si>
  <si>
    <t>{topRow={nodeD=false, nodeH=true, nodeG=true, nodeC=false, nodeK=false, nodeL=false, nodeI=false, nodeE=true, nodeF=false, nodeB=false, nodeJ=false, nodeA=false}, midRow={nodeD=false, nodeG=false, nodeI=false, nodeE=false, nodeK=false, nodeH=false, nodeB=false, nodeL=false, nodeF=false, nodeC=false, nodeJ=false, nodeA=false}, botRow={nodeE=false, nodeK=false, nodeL=false, nodeA=false, nodeH=false, nodeJ=false, nodeG=false, nodeD=false, nodeB=false, nodeI=false, nodeF=false, nodeC=false}, trough=0.0}</t>
  </si>
  <si>
    <t>{trough=0.0, botRow={nodeG=false, nodeD=false, nodeB=false, nodeH=false, nodeF=false, nodeA=false, nodeL=false, nodeI=false, nodeC=false, nodeK=false, nodeE=false, nodeJ=false}, midRow={nodeE=false, nodeD=false, nodeF=false, nodeK=false, nodeH=false, nodeC=false, nodeL=false, nodeG=false, nodeJ=false, nodeI=false, nodeA=false, nodeB=false}, topRow={nodeH=true, nodeF=false, nodeK=false, nodeL=false, nodeI=false, nodeC=false, nodeA=false, nodeB=false, nodeG=false, nodeJ=false, nodeD=false, nodeE=false}}</t>
  </si>
  <si>
    <t>{topRow={nodeH=true, nodeC=true, nodeL=true, nodeK=true, nodeD=true, nodeA=true, nodeE=true, nodeB=true, nodeF=true, nodeI=true, nodeJ=true, nodeG=true}, trough=0.0, midRow={nodeI=false, nodeL=false, nodeJ=false, nodeE=false, nodeC=false, nodeF=false, nodeG=false, nodeD=false, nodeA=false, nodeB=false, nodeK=false, nodeH=false}, botRow={nodeI=false, nodeG=false, nodeF=false, nodeH=false, nodeJ=false, nodeA=false, nodeD=false, nodeK=false, nodeC=false, nodeL=false, nodeB=true, nodeE=false}}</t>
  </si>
  <si>
    <t>{botRow={nodeA=false, nodeJ=false, nodeB=false, nodeF=false, nodeG=false, nodeH=false, nodeI=false, nodeD=false, nodeK=false, nodeC=false, nodeL=false, nodeE=false}, topRow={nodeG=false, nodeI=false, nodeA=false, nodeH=false, nodeE=false, nodeB=false, nodeC=false, nodeJ=false, nodeL=false, nodeD=false, nodeF=false, nodeK=false}, trough=1.0, midRow={nodeK=false, nodeD=false, nodeG=false, nodeA=false, nodeJ=false, nodeB=false, nodeE=false, nodeC=false, nodeL=false, nodeI=false, nodeF=false, nodeH=false}}</t>
  </si>
  <si>
    <t>{topRow={nodeJ=false, nodeG=false, nodeD=false, nodeC=false, nodeE=false, nodeH=false, nodeK=false, nodeF=false, nodeB=false, nodeI=false, nodeL=false, nodeA=false}, midRow={nodeA=false, nodeC=true, nodeG=false, nodeB=true, nodeK=false, nodeI=false, nodeL=false, nodeE=true, nodeF=true, nodeH=false, nodeJ=false, nodeD=true}, trough=8.0, botRow={nodeC=false, nodeB=false, nodeA=false, nodeF=false, nodeJ=true, nodeD=false, nodeG=false, nodeE=false, nodeK=true, nodeH=false, nodeI=true, nodeL=false}}</t>
  </si>
  <si>
    <t>{midRow={nodeF=false, nodeH=false, nodeI=false, nodeA=false, nodeD=false, nodeK=false, nodeG=false, nodeC=false, nodeE=false, nodeJ=false, nodeL=false, nodeB=false}, botRow={nodeD=false, nodeE=false, nodeK=false, nodeH=false, nodeG=false, nodeB=false, nodeI=false, nodeJ=false, nodeA=false, nodeF=false, nodeC=false, nodeL=false}, trough=0.0, topRow={nodeG=false, nodeH=false, nodeK=false, nodeB=false, nodeJ=false, nodeD=false, nodeC=false, nodeF=false, nodeI=false, nodeE=false, nodeL=false, nodeA=false}}</t>
  </si>
  <si>
    <t>{topRow={nodeL=true, nodeA=true, nodeC=true, nodeH=true, nodeK=true, nodeB=true, nodeD=true, nodeI=false, nodeF=true, nodeE=true, nodeJ=true, nodeG=true}, midRow={nodeF=true, nodeJ=false, nodeL=false, nodeG=false, nodeD=true, nodeA=true, nodeK=false, nodeE=true, nodeI=false, nodeH=false, nodeB=true, nodeC=true}, trough=7.0, botRow={nodeC=false, nodeB=false, nodeK=false, nodeF=false, nodeE=false, nodeH=false, nodeL=false, nodeA=true, nodeJ=false, nodeG=false, nodeI=false, nodeD=false}}</t>
  </si>
  <si>
    <t>{topRow={nodeG=false, nodeK=false, nodeJ=false, nodeF=false, nodeA=false, nodeB=false, nodeI=false, nodeD=false, nodeL=false, nodeC=false, nodeH=true, nodeE=false}, midRow={nodeF=false, nodeB=false, nodeE=false, nodeC=false, nodeG=false, nodeJ=false, nodeH=false, nodeD=false, nodeA=false, nodeI=false, nodeL=false, nodeK=false}, trough=0.0, botRow={nodeG=false, nodeD=false, nodeI=false, nodeH=false, nodeK=false, nodeF=false, nodeE=false, nodeA=false, nodeJ=false, nodeC=false, nodeB=false, nodeL=false}}</t>
  </si>
  <si>
    <t>{trough=6.0, botRow={nodeD=false, nodeK=false, nodeE=true, nodeG=false, nodeL=false, nodeF=false, nodeC=false, nodeI=false, nodeH=false, nodeJ=false, nodeA=false, nodeB=true}, topRow={nodeE=false, nodeJ=false, nodeK=true, nodeA=false, nodeB=false, nodeH=true, nodeL=true, nodeI=false, nodeC=false, nodeD=false, nodeG=false, nodeF=false}, midRow={nodeA=false, nodeI=false, nodeL=false, nodeE=false, nodeG=false, nodeH=false, nodeD=false, nodeC=false, nodeJ=false, nodeB=true, nodeK=false, nodeF=false}}</t>
  </si>
  <si>
    <t>{midRow={nodeJ=false, nodeH=false, nodeA=false, nodeK=false, nodeI=false, nodeL=false, nodeB=false, nodeE=false, nodeC=false, nodeD=false, nodeG=false, nodeF=false}, topRow={nodeE=false, nodeK=false, nodeH=false, nodeB=false, nodeJ=false, nodeA=false, nodeD=false, nodeI=true, nodeC=false, nodeF=false, nodeL=false, nodeG=false}, trough=0.0, botRow={nodeH=false, nodeD=false, nodeA=false, nodeC=false, nodeI=false, nodeG=false, nodeK=false, nodeJ=false, nodeL=false, nodeB=false, nodeE=false, nodeF=false}}</t>
  </si>
  <si>
    <t>{botRow={nodeB=false, nodeK=false, nodeI=false, nodeE=false, nodeG=false, nodeC=false, nodeJ=false, nodeA=false, nodeH=false, nodeD=false, nodeF=false, nodeL=false}, midRow={nodeL=false, nodeC=false, nodeG=false, nodeF=false, nodeJ=false, nodeA=false, nodeK=false, nodeD=false, nodeH=false, nodeB=false, nodeE=false, nodeI=false}, topRow={nodeH=false, nodeC=false, nodeG=true, nodeB=true, nodeI=true, nodeF=false, nodeJ=false, nodeE=true, nodeD=false, nodeL=true, nodeA=true, nodeK=false}, trough=0.0}</t>
  </si>
  <si>
    <t>{topRow={nodeB=false, nodeJ=false, nodeA=false, nodeG=false, nodeL=false, nodeH=false, nodeE=false, nodeC=false, nodeI=false, nodeD=false, nodeF=false, nodeK=false}, trough=0.0, midRow={nodeC=false, nodeL=false, nodeJ=false, nodeG=false, nodeF=false, nodeH=false, nodeK=false, nodeA=false, nodeD=false, nodeE=false, nodeI=false, nodeB=false}, botRow={nodeH=false, nodeI=false, nodeA=false, nodeK=false, nodeC=false, nodeE=true, nodeB=false, nodeD=false, nodeF=false, nodeL=false, nodeG=false, nodeJ=false}}</t>
  </si>
  <si>
    <t>{botRow={nodeJ=false, nodeK=false, nodeE=true, nodeB=true, nodeA=false, nodeF=true, nodeD=true, nodeL=false, nodeG=false, nodeI=false, nodeH=false, nodeC=true}, midRow={nodeB=false, nodeC=true, nodeD=true, nodeJ=false, nodeE=false, nodeA=false, nodeF=false, nodeG=true, nodeI=false, nodeL=false, nodeH=true, nodeK=false}, trough=0.0, topRow={nodeA=true, nodeK=false, nodeD=false, nodeB=false, nodeI=false, nodeC=false, nodeG=false, nodeH=false, nodeL=false, nodeJ=false, nodeF=false, nodeE=false}}</t>
  </si>
  <si>
    <t>{trough=1.0, botRow={nodeH=false, nodeC=false, nodeJ=false, nodeE=false, nodeK=false, nodeA=false, nodeB=false, nodeD=false, nodeG=false, nodeF=false, nodeL=false, nodeI=false}, midRow={nodeG=false, nodeC=false, nodeI=false, nodeL=false, nodeE=false, nodeJ=false, nodeA=false, nodeD=false, nodeF=false, nodeH=false, nodeK=false, nodeB=false}, topRow={nodeJ=false, nodeD=false, nodeG=false, nodeI=false, nodeA=false, nodeK=false, nodeL=false, nodeC=false, nodeE=false, nodeB=false, nodeH=false, nodeF=false}}</t>
  </si>
  <si>
    <t>{botRow={nodeJ=false, nodeH=false, nodeI=false, nodeB=false, nodeL=false, nodeK=false, nodeD=false, nodeE=false, nodeC=false, nodeF=false, nodeG=false, nodeA=true}, trough=0.0, midRow={nodeH=false, nodeA=false, nodeK=false, nodeJ=false, nodeD=true, nodeB=false, nodeI=false, nodeG=false, nodeC=true, nodeE=false, nodeF=false, nodeL=false}, topRow={nodeG=false, nodeB=false, nodeA=false, nodeK=true, nodeE=true, nodeD=true, nodeJ=true, nodeI=false, nodeH=false, nodeC=false, nodeF=false, nodeL=true}}</t>
  </si>
  <si>
    <t>{trough=1.0, midRow={nodeB=false, nodeI=false, nodeA=false, nodeE=false, nodeK=false, nodeJ=false, nodeC=false, nodeD=false, nodeF=false, nodeH=false, nodeG=false, nodeL=false}, botRow={nodeK=false, nodeC=false, nodeA=false, nodeE=false, nodeL=false, nodeJ=false, nodeD=false, nodeG=false, nodeH=false, nodeF=false, nodeI=false, nodeB=false}, topRow={nodeD=false, nodeB=false, nodeE=false, nodeG=false, nodeK=false, nodeL=false, nodeJ=false, nodeF=false, nodeI=false, nodeC=false, nodeH=false, nodeA=false}}</t>
  </si>
  <si>
    <t>{trough=2.0, botRow={nodeC=false, nodeB=false, nodeD=false, nodeL=false, nodeH=false, nodeE=false, nodeA=false, nodeF=false, nodeG=false, nodeI=false, nodeK=false, nodeJ=false}, midRow={nodeL=false, nodeC=false, nodeF=false, nodeK=false, nodeG=false, nodeD=false, nodeA=false, nodeJ=false, nodeI=false, nodeB=false, nodeE=false, nodeH=false}, topRow={nodeL=false, nodeD=true, nodeI=false, nodeJ=false, nodeF=false, nodeB=true, nodeC=true, nodeK=false, nodeH=false, nodeA=true, nodeE=true, nodeG=false}}</t>
  </si>
  <si>
    <t>{midRow={nodeD=false, nodeA=false, nodeB=false, nodeL=false, nodeJ=false, nodeK=false, nodeG=false, nodeH=false, nodeE=false, nodeC=false, nodeF=false, nodeI=false}, topRow={nodeA=false, nodeG=false, nodeJ=false, nodeB=false, nodeC=false, nodeL=false, nodeK=false, nodeD=false, nodeH=false, nodeF=false, nodeI=false, nodeE=false}, trough=0.0, botRow={nodeD=false, nodeG=false, nodeH=false, nodeL=false, nodeA=false, nodeF=false, nodeI=false, nodeK=false, nodeJ=false, nodeC=false, nodeE=false, nodeB=false}}</t>
  </si>
  <si>
    <t>{botRow={nodeD=false, nodeG=false, nodeE=true, nodeH=false, nodeK=false, nodeF=false, nodeI=false, nodeC=false, nodeA=true, nodeB=true, nodeL=false, nodeJ=false}, midRow={nodeI=false, nodeF=false, nodeK=false, nodeH=false, nodeA=false, nodeB=false, nodeC=false, nodeE=false, nodeJ=false, nodeL=false, nodeG=false, nodeD=false}, topRow={nodeF=false, nodeH=false, nodeG=false, nodeK=true, nodeA=true, nodeC=false, nodeD=false, nodeJ=false, nodeI=false, nodeL=true, nodeE=false, nodeB=false}, trough=1.0}</t>
  </si>
  <si>
    <t>{trough=1.0, topRow={nodeK=false, nodeF=false, nodeH=false, nodeB=false, nodeA=false, nodeE=false, nodeC=false, nodeJ=false, nodeD=true, nodeG=false, nodeL=false, nodeI=false}, botRow={nodeE=false, nodeC=false, nodeI=false, nodeJ=false, nodeK=false, nodeB=false, nodeH=false, nodeF=false, nodeD=false, nodeA=false, nodeG=false, nodeL=false}, midRow={nodeK=false, nodeB=false, nodeE=false, nodeC=false, nodeJ=false, nodeL=false, nodeG=false, nodeI=false, nodeH=false, nodeF=false, nodeA=false, nodeD=false}}</t>
  </si>
  <si>
    <t>{topRow={nodeB=true, nodeD=true, nodeJ=false, nodeF=true, nodeI=false, nodeE=false, nodeH=false, nodeA=true, nodeC=true, nodeG=false, nodeL=false, nodeK=false}, botRow={nodeE=false, nodeD=false, nodeG=false, nodeL=false, nodeH=false, nodeI=false, nodeB=true, nodeF=false, nodeK=false, nodeA=true, nodeJ=false, nodeC=true}, trough=4.0, midRow={nodeC=true, nodeD=true, nodeH=false, nodeL=false, nodeG=false, nodeA=true, nodeI=false, nodeJ=false, nodeF=false, nodeK=false, nodeE=false, nodeB=true}}</t>
  </si>
  <si>
    <t>{botRow={nodeC=false, nodeB=false, nodeK=false, nodeF=false, nodeL=false, nodeG=false, nodeH=false, nodeD=false, nodeI=false, nodeJ=false, nodeA=false, nodeE=false}, midRow={nodeA=false, nodeH=false, nodeK=false, nodeI=false, nodeB=false, nodeC=false, nodeF=false, nodeE=false, nodeL=false, nodeG=false, nodeJ=false, nodeD=false}, topRow={nodeD=false, nodeI=false, nodeC=false, nodeE=false, nodeJ=false, nodeL=false, nodeF=false, nodeG=false, nodeA=false, nodeK=false, nodeH=false, nodeB=false}, trough=0.0}</t>
  </si>
  <si>
    <t>{midRow={nodeJ=false, nodeA=false, nodeG=false, nodeL=false, nodeE=false, nodeC=false, nodeK=false, nodeI=false, nodeB=false, nodeD=false, nodeF=false, nodeH=false}, botRow={nodeK=false, nodeC=false, nodeB=false, nodeI=false, nodeD=false, nodeF=false, nodeH=false, nodeA=false, nodeG=false, nodeL=false, nodeE=false, nodeJ=false}, topRow={nodeH=false, nodeG=false, nodeC=true, nodeJ=false, nodeA=true, nodeK=false, nodeL=true, nodeB=false, nodeI=false, nodeE=false, nodeF=false, nodeD=true}, trough=2.0}</t>
  </si>
  <si>
    <t>{midRow={nodeI=false, nodeF=false, nodeE=false, nodeJ=false, nodeK=false, nodeB=false, nodeL=false, nodeA=false, nodeG=false, nodeH=false, nodeC=false, nodeD=false}, topRow={nodeB=false, nodeI=false, nodeH=false, nodeL=false, nodeE=false, nodeJ=false, nodeC=false, nodeD=false, nodeG=false, nodeF=false, nodeA=false, nodeK=false}, botRow={nodeA=false, nodeH=false, nodeG=false, nodeE=false, nodeK=false, nodeC=false, nodeI=false, nodeJ=false, nodeB=false, nodeL=false, nodeF=false, nodeD=false}, trough=0.0}</t>
  </si>
  <si>
    <t>{midRow={nodeL=false, nodeG=false, nodeD=false, nodeH=false, nodeE=false, nodeC=false, nodeK=false, nodeA=false, nodeB=false, nodeF=false, nodeJ=false, nodeI=false}, botRow={nodeJ=true, nodeG=false, nodeA=true, nodeI=false, nodeH=false, nodeK=true, nodeC=false, nodeD=false, nodeL=true, nodeB=true, nodeE=false, nodeF=false}, topRow={nodeL=false, nodeK=false, nodeE=false, nodeB=false, nodeJ=false, nodeC=true, nodeG=false, nodeF=false, nodeA=false, nodeD=false, nodeI=false, nodeH=false}, trough=0.0}</t>
  </si>
  <si>
    <t>{topRow={nodeI=false, nodeJ=false, nodeL=false, nodeD=false, nodeG=false, nodeE=false, nodeK=false, nodeH=false, nodeA=false, nodeB=false, nodeF=false, nodeC=false}, trough=1.0, midRow={nodeJ=false, nodeB=false, nodeF=false, nodeL=false, nodeH=false, nodeD=false, nodeI=false, nodeE=false, nodeG=false, nodeA=false, nodeC=false, nodeK=false}, botRow={nodeJ=false, nodeB=false, nodeD=false, nodeE=false, nodeI=false, nodeH=false, nodeC=false, nodeA=false, nodeF=false, nodeL=false, nodeG=false, nodeK=false}}</t>
  </si>
  <si>
    <t>{midRow={nodeJ=false, nodeC=false, nodeI=false, nodeG=false, nodeA=false, nodeF=false, nodeK=false, nodeH=false, nodeL=false, nodeE=false, nodeD=false, nodeB=false}, trough=4.0, botRow={nodeF=false, nodeA=true, nodeH=false, nodeE=false, nodeB=true, nodeD=false, nodeI=false, nodeG=false, nodeK=false, nodeL=false, nodeJ=false, nodeC=false}, topRow={nodeK=false, nodeI=false, nodeG=false, nodeD=false, nodeA=false, nodeF=false, nodeJ=false, nodeL=false, nodeC=false, nodeE=false, nodeB=false, nodeH=false}}</t>
  </si>
  <si>
    <t>{midRow={nodeB=false, nodeJ=false, nodeC=false, nodeF=false, nodeH=false, nodeD=false, nodeA=false, nodeE=false, nodeK=false, nodeI=false, nodeG=false, nodeL=false}, topRow={nodeF=false, nodeK=false, nodeG=false, nodeC=false, nodeA=false, nodeJ=false, nodeE=true, nodeL=false, nodeH=false, nodeB=false, nodeD=true, nodeI=false}, trough=0.0, botRow={nodeI=false, nodeG=false, nodeF=false, nodeK=false, nodeA=false, nodeJ=false, nodeC=false, nodeE=false, nodeL=false, nodeH=false, nodeD=false, nodeB=false}}</t>
  </si>
  <si>
    <t>{midRow={nodeJ=false, nodeC=false, nodeE=false, nodeH=false, nodeI=false, nodeF=false, nodeA=false, nodeG=false, nodeK=false, nodeB=false, nodeL=false, nodeD=false}, topRow={nodeL=true, nodeF=false, nodeA=true, nodeE=true, nodeJ=true, nodeC=true, nodeB=true, nodeH=true, nodeI=true, nodeD=true, nodeK=true, nodeG=false}, botRow={nodeI=false, nodeG=false, nodeA=true, nodeD=false, nodeF=true, nodeJ=false, nodeE=false, nodeC=false, nodeL=false, nodeH=false, nodeB=true, nodeK=false}, trough=1.0}</t>
  </si>
  <si>
    <t>{trough=0.0, botRow={nodeG=false, nodeF=false, nodeH=false, nodeB=false, nodeD=false, nodeE=false, nodeA=false, nodeC=false, nodeI=false, nodeK=false, nodeL=false, nodeJ=false}, midRow={nodeA=false, nodeI=false, nodeK=false, nodeG=false, nodeJ=false, nodeB=false, nodeC=false, nodeH=false, nodeD=false, nodeE=false, nodeF=false, nodeL=false}, topRow={nodeE=false, nodeA=false, nodeB=false, nodeD=false, nodeC=true, nodeI=false, nodeL=false, nodeJ=true, nodeG=false, nodeF=false, nodeK=true, nodeH=false}}</t>
  </si>
  <si>
    <t>{botRow={nodeL=true, nodeH=false, nodeC=false, nodeG=false, nodeE=false, nodeA=false, nodeB=false, nodeI=false, nodeJ=false, nodeD=false, nodeK=false, nodeF=false}, topRow={nodeL=false, nodeJ=true, nodeG=true, nodeC=true, nodeA=true, nodeH=true, nodeI=true, nodeK=true, nodeE=true, nodeF=true, nodeD=true, nodeB=false}, midRow={nodeI=false, nodeK=true, nodeC=true, nodeA=true, nodeB=true, nodeE=true, nodeL=true, nodeD=false, nodeJ=false, nodeF=true, nodeG=true, nodeH=false}, trough=1.0}</t>
  </si>
  <si>
    <t>{midRow={nodeC=false, nodeD=false, nodeL=false, nodeB=false, nodeH=false, nodeG=false, nodeA=false, nodeI=false, nodeE=false, nodeF=false, nodeJ=false, nodeK=false}, botRow={nodeE=false, nodeL=false, nodeD=false, nodeG=false, nodeF=false, nodeJ=false, nodeI=false, nodeK=false, nodeC=false, nodeH=false, nodeB=false, nodeA=false}, topRow={nodeL=false, nodeD=false, nodeF=false, nodeG=false, nodeI=false, nodeK=false, nodeJ=false, nodeB=false, nodeC=false, nodeH=false, nodeA=false, nodeE=false}, trough=1.0}</t>
  </si>
  <si>
    <t>{trough=1.0, botRow={nodeI=false, nodeB=false, nodeD=false, nodeC=false, nodeL=false, nodeE=false, nodeF=false, nodeH=false, nodeJ=false, nodeA=true, nodeK=false, nodeG=false}, midRow={nodeI=false, nodeK=false, nodeD=false, nodeE=false, nodeB=true, nodeL=true, nodeF=false, nodeA=true, nodeH=false, nodeJ=false, nodeC=false, nodeG=false}, topRow={nodeE=true, nodeL=true, nodeF=false, nodeK=true, nodeJ=false, nodeH=false, nodeB=true, nodeA=true, nodeD=false, nodeG=false, nodeC=true, nodeI=false}}</t>
  </si>
  <si>
    <t>{midRow={nodeG=false, nodeA=false, nodeH=false, nodeI=false, nodeD=false, nodeL=false, nodeC=false, nodeJ=false, nodeF=false, nodeE=false, nodeB=false, nodeK=false}, topRow={nodeG=false, nodeE=false, nodeD=false, nodeI=false, nodeC=false, nodeA=false, nodeH=false, nodeF=false, nodeB=false, nodeK=false, nodeL=true, nodeJ=true}, trough=0.0, botRow={nodeG=false, nodeH=false, nodeJ=false, nodeI=false, nodeF=false, nodeB=false, nodeD=false, nodeC=false, nodeL=false, nodeE=false, nodeA=false, nodeK=false}}</t>
  </si>
  <si>
    <t>{midRow={nodeB=false, nodeC=false, nodeI=true, nodeD=false, nodeL=true, nodeF=false, nodeK=true, nodeE=false, nodeA=true, nodeG=true, nodeJ=true, nodeH=false}, topRow={nodeK=true, nodeA=true, nodeE=true, nodeG=false, nodeJ=true, nodeH=false, nodeC=true, nodeB=true, nodeD=true, nodeI=true, nodeL=true, nodeF=false}, trough=0.0, botRow={nodeI=false, nodeD=false, nodeL=false, nodeF=false, nodeJ=false, nodeK=false, nodeH=false, nodeE=false, nodeA=true, nodeG=false, nodeC=false, nodeB=false}}</t>
  </si>
  <si>
    <t>{botRow={nodeD=false, nodeF=false, nodeL=false, nodeK=false, nodeJ=false, nodeB=false, nodeG=false, nodeE=false, nodeA=false, nodeC=false, nodeI=false, nodeH=false}, topRow={nodeK=false, nodeA=false, nodeE=false, nodeG=false, nodeJ=false, nodeH=false, nodeB=false, nodeC=false, nodeD=false, nodeI=false, nodeF=true, nodeL=false}, midRow={nodeB=false, nodeG=false, nodeE=false, nodeA=false, nodeH=false, nodeI=false, nodeJ=false, nodeL=false, nodeD=false, nodeF=false, nodeK=false, nodeC=false}, trough=1.0}</t>
  </si>
  <si>
    <t>{trough=6.0, midRow={nodeL=false, nodeG=false, nodeB=false, nodeD=false, nodeE=false, nodeI=false, nodeA=false, nodeC=false, nodeF=false, nodeH=false, nodeJ=false, nodeK=false}, topRow={nodeF=true, nodeL=false, nodeG=false, nodeE=false, nodeC=false, nodeI=false, nodeK=false, nodeA=false, nodeH=false, nodeB=false, nodeD=true, nodeJ=false}, botRow={nodeD=false, nodeE=false, nodeK=false, nodeG=false, nodeA=false, nodeB=false, nodeI=false, nodeH=false, nodeJ=false, nodeC=false, nodeF=false, nodeL=false}}</t>
  </si>
  <si>
    <t>{botRow={nodeH=false, nodeE=false, nodeC=false, nodeG=false, nodeF=false, nodeI=false, nodeL=false, nodeD=false, nodeA=false, nodeB=false, nodeK=false, nodeJ=false}, topRow={nodeK=false, nodeB=false, nodeC=false, nodeE=false, nodeH=false, nodeA=false, nodeG=false, nodeD=false, nodeJ=false, nodeL=false, nodeF=false, nodeI=false}, trough=0.0, midRow={nodeG=false, nodeC=false, nodeD=false, nodeF=false, nodeL=false, nodeH=false, nodeJ=false, nodeI=false, nodeK=false, nodeB=false, nodeE=false, nodeA=false}}</t>
  </si>
  <si>
    <t>{trough=0.0, topRow={nodeH=true, nodeE=false, nodeD=false, nodeG=false, nodeI=false, nodeA=false, nodeC=false, nodeJ=false, nodeB=false, nodeK=false, nodeL=false, nodeF=false}, midRow={nodeL=true, nodeD=false, nodeC=true, nodeI=false, nodeK=true, nodeE=false, nodeA=true, nodeJ=true, nodeF=false, nodeG=false, nodeB=true, nodeH=false}, botRow={nodeD=false, nodeF=true, nodeE=false, nodeJ=true, nodeI=false, nodeA=false, nodeK=false, nodeL=false, nodeH=false, nodeG=false, nodeC=true, nodeB=false}}</t>
  </si>
  <si>
    <t>{botRow={nodeL=false, nodeG=false, nodeF=false, nodeE=false, nodeK=false, nodeJ=false, nodeA=false, nodeD=false, nodeH=false, nodeB=false, nodeC=false, nodeI=false}, midRow={nodeE=false, nodeA=false, nodeH=false, nodeD=false, nodeB=false, nodeL=false, nodeF=false, nodeI=false, nodeC=false, nodeG=false, nodeJ=false, nodeK=false}, topRow={nodeI=false, nodeA=false, nodeH=false, nodeK=false, nodeL=false, nodeC=false, nodeG=false, nodeB=false, nodeD=false, nodeJ=false, nodeF=true, nodeE=false}, trough=1.0}</t>
  </si>
  <si>
    <t>{botRow={nodeB=false, nodeC=false, nodeE=false, nodeA=false, nodeJ=true, nodeL=false, nodeF=false, nodeH=false, nodeI=false, nodeK=false, nodeG=false, nodeD=false}, trough=5.0, topRow={nodeI=true, nodeL=true, nodeJ=true, nodeE=false, nodeG=true, nodeF=true, nodeK=true, nodeA=true, nodeH=true, nodeD=false, nodeC=false, nodeB=false}, midRow={nodeD=false, nodeH=false, nodeB=false, nodeC=false, nodeI=true, nodeL=true, nodeE=false, nodeG=false, nodeK=true, nodeF=false, nodeA=false, nodeJ=true}}</t>
  </si>
  <si>
    <t>{trough=0.0, botRow={nodeK=false, nodeI=false, nodeL=false, nodeC=false, nodeH=false, nodeA=false, nodeD=false, nodeJ=false, nodeF=false, nodeB=false, nodeG=false, nodeE=false}, midRow={nodeA=false, nodeB=false, nodeE=false, nodeK=false, nodeC=false, nodeF=false, nodeI=false, nodeG=false, nodeL=false, nodeH=false, nodeJ=false, nodeD=false}, topRow={nodeD=false, nodeF=false, nodeB=false, nodeG=false, nodeE=true, nodeH=false, nodeC=false, nodeK=false, nodeI=false, nodeJ=false, nodeL=false, nodeA=false}}</t>
  </si>
  <si>
    <t>{midRow={nodeJ=true, nodeB=true, nodeE=true, nodeF=false, nodeH=false, nodeK=false, nodeC=false, nodeA=true, nodeI=true, nodeG=false, nodeL=false, nodeD=false}, botRow={nodeF=false, nodeE=false, nodeB=true, nodeK=false, nodeI=false, nodeG=false, nodeH=false, nodeD=false, nodeJ=true, nodeA=true, nodeC=false, nodeL=false}, trough=2.0, topRow={nodeG=false, nodeA=false, nodeB=false, nodeL=false, nodeK=false, nodeE=true, nodeD=true, nodeC=true, nodeF=true, nodeH=false, nodeI=false, nodeJ=false}}</t>
  </si>
  <si>
    <t>{botRow={nodeB=false, nodeI=false, nodeE=false, nodeJ=false, nodeK=false, nodeF=false, nodeG=false, nodeD=false, nodeL=false, nodeH=false, nodeA=false, nodeC=false}, trough=0.0, midRow={nodeJ=false, nodeF=false, nodeI=false, nodeC=false, nodeH=false, nodeE=false, nodeL=false, nodeA=false, nodeD=false, nodeB=false, nodeK=false, nodeG=false}, topRow={nodeK=false, nodeD=false, nodeI=false, nodeE=false, nodeJ=false, nodeF=false, nodeG=false, nodeL=false, nodeH=true, nodeA=false, nodeB=false, nodeC=false}}</t>
  </si>
  <si>
    <t>{topRow={nodeH=true, nodeF=false, nodeC=true, nodeD=true, nodeE=true, nodeA=true, nodeG=false, nodeI=false, nodeB=true, nodeK=false, nodeL=true, nodeJ=false}, midRow={nodeC=false, nodeK=true, nodeD=false, nodeG=false, nodeJ=false, nodeE=false, nodeH=false, nodeI=false, nodeF=false, nodeL=true, nodeA=true, nodeB=true}, botRow={nodeE=true, nodeK=false, nodeL=true, nodeA=true, nodeG=false, nodeJ=false, nodeI=false, nodeH=false, nodeF=true, nodeC=false, nodeD=false, nodeB=true}, trough=1.0}</t>
  </si>
  <si>
    <t>{trough=1.0, botRow={nodeI=false, nodeC=false, nodeB=false, nodeF=false, nodeK=false, nodeG=false, nodeA=false, nodeL=false, nodeH=false, nodeD=false, nodeJ=false, nodeE=false}, topRow={nodeE=false, nodeG=false, nodeB=false, nodeC=false, nodeD=false, nodeL=false, nodeK=false, nodeF=false, nodeI=false, nodeA=false, nodeH=false, nodeJ=false}, midRow={nodeG=false, nodeI=false, nodeJ=false, nodeH=false, nodeF=false, nodeC=false, nodeD=false, nodeB=false, nodeK=false, nodeE=false, nodeA=false, nodeL=false}}</t>
  </si>
  <si>
    <t>{trough=8.0, topRow={nodeB=true, nodeF=false, nodeA=false, nodeK=true, nodeL=true, nodeD=false, nodeG=true, nodeH=false, nodeJ=false, nodeE=true, nodeI=true, nodeC=false}, midRow={nodeD=false, nodeA=false, nodeI=false, nodeH=false, nodeE=false, nodeC=false, nodeG=false, nodeB=false, nodeF=false, nodeK=false, nodeJ=false, nodeL=false}, botRow={nodeB=false, nodeD=false, nodeC=false, nodeA=false, nodeK=false, nodeL=false, nodeE=false, nodeJ=false, nodeF=false, nodeI=false, nodeG=false, nodeH=false}}</t>
  </si>
  <si>
    <t>{topRow={nodeC=false, nodeK=false, nodeF=false, nodeA=false, nodeD=false, nodeE=false, nodeL=false, nodeB=false, nodeJ=false, nodeG=false, nodeI=false, nodeH=false}, midRow={nodeC=false, nodeD=false, nodeH=false, nodeA=false, nodeI=false, nodeG=false, nodeE=false, nodeJ=false, nodeF=false, nodeB=false, nodeK=false, nodeL=false}, botRow={nodeA=false, nodeC=false, nodeE=false, nodeG=false, nodeF=false, nodeJ=false, nodeK=false, nodeI=false, nodeH=false, nodeL=false, nodeD=false, nodeB=false}, trough=0.0}</t>
  </si>
  <si>
    <t>{trough=0.0, topRow={nodeC=false, nodeA=true, nodeE=false, nodeJ=true, nodeG=false, nodeH=false, nodeK=true, nodeI=true, nodeF=false, nodeD=false, nodeL=true, nodeB=true}, midRow={nodeH=false, nodeJ=false, nodeK=true, nodeL=true, nodeF=false, nodeC=true, nodeB=true, nodeI=false, nodeG=false, nodeA=true, nodeD=true, nodeE=false}, botRow={nodeD=true, nodeF=false, nodeK=false, nodeC=false, nodeE=false, nodeA=true, nodeG=false, nodeH=false, nodeL=false, nodeI=false, nodeB=false, nodeJ=false}}</t>
  </si>
  <si>
    <t>{botRow={nodeC=false, nodeJ=false, nodeG=false, nodeL=false, nodeA=false, nodeE=false, nodeH=false, nodeK=false, nodeF=false, nodeI=false, nodeB=false, nodeD=false}, topRow={nodeG=false, nodeB=false, nodeE=true, nodeL=false, nodeH=false, nodeI=false, nodeC=false, nodeJ=false, nodeA=false, nodeF=false, nodeD=true, nodeK=false}, trough=0.0, midRow={nodeL=false, nodeI=false, nodeA=false, nodeG=false, nodeE=false, nodeF=false, nodeK=false, nodeH=false, nodeC=false, nodeJ=false, nodeB=false, nodeD=false}}</t>
  </si>
  <si>
    <t>{botRow={nodeA=false, nodeL=true, nodeK=false, nodeE=false, nodeD=false, nodeJ=false, nodeG=false, nodeB=false, nodeH=false, nodeC=false, nodeI=false, nodeF=false}, topRow={nodeC=true, nodeL=true, nodeF=false, nodeH=false, nodeG=true, nodeD=true, nodeK=true, nodeA=true, nodeI=false, nodeE=true, nodeB=true, nodeJ=false}, trough=1.0, midRow={nodeI=false, nodeF=false, nodeA=false, nodeL=false, nodeJ=false, nodeK=false, nodeE=false, nodeD=true, nodeH=false, nodeG=false, nodeB=false, nodeC=false}}</t>
  </si>
  <si>
    <t>{trough=0.0, topRow={nodeJ=false, nodeI=false, nodeH=false, nodeK=false, nodeC=false, nodeL=false, nodeE=false, nodeG=false, nodeB=false, nodeD=false, nodeF=false, nodeA=false}, midRow={nodeC=false, nodeK=false, nodeA=false, nodeL=false, nodeF=false, nodeI=false, nodeD=false, nodeB=false, nodeJ=false, nodeH=false, nodeE=false, nodeG=false}, botRow={nodeG=false, nodeE=false, nodeJ=false, nodeK=false, nodeH=false, nodeI=false, nodeF=false, nodeC=false, nodeA=false, nodeL=false, nodeB=false, nodeD=false}}</t>
  </si>
  <si>
    <t>{trough=8.0, botRow={nodeL=false, nodeK=false, nodeH=false, nodeE=false, nodeB=false, nodeD=false, nodeC=false, nodeF=false, nodeJ=false, nodeI=false, nodeG=false, nodeA=true}, topRow={nodeL=true, nodeE=false, nodeJ=true, nodeI=false, nodeD=false, nodeH=false, nodeK=true, nodeA=true, nodeG=false, nodeF=false, nodeC=false, nodeB=false}, midRow={nodeI=false, nodeK=false, nodeL=false, nodeE=false, nodeD=false, nodeJ=false, nodeH=false, nodeG=false, nodeF=false, nodeB=false, nodeC=false, nodeA=false}}</t>
  </si>
  <si>
    <t>{midRow={nodeE=false, nodeD=false, nodeI=false, nodeJ=false, nodeL=false, nodeG=false, nodeA=false, nodeF=false, nodeC=false, nodeK=false, nodeH=false, nodeB=false}, trough=1.0, topRow={nodeL=false, nodeF=false, nodeD=false, nodeH=false, nodeG=false, nodeC=false, nodeJ=false, nodeB=false, nodeI=false, nodeK=false, nodeA=false, nodeE=false}, botRow={nodeA=false, nodeI=false, nodeK=false, nodeE=false, nodeL=false, nodeF=false, nodeD=false, nodeH=false, nodeG=false, nodeJ=false, nodeC=false, nodeB=false}}</t>
  </si>
  <si>
    <t>{botRow={nodeF=false, nodeB=false, nodeD=false, nodeC=false, nodeI=false, nodeK=false, nodeE=false, nodeJ=false, nodeA=false, nodeL=false, nodeG=true, nodeH=false}, midRow={nodeJ=false, nodeA=false, nodeF=false, nodeE=false, nodeG=false, nodeL=false, nodeC=false, nodeD=false, nodeH=false, nodeB=false, nodeI=false, nodeK=false}, trough=7.0, topRow={nodeJ=false, nodeE=false, nodeA=false, nodeG=false, nodeH=false, nodeC=false, nodeD=false, nodeK=false, nodeF=false, nodeL=false, nodeI=false, nodeB=false}}</t>
  </si>
  <si>
    <t>{topRow={nodeI=false, nodeD=false, nodeG=false, nodeF=false, nodeK=false, nodeJ=false, nodeB=false, nodeH=false, nodeL=false, nodeE=false, nodeA=false, nodeC=false}, trough=1.0, midRow={nodeI=false, nodeC=false, nodeL=false, nodeD=false, nodeG=false, nodeJ=false, nodeH=false, nodeK=false, nodeB=false, nodeF=false, nodeE=false, nodeA=false}, botRow={nodeC=false, nodeK=false, nodeB=false, nodeI=false, nodeD=false, nodeJ=false, nodeL=false, nodeH=false, nodeG=false, nodeF=false, nodeE=false, nodeA=false}}</t>
  </si>
  <si>
    <t>{trough=0.0, midRow={nodeA=false, nodeD=false, nodeG=false, nodeL=false, nodeC=false, nodeJ=false, nodeF=false, nodeK=false, nodeE=false, nodeB=false, nodeI=false, nodeH=false}, botRow={nodeI=false, nodeD=false, nodeG=false, nodeF=false, nodeJ=false, nodeH=false, nodeK=false, nodeC=false, nodeB=false, nodeL=false, nodeE=false, nodeA=false}, topRow={nodeL=true, nodeE=true, nodeG=false, nodeF=false, nodeA=true, nodeK=true, nodeB=true, nodeD=true, nodeC=true, nodeI=true, nodeH=true, nodeJ=true}}</t>
  </si>
  <si>
    <t>{botRow={nodeH=false, nodeK=false, nodeC=false, nodeG=false, nodeD=false, nodeA=false, nodeI=false, nodeL=false, nodeJ=false, nodeF=false, nodeB=false, nodeE=false}, midRow={nodeG=false, nodeL=false, nodeJ=false, nodeI=false, nodeD=false, nodeA=false, nodeF=false, nodeB=false, nodeE=false, nodeH=false, nodeC=false, nodeK=false}, trough=0.0, topRow={nodeK=false, nodeG=false, nodeF=true, nodeJ=false, nodeL=false, nodeD=false, nodeA=false, nodeI=false, nodeC=false, nodeH=false, nodeE=false, nodeB=false}}</t>
  </si>
  <si>
    <t>{trough=1.0, botRow={nodeA=false, nodeD=false, nodeH=false, nodeJ=false, nodeL=false, nodeG=false, nodeE=false, nodeB=false, nodeK=true, nodeC=false, nodeF=false, nodeI=false}, topRow={nodeK=true, nodeJ=false, nodeD=true, nodeH=true, nodeG=false, nodeA=true, nodeF=true, nodeL=true, nodeC=true, nodeE=true, nodeB=true, nodeI=false}, midRow={nodeI=false, nodeL=false, nodeD=false, nodeK=false, nodeJ=false, nodeF=false, nodeC=true, nodeH=false, nodeA=false, nodeG=false, nodeE=false, nodeB=false}}</t>
  </si>
  <si>
    <t>{topRow={nodeI=false, nodeA=false, nodeJ=false, nodeH=false, nodeC=false, nodeB=false, nodeK=false, nodeG=false, nodeE=false, nodeF=false, nodeD=false, nodeL=false}, botRow={nodeC=false, nodeB=false, nodeK=false, nodeD=false, nodeL=false, nodeG=false, nodeF=false, nodeA=false, nodeH=false, nodeJ=false, nodeI=false, nodeE=false}, trough=1.0, midRow={nodeK=false, nodeC=false, nodeL=false, nodeE=false, nodeF=false, nodeI=false, nodeG=false, nodeD=false, nodeA=false, nodeH=false, nodeJ=false, nodeB=false}}</t>
  </si>
  <si>
    <t>{trough=6.0, midRow={nodeH=false, nodeD=false, nodeJ=false, nodeC=false, nodeE=false, nodeG=false, nodeF=false, nodeB=false, nodeK=false, nodeL=false, nodeA=false, nodeI=false}, topRow={nodeL=true, nodeC=false, nodeE=true, nodeI=false, nodeF=false, nodeD=false, nodeA=true, nodeG=false, nodeH=false, nodeJ=false, nodeK=true, nodeB=true}, botRow={nodeC=false, nodeK=false, nodeE=false, nodeG=false, nodeF=false, nodeD=false, nodeL=false, nodeA=false, nodeI=false, nodeH=false, nodeJ=false, nodeB=false}}</t>
  </si>
  <si>
    <t>{trough=0.0, midRow={nodeD=false, nodeH=false, nodeE=false, nodeJ=false, nodeC=false, nodeB=false, nodeG=false, nodeA=false, nodeI=false, nodeK=false, nodeF=false, nodeL=false}, botRow={nodeC=false, nodeA=false, nodeF=false, nodeD=false, nodeI=false, nodeE=false, nodeH=false, nodeJ=false, nodeK=false, nodeB=false, nodeG=false, nodeL=false}, topRow={nodeF=false, nodeL=true, nodeI=false, nodeA=false, nodeD=false, nodeK=false, nodeB=true, nodeE=false, nodeG=false, nodeJ=true, nodeH=false, nodeC=false}}</t>
  </si>
  <si>
    <t>{botRow={nodeJ=true, nodeD=false, nodeE=false, nodeF=false, nodeL=false, nodeA=false, nodeB=false, nodeG=false, nodeI=false, nodeK=true, nodeH=false, nodeC=false}, midRow={nodeK=true, nodeL=true, nodeH=true, nodeB=true, nodeI=false, nodeC=true, nodeA=true, nodeD=true, nodeG=true, nodeF=false, nodeE=false, nodeJ=false}, trough=0.0, topRow={nodeF=false, nodeL=true, nodeD=false, nodeA=true, nodeG=true, nodeI=true, nodeB=true, nodeK=true, nodeH=false, nodeE=false, nodeC=true, nodeJ=true}}</t>
  </si>
  <si>
    <t>{botRow={nodeL=false, nodeG=false, nodeK=false, nodeJ=false, nodeC=false, nodeH=false, nodeI=false, nodeF=false, nodeD=false, nodeB=false, nodeA=false, nodeE=true}, midRow={nodeG=false, nodeK=false, nodeJ=false, nodeI=false, nodeF=false, nodeH=false, nodeC=false, nodeA=false, nodeD=false, nodeB=false, nodeE=false, nodeL=false}, topRow={nodeE=false, nodeI=false, nodeB=false, nodeJ=false, nodeL=false, nodeF=false, nodeD=false, nodeC=false, nodeH=false, nodeG=false, nodeK=false, nodeA=false}, trough=0.0}</t>
  </si>
  <si>
    <t>{midRow={nodeG=false, nodeB=true, nodeA=true, nodeC=true, nodeI=false, nodeE=false, nodeF=false, nodeL=false, nodeK=false, nodeD=true, nodeJ=false, nodeH=false}, topRow={nodeE=false, nodeL=true, nodeJ=true, nodeF=true, nodeK=true, nodeB=true, nodeH=false, nodeI=false, nodeC=false, nodeA=true, nodeG=false, nodeD=false}, botRow={nodeC=false, nodeJ=false, nodeK=false, nodeF=false, nodeA=false, nodeB=false, nodeD=false, nodeE=true, nodeH=false, nodeL=false, nodeI=false, nodeG=false}, trough=0.0}</t>
  </si>
  <si>
    <t>{topRow={nodeF=false, nodeA=false, nodeH=false, nodeE=false, nodeD=false, nodeC=false, nodeI=false, nodeJ=false, nodeK=false, nodeG=false, nodeB=false, nodeL=false}, botRow={nodeI=false, nodeJ=false, nodeF=false, nodeG=false, nodeL=false, nodeH=false, nodeC=false, nodeA=false, nodeD=false, nodeK=false, nodeE=false, nodeB=false}, midRow={nodeF=false, nodeL=false, nodeH=false, nodeA=false, nodeC=false, nodeE=false, nodeD=false, nodeI=false, nodeK=false, nodeJ=false, nodeG=false, nodeB=false}, trough=0.0}</t>
  </si>
  <si>
    <t>{trough=0.0, botRow={nodeA=true, nodeH=false, nodeB=true, nodeD=false, nodeI=false, nodeL=false, nodeF=true, nodeC=false, nodeG=false, nodeK=false, nodeJ=false, nodeE=false}, midRow={nodeJ=false, nodeL=false, nodeA=false, nodeE=false, nodeH=false, nodeC=false, nodeI=false, nodeK=false, nodeD=false, nodeG=false, nodeB=true, nodeF=false}, topRow={nodeD=false, nodeB=true, nodeE=false, nodeJ=true, nodeH=false, nodeA=true, nodeI=false, nodeK=true, nodeL=true, nodeG=false, nodeC=false, nodeF=false}}</t>
  </si>
  <si>
    <t>{midRow={nodeJ=false, nodeC=false, nodeL=false, nodeA=false, nodeF=false, nodeD=false, nodeE=false, nodeB=false, nodeI=false, nodeK=false, nodeG=false, nodeH=false}, botRow={nodeI=false, nodeB=false, nodeF=false, nodeK=false, nodeG=false, nodeD=false, nodeE=false, nodeL=false, nodeH=false, nodeJ=false, nodeA=false, nodeC=false}, trough=1.0, topRow={nodeF=false, nodeH=false, nodeJ=false, nodeB=false, nodeI=false, nodeK=false, nodeL=false, nodeA=false, nodeG=false, nodeE=false, nodeC=true, nodeD=false}}</t>
  </si>
  <si>
    <t>{trough=0.0, midRow={nodeF=false, nodeD=false, nodeE=false, nodeC=false, nodeB=false, nodeI=false, nodeG=false, nodeK=false, nodeJ=false, nodeA=false, nodeL=false, nodeH=false}, botRow={nodeK=false, nodeC=false, nodeG=false, nodeJ=false, nodeH=false, nodeD=false, nodeF=false, nodeE=false, nodeA=false, nodeL=false, nodeI=false, nodeB=false}, topRow={nodeK=true, nodeG=true, nodeJ=true, nodeA=true, nodeL=true, nodeH=true, nodeF=true, nodeD=true, nodeC=true, nodeE=true, nodeI=true, nodeB=true}}</t>
  </si>
  <si>
    <t>{botRow={nodeH=false, nodeL=false, nodeE=false, nodeI=false, nodeB=false, nodeK=false, nodeJ=false, nodeA=false, nodeC=false, nodeG=false, nodeF=false, nodeD=false}, trough=0.0, topRow={nodeI=false, nodeD=false, nodeG=false, nodeC=false, nodeH=true, nodeL=false, nodeE=false, nodeF=false, nodeB=false, nodeK=false, nodeJ=false, nodeA=false}, midRow={nodeJ=false, nodeA=false, nodeI=false, nodeB=false, nodeK=false, nodeD=false, nodeC=false, nodeG=false, nodeH=false, nodeL=false, nodeF=false, nodeE=false}}</t>
  </si>
  <si>
    <t>{topRow={nodeB=true, nodeA=true, nodeH=true, nodeF=true, nodeC=true, nodeG=true, nodeD=true, nodeI=false, nodeK=false, nodeE=true, nodeL=true, nodeJ=false}, trough=0.0, botRow={nodeH=false, nodeL=false, nodeE=false, nodeB=false, nodeI=false, nodeK=false, nodeA=false, nodeJ=false, nodeG=false, nodeC=false, nodeD=false, nodeF=false}, midRow={nodeK=false, nodeC=false, nodeE=false, nodeG=false, nodeH=false, nodeA=false, nodeL=false, nodeB=false, nodeI=false, nodeJ=false, nodeF=false, nodeD=false}}</t>
  </si>
  <si>
    <t>{topRow={nodeK=false, nodeG=false, nodeE=false, nodeI=false, nodeB=false, nodeA=false, nodeJ=false, nodeF=false, nodeH=false, nodeD=false, nodeL=false, nodeC=false}, midRow={nodeF=false, nodeB=false, nodeC=false, nodeD=false, nodeE=false, nodeG=false, nodeA=false, nodeJ=false, nodeI=false, nodeK=false, nodeL=false, nodeH=false}, trough=1.0, botRow={nodeG=false, nodeD=false, nodeI=false, nodeK=false, nodeL=false, nodeE=false, nodeJ=false, nodeB=false, nodeA=false, nodeH=false, nodeC=false, nodeF=false}}</t>
  </si>
  <si>
    <t>{topRow={nodeG=false, nodeJ=false, nodeK=false, nodeI=false, nodeB=false, nodeF=false, nodeE=false, nodeL=false, nodeC=false, nodeD=false, nodeA=false, nodeH=false}, midRow={nodeC=true, nodeH=false, nodeG=false, nodeK=false, nodeI=false, nodeJ=false, nodeB=true, nodeF=false, nodeE=false, nodeD=true, nodeL=true, nodeA=true}, botRow={nodeE=false, nodeK=false, nodeL=false, nodeH=false, nodeA=false, nodeB=false, nodeG=false, nodeI=false, nodeJ=false, nodeD=false, nodeF=false, nodeC=false}, trough=1.0}</t>
  </si>
  <si>
    <t>{midRow={nodeB=false, nodeC=false, nodeI=false, nodeJ=false, nodeK=false, nodeH=false, nodeE=false, nodeG=false, nodeD=false, nodeA=false, nodeF=false, nodeL=false}, trough=1.0, botRow={nodeD=false, nodeK=false, nodeF=false, nodeE=false, nodeJ=false, nodeI=false, nodeH=false, nodeA=false, nodeC=false, nodeG=false, nodeB=false, nodeL=false}, topRow={nodeG=false, nodeK=false, nodeH=false, nodeE=false, nodeI=false, nodeC=false, nodeF=false, nodeB=false, nodeL=false, nodeJ=false, nodeD=false, nodeA=false}}</t>
  </si>
  <si>
    <t>{botRow={nodeC=false, nodeD=false, nodeI=false, nodeF=false, nodeG=false, nodeB=false, nodeL=false, nodeE=false, nodeK=false, nodeH=false, nodeJ=false, nodeA=false}, midRow={nodeK=false, nodeL=false, nodeE=true, nodeC=true, nodeJ=false, nodeH=false, nodeA=true, nodeI=false, nodeF=false, nodeG=false, nodeB=true, nodeD=true}, topRow={nodeG=false, nodeL=false, nodeH=false, nodeF=false, nodeD=true, nodeB=true, nodeK=true, nodeC=false, nodeE=true, nodeI=false, nodeJ=false, nodeA=true}, trough=4.0}</t>
  </si>
  <si>
    <t>{botRow={nodeD=false, nodeL=false, nodeF=false, nodeJ=false, nodeE=false, nodeA=false, nodeB=false, nodeH=false, nodeC=false, nodeG=false, nodeK=false, nodeI=false}, trough=0.0, topRow={nodeJ=false, nodeK=false, nodeE=false, nodeA=false, nodeD=false, nodeH=false, nodeC=false, nodeG=false, nodeI=false, nodeL=false, nodeB=false, nodeF=false}, midRow={nodeF=false, nodeL=false, nodeD=false, nodeB=false, nodeJ=false, nodeC=false, nodeK=false, nodeE=false, nodeI=false, nodeG=false, nodeA=false, nodeH=false}}</t>
  </si>
  <si>
    <t>{botRow={nodeE=false, nodeI=false, nodeA=true, nodeG=false, nodeD=false, nodeB=false, nodeF=false, nodeL=true, nodeJ=true, nodeK=false, nodeC=false, nodeH=false}, trough=9.0, topRow={nodeK=true, nodeJ=false, nodeC=false, nodeE=false, nodeI=false, nodeG=false, nodeA=true, nodeH=true, nodeD=false, nodeB=true, nodeF=false, nodeL=true}, midRow={nodeH=false, nodeC=false, nodeA=false, nodeB=false, nodeE=false, nodeK=true, nodeG=false, nodeI=false, nodeD=false, nodeL=false, nodeJ=false, nodeF=false}}</t>
  </si>
  <si>
    <t>{trough=0.0, botRow={nodeL=false, nodeE=false, nodeA=false, nodeB=false, nodeF=false, nodeK=false, nodeI=false, nodeD=false, nodeG=false, nodeJ=false, nodeC=false, nodeH=false}, topRow={nodeF=false, nodeI=false, nodeJ=false, nodeG=false, nodeC=false, nodeB=false, nodeH=false, nodeE=true, nodeL=false, nodeA=false, nodeK=false, nodeD=false}, midRow={nodeE=false, nodeH=false, nodeA=false, nodeB=false, nodeD=false, nodeC=false, nodeK=false, nodeF=false, nodeI=false, nodeG=false, nodeJ=false, nodeL=false}}</t>
  </si>
  <si>
    <t>{botRow={nodeB=true, nodeF=false, nodeH=false, nodeC=false, nodeK=false, nodeE=false, nodeA=false, nodeD=true, nodeI=false, nodeG=false, nodeL=false, nodeJ=false}, trough=0.0, midRow={nodeD=true, nodeH=false, nodeF=false, nodeB=false, nodeL=false, nodeK=false, nodeJ=false, nodeC=true, nodeI=false, nodeG=false, nodeE=false, nodeA=false}, topRow={nodeJ=true, nodeC=true, nodeK=true, nodeE=true, nodeI=true, nodeG=true, nodeA=true, nodeH=true, nodeF=false, nodeL=true, nodeD=true, nodeB=true}}</t>
  </si>
  <si>
    <t>{midRow={nodeA=false, nodeE=false, nodeB=false, nodeH=false, nodeC=false, nodeK=false, nodeI=false, nodeG=false, nodeD=false, nodeL=false, nodeF=false, nodeJ=false}, trough=0.0, botRow={nodeJ=false, nodeK=false, nodeE=false, nodeA=false, nodeH=false, nodeD=false, nodeC=false, nodeI=false, nodeG=false, nodeL=false, nodeB=false, nodeF=false}, topRow={nodeK=false, nodeI=false, nodeD=false, nodeG=false, nodeJ=false, nodeC=false, nodeH=false, nodeL=false, nodeA=false, nodeE=false, nodeB=false, nodeF=false}}</t>
  </si>
  <si>
    <t>{trough=0.0, botRow={nodeB=true, nodeG=false, nodeK=false, nodeA=true, nodeF=false, nodeC=true, nodeJ=false, nodeE=true, nodeL=false, nodeD=false, nodeH=false, nodeI=false}, topRow={nodeL=true, nodeB=true, nodeH=false, nodeA=true, nodeF=false, nodeK=true, nodeI=false, nodeD=true, nodeC=true, nodeE=false, nodeJ=false, nodeG=false}, midRow={nodeJ=false, nodeF=false, nodeK=true, nodeI=false, nodeG=false, nodeH=false, nodeC=true, nodeL=true, nodeE=false, nodeA=true, nodeD=false, nodeB=true}}</t>
  </si>
  <si>
    <t>{trough=1.0, botRow={nodeL=false, nodeH=false, nodeB=false, nodeA=false, nodeK=false, nodeI=false, nodeF=false, nodeD=false, nodeE=false, nodeG=false, nodeJ=false, nodeC=false}, midRow={nodeF=false, nodeB=false, nodeC=false, nodeD=false, nodeG=false, nodeE=false, nodeA=false, nodeI=false, nodeK=false, nodeJ=false, nodeH=false, nodeL=false}, topRow={nodeD=false, nodeF=false, nodeG=false, nodeI=false, nodeB=false, nodeC=false, nodeL=false, nodeH=false, nodeJ=false, nodeE=false, nodeA=false, nodeK=false}}</t>
  </si>
  <si>
    <t>{topRow={nodeA=true, nodeF=true, nodeG=true, nodeI=false, nodeC=false, nodeK=true, nodeD=true, nodeL=true, nodeJ=true, nodeH=true, nodeB=true, nodeE=true}, trough=10.0, midRow={nodeF=false, nodeG=false, nodeK=false, nodeH=false, nodeC=false, nodeA=false, nodeD=false, nodeE=false, nodeL=false, nodeJ=false, nodeB=false, nodeI=false}, botRow={nodeE=false, nodeA=false, nodeF=false, nodeL=false, nodeC=false, nodeD=false, nodeK=false, nodeG=false, nodeI=false, nodeB=false, nodeJ=false, nodeH=false}}</t>
  </si>
  <si>
    <t>{botRow={nodeB=false, nodeJ=false, nodeD=false, nodeK=false, nodeG=false, nodeC=false, nodeF=false, nodeA=false, nodeI=false, nodeH=false, nodeE=false, nodeL=false}, trough=1.0, midRow={nodeL=false, nodeD=false, nodeB=false, nodeA=false, nodeK=false, nodeH=false, nodeE=false, nodeI=false, nodeJ=false, nodeC=false, nodeG=false, nodeF=false}, topRow={nodeI=false, nodeL=false, nodeG=false, nodeH=false, nodeK=false, nodeD=false, nodeA=false, nodeE=false, nodeJ=false, nodeF=false, nodeC=false, nodeB=false}}</t>
  </si>
  <si>
    <t>{midRow={nodeK=false, nodeI=false, nodeE=false, nodeB=true, nodeD=true, nodeF=false, nodeJ=false, nodeH=true, nodeL=true, nodeG=true, nodeC=true, nodeA=true}, trough=1.0, botRow={nodeC=false, nodeA=false, nodeE=false, nodeD=false, nodeL=false, nodeG=false, nodeI=false, nodeK=false, nodeJ=false, nodeF=false, nodeH=false, nodeB=false}, topRow={nodeF=false, nodeI=false, nodeJ=false, nodeH=false, nodeC=false, nodeD=false, nodeA=false, nodeE=false, nodeK=false, nodeL=false, nodeB=false, nodeG=false}}</t>
  </si>
  <si>
    <t>{midRow={nodeF=false, nodeJ=false, nodeH=false, nodeL=false, nodeG=false, nodeC=false, nodeA=false, nodeI=false, nodeK=false, nodeE=false, nodeB=false, nodeD=false}, topRow={nodeA=false, nodeB=true, nodeF=false, nodeJ=true, nodeC=false, nodeD=false, nodeG=false, nodeE=false, nodeL=true, nodeH=false, nodeK=false, nodeI=false}, botRow={nodeG=false, nodeI=false, nodeK=false, nodeL=false, nodeJ=false, nodeC=false, nodeH=false, nodeB=false, nodeA=false, nodeE=true, nodeD=false, nodeF=false}, trough=0.0}</t>
  </si>
  <si>
    <t>{midRow={nodeJ=false, nodeF=false, nodeB=false, nodeG=false, nodeK=false, nodeI=false, nodeL=false, nodeA=false, nodeE=false, nodeC=false, nodeD=false, nodeH=false}, trough=0.0, topRow={nodeJ=true, nodeD=true, nodeL=true, nodeA=true, nodeB=true, nodeE=true, nodeC=true, nodeK=true, nodeF=false, nodeG=false, nodeI=false, nodeH=false}, botRow={nodeE=true, nodeH=false, nodeG=false, nodeA=false, nodeF=false, nodeJ=false, nodeK=false, nodeI=false, nodeL=false, nodeC=false, nodeD=false, nodeB=false}}</t>
  </si>
  <si>
    <t>{botRow={nodeB=false, nodeH=false, nodeE=false, nodeK=false, nodeI=false, nodeA=false, nodeL=false, nodeC=false, nodeJ=false, nodeF=false, nodeG=false, nodeD=false}, midRow={nodeF=false, nodeL=false, nodeC=false, nodeB=false, nodeH=false, nodeD=false, nodeE=false, nodeG=false, nodeJ=false, nodeK=false, nodeA=false, nodeI=false}, topRow={nodeE=false, nodeL=false, nodeF=true, nodeH=false, nodeA=false, nodeG=false, nodeK=false, nodeJ=false, nodeI=false, nodeC=false, nodeB=false, nodeD=true}, trough=1.0}</t>
  </si>
  <si>
    <t>{topRow={nodeK=false, nodeI=false, nodeJ=false, nodeH=false, nodeD=true, nodeF=true, nodeA=true, nodeC=true, nodeL=false, nodeE=false, nodeB=false, nodeG=false}, trough=12.0, botRow={nodeL=false, nodeF=false, nodeJ=false, nodeG=false, nodeD=false, nodeH=false, nodeC=false, nodeK=false, nodeB=false, nodeE=false, nodeI=false, nodeA=false}, midRow={nodeD=true, nodeI=false, nodeF=true, nodeJ=false, nodeC=true, nodeE=true, nodeG=false, nodeA=true, nodeH=false, nodeL=false, nodeK=false, nodeB=true}}</t>
  </si>
  <si>
    <t>{trough=0.0, botRow={nodeI=false, nodeF=false, nodeB=false, nodeK=false, nodeA=false, nodeD=false, nodeC=false, nodeL=false, nodeE=false, nodeH=false, nodeJ=false, nodeG=false}, midRow={nodeD=false, nodeB=false, nodeH=false, nodeK=false, nodeA=false, nodeJ=false, nodeE=false, nodeC=false, nodeL=false, nodeI=false, nodeG=false, nodeF=false}, topRow={nodeL=false, nodeE=false, nodeC=false, nodeG=false, nodeB=false, nodeK=false, nodeD=false, nodeH=false, nodeI=false, nodeJ=false, nodeF=false, nodeA=false}}</t>
  </si>
  <si>
    <t>{midRow={nodeE=false, nodeI=false, nodeD=false, nodeB=true, nodeK=false, nodeC=false, nodeA=true, nodeG=false, nodeJ=false, nodeH=false, nodeF=false, nodeL=false}, trough=0.0, topRow={nodeC=true, nodeA=true, nodeB=false, nodeL=true, nodeE=false, nodeK=true, nodeJ=false, nodeF=false, nodeD=true, nodeI=true, nodeG=true, nodeH=false}, botRow={nodeJ=false, nodeI=false, nodeG=false, nodeF=false, nodeL=false, nodeB=false, nodeK=false, nodeD=false, nodeH=false, nodeC=false, nodeA=false, nodeE=false}}</t>
  </si>
  <si>
    <t>{topRow={nodeI=false, nodeJ=false, nodeH=false, nodeC=false, nodeA=false, nodeD=false, nodeL=false, nodeG=false, nodeE=false, nodeB=false, nodeF=false, nodeK=false}, midRow={nodeA=false, nodeI=false, nodeB=false, nodeK=false, nodeF=false, nodeE=false, nodeG=false, nodeD=false, nodeC=false, nodeL=false, nodeH=false, nodeJ=false}, trough=0.0, botRow={nodeE=false, nodeF=false, nodeL=false, nodeG=false, nodeH=false, nodeJ=false, nodeC=false, nodeA=false, nodeB=false, nodeD=false, nodeK=false, nodeI=false}}</t>
  </si>
  <si>
    <t>{midRow={nodeG=false, nodeK=false, nodeC=false, nodeB=false, nodeD=false, nodeA=false, nodeL=false, nodeJ=false, nodeH=false, nodeI=false, nodeF=false, nodeE=false}, trough=0.0, botRow={nodeJ=false, nodeH=false, nodeD=false, nodeG=false, nodeF=false, nodeL=false, nodeE=false, nodeB=false, nodeK=false, nodeI=false, nodeC=false, nodeA=false}, topRow={nodeF=false, nodeE=true, nodeG=false, nodeC=true, nodeA=true, nodeL=true, nodeJ=true, nodeH=false, nodeD=false, nodeK=true, nodeB=true, nodeI=false}}</t>
  </si>
  <si>
    <t>{topRow={nodeA=false, nodeJ=false, nodeH=false, nodeG=false, nodeB=false, nodeF=false, nodeK=false, nodeL=false, nodeE=false, nodeC=false, nodeD=false, nodeI=false}, midRow={nodeI=false, nodeK=false, nodeB=false, nodeF=false, nodeE=false, nodeC=false, nodeG=false, nodeJ=false, nodeH=false, nodeA=false, nodeL=false, nodeD=false}, botRow={nodeJ=false, nodeK=false, nodeF=false, nodeH=false, nodeA=false, nodeD=false, nodeB=false, nodeE=false, nodeI=false, nodeC=false, nodeG=false, nodeL=false}, trough=1.0}</t>
  </si>
  <si>
    <t>{botRow={nodeG=false, nodeE=false, nodeK=false, nodeF=false, nodeL=false, nodeJ=false, nodeI=false, nodeB=false, nodeH=false, nodeD=false, nodeC=false, nodeA=false}, trough=5.0, midRow={nodeI=false, nodeB=false, nodeA=false, nodeC=false, nodeJ=false, nodeH=false, nodeE=false, nodeF=false, nodeL=false, nodeK=false, nodeD=false, nodeG=false}, topRow={nodeH=false, nodeC=false, nodeK=false, nodeD=false, nodeA=false, nodeE=false, nodeL=false, nodeI=false, nodeB=false, nodeF=false, nodeJ=false, nodeG=false}}</t>
  </si>
  <si>
    <t>{midRow={nodeC=false, nodeF=false, nodeG=false, nodeH=false, nodeK=false, nodeA=false, nodeD=false, nodeI=false, nodeJ=false, nodeB=false, nodeE=false, nodeL=false}, topRow={nodeD=false, nodeC=false, nodeA=false, nodeG=false, nodeE=false, nodeK=false, nodeI=false, nodeJ=true, nodeH=false, nodeL=true, nodeB=false, nodeF=false}, botRow={nodeH=false, nodeI=false, nodeC=false, nodeA=false, nodeB=false, nodeL=false, nodeF=false, nodeD=false, nodeJ=false, nodeE=false, nodeG=false, nodeK=false}, trough=0.0}</t>
  </si>
  <si>
    <t>{botRow={nodeF=false, nodeC=false, nodeE=false, nodeI=false, nodeL=false, nodeG=false, nodeJ=false, nodeK=false, nodeH=false, nodeA=true, nodeD=false, nodeB=true}, midRow={nodeL=false, nodeH=false, nodeF=false, nodeG=false, nodeJ=false, nodeK=false, nodeA=false, nodeI=false, nodeD=false, nodeB=true, nodeC=false, nodeE=false}, topRow={nodeJ=true, nodeI=false, nodeH=false, nodeL=true, nodeG=false, nodeK=false, nodeF=false, nodeE=false, nodeB=false, nodeC=true, nodeA=true, nodeD=true}, trough=1.0}</t>
  </si>
  <si>
    <t>{botRow={nodeG=false, nodeL=false, nodeD=false, nodeF=false, nodeE=false, nodeK=false, nodeC=false, nodeA=false, nodeB=false, nodeJ=false, nodeI=false, nodeH=false}, midRow={nodeJ=false, nodeH=false, nodeK=false, nodeD=false, nodeF=false, nodeB=false, nodeE=false, nodeI=false, nodeL=false, nodeG=false, nodeC=false, nodeA=false}, topRow={nodeA=false, nodeK=false, nodeF=false, nodeJ=false, nodeI=false, nodeB=false, nodeL=false, nodeE=false, nodeC=false, nodeH=false, nodeG=false, nodeD=false}, trough=0.0}</t>
  </si>
  <si>
    <t>{trough=2.0, botRow={nodeC=false, nodeJ=false, nodeE=false, nodeI=false, nodeK=false, nodeH=false, nodeB=false, nodeL=false, nodeF=false, nodeA=false, nodeG=false, nodeD=false}, midRow={nodeH=false, nodeG=false, nodeB=false, nodeA=false, nodeD=false, nodeI=false, nodeF=false, nodeJ=false, nodeK=false, nodeE=false, nodeL=false, nodeC=false}, topRow={nodeD=false, nodeL=false, nodeB=false, nodeE=false, nodeC=false, nodeG=false, nodeJ=false, nodeA=false, nodeF=false, nodeH=false, nodeK=false, nodeI=false}}</t>
  </si>
  <si>
    <t>{topRow={nodeK=false, nodeI=false, nodeJ=false, nodeF=true, nodeE=false, nodeB=false, nodeL=false, nodeC=false, nodeH=true, nodeG=false, nodeD=false, nodeA=false}, trough=0.0, midRow={nodeJ=false, nodeF=false, nodeG=false, nodeE=false, nodeK=false, nodeC=false, nodeI=false, nodeH=false, nodeD=false, nodeB=false, nodeA=false, nodeL=false}, botRow={nodeJ=false, nodeI=false, nodeK=false, nodeC=false, nodeA=false, nodeL=false, nodeH=false, nodeD=false, nodeG=false, nodeB=false, nodeF=false, nodeE=false}}</t>
  </si>
  <si>
    <t>{botRow={nodeE=true, nodeK=false, nodeB=true, nodeL=false, nodeC=true, nodeF=false, nodeD=true, nodeH=false, nodeI=false, nodeA=true, nodeG=false, nodeJ=false}, midRow={nodeL=false, nodeG=false, nodeB=true, nodeK=false, nodeD=true, nodeC=true, nodeH=false, nodeF=true, nodeA=true, nodeJ=false, nodeI=false, nodeE=true}, trough=5.0, topRow={nodeB=true, nodeK=false, nodeD=true, nodeF=true, nodeH=true, nodeC=true, nodeA=false, nodeE=true, nodeI=false, nodeJ=false, nodeG=true, nodeL=false}}</t>
  </si>
  <si>
    <t>{botRow={nodeE=false, nodeG=false, nodeA=false, nodeI=false, nodeC=false, nodeB=false, nodeH=false, nodeD=false, nodeK=false, nodeJ=false, nodeF=false, nodeL=false}, midRow={nodeE=false, nodeD=false, nodeA=false, nodeC=false, nodeH=false, nodeB=false, nodeL=false, nodeG=false, nodeJ=false, nodeI=false, nodeF=false, nodeK=false}, topRow={nodeE=false, nodeD=false, nodeF=false, nodeK=false, nodeH=false, nodeA=false, nodeC=false, nodeJ=false, nodeL=false, nodeB=false, nodeG=false, nodeI=false}, trough=1.0}</t>
  </si>
  <si>
    <t>{topRow={nodeC=false, nodeE=false, nodeD=false, nodeA=false, nodeH=false, nodeL=false, nodeJ=false, nodeB=false, nodeG=false, nodeI=false, nodeK=false, nodeF=false}, trough=0.0, midRow={nodeB=true, nodeF=true, nodeC=true, nodeK=true, nodeD=true, nodeA=true, nodeJ=false, nodeL=true, nodeE=true, nodeI=false, nodeG=false, nodeH=false}, botRow={nodeB=true, nodeG=false, nodeI=false, nodeE=false, nodeD=false, nodeK=false, nodeF=true, nodeA=false, nodeH=false, nodeL=false, nodeC=false, nodeJ=false}}</t>
  </si>
  <si>
    <t>{botRow={nodeC=false, nodeD=false, nodeE=false, nodeF=false, nodeA=false, nodeG=false, nodeB=false, nodeH=false, nodeJ=false, nodeL=false, nodeI=false, nodeK=false}, midRow={nodeE=false, nodeJ=false, nodeB=false, nodeF=false, nodeI=false, nodeD=false, nodeG=false, nodeK=false, nodeL=false, nodeH=false, nodeC=false, nodeA=false}, trough=0.0, topRow={nodeG=false, nodeH=false, nodeL=false, nodeC=false, nodeB=true, nodeA=false, nodeF=false, nodeK=false, nodeI=false, nodeD=false, nodeJ=false, nodeE=false}}</t>
  </si>
  <si>
    <t>{trough=0.0, botRow={nodeH=true, nodeF=true, nodeB=true, nodeJ=false, nodeA=true, nodeD=false, nodeK=false, nodeC=false, nodeG=false, nodeL=false, nodeI=false, nodeE=true}, topRow={nodeC=true, nodeG=false, nodeB=true, nodeD=false, nodeE=false, nodeI=true, nodeL=true, nodeH=false, nodeK=true, nodeA=true, nodeF=false, nodeJ=true}, midRow={nodeK=true, nodeE=false, nodeG=false, nodeD=false, nodeH=true, nodeI=false, nodeL=false, nodeJ=true, nodeA=true, nodeC=false, nodeF=false, nodeB=false}}</t>
  </si>
  <si>
    <t>{botRow={nodeB=false, nodeF=false, nodeH=false, nodeC=false, nodeI=false, nodeA=false, nodeJ=false, nodeD=false, nodeE=false, nodeK=false, nodeG=false, nodeL=false}, midRow={nodeA=false, nodeL=false, nodeB=false, nodeH=false, nodeC=false, nodeE=false, nodeD=false, nodeJ=false, nodeK=false, nodeG=false, nodeF=false, nodeI=false}, topRow={nodeF=false, nodeI=false, nodeG=false, nodeL=false, nodeH=false, nodeB=false, nodeE=false, nodeJ=false, nodeD=false, nodeC=true, nodeA=false, nodeK=false}, trough=1.0}</t>
  </si>
  <si>
    <t>{trough=5.0, midRow={nodeC=true, nodeJ=false, nodeL=true, nodeG=false, nodeA=false, nodeF=false, nodeE=false, nodeK=true, nodeH=false, nodeI=false, nodeB=false, nodeD=true}, botRow={nodeF=false, nodeE=false, nodeH=false, nodeK=false, nodeI=false, nodeB=false, nodeD=false, nodeJ=false, nodeL=false, nodeC=false, nodeG=false, nodeA=false}, topRow={nodeK=false, nodeF=false, nodeD=true, nodeB=true, nodeL=false, nodeH=false, nodeG=false, nodeC=true, nodeJ=false, nodeA=false, nodeE=false, nodeI=false}}</t>
  </si>
  <si>
    <t>{midRow={nodeC=false, nodeF=false, nodeH=false, nodeA=false, nodeD=false, nodeG=false, nodeJ=false, nodeE=false, nodeI=false, nodeK=false, nodeL=false, nodeB=false}, botRow={nodeJ=false, nodeE=false, nodeI=false, nodeK=false, nodeB=false, nodeF=false, nodeC=false, nodeH=false, nodeD=false, nodeG=false, nodeL=false, nodeA=false}, topRow={nodeA=false, nodeJ=false, nodeK=false, nodeE=false, nodeB=false, nodeD=false, nodeG=false, nodeC=false, nodeI=false, nodeF=false, nodeL=false, nodeH=false}, trough=1.0}</t>
  </si>
  <si>
    <t>{botRow={nodeL=false, nodeC=false, nodeG=false, nodeJ=false, nodeI=false, nodeD=false, nodeF=false, nodeA=false, nodeE=false, nodeH=false, nodeK=false, nodeB=false}, trough=1.0, topRow={nodeI=false, nodeB=false, nodeJ=false, nodeA=false, nodeE=false, nodeG=false, nodeL=false, nodeC=false, nodeH=false, nodeD=false, nodeK=false, nodeF=false}, midRow={nodeF=false, nodeA=false, nodeJ=false, nodeE=true, nodeG=false, nodeL=false, nodeC=true, nodeH=false, nodeK=false, nodeI=false, nodeD=true, nodeB=false}}</t>
  </si>
  <si>
    <t>{topRow={nodeK=false, nodeI=false, nodeA=false, nodeC=false, nodeF=false, nodeE=false, nodeB=false, nodeL=false, nodeH=false, nodeG=false, nodeJ=false, nodeD=false}, trough=0.0, botRow={nodeL=false, nodeF=false, nodeE=false, nodeB=false, nodeK=false, nodeH=false, nodeJ=false, nodeI=false, nodeG=false, nodeC=false, nodeD=false, nodeA=false}, midRow={nodeI=false, nodeC=false, nodeA=false, nodeD=false, nodeH=false, nodeK=false, nodeF=false, nodeE=false, nodeL=false, nodeJ=false, nodeG=false, nodeB=false}}</t>
  </si>
  <si>
    <t>{trough=0.0, topRow={nodeF=true, nodeB=true, nodeJ=true, nodeG=true, nodeI=true, nodeK=true, nodeD=false, nodeC=false, nodeE=false, nodeA=true, nodeL=true, nodeH=true}, botRow={nodeF=false, nodeK=false, nodeL=false, nodeE=false, nodeA=false, nodeH=false, nodeG=false, nodeJ=false, nodeI=false, nodeC=false, nodeD=false, nodeB=true}, midRow={nodeD=true, nodeC=true, nodeG=false, nodeI=false, nodeH=false, nodeB=false, nodeE=true, nodeL=true, nodeA=false, nodeJ=false, nodeF=false, nodeK=true}}</t>
  </si>
  <si>
    <t>{midRow={nodeL=false, nodeB=false, nodeF=false, nodeC=false, nodeJ=false, nodeG=false, nodeE=false, nodeD=false, nodeI=false, nodeA=false, nodeK=false, nodeH=false}, trough=1.0, botRow={nodeD=false, nodeB=false, nodeE=false, nodeF=false, nodeG=false, nodeH=false, nodeA=true, nodeJ=false, nodeI=true, nodeC=false, nodeL=false, nodeK=false}, topRow={nodeB=false, nodeF=false, nodeJ=false, nodeD=false, nodeE=false, nodeC=false, nodeA=false, nodeH=false, nodeG=false, nodeI=false, nodeK=false, nodeL=false}}</t>
  </si>
  <si>
    <t>{botRow={nodeE=false, nodeK=false, nodeL=false, nodeJ=false, nodeA=true, nodeH=false, nodeD=false, nodeB=true, nodeG=false, nodeI=true, nodeF=false, nodeC=false}, trough=4.0, topRow={nodeG=false, nodeH=false, nodeI=false, nodeK=true, nodeF=false, nodeD=false, nodeE=false, nodeB=true, nodeC=false, nodeL=true, nodeA=true, nodeJ=false}, midRow={nodeJ=false, nodeC=false, nodeD=false, nodeK=false, nodeH=false, nodeB=true, nodeG=false, nodeI=false, nodeF=false, nodeL=false, nodeE=false, nodeA=true}}</t>
  </si>
  <si>
    <t>{midRow={nodeH=false, nodeG=false, nodeD=false, nodeA=false, nodeC=false, nodeL=false, nodeE=false, nodeB=false, nodeF=false, nodeK=false, nodeJ=false, nodeI=false}, botRow={nodeH=false, nodeA=false, nodeD=false, nodeC=false, nodeK=false, nodeJ=false, nodeE=false, nodeI=false, nodeB=false, nodeL=false, nodeG=false, nodeF=false}, topRow={nodeJ=false, nodeH=true, nodeL=false, nodeB=false, nodeK=false, nodeC=false, nodeD=false, nodeA=false, nodeE=false, nodeI=false, nodeG=false, nodeF=false}, trough=0.0}</t>
  </si>
  <si>
    <t>{botRow={nodeA=true, nodeE=false, nodeL=false, nodeC=true, nodeF=false, nodeD=true, nodeB=true, nodeH=false, nodeJ=false, nodeI=false, nodeG=false, nodeK=false}, midRow={nodeF=false, nodeJ=false, nodeK=false, nodeE=true, nodeI=false, nodeC=true, nodeH=false, nodeD=true, nodeA=true, nodeG=false, nodeL=false, nodeB=true}, topRow={nodeI=true, nodeF=false, nodeG=true, nodeL=true, nodeE=true, nodeJ=true, nodeB=false, nodeD=false, nodeC=false, nodeA=true, nodeK=true, nodeH=true}, trough=0.0}</t>
  </si>
  <si>
    <t>{midRow={nodeH=false, nodeF=false, nodeE=false, nodeK=false, nodeB=false, nodeI=false, nodeD=false, nodeL=false, nodeJ=false, nodeG=false, nodeA=false, nodeC=false}, botRow={nodeD=false, nodeG=false, nodeA=false, nodeL=false, nodeB=false, nodeF=false, nodeJ=false, nodeK=false, nodeE=false, nodeI=false, nodeC=false, nodeH=false}, trough=0.0, topRow={nodeG=false, nodeD=false, nodeL=true, nodeC=false, nodeJ=true, nodeA=false, nodeF=false, nodeK=false, nodeB=true, nodeH=false, nodeI=false, nodeE=false}}</t>
  </si>
  <si>
    <t>{trough=1.0, botRow={nodeB=true, nodeL=true, nodeJ=true, nodeK=true, nodeE=false, nodeC=false, nodeF=false, nodeD=false, nodeA=true, nodeI=true, nodeH=false, nodeG=false}, topRow={nodeC=true, nodeI=true, nodeG=false, nodeF=true, nodeE=true, nodeD=true, nodeL=true, nodeH=false, nodeB=true, nodeK=true, nodeA=true, nodeJ=true}, midRow={nodeK=true, nodeA=true, nodeJ=true, nodeC=false, nodeI=true, nodeG=false, nodeF=false, nodeE=false, nodeH=false, nodeD=false, nodeB=false, nodeL=true}}</t>
  </si>
  <si>
    <t>{topRow={nodeL=false, nodeI=false, nodeK=false, nodeA=false, nodeF=false, nodeH=false, nodeD=false, nodeJ=false, nodeC=false, nodeE=false, nodeB=false, nodeG=false}, midRow={nodeI=false, nodeA=false, nodeD=false, nodeG=false, nodeL=false, nodeK=false, nodeC=false, nodeF=false, nodeE=false, nodeJ=false, nodeH=false, nodeB=false}, trough=1.0, botRow={nodeA=false, nodeD=false, nodeC=false, nodeB=false, nodeI=false, nodeF=false, nodeG=false, nodeK=false, nodeE=false, nodeJ=false, nodeH=false, nodeL=false}}</t>
  </si>
  <si>
    <t>{midRow={nodeI=false, nodeA=false, nodeG=false, nodeH=false, nodeJ=false, nodeB=false, nodeL=false, nodeF=false, nodeD=false, nodeC=false, nodeK=false, nodeE=false}, botRow={nodeF=true, nodeE=true, nodeJ=false, nodeH=false, nodeB=true, nodeI=false, nodeA=false, nodeG=false, nodeD=false, nodeK=false, nodeL=false, nodeC=false}, trough=9.0, topRow={nodeL=false, nodeK=false, nodeA=false, nodeJ=false, nodeH=false, nodeI=false, nodeF=false, nodeG=false, nodeC=false, nodeB=false, nodeD=false, nodeE=false}}</t>
  </si>
  <si>
    <t>{topRow={nodeL=false, nodeD=false, nodeJ=false, nodeI=false, nodeF=false, nodeA=false, nodeE=false, nodeH=false, nodeG=false, nodeC=false, nodeK=false, nodeB=false}, midRow={nodeB=false, nodeC=false, nodeD=false, nodeF=false, nodeI=false, nodeG=false, nodeK=false, nodeE=false, nodeJ=false, nodeL=false, nodeH=false, nodeA=false}, botRow={nodeC=false, nodeB=false, nodeD=false, nodeE=false, nodeL=false, nodeK=false, nodeA=false, nodeH=false, nodeJ=false, nodeI=false, nodeF=false, nodeG=false}, trough=0.0}</t>
  </si>
  <si>
    <t>{midRow={nodeE=false, nodeH=false, nodeI=false, nodeK=false, nodeC=false, nodeJ=false, nodeB=false, nodeF=false, nodeL=false, nodeA=false, nodeD=false, nodeG=false}, trough=2.0, botRow={nodeJ=false, nodeG=false, nodeF=false, nodeA=true, nodeL=false, nodeD=false, nodeE=true, nodeI=false, nodeH=false, nodeK=false, nodeC=false, nodeB=true}, topRow={nodeG=false, nodeH=false, nodeK=false, nodeB=false, nodeC=false, nodeL=false, nodeD=false, nodeI=false, nodeF=false, nodeJ=false, nodeA=false, nodeE=false}}</t>
  </si>
  <si>
    <t>{trough=1.0, botRow={nodeH=false, nodeL=false, nodeG=false, nodeD=false, nodeC=false, nodeJ=false, nodeK=false, nodeB=false, nodeI=false, nodeA=false, nodeF=false, nodeE=false}, topRow={nodeC=false, nodeD=false, nodeJ=false, nodeG=false, nodeF=false, nodeK=false, nodeB=false, nodeA=false, nodeL=false, nodeE=false, nodeH=false, nodeI=false}, midRow={nodeG=false, nodeL=false, nodeJ=false, nodeC=false, nodeA=false, nodeE=false, nodeD=false, nodeI=false, nodeK=false, nodeF=false, nodeB=false, nodeH=false}}</t>
  </si>
  <si>
    <t>{topRow={nodeF=false, nodeC=true, nodeD=true, nodeI=true, nodeK=true, nodeJ=true, nodeE=false, nodeB=true, nodeL=true, nodeH=true, nodeG=true, nodeA=true}, midRow={nodeA=false, nodeG=true, nodeJ=false, nodeF=false, nodeI=false, nodeK=false, nodeD=true, nodeH=false, nodeE=true, nodeB=false, nodeL=false, nodeC=true}, botRow={nodeD=false, nodeL=false, nodeB=true, nodeH=false, nodeG=false, nodeC=false, nodeF=false, nodeI=false, nodeA=true, nodeJ=false, nodeK=false, nodeE=false}, trough=0.0}</t>
  </si>
  <si>
    <t>{botRow={nodeH=false, nodeG=false, nodeD=false, nodeA=false, nodeB=false, nodeI=false, nodeJ=false, nodeF=false, nodeL=false, nodeC=false, nodeE=false, nodeK=false}, topRow={nodeK=false, nodeA=false, nodeF=false, nodeC=false, nodeL=false, nodeJ=false, nodeE=false, nodeB=false, nodeG=false, nodeD=false, nodeI=false, nodeH=true}, midRow={nodeB=false, nodeI=false, nodeH=false, nodeL=false, nodeD=false, nodeA=false, nodeK=false, nodeJ=false, nodeF=false, nodeG=false, nodeC=false, nodeE=false}, trough=0.0}</t>
  </si>
  <si>
    <t>{topRow={nodeI=true, nodeK=true, nodeA=true, nodeJ=false, nodeE=false, nodeB=true, nodeD=true, nodeG=false, nodeF=false, nodeC=true, nodeH=true, nodeL=false}, botRow={nodeE=false, nodeD=false, nodeK=false, nodeF=false, nodeC=false, nodeL=false, nodeH=false, nodeJ=false, nodeI=false, nodeG=false, nodeB=false, nodeA=false}, trough=1.0, midRow={nodeL=false, nodeF=false, nodeC=false, nodeE=false, nodeK=false, nodeH=false, nodeG=false, nodeD=false, nodeB=false, nodeA=false, nodeI=false, nodeJ=true}}</t>
  </si>
  <si>
    <t>{topRow={nodeI=false, nodeG=false, nodeB=false, nodeA=false, nodeE=false, nodeC=false, nodeD=false, nodeK=false, nodeH=false, nodeF=true, nodeJ=false, nodeL=false}, midRow={nodeH=false, nodeD=false, nodeE=false, nodeC=false, nodeG=false, nodeA=false, nodeK=false, nodeL=false, nodeF=false, nodeB=false, nodeI=false, nodeJ=false}, botRow={nodeF=false, nodeI=false, nodeK=false, nodeE=false, nodeJ=false, nodeB=false, nodeH=false, nodeD=false, nodeA=false, nodeG=false, nodeC=false, nodeL=false}, trough=1.0}</t>
  </si>
  <si>
    <t>{topRow={nodeK=true, nodeA=true, nodeB=false, nodeC=true, nodeI=false, nodeJ=false, nodeD=false, nodeH=false, nodeF=true, nodeE=false, nodeL=false, nodeG=false}, midRow={nodeF=false, nodeI=true, nodeK=true, nodeD=false, nodeH=false, nodeE=false, nodeG=false, nodeA=false, nodeJ=true, nodeL=true, nodeC=true, nodeB=false}, botRow={nodeK=true, nodeC=false, nodeB=true, nodeF=false, nodeG=false, nodeE=false, nodeJ=true, nodeL=true, nodeH=false, nodeD=false, nodeI=false, nodeA=true}, trough=7.0}</t>
  </si>
  <si>
    <t>{topRow={nodeG=false, nodeF=false, nodeC=false, nodeE=false, nodeB=false, nodeK=false, nodeH=false, nodeJ=false, nodeI=false, nodeD=false, nodeA=false, nodeL=false}, trough=0.0, botRow={nodeB=false, nodeK=false, nodeC=false, nodeF=false, nodeD=false, nodeA=false, nodeI=false, nodeE=false, nodeG=false, nodeJ=false, nodeH=false, nodeL=false}, midRow={nodeF=false, nodeG=false, nodeC=false, nodeA=false, nodeL=false, nodeE=false, nodeD=false, nodeI=false, nodeB=false, nodeJ=false, nodeK=false, nodeH=false}}</t>
  </si>
  <si>
    <t>{topRow={nodeF=false, nodeK=false, nodeB=false, nodeH=false, nodeD=false, nodeE=false, nodeG=false, nodeI=false, nodeA=false, nodeJ=false, nodeL=false, nodeC=false}, trough=0.0, midRow={nodeC=false, nodeK=false, nodeF=false, nodeG=false, nodeI=false, nodeL=false, nodeD=false, nodeH=false, nodeE=false, nodeJ=false, nodeA=false, nodeB=false}, botRow={nodeI=false, nodeD=false, nodeB=false, nodeK=false, nodeH=false, nodeC=false, nodeL=true, nodeJ=false, nodeE=false, nodeA=false, nodeF=false, nodeG=false}}</t>
  </si>
  <si>
    <t>{botRow={nodeA=false, nodeJ=false, nodeG=false, nodeF=false, nodeI=false, nodeD=false, nodeH=false, nodeL=false, nodeB=false, nodeE=false, nodeK=false, nodeC=false}, trough=1.0, topRow={nodeI=false, nodeG=false, nodeH=false, nodeE=false, nodeB=false, nodeC=false, nodeK=false, nodeJ=false, nodeA=false, nodeL=false, nodeF=false, nodeD=false}, midRow={nodeD=false, nodeC=false, nodeI=false, nodeJ=false, nodeE=false, nodeA=false, nodeL=false, nodeF=false, nodeB=false, nodeK=false, nodeH=false, nodeG=false}}</t>
  </si>
  <si>
    <t>{trough=1.0, midRow={nodeB=true, nodeK=false, nodeG=false, nodeI=false, nodeD=true, nodeH=false, nodeE=false, nodeC=true, nodeA=true, nodeJ=false, nodeL=false, nodeF=false}, topRow={nodeD=false, nodeL=true, nodeJ=true, nodeE=false, nodeC=true, nodeA=true, nodeK=true, nodeB=true, nodeI=false, nodeH=false, nodeG=false, nodeF=false}, botRow={nodeF=false, nodeK=false, nodeD=false, nodeB=false, nodeH=false, nodeE=false, nodeI=false, nodeG=false, nodeA=false, nodeJ=false, nodeL=false, nodeC=false}}</t>
  </si>
  <si>
    <t>{midRow={nodeJ=false, nodeF=false, nodeD=false, nodeL=false, nodeH=false, nodeB=false, nodeE=false, nodeK=false, nodeI=false, nodeA=false, nodeG=false, nodeC=false}, trough=0.0, botRow={nodeI=false, nodeJ=false, nodeG=false, nodeF=false, nodeL=false, nodeC=false, nodeB=false, nodeK=false, nodeE=false, nodeH=false, nodeD=false, nodeA=false}, topRow={nodeC=true, nodeD=false, nodeI=false, nodeJ=false, nodeE=false, nodeA=false, nodeF=false, nodeL=false, nodeB=false, nodeK=false, nodeH=false, nodeG=false}}</t>
  </si>
  <si>
    <t>{botRow={nodeC=false, nodeF=false, nodeI=false, nodeH=false, nodeE=false, nodeG=false, nodeA=false, nodeD=false, nodeL=false, nodeJ=false, nodeB=false, nodeK=false}, trough=0.0, topRow={nodeH=true, nodeE=false, nodeB=true, nodeK=true, nodeA=true, nodeD=true, nodeL=true, nodeC=true, nodeF=false, nodeJ=true, nodeI=true, nodeG=false}, midRow={nodeI=false, nodeD=true, nodeG=false, nodeH=false, nodeE=true, nodeL=false, nodeA=false, nodeC=true, nodeJ=false, nodeF=false, nodeK=false, nodeB=false}}</t>
  </si>
  <si>
    <t>{botRow={nodeB=false, nodeJ=false, nodeI=false, nodeE=false, nodeF=false, nodeD=false, nodeA=false, nodeK=false, nodeG=false, nodeH=false, nodeC=false, nodeL=false}, midRow={nodeI=false, nodeB=false, nodeF=false, nodeJ=false, nodeG=false, nodeC=false, nodeE=false, nodeA=false, nodeH=false, nodeK=false, nodeD=false, nodeL=false}, topRow={nodeC=false, nodeD=false, nodeJ=false, nodeL=false, nodeE=false, nodeB=false, nodeK=false, nodeI=false, nodeH=false, nodeA=false, nodeG=false, nodeF=false}, trough=0.0}</t>
  </si>
  <si>
    <t>{midRow={nodeJ=false, nodeG=true, nodeH=false, nodeK=true, nodeI=false, nodeA=true, nodeF=true, nodeE=true, nodeC=true, nodeD=true, nodeB=true, nodeL=true}, trough=0.0, topRow={nodeC=false, nodeA=false, nodeF=false, nodeG=false, nodeJ=false, nodeE=false, nodeD=false, nodeK=false, nodeI=true, nodeH=false, nodeB=false, nodeL=false}, botRow={nodeK=false, nodeL=false, nodeC=false, nodeA=false, nodeB=true, nodeF=false, nodeG=false, nodeJ=false, nodeE=false, nodeI=false, nodeH=false, nodeD=false}}</t>
  </si>
  <si>
    <t>{trough=3.0, midRow={nodeC=false, nodeK=false, nodeA=false, nodeI=false, nodeE=false, nodeD=false, nodeB=false, nodeJ=false, nodeH=false, nodeG=false, nodeL=false, nodeF=false}, botRow={nodeF=false, nodeC=false, nodeA=false, nodeE=false, nodeG=false, nodeB=false, nodeL=false, nodeJ=false, nodeI=false, nodeD=false, nodeH=false, nodeK=false}, topRow={nodeH=false, nodeB=false, nodeL=false, nodeA=false, nodeC=false, nodeJ=false, nodeG=false, nodeE=false, nodeD=false, nodeF=false, nodeK=false, nodeI=false}}</t>
  </si>
  <si>
    <t>{topRow={nodeJ=false, nodeB=true, nodeH=false, nodeG=false, nodeL=false, nodeF=true, nodeC=true, nodeK=false, nodeA=false, nodeI=false, nodeE=true, nodeD=true}, botRow={nodeK=false, nodeI=false, nodeC=true, nodeA=true, nodeJ=true, nodeE=false, nodeF=false, nodeB=true, nodeD=true, nodeL=false, nodeH=false, nodeG=false}, trough=4.0, midRow={nodeI=false, nodeC=true, nodeF=true, nodeB=true, nodeA=true, nodeJ=false, nodeE=false, nodeD=false, nodeL=false, nodeG=false, nodeK=false, nodeH=false}}</t>
  </si>
  <si>
    <t>{topRow={nodeL=false, nodeA=false, nodeG=false, nodeH=false, nodeJ=false, nodeD=false, nodeF=true, nodeB=false, nodeC=false, nodeK=false, nodeI=false, nodeE=false}, midRow={nodeK=false, nodeL=false, nodeA=false, nodeC=false, nodeG=false, nodeB=false, nodeJ=false, nodeE=false, nodeF=false, nodeI=false, nodeH=false, nodeD=false}, botRow={nodeD=false, nodeI=false, nodeE=false, nodeB=false, nodeL=false, nodeA=false, nodeG=false, nodeK=false, nodeH=false, nodeJ=false, nodeF=false, nodeC=false}, trough=0.0}</t>
  </si>
  <si>
    <t>{topRow={nodeB=true, nodeE=false, nodeI=true, nodeK=true, nodeA=true, nodeG=false, nodeF=true, nodeD=false, nodeH=false, nodeJ=true, nodeC=false, nodeL=true}, midRow={nodeD=false, nodeG=false, nodeE=false, nodeK=true, nodeL=true, nodeA=true, nodeF=false, nodeH=false, nodeI=false, nodeJ=true, nodeC=false, nodeB=true}, botRow={nodeE=false, nodeI=false, nodeB=false, nodeA=false, nodeH=false, nodeF=false, nodeC=false, nodeG=false, nodeJ=true, nodeK=true, nodeL=true, nodeD=true}, trough=4.0}</t>
  </si>
  <si>
    <t>{botRow={nodeH=false, nodeI=false, nodeD=false, nodeJ=false, nodeE=false, nodeF=false, nodeA=false, nodeK=false, nodeL=false, nodeB=false, nodeC=false, nodeG=false}, midRow={nodeK=false, nodeA=false, nodeB=false, nodeD=false, nodeI=false, nodeC=false, nodeH=false, nodeL=false, nodeJ=false, nodeG=false, nodeF=false, nodeE=false}, trough=0.0, topRow={nodeE=false, nodeK=false, nodeA=false, nodeB=false, nodeG=false, nodeF=false, nodeH=false, nodeC=false, nodeI=false, nodeJ=false, nodeD=false, nodeL=false}}</t>
  </si>
  <si>
    <t>{botRow={nodeK=false, nodeE=true, nodeI=false, nodeB=true, nodeA=true, nodeD=false, nodeL=false, nodeF=false, nodeH=false, nodeC=false, nodeG=false, nodeJ=false}, topRow={nodeI=false, nodeJ=false, nodeB=false, nodeE=false, nodeF=false, nodeA=false, nodeC=false, nodeD=false, nodeL=false, nodeG=false, nodeH=false, nodeK=false}, trough=0.0, midRow={nodeH=false, nodeG=false, nodeC=false, nodeK=false, nodeJ=false, nodeI=false, nodeE=false, nodeB=true, nodeA=true, nodeD=false, nodeL=false, nodeF=false}}</t>
  </si>
  <si>
    <t>{topRow={nodeK=false, nodeE=false, nodeA=false, nodeG=false, nodeB=false, nodeF=true, nodeI=false, nodeH=false, nodeC=false, nodeL=false, nodeD=false, nodeJ=false}, botRow={nodeL=false, nodeE=false, nodeF=false, nodeK=false, nodeG=false, nodeJ=false, nodeB=false, nodeC=false, nodeA=false, nodeD=false, nodeI=false, nodeH=false}, trough=0.0, midRow={nodeJ=false, nodeI=false, nodeE=false, nodeB=false, nodeA=false, nodeD=false, nodeF=false, nodeL=false, nodeH=false, nodeG=false, nodeC=false, nodeK=false}}</t>
  </si>
  <si>
    <t>{topRow={nodeJ=true, nodeD=true, nodeL=true, nodeG=false, nodeE=false, nodeC=false, nodeH=false, nodeK=true, nodeB=true, nodeF=true, nodeA=true, nodeI=false}, botRow={nodeH=false, nodeI=true, nodeE=false, nodeJ=true, nodeF=true, nodeC=false, nodeG=false, nodeK=false, nodeB=false, nodeA=false, nodeD=false, nodeL=false}, midRow={nodeJ=false, nodeE=false, nodeD=false, nodeK=true, nodeH=false, nodeL=true, nodeB=true, nodeI=false, nodeF=false, nodeA=true, nodeC=false, nodeG=false}, trough=0.0}</t>
  </si>
  <si>
    <t>{topRow={nodeK=false, nodeJ=false, nodeA=false, nodeL=false, nodeC=false, nodeF=false, nodeB=false, nodeE=true, nodeD=true, nodeH=false, nodeG=false, nodeI=false}, trough=0.0, botRow={nodeG=false, nodeH=false, nodeK=false, nodeA=false, nodeF=false, nodeD=false, nodeJ=false, nodeC=false, nodeI=false, nodeE=false, nodeL=false, nodeB=false}, midRow={nodeB=false, nodeK=false, nodeG=false, nodeF=false, nodeH=false, nodeE=false, nodeJ=false, nodeC=false, nodeL=false, nodeA=false, nodeI=false, nodeD=false}}</t>
  </si>
  <si>
    <t>{botRow={nodeG=false, nodeD=false, nodeL=false, nodeH=false, nodeE=false, nodeJ=false, nodeF=false, nodeA=true, nodeI=false, nodeC=false, nodeK=false, nodeB=true}, trough=1.0, midRow={nodeF=true, nodeA=false, nodeC=false, nodeI=false, nodeB=false, nodeG=false, nodeD=false, nodeK=false, nodeL=false, nodeH=false, nodeJ=false, nodeE=true}, topRow={nodeH=true, nodeJ=false, nodeE=true, nodeC=true, nodeL=true, nodeD=true, nodeB=true, nodeA=true, nodeK=true, nodeI=false, nodeG=true, nodeF=true}}</t>
  </si>
  <si>
    <t>{trough=0.0, topRow={nodeI=false, nodeA=false, nodeH=true, nodeC=false, nodeJ=false, nodeF=false, nodeB=false, nodeK=false, nodeD=false, nodeG=false, nodeE=false, nodeL=false}, botRow={nodeB=false, nodeK=false, nodeA=false, nodeG=false, nodeH=false, nodeF=false, nodeC=false, nodeL=false, nodeJ=false, nodeI=false, nodeD=false, nodeE=false}, midRow={nodeD=false, nodeI=false, nodeE=false, nodeC=false, nodeL=false, nodeF=false, nodeA=false, nodeH=false, nodeB=false, nodeK=false, nodeJ=false, nodeG=false}}</t>
  </si>
  <si>
    <t>{topRow={nodeL=false, nodeB=false, nodeD=true, nodeJ=false, nodeC=true, nodeH=true, nodeI=false, nodeG=false, nodeF=true, nodeK=false, nodeA=false, nodeE=true}, midRow={nodeD=true, nodeJ=false, nodeF=true, nodeH=false, nodeB=true, nodeL=false, nodeA=false, nodeI=false, nodeG=false, nodeE=true, nodeK=false, nodeC=true}, botRow={nodeG=false, nodeB=true, nodeC=true, nodeF=false, nodeK=false, nodeH=false, nodeL=false, nodeJ=false, nodeI=true, nodeE=true, nodeD=true, nodeA=true}, trough=5.0}</t>
  </si>
  <si>
    <t>{midRow={nodeA=false, nodeE=false, nodeD=false, nodeL=false, nodeC=false, nodeK=false, nodeI=false, nodeJ=false, nodeG=false, nodeF=false, nodeH=false, nodeB=false}, botRow={nodeA=true, nodeI=true, nodeE=false, nodeK=false, nodeB=false, nodeL=false, nodeG=false, nodeH=false, nodeC=false, nodeJ=false, nodeF=false, nodeD=false}, topRow={nodeF=false, nodeA=false, nodeI=false, nodeD=false, nodeE=true, nodeK=false, nodeB=false, nodeH=false, nodeC=false, nodeL=false, nodeG=false, nodeJ=false}, trough=0.0}</t>
  </si>
  <si>
    <t>{trough=2.0, topRow={nodeI=true, nodeG=true, nodeD=true, nodeJ=true, nodeC=true, nodeB=true, nodeE=true, nodeK=true, nodeL=true, nodeH=true, nodeA=true, nodeF=true}, midRow={nodeD=false, nodeA=true, nodeH=false, nodeL=true, nodeB=true, nodeC=false, nodeK=true, nodeI=false, nodeJ=false, nodeG=false, nodeE=false, nodeF=false}, botRow={nodeK=false, nodeD=false, nodeH=false, nodeI=true, nodeF=false, nodeB=true, nodeL=true, nodeC=false, nodeJ=false, nodeE=false, nodeA=true, nodeG=false}}</t>
  </si>
  <si>
    <t>{topRow={nodeD=false, nodeJ=false, nodeC=false, nodeI=false, nodeE=false, nodeH=false, nodeA=false, nodeG=false, nodeF=false, nodeB=false, nodeL=false, nodeK=false}, botRow={nodeF=false, nodeD=false, nodeH=false, nodeA=false, nodeC=false, nodeB=false, nodeG=false, nodeJ=false, nodeI=false, nodeE=false, nodeL=false, nodeK=false}, midRow={nodeK=false, nodeJ=false, nodeE=false, nodeC=false, nodeI=false, nodeA=false, nodeH=false, nodeD=false, nodeG=false, nodeF=false, nodeL=false, nodeB=false}, trough=0.0}</t>
  </si>
  <si>
    <t>{topRow={nodeC=false, nodeH=false, nodeG=false, nodeA=true, nodeI=false, nodeD=false, nodeB=true, nodeJ=false, nodeE=false, nodeF=false, nodeL=true, nodeK=true}, midRow={nodeK=false, nodeA=false, nodeC=false, nodeD=false, nodeG=false, nodeJ=false, nodeI=false, nodeB=false, nodeE=false, nodeL=false, nodeH=false, nodeF=false}, botRow={nodeJ=false, nodeC=false, nodeD=false, nodeI=false, nodeB=false, nodeF=false, nodeK=false, nodeG=false, nodeL=false, nodeE=false, nodeH=false, nodeA=false}, trough=1.0}</t>
  </si>
  <si>
    <t>{midRow={nodeB=false, nodeJ=false, nodeC=false, nodeI=false, nodeF=false, nodeH=false, nodeG=false, nodeD=false, nodeA=false, nodeK=false, nodeE=false, nodeL=false}, trough=0.0, topRow={nodeK=false, nodeB=false, nodeH=false, nodeC=false, nodeD=false, nodeA=false, nodeF=false, nodeI=false, nodeL=false, nodeE=false, nodeJ=false, nodeG=false}, botRow={nodeF=false, nodeK=false, nodeB=false, nodeH=false, nodeE=false, nodeI=false, nodeJ=false, nodeD=false, nodeA=false, nodeC=false, nodeG=false, nodeL=false}}</t>
  </si>
  <si>
    <t>{trough=9.0, botRow={nodeI=false, nodeF=false, nodeH=false, nodeA=true, nodeD=false, nodeG=false, nodeK=false, nodeL=false, nodeE=true, nodeB=true, nodeJ=true, nodeC=false}, topRow={nodeG=false, nodeD=false, nodeC=false, nodeA=false, nodeK=false, nodeH=false, nodeL=false, nodeE=false, nodeB=false, nodeJ=false, nodeI=false, nodeF=false}, midRow={nodeA=true, nodeC=false, nodeF=false, nodeE=false, nodeJ=false, nodeI=false, nodeK=false, nodeL=false, nodeD=false, nodeB=true, nodeG=false, nodeH=false}}</t>
  </si>
  <si>
    <t>{topRow={nodeJ=false, nodeD=false, nodeK=false, nodeI=false, nodeF=false, nodeG=false, nodeB=false, nodeA=false, nodeC=false, nodeH=false, nodeL=false, nodeE=false}, midRow={nodeC=false, nodeI=false, nodeJ=false, nodeL=false, nodeG=false, nodeK=false, nodeD=false, nodeA=false, nodeB=false, nodeH=false, nodeE=false, nodeF=false}, botRow={nodeF=false, nodeH=false, nodeD=false, nodeB=false, nodeJ=false, nodeA=false, nodeG=false, nodeK=false, nodeI=false, nodeL=false, nodeC=false, nodeE=false}, trough=1.0}</t>
  </si>
  <si>
    <t>{midRow={nodeJ=false, nodeK=false, nodeF=false, nodeC=false, nodeA=false, nodeB=false, nodeI=false, nodeL=false, nodeE=false, nodeG=false, nodeD=false, nodeH=false}, trough=6.0, topRow={nodeE=true, nodeJ=true, nodeG=true, nodeB=true, nodeI=true, nodeC=true, nodeA=true, nodeD=true, nodeF=true, nodeK=true, nodeH=true, nodeL=true}, botRow={nodeD=false, nodeG=false, nodeL=false, nodeF=false, nodeH=false, nodeC=false, nodeA=false, nodeJ=false, nodeK=false, nodeE=false, nodeB=false, nodeI=false}}</t>
  </si>
  <si>
    <t>{midRow={nodeE=false, nodeI=false, nodeK=false, nodeG=false, nodeB=false, nodeF=false, nodeL=false, nodeH=false, nodeD=false, nodeA=false, nodeC=false, nodeJ=false}, topRow={nodeB=false, nodeH=false, nodeJ=false, nodeD=false, nodeA=false, nodeF=false, nodeC=false, nodeI=false, nodeE=true, nodeK=false, nodeL=false, nodeG=false}, botRow={nodeE=false, nodeI=false, nodeK=false, nodeG=false, nodeH=false, nodeB=false, nodeF=false, nodeC=false, nodeL=false, nodeJ=false, nodeD=false, nodeA=false}, trough=0.0}</t>
  </si>
  <si>
    <t>{botRow={nodeH=false, nodeD=false, nodeF=false, nodeA=false, nodeJ=false, nodeI=false, nodeC=false, nodeE=false, nodeK=false, nodeL=false, nodeG=false, nodeB=false}, midRow={nodeB=false, nodeD=false, nodeG=false, nodeH=false, nodeC=false, nodeF=false, nodeL=false, nodeJ=false, nodeA=false, nodeK=false, nodeE=false, nodeI=false}, topRow={nodeH=true, nodeG=true, nodeD=true, nodeA=true, nodeB=true, nodeJ=false, nodeF=true, nodeE=true, nodeC=true, nodeI=false, nodeL=true, nodeK=true}, trough=0.0}</t>
  </si>
  <si>
    <t>{trough=0.0, midRow={nodeD=false, nodeH=false, nodeF=false, nodeE=false, nodeK=false, nodeG=false, nodeB=false, nodeJ=false, nodeA=false, nodeC=false, nodeL=false, nodeI=false}, botRow={nodeI=false, nodeJ=false, nodeL=false, nodeC=false, nodeE=false, nodeF=false, nodeG=false, nodeH=false, nodeD=false, nodeK=false, nodeA=false, nodeB=false}, topRow={nodeA=false, nodeJ=true, nodeC=false, nodeI=false, nodeL=false, nodeD=false, nodeH=false, nodeF=false, nodeE=false, nodeK=false, nodeG=false, nodeB=false}}</t>
  </si>
  <si>
    <t>{midRow={nodeL=true, nodeK=true, nodeC=false, nodeF=false, nodeB=true, nodeD=false, nodeH=false, nodeI=true, nodeA=true, nodeE=false, nodeG=true, nodeJ=false}, topRow={nodeD=false, nodeJ=true, nodeL=true, nodeG=true, nodeB=true, nodeE=true, nodeH=true, nodeI=true, nodeA=true, nodeK=true, nodeC=true, nodeF=true}, trough=1.0, botRow={nodeA=false, nodeF=false, nodeC=false, nodeJ=false, nodeL=false, nodeG=false, nodeE=false, nodeK=false, nodeH=false, nodeD=false, nodeB=false, nodeI=false}}</t>
  </si>
  <si>
    <t>{topRow={nodeA=false, nodeK=false, nodeG=false, nodeJ=false, nodeF=false, nodeH=false, nodeE=false, nodeD=false, nodeB=false, nodeC=false, nodeI=false, nodeL=false}, midRow={nodeC=false, nodeE=false, nodeK=false, nodeI=false, nodeL=false, nodeA=false, nodeD=false, nodeB=false, nodeJ=false, nodeH=false, nodeF=false, nodeG=false}, botRow={nodeH=false, nodeI=false, nodeL=false, nodeF=false, nodeC=false, nodeB=false, nodeE=false, nodeG=false, nodeA=false, nodeD=false, nodeK=false, nodeJ=false}, trough=0.0}</t>
  </si>
  <si>
    <t>{midRow={nodeD=false, nodeB=false, nodeJ=false, nodeG=false, nodeE=false, nodeI=false, nodeA=false, nodeH=false, nodeF=false, nodeL=false, nodeC=false, nodeK=false}, botRow={nodeH=false, nodeK=false, nodeG=false, nodeI=false, nodeF=false, nodeB=true, nodeE=false, nodeD=false, nodeJ=false, nodeA=false, nodeL=false, nodeC=false}, topRow={nodeI=true, nodeD=true, nodeL=true, nodeK=true, nodeJ=false, nodeE=false, nodeF=false, nodeH=true, nodeA=false, nodeC=true, nodeB=false, nodeG=true}, trough=0.0}</t>
  </si>
  <si>
    <t>{trough=2.0, botRow={nodeF=false, nodeC=false, nodeA=false, nodeL=false, nodeB=false, nodeE=false, nodeH=false, nodeJ=false, nodeK=false, nodeG=false, nodeI=false, nodeD=false}, midRow={nodeH=false, nodeB=false, nodeC=false, nodeI=false, nodeE=false, nodeL=false, nodeA=false, nodeK=false, nodeF=false, nodeJ=false, nodeG=false, nodeD=false}, topRow={nodeH=false, nodeB=false, nodeL=false, nodeJ=false, nodeK=false, nodeF=false, nodeC=false, nodeA=false, nodeG=false, nodeI=false, nodeD=false, nodeE=false}}</t>
  </si>
  <si>
    <t>{botRow={nodeD=false, nodeG=false, nodeF=false, nodeE=false, nodeB=false, nodeI=false, nodeA=false, nodeC=false, nodeJ=false, nodeK=false, nodeH=false, nodeL=false}, midRow={nodeH=false, nodeJ=false, nodeL=true, nodeK=false, nodeG=false, nodeF=true, nodeE=true, nodeD=true, nodeC=true, nodeA=true, nodeI=false, nodeB=true}, topRow={nodeC=false, nodeH=false, nodeE=false, nodeD=false, nodeK=false, nodeA=false, nodeF=false, nodeG=false, nodeI=false, nodeJ=false, nodeL=false, nodeB=false}, trough=1.0}</t>
  </si>
  <si>
    <t>{trough=0.0, topRow={nodeB=false, nodeA=false, nodeJ=false, nodeK=false, nodeL=false, nodeG=false, nodeF=true, nodeE=false, nodeC=false, nodeH=false, nodeD=true, nodeI=false}, midRow={nodeF=false, nodeG=false, nodeE=false, nodeD=false, nodeI=false, nodeC=false, nodeA=false, nodeB=false, nodeH=false, nodeJ=false, nodeK=false, nodeL=false}, botRow={nodeI=false, nodeB=false, nodeL=false, nodeE=false, nodeK=false, nodeH=false, nodeD=false, nodeG=false, nodeF=false, nodeA=false, nodeC=false, nodeJ=false}}</t>
  </si>
  <si>
    <t>{botRow={nodeE=false, nodeF=false, nodeB=false, nodeC=false, nodeH=false, nodeJ=false, nodeG=false, nodeA=false, nodeI=false, nodeK=false, nodeL=false, nodeD=false}, trough=0.0, midRow={nodeA=true, nodeL=false, nodeK=false, nodeC=true, nodeF=false, nodeE=false, nodeG=false, nodeH=false, nodeD=false, nodeI=false, nodeJ=false, nodeB=true}, topRow={nodeJ=false, nodeI=false, nodeD=true, nodeK=false, nodeF=true, nodeE=true, nodeL=false, nodeC=true, nodeA=true, nodeB=true, nodeG=false, nodeH=false}}</t>
  </si>
  <si>
    <t>{topRow={nodeL=false, nodeC=false, nodeH=false, nodeI=false, nodeB=false, nodeJ=false, nodeA=false, nodeG=false, nodeD=true, nodeF=false, nodeK=false, nodeE=true}, botRow={nodeH=false, nodeF=false, nodeK=false, nodeL=false, nodeJ=false, nodeC=false, nodeA=false, nodeI=false, nodeD=false, nodeB=false, nodeG=false, nodeE=false}, midRow={nodeF=false, nodeE=false, nodeC=false, nodeH=false, nodeB=false, nodeL=false, nodeD=false, nodeJ=false, nodeI=false, nodeK=false, nodeA=false, nodeG=false}, trough=1.0}</t>
  </si>
  <si>
    <t>{topRow={nodeB=true, nodeK=true, nodeE=true, nodeA=true, nodeF=true, nodeG=true, nodeH=true, nodeI=true, nodeL=true, nodeJ=true, nodeD=true, nodeC=false}, botRow={nodeL=false, nodeB=true, nodeE=true, nodeH=false, nodeI=false, nodeF=true, nodeD=false, nodeK=false, nodeJ=true, nodeG=true, nodeC=false, nodeA=true}, trough=0.0, midRow={nodeJ=false, nodeE=true, nodeC=true, nodeA=true, nodeF=false, nodeG=false, nodeI=false, nodeD=true, nodeL=false, nodeB=true, nodeH=false, nodeK=false}}</t>
  </si>
  <si>
    <t>{trough=0.0, midRow={nodeE=false, nodeI=false, nodeG=false, nodeJ=false, nodeK=false, nodeH=false, nodeF=false, nodeA=false, nodeB=false, nodeL=false, nodeC=false, nodeD=false}, botRow={nodeE=false, nodeF=false, nodeL=false, nodeC=false, nodeH=false, nodeI=false, nodeG=false, nodeA=false, nodeK=false, nodeB=false, nodeD=false, nodeJ=false}, topRow={nodeJ=false, nodeG=false, nodeF=false, nodeI=false, nodeE=false, nodeA=false, nodeB=false, nodeH=false, nodeK=false, nodeD=false, nodeL=false, nodeC=false}}</t>
  </si>
  <si>
    <t>{trough=0.0, botRow={nodeA=true, nodeG=false, nodeB=true, nodeJ=true, nodeF=false, nodeD=false, nodeI=false, nodeC=false, nodeH=false, nodeE=false, nodeL=true, nodeK=true}, topRow={nodeJ=false, nodeE=true, nodeH=false, nodeC=false, nodeG=true, nodeK=false, nodeD=false, nodeI=false, nodeL=false, nodeA=true, nodeF=false, nodeB=true}, midRow={nodeH=false, nodeG=true, nodeB=true, nodeF=false, nodeA=true, nodeI=false, nodeD=true, nodeC=true, nodeK=false, nodeJ=true, nodeE=false, nodeL=true}}</t>
  </si>
  <si>
    <t>{botRow={nodeH=false, nodeE=false, nodeB=false, nodeL=false, nodeD=false, nodeG=false, nodeK=false, nodeF=false, nodeA=false, nodeC=false, nodeI=false, nodeJ=false}, midRow={nodeE=false, nodeK=false, nodeF=false, nodeH=false, nodeI=false, nodeG=false, nodeA=false, nodeB=false, nodeC=false, nodeD=false, nodeL=false, nodeJ=false}, trough=1.0, topRow={nodeG=false, nodeF=true, nodeL=false, nodeB=false, nodeA=false, nodeD=false, nodeK=false, nodeJ=false, nodeE=false, nodeI=false, nodeC=false, nodeH=false}}</t>
  </si>
  <si>
    <t>{midRow={nodeG=true, nodeC=true, nodeL=false, nodeJ=false, nodeA=true, nodeH=false, nodeB=true, nodeE=false, nodeF=false, nodeD=true, nodeK=false, nodeI=false}, botRow={nodeE=false, nodeD=true, nodeK=false, nodeB=true, nodeH=false, nodeJ=false, nodeG=false, nodeF=false, nodeC=true, nodeA=true, nodeL=false, nodeI=false}, trough=0.0, topRow={nodeK=false, nodeE=false, nodeD=true, nodeJ=false, nodeI=false, nodeH=false, nodeG=false, nodeL=false, nodeC=true, nodeF=true, nodeB=true, nodeA=true}}</t>
  </si>
  <si>
    <t>{topRow={nodeG=false, nodeL=false, nodeJ=false, nodeB=false, nodeE=false, nodeK=false, nodeA=false, nodeD=false, nodeH=false, nodeC=false, nodeF=false, nodeI=false}, midRow={nodeH=false, nodeC=false, nodeB=false, nodeK=false, nodeE=false, nodeA=false, nodeD=false, nodeI=false, nodeF=false, nodeG=false, nodeL=false, nodeJ=false}, trough=0.0, botRow={nodeF=false, nodeG=false, nodeC=false, nodeK=false, nodeJ=false, nodeH=false, nodeI=false, nodeB=false, nodeD=false, nodeA=false, nodeL=false, nodeE=false}}</t>
  </si>
  <si>
    <t>{botRow={nodeD=false, nodeE=false, nodeB=false, nodeL=false, nodeH=false, nodeJ=false, nodeF=false, nodeG=false, nodeC=false, nodeK=false, nodeI=false, nodeA=false}, topRow={nodeH=true, nodeJ=false, nodeK=true, nodeA=false, nodeF=true, nodeE=false, nodeL=true, nodeB=true, nodeG=true, nodeD=true, nodeI=false, nodeC=true}, midRow={nodeG=false, nodeJ=false, nodeL=false, nodeB=false, nodeE=false, nodeH=false, nodeC=false, nodeK=false, nodeA=false, nodeD=false, nodeI=false, nodeF=false}, trough=0.0}</t>
  </si>
  <si>
    <t>{trough=1.0, botRow={nodeD=false, nodeE=false, nodeF=false, nodeL=false, nodeG=false, nodeK=false, nodeI=false, nodeC=false, nodeH=false, nodeJ=false, nodeB=false, nodeA=false}, midRow={nodeA=false, nodeC=false, nodeK=false, nodeE=false, nodeL=false, nodeD=false, nodeB=false, nodeG=false, nodeF=false, nodeH=false, nodeJ=false, nodeI=false}, topRow={nodeE=false, nodeI=false, nodeF=true, nodeD=true, nodeK=false, nodeH=false, nodeL=false, nodeJ=true, nodeA=false, nodeB=false, nodeC=false, nodeG=false}}</t>
  </si>
  <si>
    <t>{botRow={nodeJ=false, nodeF=false, nodeG=false, nodeC=false, nodeD=false, nodeI=false, nodeE=false, nodeL=false, nodeK=false, nodeB=false, nodeA=false, nodeH=false}, topRow={nodeH=true, nodeA=true, nodeG=true, nodeJ=true, nodeL=true, nodeI=false, nodeD=true, nodeF=true, nodeE=true, nodeB=true, nodeK=true, nodeC=true}, trough=5.0, midRow={nodeB=false, nodeE=false, nodeG=false, nodeF=false, nodeL=false, nodeH=false, nodeC=false, nodeI=false, nodeD=false, nodeJ=false, nodeK=false, nodeA=false}}</t>
  </si>
  <si>
    <t>{midRow={nodeL=false, nodeJ=false, nodeA=false, nodeB=false, nodeE=false, nodeG=false, nodeH=false, nodeD=false, nodeK=false, nodeC=false, nodeF=false, nodeI=false}, botRow={nodeH=false, nodeD=false, nodeG=false, nodeF=false, nodeJ=false, nodeB=false, nodeK=false, nodeI=false, nodeE=false, nodeL=false, nodeC=false, nodeA=false}, trough=1.0, topRow={nodeD=false, nodeF=false, nodeL=false, nodeJ=false, nodeE=false, nodeC=false, nodeG=false, nodeA=false, nodeK=false, nodeB=false, nodeH=false, nodeI=false}}</t>
  </si>
  <si>
    <t>{trough=0.0, topRow={nodeD=false, nodeI=false, nodeF=false, nodeK=false, nodeC=false, nodeL=false, nodeA=false, nodeE=false, nodeJ=false, nodeG=false, nodeB=false, nodeH=false}, midRow={nodeL=true, nodeF=false, nodeI=false, nodeA=false, nodeE=false, nodeK=true, nodeJ=false, nodeC=false, nodeG=false, nodeB=false, nodeH=false, nodeD=false}, botRow={nodeI=false, nodeD=false, nodeH=false, nodeL=false, nodeB=true, nodeC=false, nodeG=false, nodeF=false, nodeJ=true, nodeK=false, nodeA=true, nodeE=false}}</t>
  </si>
  <si>
    <t>{topRow={nodeI=false, nodeA=false, nodeL=false, nodeK=false, nodeJ=false, nodeE=false, nodeC=false, nodeH=false, nodeD=false, nodeG=false, nodeF=false, nodeB=false}, midRow={nodeI=false, nodeD=false, nodeH=false, nodeL=false, nodeB=false, nodeG=false, nodeC=false, nodeF=false, nodeK=false, nodeJ=false, nodeE=false, nodeA=false}, trough=0.0, botRow={nodeF=false, nodeE=false, nodeB=false, nodeD=false, nodeH=false, nodeG=false, nodeK=false, nodeJ=false, nodeL=false, nodeI=false, nodeC=false, nodeA=false}}</t>
  </si>
  <si>
    <t>{botRow={nodeC=false, nodeG=false, nodeF=false, nodeH=false, nodeD=false, nodeI=false, nodeA=false, nodeB=false, nodeL=false, nodeE=false, nodeJ=false, nodeK=false}, midRow={nodeI=false, nodeA=false, nodeL=true, nodeK=false, nodeJ=false, nodeE=false, nodeC=false, nodeD=false, nodeH=false, nodeG=false, nodeF=false, nodeB=false}, topRow={nodeD=false, nodeK=false, nodeA=false, nodeG=false, nodeE=false, nodeI=false, nodeJ=false, nodeF=false, nodeL=false, nodeC=false, nodeB=false, nodeH=false}, trough=1.0}</t>
  </si>
  <si>
    <t>{botRow={nodeG=false, nodeD=false, nodeI=false, nodeL=false, nodeF=false, nodeH=false, nodeE=false, nodeK=false, nodeB=false, nodeA=false, nodeJ=false, nodeC=false}, topRow={nodeG=false, nodeH=false, nodeA=false, nodeL=false, nodeI=false, nodeJ=false, nodeC=false, nodeF=false, nodeK=false, nodeD=false, nodeB=false, nodeE=false}, trough=0.0, midRow={nodeJ=false, nodeE=false, nodeC=false, nodeI=false, nodeH=false, nodeB=false, nodeL=false, nodeF=false, nodeD=false, nodeK=false, nodeA=false, nodeG=false}}</t>
  </si>
  <si>
    <t>{midRow={nodeG=false, nodeF=false, nodeI=false, nodeL=false, nodeJ=false, nodeH=false, nodeC=false, nodeA=false, nodeE=false, nodeK=false, nodeB=false, nodeD=false}, trough=0.0, botRow={nodeF=false, nodeJ=false, nodeH=false, nodeC=false, nodeD=false, nodeG=false, nodeI=false, nodeL=false, nodeE=false, nodeA=false, nodeK=false, nodeB=false}, topRow={nodeG=false, nodeD=false, nodeI=true, nodeL=false, nodeA=false, nodeE=false, nodeK=false, nodeB=false, nodeF=false, nodeJ=false, nodeH=false, nodeC=false}}</t>
  </si>
  <si>
    <t>description</t>
  </si>
  <si>
    <t>startTime</t>
  </si>
  <si>
    <t>field</t>
  </si>
  <si>
    <t>tournamentLevel</t>
  </si>
  <si>
    <t>teams_0_teamNumber</t>
  </si>
  <si>
    <t>teams_0_station</t>
  </si>
  <si>
    <t>teams_0_surrogate</t>
  </si>
  <si>
    <t>teams_1_teamNumber</t>
  </si>
  <si>
    <t>teams_1_station</t>
  </si>
  <si>
    <t>teams_1_surrogate</t>
  </si>
  <si>
    <t>teams_2_teamNumber</t>
  </si>
  <si>
    <t>teams_2_station</t>
  </si>
  <si>
    <t>teams_2_surrogate</t>
  </si>
  <si>
    <t>teams_3_teamNumber</t>
  </si>
  <si>
    <t>teams_3_station</t>
  </si>
  <si>
    <t>teams_3_surrogate</t>
  </si>
  <si>
    <t>teams_4_teamNumber</t>
  </si>
  <si>
    <t>teams_4_station</t>
  </si>
  <si>
    <t>teams_4_surrogate</t>
  </si>
  <si>
    <t>teams_5_teamNumber</t>
  </si>
  <si>
    <t>teams_5_station</t>
  </si>
  <si>
    <t>teams_5_surrogate</t>
  </si>
  <si>
    <t>Qualification 1</t>
  </si>
  <si>
    <t>Primary</t>
  </si>
  <si>
    <t>Red1</t>
  </si>
  <si>
    <t>Red2</t>
  </si>
  <si>
    <t>Red3</t>
  </si>
  <si>
    <t>Blue1</t>
  </si>
  <si>
    <t>Blue2</t>
  </si>
  <si>
    <t>Blue3</t>
  </si>
  <si>
    <t>Qualification 2</t>
  </si>
  <si>
    <t>Qualification 3</t>
  </si>
  <si>
    <t>Qualification 4</t>
  </si>
  <si>
    <t>Qualification 5</t>
  </si>
  <si>
    <t>Qualification 6</t>
  </si>
  <si>
    <t>Qualification 7</t>
  </si>
  <si>
    <t>Qualification 8</t>
  </si>
  <si>
    <t>Qualification 10</t>
  </si>
  <si>
    <t>Qualification 11</t>
  </si>
  <si>
    <t>Qualification 12</t>
  </si>
  <si>
    <t>Qualification 13</t>
  </si>
  <si>
    <t>Qualification 14</t>
  </si>
  <si>
    <t>Qualification 15</t>
  </si>
  <si>
    <t>Qualification 16</t>
  </si>
  <si>
    <t>Qualification 17</t>
  </si>
  <si>
    <t>Qualification 18</t>
  </si>
  <si>
    <t>Qualification 19</t>
  </si>
  <si>
    <t>Qualification 20</t>
  </si>
  <si>
    <t>Qualification 21</t>
  </si>
  <si>
    <t>Qualification 22</t>
  </si>
  <si>
    <t>Qualification 23</t>
  </si>
  <si>
    <t>Qualification 24</t>
  </si>
  <si>
    <t>Qualification 25</t>
  </si>
  <si>
    <t>Qualification 26</t>
  </si>
  <si>
    <t>Qualification 27</t>
  </si>
  <si>
    <t>Qualification 28</t>
  </si>
  <si>
    <t>Qualification 29</t>
  </si>
  <si>
    <t>Qualification 30</t>
  </si>
  <si>
    <t>Qualification 31</t>
  </si>
  <si>
    <t>Qualification 32</t>
  </si>
  <si>
    <t>Qualification 33</t>
  </si>
  <si>
    <t>Qualification 34</t>
  </si>
  <si>
    <t>Qualification 35</t>
  </si>
  <si>
    <t>Qualification 36</t>
  </si>
  <si>
    <t>Qualification 37</t>
  </si>
  <si>
    <t>Qualification 38</t>
  </si>
  <si>
    <t>Qualification 39</t>
  </si>
  <si>
    <t>Qualification 40</t>
  </si>
  <si>
    <t>Qualification 41</t>
  </si>
  <si>
    <t>Qualification 42</t>
  </si>
  <si>
    <t>Qualification 43</t>
  </si>
  <si>
    <t>Qualification 44</t>
  </si>
  <si>
    <t>Qualification 45</t>
  </si>
  <si>
    <t>Qualification 46</t>
  </si>
  <si>
    <t>Qualification 47</t>
  </si>
  <si>
    <t>Qualification 48</t>
  </si>
  <si>
    <t>Qualification 49</t>
  </si>
  <si>
    <t>Qualification 50</t>
  </si>
  <si>
    <t>Qualification 51</t>
  </si>
  <si>
    <t>Qualification 52</t>
  </si>
  <si>
    <t>Qualification 53</t>
  </si>
  <si>
    <t>Qualification 54</t>
  </si>
  <si>
    <t>Qualification 55</t>
  </si>
  <si>
    <t>Qualification 56</t>
  </si>
  <si>
    <t>Qualification 57</t>
  </si>
  <si>
    <t>Qualification 58</t>
  </si>
  <si>
    <t>Qualification 59</t>
  </si>
  <si>
    <t>Qualification 60</t>
  </si>
  <si>
    <t>Qualification 61</t>
  </si>
  <si>
    <t>Qualification 62</t>
  </si>
  <si>
    <t>Qualification 63</t>
  </si>
  <si>
    <t>Qualification 64</t>
  </si>
  <si>
    <t>Qualification 65</t>
  </si>
  <si>
    <t>Qualification 66</t>
  </si>
  <si>
    <t>Qualification 67</t>
  </si>
  <si>
    <t>Qualification 68</t>
  </si>
  <si>
    <t>Qualification 69</t>
  </si>
  <si>
    <t>Qualification 70</t>
  </si>
  <si>
    <t>Qualification 71</t>
  </si>
  <si>
    <t>Qualification 72</t>
  </si>
  <si>
    <t>Qualification 73</t>
  </si>
  <si>
    <t>Qualification 74</t>
  </si>
  <si>
    <t>Qualification 75</t>
  </si>
  <si>
    <t>Qualification 76</t>
  </si>
  <si>
    <t>Qualification 77</t>
  </si>
  <si>
    <t>Qualification 78</t>
  </si>
  <si>
    <t>Qualification 79</t>
  </si>
  <si>
    <t>Qualification 80</t>
  </si>
  <si>
    <t>Qualification 81</t>
  </si>
  <si>
    <t>Match Type</t>
  </si>
  <si>
    <t>Match Number</t>
  </si>
  <si>
    <t>End Game Result</t>
  </si>
  <si>
    <t>Type of Match</t>
  </si>
  <si>
    <t>Driver Station</t>
  </si>
  <si>
    <t>No Show</t>
  </si>
  <si>
    <t>Starting Position</t>
  </si>
  <si>
    <t>Pre-Loaded Coral</t>
  </si>
  <si>
    <t>Coral Pick Up - Pro-Feed Side</t>
  </si>
  <si>
    <t>Coral Pick Up - Brg-Feed Side</t>
  </si>
  <si>
    <t>Coral Pick Up - Floor</t>
  </si>
  <si>
    <t>Coral Scored - L4</t>
  </si>
  <si>
    <t>Coral Scored - L3</t>
  </si>
  <si>
    <t>Coral Scored - L2</t>
  </si>
  <si>
    <t>Coral Scored - L1</t>
  </si>
  <si>
    <t>Did the Auto Miss Anything?</t>
  </si>
  <si>
    <t>Autonomous - Algae Placed in Processor</t>
  </si>
  <si>
    <t>Autonomous - Algae Scored in Net</t>
  </si>
  <si>
    <t>Autonomous - Algae in Net Missed</t>
  </si>
  <si>
    <t>Autonomous - Algae Picked Off Reef</t>
  </si>
  <si>
    <t>Autonomous - Algae Picked Off Floor</t>
  </si>
  <si>
    <t>TeleOp - Algae Placed in Processor</t>
  </si>
  <si>
    <t>TeleOp - Algae Scored in Net</t>
  </si>
  <si>
    <t>TeleOp - Algae in Net Missed</t>
  </si>
  <si>
    <t>TeleOp - Algae Picked Off Reef Controlled</t>
  </si>
  <si>
    <t>TeleOp - Algae Picked Off Reef Uncontrolled</t>
  </si>
  <si>
    <t>Did the Robot Descore Coral?</t>
  </si>
  <si>
    <t>EndGame Strategy</t>
  </si>
  <si>
    <t>Climb Timer</t>
  </si>
  <si>
    <t>Cage Swinging?</t>
  </si>
  <si>
    <t>End Position (Scouts)</t>
  </si>
  <si>
    <t>Endgame Comments</t>
  </si>
  <si>
    <t>Defense Skill x x x x x x x</t>
  </si>
  <si>
    <t>Crossed Center Line</t>
  </si>
  <si>
    <t>Major Mechanism Broke</t>
  </si>
  <si>
    <t>BLANK</t>
  </si>
  <si>
    <t>BLANK (for now)</t>
  </si>
  <si>
    <t>End Position (API)</t>
  </si>
  <si>
    <t>Leave (API)</t>
  </si>
  <si>
    <t>Defense Skill</t>
  </si>
  <si>
    <t>Total Auto Coral Success</t>
  </si>
  <si>
    <t>Total Auto Coral Success and Miss</t>
  </si>
  <si>
    <t>Auto Coral Accuracy</t>
  </si>
  <si>
    <t>Auto Algae Scored</t>
  </si>
  <si>
    <t>Auto Net Success and Miss</t>
  </si>
  <si>
    <t>Auto Net Accuracy</t>
  </si>
  <si>
    <t>TeleOp Algae Scored in Net</t>
  </si>
  <si>
    <t>TeleOp Net Success and Miss</t>
  </si>
  <si>
    <t>Tele Op Net Accuracy</t>
  </si>
  <si>
    <t>TeleOp Scored Coral</t>
  </si>
  <si>
    <t>TeleOp Total Coral Attempts</t>
  </si>
  <si>
    <t>Tele Coral Accuracy</t>
  </si>
  <si>
    <t>Auto - BRG Feeder?</t>
  </si>
  <si>
    <t>Auto - PRO Feeder?</t>
  </si>
  <si>
    <t>Auto - Floor?</t>
  </si>
  <si>
    <t>Tele - HP Coral Pick-up</t>
  </si>
  <si>
    <t>Tele - Floor?</t>
  </si>
  <si>
    <t>API Match Number Error</t>
  </si>
  <si>
    <t>True Defense Rating</t>
  </si>
  <si>
    <t>Most Recent API Match</t>
  </si>
  <si>
    <t>Mismatched Team or Match Number (vs. API)</t>
  </si>
  <si>
    <t>Scout Name</t>
  </si>
  <si>
    <t>Auto Name</t>
  </si>
  <si>
    <t>Auto Description</t>
  </si>
  <si>
    <t>Picture of Path in Slack?</t>
  </si>
  <si>
    <t>Ending Location</t>
  </si>
  <si>
    <t>Algae Pickup Location</t>
  </si>
  <si>
    <t>Algae Floor Pickup</t>
  </si>
  <si>
    <t>Algae Reef Pickup [High]</t>
  </si>
  <si>
    <t>Algae Reef Pickup [Low]</t>
  </si>
  <si>
    <t>Algae Delivery Location and The Amount They Score [Processor]</t>
  </si>
  <si>
    <t>Algae Delivery Location and The Amount They Score [Net]</t>
  </si>
  <si>
    <t>Coral Pickup Location</t>
  </si>
  <si>
    <t>Coral Delivery Location [4]</t>
  </si>
  <si>
    <t>Coral Delivery Location [3]</t>
  </si>
  <si>
    <t>Coral Delivery Location [2]</t>
  </si>
  <si>
    <t>Coral Delivery Location [1]</t>
  </si>
  <si>
    <t xml:space="preserve">Any notable comments? </t>
  </si>
  <si>
    <t>Nigel</t>
  </si>
  <si>
    <t>10474 Aitkin High School</t>
  </si>
  <si>
    <t>Moves</t>
  </si>
  <si>
    <t>Moves off line from any position</t>
  </si>
  <si>
    <t>Undefined</t>
  </si>
  <si>
    <t>New team not complex autos</t>
  </si>
  <si>
    <t>7041 Doomsday Dogs</t>
  </si>
  <si>
    <t>Score 1 coral</t>
  </si>
  <si>
    <t>Scores a coral from any position</t>
  </si>
  <si>
    <t>A, B</t>
  </si>
  <si>
    <t>6758 Otternauts</t>
  </si>
  <si>
    <t>Drive straight</t>
  </si>
  <si>
    <t>Drives off line</t>
  </si>
  <si>
    <t>6160 Bombatrons</t>
  </si>
  <si>
    <t>Drive forward L1</t>
  </si>
  <si>
    <t>Drives forward with pre loaded coral scoring on L1</t>
  </si>
  <si>
    <t>N/A</t>
  </si>
  <si>
    <t>Working on L3</t>
  </si>
  <si>
    <t xml:space="preserve">David </t>
  </si>
  <si>
    <t>2491 NoMythic</t>
  </si>
  <si>
    <t>Reef</t>
  </si>
  <si>
    <t>E, F, G, H, I, J</t>
  </si>
  <si>
    <t>Star from all 3 spots on line</t>
  </si>
  <si>
    <t>2977 Sir Lancer Bots</t>
  </si>
  <si>
    <t>Leave start</t>
  </si>
  <si>
    <t>Leaves starting line</t>
  </si>
  <si>
    <t>In front of line</t>
  </si>
  <si>
    <t>Working on developing multi coral auto</t>
  </si>
  <si>
    <t>Omariahn</t>
  </si>
  <si>
    <t>1410 The Kraken</t>
  </si>
  <si>
    <t>G, K</t>
  </si>
  <si>
    <t>G, H, K</t>
  </si>
  <si>
    <t xml:space="preserve">L4 not consistent </t>
  </si>
  <si>
    <t xml:space="preserve">Nigel </t>
  </si>
  <si>
    <t>4230 TopperBots</t>
  </si>
  <si>
    <t>Cross line</t>
  </si>
  <si>
    <t>Moves forward</t>
  </si>
  <si>
    <t xml:space="preserve">Untested autos to score everything </t>
  </si>
  <si>
    <t>111 WildStang</t>
  </si>
  <si>
    <t>3 peice auto</t>
  </si>
  <si>
    <t>Scores 2-3 pieces of coral on L4</t>
  </si>
  <si>
    <t>1-Side, 3-Side</t>
  </si>
  <si>
    <t>1, 3</t>
  </si>
  <si>
    <t>KL</t>
  </si>
  <si>
    <t>1-Side</t>
  </si>
  <si>
    <t>K, L</t>
  </si>
  <si>
    <t>Choreo controlled algebra reef pick up consistent l1 inconsistent l4</t>
  </si>
  <si>
    <t>1816 The Green Machine</t>
  </si>
  <si>
    <t>L4 from middle go to HP station</t>
  </si>
  <si>
    <t xml:space="preserve">Scores2  on L4 from 2 start then can go to either station </t>
  </si>
  <si>
    <t>A, B, C, D, E, F, G, H, I, J, K, L</t>
  </si>
  <si>
    <t>2240 Brute Force</t>
  </si>
  <si>
    <t>1, 2</t>
  </si>
  <si>
    <t>CD, GH, IJ</t>
  </si>
  <si>
    <t>3-Side</t>
  </si>
  <si>
    <t>C, D, G, H, I</t>
  </si>
  <si>
    <t>Autos need testing</t>
  </si>
  <si>
    <t xml:space="preserve">Score L1-L3 from any position </t>
  </si>
  <si>
    <t>Score one coral from L1-L3</t>
  </si>
  <si>
    <t>1, 2, 3</t>
  </si>
  <si>
    <t>Serena</t>
  </si>
  <si>
    <t>2239 Technocrats</t>
  </si>
  <si>
    <t>leave start</t>
  </si>
  <si>
    <t>leaves zone</t>
  </si>
  <si>
    <t>anywhere</t>
  </si>
  <si>
    <t>no</t>
  </si>
  <si>
    <t>4215 TRIBOTS</t>
  </si>
  <si>
    <t>leave score l1</t>
  </si>
  <si>
    <t>reef</t>
  </si>
  <si>
    <t>3042 Cobalt Catalysts</t>
  </si>
  <si>
    <t xml:space="preserve">Reef or middle of field </t>
  </si>
  <si>
    <t>J</t>
  </si>
  <si>
    <t>start 2 score 1</t>
  </si>
  <si>
    <t>H</t>
  </si>
  <si>
    <t>10173 Minot Syber-Sentinels</t>
  </si>
  <si>
    <t>start any score 1</t>
  </si>
  <si>
    <t>serena</t>
  </si>
  <si>
    <t>2177 The Robettes</t>
  </si>
  <si>
    <t>score 1 pickup 1</t>
  </si>
  <si>
    <t>HP</t>
  </si>
  <si>
    <t>3212 YME Stingbots</t>
  </si>
  <si>
    <t>score 1</t>
  </si>
  <si>
    <t>David</t>
  </si>
  <si>
    <t>6044 Circuit Breakers</t>
  </si>
  <si>
    <t xml:space="preserve">Drive forward </t>
  </si>
  <si>
    <t>1 meter from start</t>
  </si>
  <si>
    <t xml:space="preserve">Very few team members </t>
  </si>
  <si>
    <t>5690 SubZero Robotics</t>
  </si>
  <si>
    <t>GH</t>
  </si>
  <si>
    <t>I, J</t>
  </si>
  <si>
    <t>Not much testing</t>
  </si>
  <si>
    <t>7021 TC Robotics</t>
  </si>
  <si>
    <t>B, C, D</t>
  </si>
  <si>
    <t>Name of Scout</t>
  </si>
  <si>
    <t>Name of Robot</t>
  </si>
  <si>
    <t>"What would you do with 2 more weeks of time?"</t>
  </si>
  <si>
    <t>"What are you most proud of?"</t>
  </si>
  <si>
    <t>"What “job” is your robot built for? What is your strategy?"</t>
  </si>
  <si>
    <t>"What did you prioritize?"</t>
  </si>
  <si>
    <t>"What are the roles of your ideal alliance partners?"</t>
  </si>
  <si>
    <t>Does the robot scores algae in the net?</t>
  </si>
  <si>
    <t xml:space="preserve"> If so, do they place it or shoot it?</t>
  </si>
  <si>
    <t>HP position preference</t>
  </si>
  <si>
    <t>Type of Intake</t>
  </si>
  <si>
    <t>Other Comments</t>
  </si>
  <si>
    <t>Team #</t>
  </si>
  <si>
    <t>Simone Lee and Lio</t>
  </si>
  <si>
    <t xml:space="preserve">Charybdis </t>
  </si>
  <si>
    <t xml:space="preserve">Get climber to work </t>
  </si>
  <si>
    <t xml:space="preserve">LEDs work </t>
  </si>
  <si>
    <t>Fast cycle time for coral l 4</t>
  </si>
  <si>
    <t>Serve coral and intake</t>
  </si>
  <si>
    <t>Coral bot and defense can climb</t>
  </si>
  <si>
    <t xml:space="preserve">Feeder station </t>
  </si>
  <si>
    <t>Large Funnel</t>
  </si>
  <si>
    <t xml:space="preserve">Nothing </t>
  </si>
  <si>
    <t>(Didn’t catch it)</t>
  </si>
  <si>
    <t xml:space="preserve">Intake </t>
  </si>
  <si>
    <t>Intake  l1 and l2 and l3 can climb deep</t>
  </si>
  <si>
    <t>L1-3 coral no alage</t>
  </si>
  <si>
    <t>Coral climb deep</t>
  </si>
  <si>
    <t xml:space="preserve">Can score algae </t>
  </si>
  <si>
    <t>Feeder station</t>
  </si>
  <si>
    <t>Small Funnel</t>
  </si>
  <si>
    <t>No defense but could?</t>
  </si>
  <si>
    <t xml:space="preserve">Icebrrrg </t>
  </si>
  <si>
    <t xml:space="preserve">Work on climber and move some weight </t>
  </si>
  <si>
    <t xml:space="preserve">Elevator and sensors </t>
  </si>
  <si>
    <t xml:space="preserve">Score l1-l3 fast </t>
  </si>
  <si>
    <t>Fast cycle times</t>
  </si>
  <si>
    <t xml:space="preserve">L4 robot ans can put alage in barge </t>
  </si>
  <si>
    <t xml:space="preserve">Drive team has practice defense but not goal for this game. Drive team good at zone defense </t>
  </si>
  <si>
    <t xml:space="preserve">Havent decided yet </t>
  </si>
  <si>
    <t xml:space="preserve">Bigger sponsor board work more on auto </t>
  </si>
  <si>
    <t xml:space="preserve">Proud of auto every custom part was made by a student lots of welding </t>
  </si>
  <si>
    <t xml:space="preserve">Everything, whatever </t>
  </si>
  <si>
    <t xml:space="preserve">Making it durable </t>
  </si>
  <si>
    <t xml:space="preserve">Not sure </t>
  </si>
  <si>
    <t>Both</t>
  </si>
  <si>
    <t>Shoot</t>
  </si>
  <si>
    <t xml:space="preserve">Wherever what’s good for alliance </t>
  </si>
  <si>
    <t>Doesn’t think will have to do defense</t>
  </si>
  <si>
    <t>Cheeseball</t>
  </si>
  <si>
    <t xml:space="preserve">Auto and speed of elevator </t>
  </si>
  <si>
    <t>Scoring mechanism for coral</t>
  </si>
  <si>
    <t xml:space="preserve">Coral all levels and alage </t>
  </si>
  <si>
    <t>Scoring l4</t>
  </si>
  <si>
    <t>Another hybrid or coral</t>
  </si>
  <si>
    <t xml:space="preserve">Processor </t>
  </si>
  <si>
    <t xml:space="preserve">Doesn’t plan to do defense </t>
  </si>
  <si>
    <t xml:space="preserve">Timmy </t>
  </si>
  <si>
    <t xml:space="preserve">Driving practice tuning autos </t>
  </si>
  <si>
    <t xml:space="preserve">Deep climb and alage intake </t>
  </si>
  <si>
    <t>Climb intake coral from Hp and any level</t>
  </si>
  <si>
    <t xml:space="preserve">Coral intake </t>
  </si>
  <si>
    <t xml:space="preserve">Shoot alage </t>
  </si>
  <si>
    <t>2264 Trojan Robotics</t>
  </si>
  <si>
    <t>Kevin</t>
  </si>
  <si>
    <t xml:space="preserve">More auto </t>
  </si>
  <si>
    <t xml:space="preserve">Climber deep </t>
  </si>
  <si>
    <t xml:space="preserve">Scoring coral in high levels </t>
  </si>
  <si>
    <t xml:space="preserve">Coral and climbing </t>
  </si>
  <si>
    <t xml:space="preserve">Good coral scoring </t>
  </si>
  <si>
    <t xml:space="preserve">Seems strategic </t>
  </si>
  <si>
    <t>2220 Blue Twilight</t>
  </si>
  <si>
    <t xml:space="preserve">Didn’t catch </t>
  </si>
  <si>
    <t>Have 3 coral auto want to make 4</t>
  </si>
  <si>
    <t xml:space="preserve">Deposit mechanism </t>
  </si>
  <si>
    <t>L4 and l3</t>
  </si>
  <si>
    <t xml:space="preserve">Coral scoring and alage removal </t>
  </si>
  <si>
    <t>Another good coral robot and good alage over defense</t>
  </si>
  <si>
    <t>Place</t>
  </si>
  <si>
    <t xml:space="preserve">Nope </t>
  </si>
  <si>
    <t xml:space="preserve">Doesn’t have one </t>
  </si>
  <si>
    <t>Make a climber refine design</t>
  </si>
  <si>
    <t xml:space="preserve">Launcher </t>
  </si>
  <si>
    <t xml:space="preserve">Can score on all levels adaptable </t>
  </si>
  <si>
    <t xml:space="preserve">Main elevator and individual end effectors or components </t>
  </si>
  <si>
    <t>Can score coral on all levels and remove alage and score, deep climb</t>
  </si>
  <si>
    <t>Don’t have any</t>
  </si>
  <si>
    <t>2502 Talon Robotics</t>
  </si>
  <si>
    <t xml:space="preserve">Leftie </t>
  </si>
  <si>
    <t xml:space="preserve">More drivers practice </t>
  </si>
  <si>
    <t>Scoring l4 and coral fast</t>
  </si>
  <si>
    <t xml:space="preserve">Reliability </t>
  </si>
  <si>
    <t xml:space="preserve">Alage bot or coral bot </t>
  </si>
  <si>
    <t xml:space="preserve">One at each </t>
  </si>
  <si>
    <t xml:space="preserve">Very trained on defense </t>
  </si>
  <si>
    <t>2511 Cougars</t>
  </si>
  <si>
    <t xml:space="preserve">Cougars </t>
  </si>
  <si>
    <t xml:space="preserve">Code for properly moving, just code </t>
  </si>
  <si>
    <t xml:space="preserve">Custom lift </t>
  </si>
  <si>
    <t xml:space="preserve">Doing defense unless climber fixed? </t>
  </si>
  <si>
    <t xml:space="preserve">Coral bot and alage </t>
  </si>
  <si>
    <t xml:space="preserve">No preference </t>
  </si>
  <si>
    <t>Don’t have one</t>
  </si>
  <si>
    <t>2538 The Plaid Pillagers</t>
  </si>
  <si>
    <t xml:space="preserve">Platypus </t>
  </si>
  <si>
    <t xml:space="preserve">Test more finish climber </t>
  </si>
  <si>
    <t xml:space="preserve">CAD design and eleavtor </t>
  </si>
  <si>
    <t>Cycle coral</t>
  </si>
  <si>
    <t>Coral all levels (they can)</t>
  </si>
  <si>
    <t>Not sure, first comp</t>
  </si>
  <si>
    <t xml:space="preserve">Is first competition </t>
  </si>
  <si>
    <t>2667 Knights of the Valley</t>
  </si>
  <si>
    <t>Jormangndr</t>
  </si>
  <si>
    <t xml:space="preserve">Work on auto </t>
  </si>
  <si>
    <t xml:space="preserve">Shooter alage into barge </t>
  </si>
  <si>
    <t>Alage only (can score coral)</t>
  </si>
  <si>
    <t xml:space="preserve">Elevator and climber </t>
  </si>
  <si>
    <t xml:space="preserve">Two coral bots </t>
  </si>
  <si>
    <t>Small Funnel, Direct</t>
  </si>
  <si>
    <t>Has deep climb but don’t know if works</t>
  </si>
  <si>
    <t>2823 The Automatons</t>
  </si>
  <si>
    <t xml:space="preserve">Serendipity </t>
  </si>
  <si>
    <t xml:space="preserve">Code auto align, drivers practice </t>
  </si>
  <si>
    <t xml:space="preserve">Climb deep </t>
  </si>
  <si>
    <t xml:space="preserve">Coral all levels, l1 is a little tough </t>
  </si>
  <si>
    <t xml:space="preserve">Auto align and coral intake </t>
  </si>
  <si>
    <t xml:space="preserve">Low coral and alage </t>
  </si>
  <si>
    <t xml:space="preserve">Don’t have any, was nice and collaborative </t>
  </si>
  <si>
    <t xml:space="preserve">Doesn’t have </t>
  </si>
  <si>
    <t xml:space="preserve">Climber could use work </t>
  </si>
  <si>
    <t xml:space="preserve">Shooter for coral </t>
  </si>
  <si>
    <t xml:space="preserve">Scoring coral can do alage </t>
  </si>
  <si>
    <t>Coral can score all levels best at high levels</t>
  </si>
  <si>
    <t xml:space="preserve">Defense and deep climb </t>
  </si>
  <si>
    <t xml:space="preserve">No preference maybe feeder station </t>
  </si>
  <si>
    <t xml:space="preserve">Could score alage in net in theory but hasn’t tested. </t>
  </si>
  <si>
    <t>The locktite monster</t>
  </si>
  <si>
    <t xml:space="preserve">More drive practice </t>
  </si>
  <si>
    <t xml:space="preserve">Coral and alage floor intake </t>
  </si>
  <si>
    <t>Coral rank point l4 and l3</t>
  </si>
  <si>
    <t>Coral and l4 fast and then climb</t>
  </si>
  <si>
    <t>Coral bot is good against defense then a defense or alage</t>
  </si>
  <si>
    <t>Floor</t>
  </si>
  <si>
    <t xml:space="preserve">Strategist seemed knowledgeable </t>
  </si>
  <si>
    <t>Clucktopus</t>
  </si>
  <si>
    <t xml:space="preserve">Climber </t>
  </si>
  <si>
    <t xml:space="preserve">Elevator </t>
  </si>
  <si>
    <t>Coral mostly l4 18 cycles per round, 3 auto l4</t>
  </si>
  <si>
    <t xml:space="preserve">Strategy </t>
  </si>
  <si>
    <t xml:space="preserve">Alage bot </t>
  </si>
  <si>
    <t xml:space="preserve">Thought about strategy </t>
  </si>
  <si>
    <t xml:space="preserve">Cold front </t>
  </si>
  <si>
    <t>Making elevator score l4</t>
  </si>
  <si>
    <t>Swerve drive fully 3d printed</t>
  </si>
  <si>
    <t>Coral 2 and 3 and 1 also shallow climb</t>
  </si>
  <si>
    <t>Being able to use parts at same time and legal climb</t>
  </si>
  <si>
    <t xml:space="preserve">Fast l4 coral and then alage </t>
  </si>
  <si>
    <t>No preference but spefic orientation to drop coral in</t>
  </si>
  <si>
    <t>Nyord</t>
  </si>
  <si>
    <t>More auto</t>
  </si>
  <si>
    <t>Vision tracking and a lot is auto</t>
  </si>
  <si>
    <t>Coral rank points can do all levels</t>
  </si>
  <si>
    <t>Ranking point and higher coral first</t>
  </si>
  <si>
    <t xml:space="preserve">Fast auto can higher coral for ranking point and can move alage </t>
  </si>
  <si>
    <t>Nope,</t>
  </si>
  <si>
    <t>Didn’t catch</t>
  </si>
  <si>
    <t>Working on auto align</t>
  </si>
  <si>
    <t xml:space="preserve">Barge throw from robot </t>
  </si>
  <si>
    <t>Alage and coral, deep climb</t>
  </si>
  <si>
    <t>Coral l2-4 and deep climb</t>
  </si>
  <si>
    <t>Scores coral fast and can remove alage, deep climb</t>
  </si>
  <si>
    <t xml:space="preserve">Don’t have comment </t>
  </si>
  <si>
    <t>Garden eel</t>
  </si>
  <si>
    <t>Proving that vision works and improve climb</t>
  </si>
  <si>
    <t xml:space="preserve">Electrical and elevator </t>
  </si>
  <si>
    <t>Coral can score all but l1</t>
  </si>
  <si>
    <t xml:space="preserve">Elevator and outtake </t>
  </si>
  <si>
    <t>Feeder station closest to us</t>
  </si>
  <si>
    <t>Alage tool broke</t>
  </si>
  <si>
    <t>2855 BEASTBOT</t>
  </si>
  <si>
    <t xml:space="preserve">Sabatoge </t>
  </si>
  <si>
    <t xml:space="preserve">Auto optimize </t>
  </si>
  <si>
    <t xml:space="preserve">Scoring coral all levels and can remove alage if needed </t>
  </si>
  <si>
    <t xml:space="preserve">Coral scoring </t>
  </si>
  <si>
    <t xml:space="preserve">Coral bot consistent </t>
  </si>
  <si>
    <t xml:space="preserve">No comments </t>
  </si>
  <si>
    <t>Bruh</t>
  </si>
  <si>
    <t xml:space="preserve">Getting an auto, better auto more testing and maybe make a climber </t>
  </si>
  <si>
    <t>Scoring coral all levels (l4 is bit tricky)</t>
  </si>
  <si>
    <t>Score in one aspect: coral</t>
  </si>
  <si>
    <t>Alage really well and solid auto</t>
  </si>
  <si>
    <t xml:space="preserve">No comment </t>
  </si>
  <si>
    <t>Jan Lucemburský</t>
  </si>
  <si>
    <t xml:space="preserve">Building alage effector </t>
  </si>
  <si>
    <t xml:space="preserve">Intakes ground for coral </t>
  </si>
  <si>
    <t>Coral all levels</t>
  </si>
  <si>
    <t xml:space="preserve">Simple and efficient </t>
  </si>
  <si>
    <t xml:space="preserve">Can do alage </t>
  </si>
  <si>
    <t>4229 Magnetech</t>
  </si>
  <si>
    <t xml:space="preserve">No name </t>
  </si>
  <si>
    <t xml:space="preserve">Put on bumpers faster, arrange wires more </t>
  </si>
  <si>
    <t>Getting it together</t>
  </si>
  <si>
    <t>Take alage off ground and get coral from station</t>
  </si>
  <si>
    <t xml:space="preserve">Coding </t>
  </si>
  <si>
    <t xml:space="preserve">Alage cycle </t>
  </si>
  <si>
    <t>7594 Nautilus</t>
  </si>
  <si>
    <t>Lose weight to put coral intake back, had to take it off</t>
  </si>
  <si>
    <t xml:space="preserve">Nothing really </t>
  </si>
  <si>
    <t xml:space="preserve">Everything but mostly alage </t>
  </si>
  <si>
    <t xml:space="preserve">Alage now </t>
  </si>
  <si>
    <t xml:space="preserve">Efficient coral </t>
  </si>
  <si>
    <t xml:space="preserve">Alage </t>
  </si>
  <si>
    <t>No comment</t>
  </si>
  <si>
    <t xml:space="preserve">Simone Lee and Lio </t>
  </si>
  <si>
    <t xml:space="preserve">Frankie Johnson </t>
  </si>
  <si>
    <t>Fix stuff going over sides</t>
  </si>
  <si>
    <t xml:space="preserve">Coral scoring all levels </t>
  </si>
  <si>
    <t>Just having it done, rookie team</t>
  </si>
  <si>
    <t xml:space="preserve">Score coral and get alage off </t>
  </si>
  <si>
    <t xml:space="preserve">Not preference </t>
  </si>
  <si>
    <t xml:space="preserve">Polina </t>
  </si>
  <si>
    <t>Auto better auto and general code</t>
  </si>
  <si>
    <t>Got auto done in week</t>
  </si>
  <si>
    <t>Score coral l1-l3</t>
  </si>
  <si>
    <t xml:space="preserve">Climb and score coral </t>
  </si>
  <si>
    <t>L4 really well and fast or alage</t>
  </si>
  <si>
    <t>Coral station</t>
  </si>
  <si>
    <t>Elmer</t>
  </si>
  <si>
    <t>Durability and improving auto?</t>
  </si>
  <si>
    <t xml:space="preserve">Versatile </t>
  </si>
  <si>
    <t>Coral and alage into processor l1-l3</t>
  </si>
  <si>
    <t xml:space="preserve">Efficiency </t>
  </si>
  <si>
    <t>Not sure, defense or coral, generalist</t>
  </si>
  <si>
    <t>3792 Army Ants</t>
  </si>
  <si>
    <t xml:space="preserve">Kowalski </t>
  </si>
  <si>
    <t>Trying to score l2 and improve auto, right now auto is 2 coral L1</t>
  </si>
  <si>
    <t>Speed, alage score</t>
  </si>
  <si>
    <t>Alage into processor and l1 really well and deep climb</t>
  </si>
  <si>
    <t xml:space="preserve">Deep climb and speed </t>
  </si>
  <si>
    <t xml:space="preserve">L2, l3, and l4 bot and climb </t>
  </si>
  <si>
    <t>Low</t>
  </si>
  <si>
    <t>Really nice, good vibes</t>
  </si>
  <si>
    <t>4174 Mustang Robotics</t>
  </si>
  <si>
    <t xml:space="preserve">Sea biscuit </t>
  </si>
  <si>
    <t>Climb</t>
  </si>
  <si>
    <t xml:space="preserve">Auto and intake </t>
  </si>
  <si>
    <t>L4 and work down can’t do l1</t>
  </si>
  <si>
    <t xml:space="preserve">L4 and remove alage </t>
  </si>
  <si>
    <t xml:space="preserve">Fast coral scorer and alage </t>
  </si>
  <si>
    <t>4663 Cyber Tigers</t>
  </si>
  <si>
    <t>More programming and general testing</t>
  </si>
  <si>
    <t>Grabber for coral and alage (can grab both)</t>
  </si>
  <si>
    <t xml:space="preserve">Alage in processor </t>
  </si>
  <si>
    <t xml:space="preserve">Durability </t>
  </si>
  <si>
    <t xml:space="preserve">Coral scorer </t>
  </si>
  <si>
    <t>4664 Butler Bots</t>
  </si>
  <si>
    <t xml:space="preserve">Thor’s hammer </t>
  </si>
  <si>
    <t>Alage intake (controlled) and stronger climber</t>
  </si>
  <si>
    <t xml:space="preserve">Intake system </t>
  </si>
  <si>
    <t>L4 and l3 can do all levels if needed</t>
  </si>
  <si>
    <t>Coral cycle and an alage bot that removes it</t>
  </si>
  <si>
    <t>No preference very good at scoring into barge</t>
  </si>
  <si>
    <t>No other comments</t>
  </si>
  <si>
    <t>4687 Spartobots</t>
  </si>
  <si>
    <t>Alage effector, improve</t>
  </si>
  <si>
    <t>Can do everything with alage and can score all coral and take from hp</t>
  </si>
  <si>
    <t>Alage bot and deep cage</t>
  </si>
  <si>
    <t>8234 Panthinators</t>
  </si>
  <si>
    <t xml:space="preserve">Sea pickle </t>
  </si>
  <si>
    <t>Finish deep climb so match ready</t>
  </si>
  <si>
    <t>It’s here!</t>
  </si>
  <si>
    <t xml:space="preserve">Coral l4 </t>
  </si>
  <si>
    <t xml:space="preserve">L2-l4 </t>
  </si>
  <si>
    <t>7849 Da Vinci’s Creation</t>
  </si>
  <si>
    <t>Doesn’t have one yet</t>
  </si>
  <si>
    <t>Making a deep climb and wire management and improve coral intake and align</t>
  </si>
  <si>
    <t>Coral l3 and everything below</t>
  </si>
  <si>
    <t>Coral and climb</t>
  </si>
  <si>
    <t xml:space="preserve">Alage bot and a defense bot </t>
  </si>
  <si>
    <t>No preference</t>
  </si>
  <si>
    <t>7068 Mechanical Masterminds</t>
  </si>
  <si>
    <t xml:space="preserve">Work on auto and weight reduction </t>
  </si>
  <si>
    <t>Climber deep</t>
  </si>
  <si>
    <t>Coral 2, 3, 4</t>
  </si>
  <si>
    <t xml:space="preserve">Arm for coral </t>
  </si>
  <si>
    <t>6217 Bomb-Botz</t>
  </si>
  <si>
    <t xml:space="preserve">The retriever </t>
  </si>
  <si>
    <t xml:space="preserve">More programming </t>
  </si>
  <si>
    <t xml:space="preserve">The design and elevator </t>
  </si>
  <si>
    <t>Score coral all levels but l1</t>
  </si>
  <si>
    <t>Elevator and coral ranking point</t>
  </si>
  <si>
    <t xml:space="preserve">Alage and can climb </t>
  </si>
  <si>
    <t>Has mechanisms for alage just need code</t>
  </si>
  <si>
    <t>4225 RoboCats</t>
  </si>
  <si>
    <t>Not sure maybe code and auto</t>
  </si>
  <si>
    <t>It being built</t>
  </si>
  <si>
    <t>Cycle coral just l1</t>
  </si>
  <si>
    <t xml:space="preserve">Scoring coral </t>
  </si>
  <si>
    <t xml:space="preserve">Generalist </t>
  </si>
  <si>
    <t xml:space="preserve">Seemed very unsure but maybe just the person </t>
  </si>
  <si>
    <t>4778 Stormbots</t>
  </si>
  <si>
    <t xml:space="preserve">Kraken </t>
  </si>
  <si>
    <t>Add a climber and tune auto</t>
  </si>
  <si>
    <t xml:space="preserve">Repariability </t>
  </si>
  <si>
    <t xml:space="preserve">Scoring coral and alage but mostly coral can do all levels </t>
  </si>
  <si>
    <t xml:space="preserve">Coral cycle time </t>
  </si>
  <si>
    <t>Alage and climb</t>
  </si>
  <si>
    <t xml:space="preserve">Coral feeder </t>
  </si>
  <si>
    <t xml:space="preserve">No other comment </t>
  </si>
  <si>
    <t>6045 Sabre Robotics</t>
  </si>
  <si>
    <t>Pita</t>
  </si>
  <si>
    <t xml:space="preserve">Drive practice and resting </t>
  </si>
  <si>
    <t>A lot of effort in everything, alage mechanism and climber</t>
  </si>
  <si>
    <t>L4 coral can do all levels and processor and barge</t>
  </si>
  <si>
    <t>L4 cycler good l4 auto can remove AND score alage</t>
  </si>
  <si>
    <t xml:space="preserve">Coral station </t>
  </si>
  <si>
    <t>5541 Shakopee Sabers</t>
  </si>
  <si>
    <t>Robert</t>
  </si>
  <si>
    <t xml:space="preserve">Improving generally fine tuning </t>
  </si>
  <si>
    <t>Coral l3 and l2</t>
  </si>
  <si>
    <t xml:space="preserve">Being able to work with other teams </t>
  </si>
  <si>
    <t>Alage, barge and l4</t>
  </si>
  <si>
    <t>No comment seems to want to work well with other teams</t>
  </si>
  <si>
    <t>8570 Binary-Bolts</t>
  </si>
  <si>
    <t>Jignesh</t>
  </si>
  <si>
    <t>Improve what already have maximize cycle times</t>
  </si>
  <si>
    <t>Movement, agile and fast can counter defense</t>
  </si>
  <si>
    <t>Score l3 and l2</t>
  </si>
  <si>
    <t xml:space="preserve">Speed efficient </t>
  </si>
  <si>
    <t xml:space="preserve">L4 cycle fast and defense </t>
  </si>
  <si>
    <t>Floor, Small Funnel</t>
  </si>
  <si>
    <t>Can score l1</t>
  </si>
  <si>
    <t>Lio</t>
  </si>
  <si>
    <t>2549 Millerbots</t>
  </si>
  <si>
    <t xml:space="preserve">Reflex </t>
  </si>
  <si>
    <t>Coding</t>
  </si>
  <si>
    <t>Simple design</t>
  </si>
  <si>
    <t>L2 and 3</t>
  </si>
  <si>
    <t>L4 fast, good auto, remove Alge fast</t>
  </si>
  <si>
    <t>Any</t>
  </si>
  <si>
    <t>Trough</t>
  </si>
  <si>
    <t>Nope</t>
  </si>
  <si>
    <t>Scouter Name</t>
  </si>
  <si>
    <t>Team of Scouter</t>
  </si>
  <si>
    <t>Leave the Starting Line?</t>
  </si>
  <si>
    <t>Coral Pick Up | Pro-Side Feeder Station (Auto)</t>
  </si>
  <si>
    <t>Coral Pick Up | Brg-Side Feeder Station (Auto)</t>
  </si>
  <si>
    <t>Coral Pick Up | Floor (Auto)</t>
  </si>
  <si>
    <t>Algae Placed in Processor (Auto)</t>
  </si>
  <si>
    <t>Algae in Net: Scored (Auto)</t>
  </si>
  <si>
    <t>Algae in Net: Missed (Auto)</t>
  </si>
  <si>
    <t>Algae Picked Off Reef (Auto)</t>
  </si>
  <si>
    <t>Algae Picked Off Floor (Auto)</t>
  </si>
  <si>
    <t>Coral Pick Up | Human Player Station (Tele)</t>
  </si>
  <si>
    <t>Coral Pick Up | Floor (Tele)</t>
  </si>
  <si>
    <t>Coral Missed (Tele)</t>
  </si>
  <si>
    <t>Algae Placed in Processor (Tele)</t>
  </si>
  <si>
    <t>Algae in Net: Scored (Tele)</t>
  </si>
  <si>
    <t>Algae in Net: Missed (Tele)</t>
  </si>
  <si>
    <t>Algae Picked Off Reef: Controlled (Tele)</t>
  </si>
  <si>
    <t>Algae Picked Off Reef: Uncontrolled (Tele)</t>
  </si>
  <si>
    <t>Algae Picked Up from Floor (Tele)</t>
  </si>
  <si>
    <t>End Position</t>
  </si>
  <si>
    <t>Robot Disabled? (Solid Orange Light)</t>
  </si>
  <si>
    <t>Tippy Robot?</t>
  </si>
  <si>
    <t>Yellow/Red Card</t>
  </si>
  <si>
    <t>Margo Zimmerman</t>
  </si>
  <si>
    <t>NoMythic</t>
  </si>
  <si>
    <t>R2</t>
  </si>
  <si>
    <t>Red Barge</t>
  </si>
  <si>
    <t>very fast climb</t>
  </si>
  <si>
    <t>x</t>
  </si>
  <si>
    <t>No Card</t>
  </si>
  <si>
    <t>slower movement, but very well controlled.</t>
  </si>
  <si>
    <t>Augie</t>
  </si>
  <si>
    <t>B1</t>
  </si>
  <si>
    <t>Robot moves slowly, dropped several peices of coral, and dropped an algae.</t>
  </si>
  <si>
    <t>Max</t>
  </si>
  <si>
    <t>B3</t>
  </si>
  <si>
    <t>Samaya</t>
  </si>
  <si>
    <t>MPArors</t>
  </si>
  <si>
    <t>R1</t>
  </si>
  <si>
    <t>Stopped moving during Auto</t>
  </si>
  <si>
    <t>evelyn</t>
  </si>
  <si>
    <t>needed more time to climb</t>
  </si>
  <si>
    <t>B2</t>
  </si>
  <si>
    <t>very slow moving, struggled to reliably score coral.</t>
  </si>
  <si>
    <t>Fast but erratic. Might have been planning on climbing but I couldn't tell.</t>
  </si>
  <si>
    <t>James</t>
  </si>
  <si>
    <t>Open Circuits</t>
  </si>
  <si>
    <t>R3</t>
  </si>
  <si>
    <t>The robot stopped functioning almost as soon as it left the starting line</t>
  </si>
  <si>
    <t>attempted to climb, was not able to before match end</t>
  </si>
  <si>
    <t>Looked like trying to climb but failed</t>
  </si>
  <si>
    <t xml:space="preserve">                                                                              </t>
  </si>
  <si>
    <t>Froze with ~50 seconds left</t>
  </si>
  <si>
    <t>very slow elevator, unreliable intake.</t>
  </si>
  <si>
    <t xml:space="preserve">One of the most effective algae bots I have ever seen. </t>
  </si>
  <si>
    <t>got a coral stuck in drivetrain mid match and had to go park</t>
  </si>
  <si>
    <t>No auto phase</t>
  </si>
  <si>
    <t>Erik</t>
  </si>
  <si>
    <t>very good auto</t>
  </si>
  <si>
    <t>YESSSSSSSSSSSSS!</t>
  </si>
  <si>
    <t>TWO! FOUR! NINE! ONE! NOMYTHIC!</t>
  </si>
  <si>
    <t>Parked in the barge about half way through the match</t>
  </si>
  <si>
    <t xml:space="preserve">Hannabella </t>
  </si>
  <si>
    <t>Sc</t>
  </si>
  <si>
    <t>climb not successful</t>
  </si>
  <si>
    <t xml:space="preserve">Not entirely accurate data didnot gather much in auto </t>
  </si>
  <si>
    <t>Hannah</t>
  </si>
  <si>
    <t>Wind Chill</t>
  </si>
  <si>
    <t>I didn't see auto because I just got here</t>
  </si>
  <si>
    <t>Tried to Shallow Climb, ran out of time</t>
  </si>
  <si>
    <t>Doesn't seem to be able to go over level 2...</t>
  </si>
  <si>
    <t>No auto</t>
  </si>
  <si>
    <t>Jenny</t>
  </si>
  <si>
    <t>Graham</t>
  </si>
  <si>
    <t>Got coral stuck in elevator while elevator is up so couldn't do much for part of the match</t>
  </si>
  <si>
    <t xml:space="preserve">graham </t>
  </si>
  <si>
    <t>slayed cooked super efficient robot and clearly a lot of driving/strategy practices :)))</t>
  </si>
  <si>
    <t xml:space="preserve">2227 tigers browned out? fully in auto and attempted L1 missed and is near the blue reef </t>
  </si>
  <si>
    <t>Moving around very slow and shaky, looked like maybe a power issue? Brown outs?</t>
  </si>
  <si>
    <t>tried to deep climb</t>
  </si>
  <si>
    <t>really versatile robot, works well with alliance partners, and SMOOTH intake, really great funneling</t>
  </si>
  <si>
    <t>M</t>
  </si>
  <si>
    <t>Very fast park</t>
  </si>
  <si>
    <t xml:space="preserve">Graham </t>
  </si>
  <si>
    <t>seems like intake bent witch caused elevator to not work</t>
  </si>
  <si>
    <t>The robot ran out of power halfway through match.</t>
  </si>
  <si>
    <t>A coral was stuck in the robot.</t>
  </si>
  <si>
    <t>Early park (20s)</t>
  </si>
  <si>
    <t xml:space="preserve">possibly no point </t>
  </si>
  <si>
    <t>impressive floor coral pickup and got high centered on alge</t>
  </si>
  <si>
    <t>Annika</t>
  </si>
  <si>
    <t xml:space="preserve">was in the red barge zone at the very beginning of end game </t>
  </si>
  <si>
    <t>no deep climb</t>
  </si>
  <si>
    <t>looks like comms issues or robot issues</t>
  </si>
  <si>
    <t>ran into barge</t>
  </si>
  <si>
    <t>wow</t>
  </si>
  <si>
    <t>versatile!!! really cool ground intake!!! its so tall!! :)</t>
  </si>
  <si>
    <t>they have really crispy bumpers</t>
  </si>
  <si>
    <t>pretty slowly moving</t>
  </si>
  <si>
    <t>isaac</t>
  </si>
  <si>
    <t>Gavin</t>
  </si>
  <si>
    <t>just attempted to park and crossed center line doing so</t>
  </si>
  <si>
    <t xml:space="preserve">Leo </t>
  </si>
  <si>
    <t>waited until ~3 sec to go and park/potential climb attempt?</t>
  </si>
  <si>
    <t>tried to climb</t>
  </si>
  <si>
    <t>Tim A</t>
  </si>
  <si>
    <t>Did not get a hold of cage</t>
  </si>
  <si>
    <t xml:space="preserve">failed to deep climb, </t>
  </si>
  <si>
    <t>a coral was briefly stuck on top of their robot's drive base after a failed L4 attempt</t>
  </si>
  <si>
    <t>they might have attempted shallow climb but I don't think they did.</t>
  </si>
  <si>
    <t>Robot disabled midway through placing coral on the reef.</t>
  </si>
  <si>
    <t>attemped deep climb, crossed center line, struggled</t>
  </si>
  <si>
    <t>Yellow</t>
  </si>
  <si>
    <t>deflated an algae while trying to climb</t>
  </si>
  <si>
    <t xml:space="preserve">very fast and efficient </t>
  </si>
  <si>
    <t>attempted to deep climb, was close</t>
  </si>
  <si>
    <t>attempted climb, two wheels off the ground</t>
  </si>
  <si>
    <t>turi</t>
  </si>
  <si>
    <t>climbed early because some plastic ramp part of their robot was hanging off</t>
  </si>
  <si>
    <t>Scored an algae in the net with 20 seconds left and then parked within the last 5 seconds</t>
  </si>
  <si>
    <t>struggle</t>
  </si>
  <si>
    <t>madi</t>
  </si>
  <si>
    <t>Turi</t>
  </si>
  <si>
    <t>Auto moved but didn't do anything else</t>
  </si>
  <si>
    <t>Lilly L</t>
  </si>
  <si>
    <t>stopped moving mid match but started working again at the end</t>
  </si>
  <si>
    <t>Clamped onto cage, no actual climb happened</t>
  </si>
  <si>
    <t>Started in a diagonal orientation - probably for vision to see reef apriltags</t>
  </si>
  <si>
    <t>Nicole Chen</t>
  </si>
  <si>
    <t xml:space="preserve">during endgame the robot got stuck on an algae ball </t>
  </si>
  <si>
    <t>Grabbed cage, didn't climb, also went to cage before endgame start</t>
  </si>
  <si>
    <t>Auto seemed to get stuck on cage? Pretty consistent in tele, a bit slower paced</t>
  </si>
  <si>
    <t>Ansons</t>
  </si>
  <si>
    <t>Auto Points</t>
  </si>
  <si>
    <t>Auto L1 Coral</t>
  </si>
  <si>
    <t xml:space="preserve">Auto L2 Coral </t>
  </si>
  <si>
    <t>Auto L3 Coral</t>
  </si>
  <si>
    <t>Auto L4 Coral</t>
  </si>
  <si>
    <t>Auto Processor Algae</t>
  </si>
  <si>
    <t>Auto Net Algae</t>
  </si>
  <si>
    <t>Tele-op points</t>
  </si>
  <si>
    <t>Tele-op L1 Coral</t>
  </si>
  <si>
    <t xml:space="preserve">Tele-op L2 Coral </t>
  </si>
  <si>
    <t>Tele-op L3 Coral</t>
  </si>
  <si>
    <t>Tele-op L4 Coral</t>
  </si>
  <si>
    <t>Tele-op Processor Algae</t>
  </si>
  <si>
    <t>Tele-op Net Algae</t>
  </si>
  <si>
    <t>End Game Points</t>
  </si>
  <si>
    <t>End Game Park</t>
  </si>
  <si>
    <t>End Game Climb Deep</t>
  </si>
  <si>
    <t>End Game Climb Shallow</t>
  </si>
  <si>
    <t>Stage Points</t>
  </si>
  <si>
    <t>Total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</si>
</sst>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m/d/yyyy\ h:mm:ss"/>
    <numFmt numFmtId="166" formatCode="yyyy\-mm\-dd\ h:mm:ss"/>
  </numFmts>
  <fonts count="18">
    <font>
      <sz val="10"/>
      <color rgb="FF000000"/>
      <name val="Arial"/>
      <scheme val="minor"/>
    </font>
    <font>
      <sz val="24"/>
      <color theme="1"/>
      <name val="Arial"/>
      <scheme val="minor"/>
    </font>
    <font>
      <sz val="10"/>
      <name val="Arial"/>
    </font>
    <font>
      <sz val="23"/>
      <color rgb="FF000000"/>
      <name val="Arial"/>
    </font>
    <font>
      <sz val="18"/>
      <color theme="1"/>
      <name val="Arial"/>
      <scheme val="minor"/>
    </font>
    <font>
      <sz val="10"/>
      <color theme="1"/>
      <name val="Arial"/>
      <scheme val="minor"/>
    </font>
    <font>
      <sz val="14"/>
      <color theme="1"/>
      <name val="Arial"/>
      <scheme val="minor"/>
    </font>
    <font>
      <sz val="12"/>
      <color theme="1"/>
      <name val="Arial"/>
      <scheme val="minor"/>
    </font>
    <font>
      <sz val="11"/>
      <color theme="1"/>
      <name val="Arial"/>
      <scheme val="minor"/>
    </font>
    <font>
      <sz val="9"/>
      <color rgb="FF000000"/>
      <name val="&quot;Google Sans Mono&quot;"/>
    </font>
    <font>
      <sz val="28"/>
      <color theme="1"/>
      <name val="Arial"/>
      <scheme val="minor"/>
    </font>
    <font>
      <sz val="20"/>
      <color theme="1"/>
      <name val="Arial"/>
      <scheme val="minor"/>
    </font>
    <font>
      <sz val="17"/>
      <color theme="1"/>
      <name val="Arial"/>
      <scheme val="minor"/>
    </font>
    <font>
      <sz val="10"/>
      <color theme="1"/>
      <name val="Arial"/>
    </font>
    <font>
      <sz val="10"/>
      <color rgb="FF000000"/>
      <name val="Arial"/>
      <scheme val="minor"/>
    </font>
    <font>
      <sz val="10"/>
      <color rgb="FF0000FF"/>
      <name val="Roboto"/>
    </font>
    <font>
      <sz val="10"/>
      <color rgb="FF000000"/>
      <name val="Lora"/>
    </font>
    <font>
      <u/>
      <sz val="10"/>
      <color rgb="FF1155CC"/>
      <name val="Arial"/>
    </font>
  </fonts>
  <fills count="40">
    <fill>
      <patternFill patternType="none"/>
    </fill>
    <fill>
      <patternFill patternType="gray125"/>
    </fill>
    <fill>
      <patternFill patternType="solid">
        <fgColor rgb="FFCF99FE"/>
        <bgColor rgb="FFCF99FE"/>
      </patternFill>
    </fill>
    <fill>
      <patternFill patternType="solid">
        <fgColor theme="5"/>
        <bgColor theme="5"/>
      </patternFill>
    </fill>
    <fill>
      <patternFill patternType="solid">
        <fgColor rgb="FFB7B7B7"/>
        <bgColor rgb="FFB7B7B7"/>
      </patternFill>
    </fill>
    <fill>
      <patternFill patternType="solid">
        <fgColor theme="4"/>
        <bgColor theme="4"/>
      </patternFill>
    </fill>
    <fill>
      <patternFill patternType="solid">
        <fgColor rgb="FFFFFFFF"/>
        <bgColor rgb="FFFFFFFF"/>
      </patternFill>
    </fill>
    <fill>
      <patternFill patternType="solid">
        <fgColor rgb="FFC888FF"/>
        <bgColor rgb="FFC888FF"/>
      </patternFill>
    </fill>
    <fill>
      <patternFill patternType="solid">
        <fgColor rgb="FF674EA7"/>
        <bgColor rgb="FF674EA7"/>
      </patternFill>
    </fill>
    <fill>
      <patternFill patternType="solid">
        <fgColor rgb="FFD5A3FF"/>
        <bgColor rgb="FFD5A3FF"/>
      </patternFill>
    </fill>
    <fill>
      <patternFill patternType="solid">
        <fgColor rgb="FF000000"/>
        <bgColor rgb="FF000000"/>
      </patternFill>
    </fill>
    <fill>
      <patternFill patternType="solid">
        <fgColor rgb="FFA35DFF"/>
        <bgColor rgb="FFA35DFF"/>
      </patternFill>
    </fill>
    <fill>
      <patternFill patternType="solid">
        <fgColor rgb="FFE2C1FF"/>
        <bgColor rgb="FFE2C1FF"/>
      </patternFill>
    </fill>
    <fill>
      <patternFill patternType="solid">
        <fgColor rgb="FFD9D9D9"/>
        <bgColor rgb="FFD9D9D9"/>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D69D97"/>
        <bgColor rgb="FFD69D97"/>
      </patternFill>
    </fill>
    <fill>
      <patternFill patternType="solid">
        <fgColor rgb="FF57BB8A"/>
        <bgColor rgb="FF57BB8A"/>
      </patternFill>
    </fill>
    <fill>
      <patternFill patternType="solid">
        <fgColor rgb="FFC9DAF8"/>
        <bgColor rgb="FFC9DAF8"/>
      </patternFill>
    </fill>
    <fill>
      <patternFill patternType="solid">
        <fgColor rgb="FFFAB8FF"/>
        <bgColor rgb="FFFAB8FF"/>
      </patternFill>
    </fill>
    <fill>
      <patternFill patternType="solid">
        <fgColor rgb="FFD172FF"/>
        <bgColor rgb="FFD172FF"/>
      </patternFill>
    </fill>
    <fill>
      <patternFill patternType="solid">
        <fgColor rgb="FFC854FF"/>
        <bgColor rgb="FFC854FF"/>
      </patternFill>
    </fill>
    <fill>
      <patternFill patternType="solid">
        <fgColor rgb="FFD097FF"/>
        <bgColor rgb="FFD097FF"/>
      </patternFill>
    </fill>
    <fill>
      <patternFill patternType="solid">
        <fgColor rgb="FFFBD0F9"/>
        <bgColor rgb="FFFBD0F9"/>
      </patternFill>
    </fill>
    <fill>
      <patternFill patternType="solid">
        <fgColor rgb="FFFFC6FC"/>
        <bgColor rgb="FFFFC6FC"/>
      </patternFill>
    </fill>
    <fill>
      <patternFill patternType="solid">
        <fgColor rgb="FFFFBAFB"/>
        <bgColor rgb="FFFFBAFB"/>
      </patternFill>
    </fill>
    <fill>
      <patternFill patternType="solid">
        <fgColor rgb="FFFFA6FA"/>
        <bgColor rgb="FFFFA6FA"/>
      </patternFill>
    </fill>
    <fill>
      <patternFill patternType="solid">
        <fgColor rgb="FFFE9DF9"/>
        <bgColor rgb="FFFE9DF9"/>
      </patternFill>
    </fill>
    <fill>
      <patternFill patternType="solid">
        <fgColor rgb="FFFF8BF8"/>
        <bgColor rgb="FFFF8BF8"/>
      </patternFill>
    </fill>
    <fill>
      <patternFill patternType="solid">
        <fgColor rgb="FFC37CFF"/>
        <bgColor rgb="FFC37CFF"/>
      </patternFill>
    </fill>
    <fill>
      <patternFill patternType="solid">
        <fgColor rgb="FFBB6BFF"/>
        <bgColor rgb="FFBB6BFF"/>
      </patternFill>
    </fill>
    <fill>
      <patternFill patternType="solid">
        <fgColor rgb="FFB45CFF"/>
        <bgColor rgb="FFB45CFF"/>
      </patternFill>
    </fill>
    <fill>
      <patternFill patternType="solid">
        <fgColor rgb="FFFE91FE"/>
        <bgColor rgb="FFFE91FE"/>
      </patternFill>
    </fill>
    <fill>
      <patternFill patternType="solid">
        <fgColor rgb="FF8E7CC3"/>
        <bgColor rgb="FF8E7CC3"/>
      </patternFill>
    </fill>
    <fill>
      <patternFill patternType="solid">
        <fgColor rgb="FFFFFF00"/>
        <bgColor rgb="FFFFFF00"/>
      </patternFill>
    </fill>
    <fill>
      <patternFill patternType="solid">
        <fgColor rgb="FFFF9900"/>
        <bgColor rgb="FFFF9900"/>
      </patternFill>
    </fill>
    <fill>
      <patternFill patternType="solid">
        <fgColor rgb="FFFFFF00"/>
        <bgColor indexed="64"/>
      </patternFill>
    </fill>
  </fills>
  <borders count="31">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dotted">
        <color rgb="FF000000"/>
      </right>
      <top/>
      <bottom/>
      <diagonal/>
    </border>
    <border>
      <left style="dotted">
        <color rgb="FF000000"/>
      </left>
      <right style="dotted">
        <color rgb="FF000000"/>
      </right>
      <top/>
      <bottom/>
      <diagonal/>
    </border>
    <border>
      <left style="dotted">
        <color rgb="FF000000"/>
      </left>
      <right/>
      <top/>
      <bottom/>
      <diagonal/>
    </border>
    <border>
      <left/>
      <right style="thin">
        <color rgb="FF000000"/>
      </right>
      <top/>
      <bottom/>
      <diagonal/>
    </border>
    <border>
      <left style="thin">
        <color rgb="FF000000"/>
      </left>
      <right/>
      <top/>
      <bottom/>
      <diagonal/>
    </border>
    <border>
      <left style="thin">
        <color rgb="FF000000"/>
      </left>
      <right style="dotted">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442F65"/>
      </left>
      <right style="thin">
        <color rgb="FF5B3F86"/>
      </right>
      <top style="thin">
        <color rgb="FF442F65"/>
      </top>
      <bottom style="thin">
        <color rgb="FF442F65"/>
      </bottom>
      <diagonal/>
    </border>
    <border>
      <left style="thin">
        <color rgb="FF5B3F86"/>
      </left>
      <right style="thin">
        <color rgb="FF5B3F86"/>
      </right>
      <top style="thin">
        <color rgb="FF442F65"/>
      </top>
      <bottom style="thin">
        <color rgb="FF442F65"/>
      </bottom>
      <diagonal/>
    </border>
    <border>
      <left style="thin">
        <color rgb="FF5B3F86"/>
      </left>
      <right style="thin">
        <color rgb="FF442F65"/>
      </right>
      <top style="thin">
        <color rgb="FF442F65"/>
      </top>
      <bottom style="thin">
        <color rgb="FF442F65"/>
      </bottom>
      <diagonal/>
    </border>
    <border>
      <left style="thin">
        <color rgb="FF442F65"/>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442F65"/>
      </left>
      <right style="thin">
        <color rgb="FFF8F9FA"/>
      </right>
      <top style="thin">
        <color rgb="FFF8F9FA"/>
      </top>
      <bottom style="thin">
        <color rgb="FFF8F9FA"/>
      </bottom>
      <diagonal/>
    </border>
    <border>
      <left style="thin">
        <color rgb="FFF8F9FA"/>
      </left>
      <right style="thin">
        <color rgb="FFF8F9FA"/>
      </right>
      <top style="thin">
        <color rgb="FFF8F9FA"/>
      </top>
      <bottom style="thin">
        <color rgb="FFF8F9FA"/>
      </bottom>
      <diagonal/>
    </border>
    <border>
      <left style="thin">
        <color rgb="FFF8F9FA"/>
      </left>
      <right style="thin">
        <color rgb="FF442F65"/>
      </right>
      <top style="thin">
        <color rgb="FFF8F9FA"/>
      </top>
      <bottom style="thin">
        <color rgb="FFF8F9FA"/>
      </bottom>
      <diagonal/>
    </border>
    <border>
      <left style="thin">
        <color rgb="FFFFFFFF"/>
      </left>
      <right style="thin">
        <color rgb="FF442F65"/>
      </right>
      <top style="thin">
        <color rgb="FFFFFFFF"/>
      </top>
      <bottom style="thin">
        <color rgb="FFFFFFFF"/>
      </bottom>
      <diagonal/>
    </border>
    <border>
      <left style="thin">
        <color rgb="FF442F65"/>
      </left>
      <right style="thin">
        <color rgb="FFFFFFFF"/>
      </right>
      <top style="thin">
        <color rgb="FFFFFFFF"/>
      </top>
      <bottom style="thin">
        <color rgb="FF442F65"/>
      </bottom>
      <diagonal/>
    </border>
    <border>
      <left style="thin">
        <color rgb="FFFFFFFF"/>
      </left>
      <right style="thin">
        <color rgb="FFFFFFFF"/>
      </right>
      <top style="thin">
        <color rgb="FFFFFFFF"/>
      </top>
      <bottom style="thin">
        <color rgb="FF442F65"/>
      </bottom>
      <diagonal/>
    </border>
    <border>
      <left style="thin">
        <color rgb="FFFFFFFF"/>
      </left>
      <right style="thin">
        <color rgb="FF442F65"/>
      </right>
      <top style="thin">
        <color rgb="FFFFFFFF"/>
      </top>
      <bottom style="thin">
        <color rgb="FF442F65"/>
      </bottom>
      <diagonal/>
    </border>
  </borders>
  <cellStyleXfs count="1">
    <xf numFmtId="0" fontId="0" fillId="0" borderId="0"/>
  </cellStyleXfs>
  <cellXfs count="202">
    <xf numFmtId="0" fontId="0" fillId="0" borderId="0" xfId="0"/>
    <xf numFmtId="0" fontId="1" fillId="0" borderId="0" xfId="0" applyFont="1"/>
    <xf numFmtId="0" fontId="3" fillId="2" borderId="0" xfId="0" applyFont="1" applyFill="1" applyAlignment="1">
      <alignment horizontal="left"/>
    </xf>
    <xf numFmtId="0" fontId="4" fillId="3" borderId="0" xfId="0" applyFont="1" applyFill="1" applyAlignment="1">
      <alignment horizontal="center"/>
    </xf>
    <xf numFmtId="0" fontId="1" fillId="4" borderId="0" xfId="0" applyFont="1" applyFill="1" applyAlignment="1">
      <alignment horizontal="center"/>
    </xf>
    <xf numFmtId="0" fontId="4" fillId="5" borderId="0" xfId="0" applyFont="1" applyFill="1" applyAlignment="1">
      <alignment horizontal="center"/>
    </xf>
    <xf numFmtId="0" fontId="5" fillId="0" borderId="0" xfId="0" applyFont="1"/>
    <xf numFmtId="0" fontId="6" fillId="4" borderId="0" xfId="0" applyFont="1" applyFill="1" applyAlignment="1">
      <alignment horizontal="center"/>
    </xf>
    <xf numFmtId="0" fontId="7" fillId="4" borderId="0" xfId="0" applyFont="1" applyFill="1" applyAlignment="1">
      <alignment horizontal="center"/>
    </xf>
    <xf numFmtId="10" fontId="5" fillId="0" borderId="0" xfId="0" applyNumberFormat="1" applyFont="1"/>
    <xf numFmtId="0" fontId="8" fillId="4" borderId="0" xfId="0" applyFont="1" applyFill="1" applyAlignment="1">
      <alignment horizontal="center"/>
    </xf>
    <xf numFmtId="0" fontId="5" fillId="4" borderId="0" xfId="0" applyFont="1" applyFill="1" applyAlignment="1">
      <alignment horizontal="center"/>
    </xf>
    <xf numFmtId="4" fontId="5" fillId="0" borderId="0" xfId="0" applyNumberFormat="1" applyFont="1"/>
    <xf numFmtId="10" fontId="9" fillId="6" borderId="0" xfId="0" applyNumberFormat="1" applyFont="1" applyFill="1"/>
    <xf numFmtId="0" fontId="10" fillId="8" borderId="3" xfId="0" applyFont="1" applyFill="1" applyBorder="1" applyAlignment="1">
      <alignment horizontal="center" vertical="center"/>
    </xf>
    <xf numFmtId="0" fontId="5" fillId="10" borderId="0" xfId="0" applyFont="1" applyFill="1"/>
    <xf numFmtId="0" fontId="11" fillId="8" borderId="3" xfId="0" applyFont="1" applyFill="1" applyBorder="1" applyAlignment="1">
      <alignment horizontal="center"/>
    </xf>
    <xf numFmtId="0" fontId="5" fillId="12" borderId="5" xfId="0" applyFont="1" applyFill="1" applyBorder="1"/>
    <xf numFmtId="0" fontId="5" fillId="12" borderId="6" xfId="0" applyFont="1" applyFill="1" applyBorder="1" applyAlignment="1">
      <alignment horizontal="center" vertical="center"/>
    </xf>
    <xf numFmtId="0" fontId="5" fillId="12" borderId="7" xfId="0" applyFont="1" applyFill="1" applyBorder="1" applyAlignment="1">
      <alignment horizontal="center" vertical="center"/>
    </xf>
    <xf numFmtId="0" fontId="5" fillId="12" borderId="8" xfId="0" applyFont="1" applyFill="1" applyBorder="1" applyAlignment="1">
      <alignment horizontal="center" vertical="center"/>
    </xf>
    <xf numFmtId="0" fontId="5" fillId="12" borderId="9" xfId="0" applyFont="1" applyFill="1" applyBorder="1" applyAlignment="1">
      <alignment horizontal="center" vertical="center"/>
    </xf>
    <xf numFmtId="0" fontId="5" fillId="0" borderId="0" xfId="0" applyFont="1" applyAlignment="1">
      <alignment horizontal="center" wrapText="1"/>
    </xf>
    <xf numFmtId="0" fontId="5" fillId="8" borderId="3" xfId="0" applyFont="1" applyFill="1" applyBorder="1"/>
    <xf numFmtId="10" fontId="5" fillId="0" borderId="10" xfId="0" applyNumberFormat="1" applyFont="1" applyBorder="1"/>
    <xf numFmtId="0" fontId="5" fillId="0" borderId="10" xfId="0" applyFont="1" applyBorder="1"/>
    <xf numFmtId="0" fontId="5" fillId="0" borderId="11" xfId="0" applyFont="1" applyBorder="1"/>
    <xf numFmtId="0" fontId="5" fillId="0" borderId="12" xfId="0" applyFont="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5" fillId="0" borderId="0" xfId="0" applyFont="1" applyAlignment="1">
      <alignment horizontal="center"/>
    </xf>
    <xf numFmtId="2" fontId="5" fillId="0" borderId="10" xfId="0" applyNumberFormat="1" applyFont="1" applyBorder="1"/>
    <xf numFmtId="0" fontId="5" fillId="13" borderId="11" xfId="0" applyFont="1" applyFill="1" applyBorder="1"/>
    <xf numFmtId="0" fontId="5" fillId="13" borderId="12"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9" xfId="0" applyFont="1" applyFill="1" applyBorder="1" applyAlignment="1">
      <alignment horizontal="center" vertical="center"/>
    </xf>
    <xf numFmtId="10" fontId="9" fillId="6" borderId="0" xfId="0" applyNumberFormat="1" applyFont="1" applyFill="1" applyAlignment="1">
      <alignment horizontal="center"/>
    </xf>
    <xf numFmtId="0" fontId="5" fillId="0" borderId="0" xfId="0" applyFont="1" applyAlignment="1">
      <alignment wrapText="1"/>
    </xf>
    <xf numFmtId="10" fontId="9" fillId="6" borderId="0" xfId="0" applyNumberFormat="1" applyFont="1" applyFill="1" applyAlignment="1">
      <alignment horizontal="center" wrapText="1"/>
    </xf>
    <xf numFmtId="0" fontId="5" fillId="8" borderId="0" xfId="0" applyFont="1" applyFill="1"/>
    <xf numFmtId="0" fontId="5" fillId="8" borderId="4" xfId="0" applyFont="1" applyFill="1" applyBorder="1"/>
    <xf numFmtId="0" fontId="5" fillId="8" borderId="12" xfId="0" applyFont="1" applyFill="1" applyBorder="1" applyAlignment="1">
      <alignment horizontal="center" vertical="center"/>
    </xf>
    <xf numFmtId="0" fontId="5" fillId="8" borderId="8" xfId="0" applyFont="1" applyFill="1" applyBorder="1" applyAlignment="1">
      <alignment horizontal="center" vertical="center"/>
    </xf>
    <xf numFmtId="0" fontId="5" fillId="8" borderId="9" xfId="0" applyFont="1" applyFill="1" applyBorder="1" applyAlignment="1">
      <alignment horizontal="center" vertical="center"/>
    </xf>
    <xf numFmtId="0" fontId="5" fillId="0" borderId="1" xfId="0" applyFont="1" applyBorder="1"/>
    <xf numFmtId="0" fontId="5" fillId="0" borderId="2" xfId="0" applyFont="1" applyBorder="1" applyAlignment="1">
      <alignment horizontal="center"/>
    </xf>
    <xf numFmtId="10" fontId="5" fillId="0" borderId="2" xfId="0" applyNumberFormat="1" applyFont="1" applyBorder="1"/>
    <xf numFmtId="0" fontId="5" fillId="13" borderId="0" xfId="0" applyFont="1" applyFill="1"/>
    <xf numFmtId="0" fontId="5" fillId="8" borderId="3" xfId="0" applyFont="1" applyFill="1" applyBorder="1" applyAlignment="1">
      <alignment horizontal="center"/>
    </xf>
    <xf numFmtId="0" fontId="7" fillId="0" borderId="1" xfId="0" applyFont="1" applyBorder="1" applyAlignment="1">
      <alignment horizontal="center"/>
    </xf>
    <xf numFmtId="0" fontId="5" fillId="0" borderId="15" xfId="0" applyFont="1" applyBorder="1"/>
    <xf numFmtId="0" fontId="5" fillId="0" borderId="17" xfId="0" applyFont="1" applyBorder="1"/>
    <xf numFmtId="10" fontId="5" fillId="8" borderId="4" xfId="0" applyNumberFormat="1" applyFont="1" applyFill="1" applyBorder="1"/>
    <xf numFmtId="0" fontId="5" fillId="0" borderId="12"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0" xfId="0" applyFont="1" applyAlignment="1">
      <alignment horizontal="center" vertical="center"/>
    </xf>
    <xf numFmtId="0" fontId="7" fillId="14" borderId="1" xfId="0" applyFont="1" applyFill="1" applyBorder="1" applyAlignment="1">
      <alignment horizontal="center"/>
    </xf>
    <xf numFmtId="0" fontId="7" fillId="14" borderId="2" xfId="0" applyFont="1" applyFill="1" applyBorder="1" applyAlignment="1">
      <alignment horizontal="center"/>
    </xf>
    <xf numFmtId="0" fontId="7" fillId="15" borderId="1" xfId="0" applyFont="1" applyFill="1" applyBorder="1" applyAlignment="1">
      <alignment horizontal="center"/>
    </xf>
    <xf numFmtId="0" fontId="7" fillId="15" borderId="2" xfId="0" applyFont="1" applyFill="1" applyBorder="1" applyAlignment="1">
      <alignment horizontal="center"/>
    </xf>
    <xf numFmtId="0" fontId="7" fillId="16" borderId="1" xfId="0" applyFont="1" applyFill="1" applyBorder="1" applyAlignment="1">
      <alignment horizontal="center"/>
    </xf>
    <xf numFmtId="0" fontId="7" fillId="16" borderId="2" xfId="0" applyFont="1" applyFill="1" applyBorder="1" applyAlignment="1">
      <alignment horizontal="center"/>
    </xf>
    <xf numFmtId="0" fontId="7" fillId="17" borderId="1" xfId="0" applyFont="1" applyFill="1" applyBorder="1" applyAlignment="1">
      <alignment horizontal="center"/>
    </xf>
    <xf numFmtId="0" fontId="7" fillId="17" borderId="2" xfId="0" applyFont="1" applyFill="1" applyBorder="1" applyAlignment="1">
      <alignment horizontal="center"/>
    </xf>
    <xf numFmtId="0" fontId="7" fillId="0" borderId="0" xfId="0" applyFont="1" applyAlignment="1">
      <alignment horizontal="center"/>
    </xf>
    <xf numFmtId="0" fontId="5" fillId="0" borderId="18" xfId="0" applyFont="1" applyBorder="1" applyAlignment="1">
      <alignment horizontal="center" vertical="center" textRotation="90"/>
    </xf>
    <xf numFmtId="2" fontId="5" fillId="18" borderId="11" xfId="0" applyNumberFormat="1" applyFont="1" applyFill="1" applyBorder="1" applyAlignment="1">
      <alignment horizontal="center"/>
    </xf>
    <xf numFmtId="2" fontId="5" fillId="18" borderId="10" xfId="0" applyNumberFormat="1" applyFont="1" applyFill="1" applyBorder="1" applyAlignment="1">
      <alignment horizontal="center"/>
    </xf>
    <xf numFmtId="2" fontId="5" fillId="18" borderId="0" xfId="0" applyNumberFormat="1" applyFont="1" applyFill="1" applyAlignment="1">
      <alignment horizontal="center"/>
    </xf>
    <xf numFmtId="2" fontId="13" fillId="19" borderId="10" xfId="0" applyNumberFormat="1" applyFont="1" applyFill="1" applyBorder="1" applyAlignment="1">
      <alignment horizontal="center"/>
    </xf>
    <xf numFmtId="2" fontId="5" fillId="0" borderId="11" xfId="0" applyNumberFormat="1" applyFont="1" applyBorder="1" applyAlignment="1">
      <alignment horizontal="center"/>
    </xf>
    <xf numFmtId="2" fontId="5" fillId="0" borderId="10" xfId="0" applyNumberFormat="1" applyFont="1" applyBorder="1" applyAlignment="1">
      <alignment horizontal="center"/>
    </xf>
    <xf numFmtId="2" fontId="5" fillId="0" borderId="0" xfId="0" applyNumberFormat="1" applyFont="1" applyAlignment="1">
      <alignment horizontal="center"/>
    </xf>
    <xf numFmtId="2" fontId="13" fillId="20" borderId="10" xfId="0" applyNumberFormat="1" applyFont="1" applyFill="1" applyBorder="1" applyAlignment="1">
      <alignment horizontal="center"/>
    </xf>
    <xf numFmtId="2" fontId="5" fillId="0" borderId="16" xfId="0" applyNumberFormat="1" applyFont="1" applyBorder="1" applyAlignment="1">
      <alignment horizontal="center"/>
    </xf>
    <xf numFmtId="2" fontId="5" fillId="0" borderId="6" xfId="0" applyNumberFormat="1" applyFont="1" applyBorder="1" applyAlignment="1">
      <alignment horizontal="center"/>
    </xf>
    <xf numFmtId="2" fontId="5" fillId="0" borderId="5" xfId="0" applyNumberFormat="1" applyFont="1" applyBorder="1" applyAlignment="1">
      <alignment horizontal="center"/>
    </xf>
    <xf numFmtId="2" fontId="13" fillId="20" borderId="6" xfId="0" applyNumberFormat="1" applyFont="1" applyFill="1" applyBorder="1" applyAlignment="1">
      <alignment horizontal="center"/>
    </xf>
    <xf numFmtId="2" fontId="5" fillId="0" borderId="11" xfId="0" applyNumberFormat="1" applyFont="1" applyBorder="1"/>
    <xf numFmtId="2" fontId="5" fillId="0" borderId="0" xfId="0" applyNumberFormat="1" applyFont="1"/>
    <xf numFmtId="2" fontId="5" fillId="18" borderId="11" xfId="0" applyNumberFormat="1" applyFont="1" applyFill="1" applyBorder="1"/>
    <xf numFmtId="2" fontId="5" fillId="18" borderId="0" xfId="0" applyNumberFormat="1" applyFont="1" applyFill="1"/>
    <xf numFmtId="0" fontId="5" fillId="0" borderId="0" xfId="0" applyFont="1" applyAlignment="1">
      <alignment horizontal="center" vertical="center" textRotation="90"/>
    </xf>
    <xf numFmtId="10" fontId="5" fillId="18" borderId="10" xfId="0" applyNumberFormat="1" applyFont="1" applyFill="1" applyBorder="1" applyAlignment="1">
      <alignment horizontal="center"/>
    </xf>
    <xf numFmtId="2" fontId="5" fillId="0" borderId="16" xfId="0" applyNumberFormat="1" applyFont="1" applyBorder="1"/>
    <xf numFmtId="1" fontId="5" fillId="18" borderId="10" xfId="0" applyNumberFormat="1" applyFont="1" applyFill="1" applyBorder="1" applyAlignment="1">
      <alignment horizontal="center"/>
    </xf>
    <xf numFmtId="2" fontId="5" fillId="0" borderId="5" xfId="0" applyNumberFormat="1" applyFont="1" applyBorder="1"/>
    <xf numFmtId="2" fontId="5" fillId="0" borderId="11" xfId="0" applyNumberFormat="1" applyFont="1" applyBorder="1" applyAlignment="1">
      <alignment wrapText="1"/>
    </xf>
    <xf numFmtId="1" fontId="5" fillId="0" borderId="10" xfId="0" applyNumberFormat="1" applyFont="1" applyBorder="1" applyAlignment="1">
      <alignment horizontal="center"/>
    </xf>
    <xf numFmtId="2" fontId="5" fillId="18" borderId="16" xfId="0" applyNumberFormat="1" applyFont="1" applyFill="1" applyBorder="1"/>
    <xf numFmtId="2" fontId="5" fillId="18" borderId="6" xfId="0" applyNumberFormat="1" applyFont="1" applyFill="1" applyBorder="1" applyAlignment="1">
      <alignment horizontal="center"/>
    </xf>
    <xf numFmtId="0" fontId="14" fillId="22" borderId="1" xfId="0" applyFont="1" applyFill="1" applyBorder="1" applyAlignment="1">
      <alignment horizontal="center" vertical="center"/>
    </xf>
    <xf numFmtId="0" fontId="5" fillId="25" borderId="18" xfId="0" applyFont="1" applyFill="1" applyBorder="1" applyAlignment="1">
      <alignment horizontal="center"/>
    </xf>
    <xf numFmtId="0" fontId="5" fillId="10" borderId="0" xfId="0" applyFont="1" applyFill="1" applyAlignment="1">
      <alignment horizontal="center"/>
    </xf>
    <xf numFmtId="0" fontId="5" fillId="26" borderId="18" xfId="0" applyFont="1" applyFill="1" applyBorder="1" applyAlignment="1">
      <alignment horizontal="center"/>
    </xf>
    <xf numFmtId="0" fontId="5" fillId="27" borderId="18" xfId="0" applyFont="1" applyFill="1" applyBorder="1" applyAlignment="1">
      <alignment horizontal="center"/>
    </xf>
    <xf numFmtId="2" fontId="5" fillId="28" borderId="18" xfId="0" applyNumberFormat="1" applyFont="1" applyFill="1" applyBorder="1" applyAlignment="1">
      <alignment horizontal="center"/>
    </xf>
    <xf numFmtId="2" fontId="13" fillId="28" borderId="18" xfId="0" applyNumberFormat="1" applyFont="1" applyFill="1" applyBorder="1" applyAlignment="1">
      <alignment horizontal="center"/>
    </xf>
    <xf numFmtId="0" fontId="13" fillId="29" borderId="18" xfId="0" applyFont="1" applyFill="1" applyBorder="1" applyAlignment="1">
      <alignment horizontal="center"/>
    </xf>
    <xf numFmtId="0" fontId="13" fillId="30" borderId="18" xfId="0" applyFont="1" applyFill="1" applyBorder="1" applyAlignment="1">
      <alignment horizontal="center"/>
    </xf>
    <xf numFmtId="0" fontId="5" fillId="30" borderId="18" xfId="0" applyFont="1" applyFill="1" applyBorder="1" applyAlignment="1">
      <alignment horizontal="center"/>
    </xf>
    <xf numFmtId="0" fontId="5" fillId="31" borderId="18" xfId="0" applyFont="1" applyFill="1" applyBorder="1" applyAlignment="1">
      <alignment horizontal="center"/>
    </xf>
    <xf numFmtId="0" fontId="5" fillId="12" borderId="18" xfId="0" applyFont="1" applyFill="1" applyBorder="1" applyAlignment="1">
      <alignment horizontal="center"/>
    </xf>
    <xf numFmtId="0" fontId="5" fillId="2" borderId="1" xfId="0" applyFont="1" applyFill="1" applyBorder="1" applyAlignment="1">
      <alignment horizontal="center"/>
    </xf>
    <xf numFmtId="0" fontId="5" fillId="32" borderId="18" xfId="0" applyFont="1" applyFill="1" applyBorder="1" applyAlignment="1">
      <alignment horizontal="center"/>
    </xf>
    <xf numFmtId="0" fontId="5" fillId="32" borderId="2" xfId="0" applyFont="1" applyFill="1" applyBorder="1" applyAlignment="1">
      <alignment horizontal="center"/>
    </xf>
    <xf numFmtId="0" fontId="5" fillId="33" borderId="18" xfId="0" applyFont="1" applyFill="1" applyBorder="1" applyAlignment="1">
      <alignment horizontal="center"/>
    </xf>
    <xf numFmtId="0" fontId="5" fillId="34" borderId="18" xfId="0" applyFont="1" applyFill="1" applyBorder="1" applyAlignment="1">
      <alignment horizontal="center" wrapText="1"/>
    </xf>
    <xf numFmtId="0" fontId="5" fillId="34" borderId="18" xfId="0" applyFont="1" applyFill="1" applyBorder="1" applyAlignment="1">
      <alignment horizontal="center"/>
    </xf>
    <xf numFmtId="0" fontId="9" fillId="35" borderId="0" xfId="0" applyFont="1" applyFill="1"/>
    <xf numFmtId="10" fontId="5" fillId="0" borderId="11" xfId="0" applyNumberFormat="1" applyFont="1" applyBorder="1"/>
    <xf numFmtId="2" fontId="9" fillId="6" borderId="0" xfId="0" applyNumberFormat="1" applyFont="1" applyFill="1"/>
    <xf numFmtId="10" fontId="9" fillId="6" borderId="10" xfId="0" applyNumberFormat="1" applyFont="1" applyFill="1" applyBorder="1"/>
    <xf numFmtId="9" fontId="9" fillId="6" borderId="0" xfId="0" applyNumberFormat="1" applyFont="1" applyFill="1"/>
    <xf numFmtId="3" fontId="9" fillId="6" borderId="0" xfId="0" applyNumberFormat="1" applyFont="1" applyFill="1"/>
    <xf numFmtId="4" fontId="9" fillId="6" borderId="0" xfId="0" applyNumberFormat="1" applyFont="1" applyFill="1"/>
    <xf numFmtId="3" fontId="9" fillId="6" borderId="11" xfId="0" applyNumberFormat="1" applyFont="1" applyFill="1" applyBorder="1"/>
    <xf numFmtId="0" fontId="9" fillId="0" borderId="0" xfId="0" applyFont="1"/>
    <xf numFmtId="2" fontId="9" fillId="0" borderId="0" xfId="0" applyNumberFormat="1" applyFont="1"/>
    <xf numFmtId="10" fontId="9" fillId="0" borderId="0" xfId="0" applyNumberFormat="1" applyFont="1"/>
    <xf numFmtId="10" fontId="9" fillId="0" borderId="10" xfId="0" applyNumberFormat="1" applyFont="1" applyBorder="1"/>
    <xf numFmtId="1" fontId="9" fillId="0" borderId="0" xfId="0" applyNumberFormat="1" applyFont="1"/>
    <xf numFmtId="9" fontId="9" fillId="0" borderId="0" xfId="0" applyNumberFormat="1" applyFont="1"/>
    <xf numFmtId="3" fontId="9" fillId="0" borderId="0" xfId="0" applyNumberFormat="1" applyFont="1"/>
    <xf numFmtId="3" fontId="9" fillId="0" borderId="11" xfId="0" applyNumberFormat="1" applyFont="1" applyBorder="1"/>
    <xf numFmtId="0" fontId="5" fillId="0" borderId="19" xfId="0" applyFont="1" applyBorder="1" applyAlignment="1">
      <alignment horizontal="left" vertical="center"/>
    </xf>
    <xf numFmtId="0" fontId="5" fillId="0" borderId="20" xfId="0" applyFont="1" applyBorder="1" applyAlignment="1">
      <alignment horizontal="left" vertical="center"/>
    </xf>
    <xf numFmtId="0" fontId="15" fillId="0" borderId="20" xfId="0" applyFont="1" applyBorder="1" applyAlignment="1">
      <alignment horizontal="left" vertical="center"/>
    </xf>
    <xf numFmtId="0" fontId="5" fillId="0" borderId="21" xfId="0" applyFont="1" applyBorder="1" applyAlignment="1">
      <alignment horizontal="left" vertical="center"/>
    </xf>
    <xf numFmtId="165" fontId="5" fillId="0" borderId="22" xfId="0" applyNumberFormat="1" applyFont="1" applyBorder="1" applyAlignment="1">
      <alignment vertical="center"/>
    </xf>
    <xf numFmtId="0" fontId="5" fillId="0" borderId="23" xfId="0" applyFont="1" applyBorder="1" applyAlignment="1">
      <alignment vertical="center"/>
    </xf>
    <xf numFmtId="165" fontId="5" fillId="0" borderId="24" xfId="0" applyNumberFormat="1" applyFont="1" applyBorder="1" applyAlignment="1">
      <alignment vertical="center"/>
    </xf>
    <xf numFmtId="0" fontId="5" fillId="0" borderId="25" xfId="0" applyFont="1" applyBorder="1" applyAlignment="1">
      <alignment vertical="center"/>
    </xf>
    <xf numFmtId="0" fontId="5" fillId="0" borderId="26" xfId="0" applyFont="1" applyBorder="1" applyAlignment="1">
      <alignment vertical="center"/>
    </xf>
    <xf numFmtId="0" fontId="5" fillId="0" borderId="27" xfId="0" applyFont="1" applyBorder="1" applyAlignment="1">
      <alignment vertical="center"/>
    </xf>
    <xf numFmtId="165" fontId="5" fillId="0" borderId="28" xfId="0" applyNumberFormat="1" applyFont="1" applyBorder="1" applyAlignment="1">
      <alignment vertical="center"/>
    </xf>
    <xf numFmtId="0" fontId="5" fillId="0" borderId="29" xfId="0" applyFont="1" applyBorder="1" applyAlignment="1">
      <alignment vertical="center"/>
    </xf>
    <xf numFmtId="0" fontId="5" fillId="0" borderId="30" xfId="0" applyFont="1" applyBorder="1" applyAlignment="1">
      <alignment vertical="center"/>
    </xf>
    <xf numFmtId="166" fontId="5" fillId="0" borderId="0" xfId="0" applyNumberFormat="1" applyFont="1"/>
    <xf numFmtId="0" fontId="5" fillId="7" borderId="0" xfId="0" applyFont="1" applyFill="1"/>
    <xf numFmtId="0" fontId="5" fillId="36" borderId="0" xfId="0" applyFont="1" applyFill="1"/>
    <xf numFmtId="0" fontId="5" fillId="12" borderId="0" xfId="0" applyFont="1" applyFill="1" applyAlignment="1">
      <alignment horizontal="center"/>
    </xf>
    <xf numFmtId="0" fontId="5" fillId="12" borderId="0" xfId="0" applyFont="1" applyFill="1"/>
    <xf numFmtId="0" fontId="13" fillId="6" borderId="0" xfId="0" applyFont="1" applyFill="1" applyAlignment="1">
      <alignment horizontal="center"/>
    </xf>
    <xf numFmtId="0" fontId="13" fillId="13" borderId="0" xfId="0" applyFont="1" applyFill="1" applyAlignment="1">
      <alignment horizontal="center"/>
    </xf>
    <xf numFmtId="0" fontId="5" fillId="0" borderId="25" xfId="0" quotePrefix="1" applyFont="1" applyBorder="1" applyAlignment="1">
      <alignment vertical="center"/>
    </xf>
    <xf numFmtId="0" fontId="5" fillId="0" borderId="23" xfId="0" quotePrefix="1" applyFont="1" applyBorder="1" applyAlignment="1">
      <alignment vertical="center"/>
    </xf>
    <xf numFmtId="0" fontId="5" fillId="0" borderId="0" xfId="0" applyFont="1" applyAlignment="1">
      <alignment horizontal="right"/>
    </xf>
    <xf numFmtId="0" fontId="13" fillId="0" borderId="0" xfId="0" applyFont="1"/>
    <xf numFmtId="0" fontId="13" fillId="0" borderId="0" xfId="0" applyFont="1" applyAlignment="1">
      <alignment horizontal="right"/>
    </xf>
    <xf numFmtId="0" fontId="13" fillId="0" borderId="0" xfId="0" applyFont="1" applyAlignment="1">
      <alignment horizontal="center"/>
    </xf>
    <xf numFmtId="0" fontId="8" fillId="0" borderId="0" xfId="0" applyFont="1"/>
    <xf numFmtId="0" fontId="16" fillId="0" borderId="0" xfId="0" applyFont="1" applyAlignment="1">
      <alignment horizontal="left" wrapText="1"/>
    </xf>
    <xf numFmtId="0" fontId="5" fillId="37" borderId="0" xfId="0" applyFont="1" applyFill="1"/>
    <xf numFmtId="0" fontId="5" fillId="38" borderId="0" xfId="0" applyFont="1" applyFill="1"/>
    <xf numFmtId="0" fontId="5" fillId="4" borderId="0" xfId="0" applyFont="1" applyFill="1" applyAlignment="1">
      <alignment horizontal="center"/>
    </xf>
    <xf numFmtId="0" fontId="0" fillId="0" borderId="0" xfId="0"/>
    <xf numFmtId="0" fontId="1" fillId="2" borderId="1" xfId="0" applyFont="1" applyFill="1" applyBorder="1"/>
    <xf numFmtId="0" fontId="2" fillId="0" borderId="2" xfId="0" applyFont="1" applyBorder="1"/>
    <xf numFmtId="0" fontId="1" fillId="2" borderId="0" xfId="0" applyFont="1" applyFill="1"/>
    <xf numFmtId="164" fontId="4" fillId="0" borderId="0" xfId="0" applyNumberFormat="1" applyFont="1" applyAlignment="1">
      <alignment horizontal="center"/>
    </xf>
    <xf numFmtId="0" fontId="5" fillId="13" borderId="8" xfId="0" applyFont="1" applyFill="1" applyBorder="1" applyAlignment="1">
      <alignment horizontal="center" vertical="center" wrapText="1"/>
    </xf>
    <xf numFmtId="0" fontId="2" fillId="0" borderId="8" xfId="0" applyFont="1" applyBorder="1"/>
    <xf numFmtId="0" fontId="10" fillId="7" borderId="0" xfId="0" applyFont="1" applyFill="1" applyAlignment="1">
      <alignment horizontal="center" vertical="center"/>
    </xf>
    <xf numFmtId="0" fontId="1" fillId="9" borderId="1" xfId="0" applyFont="1" applyFill="1" applyBorder="1" applyAlignment="1">
      <alignment horizontal="center"/>
    </xf>
    <xf numFmtId="0" fontId="2" fillId="0" borderId="4" xfId="0" applyFont="1" applyBorder="1"/>
    <xf numFmtId="0" fontId="5" fillId="0" borderId="0" xfId="0" applyFont="1"/>
    <xf numFmtId="0" fontId="11" fillId="11" borderId="1" xfId="0" applyFont="1" applyFill="1" applyBorder="1" applyAlignment="1">
      <alignment horizontal="center" vertical="center"/>
    </xf>
    <xf numFmtId="0" fontId="10" fillId="7" borderId="1" xfId="0" applyFont="1" applyFill="1" applyBorder="1" applyAlignment="1">
      <alignment horizontal="center" vertical="center"/>
    </xf>
    <xf numFmtId="0" fontId="11" fillId="12" borderId="1" xfId="0" applyFont="1" applyFill="1" applyBorder="1" applyAlignment="1">
      <alignment horizontal="center"/>
    </xf>
    <xf numFmtId="0" fontId="2" fillId="0" borderId="10" xfId="0" applyFont="1" applyBorder="1"/>
    <xf numFmtId="0" fontId="11" fillId="12" borderId="0" xfId="0" applyFont="1" applyFill="1" applyAlignment="1">
      <alignment vertical="center" textRotation="255"/>
    </xf>
    <xf numFmtId="0" fontId="5" fillId="12" borderId="1" xfId="0" applyFont="1" applyFill="1" applyBorder="1" applyAlignment="1">
      <alignment horizontal="center"/>
    </xf>
    <xf numFmtId="0" fontId="5" fillId="0" borderId="16" xfId="0" applyFont="1" applyBorder="1"/>
    <xf numFmtId="0" fontId="2" fillId="0" borderId="6" xfId="0" applyFont="1" applyBorder="1"/>
    <xf numFmtId="0" fontId="7" fillId="0" borderId="1" xfId="0" applyFont="1" applyBorder="1" applyAlignment="1">
      <alignment horizontal="center"/>
    </xf>
    <xf numFmtId="0" fontId="5" fillId="0" borderId="13" xfId="0" applyFont="1" applyBorder="1"/>
    <xf numFmtId="0" fontId="2" fillId="0" borderId="14" xfId="0" applyFont="1" applyBorder="1"/>
    <xf numFmtId="0" fontId="12" fillId="12" borderId="0" xfId="0" applyFont="1" applyFill="1" applyAlignment="1">
      <alignment vertical="center" textRotation="255"/>
    </xf>
    <xf numFmtId="0" fontId="5" fillId="0" borderId="1" xfId="0" applyFont="1" applyBorder="1"/>
    <xf numFmtId="0" fontId="5" fillId="13" borderId="9" xfId="0" applyFont="1" applyFill="1" applyBorder="1" applyAlignment="1">
      <alignment horizontal="center" vertical="center" wrapText="1"/>
    </xf>
    <xf numFmtId="0" fontId="2" fillId="0" borderId="9" xfId="0" applyFont="1" applyBorder="1"/>
    <xf numFmtId="0" fontId="6" fillId="12" borderId="0" xfId="0" applyFont="1" applyFill="1" applyAlignment="1">
      <alignment vertical="center"/>
    </xf>
    <xf numFmtId="0" fontId="6" fillId="12" borderId="0" xfId="0" applyFont="1" applyFill="1" applyAlignment="1">
      <alignment horizontal="center" vertical="center"/>
    </xf>
    <xf numFmtId="0" fontId="5" fillId="13" borderId="0" xfId="0" applyFont="1" applyFill="1"/>
    <xf numFmtId="0" fontId="5" fillId="13" borderId="12" xfId="0" applyFont="1" applyFill="1" applyBorder="1" applyAlignment="1">
      <alignment horizontal="center" vertical="center" wrapText="1"/>
    </xf>
    <xf numFmtId="0" fontId="2" fillId="0" borderId="12" xfId="0" applyFont="1" applyBorder="1"/>
    <xf numFmtId="0" fontId="6" fillId="0" borderId="0" xfId="0" applyFont="1"/>
    <xf numFmtId="0" fontId="6" fillId="0" borderId="0" xfId="0" applyFont="1" applyAlignment="1">
      <alignment horizontal="center" vertical="center"/>
    </xf>
    <xf numFmtId="0" fontId="7" fillId="21" borderId="11" xfId="0" applyFont="1" applyFill="1" applyBorder="1" applyAlignment="1">
      <alignment horizontal="center" vertical="center" textRotation="90"/>
    </xf>
    <xf numFmtId="0" fontId="2" fillId="0" borderId="11" xfId="0" applyFont="1" applyBorder="1"/>
    <xf numFmtId="0" fontId="2" fillId="0" borderId="16" xfId="0" applyFont="1" applyBorder="1"/>
    <xf numFmtId="2" fontId="7" fillId="0" borderId="1" xfId="0" applyNumberFormat="1" applyFont="1" applyBorder="1" applyAlignment="1">
      <alignment horizontal="center"/>
    </xf>
    <xf numFmtId="0" fontId="7" fillId="17" borderId="11" xfId="0" applyFont="1" applyFill="1" applyBorder="1" applyAlignment="1">
      <alignment horizontal="center" vertical="center" textRotation="90"/>
    </xf>
    <xf numFmtId="0" fontId="5" fillId="0" borderId="1" xfId="0" applyFont="1" applyBorder="1" applyAlignment="1">
      <alignment horizontal="center" vertical="center"/>
    </xf>
    <xf numFmtId="0" fontId="5" fillId="9" borderId="1" xfId="0" applyFont="1" applyFill="1" applyBorder="1" applyAlignment="1">
      <alignment horizontal="center" vertical="center"/>
    </xf>
    <xf numFmtId="0" fontId="5" fillId="23" borderId="1" xfId="0" applyFont="1" applyFill="1" applyBorder="1" applyAlignment="1">
      <alignment horizontal="center" vertical="center"/>
    </xf>
    <xf numFmtId="0" fontId="5" fillId="24" borderId="1" xfId="0" applyFont="1" applyFill="1" applyBorder="1" applyAlignment="1">
      <alignment horizontal="center" vertical="center"/>
    </xf>
    <xf numFmtId="0" fontId="7" fillId="7" borderId="0" xfId="0" applyFont="1" applyFill="1" applyAlignment="1">
      <alignment horizontal="center"/>
    </xf>
    <xf numFmtId="0" fontId="5" fillId="39" borderId="0" xfId="0" applyFont="1" applyFill="1"/>
    <xf numFmtId="0" fontId="5" fillId="0" borderId="0" xfId="0" applyFont="1" applyFill="1"/>
  </cellXfs>
  <cellStyles count="1">
    <cellStyle name="Normal" xfId="0" builtinId="0"/>
  </cellStyles>
  <dxfs count="11">
    <dxf>
      <fill>
        <patternFill patternType="solid">
          <fgColor rgb="FFB7E1CD"/>
          <bgColor rgb="FFB7E1CD"/>
        </patternFill>
      </fill>
    </dxf>
    <dxf>
      <fill>
        <patternFill patternType="solid">
          <fgColor rgb="FFB7E1CD"/>
          <bgColor rgb="FFB7E1CD"/>
        </patternFill>
      </fill>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s>
  <tableStyles count="3">
    <tableStyle name="ROBOT QUALITY RAW DATA-style" pivot="0" count="3" xr9:uid="{00000000-0011-0000-FFFF-FFFF00000000}">
      <tableStyleElement type="headerRow" dxfId="10"/>
      <tableStyleElement type="firstRowStripe" dxfId="9"/>
      <tableStyleElement type="secondRowStripe" dxfId="8"/>
    </tableStyle>
    <tableStyle name="PIT AUTO RAW DATA-style" pivot="0" count="3" xr9:uid="{00000000-0011-0000-FFFF-FFFF01000000}">
      <tableStyleElement type="headerRow" dxfId="7"/>
      <tableStyleElement type="firstRowStripe" dxfId="6"/>
      <tableStyleElement type="secondRowStripe" dxfId="5"/>
    </tableStyle>
    <tableStyle name="STRATEGY VIBE RAW DATA-style" pivot="0" count="3" xr9:uid="{00000000-0011-0000-FFFF-FFFF02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orm_Responses2" displayName="Form_Responses2" ref="A1:T66">
  <tableColumns count="20">
    <tableColumn id="1" xr3:uid="{00000000-0010-0000-0000-000001000000}" name="Timestamp"/>
    <tableColumn id="2" xr3:uid="{00000000-0010-0000-0000-000002000000}" name="Scout Name:"/>
    <tableColumn id="3" xr3:uid="{00000000-0010-0000-0000-000003000000}" name="Team # and Name"/>
    <tableColumn id="4" xr3:uid="{00000000-0010-0000-0000-000004000000}" name="Taken Picture of Robot"/>
    <tableColumn id="5" xr3:uid="{00000000-0010-0000-0000-000005000000}" name="Taken Picture of Robot Wiring"/>
    <tableColumn id="6" xr3:uid="{00000000-0010-0000-0000-000006000000}" name="&quot;What have you done to prepare your wiring for competition?&quot;"/>
    <tableColumn id="7" xr3:uid="{00000000-0010-0000-0000-000007000000}" name="Wiring Quality  Via Citrus Circuits"/>
    <tableColumn id="8" xr3:uid="{00000000-0010-0000-0000-000008000000}" name="Drivetrain Robustness Via Citrus Circuits"/>
    <tableColumn id="9" xr3:uid="{00000000-0010-0000-0000-000009000000}" name="Quality of Bumpers"/>
    <tableColumn id="10" xr3:uid="{00000000-0010-0000-0000-00000A000000}" name="Bumper Style"/>
    <tableColumn id="11" xr3:uid="{00000000-0010-0000-0000-00000B000000}" name="Wiring Quality Comments"/>
    <tableColumn id="12" xr3:uid="{00000000-0010-0000-0000-00000C000000}" name="Robot Robustness Comments"/>
    <tableColumn id="13" xr3:uid="{00000000-0010-0000-0000-00000D000000}" name="Quality of Bumpers Comments"/>
    <tableColumn id="14" xr3:uid="{00000000-0010-0000-0000-00000E000000}" name="Coral System Robustness Via Citrus Circuits"/>
    <tableColumn id="15" xr3:uid="{00000000-0010-0000-0000-00000F000000}" name="Algae System Robustness Via Citrus Circuits"/>
    <tableColumn id="16" xr3:uid="{00000000-0010-0000-0000-000010000000}" name="Climber Robustness Via Citrus Circuits"/>
    <tableColumn id="17" xr3:uid="{00000000-0010-0000-0000-000011000000}" name="Email Address"/>
    <tableColumn id="18" xr3:uid="{00000000-0010-0000-0000-000012000000}" name="Team Number"/>
    <tableColumn id="19" xr3:uid="{00000000-0010-0000-0000-000013000000}" name="Average Robustness"/>
    <tableColumn id="20" xr3:uid="{00000000-0010-0000-0000-000014000000}" name="Column 1"/>
  </tableColumns>
  <tableStyleInfo name="ROBOT QUALITY RAW 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Form_Responses3" displayName="Form_Responses3" ref="A1:T24">
  <tableColumns count="20">
    <tableColumn id="1" xr3:uid="{00000000-0010-0000-0100-000001000000}" name="Timestamp"/>
    <tableColumn id="2" xr3:uid="{00000000-0010-0000-0100-000002000000}" name="Scout Name"/>
    <tableColumn id="3" xr3:uid="{00000000-0010-0000-0100-000003000000}" name="Team # and Name"/>
    <tableColumn id="4" xr3:uid="{00000000-0010-0000-0100-000004000000}" name="Auto Name"/>
    <tableColumn id="5" xr3:uid="{00000000-0010-0000-0100-000005000000}" name="Auto Description"/>
    <tableColumn id="6" xr3:uid="{00000000-0010-0000-0100-000006000000}" name="Picture of Path in Slack?"/>
    <tableColumn id="7" xr3:uid="{00000000-0010-0000-0100-000007000000}" name="Starting Location"/>
    <tableColumn id="8" xr3:uid="{00000000-0010-0000-0100-000008000000}" name="Ending Location"/>
    <tableColumn id="9" xr3:uid="{00000000-0010-0000-0100-000009000000}" name="Algae Pickup Location"/>
    <tableColumn id="10" xr3:uid="{00000000-0010-0000-0100-00000A000000}" name="Algae Floor Pickup"/>
    <tableColumn id="11" xr3:uid="{00000000-0010-0000-0100-00000B000000}" name="Algae Reef Pickup [High]"/>
    <tableColumn id="12" xr3:uid="{00000000-0010-0000-0100-00000C000000}" name="Algae Reef Pickup [Low]"/>
    <tableColumn id="13" xr3:uid="{00000000-0010-0000-0100-00000D000000}" name="Algae Delivery Location and The Amount They Score [Processor]"/>
    <tableColumn id="14" xr3:uid="{00000000-0010-0000-0100-00000E000000}" name="Algae Delivery Location and The Amount They Score [Net]"/>
    <tableColumn id="15" xr3:uid="{00000000-0010-0000-0100-00000F000000}" name="Coral Pickup Location"/>
    <tableColumn id="16" xr3:uid="{00000000-0010-0000-0100-000010000000}" name="Coral Delivery Location [4]"/>
    <tableColumn id="17" xr3:uid="{00000000-0010-0000-0100-000011000000}" name="Coral Delivery Location [3]"/>
    <tableColumn id="18" xr3:uid="{00000000-0010-0000-0100-000012000000}" name="Coral Delivery Location [2]"/>
    <tableColumn id="19" xr3:uid="{00000000-0010-0000-0100-000013000000}" name="Coral Delivery Location [1]"/>
    <tableColumn id="20" xr3:uid="{00000000-0010-0000-0100-000014000000}" name="Any notable comments? "/>
  </tableColumns>
  <tableStyleInfo name="PIT AUTO RAW DATA-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Form_Responses1" displayName="Form_Responses1" ref="A1:P90">
  <tableColumns count="16">
    <tableColumn id="1" xr3:uid="{00000000-0010-0000-0200-000001000000}" name="Timestamp"/>
    <tableColumn id="2" xr3:uid="{00000000-0010-0000-0200-000002000000}" name="Name of Scout"/>
    <tableColumn id="3" xr3:uid="{00000000-0010-0000-0200-000003000000}" name="Team # and Name"/>
    <tableColumn id="4" xr3:uid="{00000000-0010-0000-0200-000004000000}" name="Name of Robot"/>
    <tableColumn id="5" xr3:uid="{00000000-0010-0000-0200-000005000000}" name="&quot;What would you do with 2 more weeks of time?&quot;"/>
    <tableColumn id="6" xr3:uid="{00000000-0010-0000-0200-000006000000}" name="&quot;What are you most proud of?&quot;"/>
    <tableColumn id="7" xr3:uid="{00000000-0010-0000-0200-000007000000}" name="&quot;What “job” is your robot built for? What is your strategy?&quot;"/>
    <tableColumn id="8" xr3:uid="{00000000-0010-0000-0200-000008000000}" name="&quot;What did you prioritize?&quot;"/>
    <tableColumn id="9" xr3:uid="{00000000-0010-0000-0200-000009000000}" name="&quot;What are the roles of your ideal alliance partners?&quot;"/>
    <tableColumn id="10" xr3:uid="{00000000-0010-0000-0200-00000A000000}" name="Reef Algae"/>
    <tableColumn id="11" xr3:uid="{00000000-0010-0000-0200-00000B000000}" name="Does the robot scores algae in the net?"/>
    <tableColumn id="12" xr3:uid="{00000000-0010-0000-0200-00000C000000}" name=" If so, do they place it or shoot it?"/>
    <tableColumn id="13" xr3:uid="{00000000-0010-0000-0200-00000D000000}" name="HP position preference"/>
    <tableColumn id="14" xr3:uid="{00000000-0010-0000-0200-00000E000000}" name="Type of Intake"/>
    <tableColumn id="15" xr3:uid="{00000000-0010-0000-0200-00000F000000}" name="Other Comments"/>
    <tableColumn id="16" xr3:uid="{00000000-0010-0000-0200-000010000000}" name="Team #"/>
  </tableColumns>
  <tableStyleInfo name="STRATEGY VIBE RAW 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hyperlink" Target="https://docs.google.com/document/d/1ZyaPYwhbONE8YGEYXMqWHq88wZNUEr0MuF_d0h-Sn0A/edit?tab=t.0" TargetMode="External"/><Relationship Id="rId2" Type="http://schemas.openxmlformats.org/officeDocument/2006/relationships/hyperlink" Target="https://docs.google.com/document/d/1ZyaPYwhbONE8YGEYXMqWHq88wZNUEr0MuF_d0h-Sn0A/edit?tab=t.0" TargetMode="External"/><Relationship Id="rId1" Type="http://schemas.openxmlformats.org/officeDocument/2006/relationships/hyperlink" Target="https://docs.google.com/document/d/1ZyaPYwhbONE8YGEYXMqWHq88wZNUEr0MuF_d0h-Sn0A/edit?tab=t.0" TargetMode="External"/><Relationship Id="rId6" Type="http://schemas.openxmlformats.org/officeDocument/2006/relationships/table" Target="../tables/table1.xml"/><Relationship Id="rId5" Type="http://schemas.openxmlformats.org/officeDocument/2006/relationships/hyperlink" Target="https://docs.google.com/document/d/1ZyaPYwhbONE8YGEYXMqWHq88wZNUEr0MuF_d0h-Sn0A/edit?tab=t.0" TargetMode="External"/><Relationship Id="rId4" Type="http://schemas.openxmlformats.org/officeDocument/2006/relationships/hyperlink" Target="https://docs.google.com/document/d/1ZyaPYwhbONE8YGEYXMqWHq88wZNUEr0MuF_d0h-Sn0A/edit?tab=t.0"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FF"/>
    <outlinePr summaryBelow="0" summaryRight="0"/>
  </sheetPr>
  <dimension ref="A1:J32"/>
  <sheetViews>
    <sheetView topLeftCell="A2" workbookViewId="0"/>
  </sheetViews>
  <sheetFormatPr defaultColWidth="12.5703125" defaultRowHeight="15.75" customHeight="1"/>
  <cols>
    <col min="1" max="1" width="1.42578125" customWidth="1"/>
    <col min="3" max="3" width="11.5703125" customWidth="1"/>
    <col min="4" max="4" width="13.5703125" customWidth="1"/>
    <col min="5" max="5" width="25.42578125" customWidth="1"/>
  </cols>
  <sheetData>
    <row r="1" spans="1:10" ht="39" customHeight="1">
      <c r="A1" s="1"/>
      <c r="B1" s="158" t="s">
        <v>0</v>
      </c>
      <c r="C1" s="159"/>
      <c r="D1" s="2" t="s">
        <v>1</v>
      </c>
      <c r="E1" s="160" t="s">
        <v>2</v>
      </c>
      <c r="F1" s="157"/>
      <c r="G1" s="157"/>
      <c r="H1" s="157"/>
    </row>
    <row r="2" spans="1:10" ht="30" customHeight="1">
      <c r="B2" s="3" t="s">
        <v>3</v>
      </c>
      <c r="C2" s="3" t="s">
        <v>4</v>
      </c>
      <c r="D2" s="3" t="s">
        <v>5</v>
      </c>
      <c r="E2" s="4" t="s">
        <v>6</v>
      </c>
      <c r="F2" s="5" t="s">
        <v>7</v>
      </c>
      <c r="G2" s="5" t="s">
        <v>8</v>
      </c>
      <c r="H2" s="5" t="s">
        <v>9</v>
      </c>
    </row>
    <row r="3" spans="1:10" ht="18">
      <c r="B3" s="6">
        <f ca="1">IFERROR(__xludf.DUMMYFUNCTION("FILTER(SCHEDULE!C$2:C998,SCHEDULE!$A$2:$A998=$E$1)"),3297)</f>
        <v>3297</v>
      </c>
      <c r="C3" s="6">
        <f ca="1">IFERROR(__xludf.DUMMYFUNCTION("FILTER(SCHEDULE!D$2:D998,SCHEDULE!$A$2:$A998=$E$1)"),6045)</f>
        <v>6045</v>
      </c>
      <c r="D3" s="6">
        <f ca="1">IFERROR(__xludf.DUMMYFUNCTION("FILTER(SCHEDULE!E$2:E998,SCHEDULE!$A$2:$A998=$E$1)"),5996)</f>
        <v>5996</v>
      </c>
      <c r="E3" s="7" t="s">
        <v>10</v>
      </c>
      <c r="F3" s="6">
        <f ca="1">IFERROR(__xludf.DUMMYFUNCTION("FILTER(SCHEDULE!F$2:F998,SCHEDULE!$A$2:$A998=$E$1)"),2491)</f>
        <v>2491</v>
      </c>
      <c r="G3" s="6">
        <f ca="1">IFERROR(__xludf.DUMMYFUNCTION("FILTER(SCHEDULE!G$2:G998,SCHEDULE!$A$2:$A998=$E$1)"),2264)</f>
        <v>2264</v>
      </c>
      <c r="H3" s="6">
        <f ca="1">IFERROR(__xludf.DUMMYFUNCTION("FILTER(SCHEDULE!H$2:H998,SCHEDULE!$A$2:$A998=$E$1)"),2549)</f>
        <v>2549</v>
      </c>
    </row>
    <row r="4" spans="1:10" ht="25.5" customHeight="1">
      <c r="B4" s="161">
        <f ca="1">SUM(B6:D6)</f>
        <v>61.5</v>
      </c>
      <c r="C4" s="157"/>
      <c r="D4" s="157"/>
      <c r="E4" s="7" t="s">
        <v>11</v>
      </c>
      <c r="F4" s="161">
        <f ca="1">SUM(F6:H6)</f>
        <v>50.5</v>
      </c>
      <c r="G4" s="157"/>
      <c r="H4" s="157"/>
    </row>
    <row r="5" spans="1:10" ht="23.25">
      <c r="B5" s="161">
        <f ca="1">B4-F4</f>
        <v>11</v>
      </c>
      <c r="C5" s="157"/>
      <c r="D5" s="157"/>
      <c r="E5" s="8" t="s">
        <v>12</v>
      </c>
      <c r="F5" s="161">
        <f ca="1">F4-B4</f>
        <v>-11</v>
      </c>
      <c r="G5" s="157"/>
      <c r="H5" s="157"/>
    </row>
    <row r="6" spans="1:10" ht="18">
      <c r="B6" s="6">
        <f t="shared" ref="B6:D6" ca="1" si="0">SUMPRODUCT(B$10:B$16,$J$10:$J$16)+SUMPRODUCT(B$18:B$23,$J$18:$J$23)+SUMPRODUCT(B$25:B$27,$J$25:$J$27)</f>
        <v>37.5</v>
      </c>
      <c r="C6" s="6">
        <f t="shared" ca="1" si="0"/>
        <v>23.999999999999996</v>
      </c>
      <c r="D6" s="6">
        <f t="shared" ca="1" si="0"/>
        <v>0</v>
      </c>
      <c r="E6" s="7" t="s">
        <v>13</v>
      </c>
      <c r="F6" s="6">
        <f t="shared" ref="F6:H6" ca="1" si="1">SUMPRODUCT(F$10:F$16,$J$10:$J$16)+SUMPRODUCT(F$18:F$23,$J$18:$J$23)+SUMPRODUCT(F$25:F$27,$J$25:$J$27)</f>
        <v>38</v>
      </c>
      <c r="G6" s="6">
        <f t="shared" ca="1" si="1"/>
        <v>10.5</v>
      </c>
      <c r="H6" s="6">
        <f t="shared" ca="1" si="1"/>
        <v>2</v>
      </c>
    </row>
    <row r="7" spans="1:10" ht="14.25">
      <c r="B7" s="9">
        <f t="shared" ref="B7:D7" ca="1" si="2">B$6/$B$4</f>
        <v>0.6097560975609756</v>
      </c>
      <c r="C7" s="9">
        <f t="shared" ca="1" si="2"/>
        <v>0.39024390243902435</v>
      </c>
      <c r="D7" s="9">
        <f t="shared" ca="1" si="2"/>
        <v>0</v>
      </c>
      <c r="E7" s="10" t="s">
        <v>14</v>
      </c>
      <c r="F7" s="9">
        <f t="shared" ref="F7:H7" ca="1" si="3">F$6/$F$4</f>
        <v>0.75247524752475248</v>
      </c>
      <c r="G7" s="9">
        <f t="shared" ca="1" si="3"/>
        <v>0.20792079207920791</v>
      </c>
      <c r="H7" s="9">
        <f t="shared" ca="1" si="3"/>
        <v>3.9603960396039604E-2</v>
      </c>
    </row>
    <row r="8" spans="1:10" ht="29.25" customHeight="1">
      <c r="B8" s="156" t="s">
        <v>15</v>
      </c>
      <c r="C8" s="157"/>
      <c r="D8" s="157"/>
      <c r="E8" s="157"/>
      <c r="F8" s="157"/>
      <c r="G8" s="157"/>
      <c r="H8" s="157"/>
    </row>
    <row r="9" spans="1:10" ht="12.75">
      <c r="B9" s="156" t="s">
        <v>16</v>
      </c>
      <c r="C9" s="157"/>
      <c r="D9" s="157"/>
      <c r="E9" s="157"/>
      <c r="F9" s="157"/>
      <c r="G9" s="157"/>
      <c r="H9" s="157"/>
      <c r="J9" s="6" t="s">
        <v>17</v>
      </c>
    </row>
    <row r="10" spans="1:10" ht="12.75">
      <c r="B10" s="9">
        <f ca="1">IFERROR(__xludf.DUMMYFUNCTION("IFERROR(IF($B$1=""All"",AVERAGE(FILTER('MATCH CALCS'!$AW:$AW,'MATCH CALCS'!$D:$D=B$3)),AVERAGE(FILTER('MATCH CALCS'!$AW:$AW,'MATCH CALCS'!$D:$D=B$3,'MATCH CALCS'!$A:$A=$B$1))),""-"")"),0.75)</f>
        <v>0.75</v>
      </c>
      <c r="C10" s="9">
        <f ca="1">IFERROR(__xludf.DUMMYFUNCTION("IFERROR(IF($B$1=""All"",AVERAGE(FILTER('MATCH CALCS'!$AW:$AW,'MATCH CALCS'!$D:$D=C$3)),AVERAGE(FILTER('MATCH CALCS'!$AW:$AW,'MATCH CALCS'!$D:$D=C$3,'MATCH CALCS'!$A:$A=$B$1))),""-"")"),0.333333333333333)</f>
        <v>0.33333333333333298</v>
      </c>
      <c r="D10" s="9">
        <f ca="1">IFERROR(__xludf.DUMMYFUNCTION("IFERROR(IF($B$1=""All"",AVERAGE(FILTER('MATCH CALCS'!$AW:$AW,'MATCH CALCS'!$D:$D=D$3)),AVERAGE(FILTER('MATCH CALCS'!$AW:$AW,'MATCH CALCS'!$D:$D=D$3,'MATCH CALCS'!$A:$A=$B$1))),""-"")"),0)</f>
        <v>0</v>
      </c>
      <c r="E10" s="11" t="s">
        <v>18</v>
      </c>
      <c r="F10" s="9">
        <f ca="1">IFERROR(__xludf.DUMMYFUNCTION("IFERROR(IF($B$1=""All"",AVERAGE(FILTER('MATCH CALCS'!$AW:$AW,'MATCH CALCS'!$D:$D=F$3)),AVERAGE(FILTER('MATCH CALCS'!$AW:$AW,'MATCH CALCS'!$D:$D=F$3,'MATCH CALCS'!$A:$A=$B$1))),""-"")"),1)</f>
        <v>1</v>
      </c>
      <c r="G10" s="9">
        <f ca="1">IFERROR(__xludf.DUMMYFUNCTION("IFERROR(IF($B$1=""All"",AVERAGE(FILTER('MATCH CALCS'!$AW:$AW,'MATCH CALCS'!$D:$D=G$3)),AVERAGE(FILTER('MATCH CALCS'!$AW:$AW,'MATCH CALCS'!$D:$D=G$3,'MATCH CALCS'!$A:$A=$B$1))),""-"")"),0)</f>
        <v>0</v>
      </c>
      <c r="H10" s="9">
        <f ca="1">IFERROR(__xludf.DUMMYFUNCTION("IFERROR(IF($B$1=""All"",AVERAGE(FILTER('MATCH CALCS'!$AW:$AW,'MATCH CALCS'!$D:$D=H$3)),AVERAGE(FILTER('MATCH CALCS'!$AW:$AW,'MATCH CALCS'!$D:$D=H$3,'MATCH CALCS'!$A:$A=$B$1))),""-"")"),0)</f>
        <v>0</v>
      </c>
      <c r="J10" s="6">
        <v>3</v>
      </c>
    </row>
    <row r="11" spans="1:10" ht="12.75">
      <c r="B11" s="12">
        <f ca="1">IFERROR(__xludf.DUMMYFUNCTION("IFERROR(IF($B$1=""All"",AVERAGE(FILTER('MATCH CALCS'!$L:$L,'MATCH CALCS'!$D:$D=B$3)),AVERAGE(FILTER('MATCH CALCS'!$L:$L,'MATCH CALCS'!$D:$D=B$3,'MATCH CALCS'!$A:$A=$B$1))),""-"")"),1.25)</f>
        <v>1.25</v>
      </c>
      <c r="C11" s="12">
        <f ca="1">IFERROR(__xludf.DUMMYFUNCTION("IFERROR(IF($B$1=""All"",AVERAGE(FILTER('MATCH CALCS'!$L:$L,'MATCH CALCS'!$D:$D=C$3)),AVERAGE(FILTER('MATCH CALCS'!$L:$L,'MATCH CALCS'!$D:$D=C$3,'MATCH CALCS'!$A:$A=$B$1))),""-"")"),0)</f>
        <v>0</v>
      </c>
      <c r="D11" s="12">
        <f ca="1">IFERROR(__xludf.DUMMYFUNCTION("IFERROR(IF($B$1=""All"",AVERAGE(FILTER('MATCH CALCS'!$L:$L,'MATCH CALCS'!$D:$D=D$3)),AVERAGE(FILTER('MATCH CALCS'!$L:$L,'MATCH CALCS'!$D:$D=D$3,'MATCH CALCS'!$A:$A=$B$1))),""-"")"),0)</f>
        <v>0</v>
      </c>
      <c r="E11" s="11" t="s">
        <v>19</v>
      </c>
      <c r="F11" s="12">
        <f ca="1">IFERROR(__xludf.DUMMYFUNCTION("IFERROR(IF($B$1=""All"",AVERAGE(FILTER('MATCH CALCS'!$L:$L,'MATCH CALCS'!$D:$D=F$3)),AVERAGE(FILTER('MATCH CALCS'!$L:$L,'MATCH CALCS'!$D:$D=F$3,'MATCH CALCS'!$A:$A=$B$1))),""-"")"),0.5)</f>
        <v>0.5</v>
      </c>
      <c r="G11" s="12">
        <f ca="1">IFERROR(__xludf.DUMMYFUNCTION("IFERROR(IF($B$1=""All"",AVERAGE(FILTER('MATCH CALCS'!$L:$L,'MATCH CALCS'!$D:$D=G$3)),AVERAGE(FILTER('MATCH CALCS'!$L:$L,'MATCH CALCS'!$D:$D=G$3,'MATCH CALCS'!$A:$A=$B$1))),""-"")"),0)</f>
        <v>0</v>
      </c>
      <c r="H11" s="12">
        <f ca="1">IFERROR(__xludf.DUMMYFUNCTION("IFERROR(IF($B$1=""All"",AVERAGE(FILTER('MATCH CALCS'!$L:$L,'MATCH CALCS'!$D:$D=H$3)),AVERAGE(FILTER('MATCH CALCS'!$L:$L,'MATCH CALCS'!$D:$D=H$3,'MATCH CALCS'!$A:$A=$B$1))),""-"")"),0)</f>
        <v>0</v>
      </c>
      <c r="J11" s="6">
        <v>7</v>
      </c>
    </row>
    <row r="12" spans="1:10" ht="12.75">
      <c r="B12" s="12">
        <f ca="1">IFERROR(__xludf.DUMMYFUNCTION("IFERROR(IF($B$1=""All"",AVERAGE(FILTER('MATCH CALCS'!$M:$M,'MATCH CALCS'!$D:$D=B$3)),AVERAGE(FILTER('MATCH CALCS'!$M:$M,'MATCH CALCS'!$D:$D=B$3,'MATCH CALCS'!$A:$A=$B$1))),""-"")"),0)</f>
        <v>0</v>
      </c>
      <c r="C12" s="12">
        <f ca="1">IFERROR(__xludf.DUMMYFUNCTION("IFERROR(IF($B$1=""All"",AVERAGE(FILTER('MATCH CALCS'!$M:$M,'MATCH CALCS'!$D:$D=C$3)),AVERAGE(FILTER('MATCH CALCS'!$M:$M,'MATCH CALCS'!$D:$D=C$3,'MATCH CALCS'!$A:$A=$B$1))),""-"")"),0)</f>
        <v>0</v>
      </c>
      <c r="D12" s="12">
        <f ca="1">IFERROR(__xludf.DUMMYFUNCTION("IFERROR(IF($B$1=""All"",AVERAGE(FILTER('MATCH CALCS'!$M:$M,'MATCH CALCS'!$D:$D=D$3)),AVERAGE(FILTER('MATCH CALCS'!$M:$M,'MATCH CALCS'!$D:$D=D$3,'MATCH CALCS'!$A:$A=$B$1))),""-"")"),0)</f>
        <v>0</v>
      </c>
      <c r="E12" s="11" t="s">
        <v>20</v>
      </c>
      <c r="F12" s="12">
        <f ca="1">IFERROR(__xludf.DUMMYFUNCTION("IFERROR(IF($B$1=""All"",AVERAGE(FILTER('MATCH CALCS'!$M:$M,'MATCH CALCS'!$D:$D=F$3)),AVERAGE(FILTER('MATCH CALCS'!$M:$M,'MATCH CALCS'!$D:$D=F$3,'MATCH CALCS'!$A:$A=$B$1))),""-"")"),0)</f>
        <v>0</v>
      </c>
      <c r="G12" s="12">
        <f ca="1">IFERROR(__xludf.DUMMYFUNCTION("IFERROR(IF($B$1=""All"",AVERAGE(FILTER('MATCH CALCS'!$M:$M,'MATCH CALCS'!$D:$D=G$3)),AVERAGE(FILTER('MATCH CALCS'!$M:$M,'MATCH CALCS'!$D:$D=G$3,'MATCH CALCS'!$A:$A=$B$1))),""-"")"),0)</f>
        <v>0</v>
      </c>
      <c r="H12" s="12">
        <f ca="1">IFERROR(__xludf.DUMMYFUNCTION("IFERROR(IF($B$1=""All"",AVERAGE(FILTER('MATCH CALCS'!$M:$M,'MATCH CALCS'!$D:$D=H$3)),AVERAGE(FILTER('MATCH CALCS'!$M:$M,'MATCH CALCS'!$D:$D=H$3,'MATCH CALCS'!$A:$A=$B$1))),""-"")"),0)</f>
        <v>0</v>
      </c>
      <c r="J12" s="6">
        <v>6</v>
      </c>
    </row>
    <row r="13" spans="1:10" ht="12.75">
      <c r="B13" s="12">
        <f ca="1">IFERROR(__xludf.DUMMYFUNCTION("IFERROR(IF($B$1=""All"",AVERAGE(FILTER('MATCH CALCS'!$N:$N,'MATCH CALCS'!$D:$D=B$3)),AVERAGE(FILTER('MATCH CALCS'!$N:$N,'MATCH CALCS'!$D:$D=B$3,'MATCH CALCS'!$A:$A=$B$1))),""-"")"),0)</f>
        <v>0</v>
      </c>
      <c r="C13" s="12">
        <f ca="1">IFERROR(__xludf.DUMMYFUNCTION("IFERROR(IF($B$1=""All"",AVERAGE(FILTER('MATCH CALCS'!$N:$N,'MATCH CALCS'!$D:$D=C$3)),AVERAGE(FILTER('MATCH CALCS'!$N:$N,'MATCH CALCS'!$D:$D=C$3,'MATCH CALCS'!$A:$A=$B$1))),""-"")"),0)</f>
        <v>0</v>
      </c>
      <c r="D13" s="12">
        <f ca="1">IFERROR(__xludf.DUMMYFUNCTION("IFERROR(IF($B$1=""All"",AVERAGE(FILTER('MATCH CALCS'!$N:$N,'MATCH CALCS'!$D:$D=D$3)),AVERAGE(FILTER('MATCH CALCS'!$N:$N,'MATCH CALCS'!$D:$D=D$3,'MATCH CALCS'!$A:$A=$B$1))),""-"")"),0)</f>
        <v>0</v>
      </c>
      <c r="E13" s="11" t="s">
        <v>21</v>
      </c>
      <c r="F13" s="12">
        <f ca="1">IFERROR(__xludf.DUMMYFUNCTION("IFERROR(IF($B$1=""All"",AVERAGE(FILTER('MATCH CALCS'!$N:$N,'MATCH CALCS'!$D:$D=F$3)),AVERAGE(FILTER('MATCH CALCS'!$N:$N,'MATCH CALCS'!$D:$D=F$3,'MATCH CALCS'!$A:$A=$B$1))),""-"")"),0)</f>
        <v>0</v>
      </c>
      <c r="G13" s="12">
        <f ca="1">IFERROR(__xludf.DUMMYFUNCTION("IFERROR(IF($B$1=""All"",AVERAGE(FILTER('MATCH CALCS'!$N:$N,'MATCH CALCS'!$D:$D=G$3)),AVERAGE(FILTER('MATCH CALCS'!$N:$N,'MATCH CALCS'!$D:$D=G$3,'MATCH CALCS'!$A:$A=$B$1))),""-"")"),0)</f>
        <v>0</v>
      </c>
      <c r="H13" s="12">
        <f ca="1">IFERROR(__xludf.DUMMYFUNCTION("IFERROR(IF($B$1=""All"",AVERAGE(FILTER('MATCH CALCS'!$N:$N,'MATCH CALCS'!$D:$D=H$3)),AVERAGE(FILTER('MATCH CALCS'!$N:$N,'MATCH CALCS'!$D:$D=H$3,'MATCH CALCS'!$A:$A=$B$1))),""-"")"),0)</f>
        <v>0</v>
      </c>
      <c r="J13" s="6">
        <v>4</v>
      </c>
    </row>
    <row r="14" spans="1:10" ht="12.75">
      <c r="B14" s="12">
        <f ca="1">IFERROR(__xludf.DUMMYFUNCTION("IFERROR(IF($B$1=""All"",AVERAGE(FILTER('MATCH CALCS'!$O:$O,'MATCH CALCS'!$D:$D=B$3)),AVERAGE(FILTER('MATCH CALCS'!$O:$O,'MATCH CALCS'!$D:$D=B$3,'MATCH CALCS'!$A:$A=$B$1))),""-"")"),0)</f>
        <v>0</v>
      </c>
      <c r="C14" s="12">
        <f ca="1">IFERROR(__xludf.DUMMYFUNCTION("IFERROR(IF($B$1=""All"",AVERAGE(FILTER('MATCH CALCS'!$O:$O,'MATCH CALCS'!$D:$D=C$3)),AVERAGE(FILTER('MATCH CALCS'!$O:$O,'MATCH CALCS'!$D:$D=C$3,'MATCH CALCS'!$A:$A=$B$1))),""-"")"),0)</f>
        <v>0</v>
      </c>
      <c r="D14" s="12">
        <f ca="1">IFERROR(__xludf.DUMMYFUNCTION("IFERROR(IF($B$1=""All"",AVERAGE(FILTER('MATCH CALCS'!$O:$O,'MATCH CALCS'!$D:$D=D$3)),AVERAGE(FILTER('MATCH CALCS'!$O:$O,'MATCH CALCS'!$D:$D=D$3,'MATCH CALCS'!$A:$A=$B$1))),""-"")"),0)</f>
        <v>0</v>
      </c>
      <c r="E14" s="11" t="s">
        <v>22</v>
      </c>
      <c r="F14" s="12">
        <f ca="1">IFERROR(__xludf.DUMMYFUNCTION("IFERROR(IF($B$1=""All"",AVERAGE(FILTER('MATCH CALCS'!$O:$O,'MATCH CALCS'!$D:$D=F$3)),AVERAGE(FILTER('MATCH CALCS'!$O:$O,'MATCH CALCS'!$D:$D=F$3,'MATCH CALCS'!$A:$A=$B$1))),""-"")"),0)</f>
        <v>0</v>
      </c>
      <c r="G14" s="12">
        <f ca="1">IFERROR(__xludf.DUMMYFUNCTION("IFERROR(IF($B$1=""All"",AVERAGE(FILTER('MATCH CALCS'!$O:$O,'MATCH CALCS'!$D:$D=G$3)),AVERAGE(FILTER('MATCH CALCS'!$O:$O,'MATCH CALCS'!$D:$D=G$3,'MATCH CALCS'!$A:$A=$B$1))),""-"")"),0)</f>
        <v>0</v>
      </c>
      <c r="H14" s="12">
        <f ca="1">IFERROR(__xludf.DUMMYFUNCTION("IFERROR(IF($B$1=""All"",AVERAGE(FILTER('MATCH CALCS'!$O:$O,'MATCH CALCS'!$D:$D=H$3)),AVERAGE(FILTER('MATCH CALCS'!$O:$O,'MATCH CALCS'!$D:$D=H$3,'MATCH CALCS'!$A:$A=$B$1))),""-"")"),0)</f>
        <v>0</v>
      </c>
      <c r="J14" s="6">
        <v>3</v>
      </c>
    </row>
    <row r="15" spans="1:10" ht="12.75">
      <c r="B15" s="12">
        <f ca="1">IFERROR(__xludf.DUMMYFUNCTION("IFERROR(IF($B$1=""All"",AVERAGE(FILTER('MATCH CALCS'!$S:$S,'MATCH CALCS'!$D:$D=B$3)),AVERAGE(FILTER('MATCH CALCS'!$S:$S,'MATCH CALCS'!$D:$D=B$3,'MATCH CALCS'!$A:$A=$B$1))),""-"")"),0)</f>
        <v>0</v>
      </c>
      <c r="C15" s="12">
        <f ca="1">IFERROR(__xludf.DUMMYFUNCTION("IFERROR(IF($B$1=""All"",AVERAGE(FILTER('MATCH CALCS'!$S:$S,'MATCH CALCS'!$D:$D=C$3)),AVERAGE(FILTER('MATCH CALCS'!$S:$S,'MATCH CALCS'!$D:$D=C$3,'MATCH CALCS'!$A:$A=$B$1))),""-"")"),0)</f>
        <v>0</v>
      </c>
      <c r="D15" s="12">
        <f ca="1">IFERROR(__xludf.DUMMYFUNCTION("IFERROR(IF($B$1=""All"",AVERAGE(FILTER('MATCH CALCS'!$S:$S,'MATCH CALCS'!$D:$D=D$3)),AVERAGE(FILTER('MATCH CALCS'!$S:$S,'MATCH CALCS'!$D:$D=D$3,'MATCH CALCS'!$A:$A=$B$1))),""-"")"),0)</f>
        <v>0</v>
      </c>
      <c r="E15" s="11" t="s">
        <v>23</v>
      </c>
      <c r="F15" s="12">
        <f ca="1">IFERROR(__xludf.DUMMYFUNCTION("IFERROR(IF($B$1=""All"",AVERAGE(FILTER('MATCH CALCS'!$S:$S,'MATCH CALCS'!$D:$D=F$3)),AVERAGE(FILTER('MATCH CALCS'!$S:$S,'MATCH CALCS'!$D:$D=F$3,'MATCH CALCS'!$A:$A=$B$1))),""-"")"),0)</f>
        <v>0</v>
      </c>
      <c r="G15" s="12">
        <f ca="1">IFERROR(__xludf.DUMMYFUNCTION("IFERROR(IF($B$1=""All"",AVERAGE(FILTER('MATCH CALCS'!$S:$S,'MATCH CALCS'!$D:$D=G$3)),AVERAGE(FILTER('MATCH CALCS'!$S:$S,'MATCH CALCS'!$D:$D=G$3,'MATCH CALCS'!$A:$A=$B$1))),""-"")"),0)</f>
        <v>0</v>
      </c>
      <c r="H15" s="12">
        <f ca="1">IFERROR(__xludf.DUMMYFUNCTION("IFERROR(IF($B$1=""All"",AVERAGE(FILTER('MATCH CALCS'!$S:$S,'MATCH CALCS'!$D:$D=H$3)),AVERAGE(FILTER('MATCH CALCS'!$S:$S,'MATCH CALCS'!$D:$D=H$3,'MATCH CALCS'!$A:$A=$B$1))),""-"")"),0)</f>
        <v>0</v>
      </c>
      <c r="J15" s="6">
        <v>4</v>
      </c>
    </row>
    <row r="16" spans="1:10" ht="12.75">
      <c r="B16" s="12">
        <f ca="1">IFERROR(__xludf.DUMMYFUNCTION("IFERROR(IF($B$1=""All"",AVERAGE(FILTER('MATCH CALCS'!$R:$R,'MATCH CALCS'!$D:$D=B$3)),AVERAGE(FILTER('MATCH CALCS'!$R:$R,'MATCH CALCS'!$D:$D=B$3,'MATCH CALCS'!$A:$A=$B$1))),""-"")"),0)</f>
        <v>0</v>
      </c>
      <c r="C16" s="12">
        <f ca="1">IFERROR(__xludf.DUMMYFUNCTION("IFERROR(IF($B$1=""All"",AVERAGE(FILTER('MATCH CALCS'!$R:$R,'MATCH CALCS'!$D:$D=C$3)),AVERAGE(FILTER('MATCH CALCS'!$R:$R,'MATCH CALCS'!$D:$D=C$3,'MATCH CALCS'!$A:$A=$B$1))),""-"")"),0)</f>
        <v>0</v>
      </c>
      <c r="D16" s="12">
        <f ca="1">IFERROR(__xludf.DUMMYFUNCTION("IFERROR(IF($B$1=""All"",AVERAGE(FILTER('MATCH CALCS'!$R:$R,'MATCH CALCS'!$D:$D=D$3)),AVERAGE(FILTER('MATCH CALCS'!$R:$R,'MATCH CALCS'!$D:$D=D$3,'MATCH CALCS'!$A:$A=$B$1))),""-"")"),0)</f>
        <v>0</v>
      </c>
      <c r="E16" s="11" t="s">
        <v>24</v>
      </c>
      <c r="F16" s="12">
        <f ca="1">IFERROR(__xludf.DUMMYFUNCTION("IFERROR(IF($B$1=""All"",AVERAGE(FILTER('MATCH CALCS'!$R:$R,'MATCH CALCS'!$D:$D=F$3)),AVERAGE(FILTER('MATCH CALCS'!$R:$R,'MATCH CALCS'!$D:$D=F$3,'MATCH CALCS'!$A:$A=$B$1))),""-"")"),0)</f>
        <v>0</v>
      </c>
      <c r="G16" s="12">
        <f ca="1">IFERROR(__xludf.DUMMYFUNCTION("IFERROR(IF($B$1=""All"",AVERAGE(FILTER('MATCH CALCS'!$R:$R,'MATCH CALCS'!$D:$D=G$3)),AVERAGE(FILTER('MATCH CALCS'!$R:$R,'MATCH CALCS'!$D:$D=G$3,'MATCH CALCS'!$A:$A=$B$1))),""-"")"),0)</f>
        <v>0</v>
      </c>
      <c r="H16" s="12">
        <f ca="1">IFERROR(__xludf.DUMMYFUNCTION("IFERROR(IF($B$1=""All"",AVERAGE(FILTER('MATCH CALCS'!$R:$R,'MATCH CALCS'!$D:$D=H$3)),AVERAGE(FILTER('MATCH CALCS'!$R:$R,'MATCH CALCS'!$D:$D=H$3,'MATCH CALCS'!$A:$A=$B$1))),""-"")"),0)</f>
        <v>0</v>
      </c>
      <c r="J16" s="6">
        <v>2</v>
      </c>
    </row>
    <row r="17" spans="2:10" ht="12.75">
      <c r="B17" s="156" t="s">
        <v>25</v>
      </c>
      <c r="C17" s="157"/>
      <c r="D17" s="157"/>
      <c r="E17" s="157"/>
      <c r="F17" s="157"/>
      <c r="G17" s="157"/>
      <c r="H17" s="157"/>
    </row>
    <row r="18" spans="2:10" ht="12.75">
      <c r="B18" s="12">
        <f ca="1">IFERROR(__xludf.DUMMYFUNCTION("IFERROR(IF($B$1=""All"",AVERAGE(FILTER('MATCH CALCS'!$AE:$AE,'MATCH CALCS'!$D:$D=B$3)),AVERAGE(FILTER('MATCH CALCS'!$AE:$AE,'MATCH CALCS'!$D:$D=B$3,'MATCH CALCS'!$A:$A=$B$1))),""-"")"),3.25)</f>
        <v>3.25</v>
      </c>
      <c r="C18" s="12">
        <f ca="1">IFERROR(__xludf.DUMMYFUNCTION("IFERROR(IF($B$1=""All"",AVERAGE(FILTER('MATCH CALCS'!$AE:$AE,'MATCH CALCS'!$D:$D=C$3)),AVERAGE(FILTER('MATCH CALCS'!$AE:$AE,'MATCH CALCS'!$D:$D=C$3,'MATCH CALCS'!$A:$A=$B$1))),""-"")"),3)</f>
        <v>3</v>
      </c>
      <c r="D18" s="12">
        <f ca="1">IFERROR(__xludf.DUMMYFUNCTION("IFERROR(IF($B$1=""All"",AVERAGE(FILTER('MATCH CALCS'!$AE:$AE,'MATCH CALCS'!$D:$D=D$3)),AVERAGE(FILTER('MATCH CALCS'!$AE:$AE,'MATCH CALCS'!$D:$D=D$3,'MATCH CALCS'!$A:$A=$B$1))),""-"")"),0)</f>
        <v>0</v>
      </c>
      <c r="E18" s="11" t="s">
        <v>19</v>
      </c>
      <c r="F18" s="12">
        <f ca="1">IFERROR(__xludf.DUMMYFUNCTION("IFERROR(IF($B$1=""All"",AVERAGE(FILTER('MATCH CALCS'!$AE:$AE,'MATCH CALCS'!$D:$D=F$3)),AVERAGE(FILTER('MATCH CALCS'!$AE:$AE,'MATCH CALCS'!$D:$D=F$3,'MATCH CALCS'!$A:$A=$B$1))),""-"")"),1.5)</f>
        <v>1.5</v>
      </c>
      <c r="G18" s="12">
        <f ca="1">IFERROR(__xludf.DUMMYFUNCTION("IFERROR(IF($B$1=""All"",AVERAGE(FILTER('MATCH CALCS'!$AE:$AE,'MATCH CALCS'!$D:$D=G$3)),AVERAGE(FILTER('MATCH CALCS'!$AE:$AE,'MATCH CALCS'!$D:$D=G$3,'MATCH CALCS'!$A:$A=$B$1))),""-"")"),0.5)</f>
        <v>0.5</v>
      </c>
      <c r="H18" s="12">
        <f ca="1">IFERROR(__xludf.DUMMYFUNCTION("IFERROR(IF($B$1=""All"",AVERAGE(FILTER('MATCH CALCS'!$AE:$AE,'MATCH CALCS'!$D:$D=H$3)),AVERAGE(FILTER('MATCH CALCS'!$AE:$AE,'MATCH CALCS'!$D:$D=H$3,'MATCH CALCS'!$A:$A=$B$1))),""-"")"),0)</f>
        <v>0</v>
      </c>
      <c r="J18" s="6">
        <v>5</v>
      </c>
    </row>
    <row r="19" spans="2:10" ht="12.75">
      <c r="B19" s="12">
        <f ca="1">IFERROR(__xludf.DUMMYFUNCTION("IFERROR(IF($B$1=""All"",AVERAGE(FILTER('MATCH CALCS'!$AF:$AF,'MATCH CALCS'!$D:$D=B$3)),AVERAGE(FILTER('MATCH CALCS'!$AF:$AF,'MATCH CALCS'!$D:$D=B$3,'MATCH CALCS'!$A:$A=$B$1))),""-"")"),0)</f>
        <v>0</v>
      </c>
      <c r="C19" s="12">
        <f ca="1">IFERROR(__xludf.DUMMYFUNCTION("IFERROR(IF($B$1=""All"",AVERAGE(FILTER('MATCH CALCS'!$AF:$AF,'MATCH CALCS'!$D:$D=C$3)),AVERAGE(FILTER('MATCH CALCS'!$AF:$AF,'MATCH CALCS'!$D:$D=C$3,'MATCH CALCS'!$A:$A=$B$1))),""-"")"),0)</f>
        <v>0</v>
      </c>
      <c r="D19" s="12">
        <f ca="1">IFERROR(__xludf.DUMMYFUNCTION("IFERROR(IF($B$1=""All"",AVERAGE(FILTER('MATCH CALCS'!$AF:$AF,'MATCH CALCS'!$D:$D=D$3)),AVERAGE(FILTER('MATCH CALCS'!$AF:$AF,'MATCH CALCS'!$D:$D=D$3,'MATCH CALCS'!$A:$A=$B$1))),""-"")"),0)</f>
        <v>0</v>
      </c>
      <c r="E19" s="11" t="s">
        <v>20</v>
      </c>
      <c r="F19" s="12">
        <f ca="1">IFERROR(__xludf.DUMMYFUNCTION("IFERROR(IF($B$1=""All"",AVERAGE(FILTER('MATCH CALCS'!$AF:$AF,'MATCH CALCS'!$D:$D=F$3)),AVERAGE(FILTER('MATCH CALCS'!$AF:$AF,'MATCH CALCS'!$D:$D=F$3,'MATCH CALCS'!$A:$A=$B$1))),""-"")"),1.5)</f>
        <v>1.5</v>
      </c>
      <c r="G19" s="12">
        <f ca="1">IFERROR(__xludf.DUMMYFUNCTION("IFERROR(IF($B$1=""All"",AVERAGE(FILTER('MATCH CALCS'!$AF:$AF,'MATCH CALCS'!$D:$D=G$3)),AVERAGE(FILTER('MATCH CALCS'!$AF:$AF,'MATCH CALCS'!$D:$D=G$3,'MATCH CALCS'!$A:$A=$B$1))),""-"")"),0.5)</f>
        <v>0.5</v>
      </c>
      <c r="H19" s="12">
        <f ca="1">IFERROR(__xludf.DUMMYFUNCTION("IFERROR(IF($B$1=""All"",AVERAGE(FILTER('MATCH CALCS'!$AF:$AF,'MATCH CALCS'!$D:$D=H$3)),AVERAGE(FILTER('MATCH CALCS'!$AF:$AF,'MATCH CALCS'!$D:$D=H$3,'MATCH CALCS'!$A:$A=$B$1))),""-"")"),0)</f>
        <v>0</v>
      </c>
      <c r="J19" s="6">
        <v>4</v>
      </c>
    </row>
    <row r="20" spans="2:10" ht="12.75">
      <c r="B20" s="12">
        <f ca="1">IFERROR(__xludf.DUMMYFUNCTION("IFERROR(IF($B$1=""All"",AVERAGE(FILTER('MATCH CALCS'!$AG:$AG,'MATCH CALCS'!$D:$D=B$3)),AVERAGE(FILTER('MATCH CALCS'!$AG:$AG,'MATCH CALCS'!$D:$D=B$3,'MATCH CALCS'!$A:$A=$B$1))),""-"")"),0.25)</f>
        <v>0.25</v>
      </c>
      <c r="C20" s="12">
        <f ca="1">IFERROR(__xludf.DUMMYFUNCTION("IFERROR(IF($B$1=""All"",AVERAGE(FILTER('MATCH CALCS'!$AG:$AG,'MATCH CALCS'!$D:$D=C$3)),AVERAGE(FILTER('MATCH CALCS'!$AG:$AG,'MATCH CALCS'!$D:$D=C$3,'MATCH CALCS'!$A:$A=$B$1))),""-"")"),0)</f>
        <v>0</v>
      </c>
      <c r="D20" s="12">
        <f ca="1">IFERROR(__xludf.DUMMYFUNCTION("IFERROR(IF($B$1=""All"",AVERAGE(FILTER('MATCH CALCS'!$AG:$AG,'MATCH CALCS'!$D:$D=D$3)),AVERAGE(FILTER('MATCH CALCS'!$AG:$AG,'MATCH CALCS'!$D:$D=D$3,'MATCH CALCS'!$A:$A=$B$1))),""-"")"),0)</f>
        <v>0</v>
      </c>
      <c r="E20" s="11" t="s">
        <v>21</v>
      </c>
      <c r="F20" s="12">
        <f ca="1">IFERROR(__xludf.DUMMYFUNCTION("IFERROR(IF($B$1=""All"",AVERAGE(FILTER('MATCH CALCS'!$AG:$AG,'MATCH CALCS'!$D:$D=F$3)),AVERAGE(FILTER('MATCH CALCS'!$AG:$AG,'MATCH CALCS'!$D:$D=F$3,'MATCH CALCS'!$A:$A=$B$1))),""-"")"),1)</f>
        <v>1</v>
      </c>
      <c r="G20" s="12">
        <f ca="1">IFERROR(__xludf.DUMMYFUNCTION("IFERROR(IF($B$1=""All"",AVERAGE(FILTER('MATCH CALCS'!$AG:$AG,'MATCH CALCS'!$D:$D=G$3)),AVERAGE(FILTER('MATCH CALCS'!$AG:$AG,'MATCH CALCS'!$D:$D=G$3,'MATCH CALCS'!$A:$A=$B$1))),""-"")"),0)</f>
        <v>0</v>
      </c>
      <c r="H20" s="12">
        <f ca="1">IFERROR(__xludf.DUMMYFUNCTION("IFERROR(IF($B$1=""All"",AVERAGE(FILTER('MATCH CALCS'!$AG:$AG,'MATCH CALCS'!$D:$D=H$3)),AVERAGE(FILTER('MATCH CALCS'!$AG:$AG,'MATCH CALCS'!$D:$D=H$3,'MATCH CALCS'!$A:$A=$B$1))),""-"")"),0)</f>
        <v>0</v>
      </c>
      <c r="J20" s="6">
        <v>3</v>
      </c>
    </row>
    <row r="21" spans="2:10" ht="12.75">
      <c r="B21" s="12">
        <f ca="1">IFERROR(__xludf.DUMMYFUNCTION("IFERROR(IF($B$1=""All"",AVERAGE(FILTER('MATCH CALCS'!$AH:$AH,'MATCH CALCS'!$D:$D=B$3)),AVERAGE(FILTER('MATCH CALCS'!$AH:$AH,'MATCH CALCS'!$D:$D=B$3,'MATCH CALCS'!$A:$A=$B$1))),""-"")"),0.5)</f>
        <v>0.5</v>
      </c>
      <c r="C21" s="12">
        <f ca="1">IFERROR(__xludf.DUMMYFUNCTION("IFERROR(IF($B$1=""All"",AVERAGE(FILTER('MATCH CALCS'!$AH:$AH,'MATCH CALCS'!$D:$D=C$3)),AVERAGE(FILTER('MATCH CALCS'!$AH:$AH,'MATCH CALCS'!$D:$D=C$3,'MATCH CALCS'!$A:$A=$B$1))),""-"")"),0.666666666666666)</f>
        <v>0.66666666666666596</v>
      </c>
      <c r="D21" s="12">
        <f ca="1">IFERROR(__xludf.DUMMYFUNCTION("IFERROR(IF($B$1=""All"",AVERAGE(FILTER('MATCH CALCS'!$AH:$AH,'MATCH CALCS'!$D:$D=D$3)),AVERAGE(FILTER('MATCH CALCS'!$AH:$AH,'MATCH CALCS'!$D:$D=D$3,'MATCH CALCS'!$A:$A=$B$1))),""-"")"),0)</f>
        <v>0</v>
      </c>
      <c r="E21" s="11" t="s">
        <v>22</v>
      </c>
      <c r="F21" s="12">
        <f ca="1">IFERROR(__xludf.DUMMYFUNCTION("IFERROR(IF($B$1=""All"",AVERAGE(FILTER('MATCH CALCS'!$AH:$AH,'MATCH CALCS'!$D:$D=F$3)),AVERAGE(FILTER('MATCH CALCS'!$AH:$AH,'MATCH CALCS'!$D:$D=F$3,'MATCH CALCS'!$A:$A=$B$1))),""-"")"),1)</f>
        <v>1</v>
      </c>
      <c r="G21" s="12">
        <f ca="1">IFERROR(__xludf.DUMMYFUNCTION("IFERROR(IF($B$1=""All"",AVERAGE(FILTER('MATCH CALCS'!$AH:$AH,'MATCH CALCS'!$D:$D=G$3)),AVERAGE(FILTER('MATCH CALCS'!$AH:$AH,'MATCH CALCS'!$D:$D=G$3,'MATCH CALCS'!$A:$A=$B$1))),""-"")"),0)</f>
        <v>0</v>
      </c>
      <c r="H21" s="12">
        <f ca="1">IFERROR(__xludf.DUMMYFUNCTION("IFERROR(IF($B$1=""All"",AVERAGE(FILTER('MATCH CALCS'!$AH:$AH,'MATCH CALCS'!$D:$D=H$3)),AVERAGE(FILTER('MATCH CALCS'!$AH:$AH,'MATCH CALCS'!$D:$D=H$3,'MATCH CALCS'!$A:$A=$B$1))),""-"")"),0)</f>
        <v>0</v>
      </c>
      <c r="J21" s="6">
        <v>2</v>
      </c>
    </row>
    <row r="22" spans="2:10" ht="12.75">
      <c r="B22" s="12">
        <f ca="1">IFERROR(__xludf.DUMMYFUNCTION("IFERROR(IF($B$1=""All"",AVERAGE(FILTER('MATCH CALCS'!$X:$X,'MATCH CALCS'!$D:$D=B$3)),AVERAGE(FILTER('MATCH CALCS'!$X:$X,'MATCH CALCS'!$D:$D=B$3,'MATCH CALCS'!$A:$A=$B$1))),""-"")"),1)</f>
        <v>1</v>
      </c>
      <c r="C22" s="12">
        <f ca="1">IFERROR(__xludf.DUMMYFUNCTION("IFERROR(IF($B$1=""All"",AVERAGE(FILTER('MATCH CALCS'!$X:$X,'MATCH CALCS'!$D:$D=C$3)),AVERAGE(FILTER('MATCH CALCS'!$X:$X,'MATCH CALCS'!$D:$D=C$3,'MATCH CALCS'!$A:$A=$B$1))),""-"")"),0.666666666666666)</f>
        <v>0.66666666666666596</v>
      </c>
      <c r="D22" s="12">
        <f ca="1">IFERROR(__xludf.DUMMYFUNCTION("IFERROR(IF($B$1=""All"",AVERAGE(FILTER('MATCH CALCS'!$X:$X,'MATCH CALCS'!$D:$D=D$3)),AVERAGE(FILTER('MATCH CALCS'!$X:$X,'MATCH CALCS'!$D:$D=D$3,'MATCH CALCS'!$A:$A=$B$1))),""-"")"),0)</f>
        <v>0</v>
      </c>
      <c r="E22" s="11" t="s">
        <v>23</v>
      </c>
      <c r="F22" s="12">
        <f ca="1">IFERROR(__xludf.DUMMYFUNCTION("IFERROR(IF($B$1=""All"",AVERAGE(FILTER('MATCH CALCS'!$X:$X,'MATCH CALCS'!$D:$D=F$3)),AVERAGE(FILTER('MATCH CALCS'!$X:$X,'MATCH CALCS'!$D:$D=F$3,'MATCH CALCS'!$A:$A=$B$1))),""-"")"),1)</f>
        <v>1</v>
      </c>
      <c r="G22" s="12">
        <f ca="1">IFERROR(__xludf.DUMMYFUNCTION("IFERROR(IF($B$1=""All"",AVERAGE(FILTER('MATCH CALCS'!$X:$X,'MATCH CALCS'!$D:$D=G$3)),AVERAGE(FILTER('MATCH CALCS'!$X:$X,'MATCH CALCS'!$D:$D=G$3,'MATCH CALCS'!$A:$A=$B$1))),""-"")"),0)</f>
        <v>0</v>
      </c>
      <c r="H22" s="12">
        <f ca="1">IFERROR(__xludf.DUMMYFUNCTION("IFERROR(IF($B$1=""All"",AVERAGE(FILTER('MATCH CALCS'!$X:$X,'MATCH CALCS'!$D:$D=H$3)),AVERAGE(FILTER('MATCH CALCS'!$X:$X,'MATCH CALCS'!$D:$D=H$3,'MATCH CALCS'!$A:$A=$B$1))),""-"")"),0)</f>
        <v>0</v>
      </c>
      <c r="J22" s="6">
        <v>4</v>
      </c>
    </row>
    <row r="23" spans="2:10" ht="12.75">
      <c r="B23" s="12">
        <f ca="1">IFERROR(__xludf.DUMMYFUNCTION("IFERROR(IF($B$1=""All"",AVERAGE(FILTER('MATCH CALCS'!$W:$W,'MATCH CALCS'!$D:$D=B$3)),AVERAGE(FILTER('MATCH CALCS'!$W:$W,'MATCH CALCS'!$D:$D=B$3,'MATCH CALCS'!$A:$A=$B$1))),""-"")"),0.25)</f>
        <v>0.25</v>
      </c>
      <c r="C23" s="12">
        <f ca="1">IFERROR(__xludf.DUMMYFUNCTION("IFERROR(IF($B$1=""All"",AVERAGE(FILTER('MATCH CALCS'!$W:$W,'MATCH CALCS'!$D:$D=C$3)),AVERAGE(FILTER('MATCH CALCS'!$W:$W,'MATCH CALCS'!$D:$D=C$3,'MATCH CALCS'!$A:$A=$B$1))),""-"")"),1)</f>
        <v>1</v>
      </c>
      <c r="D23" s="12">
        <f ca="1">IFERROR(__xludf.DUMMYFUNCTION("IFERROR(IF($B$1=""All"",AVERAGE(FILTER('MATCH CALCS'!$W:$W,'MATCH CALCS'!$D:$D=D$3)),AVERAGE(FILTER('MATCH CALCS'!$W:$W,'MATCH CALCS'!$D:$D=D$3,'MATCH CALCS'!$A:$A=$B$1))),""-"")"),0)</f>
        <v>0</v>
      </c>
      <c r="E23" s="11" t="s">
        <v>24</v>
      </c>
      <c r="F23" s="12">
        <f ca="1">IFERROR(__xludf.DUMMYFUNCTION("IFERROR(IF($B$1=""All"",AVERAGE(FILTER('MATCH CALCS'!$W:$W,'MATCH CALCS'!$D:$D=F$3)),AVERAGE(FILTER('MATCH CALCS'!$W:$W,'MATCH CALCS'!$D:$D=F$3,'MATCH CALCS'!$A:$A=$B$1))),""-"")"),0)</f>
        <v>0</v>
      </c>
      <c r="G23" s="12">
        <f ca="1">IFERROR(__xludf.DUMMYFUNCTION("IFERROR(IF($B$1=""All"",AVERAGE(FILTER('MATCH CALCS'!$W:$W,'MATCH CALCS'!$D:$D=G$3)),AVERAGE(FILTER('MATCH CALCS'!$W:$W,'MATCH CALCS'!$D:$D=G$3,'MATCH CALCS'!$A:$A=$B$1))),""-"")"),0)</f>
        <v>0</v>
      </c>
      <c r="H23" s="12">
        <f ca="1">IFERROR(__xludf.DUMMYFUNCTION("IFERROR(IF($B$1=""All"",AVERAGE(FILTER('MATCH CALCS'!$W:$W,'MATCH CALCS'!$D:$D=H$3)),AVERAGE(FILTER('MATCH CALCS'!$W:$W,'MATCH CALCS'!$D:$D=H$3,'MATCH CALCS'!$A:$A=$B$1))),""-"")"),0)</f>
        <v>0</v>
      </c>
      <c r="J23" s="6">
        <v>2</v>
      </c>
    </row>
    <row r="24" spans="2:10" ht="12.75">
      <c r="B24" s="156" t="s">
        <v>26</v>
      </c>
      <c r="C24" s="157"/>
      <c r="D24" s="157"/>
      <c r="E24" s="157"/>
      <c r="F24" s="157"/>
      <c r="G24" s="157"/>
      <c r="H24" s="157"/>
    </row>
    <row r="25" spans="2:10" ht="12.75">
      <c r="B25" s="13">
        <f ca="1">IFERROR(__xludf.DUMMYFUNCTION("IFERROR(IF($B$1=""All"",COUNTIF(FILTER('MATCH CALCS'!$AT:$AT,'MATCH CALCS'!$D:$D=B$3),""=P"")/COUNTA(FILTER('MATCH CALCS'!$AT:$AT,'MATCH CALCS'!$D:$D=B$3)),COUNTIF(FILTER('MATCH CALCS'!$AT:$AT,'MATCH CALCS'!$D:$D=B$3,'MATCH CALCS'!$A:$A=$B$1),""=P"")/COUN"&amp;"TA(FILTER('MATCH CALCS'!$AT:$AT,'MATCH CALCS'!$D:$D=B$3,'MATCH CALCS'!$A:$A=$B$1))),""-"")"),0.5)</f>
        <v>0.5</v>
      </c>
      <c r="C25" s="13">
        <f ca="1">IFERROR(__xludf.DUMMYFUNCTION("IFERROR(IF($B$1=""All"",COUNTIF(FILTER('MATCH CALCS'!$AT:$AT,'MATCH CALCS'!$D:$D=C$3),""=P"")/COUNTA(FILTER('MATCH CALCS'!$AT:$AT,'MATCH CALCS'!$D:$D=C$3)),COUNTIF(FILTER('MATCH CALCS'!$AT:$AT,'MATCH CALCS'!$D:$D=C$3,'MATCH CALCS'!$A:$A=$B$1),""=P"")/COUN"&amp;"TA(FILTER('MATCH CALCS'!$AT:$AT,'MATCH CALCS'!$D:$D=C$3,'MATCH CALCS'!$A:$A=$B$1))),""-"")"),1)</f>
        <v>1</v>
      </c>
      <c r="D25" s="13">
        <f ca="1">IFERROR(__xludf.DUMMYFUNCTION("IFERROR(IF($B$1=""All"",COUNTIF(FILTER('MATCH CALCS'!$AT:$AT,'MATCH CALCS'!$D:$D=D$3),""=P"")/COUNTA(FILTER('MATCH CALCS'!$AT:$AT,'MATCH CALCS'!$D:$D=D$3)),COUNTIF(FILTER('MATCH CALCS'!$AT:$AT,'MATCH CALCS'!$D:$D=D$3,'MATCH CALCS'!$A:$A=$B$1),""=P"")/COUN"&amp;"TA(FILTER('MATCH CALCS'!$AT:$AT,'MATCH CALCS'!$D:$D=D$3,'MATCH CALCS'!$A:$A=$B$1))),""-"")"),0)</f>
        <v>0</v>
      </c>
      <c r="E25" s="11" t="s">
        <v>27</v>
      </c>
      <c r="F25" s="13">
        <f ca="1">IFERROR(__xludf.DUMMYFUNCTION("IFERROR(IF($B$1=""All"",COUNTIF(FILTER('MATCH CALCS'!$AT:$AT,'MATCH CALCS'!$D:$D=F$3),""=P"")/COUNTA(FILTER('MATCH CALCS'!$AT:$AT,'MATCH CALCS'!$D:$D=F$3)),COUNTIF(FILTER('MATCH CALCS'!$AT:$AT,'MATCH CALCS'!$D:$D=F$3,'MATCH CALCS'!$A:$A=$B$1),""=P"")/COUN"&amp;"TA(FILTER('MATCH CALCS'!$AT:$AT,'MATCH CALCS'!$D:$D=F$3,'MATCH CALCS'!$A:$A=$B$1))),""-"")"),0)</f>
        <v>0</v>
      </c>
      <c r="G25" s="13">
        <f ca="1">IFERROR(__xludf.DUMMYFUNCTION("IFERROR(IF($B$1=""All"",COUNTIF(FILTER('MATCH CALCS'!$AT:$AT,'MATCH CALCS'!$D:$D=G$3),""=P"")/COUNTA(FILTER('MATCH CALCS'!$AT:$AT,'MATCH CALCS'!$D:$D=G$3)),COUNTIF(FILTER('MATCH CALCS'!$AT:$AT,'MATCH CALCS'!$D:$D=G$3,'MATCH CALCS'!$A:$A=$B$1),""=P"")/COUN"&amp;"TA(FILTER('MATCH CALCS'!$AT:$AT,'MATCH CALCS'!$D:$D=G$3,'MATCH CALCS'!$A:$A=$B$1))),""-"")"),0)</f>
        <v>0</v>
      </c>
      <c r="H25" s="13">
        <f ca="1">IFERROR(__xludf.DUMMYFUNCTION("IFERROR(IF($B$1=""All"",COUNTIF(FILTER('MATCH CALCS'!$AT:$AT,'MATCH CALCS'!$D:$D=H$3),""=P"")/COUNTA(FILTER('MATCH CALCS'!$AT:$AT,'MATCH CALCS'!$D:$D=H$3)),COUNTIF(FILTER('MATCH CALCS'!$AT:$AT,'MATCH CALCS'!$D:$D=H$3,'MATCH CALCS'!$A:$A=$B$1),""=P"")/COUN"&amp;"TA(FILTER('MATCH CALCS'!$AT:$AT,'MATCH CALCS'!$D:$D=H$3,'MATCH CALCS'!$A:$A=$B$1))),""-"")"),1)</f>
        <v>1</v>
      </c>
      <c r="J25" s="6">
        <v>2</v>
      </c>
    </row>
    <row r="26" spans="2:10" ht="12.75">
      <c r="B26" s="13">
        <f ca="1">IFERROR(__xludf.DUMMYFUNCTION("IFERROR(IF($B$1=""All"",COUNTIF(FILTER('MATCH CALCS'!$AT:$AT,'MATCH CALCS'!$D:$D=B$3),""=Sc"")/COUNTA(FILTER('MATCH CALCS'!$AT:$AT,'MATCH CALCS'!$D:$D=B$3)),COUNTIF(FILTER('MATCH CALCS'!$AT:$AT,'MATCH CALCS'!$D:$D=B$3,'MATCH CALCS'!$A:$A=$B$1),""=Sc"")/CO"&amp;"UNTA(FILTER('MATCH CALCS'!$AT:$AT,'MATCH CALCS'!$D:$D=B$3,'MATCH CALCS'!$A:$A=$B$1))),""-"")"),0)</f>
        <v>0</v>
      </c>
      <c r="C26" s="13">
        <f ca="1">IFERROR(__xludf.DUMMYFUNCTION("IFERROR(IF($B$1=""All"",COUNTIF(FILTER('MATCH CALCS'!$AT:$AT,'MATCH CALCS'!$D:$D=C$3),""=Sc"")/COUNTA(FILTER('MATCH CALCS'!$AT:$AT,'MATCH CALCS'!$D:$D=C$3)),COUNTIF(FILTER('MATCH CALCS'!$AT:$AT,'MATCH CALCS'!$D:$D=C$3,'MATCH CALCS'!$A:$A=$B$1),""=Sc"")/CO"&amp;"UNTA(FILTER('MATCH CALCS'!$AT:$AT,'MATCH CALCS'!$D:$D=C$3,'MATCH CALCS'!$A:$A=$B$1))),""-"")"),0)</f>
        <v>0</v>
      </c>
      <c r="D26" s="13">
        <f ca="1">IFERROR(__xludf.DUMMYFUNCTION("IFERROR(IF($B$1=""All"",COUNTIF(FILTER('MATCH CALCS'!$AT:$AT,'MATCH CALCS'!$D:$D=D$3),""=Sc"")/COUNTA(FILTER('MATCH CALCS'!$AT:$AT,'MATCH CALCS'!$D:$D=D$3)),COUNTIF(FILTER('MATCH CALCS'!$AT:$AT,'MATCH CALCS'!$D:$D=D$3,'MATCH CALCS'!$A:$A=$B$1),""=Sc"")/CO"&amp;"UNTA(FILTER('MATCH CALCS'!$AT:$AT,'MATCH CALCS'!$D:$D=D$3,'MATCH CALCS'!$A:$A=$B$1))),""-"")"),0)</f>
        <v>0</v>
      </c>
      <c r="E26" s="11" t="s">
        <v>28</v>
      </c>
      <c r="F26" s="13">
        <f ca="1">IFERROR(__xludf.DUMMYFUNCTION("IFERROR(IF($B$1=""All"",COUNTIF(FILTER('MATCH CALCS'!$AT:$AT,'MATCH CALCS'!$D:$D=F$3),""=Sc"")/COUNTA(FILTER('MATCH CALCS'!$AT:$AT,'MATCH CALCS'!$D:$D=F$3)),COUNTIF(FILTER('MATCH CALCS'!$AT:$AT,'MATCH CALCS'!$D:$D=F$3,'MATCH CALCS'!$A:$A=$B$1),""=Sc"")/CO"&amp;"UNTA(FILTER('MATCH CALCS'!$AT:$AT,'MATCH CALCS'!$D:$D=F$3,'MATCH CALCS'!$A:$A=$B$1))),""-"")"),0.5)</f>
        <v>0.5</v>
      </c>
      <c r="G26" s="13">
        <f ca="1">IFERROR(__xludf.DUMMYFUNCTION("IFERROR(IF($B$1=""All"",COUNTIF(FILTER('MATCH CALCS'!$AT:$AT,'MATCH CALCS'!$D:$D=G$3),""=Sc"")/COUNTA(FILTER('MATCH CALCS'!$AT:$AT,'MATCH CALCS'!$D:$D=G$3)),COUNTIF(FILTER('MATCH CALCS'!$AT:$AT,'MATCH CALCS'!$D:$D=G$3,'MATCH CALCS'!$A:$A=$B$1),""=Sc"")/CO"&amp;"UNTA(FILTER('MATCH CALCS'!$AT:$AT,'MATCH CALCS'!$D:$D=G$3,'MATCH CALCS'!$A:$A=$B$1))),""-"")"),0)</f>
        <v>0</v>
      </c>
      <c r="H26" s="13">
        <f ca="1">IFERROR(__xludf.DUMMYFUNCTION("IFERROR(IF($B$1=""All"",COUNTIF(FILTER('MATCH CALCS'!$AT:$AT,'MATCH CALCS'!$D:$D=H$3),""=Sc"")/COUNTA(FILTER('MATCH CALCS'!$AT:$AT,'MATCH CALCS'!$D:$D=H$3)),COUNTIF(FILTER('MATCH CALCS'!$AT:$AT,'MATCH CALCS'!$D:$D=H$3,'MATCH CALCS'!$A:$A=$B$1),""=Sc"")/CO"&amp;"UNTA(FILTER('MATCH CALCS'!$AT:$AT,'MATCH CALCS'!$D:$D=H$3,'MATCH CALCS'!$A:$A=$B$1))),""-"")"),0)</f>
        <v>0</v>
      </c>
      <c r="J26" s="6">
        <v>6</v>
      </c>
    </row>
    <row r="27" spans="2:10" ht="12.75">
      <c r="B27" s="13">
        <f ca="1">IFERROR(__xludf.DUMMYFUNCTION("IFERROR(IF($B$1=""All"",COUNTIF(FILTER('MATCH CALCS'!$AT:$AT,'MATCH CALCS'!$D:$D=B$3),""=Dc"")/COUNTA(FILTER('MATCH CALCS'!$AT:$AT,'MATCH CALCS'!$D:$D=B$3)),COUNTIF(FILTER('MATCH CALCS'!$AT:$AT,'MATCH CALCS'!$D:$D=B$3,'MATCH CALCS'!$A:$A=$B$1),""=Dc"")/CO"&amp;"UNTA(FILTER('MATCH CALCS'!$AT:$AT,'MATCH CALCS'!$D:$D=B$3,'MATCH CALCS'!$A:$A=$B$1))),""-"")"),0.25)</f>
        <v>0.25</v>
      </c>
      <c r="C27" s="13">
        <f ca="1">IFERROR(__xludf.DUMMYFUNCTION("IFERROR(IF($B$1=""All"",COUNTIF(FILTER('MATCH CALCS'!$AT:$AT,'MATCH CALCS'!$D:$D=C$3),""=Dc"")/COUNTA(FILTER('MATCH CALCS'!$AT:$AT,'MATCH CALCS'!$D:$D=C$3)),COUNTIF(FILTER('MATCH CALCS'!$AT:$AT,'MATCH CALCS'!$D:$D=C$3,'MATCH CALCS'!$A:$A=$B$1),""=Dc"")/CO"&amp;"UNTA(FILTER('MATCH CALCS'!$AT:$AT,'MATCH CALCS'!$D:$D=C$3,'MATCH CALCS'!$A:$A=$B$1))),""-"")"),0)</f>
        <v>0</v>
      </c>
      <c r="D27" s="13">
        <f ca="1">IFERROR(__xludf.DUMMYFUNCTION("IFERROR(IF($B$1=""All"",COUNTIF(FILTER('MATCH CALCS'!$AT:$AT,'MATCH CALCS'!$D:$D=D$3),""=Dc"")/COUNTA(FILTER('MATCH CALCS'!$AT:$AT,'MATCH CALCS'!$D:$D=D$3)),COUNTIF(FILTER('MATCH CALCS'!$AT:$AT,'MATCH CALCS'!$D:$D=D$3,'MATCH CALCS'!$A:$A=$B$1),""=Dc"")/CO"&amp;"UNTA(FILTER('MATCH CALCS'!$AT:$AT,'MATCH CALCS'!$D:$D=D$3,'MATCH CALCS'!$A:$A=$B$1))),""-"")"),0)</f>
        <v>0</v>
      </c>
      <c r="E27" s="11" t="s">
        <v>29</v>
      </c>
      <c r="F27" s="13">
        <f ca="1">IFERROR(__xludf.DUMMYFUNCTION("IFERROR(IF($B$1=""All"",COUNTIF(FILTER('MATCH CALCS'!$AT:$AT,'MATCH CALCS'!$D:$D=F$3),""=Dc"")/COUNTA(FILTER('MATCH CALCS'!$AT:$AT,'MATCH CALCS'!$D:$D=F$3)),COUNTIF(FILTER('MATCH CALCS'!$AT:$AT,'MATCH CALCS'!$D:$D=F$3,'MATCH CALCS'!$A:$A=$B$1),""=Dc"")/CO"&amp;"UNTA(FILTER('MATCH CALCS'!$AT:$AT,'MATCH CALCS'!$D:$D=F$3,'MATCH CALCS'!$A:$A=$B$1))),""-"")"),0.5)</f>
        <v>0.5</v>
      </c>
      <c r="G27" s="13">
        <f ca="1">IFERROR(__xludf.DUMMYFUNCTION("IFERROR(IF($B$1=""All"",COUNTIF(FILTER('MATCH CALCS'!$AT:$AT,'MATCH CALCS'!$D:$D=G$3),""=Dc"")/COUNTA(FILTER('MATCH CALCS'!$AT:$AT,'MATCH CALCS'!$D:$D=G$3)),COUNTIF(FILTER('MATCH CALCS'!$AT:$AT,'MATCH CALCS'!$D:$D=G$3,'MATCH CALCS'!$A:$A=$B$1),""=Dc"")/CO"&amp;"UNTA(FILTER('MATCH CALCS'!$AT:$AT,'MATCH CALCS'!$D:$D=G$3,'MATCH CALCS'!$A:$A=$B$1))),""-"")"),0.5)</f>
        <v>0.5</v>
      </c>
      <c r="H27" s="13">
        <f ca="1">IFERROR(__xludf.DUMMYFUNCTION("IFERROR(IF($B$1=""All"",COUNTIF(FILTER('MATCH CALCS'!$AT:$AT,'MATCH CALCS'!$D:$D=H$3),""=Dc"")/COUNTA(FILTER('MATCH CALCS'!$AT:$AT,'MATCH CALCS'!$D:$D=H$3)),COUNTIF(FILTER('MATCH CALCS'!$AT:$AT,'MATCH CALCS'!$D:$D=H$3,'MATCH CALCS'!$A:$A=$B$1),""=Dc"")/CO"&amp;"UNTA(FILTER('MATCH CALCS'!$AT:$AT,'MATCH CALCS'!$D:$D=H$3,'MATCH CALCS'!$A:$A=$B$1))),""-"")"),0)</f>
        <v>0</v>
      </c>
      <c r="J27" s="6">
        <v>12</v>
      </c>
    </row>
    <row r="28" spans="2:10" ht="12.75">
      <c r="B28" s="156" t="s">
        <v>30</v>
      </c>
      <c r="C28" s="157"/>
      <c r="D28" s="157"/>
      <c r="E28" s="157"/>
      <c r="F28" s="157"/>
      <c r="G28" s="157"/>
      <c r="H28" s="157"/>
    </row>
    <row r="29" spans="2:10" ht="12.75">
      <c r="B29" s="6" t="str">
        <f ca="1">IFERROR(__xludf.DUMMYFUNCTION("FILTER('STRATEGY VIBE RAW DATA'!$J:$J, 'STRATEGY VIBE RAW DATA'!$K:$K = ""Yes"", 'STRATEGY VIBE RAW DATA'!$P:$P=B$3)"),"#N/A")</f>
        <v>#N/A</v>
      </c>
      <c r="C29" s="6" t="str">
        <f ca="1">IFERROR(__xludf.DUMMYFUNCTION("FILTER('STRATEGY VIBE RAW DATA'!$J:$J, 'STRATEGY VIBE RAW DATA'!$K:$K = ""Yes"", 'STRATEGY VIBE RAW DATA'!$P:$P=C$3)"),"#N/A")</f>
        <v>#N/A</v>
      </c>
      <c r="D29" s="6" t="str">
        <f ca="1">IFERROR(__xludf.DUMMYFUNCTION("FILTER('STRATEGY VIBE RAW DATA'!$J:$J, 'STRATEGY VIBE RAW DATA'!$K:$K = ""Yes"", 'STRATEGY VIBE RAW DATA'!$P:$P=D$3)"),"#N/A")</f>
        <v>#N/A</v>
      </c>
      <c r="E29" s="11" t="s">
        <v>31</v>
      </c>
      <c r="F29" s="6" t="str">
        <f ca="1">IFERROR(__xludf.DUMMYFUNCTION("FILTER('STRATEGY VIBE RAW DATA'!$J:$J, 'STRATEGY VIBE RAW DATA'!$K:$K = ""Yes"", 'STRATEGY VIBE RAW DATA'!$P:$P=F$3)"),"#N/A")</f>
        <v>#N/A</v>
      </c>
      <c r="G29" s="6" t="str">
        <f ca="1">IFERROR(__xludf.DUMMYFUNCTION("FILTER('STRATEGY VIBE RAW DATA'!$J:$J, 'STRATEGY VIBE RAW DATA'!$K:$K = ""Yes"", 'STRATEGY VIBE RAW DATA'!$P:$P=G$3)"),"#N/A")</f>
        <v>#N/A</v>
      </c>
      <c r="H29" s="6" t="str">
        <f ca="1">IFERROR(__xludf.DUMMYFUNCTION("FILTER('STRATEGY VIBE RAW DATA'!$J:$J, 'STRATEGY VIBE RAW DATA'!$K:$K = ""Yes"", 'STRATEGY VIBE RAW DATA'!$P:$P=H$3)"),"#N/A")</f>
        <v>#N/A</v>
      </c>
    </row>
    <row r="30" spans="2:10" ht="12.75">
      <c r="B30" s="9" t="str">
        <f ca="1">IFERROR(__xludf.DUMMYFUNCTION("IFERROR(IF($B$1=""All"",IF(COUNT(FILTER('MATCH CALCS'!$BJ:$BJ,'MATCH CALCS'!$D:$D=B$3))&gt;0,""Yes"",""No""),IF(COUNT(FILTER('MATCH CALCS'!$BJ:$BJ,'MATCH CALCS'!$D:$D=B$3,'MATCH CALCS'!$A:$A=$B$1))&gt;0,""Yes"",""No"")),""-"")"),"Yes")</f>
        <v>Yes</v>
      </c>
      <c r="C30" s="9" t="str">
        <f ca="1">IFERROR(__xludf.DUMMYFUNCTION("IFERROR(IF($B$1=""All"",IF(COUNT(FILTER('MATCH CALCS'!$BJ:$BJ,'MATCH CALCS'!$D:$D=C$3))&gt;0,""Yes"",""No""),IF(COUNT(FILTER('MATCH CALCS'!$BJ:$BJ,'MATCH CALCS'!$D:$D=C$3,'MATCH CALCS'!$A:$A=$B$1))&gt;0,""Yes"",""No"")),""-"")"),"Yes")</f>
        <v>Yes</v>
      </c>
      <c r="D30" s="9" t="str">
        <f ca="1">IFERROR(__xludf.DUMMYFUNCTION("IFERROR(IF($B$1=""All"",IF(COUNT(FILTER('MATCH CALCS'!$BJ:$BJ,'MATCH CALCS'!$D:$D=D$3))&gt;0,""Yes"",""No""),IF(COUNT(FILTER('MATCH CALCS'!$BJ:$BJ,'MATCH CALCS'!$D:$D=D$3,'MATCH CALCS'!$A:$A=$B$1))&gt;0,""Yes"",""No"")),""-"")"),"Yes")</f>
        <v>Yes</v>
      </c>
      <c r="E30" s="11" t="s">
        <v>32</v>
      </c>
      <c r="F30" s="9" t="str">
        <f ca="1">IFERROR(__xludf.DUMMYFUNCTION("IFERROR(IF($B$1=""All"",IF(COUNT(FILTER('MATCH CALCS'!$BJ:$BJ,'MATCH CALCS'!$D:$D=F$3))&gt;0,""Yes"",""No""),IF(COUNT(FILTER('MATCH CALCS'!$BJ:$BJ,'MATCH CALCS'!$D:$D=F$3,'MATCH CALCS'!$A:$A=$B$1))&gt;0,""Yes"",""No"")),""-"")"),"Yes")</f>
        <v>Yes</v>
      </c>
      <c r="G30" s="9" t="str">
        <f ca="1">IFERROR(__xludf.DUMMYFUNCTION("IFERROR(IF($B$1=""All"",IF(COUNT(FILTER('MATCH CALCS'!$BJ:$BJ,'MATCH CALCS'!$D:$D=G$3))&gt;0,""Yes"",""No""),IF(COUNT(FILTER('MATCH CALCS'!$BJ:$BJ,'MATCH CALCS'!$D:$D=G$3,'MATCH CALCS'!$A:$A=$B$1))&gt;0,""Yes"",""No"")),""-"")"),"Yes")</f>
        <v>Yes</v>
      </c>
      <c r="H30" s="9" t="str">
        <f ca="1">IFERROR(__xludf.DUMMYFUNCTION("IFERROR(IF($B$1=""All"",IF(COUNT(FILTER('MATCH CALCS'!$BJ:$BJ,'MATCH CALCS'!$D:$D=H$3))&gt;0,""Yes"",""No""),IF(COUNT(FILTER('MATCH CALCS'!$BJ:$BJ,'MATCH CALCS'!$D:$D=H$3,'MATCH CALCS'!$A:$A=$B$1))&gt;0,""Yes"",""No"")),""-"")"),"Yes")</f>
        <v>Yes</v>
      </c>
    </row>
    <row r="31" spans="2:10" ht="12.75">
      <c r="E31" s="6"/>
    </row>
    <row r="32" spans="2:10" ht="12.75">
      <c r="B32" s="6">
        <f ca="1">IFERROR(__xludf.DUMMYFUNCTION("IFERROR(IF($B$1=""All"",COUNT(FILTER('MATCH CALCS'!$AW:$AW,'MATCH CALCS'!$D:$D=B$3)),COUNT(FILTER('MATCH CALCS'!$AW:$AW,'MATCH CALCS'!$D:$D=B$3,'MATCH CALCS'!$A:$A=$B$1))),""-"")"),4)</f>
        <v>4</v>
      </c>
      <c r="C32" s="6">
        <f ca="1">IFERROR(__xludf.DUMMYFUNCTION("IFERROR(IF($B$1=""All"",COUNT(FILTER('MATCH CALCS'!$AW:$AW,'MATCH CALCS'!$D:$D=C$3)),COUNT(FILTER('MATCH CALCS'!$AW:$AW,'MATCH CALCS'!$D:$D=C$3,'MATCH CALCS'!$A:$A=$B$1))),""-"")"),3)</f>
        <v>3</v>
      </c>
      <c r="D32" s="6">
        <f ca="1">IFERROR(__xludf.DUMMYFUNCTION("IFERROR(IF($B$1=""All"",COUNT(FILTER('MATCH CALCS'!$AW:$AW,'MATCH CALCS'!$D:$D=D$3)),COUNT(FILTER('MATCH CALCS'!$AW:$AW,'MATCH CALCS'!$D:$D=D$3,'MATCH CALCS'!$A:$A=$B$1))),""-"")"),2)</f>
        <v>2</v>
      </c>
      <c r="E32" s="6" t="s">
        <v>33</v>
      </c>
      <c r="F32" s="6">
        <f ca="1">IFERROR(__xludf.DUMMYFUNCTION("IFERROR(IF($B$1=""All"",COUNT(FILTER('MATCH CALCS'!$AW:$AW,'MATCH CALCS'!$D:$D=F$3)),COUNT(FILTER('MATCH CALCS'!$AW:$AW,'MATCH CALCS'!$D:$D=F$3,'MATCH CALCS'!$A:$A=$B$1))),""-"")"),2)</f>
        <v>2</v>
      </c>
      <c r="G32" s="6">
        <f ca="1">IFERROR(__xludf.DUMMYFUNCTION("IFERROR(IF($B$1=""All"",COUNT(FILTER('MATCH CALCS'!$AW:$AW,'MATCH CALCS'!$D:$D=G$3)),COUNT(FILTER('MATCH CALCS'!$AW:$AW,'MATCH CALCS'!$D:$D=G$3,'MATCH CALCS'!$A:$A=$B$1))),""-"")"),2)</f>
        <v>2</v>
      </c>
      <c r="H32" s="6">
        <f ca="1">IFERROR(__xludf.DUMMYFUNCTION("IFERROR(IF($B$1=""All"",COUNT(FILTER('MATCH CALCS'!$AW:$AW,'MATCH CALCS'!$D:$D=H$3)),COUNT(FILTER('MATCH CALCS'!$AW:$AW,'MATCH CALCS'!$D:$D=H$3,'MATCH CALCS'!$A:$A=$B$1))),""-"")"),1)</f>
        <v>1</v>
      </c>
    </row>
  </sheetData>
  <mergeCells count="11">
    <mergeCell ref="B9:H9"/>
    <mergeCell ref="B17:H17"/>
    <mergeCell ref="B24:H24"/>
    <mergeCell ref="B28:H28"/>
    <mergeCell ref="B1:C1"/>
    <mergeCell ref="E1:H1"/>
    <mergeCell ref="B4:D4"/>
    <mergeCell ref="F4:H4"/>
    <mergeCell ref="B5:D5"/>
    <mergeCell ref="F5:H5"/>
    <mergeCell ref="B8:H8"/>
  </mergeCells>
  <dataValidations count="1">
    <dataValidation type="list" allowBlank="1" showErrorMessage="1" sqref="B1" xr:uid="{00000000-0002-0000-0000-000000000000}">
      <formula1>"Qualifications,Practice,All"</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000-000001000000}">
          <x14:formula1>
            <xm:f>SCHEDULE!$A$2:$A998</xm:f>
          </x14:formula1>
          <xm:sqref>E1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outlinePr summaryBelow="0" summaryRight="0"/>
  </sheetPr>
  <dimension ref="A1:J32"/>
  <sheetViews>
    <sheetView workbookViewId="0"/>
  </sheetViews>
  <sheetFormatPr defaultColWidth="12.5703125" defaultRowHeight="15.75" customHeight="1"/>
  <cols>
    <col min="1" max="1" width="1.42578125" customWidth="1"/>
    <col min="3" max="3" width="11.5703125" customWidth="1"/>
    <col min="4" max="4" width="13.5703125" customWidth="1"/>
    <col min="5" max="5" width="25.42578125" customWidth="1"/>
  </cols>
  <sheetData>
    <row r="1" spans="1:10" ht="39" customHeight="1">
      <c r="A1" s="1"/>
      <c r="B1" s="158" t="s">
        <v>34</v>
      </c>
      <c r="C1" s="159"/>
      <c r="D1" s="2"/>
      <c r="E1" s="160"/>
      <c r="F1" s="157"/>
      <c r="G1" s="157"/>
      <c r="H1" s="157"/>
    </row>
    <row r="2" spans="1:10" ht="30" customHeight="1">
      <c r="B2" s="3" t="s">
        <v>3</v>
      </c>
      <c r="C2" s="3" t="s">
        <v>4</v>
      </c>
      <c r="D2" s="3" t="s">
        <v>5</v>
      </c>
      <c r="E2" s="4" t="s">
        <v>6</v>
      </c>
      <c r="F2" s="5" t="s">
        <v>7</v>
      </c>
      <c r="G2" s="5" t="s">
        <v>8</v>
      </c>
      <c r="H2" s="5" t="s">
        <v>9</v>
      </c>
    </row>
    <row r="3" spans="1:10" ht="18">
      <c r="B3" s="6">
        <v>2491</v>
      </c>
      <c r="C3" s="6">
        <v>2491</v>
      </c>
      <c r="D3" s="6">
        <v>2491</v>
      </c>
      <c r="E3" s="7" t="s">
        <v>10</v>
      </c>
      <c r="F3" s="6">
        <v>2491</v>
      </c>
      <c r="G3" s="6">
        <v>2491</v>
      </c>
      <c r="H3" s="6">
        <v>2491</v>
      </c>
    </row>
    <row r="4" spans="1:10" ht="25.5" customHeight="1">
      <c r="B4" s="161">
        <f ca="1">SUM(B6:D6)</f>
        <v>0</v>
      </c>
      <c r="C4" s="157"/>
      <c r="D4" s="157"/>
      <c r="E4" s="7" t="s">
        <v>11</v>
      </c>
      <c r="F4" s="161">
        <f ca="1">SUM(F6:H6)</f>
        <v>0</v>
      </c>
      <c r="G4" s="157"/>
      <c r="H4" s="157"/>
    </row>
    <row r="5" spans="1:10" ht="23.25">
      <c r="B5" s="161">
        <f ca="1">B4-F4</f>
        <v>0</v>
      </c>
      <c r="C5" s="157"/>
      <c r="D5" s="157"/>
      <c r="E5" s="8" t="s">
        <v>12</v>
      </c>
      <c r="F5" s="161">
        <f ca="1">F4-B4</f>
        <v>0</v>
      </c>
      <c r="G5" s="157"/>
      <c r="H5" s="157"/>
    </row>
    <row r="6" spans="1:10" ht="18">
      <c r="B6" s="6">
        <f t="shared" ref="B6:D6" ca="1" si="0">SUMPRODUCT(B$10:B$16,$J$10:$J$16)+SUMPRODUCT(B$18:B$23,$J$18:$J$23)+SUMPRODUCT(B$25:B$27,$J$25:$J$27)</f>
        <v>0</v>
      </c>
      <c r="C6" s="6">
        <f t="shared" ca="1" si="0"/>
        <v>0</v>
      </c>
      <c r="D6" s="6">
        <f t="shared" ca="1" si="0"/>
        <v>0</v>
      </c>
      <c r="E6" s="7" t="s">
        <v>13</v>
      </c>
      <c r="F6" s="6">
        <f t="shared" ref="F6:H6" ca="1" si="1">SUMPRODUCT(F$10:F$16,$J$10:$J$16)+SUMPRODUCT(F$18:F$23,$J$18:$J$23)+SUMPRODUCT(F$25:F$27,$J$25:$J$27)</f>
        <v>0</v>
      </c>
      <c r="G6" s="6">
        <f t="shared" ca="1" si="1"/>
        <v>0</v>
      </c>
      <c r="H6" s="6">
        <f t="shared" ca="1" si="1"/>
        <v>0</v>
      </c>
    </row>
    <row r="7" spans="1:10" ht="14.25">
      <c r="B7" s="9" t="e">
        <f t="shared" ref="B7:D7" ca="1" si="2">B$6/$B$4</f>
        <v>#DIV/0!</v>
      </c>
      <c r="C7" s="9" t="e">
        <f t="shared" ca="1" si="2"/>
        <v>#DIV/0!</v>
      </c>
      <c r="D7" s="9" t="e">
        <f t="shared" ca="1" si="2"/>
        <v>#DIV/0!</v>
      </c>
      <c r="E7" s="10" t="s">
        <v>14</v>
      </c>
      <c r="F7" s="9" t="e">
        <f t="shared" ref="F7:H7" ca="1" si="3">F$6/$F$4</f>
        <v>#DIV/0!</v>
      </c>
      <c r="G7" s="9" t="e">
        <f t="shared" ca="1" si="3"/>
        <v>#DIV/0!</v>
      </c>
      <c r="H7" s="9" t="e">
        <f t="shared" ca="1" si="3"/>
        <v>#DIV/0!</v>
      </c>
    </row>
    <row r="8" spans="1:10" ht="29.25" customHeight="1">
      <c r="B8" s="156" t="s">
        <v>15</v>
      </c>
      <c r="C8" s="157"/>
      <c r="D8" s="157"/>
      <c r="E8" s="157"/>
      <c r="F8" s="157"/>
      <c r="G8" s="157"/>
      <c r="H8" s="157"/>
    </row>
    <row r="9" spans="1:10" ht="12.75">
      <c r="B9" s="156" t="s">
        <v>16</v>
      </c>
      <c r="C9" s="157"/>
      <c r="D9" s="157"/>
      <c r="E9" s="157"/>
      <c r="F9" s="157"/>
      <c r="G9" s="157"/>
      <c r="H9" s="157"/>
      <c r="J9" s="6" t="s">
        <v>17</v>
      </c>
    </row>
    <row r="10" spans="1:10" ht="12.75">
      <c r="B10" s="9" t="str">
        <f ca="1">IFERROR(__xludf.DUMMYFUNCTION("IFERROR(IF($B$1=""All"",AVERAGE(FILTER('MATCH CALCS'!$AW:$AW,'MATCH CALCS'!$D:$D=B$3)),AVERAGE(FILTER('MATCH CALCS'!$AW:$AW,'MATCH CALCS'!$D:$D=B$3,'MATCH CALCS'!$A:$A=$B$1))),""-"")"),"-")</f>
        <v>-</v>
      </c>
      <c r="C10" s="9" t="str">
        <f ca="1">IFERROR(__xludf.DUMMYFUNCTION("IFERROR(IF($B$1=""All"",AVERAGE(FILTER('MATCH CALCS'!$AW:$AW,'MATCH CALCS'!$D:$D=C$3)),AVERAGE(FILTER('MATCH CALCS'!$AW:$AW,'MATCH CALCS'!$D:$D=C$3,'MATCH CALCS'!$A:$A=$B$1))),""-"")"),"-")</f>
        <v>-</v>
      </c>
      <c r="D10" s="9" t="str">
        <f ca="1">IFERROR(__xludf.DUMMYFUNCTION("IFERROR(IF($B$1=""All"",AVERAGE(FILTER('MATCH CALCS'!$AW:$AW,'MATCH CALCS'!$D:$D=D$3)),AVERAGE(FILTER('MATCH CALCS'!$AW:$AW,'MATCH CALCS'!$D:$D=D$3,'MATCH CALCS'!$A:$A=$B$1))),""-"")"),"-")</f>
        <v>-</v>
      </c>
      <c r="E10" s="11" t="s">
        <v>18</v>
      </c>
      <c r="F10" s="9" t="str">
        <f ca="1">IFERROR(__xludf.DUMMYFUNCTION("IFERROR(IF($B$1=""All"",AVERAGE(FILTER('MATCH CALCS'!$AW:$AW,'MATCH CALCS'!$D:$D=F$3)),AVERAGE(FILTER('MATCH CALCS'!$AW:$AW,'MATCH CALCS'!$D:$D=F$3,'MATCH CALCS'!$A:$A=$B$1))),""-"")"),"-")</f>
        <v>-</v>
      </c>
      <c r="G10" s="9" t="str">
        <f ca="1">IFERROR(__xludf.DUMMYFUNCTION("IFERROR(IF($B$1=""All"",AVERAGE(FILTER('MATCH CALCS'!$AW:$AW,'MATCH CALCS'!$D:$D=G$3)),AVERAGE(FILTER('MATCH CALCS'!$AW:$AW,'MATCH CALCS'!$D:$D=G$3,'MATCH CALCS'!$A:$A=$B$1))),""-"")"),"-")</f>
        <v>-</v>
      </c>
      <c r="H10" s="9" t="str">
        <f ca="1">IFERROR(__xludf.DUMMYFUNCTION("IFERROR(IF($B$1=""All"",AVERAGE(FILTER('MATCH CALCS'!$AW:$AW,'MATCH CALCS'!$D:$D=H$3)),AVERAGE(FILTER('MATCH CALCS'!$AW:$AW,'MATCH CALCS'!$D:$D=H$3,'MATCH CALCS'!$A:$A=$B$1))),""-"")"),"-")</f>
        <v>-</v>
      </c>
      <c r="J10" s="6">
        <v>3</v>
      </c>
    </row>
    <row r="11" spans="1:10" ht="12.75">
      <c r="B11" s="12" t="str">
        <f ca="1">IFERROR(__xludf.DUMMYFUNCTION("IFERROR(IF($B$1=""All"",AVERAGE(FILTER('MATCH CALCS'!$L:$L,'MATCH CALCS'!$D:$D=B$3)),AVERAGE(FILTER('MATCH CALCS'!$L:$L,'MATCH CALCS'!$D:$D=B$3,'MATCH CALCS'!$A:$A=$B$1))),""-"")"),"-")</f>
        <v>-</v>
      </c>
      <c r="C11" s="12" t="str">
        <f ca="1">IFERROR(__xludf.DUMMYFUNCTION("IFERROR(IF($B$1=""All"",AVERAGE(FILTER('MATCH CALCS'!$L:$L,'MATCH CALCS'!$D:$D=C$3)),AVERAGE(FILTER('MATCH CALCS'!$L:$L,'MATCH CALCS'!$D:$D=C$3,'MATCH CALCS'!$A:$A=$B$1))),""-"")"),"-")</f>
        <v>-</v>
      </c>
      <c r="D11" s="12" t="str">
        <f ca="1">IFERROR(__xludf.DUMMYFUNCTION("IFERROR(IF($B$1=""All"",AVERAGE(FILTER('MATCH CALCS'!$L:$L,'MATCH CALCS'!$D:$D=D$3)),AVERAGE(FILTER('MATCH CALCS'!$L:$L,'MATCH CALCS'!$D:$D=D$3,'MATCH CALCS'!$A:$A=$B$1))),""-"")"),"-")</f>
        <v>-</v>
      </c>
      <c r="E11" s="11" t="s">
        <v>19</v>
      </c>
      <c r="F11" s="12" t="str">
        <f ca="1">IFERROR(__xludf.DUMMYFUNCTION("IFERROR(IF($B$1=""All"",AVERAGE(FILTER('MATCH CALCS'!$L:$L,'MATCH CALCS'!$D:$D=F$3)),AVERAGE(FILTER('MATCH CALCS'!$L:$L,'MATCH CALCS'!$D:$D=F$3,'MATCH CALCS'!$A:$A=$B$1))),""-"")"),"-")</f>
        <v>-</v>
      </c>
      <c r="G11" s="12" t="str">
        <f ca="1">IFERROR(__xludf.DUMMYFUNCTION("IFERROR(IF($B$1=""All"",AVERAGE(FILTER('MATCH CALCS'!$L:$L,'MATCH CALCS'!$D:$D=G$3)),AVERAGE(FILTER('MATCH CALCS'!$L:$L,'MATCH CALCS'!$D:$D=G$3,'MATCH CALCS'!$A:$A=$B$1))),""-"")"),"-")</f>
        <v>-</v>
      </c>
      <c r="H11" s="12" t="str">
        <f ca="1">IFERROR(__xludf.DUMMYFUNCTION("IFERROR(IF($B$1=""All"",AVERAGE(FILTER('MATCH CALCS'!$L:$L,'MATCH CALCS'!$D:$D=H$3)),AVERAGE(FILTER('MATCH CALCS'!$L:$L,'MATCH CALCS'!$D:$D=H$3,'MATCH CALCS'!$A:$A=$B$1))),""-"")"),"-")</f>
        <v>-</v>
      </c>
      <c r="J11" s="6">
        <v>7</v>
      </c>
    </row>
    <row r="12" spans="1:10" ht="12.75">
      <c r="B12" s="12" t="str">
        <f ca="1">IFERROR(__xludf.DUMMYFUNCTION("IFERROR(IF($B$1=""All"",AVERAGE(FILTER('MATCH CALCS'!$M:$M,'MATCH CALCS'!$D:$D=B$3)),AVERAGE(FILTER('MATCH CALCS'!$M:$M,'MATCH CALCS'!$D:$D=B$3,'MATCH CALCS'!$A:$A=$B$1))),""-"")"),"-")</f>
        <v>-</v>
      </c>
      <c r="C12" s="12" t="str">
        <f ca="1">IFERROR(__xludf.DUMMYFUNCTION("IFERROR(IF($B$1=""All"",AVERAGE(FILTER('MATCH CALCS'!$M:$M,'MATCH CALCS'!$D:$D=C$3)),AVERAGE(FILTER('MATCH CALCS'!$M:$M,'MATCH CALCS'!$D:$D=C$3,'MATCH CALCS'!$A:$A=$B$1))),""-"")"),"-")</f>
        <v>-</v>
      </c>
      <c r="D12" s="12" t="str">
        <f ca="1">IFERROR(__xludf.DUMMYFUNCTION("IFERROR(IF($B$1=""All"",AVERAGE(FILTER('MATCH CALCS'!$M:$M,'MATCH CALCS'!$D:$D=D$3)),AVERAGE(FILTER('MATCH CALCS'!$M:$M,'MATCH CALCS'!$D:$D=D$3,'MATCH CALCS'!$A:$A=$B$1))),""-"")"),"-")</f>
        <v>-</v>
      </c>
      <c r="E12" s="11" t="s">
        <v>20</v>
      </c>
      <c r="F12" s="12" t="str">
        <f ca="1">IFERROR(__xludf.DUMMYFUNCTION("IFERROR(IF($B$1=""All"",AVERAGE(FILTER('MATCH CALCS'!$M:$M,'MATCH CALCS'!$D:$D=F$3)),AVERAGE(FILTER('MATCH CALCS'!$M:$M,'MATCH CALCS'!$D:$D=F$3,'MATCH CALCS'!$A:$A=$B$1))),""-"")"),"-")</f>
        <v>-</v>
      </c>
      <c r="G12" s="12" t="str">
        <f ca="1">IFERROR(__xludf.DUMMYFUNCTION("IFERROR(IF($B$1=""All"",AVERAGE(FILTER('MATCH CALCS'!$M:$M,'MATCH CALCS'!$D:$D=G$3)),AVERAGE(FILTER('MATCH CALCS'!$M:$M,'MATCH CALCS'!$D:$D=G$3,'MATCH CALCS'!$A:$A=$B$1))),""-"")"),"-")</f>
        <v>-</v>
      </c>
      <c r="H12" s="12" t="str">
        <f ca="1">IFERROR(__xludf.DUMMYFUNCTION("IFERROR(IF($B$1=""All"",AVERAGE(FILTER('MATCH CALCS'!$M:$M,'MATCH CALCS'!$D:$D=H$3)),AVERAGE(FILTER('MATCH CALCS'!$M:$M,'MATCH CALCS'!$D:$D=H$3,'MATCH CALCS'!$A:$A=$B$1))),""-"")"),"-")</f>
        <v>-</v>
      </c>
      <c r="J12" s="6">
        <v>6</v>
      </c>
    </row>
    <row r="13" spans="1:10" ht="12.75">
      <c r="B13" s="12" t="str">
        <f ca="1">IFERROR(__xludf.DUMMYFUNCTION("IFERROR(IF($B$1=""All"",AVERAGE(FILTER('MATCH CALCS'!$N:$N,'MATCH CALCS'!$D:$D=B$3)),AVERAGE(FILTER('MATCH CALCS'!$N:$N,'MATCH CALCS'!$D:$D=B$3,'MATCH CALCS'!$A:$A=$B$1))),""-"")"),"-")</f>
        <v>-</v>
      </c>
      <c r="C13" s="12" t="str">
        <f ca="1">IFERROR(__xludf.DUMMYFUNCTION("IFERROR(IF($B$1=""All"",AVERAGE(FILTER('MATCH CALCS'!$N:$N,'MATCH CALCS'!$D:$D=C$3)),AVERAGE(FILTER('MATCH CALCS'!$N:$N,'MATCH CALCS'!$D:$D=C$3,'MATCH CALCS'!$A:$A=$B$1))),""-"")"),"-")</f>
        <v>-</v>
      </c>
      <c r="D13" s="12" t="str">
        <f ca="1">IFERROR(__xludf.DUMMYFUNCTION("IFERROR(IF($B$1=""All"",AVERAGE(FILTER('MATCH CALCS'!$N:$N,'MATCH CALCS'!$D:$D=D$3)),AVERAGE(FILTER('MATCH CALCS'!$N:$N,'MATCH CALCS'!$D:$D=D$3,'MATCH CALCS'!$A:$A=$B$1))),""-"")"),"-")</f>
        <v>-</v>
      </c>
      <c r="E13" s="11" t="s">
        <v>21</v>
      </c>
      <c r="F13" s="12" t="str">
        <f ca="1">IFERROR(__xludf.DUMMYFUNCTION("IFERROR(IF($B$1=""All"",AVERAGE(FILTER('MATCH CALCS'!$N:$N,'MATCH CALCS'!$D:$D=F$3)),AVERAGE(FILTER('MATCH CALCS'!$N:$N,'MATCH CALCS'!$D:$D=F$3,'MATCH CALCS'!$A:$A=$B$1))),""-"")"),"-")</f>
        <v>-</v>
      </c>
      <c r="G13" s="12" t="str">
        <f ca="1">IFERROR(__xludf.DUMMYFUNCTION("IFERROR(IF($B$1=""All"",AVERAGE(FILTER('MATCH CALCS'!$N:$N,'MATCH CALCS'!$D:$D=G$3)),AVERAGE(FILTER('MATCH CALCS'!$N:$N,'MATCH CALCS'!$D:$D=G$3,'MATCH CALCS'!$A:$A=$B$1))),""-"")"),"-")</f>
        <v>-</v>
      </c>
      <c r="H13" s="12" t="str">
        <f ca="1">IFERROR(__xludf.DUMMYFUNCTION("IFERROR(IF($B$1=""All"",AVERAGE(FILTER('MATCH CALCS'!$N:$N,'MATCH CALCS'!$D:$D=H$3)),AVERAGE(FILTER('MATCH CALCS'!$N:$N,'MATCH CALCS'!$D:$D=H$3,'MATCH CALCS'!$A:$A=$B$1))),""-"")"),"-")</f>
        <v>-</v>
      </c>
      <c r="J13" s="6">
        <v>4</v>
      </c>
    </row>
    <row r="14" spans="1:10" ht="12.75">
      <c r="B14" s="12" t="str">
        <f ca="1">IFERROR(__xludf.DUMMYFUNCTION("IFERROR(IF($B$1=""All"",AVERAGE(FILTER('MATCH CALCS'!$O:$O,'MATCH CALCS'!$D:$D=B$3)),AVERAGE(FILTER('MATCH CALCS'!$O:$O,'MATCH CALCS'!$D:$D=B$3,'MATCH CALCS'!$A:$A=$B$1))),""-"")"),"-")</f>
        <v>-</v>
      </c>
      <c r="C14" s="12" t="str">
        <f ca="1">IFERROR(__xludf.DUMMYFUNCTION("IFERROR(IF($B$1=""All"",AVERAGE(FILTER('MATCH CALCS'!$O:$O,'MATCH CALCS'!$D:$D=C$3)),AVERAGE(FILTER('MATCH CALCS'!$O:$O,'MATCH CALCS'!$D:$D=C$3,'MATCH CALCS'!$A:$A=$B$1))),""-"")"),"-")</f>
        <v>-</v>
      </c>
      <c r="D14" s="12" t="str">
        <f ca="1">IFERROR(__xludf.DUMMYFUNCTION("IFERROR(IF($B$1=""All"",AVERAGE(FILTER('MATCH CALCS'!$O:$O,'MATCH CALCS'!$D:$D=D$3)),AVERAGE(FILTER('MATCH CALCS'!$O:$O,'MATCH CALCS'!$D:$D=D$3,'MATCH CALCS'!$A:$A=$B$1))),""-"")"),"-")</f>
        <v>-</v>
      </c>
      <c r="E14" s="11" t="s">
        <v>22</v>
      </c>
      <c r="F14" s="12" t="str">
        <f ca="1">IFERROR(__xludf.DUMMYFUNCTION("IFERROR(IF($B$1=""All"",AVERAGE(FILTER('MATCH CALCS'!$O:$O,'MATCH CALCS'!$D:$D=F$3)),AVERAGE(FILTER('MATCH CALCS'!$O:$O,'MATCH CALCS'!$D:$D=F$3,'MATCH CALCS'!$A:$A=$B$1))),""-"")"),"-")</f>
        <v>-</v>
      </c>
      <c r="G14" s="12" t="str">
        <f ca="1">IFERROR(__xludf.DUMMYFUNCTION("IFERROR(IF($B$1=""All"",AVERAGE(FILTER('MATCH CALCS'!$O:$O,'MATCH CALCS'!$D:$D=G$3)),AVERAGE(FILTER('MATCH CALCS'!$O:$O,'MATCH CALCS'!$D:$D=G$3,'MATCH CALCS'!$A:$A=$B$1))),""-"")"),"-")</f>
        <v>-</v>
      </c>
      <c r="H14" s="12" t="str">
        <f ca="1">IFERROR(__xludf.DUMMYFUNCTION("IFERROR(IF($B$1=""All"",AVERAGE(FILTER('MATCH CALCS'!$O:$O,'MATCH CALCS'!$D:$D=H$3)),AVERAGE(FILTER('MATCH CALCS'!$O:$O,'MATCH CALCS'!$D:$D=H$3,'MATCH CALCS'!$A:$A=$B$1))),""-"")"),"-")</f>
        <v>-</v>
      </c>
      <c r="J14" s="6">
        <v>3</v>
      </c>
    </row>
    <row r="15" spans="1:10" ht="12.75">
      <c r="B15" s="12" t="str">
        <f ca="1">IFERROR(__xludf.DUMMYFUNCTION("IFERROR(IF($B$1=""All"",AVERAGE(FILTER('MATCH CALCS'!$S:$S,'MATCH CALCS'!$D:$D=B$3)),AVERAGE(FILTER('MATCH CALCS'!$S:$S,'MATCH CALCS'!$D:$D=B$3,'MATCH CALCS'!$A:$A=$B$1))),""-"")"),"-")</f>
        <v>-</v>
      </c>
      <c r="C15" s="12" t="str">
        <f ca="1">IFERROR(__xludf.DUMMYFUNCTION("IFERROR(IF($B$1=""All"",AVERAGE(FILTER('MATCH CALCS'!$S:$S,'MATCH CALCS'!$D:$D=C$3)),AVERAGE(FILTER('MATCH CALCS'!$S:$S,'MATCH CALCS'!$D:$D=C$3,'MATCH CALCS'!$A:$A=$B$1))),""-"")"),"-")</f>
        <v>-</v>
      </c>
      <c r="D15" s="12" t="str">
        <f ca="1">IFERROR(__xludf.DUMMYFUNCTION("IFERROR(IF($B$1=""All"",AVERAGE(FILTER('MATCH CALCS'!$S:$S,'MATCH CALCS'!$D:$D=D$3)),AVERAGE(FILTER('MATCH CALCS'!$S:$S,'MATCH CALCS'!$D:$D=D$3,'MATCH CALCS'!$A:$A=$B$1))),""-"")"),"-")</f>
        <v>-</v>
      </c>
      <c r="E15" s="11" t="s">
        <v>23</v>
      </c>
      <c r="F15" s="12" t="str">
        <f ca="1">IFERROR(__xludf.DUMMYFUNCTION("IFERROR(IF($B$1=""All"",AVERAGE(FILTER('MATCH CALCS'!$S:$S,'MATCH CALCS'!$D:$D=F$3)),AVERAGE(FILTER('MATCH CALCS'!$S:$S,'MATCH CALCS'!$D:$D=F$3,'MATCH CALCS'!$A:$A=$B$1))),""-"")"),"-")</f>
        <v>-</v>
      </c>
      <c r="G15" s="12" t="str">
        <f ca="1">IFERROR(__xludf.DUMMYFUNCTION("IFERROR(IF($B$1=""All"",AVERAGE(FILTER('MATCH CALCS'!$S:$S,'MATCH CALCS'!$D:$D=G$3)),AVERAGE(FILTER('MATCH CALCS'!$S:$S,'MATCH CALCS'!$D:$D=G$3,'MATCH CALCS'!$A:$A=$B$1))),""-"")"),"-")</f>
        <v>-</v>
      </c>
      <c r="H15" s="12" t="str">
        <f ca="1">IFERROR(__xludf.DUMMYFUNCTION("IFERROR(IF($B$1=""All"",AVERAGE(FILTER('MATCH CALCS'!$S:$S,'MATCH CALCS'!$D:$D=H$3)),AVERAGE(FILTER('MATCH CALCS'!$S:$S,'MATCH CALCS'!$D:$D=H$3,'MATCH CALCS'!$A:$A=$B$1))),""-"")"),"-")</f>
        <v>-</v>
      </c>
      <c r="J15" s="6">
        <v>4</v>
      </c>
    </row>
    <row r="16" spans="1:10" ht="12.75">
      <c r="B16" s="12" t="str">
        <f ca="1">IFERROR(__xludf.DUMMYFUNCTION("IFERROR(IF($B$1=""All"",AVERAGE(FILTER('MATCH CALCS'!$R:$R,'MATCH CALCS'!$D:$D=B$3)),AVERAGE(FILTER('MATCH CALCS'!$R:$R,'MATCH CALCS'!$D:$D=B$3,'MATCH CALCS'!$A:$A=$B$1))),""-"")"),"-")</f>
        <v>-</v>
      </c>
      <c r="C16" s="12" t="str">
        <f ca="1">IFERROR(__xludf.DUMMYFUNCTION("IFERROR(IF($B$1=""All"",AVERAGE(FILTER('MATCH CALCS'!$R:$R,'MATCH CALCS'!$D:$D=C$3)),AVERAGE(FILTER('MATCH CALCS'!$R:$R,'MATCH CALCS'!$D:$D=C$3,'MATCH CALCS'!$A:$A=$B$1))),""-"")"),"-")</f>
        <v>-</v>
      </c>
      <c r="D16" s="12" t="str">
        <f ca="1">IFERROR(__xludf.DUMMYFUNCTION("IFERROR(IF($B$1=""All"",AVERAGE(FILTER('MATCH CALCS'!$R:$R,'MATCH CALCS'!$D:$D=D$3)),AVERAGE(FILTER('MATCH CALCS'!$R:$R,'MATCH CALCS'!$D:$D=D$3,'MATCH CALCS'!$A:$A=$B$1))),""-"")"),"-")</f>
        <v>-</v>
      </c>
      <c r="E16" s="11" t="s">
        <v>24</v>
      </c>
      <c r="F16" s="12" t="str">
        <f ca="1">IFERROR(__xludf.DUMMYFUNCTION("IFERROR(IF($B$1=""All"",AVERAGE(FILTER('MATCH CALCS'!$R:$R,'MATCH CALCS'!$D:$D=F$3)),AVERAGE(FILTER('MATCH CALCS'!$R:$R,'MATCH CALCS'!$D:$D=F$3,'MATCH CALCS'!$A:$A=$B$1))),""-"")"),"-")</f>
        <v>-</v>
      </c>
      <c r="G16" s="12" t="str">
        <f ca="1">IFERROR(__xludf.DUMMYFUNCTION("IFERROR(IF($B$1=""All"",AVERAGE(FILTER('MATCH CALCS'!$R:$R,'MATCH CALCS'!$D:$D=G$3)),AVERAGE(FILTER('MATCH CALCS'!$R:$R,'MATCH CALCS'!$D:$D=G$3,'MATCH CALCS'!$A:$A=$B$1))),""-"")"),"-")</f>
        <v>-</v>
      </c>
      <c r="H16" s="12" t="str">
        <f ca="1">IFERROR(__xludf.DUMMYFUNCTION("IFERROR(IF($B$1=""All"",AVERAGE(FILTER('MATCH CALCS'!$R:$R,'MATCH CALCS'!$D:$D=H$3)),AVERAGE(FILTER('MATCH CALCS'!$R:$R,'MATCH CALCS'!$D:$D=H$3,'MATCH CALCS'!$A:$A=$B$1))),""-"")"),"-")</f>
        <v>-</v>
      </c>
      <c r="J16" s="6">
        <v>2</v>
      </c>
    </row>
    <row r="17" spans="2:10" ht="12.75">
      <c r="B17" s="156" t="s">
        <v>25</v>
      </c>
      <c r="C17" s="157"/>
      <c r="D17" s="157"/>
      <c r="E17" s="157"/>
      <c r="F17" s="157"/>
      <c r="G17" s="157"/>
      <c r="H17" s="157"/>
    </row>
    <row r="18" spans="2:10" ht="12.75">
      <c r="B18" s="12" t="str">
        <f ca="1">IFERROR(__xludf.DUMMYFUNCTION("IFERROR(IF($B$1=""All"",AVERAGE(FILTER('MATCH CALCS'!$AE:$AE,'MATCH CALCS'!$D:$D=B$3)),AVERAGE(FILTER('MATCH CALCS'!$AE:$AE,'MATCH CALCS'!$D:$D=B$3,'MATCH CALCS'!$A:$A=$B$1))),""-"")"),"-")</f>
        <v>-</v>
      </c>
      <c r="C18" s="12" t="str">
        <f ca="1">IFERROR(__xludf.DUMMYFUNCTION("IFERROR(IF($B$1=""All"",AVERAGE(FILTER('MATCH CALCS'!$AE:$AE,'MATCH CALCS'!$D:$D=C$3)),AVERAGE(FILTER('MATCH CALCS'!$AE:$AE,'MATCH CALCS'!$D:$D=C$3,'MATCH CALCS'!$A:$A=$B$1))),""-"")"),"-")</f>
        <v>-</v>
      </c>
      <c r="D18" s="12" t="str">
        <f ca="1">IFERROR(__xludf.DUMMYFUNCTION("IFERROR(IF($B$1=""All"",AVERAGE(FILTER('MATCH CALCS'!$AE:$AE,'MATCH CALCS'!$D:$D=D$3)),AVERAGE(FILTER('MATCH CALCS'!$AE:$AE,'MATCH CALCS'!$D:$D=D$3,'MATCH CALCS'!$A:$A=$B$1))),""-"")"),"-")</f>
        <v>-</v>
      </c>
      <c r="E18" s="11" t="s">
        <v>19</v>
      </c>
      <c r="F18" s="12" t="str">
        <f ca="1">IFERROR(__xludf.DUMMYFUNCTION("IFERROR(IF($B$1=""All"",AVERAGE(FILTER('MATCH CALCS'!$AE:$AE,'MATCH CALCS'!$D:$D=F$3)),AVERAGE(FILTER('MATCH CALCS'!$AE:$AE,'MATCH CALCS'!$D:$D=F$3,'MATCH CALCS'!$A:$A=$B$1))),""-"")"),"-")</f>
        <v>-</v>
      </c>
      <c r="G18" s="12" t="str">
        <f ca="1">IFERROR(__xludf.DUMMYFUNCTION("IFERROR(IF($B$1=""All"",AVERAGE(FILTER('MATCH CALCS'!$AE:$AE,'MATCH CALCS'!$D:$D=G$3)),AVERAGE(FILTER('MATCH CALCS'!$AE:$AE,'MATCH CALCS'!$D:$D=G$3,'MATCH CALCS'!$A:$A=$B$1))),""-"")"),"-")</f>
        <v>-</v>
      </c>
      <c r="H18" s="12" t="str">
        <f ca="1">IFERROR(__xludf.DUMMYFUNCTION("IFERROR(IF($B$1=""All"",AVERAGE(FILTER('MATCH CALCS'!$AE:$AE,'MATCH CALCS'!$D:$D=H$3)),AVERAGE(FILTER('MATCH CALCS'!$AE:$AE,'MATCH CALCS'!$D:$D=H$3,'MATCH CALCS'!$A:$A=$B$1))),""-"")"),"-")</f>
        <v>-</v>
      </c>
      <c r="J18" s="6">
        <v>5</v>
      </c>
    </row>
    <row r="19" spans="2:10" ht="12.75">
      <c r="B19" s="12" t="str">
        <f ca="1">IFERROR(__xludf.DUMMYFUNCTION("IFERROR(IF($B$1=""All"",AVERAGE(FILTER('MATCH CALCS'!$AF:$AF,'MATCH CALCS'!$D:$D=B$3)),AVERAGE(FILTER('MATCH CALCS'!$AF:$AF,'MATCH CALCS'!$D:$D=B$3,'MATCH CALCS'!$A:$A=$B$1))),""-"")"),"-")</f>
        <v>-</v>
      </c>
      <c r="C19" s="12" t="str">
        <f ca="1">IFERROR(__xludf.DUMMYFUNCTION("IFERROR(IF($B$1=""All"",AVERAGE(FILTER('MATCH CALCS'!$AF:$AF,'MATCH CALCS'!$D:$D=C$3)),AVERAGE(FILTER('MATCH CALCS'!$AF:$AF,'MATCH CALCS'!$D:$D=C$3,'MATCH CALCS'!$A:$A=$B$1))),""-"")"),"-")</f>
        <v>-</v>
      </c>
      <c r="D19" s="12" t="str">
        <f ca="1">IFERROR(__xludf.DUMMYFUNCTION("IFERROR(IF($B$1=""All"",AVERAGE(FILTER('MATCH CALCS'!$AF:$AF,'MATCH CALCS'!$D:$D=D$3)),AVERAGE(FILTER('MATCH CALCS'!$AF:$AF,'MATCH CALCS'!$D:$D=D$3,'MATCH CALCS'!$A:$A=$B$1))),""-"")"),"-")</f>
        <v>-</v>
      </c>
      <c r="E19" s="11" t="s">
        <v>20</v>
      </c>
      <c r="F19" s="12" t="str">
        <f ca="1">IFERROR(__xludf.DUMMYFUNCTION("IFERROR(IF($B$1=""All"",AVERAGE(FILTER('MATCH CALCS'!$AF:$AF,'MATCH CALCS'!$D:$D=F$3)),AVERAGE(FILTER('MATCH CALCS'!$AF:$AF,'MATCH CALCS'!$D:$D=F$3,'MATCH CALCS'!$A:$A=$B$1))),""-"")"),"-")</f>
        <v>-</v>
      </c>
      <c r="G19" s="12" t="str">
        <f ca="1">IFERROR(__xludf.DUMMYFUNCTION("IFERROR(IF($B$1=""All"",AVERAGE(FILTER('MATCH CALCS'!$AF:$AF,'MATCH CALCS'!$D:$D=G$3)),AVERAGE(FILTER('MATCH CALCS'!$AF:$AF,'MATCH CALCS'!$D:$D=G$3,'MATCH CALCS'!$A:$A=$B$1))),""-"")"),"-")</f>
        <v>-</v>
      </c>
      <c r="H19" s="12" t="str">
        <f ca="1">IFERROR(__xludf.DUMMYFUNCTION("IFERROR(IF($B$1=""All"",AVERAGE(FILTER('MATCH CALCS'!$AF:$AF,'MATCH CALCS'!$D:$D=H$3)),AVERAGE(FILTER('MATCH CALCS'!$AF:$AF,'MATCH CALCS'!$D:$D=H$3,'MATCH CALCS'!$A:$A=$B$1))),""-"")"),"-")</f>
        <v>-</v>
      </c>
      <c r="J19" s="6">
        <v>4</v>
      </c>
    </row>
    <row r="20" spans="2:10" ht="12.75">
      <c r="B20" s="12" t="str">
        <f ca="1">IFERROR(__xludf.DUMMYFUNCTION("IFERROR(IF($B$1=""All"",AVERAGE(FILTER('MATCH CALCS'!$AG:$AG,'MATCH CALCS'!$D:$D=B$3)),AVERAGE(FILTER('MATCH CALCS'!$AG:$AG,'MATCH CALCS'!$D:$D=B$3,'MATCH CALCS'!$A:$A=$B$1))),""-"")"),"-")</f>
        <v>-</v>
      </c>
      <c r="C20" s="12" t="str">
        <f ca="1">IFERROR(__xludf.DUMMYFUNCTION("IFERROR(IF($B$1=""All"",AVERAGE(FILTER('MATCH CALCS'!$AG:$AG,'MATCH CALCS'!$D:$D=C$3)),AVERAGE(FILTER('MATCH CALCS'!$AG:$AG,'MATCH CALCS'!$D:$D=C$3,'MATCH CALCS'!$A:$A=$B$1))),""-"")"),"-")</f>
        <v>-</v>
      </c>
      <c r="D20" s="12" t="str">
        <f ca="1">IFERROR(__xludf.DUMMYFUNCTION("IFERROR(IF($B$1=""All"",AVERAGE(FILTER('MATCH CALCS'!$AG:$AG,'MATCH CALCS'!$D:$D=D$3)),AVERAGE(FILTER('MATCH CALCS'!$AG:$AG,'MATCH CALCS'!$D:$D=D$3,'MATCH CALCS'!$A:$A=$B$1))),""-"")"),"-")</f>
        <v>-</v>
      </c>
      <c r="E20" s="11" t="s">
        <v>21</v>
      </c>
      <c r="F20" s="12" t="str">
        <f ca="1">IFERROR(__xludf.DUMMYFUNCTION("IFERROR(IF($B$1=""All"",AVERAGE(FILTER('MATCH CALCS'!$AG:$AG,'MATCH CALCS'!$D:$D=F$3)),AVERAGE(FILTER('MATCH CALCS'!$AG:$AG,'MATCH CALCS'!$D:$D=F$3,'MATCH CALCS'!$A:$A=$B$1))),""-"")"),"-")</f>
        <v>-</v>
      </c>
      <c r="G20" s="12" t="str">
        <f ca="1">IFERROR(__xludf.DUMMYFUNCTION("IFERROR(IF($B$1=""All"",AVERAGE(FILTER('MATCH CALCS'!$AG:$AG,'MATCH CALCS'!$D:$D=G$3)),AVERAGE(FILTER('MATCH CALCS'!$AG:$AG,'MATCH CALCS'!$D:$D=G$3,'MATCH CALCS'!$A:$A=$B$1))),""-"")"),"-")</f>
        <v>-</v>
      </c>
      <c r="H20" s="12" t="str">
        <f ca="1">IFERROR(__xludf.DUMMYFUNCTION("IFERROR(IF($B$1=""All"",AVERAGE(FILTER('MATCH CALCS'!$AG:$AG,'MATCH CALCS'!$D:$D=H$3)),AVERAGE(FILTER('MATCH CALCS'!$AG:$AG,'MATCH CALCS'!$D:$D=H$3,'MATCH CALCS'!$A:$A=$B$1))),""-"")"),"-")</f>
        <v>-</v>
      </c>
      <c r="J20" s="6">
        <v>3</v>
      </c>
    </row>
    <row r="21" spans="2:10" ht="12.75">
      <c r="B21" s="12" t="str">
        <f ca="1">IFERROR(__xludf.DUMMYFUNCTION("IFERROR(IF($B$1=""All"",AVERAGE(FILTER('MATCH CALCS'!$AH:$AH,'MATCH CALCS'!$D:$D=B$3)),AVERAGE(FILTER('MATCH CALCS'!$AH:$AH,'MATCH CALCS'!$D:$D=B$3,'MATCH CALCS'!$A:$A=$B$1))),""-"")"),"-")</f>
        <v>-</v>
      </c>
      <c r="C21" s="12" t="str">
        <f ca="1">IFERROR(__xludf.DUMMYFUNCTION("IFERROR(IF($B$1=""All"",AVERAGE(FILTER('MATCH CALCS'!$AH:$AH,'MATCH CALCS'!$D:$D=C$3)),AVERAGE(FILTER('MATCH CALCS'!$AH:$AH,'MATCH CALCS'!$D:$D=C$3,'MATCH CALCS'!$A:$A=$B$1))),""-"")"),"-")</f>
        <v>-</v>
      </c>
      <c r="D21" s="12" t="str">
        <f ca="1">IFERROR(__xludf.DUMMYFUNCTION("IFERROR(IF($B$1=""All"",AVERAGE(FILTER('MATCH CALCS'!$AH:$AH,'MATCH CALCS'!$D:$D=D$3)),AVERAGE(FILTER('MATCH CALCS'!$AH:$AH,'MATCH CALCS'!$D:$D=D$3,'MATCH CALCS'!$A:$A=$B$1))),""-"")"),"-")</f>
        <v>-</v>
      </c>
      <c r="E21" s="11" t="s">
        <v>22</v>
      </c>
      <c r="F21" s="12" t="str">
        <f ca="1">IFERROR(__xludf.DUMMYFUNCTION("IFERROR(IF($B$1=""All"",AVERAGE(FILTER('MATCH CALCS'!$AH:$AH,'MATCH CALCS'!$D:$D=F$3)),AVERAGE(FILTER('MATCH CALCS'!$AH:$AH,'MATCH CALCS'!$D:$D=F$3,'MATCH CALCS'!$A:$A=$B$1))),""-"")"),"-")</f>
        <v>-</v>
      </c>
      <c r="G21" s="12" t="str">
        <f ca="1">IFERROR(__xludf.DUMMYFUNCTION("IFERROR(IF($B$1=""All"",AVERAGE(FILTER('MATCH CALCS'!$AH:$AH,'MATCH CALCS'!$D:$D=G$3)),AVERAGE(FILTER('MATCH CALCS'!$AH:$AH,'MATCH CALCS'!$D:$D=G$3,'MATCH CALCS'!$A:$A=$B$1))),""-"")"),"-")</f>
        <v>-</v>
      </c>
      <c r="H21" s="12" t="str">
        <f ca="1">IFERROR(__xludf.DUMMYFUNCTION("IFERROR(IF($B$1=""All"",AVERAGE(FILTER('MATCH CALCS'!$AH:$AH,'MATCH CALCS'!$D:$D=H$3)),AVERAGE(FILTER('MATCH CALCS'!$AH:$AH,'MATCH CALCS'!$D:$D=H$3,'MATCH CALCS'!$A:$A=$B$1))),""-"")"),"-")</f>
        <v>-</v>
      </c>
      <c r="J21" s="6">
        <v>2</v>
      </c>
    </row>
    <row r="22" spans="2:10" ht="12.75">
      <c r="B22" s="12" t="str">
        <f ca="1">IFERROR(__xludf.DUMMYFUNCTION("IFERROR(IF($B$1=""All"",AVERAGE(FILTER('MATCH CALCS'!$X:$X,'MATCH CALCS'!$D:$D=B$3)),AVERAGE(FILTER('MATCH CALCS'!$X:$X,'MATCH CALCS'!$D:$D=B$3,'MATCH CALCS'!$A:$A=$B$1))),""-"")"),"-")</f>
        <v>-</v>
      </c>
      <c r="C22" s="12" t="str">
        <f ca="1">IFERROR(__xludf.DUMMYFUNCTION("IFERROR(IF($B$1=""All"",AVERAGE(FILTER('MATCH CALCS'!$X:$X,'MATCH CALCS'!$D:$D=C$3)),AVERAGE(FILTER('MATCH CALCS'!$X:$X,'MATCH CALCS'!$D:$D=C$3,'MATCH CALCS'!$A:$A=$B$1))),""-"")"),"-")</f>
        <v>-</v>
      </c>
      <c r="D22" s="12" t="str">
        <f ca="1">IFERROR(__xludf.DUMMYFUNCTION("IFERROR(IF($B$1=""All"",AVERAGE(FILTER('MATCH CALCS'!$X:$X,'MATCH CALCS'!$D:$D=D$3)),AVERAGE(FILTER('MATCH CALCS'!$X:$X,'MATCH CALCS'!$D:$D=D$3,'MATCH CALCS'!$A:$A=$B$1))),""-"")"),"-")</f>
        <v>-</v>
      </c>
      <c r="E22" s="11" t="s">
        <v>23</v>
      </c>
      <c r="F22" s="12" t="str">
        <f ca="1">IFERROR(__xludf.DUMMYFUNCTION("IFERROR(IF($B$1=""All"",AVERAGE(FILTER('MATCH CALCS'!$X:$X,'MATCH CALCS'!$D:$D=F$3)),AVERAGE(FILTER('MATCH CALCS'!$X:$X,'MATCH CALCS'!$D:$D=F$3,'MATCH CALCS'!$A:$A=$B$1))),""-"")"),"-")</f>
        <v>-</v>
      </c>
      <c r="G22" s="12" t="str">
        <f ca="1">IFERROR(__xludf.DUMMYFUNCTION("IFERROR(IF($B$1=""All"",AVERAGE(FILTER('MATCH CALCS'!$X:$X,'MATCH CALCS'!$D:$D=G$3)),AVERAGE(FILTER('MATCH CALCS'!$X:$X,'MATCH CALCS'!$D:$D=G$3,'MATCH CALCS'!$A:$A=$B$1))),""-"")"),"-")</f>
        <v>-</v>
      </c>
      <c r="H22" s="12" t="str">
        <f ca="1">IFERROR(__xludf.DUMMYFUNCTION("IFERROR(IF($B$1=""All"",AVERAGE(FILTER('MATCH CALCS'!$X:$X,'MATCH CALCS'!$D:$D=H$3)),AVERAGE(FILTER('MATCH CALCS'!$X:$X,'MATCH CALCS'!$D:$D=H$3,'MATCH CALCS'!$A:$A=$B$1))),""-"")"),"-")</f>
        <v>-</v>
      </c>
      <c r="J22" s="6">
        <v>4</v>
      </c>
    </row>
    <row r="23" spans="2:10" ht="12.75">
      <c r="B23" s="12" t="str">
        <f ca="1">IFERROR(__xludf.DUMMYFUNCTION("IFERROR(IF($B$1=""All"",AVERAGE(FILTER('MATCH CALCS'!$W:$W,'MATCH CALCS'!$D:$D=B$3)),AVERAGE(FILTER('MATCH CALCS'!$W:$W,'MATCH CALCS'!$D:$D=B$3,'MATCH CALCS'!$A:$A=$B$1))),""-"")"),"-")</f>
        <v>-</v>
      </c>
      <c r="C23" s="12" t="str">
        <f ca="1">IFERROR(__xludf.DUMMYFUNCTION("IFERROR(IF($B$1=""All"",AVERAGE(FILTER('MATCH CALCS'!$W:$W,'MATCH CALCS'!$D:$D=C$3)),AVERAGE(FILTER('MATCH CALCS'!$W:$W,'MATCH CALCS'!$D:$D=C$3,'MATCH CALCS'!$A:$A=$B$1))),""-"")"),"-")</f>
        <v>-</v>
      </c>
      <c r="D23" s="12" t="str">
        <f ca="1">IFERROR(__xludf.DUMMYFUNCTION("IFERROR(IF($B$1=""All"",AVERAGE(FILTER('MATCH CALCS'!$W:$W,'MATCH CALCS'!$D:$D=D$3)),AVERAGE(FILTER('MATCH CALCS'!$W:$W,'MATCH CALCS'!$D:$D=D$3,'MATCH CALCS'!$A:$A=$B$1))),""-"")"),"-")</f>
        <v>-</v>
      </c>
      <c r="E23" s="11" t="s">
        <v>24</v>
      </c>
      <c r="F23" s="12" t="str">
        <f ca="1">IFERROR(__xludf.DUMMYFUNCTION("IFERROR(IF($B$1=""All"",AVERAGE(FILTER('MATCH CALCS'!$W:$W,'MATCH CALCS'!$D:$D=F$3)),AVERAGE(FILTER('MATCH CALCS'!$W:$W,'MATCH CALCS'!$D:$D=F$3,'MATCH CALCS'!$A:$A=$B$1))),""-"")"),"-")</f>
        <v>-</v>
      </c>
      <c r="G23" s="12" t="str">
        <f ca="1">IFERROR(__xludf.DUMMYFUNCTION("IFERROR(IF($B$1=""All"",AVERAGE(FILTER('MATCH CALCS'!$W:$W,'MATCH CALCS'!$D:$D=G$3)),AVERAGE(FILTER('MATCH CALCS'!$W:$W,'MATCH CALCS'!$D:$D=G$3,'MATCH CALCS'!$A:$A=$B$1))),""-"")"),"-")</f>
        <v>-</v>
      </c>
      <c r="H23" s="12" t="str">
        <f ca="1">IFERROR(__xludf.DUMMYFUNCTION("IFERROR(IF($B$1=""All"",AVERAGE(FILTER('MATCH CALCS'!$W:$W,'MATCH CALCS'!$D:$D=H$3)),AVERAGE(FILTER('MATCH CALCS'!$W:$W,'MATCH CALCS'!$D:$D=H$3,'MATCH CALCS'!$A:$A=$B$1))),""-"")"),"-")</f>
        <v>-</v>
      </c>
      <c r="J23" s="6">
        <v>2</v>
      </c>
    </row>
    <row r="24" spans="2:10" ht="12.75">
      <c r="B24" s="156" t="s">
        <v>26</v>
      </c>
      <c r="C24" s="157"/>
      <c r="D24" s="157"/>
      <c r="E24" s="157"/>
      <c r="F24" s="157"/>
      <c r="G24" s="157"/>
      <c r="H24" s="157"/>
    </row>
    <row r="25" spans="2:10" ht="12.75">
      <c r="B25" s="13">
        <f ca="1">IFERROR(__xludf.DUMMYFUNCTION("IFERROR(IF($B$1=""All"",COUNTIF(FILTER('MATCH CALCS'!$AT:$AT,'MATCH CALCS'!$D:$D=B$3),""=P"")/COUNTA(FILTER('MATCH CALCS'!$AT:$AT,'MATCH CALCS'!$D:$D=B$3)),COUNTIF(FILTER('MATCH CALCS'!$AT:$AT,'MATCH CALCS'!$D:$D=B$3,'MATCH CALCS'!$A:$A=$B$1),""=P"")/COUN"&amp;"TA(FILTER('MATCH CALCS'!$AT:$AT,'MATCH CALCS'!$D:$D=B$3,'MATCH CALCS'!$A:$A=$B$1))),""-"")"),0)</f>
        <v>0</v>
      </c>
      <c r="C25" s="13">
        <f ca="1">IFERROR(__xludf.DUMMYFUNCTION("IFERROR(IF($B$1=""All"",COUNTIF(FILTER('MATCH CALCS'!$AT:$AT,'MATCH CALCS'!$D:$D=C$3),""=P"")/COUNTA(FILTER('MATCH CALCS'!$AT:$AT,'MATCH CALCS'!$D:$D=C$3)),COUNTIF(FILTER('MATCH CALCS'!$AT:$AT,'MATCH CALCS'!$D:$D=C$3,'MATCH CALCS'!$A:$A=$B$1),""=P"")/COUN"&amp;"TA(FILTER('MATCH CALCS'!$AT:$AT,'MATCH CALCS'!$D:$D=C$3,'MATCH CALCS'!$A:$A=$B$1))),""-"")"),0)</f>
        <v>0</v>
      </c>
      <c r="D25" s="13">
        <f ca="1">IFERROR(__xludf.DUMMYFUNCTION("IFERROR(IF($B$1=""All"",COUNTIF(FILTER('MATCH CALCS'!$AT:$AT,'MATCH CALCS'!$D:$D=D$3),""=P"")/COUNTA(FILTER('MATCH CALCS'!$AT:$AT,'MATCH CALCS'!$D:$D=D$3)),COUNTIF(FILTER('MATCH CALCS'!$AT:$AT,'MATCH CALCS'!$D:$D=D$3,'MATCH CALCS'!$A:$A=$B$1),""=P"")/COUN"&amp;"TA(FILTER('MATCH CALCS'!$AT:$AT,'MATCH CALCS'!$D:$D=D$3,'MATCH CALCS'!$A:$A=$B$1))),""-"")"),0)</f>
        <v>0</v>
      </c>
      <c r="E25" s="11" t="s">
        <v>27</v>
      </c>
      <c r="F25" s="13">
        <f ca="1">IFERROR(__xludf.DUMMYFUNCTION("IFERROR(IF($B$1=""All"",COUNTIF(FILTER('MATCH CALCS'!$AT:$AT,'MATCH CALCS'!$D:$D=F$3),""=P"")/COUNTA(FILTER('MATCH CALCS'!$AT:$AT,'MATCH CALCS'!$D:$D=F$3)),COUNTIF(FILTER('MATCH CALCS'!$AT:$AT,'MATCH CALCS'!$D:$D=F$3,'MATCH CALCS'!$A:$A=$B$1),""=P"")/COUN"&amp;"TA(FILTER('MATCH CALCS'!$AT:$AT,'MATCH CALCS'!$D:$D=F$3,'MATCH CALCS'!$A:$A=$B$1))),""-"")"),0)</f>
        <v>0</v>
      </c>
      <c r="G25" s="13">
        <f ca="1">IFERROR(__xludf.DUMMYFUNCTION("IFERROR(IF($B$1=""All"",COUNTIF(FILTER('MATCH CALCS'!$AT:$AT,'MATCH CALCS'!$D:$D=G$3),""=P"")/COUNTA(FILTER('MATCH CALCS'!$AT:$AT,'MATCH CALCS'!$D:$D=G$3)),COUNTIF(FILTER('MATCH CALCS'!$AT:$AT,'MATCH CALCS'!$D:$D=G$3,'MATCH CALCS'!$A:$A=$B$1),""=P"")/COUN"&amp;"TA(FILTER('MATCH CALCS'!$AT:$AT,'MATCH CALCS'!$D:$D=G$3,'MATCH CALCS'!$A:$A=$B$1))),""-"")"),0)</f>
        <v>0</v>
      </c>
      <c r="H25" s="13">
        <f ca="1">IFERROR(__xludf.DUMMYFUNCTION("IFERROR(IF($B$1=""All"",COUNTIF(FILTER('MATCH CALCS'!$AT:$AT,'MATCH CALCS'!$D:$D=H$3),""=P"")/COUNTA(FILTER('MATCH CALCS'!$AT:$AT,'MATCH CALCS'!$D:$D=H$3)),COUNTIF(FILTER('MATCH CALCS'!$AT:$AT,'MATCH CALCS'!$D:$D=H$3,'MATCH CALCS'!$A:$A=$B$1),""=P"")/COUN"&amp;"TA(FILTER('MATCH CALCS'!$AT:$AT,'MATCH CALCS'!$D:$D=H$3,'MATCH CALCS'!$A:$A=$B$1))),""-"")"),0)</f>
        <v>0</v>
      </c>
      <c r="J25" s="6">
        <v>2</v>
      </c>
    </row>
    <row r="26" spans="2:10" ht="12.75">
      <c r="B26" s="13">
        <f ca="1">IFERROR(__xludf.DUMMYFUNCTION("IFERROR(IF($B$1=""All"",COUNTIF(FILTER('MATCH CALCS'!$AT:$AT,'MATCH CALCS'!$D:$D=B$3),""=Sc"")/COUNTA(FILTER('MATCH CALCS'!$AT:$AT,'MATCH CALCS'!$D:$D=B$3)),COUNTIF(FILTER('MATCH CALCS'!$AT:$AT,'MATCH CALCS'!$D:$D=B$3,'MATCH CALCS'!$A:$A=$B$1),""=Sc"")/CO"&amp;"UNTA(FILTER('MATCH CALCS'!$AT:$AT,'MATCH CALCS'!$D:$D=B$3,'MATCH CALCS'!$A:$A=$B$1))),""-"")"),0)</f>
        <v>0</v>
      </c>
      <c r="C26" s="13">
        <f ca="1">IFERROR(__xludf.DUMMYFUNCTION("IFERROR(IF($B$1=""All"",COUNTIF(FILTER('MATCH CALCS'!$AT:$AT,'MATCH CALCS'!$D:$D=C$3),""=Sc"")/COUNTA(FILTER('MATCH CALCS'!$AT:$AT,'MATCH CALCS'!$D:$D=C$3)),COUNTIF(FILTER('MATCH CALCS'!$AT:$AT,'MATCH CALCS'!$D:$D=C$3,'MATCH CALCS'!$A:$A=$B$1),""=Sc"")/CO"&amp;"UNTA(FILTER('MATCH CALCS'!$AT:$AT,'MATCH CALCS'!$D:$D=C$3,'MATCH CALCS'!$A:$A=$B$1))),""-"")"),0)</f>
        <v>0</v>
      </c>
      <c r="D26" s="13">
        <f ca="1">IFERROR(__xludf.DUMMYFUNCTION("IFERROR(IF($B$1=""All"",COUNTIF(FILTER('MATCH CALCS'!$AT:$AT,'MATCH CALCS'!$D:$D=D$3),""=Sc"")/COUNTA(FILTER('MATCH CALCS'!$AT:$AT,'MATCH CALCS'!$D:$D=D$3)),COUNTIF(FILTER('MATCH CALCS'!$AT:$AT,'MATCH CALCS'!$D:$D=D$3,'MATCH CALCS'!$A:$A=$B$1),""=Sc"")/CO"&amp;"UNTA(FILTER('MATCH CALCS'!$AT:$AT,'MATCH CALCS'!$D:$D=D$3,'MATCH CALCS'!$A:$A=$B$1))),""-"")"),0)</f>
        <v>0</v>
      </c>
      <c r="E26" s="11" t="s">
        <v>28</v>
      </c>
      <c r="F26" s="13">
        <f ca="1">IFERROR(__xludf.DUMMYFUNCTION("IFERROR(IF($B$1=""All"",COUNTIF(FILTER('MATCH CALCS'!$AT:$AT,'MATCH CALCS'!$D:$D=F$3),""=Sc"")/COUNTA(FILTER('MATCH CALCS'!$AT:$AT,'MATCH CALCS'!$D:$D=F$3)),COUNTIF(FILTER('MATCH CALCS'!$AT:$AT,'MATCH CALCS'!$D:$D=F$3,'MATCH CALCS'!$A:$A=$B$1),""=Sc"")/CO"&amp;"UNTA(FILTER('MATCH CALCS'!$AT:$AT,'MATCH CALCS'!$D:$D=F$3,'MATCH CALCS'!$A:$A=$B$1))),""-"")"),0)</f>
        <v>0</v>
      </c>
      <c r="G26" s="13">
        <f ca="1">IFERROR(__xludf.DUMMYFUNCTION("IFERROR(IF($B$1=""All"",COUNTIF(FILTER('MATCH CALCS'!$AT:$AT,'MATCH CALCS'!$D:$D=G$3),""=Sc"")/COUNTA(FILTER('MATCH CALCS'!$AT:$AT,'MATCH CALCS'!$D:$D=G$3)),COUNTIF(FILTER('MATCH CALCS'!$AT:$AT,'MATCH CALCS'!$D:$D=G$3,'MATCH CALCS'!$A:$A=$B$1),""=Sc"")/CO"&amp;"UNTA(FILTER('MATCH CALCS'!$AT:$AT,'MATCH CALCS'!$D:$D=G$3,'MATCH CALCS'!$A:$A=$B$1))),""-"")"),0)</f>
        <v>0</v>
      </c>
      <c r="H26" s="13">
        <f ca="1">IFERROR(__xludf.DUMMYFUNCTION("IFERROR(IF($B$1=""All"",COUNTIF(FILTER('MATCH CALCS'!$AT:$AT,'MATCH CALCS'!$D:$D=H$3),""=Sc"")/COUNTA(FILTER('MATCH CALCS'!$AT:$AT,'MATCH CALCS'!$D:$D=H$3)),COUNTIF(FILTER('MATCH CALCS'!$AT:$AT,'MATCH CALCS'!$D:$D=H$3,'MATCH CALCS'!$A:$A=$B$1),""=Sc"")/CO"&amp;"UNTA(FILTER('MATCH CALCS'!$AT:$AT,'MATCH CALCS'!$D:$D=H$3,'MATCH CALCS'!$A:$A=$B$1))),""-"")"),0)</f>
        <v>0</v>
      </c>
      <c r="J26" s="6">
        <v>6</v>
      </c>
    </row>
    <row r="27" spans="2:10" ht="12.75">
      <c r="B27" s="13">
        <f ca="1">IFERROR(__xludf.DUMMYFUNCTION("IFERROR(IF($B$1=""All"",COUNTIF(FILTER('MATCH CALCS'!$AT:$AT,'MATCH CALCS'!$D:$D=B$3),""=Dc"")/COUNTA(FILTER('MATCH CALCS'!$AT:$AT,'MATCH CALCS'!$D:$D=B$3)),COUNTIF(FILTER('MATCH CALCS'!$AT:$AT,'MATCH CALCS'!$D:$D=B$3,'MATCH CALCS'!$A:$A=$B$1),""=Dc"")/CO"&amp;"UNTA(FILTER('MATCH CALCS'!$AT:$AT,'MATCH CALCS'!$D:$D=B$3,'MATCH CALCS'!$A:$A=$B$1))),""-"")"),0)</f>
        <v>0</v>
      </c>
      <c r="C27" s="13">
        <f ca="1">IFERROR(__xludf.DUMMYFUNCTION("IFERROR(IF($B$1=""All"",COUNTIF(FILTER('MATCH CALCS'!$AT:$AT,'MATCH CALCS'!$D:$D=C$3),""=Dc"")/COUNTA(FILTER('MATCH CALCS'!$AT:$AT,'MATCH CALCS'!$D:$D=C$3)),COUNTIF(FILTER('MATCH CALCS'!$AT:$AT,'MATCH CALCS'!$D:$D=C$3,'MATCH CALCS'!$A:$A=$B$1),""=Dc"")/CO"&amp;"UNTA(FILTER('MATCH CALCS'!$AT:$AT,'MATCH CALCS'!$D:$D=C$3,'MATCH CALCS'!$A:$A=$B$1))),""-"")"),0)</f>
        <v>0</v>
      </c>
      <c r="D27" s="13">
        <f ca="1">IFERROR(__xludf.DUMMYFUNCTION("IFERROR(IF($B$1=""All"",COUNTIF(FILTER('MATCH CALCS'!$AT:$AT,'MATCH CALCS'!$D:$D=D$3),""=Dc"")/COUNTA(FILTER('MATCH CALCS'!$AT:$AT,'MATCH CALCS'!$D:$D=D$3)),COUNTIF(FILTER('MATCH CALCS'!$AT:$AT,'MATCH CALCS'!$D:$D=D$3,'MATCH CALCS'!$A:$A=$B$1),""=Dc"")/CO"&amp;"UNTA(FILTER('MATCH CALCS'!$AT:$AT,'MATCH CALCS'!$D:$D=D$3,'MATCH CALCS'!$A:$A=$B$1))),""-"")"),0)</f>
        <v>0</v>
      </c>
      <c r="E27" s="11" t="s">
        <v>29</v>
      </c>
      <c r="F27" s="13">
        <f ca="1">IFERROR(__xludf.DUMMYFUNCTION("IFERROR(IF($B$1=""All"",COUNTIF(FILTER('MATCH CALCS'!$AT:$AT,'MATCH CALCS'!$D:$D=F$3),""=Dc"")/COUNTA(FILTER('MATCH CALCS'!$AT:$AT,'MATCH CALCS'!$D:$D=F$3)),COUNTIF(FILTER('MATCH CALCS'!$AT:$AT,'MATCH CALCS'!$D:$D=F$3,'MATCH CALCS'!$A:$A=$B$1),""=Dc"")/CO"&amp;"UNTA(FILTER('MATCH CALCS'!$AT:$AT,'MATCH CALCS'!$D:$D=F$3,'MATCH CALCS'!$A:$A=$B$1))),""-"")"),0)</f>
        <v>0</v>
      </c>
      <c r="G27" s="13">
        <f ca="1">IFERROR(__xludf.DUMMYFUNCTION("IFERROR(IF($B$1=""All"",COUNTIF(FILTER('MATCH CALCS'!$AT:$AT,'MATCH CALCS'!$D:$D=G$3),""=Dc"")/COUNTA(FILTER('MATCH CALCS'!$AT:$AT,'MATCH CALCS'!$D:$D=G$3)),COUNTIF(FILTER('MATCH CALCS'!$AT:$AT,'MATCH CALCS'!$D:$D=G$3,'MATCH CALCS'!$A:$A=$B$1),""=Dc"")/CO"&amp;"UNTA(FILTER('MATCH CALCS'!$AT:$AT,'MATCH CALCS'!$D:$D=G$3,'MATCH CALCS'!$A:$A=$B$1))),""-"")"),0)</f>
        <v>0</v>
      </c>
      <c r="H27" s="13">
        <f ca="1">IFERROR(__xludf.DUMMYFUNCTION("IFERROR(IF($B$1=""All"",COUNTIF(FILTER('MATCH CALCS'!$AT:$AT,'MATCH CALCS'!$D:$D=H$3),""=Dc"")/COUNTA(FILTER('MATCH CALCS'!$AT:$AT,'MATCH CALCS'!$D:$D=H$3)),COUNTIF(FILTER('MATCH CALCS'!$AT:$AT,'MATCH CALCS'!$D:$D=H$3,'MATCH CALCS'!$A:$A=$B$1),""=Dc"")/CO"&amp;"UNTA(FILTER('MATCH CALCS'!$AT:$AT,'MATCH CALCS'!$D:$D=H$3,'MATCH CALCS'!$A:$A=$B$1))),""-"")"),0)</f>
        <v>0</v>
      </c>
      <c r="J27" s="6">
        <v>12</v>
      </c>
    </row>
    <row r="28" spans="2:10" ht="12.75">
      <c r="B28" s="156" t="s">
        <v>30</v>
      </c>
      <c r="C28" s="157"/>
      <c r="D28" s="157"/>
      <c r="E28" s="157"/>
      <c r="F28" s="157"/>
      <c r="G28" s="157"/>
      <c r="H28" s="157"/>
    </row>
    <row r="29" spans="2:10" ht="12.75">
      <c r="B29" s="6" t="str">
        <f ca="1">IFERROR(__xludf.DUMMYFUNCTION("FILTER('STRATEGY VIBE RAW DATA'!$J:$J, 'STRATEGY VIBE RAW DATA'!$K:$K = ""Yes"", 'STRATEGY VIBE RAW DATA'!$P:$P=B$3)"),"#N/A")</f>
        <v>#N/A</v>
      </c>
      <c r="C29" s="6" t="str">
        <f ca="1">IFERROR(__xludf.DUMMYFUNCTION("FILTER('STRATEGY VIBE RAW DATA'!$J:$J, 'STRATEGY VIBE RAW DATA'!$K:$K = ""Yes"", 'STRATEGY VIBE RAW DATA'!$P:$P=C$3)"),"#N/A")</f>
        <v>#N/A</v>
      </c>
      <c r="D29" s="6" t="str">
        <f ca="1">IFERROR(__xludf.DUMMYFUNCTION("FILTER('STRATEGY VIBE RAW DATA'!$J:$J, 'STRATEGY VIBE RAW DATA'!$K:$K = ""Yes"", 'STRATEGY VIBE RAW DATA'!$P:$P=D$3)"),"#N/A")</f>
        <v>#N/A</v>
      </c>
      <c r="E29" s="11" t="s">
        <v>31</v>
      </c>
      <c r="F29" s="6" t="str">
        <f ca="1">IFERROR(__xludf.DUMMYFUNCTION("FILTER('STRATEGY VIBE RAW DATA'!$J:$J, 'STRATEGY VIBE RAW DATA'!$K:$K = ""Yes"", 'STRATEGY VIBE RAW DATA'!$P:$P=F$3)"),"#N/A")</f>
        <v>#N/A</v>
      </c>
      <c r="G29" s="6" t="str">
        <f ca="1">IFERROR(__xludf.DUMMYFUNCTION("FILTER('STRATEGY VIBE RAW DATA'!$J:$J, 'STRATEGY VIBE RAW DATA'!$K:$K = ""Yes"", 'STRATEGY VIBE RAW DATA'!$P:$P=G$3)"),"#N/A")</f>
        <v>#N/A</v>
      </c>
      <c r="H29" s="6" t="str">
        <f ca="1">IFERROR(__xludf.DUMMYFUNCTION("FILTER('STRATEGY VIBE RAW DATA'!$J:$J, 'STRATEGY VIBE RAW DATA'!$K:$K = ""Yes"", 'STRATEGY VIBE RAW DATA'!$P:$P=H$3)"),"#N/A")</f>
        <v>#N/A</v>
      </c>
    </row>
    <row r="30" spans="2:10" ht="12.75">
      <c r="B30" s="9" t="str">
        <f ca="1">IFERROR(__xludf.DUMMYFUNCTION("IFERROR(IF($B$1=""All"",IF(COUNT(FILTER('MATCH CALCS'!$BJ:$BJ,'MATCH CALCS'!$D:$D=B$3))&gt;0,""Yes"",""No""),IF(COUNT(FILTER('MATCH CALCS'!$BJ:$BJ,'MATCH CALCS'!$D:$D=B$3,'MATCH CALCS'!$A:$A=$B$1))&gt;0,""Yes"",""No"")),""-"")"),"No")</f>
        <v>No</v>
      </c>
      <c r="C30" s="9" t="str">
        <f ca="1">IFERROR(__xludf.DUMMYFUNCTION("IFERROR(IF($B$1=""All"",IF(COUNT(FILTER('MATCH CALCS'!$BJ:$BJ,'MATCH CALCS'!$D:$D=C$3))&gt;0,""Yes"",""No""),IF(COUNT(FILTER('MATCH CALCS'!$BJ:$BJ,'MATCH CALCS'!$D:$D=C$3,'MATCH CALCS'!$A:$A=$B$1))&gt;0,""Yes"",""No"")),""-"")"),"No")</f>
        <v>No</v>
      </c>
      <c r="D30" s="9" t="str">
        <f ca="1">IFERROR(__xludf.DUMMYFUNCTION("IFERROR(IF($B$1=""All"",IF(COUNT(FILTER('MATCH CALCS'!$BJ:$BJ,'MATCH CALCS'!$D:$D=D$3))&gt;0,""Yes"",""No""),IF(COUNT(FILTER('MATCH CALCS'!$BJ:$BJ,'MATCH CALCS'!$D:$D=D$3,'MATCH CALCS'!$A:$A=$B$1))&gt;0,""Yes"",""No"")),""-"")"),"No")</f>
        <v>No</v>
      </c>
      <c r="E30" s="11" t="s">
        <v>32</v>
      </c>
      <c r="F30" s="9" t="str">
        <f ca="1">IFERROR(__xludf.DUMMYFUNCTION("IFERROR(IF($B$1=""All"",IF(COUNT(FILTER('MATCH CALCS'!$BJ:$BJ,'MATCH CALCS'!$D:$D=F$3))&gt;0,""Yes"",""No""),IF(COUNT(FILTER('MATCH CALCS'!$BJ:$BJ,'MATCH CALCS'!$D:$D=F$3,'MATCH CALCS'!$A:$A=$B$1))&gt;0,""Yes"",""No"")),""-"")"),"No")</f>
        <v>No</v>
      </c>
      <c r="G30" s="9" t="str">
        <f ca="1">IFERROR(__xludf.DUMMYFUNCTION("IFERROR(IF($B$1=""All"",IF(COUNT(FILTER('MATCH CALCS'!$BJ:$BJ,'MATCH CALCS'!$D:$D=G$3))&gt;0,""Yes"",""No""),IF(COUNT(FILTER('MATCH CALCS'!$BJ:$BJ,'MATCH CALCS'!$D:$D=G$3,'MATCH CALCS'!$A:$A=$B$1))&gt;0,""Yes"",""No"")),""-"")"),"No")</f>
        <v>No</v>
      </c>
      <c r="H30" s="9" t="str">
        <f ca="1">IFERROR(__xludf.DUMMYFUNCTION("IFERROR(IF($B$1=""All"",IF(COUNT(FILTER('MATCH CALCS'!$BJ:$BJ,'MATCH CALCS'!$D:$D=H$3))&gt;0,""Yes"",""No""),IF(COUNT(FILTER('MATCH CALCS'!$BJ:$BJ,'MATCH CALCS'!$D:$D=H$3,'MATCH CALCS'!$A:$A=$B$1))&gt;0,""Yes"",""No"")),""-"")"),"No")</f>
        <v>No</v>
      </c>
    </row>
    <row r="31" spans="2:10" ht="12.75">
      <c r="E31" s="6"/>
    </row>
    <row r="32" spans="2:10" ht="12.75">
      <c r="B32" s="6">
        <f ca="1">IFERROR(__xludf.DUMMYFUNCTION("IFERROR(IF($B$1=""All"",COUNT(FILTER('MATCH CALCS'!$AW:$AW,'MATCH CALCS'!$D:$D=B$3)),COUNT(FILTER('MATCH CALCS'!$AW:$AW,'MATCH CALCS'!$D:$D=B$3,'MATCH CALCS'!$A:$A=$B$1))),""-"")"),0)</f>
        <v>0</v>
      </c>
      <c r="C32" s="6">
        <f ca="1">IFERROR(__xludf.DUMMYFUNCTION("IFERROR(IF($B$1=""All"",COUNT(FILTER('MATCH CALCS'!$AW:$AW,'MATCH CALCS'!$D:$D=C$3)),COUNT(FILTER('MATCH CALCS'!$AW:$AW,'MATCH CALCS'!$D:$D=C$3,'MATCH CALCS'!$A:$A=$B$1))),""-"")"),0)</f>
        <v>0</v>
      </c>
      <c r="D32" s="6">
        <f ca="1">IFERROR(__xludf.DUMMYFUNCTION("IFERROR(IF($B$1=""All"",COUNT(FILTER('MATCH CALCS'!$AW:$AW,'MATCH CALCS'!$D:$D=D$3)),COUNT(FILTER('MATCH CALCS'!$AW:$AW,'MATCH CALCS'!$D:$D=D$3,'MATCH CALCS'!$A:$A=$B$1))),""-"")"),0)</f>
        <v>0</v>
      </c>
      <c r="E32" s="6" t="s">
        <v>33</v>
      </c>
      <c r="F32" s="6">
        <f ca="1">IFERROR(__xludf.DUMMYFUNCTION("IFERROR(IF($B$1=""All"",COUNT(FILTER('MATCH CALCS'!$AW:$AW,'MATCH CALCS'!$D:$D=F$3)),COUNT(FILTER('MATCH CALCS'!$AW:$AW,'MATCH CALCS'!$D:$D=F$3,'MATCH CALCS'!$A:$A=$B$1))),""-"")"),0)</f>
        <v>0</v>
      </c>
      <c r="G32" s="6">
        <f ca="1">IFERROR(__xludf.DUMMYFUNCTION("IFERROR(IF($B$1=""All"",COUNT(FILTER('MATCH CALCS'!$AW:$AW,'MATCH CALCS'!$D:$D=G$3)),COUNT(FILTER('MATCH CALCS'!$AW:$AW,'MATCH CALCS'!$D:$D=G$3,'MATCH CALCS'!$A:$A=$B$1))),""-"")"),0)</f>
        <v>0</v>
      </c>
      <c r="H32" s="6">
        <f ca="1">IFERROR(__xludf.DUMMYFUNCTION("IFERROR(IF($B$1=""All"",COUNT(FILTER('MATCH CALCS'!$AW:$AW,'MATCH CALCS'!$D:$D=H$3)),COUNT(FILTER('MATCH CALCS'!$AW:$AW,'MATCH CALCS'!$D:$D=H$3,'MATCH CALCS'!$A:$A=$B$1))),""-"")"),0)</f>
        <v>0</v>
      </c>
    </row>
  </sheetData>
  <mergeCells count="11">
    <mergeCell ref="B9:H9"/>
    <mergeCell ref="B17:H17"/>
    <mergeCell ref="B24:H24"/>
    <mergeCell ref="B28:H28"/>
    <mergeCell ref="B1:C1"/>
    <mergeCell ref="E1:H1"/>
    <mergeCell ref="B4:D4"/>
    <mergeCell ref="F4:H4"/>
    <mergeCell ref="B5:D5"/>
    <mergeCell ref="F5:H5"/>
    <mergeCell ref="B8:H8"/>
  </mergeCells>
  <dataValidations count="1">
    <dataValidation type="list" allowBlank="1" showErrorMessage="1" sqref="B1" xr:uid="{00000000-0002-0000-0100-000000000000}">
      <formula1>"Qualifications,Practice,All"</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900FF"/>
    <outlinePr summaryBelow="0" summaryRight="0"/>
  </sheetPr>
  <dimension ref="A1:BO1503"/>
  <sheetViews>
    <sheetView workbookViewId="0"/>
  </sheetViews>
  <sheetFormatPr defaultColWidth="12.5703125" defaultRowHeight="15.75" customHeight="1"/>
  <cols>
    <col min="1" max="1" width="16.140625" customWidth="1"/>
    <col min="2" max="2" width="17.28515625" customWidth="1"/>
    <col min="3" max="3" width="2.7109375" customWidth="1"/>
    <col min="4" max="4" width="8" customWidth="1"/>
    <col min="5" max="5" width="7" customWidth="1"/>
    <col min="6" max="6" width="14" customWidth="1"/>
    <col min="7" max="7" width="9.28515625" customWidth="1"/>
    <col min="8" max="8" width="14.42578125" customWidth="1"/>
    <col min="9" max="9" width="2.7109375" customWidth="1"/>
    <col min="11" max="11" width="13.42578125" customWidth="1"/>
    <col min="12" max="28" width="14.42578125" customWidth="1"/>
    <col min="29" max="29" width="4.5703125" customWidth="1"/>
    <col min="30" max="30" width="6.85546875" customWidth="1"/>
    <col min="31" max="31" width="13.42578125" customWidth="1"/>
    <col min="32" max="32" width="5.42578125" customWidth="1"/>
    <col min="33" max="36" width="7.28515625" customWidth="1"/>
    <col min="37" max="37" width="10.7109375" customWidth="1"/>
    <col min="38" max="38" width="8.42578125" customWidth="1"/>
    <col min="39" max="39" width="13.28515625" customWidth="1"/>
    <col min="40" max="40" width="9.28515625" customWidth="1"/>
    <col min="41" max="41" width="5" customWidth="1"/>
    <col min="42" max="45" width="7.28515625" customWidth="1"/>
    <col min="46" max="46" width="10.7109375" customWidth="1"/>
    <col min="47" max="47" width="8.42578125" customWidth="1"/>
    <col min="48" max="48" width="13.28515625" customWidth="1"/>
    <col min="49" max="49" width="9.28515625" customWidth="1"/>
    <col min="50" max="50" width="4.42578125" customWidth="1"/>
    <col min="51" max="51" width="8.140625" customWidth="1"/>
    <col min="52" max="52" width="5.7109375" customWidth="1"/>
    <col min="53" max="53" width="9.42578125" customWidth="1"/>
    <col min="54" max="54" width="5" customWidth="1"/>
    <col min="55" max="55" width="38.42578125" customWidth="1"/>
    <col min="56" max="56" width="57.28515625" customWidth="1"/>
    <col min="57" max="57" width="8.140625" customWidth="1"/>
    <col min="58" max="67" width="23.28515625" customWidth="1"/>
  </cols>
  <sheetData>
    <row r="1" spans="1:67" ht="32.25" customHeight="1">
      <c r="A1" s="164">
        <v>2502</v>
      </c>
      <c r="B1" s="157"/>
      <c r="C1" s="14"/>
      <c r="D1" s="169" t="s">
        <v>35</v>
      </c>
      <c r="E1" s="166"/>
      <c r="F1" s="166"/>
      <c r="G1" s="166"/>
      <c r="H1" s="166"/>
      <c r="I1" s="14"/>
      <c r="J1" s="165" t="s">
        <v>36</v>
      </c>
      <c r="K1" s="166"/>
      <c r="L1" s="166"/>
      <c r="M1" s="166"/>
      <c r="N1" s="166"/>
      <c r="O1" s="166"/>
      <c r="P1" s="166"/>
      <c r="Q1" s="166"/>
      <c r="R1" s="166"/>
      <c r="S1" s="166"/>
      <c r="T1" s="166"/>
      <c r="U1" s="166"/>
      <c r="V1" s="166"/>
      <c r="W1" s="166"/>
      <c r="X1" s="166"/>
      <c r="Y1" s="166"/>
      <c r="Z1" s="166"/>
      <c r="AA1" s="166"/>
      <c r="AB1" s="166"/>
      <c r="AC1" s="15"/>
      <c r="AE1" s="167" t="s">
        <v>37</v>
      </c>
      <c r="AF1" s="157"/>
      <c r="AG1" s="157"/>
      <c r="AH1" s="157"/>
      <c r="AI1" s="157"/>
      <c r="AJ1" s="157"/>
      <c r="AK1" s="157"/>
      <c r="AL1" s="157"/>
      <c r="AM1" s="157"/>
      <c r="AN1" s="157"/>
      <c r="AP1" s="167" t="s">
        <v>25</v>
      </c>
      <c r="AQ1" s="157"/>
      <c r="AR1" s="157"/>
      <c r="AS1" s="157"/>
      <c r="AT1" s="157"/>
      <c r="AU1" s="157"/>
      <c r="AV1" s="157"/>
      <c r="AW1" s="157"/>
      <c r="AY1" s="167" t="s">
        <v>38</v>
      </c>
      <c r="AZ1" s="157"/>
      <c r="BA1" s="157"/>
      <c r="BC1" s="167" t="s">
        <v>39</v>
      </c>
      <c r="BD1" s="157"/>
      <c r="BF1" s="6"/>
      <c r="BG1" s="6"/>
      <c r="BH1" s="6"/>
      <c r="BI1" s="6"/>
      <c r="BJ1" s="6"/>
      <c r="BK1" s="6"/>
      <c r="BL1" s="6"/>
      <c r="BM1" s="6"/>
      <c r="BN1" s="6"/>
      <c r="BO1" s="6"/>
    </row>
    <row r="2" spans="1:67" ht="32.25" customHeight="1">
      <c r="A2" s="168" t="s">
        <v>0</v>
      </c>
      <c r="B2" s="166"/>
      <c r="C2" s="16"/>
      <c r="D2" s="170" t="s">
        <v>37</v>
      </c>
      <c r="E2" s="166"/>
      <c r="F2" s="166"/>
      <c r="G2" s="166"/>
      <c r="H2" s="159"/>
      <c r="I2" s="16"/>
      <c r="J2" s="17"/>
      <c r="K2" s="18" t="s">
        <v>1</v>
      </c>
      <c r="L2" s="19">
        <f t="array" ref="L2:AB2" ca="1">TRANSPOSE(AD3:AD19)</f>
        <v>2</v>
      </c>
      <c r="M2" s="20">
        <f ca="1"/>
        <v>4</v>
      </c>
      <c r="N2" s="20">
        <f ca="1"/>
        <v>11</v>
      </c>
      <c r="O2" s="20">
        <f ca="1"/>
        <v>18</v>
      </c>
      <c r="P2" s="20">
        <v>0</v>
      </c>
      <c r="Q2" s="20">
        <v>0</v>
      </c>
      <c r="R2" s="20">
        <v>0</v>
      </c>
      <c r="S2" s="20">
        <v>0</v>
      </c>
      <c r="T2" s="20">
        <v>0</v>
      </c>
      <c r="U2" s="20">
        <v>0</v>
      </c>
      <c r="V2" s="20">
        <v>0</v>
      </c>
      <c r="W2" s="20">
        <v>0</v>
      </c>
      <c r="X2" s="20">
        <v>0</v>
      </c>
      <c r="Y2" s="21">
        <v>0</v>
      </c>
      <c r="Z2" s="21">
        <v>0</v>
      </c>
      <c r="AA2" s="21">
        <v>0</v>
      </c>
      <c r="AB2" s="21">
        <v>0</v>
      </c>
      <c r="AC2" s="15"/>
      <c r="AD2" s="6" t="str">
        <f t="array" ref="AD2:BD2">TRANSPOSE(K2:K28)</f>
        <v>Match #</v>
      </c>
      <c r="AE2" s="6" t="str">
        <v>Starting Location</v>
      </c>
      <c r="AF2" s="6" t="str">
        <v>Leave</v>
      </c>
      <c r="AG2" s="6" t="str">
        <v>Coral L4</v>
      </c>
      <c r="AH2" s="6" t="str">
        <v>Coral L3</v>
      </c>
      <c r="AI2" s="6" t="str">
        <v>Coral L2</v>
      </c>
      <c r="AJ2" s="6" t="str">
        <v>Coral L1</v>
      </c>
      <c r="AK2" s="6" t="str">
        <v>Coral Missed</v>
      </c>
      <c r="AL2" s="6" t="str">
        <v>Net Algae</v>
      </c>
      <c r="AM2" s="6" t="str">
        <v>Processor Algae</v>
      </c>
      <c r="AN2" s="6" t="str">
        <v>Net Misses</v>
      </c>
      <c r="AO2" s="6">
        <v>0</v>
      </c>
      <c r="AP2" s="6" t="str">
        <v>Coral L4</v>
      </c>
      <c r="AQ2" s="6" t="str">
        <v>Coral L3</v>
      </c>
      <c r="AR2" s="6" t="str">
        <v>Coral L2</v>
      </c>
      <c r="AS2" s="6" t="str">
        <v>Coral L1</v>
      </c>
      <c r="AT2" s="6" t="str">
        <v>Coral Missed</v>
      </c>
      <c r="AU2" s="6" t="str">
        <v>Net Algae</v>
      </c>
      <c r="AV2" s="6" t="str">
        <v>Processor Algae</v>
      </c>
      <c r="AW2" s="6" t="str">
        <v>Net Misses</v>
      </c>
      <c r="AX2" s="6">
        <v>0</v>
      </c>
      <c r="AY2" s="6" t="str">
        <v>Strategy</v>
      </c>
      <c r="AZ2" s="6" t="str">
        <v>Result</v>
      </c>
      <c r="BA2" s="6" t="str">
        <v>Climb Time</v>
      </c>
      <c r="BB2" s="9">
        <v>0</v>
      </c>
      <c r="BC2" s="6" t="str">
        <v>Endgame</v>
      </c>
      <c r="BD2" s="6" t="str">
        <v>General</v>
      </c>
      <c r="BE2" s="6"/>
      <c r="BF2" s="6"/>
      <c r="BG2" s="6"/>
      <c r="BH2" s="6"/>
      <c r="BI2" s="6"/>
      <c r="BJ2" s="6"/>
      <c r="BK2" s="6"/>
      <c r="BL2" s="6"/>
      <c r="BM2" s="6"/>
      <c r="BN2" s="6"/>
      <c r="BO2" s="6"/>
    </row>
    <row r="3" spans="1:67" ht="12.75">
      <c r="A3" s="6" t="s">
        <v>52</v>
      </c>
      <c r="B3" s="22" t="str">
        <f ca="1">IFERROR(__xludf.DUMMYFUNCTION("FILTER('TEAM NAME AND NUMBER'!E:E,'TEAM NAME AND NUMBER'!D:D=A1)"),"Talon Robotics")</f>
        <v>Talon Robotics</v>
      </c>
      <c r="C3" s="23"/>
      <c r="D3" s="6" t="s">
        <v>53</v>
      </c>
      <c r="E3" s="24">
        <f ca="1">SUM(L5:AB8)/SUM(L5:AB9)</f>
        <v>0</v>
      </c>
      <c r="F3" s="25" t="s">
        <v>54</v>
      </c>
      <c r="G3" s="167" t="s">
        <v>55</v>
      </c>
      <c r="H3" s="171"/>
      <c r="I3" s="23"/>
      <c r="J3" s="172" t="s">
        <v>56</v>
      </c>
      <c r="K3" s="26" t="s">
        <v>40</v>
      </c>
      <c r="L3" s="27" t="str">
        <f t="array" ref="L3:AB3" ca="1">TRANSPOSE(AE3:AE19)</f>
        <v>Middle</v>
      </c>
      <c r="M3" s="28" t="str">
        <f ca="1"/>
        <v>Blue Barge</v>
      </c>
      <c r="N3" s="28" t="str">
        <f ca="1"/>
        <v>Middle</v>
      </c>
      <c r="O3" s="28" t="str">
        <f ca="1"/>
        <v>Middle</v>
      </c>
      <c r="P3" s="28">
        <v>0</v>
      </c>
      <c r="Q3" s="28">
        <v>0</v>
      </c>
      <c r="R3" s="28">
        <v>0</v>
      </c>
      <c r="S3" s="28">
        <v>0</v>
      </c>
      <c r="T3" s="28">
        <v>0</v>
      </c>
      <c r="U3" s="28">
        <v>0</v>
      </c>
      <c r="V3" s="28">
        <v>0</v>
      </c>
      <c r="W3" s="28">
        <v>0</v>
      </c>
      <c r="X3" s="28">
        <v>0</v>
      </c>
      <c r="Y3" s="29">
        <v>0</v>
      </c>
      <c r="Z3" s="29">
        <v>0</v>
      </c>
      <c r="AA3" s="29">
        <v>0</v>
      </c>
      <c r="AB3" s="29">
        <v>0</v>
      </c>
      <c r="AC3" s="15"/>
      <c r="AD3" s="6">
        <f ca="1">IFERROR(__xludf.DUMMYFUNCTION("IF($A$2=""All"",FILTER('MATCH CALCS'!B:B,'MATCH CALCS'!$D:$D=$A$1),FILTER('MATCH CALCS'!B:B,'MATCH CALCS'!$D:$D=$A$1,'MATCH CALCS'!A:A=$A$2))"),2)</f>
        <v>2</v>
      </c>
      <c r="AE3" s="6" t="str">
        <f ca="1">IFERROR(__xludf.DUMMYFUNCTION("IF($A$2=""All"",FILTER('MATCH CALCS'!F:F,'MATCH CALCS'!$D:$D=$A$1),FILTER('MATCH CALCS'!F:F,'MATCH CALCS'!$D:$D=$A$1,'MATCH CALCS'!A:A=$A$2))"),"Middle")</f>
        <v>Middle</v>
      </c>
      <c r="AF3" s="6" t="b">
        <f ca="1">IFERROR(__xludf.DUMMYFUNCTION("IF($A$2=""All"",FILTER('MATCH CALCS'!H:H,'MATCH CALCS'!$D:$D=$A$1),FILTER('MATCH CALCS'!H:H,'MATCH CALCS'!$D:$D=$A$1,'MATCH CALCS'!A:A=$A$2))"),TRUE)</f>
        <v>1</v>
      </c>
      <c r="AG3" s="6">
        <f ca="1">IFERROR(__xludf.DUMMYFUNCTION("IF($A$2=""All"",FILTER('MATCH CALCS'!L:L,'MATCH CALCS'!$D:$D=$A$1),FILTER('MATCH CALCS'!L:L,'MATCH CALCS'!$D:$D=$A$1,'MATCH CALCS'!A:A=$A$2))"),0)</f>
        <v>0</v>
      </c>
      <c r="AH3" s="6">
        <f ca="1">IFERROR(__xludf.DUMMYFUNCTION("IF($A$2=""All"",FILTER('MATCH CALCS'!M:M,'MATCH CALCS'!$D:$D=$A$1),FILTER('MATCH CALCS'!M:M,'MATCH CALCS'!$D:$D=$A$1,'MATCH CALCS'!A:A=$A$2))"),0)</f>
        <v>0</v>
      </c>
      <c r="AI3" s="6">
        <f ca="1">IFERROR(__xludf.DUMMYFUNCTION("IF($A$2=""All"",FILTER('MATCH CALCS'!N:N,'MATCH CALCS'!$D:$D=$A$1),FILTER('MATCH CALCS'!N:N,'MATCH CALCS'!$D:$D=$A$1,'MATCH CALCS'!A:A=$A$2))"),0)</f>
        <v>0</v>
      </c>
      <c r="AJ3" s="6">
        <f ca="1">IFERROR(__xludf.DUMMYFUNCTION("IF($A$2=""All"",FILTER('MATCH CALCS'!O:O,'MATCH CALCS'!$D:$D=$A$1),FILTER('MATCH CALCS'!O:O,'MATCH CALCS'!$D:$D=$A$1,'MATCH CALCS'!A:A=$A$2))"),0)</f>
        <v>0</v>
      </c>
      <c r="AK3" s="6">
        <f ca="1">IFERROR(__xludf.DUMMYFUNCTION("IF($A$2=""All"",FILTER('MATCH CALCS'!P:P,'MATCH CALCS'!$D:$D=$A$1),FILTER('MATCH CALCS'!P:P,'MATCH CALCS'!$D:$D=$A$1,'MATCH CALCS'!A:A=$A$2))"),0)</f>
        <v>0</v>
      </c>
      <c r="AL3" s="6">
        <f ca="1">IFERROR(__xludf.DUMMYFUNCTION("IF($A$2=""All"",FILTER('MATCH CALCS'!S:S,'MATCH CALCS'!$D:$D=$A$1),FILTER('MATCH CALCS'!S:S,'MATCH CALCS'!$D:$D=$A$1,'MATCH CALCS'!A:A=$A$2))"),0)</f>
        <v>0</v>
      </c>
      <c r="AM3" s="6">
        <f ca="1">IFERROR(__xludf.DUMMYFUNCTION("IF($A$2=""All"",FILTER('MATCH CALCS'!R:R,'MATCH CALCS'!$D:$D=$A$1),FILTER('MATCH CALCS'!R:R,'MATCH CALCS'!$D:$D=$A$1,'MATCH CALCS'!A:A=$A$2))"),0)</f>
        <v>0</v>
      </c>
      <c r="AN3" s="6">
        <f ca="1">IFERROR(__xludf.DUMMYFUNCTION("IF($A$2=""All"",FILTER('MATCH CALCS'!T:T,'MATCH CALCS'!$D:$D=$A$1),FILTER('MATCH CALCS'!T:T,'MATCH CALCS'!$D:$D=$A$1,'MATCH CALCS'!A:A=$A$2))"),0)</f>
        <v>0</v>
      </c>
      <c r="AP3" s="6">
        <f ca="1">IFERROR(__xludf.DUMMYFUNCTION("IF($A$2=""All"",FILTER('MATCH CALCS'!AE:AE,'MATCH CALCS'!$D:$D=$A$1),FILTER('MATCH CALCS'!AE:AE,'MATCH CALCS'!$D:$D=$A$1,'MATCH CALCS'!A:A=$A$2))"),3)</f>
        <v>3</v>
      </c>
      <c r="AQ3" s="6">
        <f ca="1">IFERROR(__xludf.DUMMYFUNCTION("IF($A$2=""All"",FILTER('MATCH CALCS'!AF:AF,'MATCH CALCS'!$D:$D=$A$1),FILTER('MATCH CALCS'!AF:AF,'MATCH CALCS'!$D:$D=$A$1,'MATCH CALCS'!A:A=$A$2))"),0)</f>
        <v>0</v>
      </c>
      <c r="AR3" s="6">
        <f ca="1">IFERROR(__xludf.DUMMYFUNCTION("IF($A$2=""All"",FILTER('MATCH CALCS'!AG:AG,'MATCH CALCS'!$D:$D=$A$1),FILTER('MATCH CALCS'!AG:AG,'MATCH CALCS'!$D:$D=$A$1,'MATCH CALCS'!A:A=$A$2))"),1)</f>
        <v>1</v>
      </c>
      <c r="AS3" s="6">
        <f ca="1">IFERROR(__xludf.DUMMYFUNCTION("IF($A$2=""All"",FILTER('MATCH CALCS'!AH:AH,'MATCH CALCS'!$D:$D=$A$1),FILTER('MATCH CALCS'!AH:AH,'MATCH CALCS'!$D:$D=$A$1,'MATCH CALCS'!A:A=$A$2))"),0)</f>
        <v>0</v>
      </c>
      <c r="AT3" s="6">
        <f ca="1">IFERROR(__xludf.DUMMYFUNCTION("IF($A$2=""All"",FILTER('MATCH CALCS'!AI:AI,'MATCH CALCS'!$D:$D=$A$1),FILTER('MATCH CALCS'!AI:AI,'MATCH CALCS'!$D:$D=$A$1,'MATCH CALCS'!A:A=$A$2))"),3)</f>
        <v>3</v>
      </c>
      <c r="AU3" s="6">
        <f ca="1">IFERROR(__xludf.DUMMYFUNCTION("IF($A$2=""All"",FILTER('MATCH CALCS'!X:X,'MATCH CALCS'!$D:$D=$A$1),FILTER('MATCH CALCS'!X:X,'MATCH CALCS'!$D:$D=$A$1,'MATCH CALCS'!A:A=$A$2))"),0)</f>
        <v>0</v>
      </c>
      <c r="AV3" s="6">
        <f ca="1">IFERROR(__xludf.DUMMYFUNCTION("IF($A$2=""All"",FILTER('MATCH CALCS'!W:W,'MATCH CALCS'!$D:$D=$A$1),FILTER('MATCH CALCS'!W:W,'MATCH CALCS'!$D:$D=$A$1,'MATCH CALCS'!A:A=$A$2))"),0)</f>
        <v>0</v>
      </c>
      <c r="AW3" s="6">
        <f ca="1">IFERROR(__xludf.DUMMYFUNCTION("IF($A$2=""All"",FILTER('MATCH CALCS'!Y:Y,'MATCH CALCS'!$D:$D=$A$1),FILTER('MATCH CALCS'!Y:Y,'MATCH CALCS'!$D:$D=$A$1,'MATCH CALCS'!A:A=$A$2))"),0)</f>
        <v>0</v>
      </c>
      <c r="AX3" s="6"/>
      <c r="AY3" s="6" t="str">
        <f ca="1">IFERROR(__xludf.DUMMYFUNCTION("IF($A$2=""All"",FILTER('MATCH CALCS'!AK:AK,'MATCH CALCS'!$D:$D=$A$1),FILTER('MATCH CALCS'!AK:AK,'MATCH CALCS'!$D:$D=$A$1,'MATCH CALCS'!A:A=$A$2))"),"Dc")</f>
        <v>Dc</v>
      </c>
      <c r="AZ3" s="6" t="str">
        <f ca="1">IFERROR(__xludf.DUMMYFUNCTION("IF($A$2=""All"",FILTER('MATCH CALCS'!AT:AT,'MATCH CALCS'!$D:$D=$A$1),FILTER('MATCH CALCS'!AT:AT,'MATCH CALCS'!$D:$D=$A$1,'MATCH CALCS'!A:A=$A$2))"),"P")</f>
        <v>P</v>
      </c>
      <c r="BA3" s="6">
        <f ca="1">IFERROR(__xludf.DUMMYFUNCTION("IF($A$2=""All"",FILTER('MATCH CALCS'!AL:AL,'MATCH CALCS'!$D:$D=$A$1),FILTER('MATCH CALCS'!AL:AL,'MATCH CALCS'!$D:$D=$A$1,'MATCH CALCS'!A:A=$A$2))"),0)</f>
        <v>0</v>
      </c>
      <c r="BB3" s="6"/>
      <c r="BC3" s="6" t="str">
        <f ca="1">IFERROR(__xludf.DUMMYFUNCTION("IF($A$2=""All"",FILTER('MATCH CALCS'!AO:AO,'MATCH CALCS'!$D:$D=$A$1),FILTER('MATCH CALCS'!AO:AO,'MATCH CALCS'!$D:$D=$A$1,'MATCH CALCS'!A:A=$A$2))"),"")</f>
        <v/>
      </c>
      <c r="BD3" s="6" t="str">
        <f ca="1">IFERROR(__xludf.DUMMYFUNCTION("IF($A$2=""All"",FILTER('RAW MATCH DATA'!AX:AX,'RAW MATCH DATA'!$F:$F=$A$1),FILTER('RAW MATCH DATA'!AX:AX,'RAW MATCH DATA'!$F:$F=$A$1,'RAW MATCH DATA'!C:C=$A$2))"),"")</f>
        <v/>
      </c>
      <c r="BE3" s="6"/>
      <c r="BF3" s="6"/>
      <c r="BG3" s="6"/>
      <c r="BH3" s="6"/>
      <c r="BI3" s="6"/>
      <c r="BJ3" s="6"/>
      <c r="BK3" s="6"/>
      <c r="BL3" s="6"/>
      <c r="BM3" s="6"/>
      <c r="BN3" s="6"/>
      <c r="BO3" s="6"/>
    </row>
    <row r="4" spans="1:67" ht="12.75">
      <c r="A4" s="6" t="s">
        <v>59</v>
      </c>
      <c r="B4" s="30" t="str">
        <f ca="1">IFERROR(__xludf.DUMMYFUNCTION("FILTER('TEAM RANKING'!A:A,'TEAM RANKING'!K:K=A1)"),"#N/A")</f>
        <v>#N/A</v>
      </c>
      <c r="C4" s="23"/>
      <c r="D4" s="6" t="s">
        <v>60</v>
      </c>
      <c r="E4" s="31">
        <f t="shared" ref="E4:E7" ca="1" si="0">AVERAGE(L5:AB5)</f>
        <v>0</v>
      </c>
      <c r="F4" s="24">
        <f ca="1">AVERAGEA(L4:AB4)</f>
        <v>0.17647058823529413</v>
      </c>
      <c r="G4" s="167" t="str">
        <f ca="1">IFERROR(__xludf.DUMMYFUNCTION("IF(COUNT(FILTER('MATCH CALCS'!BK3:BK1503,'MATCH CALCS'!D3:D1503=A1))&gt;0,IF(COUNT(FILTER('MATCH CALCS'!BL3:BL1503,'MATCH CALCS'!D3:D1503=A1))&gt;0,IF(COUNT(FILTER('MATCH CALCS'!BM3:BM1503,'MATCH CALCS'!D3:D1503=A1))&gt;0,""All"",""Both Feeders""),IF(COUNT(FILTER("&amp;"'MATCH CALCS'!BM3:BM1503,'MATCH CALCS'!D3:D1503=A1))&gt;0,""Barge Feeder and Floor"",""Barge Feeder"")),IF(COUNT(FILTER('MATCH CALCS'!BL3:BL1503,'MATCH CALCS'!D3:D1503=A1))&gt;0,IF(COUNT(FILTER('MATCH CALCS'!BM3:BM1503,'MATCH CALCS'!D3:D1503=A1))&gt;0,""Processor "&amp;"Feeder and Floor"",""Processor Feeder""),IF(COUNT(FILTER('MATCH CALCS'!BM3:BM1503,'MATCH CALCS'!D3:D1503=A1))&gt;0,""Floor"",""None"")))"),"All")</f>
        <v>All</v>
      </c>
      <c r="H4" s="171"/>
      <c r="I4" s="23"/>
      <c r="J4" s="157"/>
      <c r="K4" s="32" t="s">
        <v>41</v>
      </c>
      <c r="L4" s="33" t="b">
        <f t="array" ref="L4:AB4" ca="1">TRANSPOSE(AF3:AF19)</f>
        <v>1</v>
      </c>
      <c r="M4" s="34" t="b">
        <f ca="1"/>
        <v>1</v>
      </c>
      <c r="N4" s="34" t="b">
        <f ca="1"/>
        <v>1</v>
      </c>
      <c r="O4" s="34" t="b">
        <f ca="1"/>
        <v>0</v>
      </c>
      <c r="P4" s="34">
        <v>0</v>
      </c>
      <c r="Q4" s="34">
        <v>0</v>
      </c>
      <c r="R4" s="34">
        <v>0</v>
      </c>
      <c r="S4" s="34">
        <v>0</v>
      </c>
      <c r="T4" s="34">
        <v>0</v>
      </c>
      <c r="U4" s="34">
        <v>0</v>
      </c>
      <c r="V4" s="34">
        <v>0</v>
      </c>
      <c r="W4" s="34">
        <v>0</v>
      </c>
      <c r="X4" s="34">
        <v>0</v>
      </c>
      <c r="Y4" s="35">
        <v>0</v>
      </c>
      <c r="Z4" s="35">
        <v>0</v>
      </c>
      <c r="AA4" s="35">
        <v>0</v>
      </c>
      <c r="AB4" s="35">
        <v>0</v>
      </c>
      <c r="AC4" s="15"/>
      <c r="AD4" s="6">
        <f ca="1">IFERROR(__xludf.DUMMYFUNCTION("""COMPUTED_VALUE"""),4)</f>
        <v>4</v>
      </c>
      <c r="AE4" s="6" t="str">
        <f ca="1">IFERROR(__xludf.DUMMYFUNCTION("""COMPUTED_VALUE"""),"Blue Barge")</f>
        <v>Blue Barge</v>
      </c>
      <c r="AF4" s="6" t="b">
        <f ca="1">IFERROR(__xludf.DUMMYFUNCTION("""COMPUTED_VALUE"""),TRUE)</f>
        <v>1</v>
      </c>
      <c r="AG4" s="6">
        <f ca="1">IFERROR(__xludf.DUMMYFUNCTION("""COMPUTED_VALUE"""),0)</f>
        <v>0</v>
      </c>
      <c r="AH4" s="6">
        <f ca="1">IFERROR(__xludf.DUMMYFUNCTION("""COMPUTED_VALUE"""),0)</f>
        <v>0</v>
      </c>
      <c r="AI4" s="6">
        <f ca="1">IFERROR(__xludf.DUMMYFUNCTION("""COMPUTED_VALUE"""),0)</f>
        <v>0</v>
      </c>
      <c r="AJ4" s="6">
        <f ca="1">IFERROR(__xludf.DUMMYFUNCTION("""COMPUTED_VALUE"""),0)</f>
        <v>0</v>
      </c>
      <c r="AK4" s="6">
        <f ca="1">IFERROR(__xludf.DUMMYFUNCTION("""COMPUTED_VALUE"""),1)</f>
        <v>1</v>
      </c>
      <c r="AL4" s="6">
        <f ca="1">IFERROR(__xludf.DUMMYFUNCTION("""COMPUTED_VALUE"""),0)</f>
        <v>0</v>
      </c>
      <c r="AM4" s="6">
        <f ca="1">IFERROR(__xludf.DUMMYFUNCTION("""COMPUTED_VALUE"""),0)</f>
        <v>0</v>
      </c>
      <c r="AN4" s="6">
        <f ca="1">IFERROR(__xludf.DUMMYFUNCTION("""COMPUTED_VALUE"""),0)</f>
        <v>0</v>
      </c>
      <c r="AP4" s="6">
        <f ca="1">IFERROR(__xludf.DUMMYFUNCTION("""COMPUTED_VALUE"""),6)</f>
        <v>6</v>
      </c>
      <c r="AQ4" s="6">
        <f ca="1">IFERROR(__xludf.DUMMYFUNCTION("""COMPUTED_VALUE"""),0)</f>
        <v>0</v>
      </c>
      <c r="AR4" s="6">
        <f ca="1">IFERROR(__xludf.DUMMYFUNCTION("""COMPUTED_VALUE"""),0)</f>
        <v>0</v>
      </c>
      <c r="AS4" s="6">
        <f ca="1">IFERROR(__xludf.DUMMYFUNCTION("""COMPUTED_VALUE"""),0)</f>
        <v>0</v>
      </c>
      <c r="AT4" s="6">
        <f ca="1">IFERROR(__xludf.DUMMYFUNCTION("""COMPUTED_VALUE"""),4)</f>
        <v>4</v>
      </c>
      <c r="AU4" s="6">
        <f ca="1">IFERROR(__xludf.DUMMYFUNCTION("""COMPUTED_VALUE"""),0)</f>
        <v>0</v>
      </c>
      <c r="AV4" s="6">
        <f ca="1">IFERROR(__xludf.DUMMYFUNCTION("""COMPUTED_VALUE"""),0)</f>
        <v>0</v>
      </c>
      <c r="AW4" s="6">
        <f ca="1">IFERROR(__xludf.DUMMYFUNCTION("""COMPUTED_VALUE"""),0)</f>
        <v>0</v>
      </c>
      <c r="AX4" s="6"/>
      <c r="AY4" s="6" t="str">
        <f ca="1">IFERROR(__xludf.DUMMYFUNCTION("""COMPUTED_VALUE"""),"Dc")</f>
        <v>Dc</v>
      </c>
      <c r="AZ4" s="6" t="str">
        <f ca="1">IFERROR(__xludf.DUMMYFUNCTION("""COMPUTED_VALUE"""),"P")</f>
        <v>P</v>
      </c>
      <c r="BA4" s="6">
        <f ca="1">IFERROR(__xludf.DUMMYFUNCTION("""COMPUTED_VALUE"""),0)</f>
        <v>0</v>
      </c>
      <c r="BB4" s="6"/>
      <c r="BC4" s="6"/>
      <c r="BD4" s="6" t="str">
        <f ca="1">IFERROR(__xludf.DUMMYFUNCTION("""COMPUTED_VALUE"""),"Practice")</f>
        <v>Practice</v>
      </c>
      <c r="BE4" s="6"/>
      <c r="BF4" s="22"/>
      <c r="BG4" s="22"/>
      <c r="BH4" s="22"/>
      <c r="BI4" s="22"/>
      <c r="BJ4" s="22"/>
      <c r="BK4" s="22"/>
      <c r="BL4" s="22"/>
      <c r="BM4" s="22"/>
      <c r="BN4" s="22"/>
      <c r="BO4" s="22"/>
    </row>
    <row r="5" spans="1:67" ht="12.75">
      <c r="A5" s="6" t="s">
        <v>61</v>
      </c>
      <c r="B5" s="30" t="str">
        <f ca="1">IFERROR(__xludf.DUMMYFUNCTION("IFERROR(ARRAY_CONSTRAIN(FILTER(SCHEDULE!A:A,(SCHEDULE!C:C=A1)+(SCHEDULE!D:D=A1)+(SCHEDULE!E:E=A1)+(SCHEDULE!F:F=A1)+(SCHEDULE!G:G=A1)+(SCHEDULE!H:H=A1),SCHEDULE!I:I=""""),1,1),""No More Matches"")"),"Qualification 2")</f>
        <v>Qualification 2</v>
      </c>
      <c r="C5" s="23"/>
      <c r="D5" s="6" t="s">
        <v>62</v>
      </c>
      <c r="E5" s="31">
        <f t="shared" ca="1" si="0"/>
        <v>0</v>
      </c>
      <c r="F5" s="173" t="s">
        <v>63</v>
      </c>
      <c r="G5" s="166"/>
      <c r="H5" s="159"/>
      <c r="I5" s="23"/>
      <c r="J5" s="157"/>
      <c r="K5" s="26" t="s">
        <v>42</v>
      </c>
      <c r="L5" s="27">
        <f t="array" ref="L5:AB5" ca="1">TRANSPOSE(AG3:AG19)</f>
        <v>0</v>
      </c>
      <c r="M5" s="28">
        <f ca="1"/>
        <v>0</v>
      </c>
      <c r="N5" s="28">
        <f ca="1"/>
        <v>0</v>
      </c>
      <c r="O5" s="28">
        <f ca="1"/>
        <v>0</v>
      </c>
      <c r="P5" s="28">
        <v>0</v>
      </c>
      <c r="Q5" s="28">
        <v>0</v>
      </c>
      <c r="R5" s="28">
        <v>0</v>
      </c>
      <c r="S5" s="28">
        <v>0</v>
      </c>
      <c r="T5" s="28">
        <v>0</v>
      </c>
      <c r="U5" s="28">
        <v>0</v>
      </c>
      <c r="V5" s="28">
        <v>0</v>
      </c>
      <c r="W5" s="28">
        <v>0</v>
      </c>
      <c r="X5" s="28">
        <v>0</v>
      </c>
      <c r="Y5" s="29">
        <v>0</v>
      </c>
      <c r="Z5" s="29">
        <v>0</v>
      </c>
      <c r="AA5" s="29">
        <v>0</v>
      </c>
      <c r="AB5" s="29">
        <v>0</v>
      </c>
      <c r="AC5" s="15"/>
      <c r="AD5" s="6">
        <f ca="1">IFERROR(__xludf.DUMMYFUNCTION("""COMPUTED_VALUE"""),11)</f>
        <v>11</v>
      </c>
      <c r="AE5" s="6" t="str">
        <f ca="1">IFERROR(__xludf.DUMMYFUNCTION("""COMPUTED_VALUE"""),"Middle")</f>
        <v>Middle</v>
      </c>
      <c r="AF5" s="6" t="b">
        <f ca="1">IFERROR(__xludf.DUMMYFUNCTION("""COMPUTED_VALUE"""),TRUE)</f>
        <v>1</v>
      </c>
      <c r="AG5" s="6">
        <f ca="1">IFERROR(__xludf.DUMMYFUNCTION("""COMPUTED_VALUE"""),0)</f>
        <v>0</v>
      </c>
      <c r="AH5" s="6">
        <f ca="1">IFERROR(__xludf.DUMMYFUNCTION("""COMPUTED_VALUE"""),0)</f>
        <v>0</v>
      </c>
      <c r="AI5" s="6">
        <f ca="1">IFERROR(__xludf.DUMMYFUNCTION("""COMPUTED_VALUE"""),0)</f>
        <v>0</v>
      </c>
      <c r="AJ5" s="6">
        <f ca="1">IFERROR(__xludf.DUMMYFUNCTION("""COMPUTED_VALUE"""),0)</f>
        <v>0</v>
      </c>
      <c r="AK5" s="6">
        <f ca="1">IFERROR(__xludf.DUMMYFUNCTION("""COMPUTED_VALUE"""),0)</f>
        <v>0</v>
      </c>
      <c r="AL5" s="6">
        <f ca="1">IFERROR(__xludf.DUMMYFUNCTION("""COMPUTED_VALUE"""),0)</f>
        <v>0</v>
      </c>
      <c r="AM5" s="6">
        <f ca="1">IFERROR(__xludf.DUMMYFUNCTION("""COMPUTED_VALUE"""),0)</f>
        <v>0</v>
      </c>
      <c r="AN5" s="6">
        <f ca="1">IFERROR(__xludf.DUMMYFUNCTION("""COMPUTED_VALUE"""),0)</f>
        <v>0</v>
      </c>
      <c r="AP5" s="6">
        <f ca="1">IFERROR(__xludf.DUMMYFUNCTION("""COMPUTED_VALUE"""),3)</f>
        <v>3</v>
      </c>
      <c r="AQ5" s="22">
        <f ca="1">IFERROR(__xludf.DUMMYFUNCTION("""COMPUTED_VALUE"""),1)</f>
        <v>1</v>
      </c>
      <c r="AR5" s="22">
        <f ca="1">IFERROR(__xludf.DUMMYFUNCTION("""COMPUTED_VALUE"""),0)</f>
        <v>0</v>
      </c>
      <c r="AS5" s="22">
        <f ca="1">IFERROR(__xludf.DUMMYFUNCTION("""COMPUTED_VALUE"""),1)</f>
        <v>1</v>
      </c>
      <c r="AT5" s="22">
        <f ca="1">IFERROR(__xludf.DUMMYFUNCTION("""COMPUTED_VALUE"""),6)</f>
        <v>6</v>
      </c>
      <c r="AU5" s="22">
        <f ca="1">IFERROR(__xludf.DUMMYFUNCTION("""COMPUTED_VALUE"""),0)</f>
        <v>0</v>
      </c>
      <c r="AV5" s="22">
        <f ca="1">IFERROR(__xludf.DUMMYFUNCTION("""COMPUTED_VALUE"""),0)</f>
        <v>0</v>
      </c>
      <c r="AW5" s="22">
        <f ca="1">IFERROR(__xludf.DUMMYFUNCTION("""COMPUTED_VALUE"""),0)</f>
        <v>0</v>
      </c>
      <c r="AX5" s="22"/>
      <c r="AY5" s="22" t="str">
        <f ca="1">IFERROR(__xludf.DUMMYFUNCTION("""COMPUTED_VALUE"""),"Dc")</f>
        <v>Dc</v>
      </c>
      <c r="AZ5" s="22" t="str">
        <f ca="1">IFERROR(__xludf.DUMMYFUNCTION("""COMPUTED_VALUE"""),"Dc")</f>
        <v>Dc</v>
      </c>
      <c r="BA5" s="22">
        <f ca="1">IFERROR(__xludf.DUMMYFUNCTION("""COMPUTED_VALUE"""),11.88)</f>
        <v>11.88</v>
      </c>
      <c r="BB5" s="22"/>
      <c r="BC5" s="22"/>
      <c r="BD5" s="22"/>
      <c r="BE5" s="22"/>
      <c r="BF5" s="22"/>
      <c r="BG5" s="22"/>
      <c r="BH5" s="22"/>
      <c r="BI5" s="22"/>
      <c r="BJ5" s="22"/>
      <c r="BK5" s="22"/>
      <c r="BL5" s="22"/>
      <c r="BM5" s="22"/>
      <c r="BN5" s="22"/>
      <c r="BO5" s="22"/>
    </row>
    <row r="6" spans="1:67" ht="12.75">
      <c r="B6" s="30"/>
      <c r="C6" s="23"/>
      <c r="D6" s="6" t="s">
        <v>64</v>
      </c>
      <c r="E6" s="31">
        <f t="shared" ca="1" si="0"/>
        <v>0</v>
      </c>
      <c r="F6" s="25" t="s">
        <v>65</v>
      </c>
      <c r="G6" s="25" t="s">
        <v>66</v>
      </c>
      <c r="H6" s="25" t="s">
        <v>67</v>
      </c>
      <c r="I6" s="23"/>
      <c r="J6" s="157"/>
      <c r="K6" s="32" t="s">
        <v>43</v>
      </c>
      <c r="L6" s="33">
        <f t="array" ref="L6:AB6" ca="1">TRANSPOSE(AH3:AH19)</f>
        <v>0</v>
      </c>
      <c r="M6" s="34">
        <f ca="1"/>
        <v>0</v>
      </c>
      <c r="N6" s="34">
        <f ca="1"/>
        <v>0</v>
      </c>
      <c r="O6" s="34">
        <f ca="1"/>
        <v>0</v>
      </c>
      <c r="P6" s="34">
        <v>0</v>
      </c>
      <c r="Q6" s="34">
        <v>0</v>
      </c>
      <c r="R6" s="34">
        <v>0</v>
      </c>
      <c r="S6" s="34">
        <v>0</v>
      </c>
      <c r="T6" s="34">
        <v>0</v>
      </c>
      <c r="U6" s="34">
        <v>0</v>
      </c>
      <c r="V6" s="34">
        <v>0</v>
      </c>
      <c r="W6" s="34">
        <v>0</v>
      </c>
      <c r="X6" s="34">
        <v>0</v>
      </c>
      <c r="Y6" s="35">
        <v>0</v>
      </c>
      <c r="Z6" s="35">
        <v>0</v>
      </c>
      <c r="AA6" s="35">
        <v>0</v>
      </c>
      <c r="AB6" s="35">
        <v>0</v>
      </c>
      <c r="AC6" s="15"/>
      <c r="AD6" s="6">
        <f ca="1">IFERROR(__xludf.DUMMYFUNCTION("""COMPUTED_VALUE"""),18)</f>
        <v>18</v>
      </c>
      <c r="AE6" s="6" t="str">
        <f ca="1">IFERROR(__xludf.DUMMYFUNCTION("""COMPUTED_VALUE"""),"Middle")</f>
        <v>Middle</v>
      </c>
      <c r="AF6" s="6" t="b">
        <f ca="1">IFERROR(__xludf.DUMMYFUNCTION("""COMPUTED_VALUE"""),FALSE)</f>
        <v>0</v>
      </c>
      <c r="AG6" s="6">
        <f ca="1">IFERROR(__xludf.DUMMYFUNCTION("""COMPUTED_VALUE"""),0)</f>
        <v>0</v>
      </c>
      <c r="AH6" s="6">
        <f ca="1">IFERROR(__xludf.DUMMYFUNCTION("""COMPUTED_VALUE"""),0)</f>
        <v>0</v>
      </c>
      <c r="AI6" s="6">
        <f ca="1">IFERROR(__xludf.DUMMYFUNCTION("""COMPUTED_VALUE"""),0)</f>
        <v>0</v>
      </c>
      <c r="AJ6" s="6">
        <f ca="1">IFERROR(__xludf.DUMMYFUNCTION("""COMPUTED_VALUE"""),0)</f>
        <v>0</v>
      </c>
      <c r="AK6" s="6">
        <f ca="1">IFERROR(__xludf.DUMMYFUNCTION("""COMPUTED_VALUE"""),1)</f>
        <v>1</v>
      </c>
      <c r="AL6" s="6">
        <f ca="1">IFERROR(__xludf.DUMMYFUNCTION("""COMPUTED_VALUE"""),0)</f>
        <v>0</v>
      </c>
      <c r="AM6" s="6">
        <f ca="1">IFERROR(__xludf.DUMMYFUNCTION("""COMPUTED_VALUE"""),0)</f>
        <v>0</v>
      </c>
      <c r="AN6" s="6">
        <f ca="1">IFERROR(__xludf.DUMMYFUNCTION("""COMPUTED_VALUE"""),0)</f>
        <v>0</v>
      </c>
      <c r="AP6" s="6">
        <f ca="1">IFERROR(__xludf.DUMMYFUNCTION("""COMPUTED_VALUE"""),5)</f>
        <v>5</v>
      </c>
      <c r="AQ6" s="22">
        <f ca="1">IFERROR(__xludf.DUMMYFUNCTION("""COMPUTED_VALUE"""),2)</f>
        <v>2</v>
      </c>
      <c r="AR6" s="22">
        <f ca="1">IFERROR(__xludf.DUMMYFUNCTION("""COMPUTED_VALUE"""),0)</f>
        <v>0</v>
      </c>
      <c r="AS6" s="22">
        <f ca="1">IFERROR(__xludf.DUMMYFUNCTION("""COMPUTED_VALUE"""),0)</f>
        <v>0</v>
      </c>
      <c r="AT6" s="22">
        <f ca="1">IFERROR(__xludf.DUMMYFUNCTION("""COMPUTED_VALUE"""),3)</f>
        <v>3</v>
      </c>
      <c r="AU6" s="22">
        <f ca="1">IFERROR(__xludf.DUMMYFUNCTION("""COMPUTED_VALUE"""),0)</f>
        <v>0</v>
      </c>
      <c r="AV6" s="22">
        <f ca="1">IFERROR(__xludf.DUMMYFUNCTION("""COMPUTED_VALUE"""),0)</f>
        <v>0</v>
      </c>
      <c r="AW6" s="22">
        <f ca="1">IFERROR(__xludf.DUMMYFUNCTION("""COMPUTED_VALUE"""),0)</f>
        <v>0</v>
      </c>
      <c r="AX6" s="22"/>
      <c r="AY6" s="22" t="str">
        <f ca="1">IFERROR(__xludf.DUMMYFUNCTION("""COMPUTED_VALUE"""),"Dc")</f>
        <v>Dc</v>
      </c>
      <c r="AZ6" s="22" t="str">
        <f ca="1">IFERROR(__xludf.DUMMYFUNCTION("""COMPUTED_VALUE"""),"P")</f>
        <v>P</v>
      </c>
      <c r="BA6" s="22">
        <f ca="1">IFERROR(__xludf.DUMMYFUNCTION("""COMPUTED_VALUE"""),0)</f>
        <v>0</v>
      </c>
      <c r="BB6" s="22"/>
      <c r="BC6" s="22"/>
      <c r="BD6" s="22"/>
      <c r="BE6" s="22"/>
      <c r="BF6" s="22"/>
      <c r="BG6" s="22"/>
      <c r="BH6" s="22"/>
      <c r="BI6" s="22"/>
      <c r="BJ6" s="22"/>
      <c r="BK6" s="22"/>
      <c r="BL6" s="22"/>
      <c r="BM6" s="22"/>
      <c r="BN6" s="22"/>
      <c r="BO6" s="22"/>
    </row>
    <row r="7" spans="1:67" ht="12.75">
      <c r="B7" s="36"/>
      <c r="C7" s="23"/>
      <c r="D7" s="6" t="s">
        <v>68</v>
      </c>
      <c r="E7" s="31">
        <f t="shared" ca="1" si="0"/>
        <v>0</v>
      </c>
      <c r="F7" s="25">
        <f ca="1">AVERAGE(L11:AB11)</f>
        <v>0</v>
      </c>
      <c r="G7" s="25">
        <f ca="1">AVERAGE(L10:AB10)</f>
        <v>0</v>
      </c>
      <c r="H7" s="24" t="e">
        <f ca="1">SUM(L10:AB10)/SUM(L10:AB10,L12:AB12)</f>
        <v>#DIV/0!</v>
      </c>
      <c r="I7" s="23"/>
      <c r="J7" s="157"/>
      <c r="K7" s="26" t="s">
        <v>44</v>
      </c>
      <c r="L7" s="27">
        <f t="array" ref="L7:AB7" ca="1">TRANSPOSE(AI3:AI19)</f>
        <v>0</v>
      </c>
      <c r="M7" s="28">
        <f ca="1"/>
        <v>0</v>
      </c>
      <c r="N7" s="28">
        <f ca="1"/>
        <v>0</v>
      </c>
      <c r="O7" s="28">
        <f ca="1"/>
        <v>0</v>
      </c>
      <c r="P7" s="28">
        <v>0</v>
      </c>
      <c r="Q7" s="28">
        <v>0</v>
      </c>
      <c r="R7" s="28">
        <v>0</v>
      </c>
      <c r="S7" s="28">
        <v>0</v>
      </c>
      <c r="T7" s="28">
        <v>0</v>
      </c>
      <c r="U7" s="28">
        <v>0</v>
      </c>
      <c r="V7" s="28">
        <v>0</v>
      </c>
      <c r="W7" s="28">
        <v>0</v>
      </c>
      <c r="X7" s="28">
        <v>0</v>
      </c>
      <c r="Y7" s="29">
        <v>0</v>
      </c>
      <c r="Z7" s="29">
        <v>0</v>
      </c>
      <c r="AA7" s="29">
        <v>0</v>
      </c>
      <c r="AB7" s="29">
        <v>0</v>
      </c>
      <c r="AC7" s="15"/>
      <c r="AQ7" s="37"/>
      <c r="AR7" s="37"/>
      <c r="AS7" s="37"/>
      <c r="AT7" s="37"/>
      <c r="AU7" s="37"/>
      <c r="AV7" s="37"/>
      <c r="AW7" s="37"/>
      <c r="AX7" s="37"/>
      <c r="AY7" s="37"/>
      <c r="AZ7" s="37"/>
      <c r="BA7" s="37"/>
      <c r="BB7" s="37"/>
      <c r="BC7" s="37"/>
      <c r="BD7" s="37"/>
      <c r="BE7" s="37"/>
      <c r="BF7" s="37"/>
      <c r="BG7" s="37"/>
      <c r="BH7" s="37"/>
      <c r="BI7" s="37"/>
      <c r="BJ7" s="37"/>
      <c r="BK7" s="37"/>
      <c r="BL7" s="37"/>
      <c r="BM7" s="37"/>
      <c r="BN7" s="37"/>
      <c r="BO7" s="37"/>
    </row>
    <row r="8" spans="1:67" ht="25.5">
      <c r="B8" s="38"/>
      <c r="C8" s="16"/>
      <c r="D8" s="170" t="s">
        <v>25</v>
      </c>
      <c r="E8" s="166"/>
      <c r="F8" s="166"/>
      <c r="G8" s="166"/>
      <c r="H8" s="159"/>
      <c r="I8" s="16"/>
      <c r="J8" s="157"/>
      <c r="K8" s="32" t="s">
        <v>45</v>
      </c>
      <c r="L8" s="33">
        <f t="array" ref="L8:AB8" ca="1">TRANSPOSE(AJ3:AJ19)</f>
        <v>0</v>
      </c>
      <c r="M8" s="34">
        <f ca="1"/>
        <v>0</v>
      </c>
      <c r="N8" s="34">
        <f ca="1"/>
        <v>0</v>
      </c>
      <c r="O8" s="34">
        <f ca="1"/>
        <v>0</v>
      </c>
      <c r="P8" s="34">
        <v>0</v>
      </c>
      <c r="Q8" s="34">
        <v>0</v>
      </c>
      <c r="R8" s="34">
        <v>0</v>
      </c>
      <c r="S8" s="34">
        <v>0</v>
      </c>
      <c r="T8" s="34">
        <v>0</v>
      </c>
      <c r="U8" s="34">
        <v>0</v>
      </c>
      <c r="V8" s="34">
        <v>0</v>
      </c>
      <c r="W8" s="34">
        <v>0</v>
      </c>
      <c r="X8" s="34">
        <v>0</v>
      </c>
      <c r="Y8" s="35">
        <v>0</v>
      </c>
      <c r="Z8" s="35">
        <v>0</v>
      </c>
      <c r="AA8" s="35">
        <v>0</v>
      </c>
      <c r="AB8" s="35">
        <v>0</v>
      </c>
      <c r="AC8" s="15"/>
      <c r="AQ8" s="37"/>
      <c r="AR8" s="37"/>
      <c r="AS8" s="37"/>
      <c r="AT8" s="37"/>
      <c r="AU8" s="37"/>
      <c r="AV8" s="37"/>
      <c r="AW8" s="37"/>
      <c r="AX8" s="37"/>
      <c r="AY8" s="37"/>
      <c r="AZ8" s="37"/>
      <c r="BA8" s="37"/>
      <c r="BB8" s="37"/>
      <c r="BC8" s="37"/>
      <c r="BD8" s="37"/>
      <c r="BE8" s="37"/>
      <c r="BF8" s="37"/>
      <c r="BG8" s="37"/>
      <c r="BH8" s="37"/>
      <c r="BI8" s="37"/>
      <c r="BJ8" s="37"/>
      <c r="BK8" s="37"/>
      <c r="BL8" s="37"/>
      <c r="BM8" s="37"/>
      <c r="BN8" s="37"/>
      <c r="BO8" s="37"/>
    </row>
    <row r="9" spans="1:67" ht="12.75">
      <c r="C9" s="23"/>
      <c r="D9" s="6" t="s">
        <v>53</v>
      </c>
      <c r="E9" s="24">
        <f ca="1">SUM(L14:AB17)/SUM(L14:AB18)</f>
        <v>0.57894736842105265</v>
      </c>
      <c r="F9" s="25" t="s">
        <v>69</v>
      </c>
      <c r="G9" s="25" t="s">
        <v>70</v>
      </c>
      <c r="H9" s="25" t="s">
        <v>55</v>
      </c>
      <c r="I9" s="23"/>
      <c r="J9" s="157"/>
      <c r="K9" s="26" t="s">
        <v>46</v>
      </c>
      <c r="L9" s="27">
        <f t="array" ref="L9:AB9" ca="1">TRANSPOSE(AK3:AK19)</f>
        <v>0</v>
      </c>
      <c r="M9" s="28">
        <f ca="1"/>
        <v>1</v>
      </c>
      <c r="N9" s="28">
        <f ca="1"/>
        <v>0</v>
      </c>
      <c r="O9" s="28">
        <f ca="1"/>
        <v>1</v>
      </c>
      <c r="P9" s="28">
        <v>0</v>
      </c>
      <c r="Q9" s="28">
        <v>0</v>
      </c>
      <c r="R9" s="28">
        <v>0</v>
      </c>
      <c r="S9" s="28">
        <v>0</v>
      </c>
      <c r="T9" s="28">
        <v>0</v>
      </c>
      <c r="U9" s="28">
        <v>0</v>
      </c>
      <c r="V9" s="28">
        <v>0</v>
      </c>
      <c r="W9" s="28">
        <v>0</v>
      </c>
      <c r="X9" s="28">
        <v>0</v>
      </c>
      <c r="Y9" s="29">
        <v>0</v>
      </c>
      <c r="Z9" s="29">
        <v>0</v>
      </c>
      <c r="AA9" s="29">
        <v>0</v>
      </c>
      <c r="AB9" s="29">
        <v>0</v>
      </c>
      <c r="AC9" s="15"/>
      <c r="AQ9" s="37"/>
      <c r="AR9" s="37"/>
      <c r="AS9" s="37"/>
      <c r="AT9" s="37"/>
      <c r="AU9" s="37"/>
      <c r="AV9" s="37"/>
      <c r="AW9" s="37"/>
      <c r="AX9" s="37"/>
      <c r="AY9" s="37"/>
      <c r="AZ9" s="37"/>
      <c r="BA9" s="37"/>
      <c r="BB9" s="37"/>
      <c r="BC9" s="37"/>
      <c r="BD9" s="37"/>
      <c r="BE9" s="37"/>
      <c r="BF9" s="37"/>
      <c r="BG9" s="37"/>
      <c r="BH9" s="37"/>
      <c r="BI9" s="37"/>
      <c r="BJ9" s="37"/>
      <c r="BK9" s="37"/>
      <c r="BL9" s="37"/>
      <c r="BM9" s="37"/>
      <c r="BN9" s="37"/>
      <c r="BO9" s="37"/>
    </row>
    <row r="10" spans="1:67" ht="12.75">
      <c r="A10" s="6" t="s">
        <v>71</v>
      </c>
      <c r="B10" s="30" t="str">
        <f ca="1">IFERROR(__xludf.DUMMYFUNCTION("FILTER('ROBOT QUALITY RAW DATA'!S:S, 'ROBOT QUALITY RAW DATA'!R:R = A$1)"),"#N/A")</f>
        <v>#N/A</v>
      </c>
      <c r="C10" s="23"/>
      <c r="D10" s="6" t="s">
        <v>60</v>
      </c>
      <c r="E10" s="31">
        <f t="shared" ref="E10:E13" ca="1" si="1">AVERAGE(L14:AB14)</f>
        <v>1</v>
      </c>
      <c r="F10" s="25">
        <f ca="1">IFERROR(IF($A$2="All",SUMIF('MATCH CALCS'!$D$3:$D1503,$A$1,'MATCH CALCS'!$BJ$3:$BJ1503),SUMIFS('MATCH CALCS'!$BJ$3:$BJ1503,'MATCH CALCS'!$D$3:$D1503,$A$1,'MATCH CALCS'!$A3:$A1503,$A$2)),"-")</f>
        <v>0</v>
      </c>
      <c r="G10" s="25">
        <f ca="1">IFERROR(IF($A$2="All",SUMIF('MATCH CALCS'!$D$3:$D1503,$A$1,'MATCH CALCS'!$AP$3:$AP1503),SUMIFS('MATCH CALCS'!$AP$3:$AP1503,'MATCH CALCS'!$D$3:$D1503,$A$1,'MATCH CALCS'!$A3:$A1503,$A$2)),"-")</f>
        <v>0</v>
      </c>
      <c r="H10" s="25" t="str">
        <f ca="1">IFERROR(__xludf.DUMMYFUNCTION("IF(COUNT(FILTER('MATCH CALCS'!BN3:BN1503,'MATCH CALCS'!D3:D1503=A1))&gt;0,IF(COUNT(FILTER('MATCH CALCS'!BP3:BP1503,'MATCH CALCS'!D3:D1503=A1))&gt;0,""HP and Floor"",""HP Only""),IF(COUNT(FILTER('MATCH CALCS'!BP3:BP1503,'MATCH CALCS'!D3:D1503=A1))&gt;0,""Floor"","""&amp;"None""))"),"HP and Floor")</f>
        <v>HP and Floor</v>
      </c>
      <c r="I10" s="23"/>
      <c r="J10" s="157"/>
      <c r="K10" s="32" t="s">
        <v>23</v>
      </c>
      <c r="L10" s="33">
        <f t="array" ref="L10:AB10" ca="1">TRANSPOSE(AL3:AL19)</f>
        <v>0</v>
      </c>
      <c r="M10" s="34">
        <f ca="1"/>
        <v>0</v>
      </c>
      <c r="N10" s="34">
        <f ca="1"/>
        <v>0</v>
      </c>
      <c r="O10" s="34">
        <f ca="1"/>
        <v>0</v>
      </c>
      <c r="P10" s="34">
        <v>0</v>
      </c>
      <c r="Q10" s="34">
        <v>0</v>
      </c>
      <c r="R10" s="34">
        <v>0</v>
      </c>
      <c r="S10" s="34">
        <v>0</v>
      </c>
      <c r="T10" s="34">
        <v>0</v>
      </c>
      <c r="U10" s="34">
        <v>0</v>
      </c>
      <c r="V10" s="34">
        <v>0</v>
      </c>
      <c r="W10" s="34">
        <v>0</v>
      </c>
      <c r="X10" s="34">
        <v>0</v>
      </c>
      <c r="Y10" s="35">
        <v>0</v>
      </c>
      <c r="Z10" s="35">
        <v>0</v>
      </c>
      <c r="AA10" s="35">
        <v>0</v>
      </c>
      <c r="AB10" s="35">
        <v>0</v>
      </c>
      <c r="AC10" s="15"/>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row>
    <row r="11" spans="1:67" ht="12.75">
      <c r="A11" s="6" t="s">
        <v>72</v>
      </c>
      <c r="B11" s="30" t="str">
        <f ca="1">IFERROR(__xludf.DUMMYFUNCTION("FILTER('ROBOT QUALITY RAW DATA'!G:G, 'ROBOT QUALITY RAW DATA'!R:R = A$1)"),"#N/A")</f>
        <v>#N/A</v>
      </c>
      <c r="C11" s="23"/>
      <c r="D11" s="6" t="s">
        <v>62</v>
      </c>
      <c r="E11" s="31">
        <f t="shared" ca="1" si="1"/>
        <v>0.17647058823529413</v>
      </c>
      <c r="F11" s="173" t="s">
        <v>63</v>
      </c>
      <c r="G11" s="166"/>
      <c r="H11" s="159"/>
      <c r="I11" s="23"/>
      <c r="J11" s="157"/>
      <c r="K11" s="26" t="s">
        <v>24</v>
      </c>
      <c r="L11" s="27">
        <f t="array" ref="L11:AB11" ca="1">TRANSPOSE(AM3:AM19)</f>
        <v>0</v>
      </c>
      <c r="M11" s="28">
        <f ca="1"/>
        <v>0</v>
      </c>
      <c r="N11" s="28">
        <f ca="1"/>
        <v>0</v>
      </c>
      <c r="O11" s="28">
        <f ca="1"/>
        <v>0</v>
      </c>
      <c r="P11" s="28">
        <v>0</v>
      </c>
      <c r="Q11" s="28">
        <v>0</v>
      </c>
      <c r="R11" s="28">
        <v>0</v>
      </c>
      <c r="S11" s="28">
        <v>0</v>
      </c>
      <c r="T11" s="28">
        <v>0</v>
      </c>
      <c r="U11" s="28">
        <v>0</v>
      </c>
      <c r="V11" s="28">
        <v>0</v>
      </c>
      <c r="W11" s="28">
        <v>0</v>
      </c>
      <c r="X11" s="28">
        <v>0</v>
      </c>
      <c r="Y11" s="29">
        <v>0</v>
      </c>
      <c r="Z11" s="29">
        <v>0</v>
      </c>
      <c r="AA11" s="29">
        <v>0</v>
      </c>
      <c r="AB11" s="29">
        <v>0</v>
      </c>
      <c r="AC11" s="15"/>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row>
    <row r="12" spans="1:67" ht="12.75">
      <c r="A12" s="6" t="s">
        <v>73</v>
      </c>
      <c r="B12" s="30" t="str">
        <f ca="1">IFERROR(__xludf.DUMMYFUNCTION("FILTER('ROBOT QUALITY RAW DATA'!I:I, 'ROBOT QUALITY RAW DATA'!R:R = A$1)"),"#N/A")</f>
        <v>#N/A</v>
      </c>
      <c r="C12" s="23"/>
      <c r="D12" s="6" t="s">
        <v>64</v>
      </c>
      <c r="E12" s="31">
        <f t="shared" ca="1" si="1"/>
        <v>5.8823529411764705E-2</v>
      </c>
      <c r="F12" s="25" t="s">
        <v>65</v>
      </c>
      <c r="G12" s="25" t="s">
        <v>66</v>
      </c>
      <c r="H12" s="25" t="s">
        <v>67</v>
      </c>
      <c r="I12" s="23"/>
      <c r="J12" s="157"/>
      <c r="K12" s="32" t="s">
        <v>47</v>
      </c>
      <c r="L12" s="33">
        <f t="array" ref="L12:AB12" ca="1">TRANSPOSE(AN3:AN19)</f>
        <v>0</v>
      </c>
      <c r="M12" s="34">
        <f ca="1"/>
        <v>0</v>
      </c>
      <c r="N12" s="34">
        <f ca="1"/>
        <v>0</v>
      </c>
      <c r="O12" s="34">
        <f ca="1"/>
        <v>0</v>
      </c>
      <c r="P12" s="34">
        <v>0</v>
      </c>
      <c r="Q12" s="34">
        <v>0</v>
      </c>
      <c r="R12" s="34">
        <v>0</v>
      </c>
      <c r="S12" s="34">
        <v>0</v>
      </c>
      <c r="T12" s="34">
        <v>0</v>
      </c>
      <c r="U12" s="34">
        <v>0</v>
      </c>
      <c r="V12" s="34">
        <v>0</v>
      </c>
      <c r="W12" s="34">
        <v>0</v>
      </c>
      <c r="X12" s="34">
        <v>0</v>
      </c>
      <c r="Y12" s="35">
        <v>0</v>
      </c>
      <c r="Z12" s="35">
        <v>0</v>
      </c>
      <c r="AA12" s="35">
        <v>0</v>
      </c>
      <c r="AB12" s="35">
        <v>0</v>
      </c>
      <c r="AC12" s="15"/>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row>
    <row r="13" spans="1:67" ht="12.75">
      <c r="C13" s="23"/>
      <c r="D13" s="6" t="s">
        <v>68</v>
      </c>
      <c r="E13" s="31">
        <f t="shared" ca="1" si="1"/>
        <v>5.8823529411764705E-2</v>
      </c>
      <c r="F13" s="31">
        <f ca="1">AVERAGE(L20:AB20)</f>
        <v>0</v>
      </c>
      <c r="G13" s="31">
        <f ca="1">AVERAGE(L19:AB19)</f>
        <v>0</v>
      </c>
      <c r="H13" s="24" t="e">
        <f ca="1">SUM(L19:AB19)/SUM(L19:AB19,L21:AB21)</f>
        <v>#DIV/0!</v>
      </c>
      <c r="I13" s="39"/>
      <c r="J13" s="40"/>
      <c r="K13" s="40"/>
      <c r="L13" s="41"/>
      <c r="M13" s="42"/>
      <c r="N13" s="42"/>
      <c r="O13" s="42"/>
      <c r="P13" s="42"/>
      <c r="Q13" s="42"/>
      <c r="R13" s="42"/>
      <c r="S13" s="42"/>
      <c r="T13" s="42"/>
      <c r="U13" s="42"/>
      <c r="V13" s="42"/>
      <c r="W13" s="42"/>
      <c r="X13" s="42"/>
      <c r="Y13" s="43"/>
      <c r="Z13" s="43"/>
      <c r="AA13" s="43"/>
      <c r="AB13" s="43"/>
      <c r="AC13" s="15"/>
      <c r="AQ13" s="37"/>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row>
    <row r="14" spans="1:67" ht="25.5">
      <c r="A14" s="6" t="s">
        <v>74</v>
      </c>
      <c r="B14" s="6" t="str">
        <f ca="1">IFERROR(__xludf.DUMMYFUNCTION("FILTER('STRATEGY VIBE RAW DATA'!J:J, 'STRATEGY VIBE RAW DATA'!P:P = A$1, 'STRATEGY VIBE RAW DATA'!K:K = ""Yes"")"),"#N/A")</f>
        <v>#N/A</v>
      </c>
      <c r="C14" s="16"/>
      <c r="D14" s="170" t="s">
        <v>75</v>
      </c>
      <c r="E14" s="166"/>
      <c r="F14" s="166"/>
      <c r="G14" s="166"/>
      <c r="H14" s="159"/>
      <c r="I14" s="16"/>
      <c r="J14" s="179" t="s">
        <v>76</v>
      </c>
      <c r="K14" s="6" t="s">
        <v>42</v>
      </c>
      <c r="L14" s="27">
        <f t="array" ref="L14:AB14" ca="1">TRANSPOSE(AP3:AP19)</f>
        <v>3</v>
      </c>
      <c r="M14" s="28">
        <f ca="1"/>
        <v>6</v>
      </c>
      <c r="N14" s="28">
        <f ca="1"/>
        <v>3</v>
      </c>
      <c r="O14" s="28">
        <f ca="1"/>
        <v>5</v>
      </c>
      <c r="P14" s="28">
        <v>0</v>
      </c>
      <c r="Q14" s="28">
        <v>0</v>
      </c>
      <c r="R14" s="28">
        <v>0</v>
      </c>
      <c r="S14" s="28">
        <v>0</v>
      </c>
      <c r="T14" s="28">
        <v>0</v>
      </c>
      <c r="U14" s="28">
        <v>0</v>
      </c>
      <c r="V14" s="28">
        <v>0</v>
      </c>
      <c r="W14" s="28">
        <v>0</v>
      </c>
      <c r="X14" s="28">
        <v>0</v>
      </c>
      <c r="Y14" s="29">
        <v>0</v>
      </c>
      <c r="Z14" s="29">
        <v>0</v>
      </c>
      <c r="AA14" s="29">
        <v>0</v>
      </c>
      <c r="AB14" s="29">
        <v>0</v>
      </c>
      <c r="AC14" s="15"/>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row>
    <row r="15" spans="1:67" ht="12.75">
      <c r="A15" s="6" t="s">
        <v>77</v>
      </c>
      <c r="B15" s="6" t="str">
        <f ca="1">IFERROR(__xludf.DUMMYFUNCTION("FILTER('STRATEGY VIBE RAW DATA'!L:L, 'STRATEGY VIBE RAW DATA'!P:P = A$1, 'STRATEGY VIBE RAW DATA'!K:K = ""Yes"")"),"#N/A")</f>
        <v>#N/A</v>
      </c>
      <c r="C15" s="23"/>
      <c r="D15" s="180" t="s">
        <v>78</v>
      </c>
      <c r="E15" s="166"/>
      <c r="F15" s="45" t="str">
        <f ca="1">IFERROR(__xludf.DUMMYFUNCTION("IF(A2=""All"",ARRAYFORMULA(INDEX(FILTER('MATCH CALCS'!$AK:$AK, 'MATCH CALCS'!$D:$D=$A$1), MODE(MATCH(FILTER('MATCH CALCS'!$AK:$AK, 'MATCH CALCS'!$D:$D=$A$1), FILTER('MATCH CALCS'!$AK:$AK, 'MATCH CALCS'!$D:$D=$A$1), 0)))),ARRAYFORMULA(INDEX(FILTER('MATCH C"&amp;"ALCS'!$AK:$AK, 'MATCH CALCS'!$D:$D=$A$1,'MATCH CALCS'!$A:$A=A2), MODE(MATCH(FILTER('MATCH CALCS'!$AK:$AK, 'MATCH CALCS'!$D:$D=$A$1,'MATCH CALCS'!$A:$A=A2), FILTER('MATCH CALCS'!$AK:$AK, 'MATCH CALCS'!$D:$D=$A$1,'MATCH CALCS'!$A:$A=A2), 0)))))"),"Dc")</f>
        <v>Dc</v>
      </c>
      <c r="G15" s="44" t="s">
        <v>79</v>
      </c>
      <c r="H15" s="46">
        <f ca="1">IFERROR(__xludf.DUMMYFUNCTION("IFERROR(IF($A$2=""All"",COUNTIF(FILTER('MATCH CALCS'!$AN:$AN,'MATCH CALCS'!$D:$D=$A$1),""=P"")/COUNTA(FILTER('MATCH CALCS'!$AN:$AN,'MATCH CALCS'!$D:$D=$A$1)),COUNTIF(FILTER('MATCH CALCS'!$AN:$AN,'MATCH CALCS'!$D:$D=$A$1,'MATCH CALCS'!$A:$A=$A$2),""=P"")/C"&amp;"OUNTA(FILTER('MATCH CALCS'!$AN:$AN,'MATCH CALCS'!$D:$D=$A$1,'MATCH CALCS'!$A:$A=$A$2))),""-"")"),0.75)</f>
        <v>0.75</v>
      </c>
      <c r="I15" s="23"/>
      <c r="J15" s="157"/>
      <c r="K15" s="47" t="s">
        <v>43</v>
      </c>
      <c r="L15" s="33">
        <f t="array" ref="L15:AB15" ca="1">TRANSPOSE(AQ3:AQ19)</f>
        <v>0</v>
      </c>
      <c r="M15" s="34">
        <f ca="1"/>
        <v>0</v>
      </c>
      <c r="N15" s="34">
        <f ca="1"/>
        <v>1</v>
      </c>
      <c r="O15" s="34">
        <f ca="1"/>
        <v>2</v>
      </c>
      <c r="P15" s="34">
        <v>0</v>
      </c>
      <c r="Q15" s="34">
        <v>0</v>
      </c>
      <c r="R15" s="34">
        <v>0</v>
      </c>
      <c r="S15" s="34">
        <v>0</v>
      </c>
      <c r="T15" s="34">
        <v>0</v>
      </c>
      <c r="U15" s="34">
        <v>0</v>
      </c>
      <c r="V15" s="34">
        <v>0</v>
      </c>
      <c r="W15" s="34">
        <v>0</v>
      </c>
      <c r="X15" s="34">
        <v>0</v>
      </c>
      <c r="Y15" s="35">
        <v>0</v>
      </c>
      <c r="Z15" s="35">
        <v>0</v>
      </c>
      <c r="AA15" s="35">
        <v>0</v>
      </c>
      <c r="AB15" s="35">
        <v>0</v>
      </c>
      <c r="AC15" s="15"/>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row>
    <row r="16" spans="1:67" ht="15">
      <c r="C16" s="48"/>
      <c r="D16" s="176" t="s">
        <v>80</v>
      </c>
      <c r="E16" s="166"/>
      <c r="F16" s="166"/>
      <c r="G16" s="166"/>
      <c r="H16" s="159"/>
      <c r="I16" s="48"/>
      <c r="J16" s="157"/>
      <c r="K16" s="6" t="s">
        <v>44</v>
      </c>
      <c r="L16" s="27">
        <f t="array" ref="L16:AB16" ca="1">TRANSPOSE(AR3:AR19)</f>
        <v>1</v>
      </c>
      <c r="M16" s="28">
        <f ca="1"/>
        <v>0</v>
      </c>
      <c r="N16" s="28">
        <f ca="1"/>
        <v>0</v>
      </c>
      <c r="O16" s="28">
        <f ca="1"/>
        <v>0</v>
      </c>
      <c r="P16" s="28">
        <v>0</v>
      </c>
      <c r="Q16" s="28">
        <v>0</v>
      </c>
      <c r="R16" s="28">
        <v>0</v>
      </c>
      <c r="S16" s="28">
        <v>0</v>
      </c>
      <c r="T16" s="28">
        <v>0</v>
      </c>
      <c r="U16" s="28">
        <v>0</v>
      </c>
      <c r="V16" s="28">
        <v>0</v>
      </c>
      <c r="W16" s="28">
        <v>0</v>
      </c>
      <c r="X16" s="28">
        <v>0</v>
      </c>
      <c r="Y16" s="29">
        <v>0</v>
      </c>
      <c r="Z16" s="29">
        <v>0</v>
      </c>
      <c r="AA16" s="29">
        <v>0</v>
      </c>
      <c r="AB16" s="29">
        <v>0</v>
      </c>
      <c r="AC16" s="15"/>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row>
    <row r="17" spans="3:29" ht="12.75">
      <c r="C17" s="23"/>
      <c r="D17" s="177" t="s">
        <v>81</v>
      </c>
      <c r="E17" s="178"/>
      <c r="F17" s="177" t="s">
        <v>82</v>
      </c>
      <c r="G17" s="178"/>
      <c r="H17" s="50" t="s">
        <v>83</v>
      </c>
      <c r="I17" s="23"/>
      <c r="J17" s="157"/>
      <c r="K17" s="47" t="s">
        <v>45</v>
      </c>
      <c r="L17" s="33">
        <f t="array" ref="L17:AB17" ca="1">TRANSPOSE(AS3:AS19)</f>
        <v>0</v>
      </c>
      <c r="M17" s="34">
        <f ca="1"/>
        <v>0</v>
      </c>
      <c r="N17" s="34">
        <f ca="1"/>
        <v>1</v>
      </c>
      <c r="O17" s="34">
        <f ca="1"/>
        <v>0</v>
      </c>
      <c r="P17" s="34">
        <v>0</v>
      </c>
      <c r="Q17" s="34">
        <v>0</v>
      </c>
      <c r="R17" s="34">
        <v>0</v>
      </c>
      <c r="S17" s="34">
        <v>0</v>
      </c>
      <c r="T17" s="34">
        <v>0</v>
      </c>
      <c r="U17" s="34">
        <v>0</v>
      </c>
      <c r="V17" s="34">
        <v>0</v>
      </c>
      <c r="W17" s="34">
        <v>0</v>
      </c>
      <c r="X17" s="34">
        <v>0</v>
      </c>
      <c r="Y17" s="35">
        <v>0</v>
      </c>
      <c r="Z17" s="35">
        <v>0</v>
      </c>
      <c r="AA17" s="35">
        <v>0</v>
      </c>
      <c r="AB17" s="35">
        <v>0</v>
      </c>
      <c r="AC17" s="15"/>
    </row>
    <row r="18" spans="3:29" ht="12.75">
      <c r="C18" s="23"/>
      <c r="D18" s="174">
        <f ca="1">IFERROR(__xludf.DUMMYFUNCTION("IFERROR(IF($A$2=""All"",COUNTIF(FILTER('MATCH CALCS'!$AK:$AK,'MATCH CALCS'!$D:$D=$A$1),""=Dc""),COUNTIF(FILTER('MATCH CALCS'!$AK:$AK,'MATCH CALCS'!$D:$D=$A$1,'MATCH CALCS'!$A:$A=$A$2),""=Dc"")),""-"")"),4)</f>
        <v>4</v>
      </c>
      <c r="E18" s="175"/>
      <c r="F18" s="174">
        <f ca="1">IFERROR(__xludf.DUMMYFUNCTION("IFERROR(IF($A$2=""All"",COUNTIF(FILTER('MATCH CALCS'!$AN:$AN,'MATCH CALCS'!$D:$D=$A$1),""=Dc""),COUNTIF(FILTER('MATCH CALCS'!$AN:$AN,'MATCH CALCS'!$D:$D=$A$1,'MATCH CALCS'!$A:$A=$A$2),""=Dc"")),""-"")"),1)</f>
        <v>1</v>
      </c>
      <c r="G18" s="175"/>
      <c r="H18" s="51">
        <f ca="1">IFERROR(AVERAGEIF(L24:AB24,"=Dc",L25:AB25), "N/A")</f>
        <v>11.88</v>
      </c>
      <c r="I18" s="23"/>
      <c r="J18" s="157"/>
      <c r="K18" s="6" t="s">
        <v>46</v>
      </c>
      <c r="L18" s="27">
        <f t="array" ref="L18:AB18" ca="1">TRANSPOSE(AT3:AT19)</f>
        <v>3</v>
      </c>
      <c r="M18" s="28">
        <f ca="1"/>
        <v>4</v>
      </c>
      <c r="N18" s="28">
        <f ca="1"/>
        <v>6</v>
      </c>
      <c r="O18" s="28">
        <f ca="1"/>
        <v>3</v>
      </c>
      <c r="P18" s="28">
        <v>0</v>
      </c>
      <c r="Q18" s="28">
        <v>0</v>
      </c>
      <c r="R18" s="28">
        <v>0</v>
      </c>
      <c r="S18" s="28">
        <v>0</v>
      </c>
      <c r="T18" s="28">
        <v>0</v>
      </c>
      <c r="U18" s="28">
        <v>0</v>
      </c>
      <c r="V18" s="28">
        <v>0</v>
      </c>
      <c r="W18" s="28">
        <v>0</v>
      </c>
      <c r="X18" s="28">
        <v>0</v>
      </c>
      <c r="Y18" s="29">
        <v>0</v>
      </c>
      <c r="Z18" s="29">
        <v>0</v>
      </c>
      <c r="AA18" s="29">
        <v>0</v>
      </c>
      <c r="AB18" s="29">
        <v>0</v>
      </c>
      <c r="AC18" s="15"/>
    </row>
    <row r="19" spans="3:29" ht="15">
      <c r="C19" s="48"/>
      <c r="D19" s="176" t="s">
        <v>84</v>
      </c>
      <c r="E19" s="166"/>
      <c r="F19" s="166"/>
      <c r="G19" s="166"/>
      <c r="H19" s="159"/>
      <c r="I19" s="48"/>
      <c r="J19" s="157"/>
      <c r="K19" s="47" t="s">
        <v>23</v>
      </c>
      <c r="L19" s="33">
        <f t="array" ref="L19:AB19" ca="1">TRANSPOSE(AU3:AU19)</f>
        <v>0</v>
      </c>
      <c r="M19" s="34">
        <f ca="1"/>
        <v>0</v>
      </c>
      <c r="N19" s="34">
        <f ca="1"/>
        <v>0</v>
      </c>
      <c r="O19" s="34">
        <f ca="1"/>
        <v>0</v>
      </c>
      <c r="P19" s="34">
        <v>0</v>
      </c>
      <c r="Q19" s="34">
        <v>0</v>
      </c>
      <c r="R19" s="34">
        <v>0</v>
      </c>
      <c r="S19" s="34">
        <v>0</v>
      </c>
      <c r="T19" s="34">
        <v>0</v>
      </c>
      <c r="U19" s="34">
        <v>0</v>
      </c>
      <c r="V19" s="34">
        <v>0</v>
      </c>
      <c r="W19" s="34">
        <v>0</v>
      </c>
      <c r="X19" s="34">
        <v>0</v>
      </c>
      <c r="Y19" s="35">
        <v>0</v>
      </c>
      <c r="Z19" s="35">
        <v>0</v>
      </c>
      <c r="AA19" s="35">
        <v>0</v>
      </c>
      <c r="AB19" s="35">
        <v>0</v>
      </c>
      <c r="AC19" s="15"/>
    </row>
    <row r="20" spans="3:29" ht="12.75">
      <c r="C20" s="23"/>
      <c r="D20" s="177" t="s">
        <v>81</v>
      </c>
      <c r="E20" s="178"/>
      <c r="F20" s="177" t="s">
        <v>82</v>
      </c>
      <c r="G20" s="178"/>
      <c r="H20" s="50" t="s">
        <v>83</v>
      </c>
      <c r="I20" s="23"/>
      <c r="J20" s="157"/>
      <c r="K20" s="6" t="s">
        <v>24</v>
      </c>
      <c r="L20" s="27">
        <f t="array" ref="L20:AB20" ca="1">TRANSPOSE(AV3:AV19)</f>
        <v>0</v>
      </c>
      <c r="M20" s="28">
        <f ca="1"/>
        <v>0</v>
      </c>
      <c r="N20" s="28">
        <f ca="1"/>
        <v>0</v>
      </c>
      <c r="O20" s="28">
        <f ca="1"/>
        <v>0</v>
      </c>
      <c r="P20" s="28">
        <v>0</v>
      </c>
      <c r="Q20" s="28">
        <v>0</v>
      </c>
      <c r="R20" s="28">
        <v>0</v>
      </c>
      <c r="S20" s="28">
        <v>0</v>
      </c>
      <c r="T20" s="28">
        <v>0</v>
      </c>
      <c r="U20" s="28">
        <v>0</v>
      </c>
      <c r="V20" s="28">
        <v>0</v>
      </c>
      <c r="W20" s="28">
        <v>0</v>
      </c>
      <c r="X20" s="28">
        <v>0</v>
      </c>
      <c r="Y20" s="29">
        <v>0</v>
      </c>
      <c r="Z20" s="29">
        <v>0</v>
      </c>
      <c r="AA20" s="29">
        <v>0</v>
      </c>
      <c r="AB20" s="29">
        <v>0</v>
      </c>
      <c r="AC20" s="15"/>
    </row>
    <row r="21" spans="3:29" ht="12.75">
      <c r="C21" s="23"/>
      <c r="D21" s="174">
        <f ca="1">IFERROR(__xludf.DUMMYFUNCTION("IFERROR(IF($A$2=""All"",COUNTIF(FILTER('MATCH CALCS'!$AK:$AK,'MATCH CALCS'!$D:$D=$A$1),""=Sc""),COUNTIF(FILTER('MATCH CALCS'!$AK:$AK,'MATCH CALCS'!$D:$D=$A$1,'MATCH CALCS'!$A:$A=$A$2),""=Sc"")),""-"")"),0)</f>
        <v>0</v>
      </c>
      <c r="E21" s="175"/>
      <c r="F21" s="174">
        <f ca="1">IFERROR(__xludf.DUMMYFUNCTION("IFERROR(IF($A$2=""All"",COUNTIF(FILTER('MATCH CALCS'!$AN:$AN,'MATCH CALCS'!$D:$D=$A$1),""=Sc""),COUNTIF(FILTER('MATCH CALCS'!$AN:$AN,'MATCH CALCS'!$D:$D=$A$1,'MATCH CALCS'!$A:$A=$A$2),""=Sc"")),""-"")"),0)</f>
        <v>0</v>
      </c>
      <c r="G21" s="175"/>
      <c r="H21" s="51" t="str">
        <f ca="1">IFERROR(AVERAGEIF(L23:AB23,"=Sc",L25:AB25), "N/A")</f>
        <v>N/A</v>
      </c>
      <c r="I21" s="23"/>
      <c r="J21" s="157"/>
      <c r="K21" s="47" t="s">
        <v>47</v>
      </c>
      <c r="L21" s="33">
        <f t="array" ref="L21:AB21" ca="1">TRANSPOSE(AW3:AW19)</f>
        <v>0</v>
      </c>
      <c r="M21" s="34">
        <f ca="1"/>
        <v>0</v>
      </c>
      <c r="N21" s="34">
        <f ca="1"/>
        <v>0</v>
      </c>
      <c r="O21" s="34">
        <f ca="1"/>
        <v>0</v>
      </c>
      <c r="P21" s="34">
        <v>0</v>
      </c>
      <c r="Q21" s="34">
        <v>0</v>
      </c>
      <c r="R21" s="34">
        <v>0</v>
      </c>
      <c r="S21" s="34">
        <v>0</v>
      </c>
      <c r="T21" s="34">
        <v>0</v>
      </c>
      <c r="U21" s="34">
        <v>0</v>
      </c>
      <c r="V21" s="34">
        <v>0</v>
      </c>
      <c r="W21" s="34">
        <v>0</v>
      </c>
      <c r="X21" s="34">
        <v>0</v>
      </c>
      <c r="Y21" s="35">
        <v>0</v>
      </c>
      <c r="Z21" s="35">
        <v>0</v>
      </c>
      <c r="AA21" s="35">
        <v>0</v>
      </c>
      <c r="AB21" s="35">
        <v>0</v>
      </c>
      <c r="AC21" s="15"/>
    </row>
    <row r="22" spans="3:29" ht="12.75">
      <c r="C22" s="23"/>
      <c r="I22" s="39"/>
      <c r="J22" s="40"/>
      <c r="K22" s="40"/>
      <c r="L22" s="41"/>
      <c r="M22" s="42"/>
      <c r="N22" s="42"/>
      <c r="O22" s="42"/>
      <c r="P22" s="42"/>
      <c r="Q22" s="42"/>
      <c r="R22" s="42"/>
      <c r="S22" s="42"/>
      <c r="T22" s="42"/>
      <c r="U22" s="42"/>
      <c r="V22" s="42"/>
      <c r="W22" s="42"/>
      <c r="X22" s="42"/>
      <c r="Y22" s="43"/>
      <c r="Z22" s="43"/>
      <c r="AA22" s="43"/>
      <c r="AB22" s="43"/>
      <c r="AC22" s="15"/>
    </row>
    <row r="23" spans="3:29" ht="12.75">
      <c r="C23" s="23"/>
      <c r="I23" s="23"/>
      <c r="J23" s="183" t="s">
        <v>75</v>
      </c>
      <c r="K23" s="6" t="s">
        <v>48</v>
      </c>
      <c r="L23" s="27" t="str">
        <f t="array" ref="L23:AB23" ca="1">TRANSPOSE(AY3:AY19)</f>
        <v>Dc</v>
      </c>
      <c r="M23" s="28" t="str">
        <f ca="1"/>
        <v>Dc</v>
      </c>
      <c r="N23" s="28" t="str">
        <f ca="1"/>
        <v>Dc</v>
      </c>
      <c r="O23" s="28" t="str">
        <f ca="1"/>
        <v>Dc</v>
      </c>
      <c r="P23" s="28">
        <v>0</v>
      </c>
      <c r="Q23" s="28">
        <v>0</v>
      </c>
      <c r="R23" s="28">
        <v>0</v>
      </c>
      <c r="S23" s="28">
        <v>0</v>
      </c>
      <c r="T23" s="28">
        <v>0</v>
      </c>
      <c r="U23" s="28">
        <v>0</v>
      </c>
      <c r="V23" s="28">
        <v>0</v>
      </c>
      <c r="W23" s="28">
        <v>0</v>
      </c>
      <c r="X23" s="28">
        <v>0</v>
      </c>
      <c r="Y23" s="29">
        <v>0</v>
      </c>
      <c r="Z23" s="29">
        <v>0</v>
      </c>
      <c r="AA23" s="29">
        <v>0</v>
      </c>
      <c r="AB23" s="29">
        <v>0</v>
      </c>
      <c r="AC23" s="15"/>
    </row>
    <row r="24" spans="3:29" ht="12.75">
      <c r="C24" s="23"/>
      <c r="I24" s="23"/>
      <c r="J24" s="157"/>
      <c r="K24" s="47" t="s">
        <v>49</v>
      </c>
      <c r="L24" s="33" t="str">
        <f t="array" ref="L24:AB24" ca="1">TRANSPOSE(AZ3:AZ19)</f>
        <v>P</v>
      </c>
      <c r="M24" s="34" t="str">
        <f ca="1"/>
        <v>P</v>
      </c>
      <c r="N24" s="34" t="str">
        <f ca="1"/>
        <v>Dc</v>
      </c>
      <c r="O24" s="34" t="str">
        <f ca="1"/>
        <v>P</v>
      </c>
      <c r="P24" s="34">
        <v>0</v>
      </c>
      <c r="Q24" s="34">
        <v>0</v>
      </c>
      <c r="R24" s="34">
        <v>0</v>
      </c>
      <c r="S24" s="34">
        <v>0</v>
      </c>
      <c r="T24" s="34">
        <v>0</v>
      </c>
      <c r="U24" s="34">
        <v>0</v>
      </c>
      <c r="V24" s="34">
        <v>0</v>
      </c>
      <c r="W24" s="34">
        <v>0</v>
      </c>
      <c r="X24" s="34">
        <v>0</v>
      </c>
      <c r="Y24" s="35">
        <v>0</v>
      </c>
      <c r="Z24" s="35">
        <v>0</v>
      </c>
      <c r="AA24" s="35">
        <v>0</v>
      </c>
      <c r="AB24" s="35">
        <v>0</v>
      </c>
      <c r="AC24" s="15"/>
    </row>
    <row r="25" spans="3:29" ht="12.75">
      <c r="C25" s="23"/>
      <c r="I25" s="23"/>
      <c r="J25" s="157"/>
      <c r="K25" s="6" t="s">
        <v>50</v>
      </c>
      <c r="L25" s="27">
        <f t="array" ref="L25:AB25" ca="1">TRANSPOSE(BA3:BA19)</f>
        <v>0</v>
      </c>
      <c r="M25" s="28">
        <f ca="1"/>
        <v>0</v>
      </c>
      <c r="N25" s="28">
        <f ca="1"/>
        <v>11.88</v>
      </c>
      <c r="O25" s="28">
        <f ca="1"/>
        <v>0</v>
      </c>
      <c r="P25" s="28">
        <v>0</v>
      </c>
      <c r="Q25" s="28">
        <v>0</v>
      </c>
      <c r="R25" s="28">
        <v>0</v>
      </c>
      <c r="S25" s="28">
        <v>0</v>
      </c>
      <c r="T25" s="28">
        <v>0</v>
      </c>
      <c r="U25" s="28">
        <v>0</v>
      </c>
      <c r="V25" s="28">
        <v>0</v>
      </c>
      <c r="W25" s="28">
        <v>0</v>
      </c>
      <c r="X25" s="28">
        <v>0</v>
      </c>
      <c r="Y25" s="29">
        <v>0</v>
      </c>
      <c r="Z25" s="29">
        <v>0</v>
      </c>
      <c r="AA25" s="29">
        <v>0</v>
      </c>
      <c r="AB25" s="29">
        <v>0</v>
      </c>
      <c r="AC25" s="15"/>
    </row>
    <row r="26" spans="3:29" ht="12.75">
      <c r="C26" s="23"/>
      <c r="I26" s="39"/>
      <c r="J26" s="40"/>
      <c r="K26" s="52"/>
      <c r="L26" s="41"/>
      <c r="M26" s="42"/>
      <c r="N26" s="42"/>
      <c r="O26" s="42"/>
      <c r="P26" s="42"/>
      <c r="Q26" s="42"/>
      <c r="R26" s="42"/>
      <c r="S26" s="42"/>
      <c r="T26" s="42"/>
      <c r="U26" s="42"/>
      <c r="V26" s="42"/>
      <c r="W26" s="42"/>
      <c r="X26" s="42"/>
      <c r="Y26" s="43"/>
      <c r="Z26" s="43"/>
      <c r="AA26" s="43"/>
      <c r="AB26" s="43"/>
      <c r="AC26" s="15"/>
    </row>
    <row r="27" spans="3:29" ht="12.75">
      <c r="C27" s="23"/>
      <c r="I27" s="23"/>
      <c r="J27" s="184" t="s">
        <v>39</v>
      </c>
      <c r="K27" s="6" t="s">
        <v>38</v>
      </c>
      <c r="L27" s="53" t="str">
        <f t="array" ref="L27:AB27" ca="1">TRANSPOSE(BC3:BC19)</f>
        <v/>
      </c>
      <c r="M27" s="54">
        <v>0</v>
      </c>
      <c r="N27" s="54">
        <v>0</v>
      </c>
      <c r="O27" s="54">
        <v>0</v>
      </c>
      <c r="P27" s="54">
        <v>0</v>
      </c>
      <c r="Q27" s="54">
        <v>0</v>
      </c>
      <c r="R27" s="54">
        <v>0</v>
      </c>
      <c r="S27" s="54">
        <v>0</v>
      </c>
      <c r="T27" s="54">
        <v>0</v>
      </c>
      <c r="U27" s="54">
        <v>0</v>
      </c>
      <c r="V27" s="54">
        <v>0</v>
      </c>
      <c r="W27" s="54">
        <v>0</v>
      </c>
      <c r="X27" s="54">
        <v>0</v>
      </c>
      <c r="Y27" s="55">
        <v>0</v>
      </c>
      <c r="Z27" s="55">
        <v>0</v>
      </c>
      <c r="AA27" s="55">
        <v>0</v>
      </c>
      <c r="AB27" s="55">
        <v>0</v>
      </c>
      <c r="AC27" s="15"/>
    </row>
    <row r="28" spans="3:29" ht="12.75">
      <c r="C28" s="23"/>
      <c r="I28" s="23"/>
      <c r="J28" s="157"/>
      <c r="K28" s="185" t="s">
        <v>51</v>
      </c>
      <c r="L28" s="186" t="str">
        <f t="array" ref="L28:AB28" ca="1">TRANSPOSE(BD3:BD19)</f>
        <v/>
      </c>
      <c r="M28" s="162" t="str">
        <f ca="1"/>
        <v>Practice</v>
      </c>
      <c r="N28" s="162">
        <v>0</v>
      </c>
      <c r="O28" s="162">
        <v>0</v>
      </c>
      <c r="P28" s="162">
        <v>0</v>
      </c>
      <c r="Q28" s="162">
        <v>0</v>
      </c>
      <c r="R28" s="162">
        <v>0</v>
      </c>
      <c r="S28" s="162">
        <v>0</v>
      </c>
      <c r="T28" s="162">
        <v>0</v>
      </c>
      <c r="U28" s="162">
        <v>0</v>
      </c>
      <c r="V28" s="162">
        <v>0</v>
      </c>
      <c r="W28" s="162">
        <v>0</v>
      </c>
      <c r="X28" s="162">
        <v>0</v>
      </c>
      <c r="Y28" s="181">
        <v>0</v>
      </c>
      <c r="Z28" s="181">
        <v>0</v>
      </c>
      <c r="AA28" s="181">
        <v>0</v>
      </c>
      <c r="AB28" s="181">
        <v>0</v>
      </c>
      <c r="AC28" s="15"/>
    </row>
    <row r="29" spans="3:29" ht="81.75" customHeight="1">
      <c r="C29" s="23"/>
      <c r="I29" s="23"/>
      <c r="J29" s="157"/>
      <c r="K29" s="157"/>
      <c r="L29" s="187"/>
      <c r="M29" s="163"/>
      <c r="N29" s="163"/>
      <c r="O29" s="163"/>
      <c r="P29" s="163"/>
      <c r="Q29" s="163"/>
      <c r="R29" s="163"/>
      <c r="S29" s="163"/>
      <c r="T29" s="163"/>
      <c r="U29" s="163"/>
      <c r="V29" s="163"/>
      <c r="W29" s="163"/>
      <c r="X29" s="163"/>
      <c r="Y29" s="182"/>
      <c r="Z29" s="182"/>
      <c r="AA29" s="182"/>
      <c r="AB29" s="182"/>
      <c r="AC29" s="15"/>
    </row>
    <row r="30" spans="3:29" ht="12.75">
      <c r="C30" s="23"/>
      <c r="I30" s="23"/>
      <c r="L30" s="56"/>
      <c r="M30" s="56"/>
      <c r="N30" s="56"/>
      <c r="O30" s="56"/>
      <c r="P30" s="56"/>
      <c r="Q30" s="56"/>
      <c r="R30" s="56"/>
      <c r="S30" s="56"/>
      <c r="T30" s="56"/>
      <c r="U30" s="56"/>
      <c r="V30" s="56"/>
      <c r="W30" s="56"/>
      <c r="X30" s="56"/>
      <c r="Y30" s="56"/>
      <c r="Z30" s="56"/>
      <c r="AA30" s="56"/>
      <c r="AB30" s="56"/>
      <c r="AC30" s="15"/>
    </row>
    <row r="31" spans="3:29" ht="12.75">
      <c r="C31" s="23"/>
      <c r="I31" s="23"/>
      <c r="L31" s="56"/>
      <c r="M31" s="56"/>
      <c r="N31" s="56"/>
      <c r="O31" s="56"/>
      <c r="P31" s="56"/>
      <c r="Q31" s="56"/>
      <c r="R31" s="56"/>
      <c r="S31" s="56"/>
      <c r="T31" s="56"/>
      <c r="U31" s="56"/>
      <c r="V31" s="56"/>
      <c r="W31" s="56"/>
      <c r="X31" s="56"/>
      <c r="Y31" s="56"/>
      <c r="Z31" s="56"/>
      <c r="AA31" s="56"/>
      <c r="AB31" s="56"/>
      <c r="AC31" s="15"/>
    </row>
    <row r="32" spans="3:29" ht="12.75">
      <c r="C32" s="23"/>
      <c r="I32" s="23"/>
      <c r="L32" s="56"/>
      <c r="M32" s="56"/>
      <c r="N32" s="56"/>
      <c r="O32" s="56"/>
      <c r="P32" s="56"/>
      <c r="Q32" s="56"/>
      <c r="R32" s="56"/>
      <c r="S32" s="56"/>
      <c r="T32" s="56"/>
      <c r="U32" s="56"/>
      <c r="V32" s="56"/>
      <c r="W32" s="56"/>
      <c r="X32" s="56"/>
      <c r="Y32" s="56"/>
      <c r="Z32" s="56"/>
      <c r="AA32" s="56"/>
      <c r="AB32" s="56"/>
      <c r="AC32" s="15"/>
    </row>
    <row r="33" spans="3:29" ht="12.75">
      <c r="C33" s="23"/>
      <c r="I33" s="23"/>
      <c r="L33" s="56"/>
      <c r="M33" s="56"/>
      <c r="N33" s="56"/>
      <c r="O33" s="56"/>
      <c r="P33" s="56"/>
      <c r="Q33" s="56"/>
      <c r="R33" s="56"/>
      <c r="S33" s="56"/>
      <c r="T33" s="56"/>
      <c r="U33" s="56"/>
      <c r="V33" s="56"/>
      <c r="W33" s="56"/>
      <c r="X33" s="56"/>
      <c r="Y33" s="56"/>
      <c r="Z33" s="56"/>
      <c r="AA33" s="56"/>
      <c r="AB33" s="56"/>
      <c r="AC33" s="15"/>
    </row>
    <row r="34" spans="3:29" ht="12.75">
      <c r="C34" s="23"/>
      <c r="I34" s="23"/>
      <c r="L34" s="56"/>
      <c r="M34" s="56"/>
      <c r="N34" s="56"/>
      <c r="O34" s="56"/>
      <c r="P34" s="56"/>
      <c r="Q34" s="56"/>
      <c r="R34" s="56"/>
      <c r="S34" s="56"/>
      <c r="T34" s="56"/>
      <c r="U34" s="56"/>
      <c r="V34" s="56"/>
      <c r="W34" s="56"/>
      <c r="X34" s="56"/>
      <c r="Y34" s="56"/>
      <c r="Z34" s="56"/>
      <c r="AA34" s="56"/>
      <c r="AB34" s="56"/>
      <c r="AC34" s="15"/>
    </row>
    <row r="35" spans="3:29" ht="12.75">
      <c r="C35" s="23"/>
      <c r="I35" s="23"/>
      <c r="L35" s="56"/>
      <c r="M35" s="56"/>
      <c r="N35" s="56"/>
      <c r="O35" s="56"/>
      <c r="P35" s="56"/>
      <c r="Q35" s="56"/>
      <c r="R35" s="56"/>
      <c r="S35" s="56"/>
      <c r="T35" s="56"/>
      <c r="U35" s="56"/>
      <c r="V35" s="56"/>
      <c r="W35" s="56"/>
      <c r="X35" s="56"/>
      <c r="Y35" s="56"/>
      <c r="Z35" s="56"/>
      <c r="AA35" s="56"/>
      <c r="AB35" s="56"/>
      <c r="AC35" s="15"/>
    </row>
    <row r="36" spans="3:29" ht="12.75">
      <c r="C36" s="23"/>
      <c r="I36" s="23"/>
      <c r="L36" s="56"/>
      <c r="M36" s="56"/>
      <c r="N36" s="56"/>
      <c r="O36" s="56"/>
      <c r="P36" s="56"/>
      <c r="Q36" s="56"/>
      <c r="R36" s="56"/>
      <c r="S36" s="56"/>
      <c r="T36" s="56"/>
      <c r="U36" s="56"/>
      <c r="V36" s="56"/>
      <c r="W36" s="56"/>
      <c r="X36" s="56"/>
      <c r="Y36" s="56"/>
      <c r="Z36" s="56"/>
      <c r="AA36" s="56"/>
      <c r="AB36" s="56"/>
      <c r="AC36" s="15"/>
    </row>
    <row r="37" spans="3:29" ht="12.75">
      <c r="C37" s="23"/>
      <c r="I37" s="23"/>
      <c r="L37" s="56"/>
      <c r="M37" s="56"/>
      <c r="N37" s="56"/>
      <c r="O37" s="56"/>
      <c r="P37" s="56"/>
      <c r="Q37" s="56"/>
      <c r="R37" s="56"/>
      <c r="S37" s="56"/>
      <c r="T37" s="56"/>
      <c r="U37" s="56"/>
      <c r="V37" s="56"/>
      <c r="W37" s="56"/>
      <c r="X37" s="56"/>
      <c r="Y37" s="56"/>
      <c r="Z37" s="56"/>
      <c r="AA37" s="56"/>
      <c r="AB37" s="56"/>
      <c r="AC37" s="15"/>
    </row>
    <row r="38" spans="3:29" ht="12.75">
      <c r="C38" s="23"/>
      <c r="I38" s="23"/>
      <c r="L38" s="56"/>
      <c r="M38" s="56"/>
      <c r="N38" s="56"/>
      <c r="O38" s="56"/>
      <c r="P38" s="56"/>
      <c r="Q38" s="56"/>
      <c r="R38" s="56"/>
      <c r="S38" s="56"/>
      <c r="T38" s="56"/>
      <c r="U38" s="56"/>
      <c r="V38" s="56"/>
      <c r="W38" s="56"/>
      <c r="X38" s="56"/>
      <c r="Y38" s="56"/>
      <c r="Z38" s="56"/>
      <c r="AA38" s="56"/>
      <c r="AB38" s="56"/>
      <c r="AC38" s="15"/>
    </row>
    <row r="39" spans="3:29" ht="12.75">
      <c r="C39" s="23"/>
      <c r="I39" s="23"/>
      <c r="L39" s="56"/>
      <c r="M39" s="56"/>
      <c r="N39" s="56"/>
      <c r="O39" s="56"/>
      <c r="P39" s="56"/>
      <c r="Q39" s="56"/>
      <c r="R39" s="56"/>
      <c r="S39" s="56"/>
      <c r="T39" s="56"/>
      <c r="U39" s="56"/>
      <c r="V39" s="56"/>
      <c r="W39" s="56"/>
      <c r="X39" s="56"/>
      <c r="Y39" s="56"/>
      <c r="Z39" s="56"/>
      <c r="AA39" s="56"/>
      <c r="AB39" s="56"/>
      <c r="AC39" s="15"/>
    </row>
    <row r="40" spans="3:29" ht="12.75">
      <c r="C40" s="23"/>
      <c r="I40" s="23"/>
      <c r="L40" s="56"/>
      <c r="M40" s="56"/>
      <c r="N40" s="56"/>
      <c r="O40" s="56"/>
      <c r="P40" s="56"/>
      <c r="Q40" s="56"/>
      <c r="R40" s="56"/>
      <c r="S40" s="56"/>
      <c r="T40" s="56"/>
      <c r="U40" s="56"/>
      <c r="V40" s="56"/>
      <c r="W40" s="56"/>
      <c r="X40" s="56"/>
      <c r="Y40" s="56"/>
      <c r="Z40" s="56"/>
      <c r="AA40" s="56"/>
      <c r="AB40" s="56"/>
      <c r="AC40" s="15"/>
    </row>
    <row r="41" spans="3:29" ht="12.75">
      <c r="C41" s="23"/>
      <c r="I41" s="23"/>
      <c r="L41" s="56"/>
      <c r="M41" s="56"/>
      <c r="N41" s="56"/>
      <c r="O41" s="56"/>
      <c r="P41" s="56"/>
      <c r="Q41" s="56"/>
      <c r="R41" s="56"/>
      <c r="S41" s="56"/>
      <c r="T41" s="56"/>
      <c r="U41" s="56"/>
      <c r="V41" s="56"/>
      <c r="W41" s="56"/>
      <c r="X41" s="56"/>
      <c r="Y41" s="56"/>
      <c r="Z41" s="56"/>
      <c r="AA41" s="56"/>
      <c r="AB41" s="56"/>
      <c r="AC41" s="15"/>
    </row>
    <row r="42" spans="3:29" ht="12.75">
      <c r="C42" s="23"/>
      <c r="I42" s="23"/>
      <c r="L42" s="56"/>
      <c r="M42" s="56"/>
      <c r="N42" s="56"/>
      <c r="O42" s="56"/>
      <c r="P42" s="56"/>
      <c r="Q42" s="56"/>
      <c r="R42" s="56"/>
      <c r="S42" s="56"/>
      <c r="T42" s="56"/>
      <c r="U42" s="56"/>
      <c r="V42" s="56"/>
      <c r="W42" s="56"/>
      <c r="X42" s="56"/>
      <c r="Y42" s="56"/>
      <c r="Z42" s="56"/>
      <c r="AA42" s="56"/>
      <c r="AB42" s="56"/>
      <c r="AC42" s="15"/>
    </row>
    <row r="43" spans="3:29" ht="12.75">
      <c r="C43" s="23"/>
      <c r="I43" s="23"/>
      <c r="L43" s="56"/>
      <c r="M43" s="56"/>
      <c r="N43" s="56"/>
      <c r="O43" s="56"/>
      <c r="P43" s="56"/>
      <c r="Q43" s="56"/>
      <c r="R43" s="56"/>
      <c r="S43" s="56"/>
      <c r="T43" s="56"/>
      <c r="U43" s="56"/>
      <c r="V43" s="56"/>
      <c r="W43" s="56"/>
      <c r="X43" s="56"/>
      <c r="Y43" s="56"/>
      <c r="Z43" s="56"/>
      <c r="AA43" s="56"/>
      <c r="AB43" s="56"/>
      <c r="AC43" s="15"/>
    </row>
    <row r="44" spans="3:29" ht="12.75">
      <c r="C44" s="23"/>
      <c r="I44" s="23"/>
      <c r="L44" s="56"/>
      <c r="M44" s="56"/>
      <c r="N44" s="56"/>
      <c r="O44" s="56"/>
      <c r="P44" s="56"/>
      <c r="Q44" s="56"/>
      <c r="R44" s="56"/>
      <c r="S44" s="56"/>
      <c r="T44" s="56"/>
      <c r="U44" s="56"/>
      <c r="V44" s="56"/>
      <c r="W44" s="56"/>
      <c r="X44" s="56"/>
      <c r="Y44" s="56"/>
      <c r="Z44" s="56"/>
      <c r="AA44" s="56"/>
      <c r="AB44" s="56"/>
      <c r="AC44" s="15"/>
    </row>
    <row r="45" spans="3:29" ht="12.75">
      <c r="C45" s="23"/>
      <c r="I45" s="23"/>
      <c r="L45" s="56"/>
      <c r="M45" s="56"/>
      <c r="N45" s="56"/>
      <c r="O45" s="56"/>
      <c r="P45" s="56"/>
      <c r="Q45" s="56"/>
      <c r="R45" s="56"/>
      <c r="S45" s="56"/>
      <c r="T45" s="56"/>
      <c r="U45" s="56"/>
      <c r="V45" s="56"/>
      <c r="W45" s="56"/>
      <c r="X45" s="56"/>
      <c r="Y45" s="56"/>
      <c r="Z45" s="56"/>
      <c r="AA45" s="56"/>
      <c r="AB45" s="56"/>
      <c r="AC45" s="15"/>
    </row>
    <row r="46" spans="3:29" ht="12.75">
      <c r="C46" s="23"/>
      <c r="I46" s="23"/>
      <c r="L46" s="56"/>
      <c r="M46" s="56"/>
      <c r="N46" s="56"/>
      <c r="O46" s="56"/>
      <c r="P46" s="56"/>
      <c r="Q46" s="56"/>
      <c r="R46" s="56"/>
      <c r="S46" s="56"/>
      <c r="T46" s="56"/>
      <c r="U46" s="56"/>
      <c r="V46" s="56"/>
      <c r="W46" s="56"/>
      <c r="X46" s="56"/>
      <c r="Y46" s="56"/>
      <c r="Z46" s="56"/>
      <c r="AA46" s="56"/>
      <c r="AB46" s="56"/>
      <c r="AC46" s="15"/>
    </row>
    <row r="47" spans="3:29" ht="12.75">
      <c r="C47" s="23"/>
      <c r="I47" s="23"/>
      <c r="L47" s="56"/>
      <c r="M47" s="56"/>
      <c r="N47" s="56"/>
      <c r="O47" s="56"/>
      <c r="P47" s="56"/>
      <c r="Q47" s="56"/>
      <c r="R47" s="56"/>
      <c r="S47" s="56"/>
      <c r="T47" s="56"/>
      <c r="U47" s="56"/>
      <c r="V47" s="56"/>
      <c r="W47" s="56"/>
      <c r="X47" s="56"/>
      <c r="Y47" s="56"/>
      <c r="Z47" s="56"/>
      <c r="AA47" s="56"/>
      <c r="AB47" s="56"/>
      <c r="AC47" s="15"/>
    </row>
    <row r="48" spans="3:29" ht="12.75">
      <c r="C48" s="23"/>
      <c r="I48" s="23"/>
      <c r="L48" s="56"/>
      <c r="M48" s="56"/>
      <c r="N48" s="56"/>
      <c r="O48" s="56"/>
      <c r="P48" s="56"/>
      <c r="Q48" s="56"/>
      <c r="R48" s="56"/>
      <c r="S48" s="56"/>
      <c r="T48" s="56"/>
      <c r="U48" s="56"/>
      <c r="V48" s="56"/>
      <c r="W48" s="56"/>
      <c r="X48" s="56"/>
      <c r="Y48" s="56"/>
      <c r="Z48" s="56"/>
      <c r="AA48" s="56"/>
      <c r="AB48" s="56"/>
      <c r="AC48" s="15"/>
    </row>
    <row r="49" spans="3:29" ht="12.75">
      <c r="C49" s="23"/>
      <c r="I49" s="23"/>
      <c r="L49" s="56"/>
      <c r="M49" s="56"/>
      <c r="N49" s="56"/>
      <c r="O49" s="56"/>
      <c r="P49" s="56"/>
      <c r="Q49" s="56"/>
      <c r="R49" s="56"/>
      <c r="S49" s="56"/>
      <c r="T49" s="56"/>
      <c r="U49" s="56"/>
      <c r="V49" s="56"/>
      <c r="W49" s="56"/>
      <c r="X49" s="56"/>
      <c r="Y49" s="56"/>
      <c r="Z49" s="56"/>
      <c r="AA49" s="56"/>
      <c r="AB49" s="56"/>
      <c r="AC49" s="15"/>
    </row>
    <row r="50" spans="3:29" ht="12.75">
      <c r="C50" s="23"/>
      <c r="I50" s="23"/>
      <c r="L50" s="56"/>
      <c r="M50" s="56"/>
      <c r="N50" s="56"/>
      <c r="O50" s="56"/>
      <c r="P50" s="56"/>
      <c r="Q50" s="56"/>
      <c r="R50" s="56"/>
      <c r="S50" s="56"/>
      <c r="T50" s="56"/>
      <c r="U50" s="56"/>
      <c r="V50" s="56"/>
      <c r="W50" s="56"/>
      <c r="X50" s="56"/>
      <c r="Y50" s="56"/>
      <c r="Z50" s="56"/>
      <c r="AA50" s="56"/>
      <c r="AB50" s="56"/>
      <c r="AC50" s="15"/>
    </row>
    <row r="51" spans="3:29" ht="12.75">
      <c r="C51" s="23"/>
      <c r="I51" s="23"/>
      <c r="L51" s="56"/>
      <c r="M51" s="56"/>
      <c r="N51" s="56"/>
      <c r="O51" s="56"/>
      <c r="P51" s="56"/>
      <c r="Q51" s="56"/>
      <c r="R51" s="56"/>
      <c r="S51" s="56"/>
      <c r="T51" s="56"/>
      <c r="U51" s="56"/>
      <c r="V51" s="56"/>
      <c r="W51" s="56"/>
      <c r="X51" s="56"/>
      <c r="Y51" s="56"/>
      <c r="Z51" s="56"/>
      <c r="AA51" s="56"/>
      <c r="AB51" s="56"/>
      <c r="AC51" s="15"/>
    </row>
    <row r="52" spans="3:29" ht="12.75">
      <c r="C52" s="23"/>
      <c r="I52" s="23"/>
      <c r="L52" s="56"/>
      <c r="M52" s="56"/>
      <c r="N52" s="56"/>
      <c r="O52" s="56"/>
      <c r="P52" s="56"/>
      <c r="Q52" s="56"/>
      <c r="R52" s="56"/>
      <c r="S52" s="56"/>
      <c r="T52" s="56"/>
      <c r="U52" s="56"/>
      <c r="V52" s="56"/>
      <c r="W52" s="56"/>
      <c r="X52" s="56"/>
      <c r="Y52" s="56"/>
      <c r="Z52" s="56"/>
      <c r="AA52" s="56"/>
      <c r="AB52" s="56"/>
      <c r="AC52" s="15"/>
    </row>
    <row r="53" spans="3:29" ht="12.75">
      <c r="C53" s="23"/>
      <c r="I53" s="23"/>
      <c r="L53" s="56"/>
      <c r="M53" s="56"/>
      <c r="N53" s="56"/>
      <c r="O53" s="56"/>
      <c r="P53" s="56"/>
      <c r="Q53" s="56"/>
      <c r="R53" s="56"/>
      <c r="S53" s="56"/>
      <c r="T53" s="56"/>
      <c r="U53" s="56"/>
      <c r="V53" s="56"/>
      <c r="W53" s="56"/>
      <c r="X53" s="56"/>
      <c r="Y53" s="56"/>
      <c r="Z53" s="56"/>
      <c r="AA53" s="56"/>
      <c r="AB53" s="56"/>
      <c r="AC53" s="15"/>
    </row>
    <row r="54" spans="3:29" ht="12.75">
      <c r="C54" s="23"/>
      <c r="I54" s="23"/>
      <c r="L54" s="56"/>
      <c r="M54" s="56"/>
      <c r="N54" s="56"/>
      <c r="O54" s="56"/>
      <c r="P54" s="56"/>
      <c r="Q54" s="56"/>
      <c r="R54" s="56"/>
      <c r="S54" s="56"/>
      <c r="T54" s="56"/>
      <c r="U54" s="56"/>
      <c r="V54" s="56"/>
      <c r="W54" s="56"/>
      <c r="X54" s="56"/>
      <c r="Y54" s="56"/>
      <c r="Z54" s="56"/>
      <c r="AA54" s="56"/>
      <c r="AB54" s="56"/>
      <c r="AC54" s="15"/>
    </row>
    <row r="55" spans="3:29" ht="12.75">
      <c r="C55" s="23"/>
      <c r="I55" s="23"/>
      <c r="L55" s="56"/>
      <c r="M55" s="56"/>
      <c r="N55" s="56"/>
      <c r="O55" s="56"/>
      <c r="P55" s="56"/>
      <c r="Q55" s="56"/>
      <c r="R55" s="56"/>
      <c r="S55" s="56"/>
      <c r="T55" s="56"/>
      <c r="U55" s="56"/>
      <c r="V55" s="56"/>
      <c r="W55" s="56"/>
      <c r="X55" s="56"/>
      <c r="Y55" s="56"/>
      <c r="Z55" s="56"/>
      <c r="AA55" s="56"/>
      <c r="AB55" s="56"/>
      <c r="AC55" s="15"/>
    </row>
    <row r="56" spans="3:29" ht="12.75">
      <c r="C56" s="23"/>
      <c r="I56" s="23"/>
      <c r="L56" s="56"/>
      <c r="M56" s="56"/>
      <c r="N56" s="56"/>
      <c r="O56" s="56"/>
      <c r="P56" s="56"/>
      <c r="Q56" s="56"/>
      <c r="R56" s="56"/>
      <c r="S56" s="56"/>
      <c r="T56" s="56"/>
      <c r="U56" s="56"/>
      <c r="V56" s="56"/>
      <c r="W56" s="56"/>
      <c r="X56" s="56"/>
      <c r="Y56" s="56"/>
      <c r="Z56" s="56"/>
      <c r="AA56" s="56"/>
      <c r="AB56" s="56"/>
      <c r="AC56" s="15"/>
    </row>
    <row r="57" spans="3:29" ht="12.75">
      <c r="C57" s="23"/>
      <c r="I57" s="23"/>
      <c r="L57" s="56"/>
      <c r="M57" s="56"/>
      <c r="N57" s="56"/>
      <c r="O57" s="56"/>
      <c r="P57" s="56"/>
      <c r="Q57" s="56"/>
      <c r="R57" s="56"/>
      <c r="S57" s="56"/>
      <c r="T57" s="56"/>
      <c r="U57" s="56"/>
      <c r="V57" s="56"/>
      <c r="W57" s="56"/>
      <c r="X57" s="56"/>
      <c r="Y57" s="56"/>
      <c r="Z57" s="56"/>
      <c r="AA57" s="56"/>
      <c r="AB57" s="56"/>
      <c r="AC57" s="15"/>
    </row>
    <row r="58" spans="3:29" ht="12.75">
      <c r="C58" s="23"/>
      <c r="I58" s="23"/>
      <c r="L58" s="56"/>
      <c r="M58" s="56"/>
      <c r="N58" s="56"/>
      <c r="O58" s="56"/>
      <c r="P58" s="56"/>
      <c r="Q58" s="56"/>
      <c r="R58" s="56"/>
      <c r="S58" s="56"/>
      <c r="T58" s="56"/>
      <c r="U58" s="56"/>
      <c r="V58" s="56"/>
      <c r="W58" s="56"/>
      <c r="X58" s="56"/>
      <c r="Y58" s="56"/>
      <c r="Z58" s="56"/>
      <c r="AA58" s="56"/>
      <c r="AB58" s="56"/>
      <c r="AC58" s="15"/>
    </row>
    <row r="59" spans="3:29" ht="12.75">
      <c r="C59" s="23"/>
      <c r="I59" s="23"/>
      <c r="L59" s="56"/>
      <c r="M59" s="56"/>
      <c r="N59" s="56"/>
      <c r="O59" s="56"/>
      <c r="P59" s="56"/>
      <c r="Q59" s="56"/>
      <c r="R59" s="56"/>
      <c r="S59" s="56"/>
      <c r="T59" s="56"/>
      <c r="U59" s="56"/>
      <c r="V59" s="56"/>
      <c r="W59" s="56"/>
      <c r="X59" s="56"/>
      <c r="Y59" s="56"/>
      <c r="Z59" s="56"/>
      <c r="AA59" s="56"/>
      <c r="AB59" s="56"/>
      <c r="AC59" s="15"/>
    </row>
    <row r="60" spans="3:29" ht="12.75">
      <c r="C60" s="23"/>
      <c r="I60" s="23"/>
      <c r="L60" s="56"/>
      <c r="M60" s="56"/>
      <c r="N60" s="56"/>
      <c r="O60" s="56"/>
      <c r="P60" s="56"/>
      <c r="Q60" s="56"/>
      <c r="R60" s="56"/>
      <c r="S60" s="56"/>
      <c r="T60" s="56"/>
      <c r="U60" s="56"/>
      <c r="V60" s="56"/>
      <c r="W60" s="56"/>
      <c r="X60" s="56"/>
      <c r="Y60" s="56"/>
      <c r="Z60" s="56"/>
      <c r="AA60" s="56"/>
      <c r="AB60" s="56"/>
      <c r="AC60" s="15"/>
    </row>
    <row r="61" spans="3:29" ht="12.75">
      <c r="C61" s="23"/>
      <c r="I61" s="23"/>
      <c r="L61" s="56"/>
      <c r="M61" s="56"/>
      <c r="N61" s="56"/>
      <c r="O61" s="56"/>
      <c r="P61" s="56"/>
      <c r="Q61" s="56"/>
      <c r="R61" s="56"/>
      <c r="S61" s="56"/>
      <c r="T61" s="56"/>
      <c r="U61" s="56"/>
      <c r="V61" s="56"/>
      <c r="W61" s="56"/>
      <c r="X61" s="56"/>
      <c r="Y61" s="56"/>
      <c r="Z61" s="56"/>
      <c r="AA61" s="56"/>
      <c r="AB61" s="56"/>
      <c r="AC61" s="15"/>
    </row>
    <row r="62" spans="3:29" ht="12.75">
      <c r="C62" s="23"/>
      <c r="I62" s="23"/>
      <c r="L62" s="56"/>
      <c r="M62" s="56"/>
      <c r="N62" s="56"/>
      <c r="O62" s="56"/>
      <c r="P62" s="56"/>
      <c r="Q62" s="56"/>
      <c r="R62" s="56"/>
      <c r="S62" s="56"/>
      <c r="T62" s="56"/>
      <c r="U62" s="56"/>
      <c r="V62" s="56"/>
      <c r="W62" s="56"/>
      <c r="X62" s="56"/>
      <c r="Y62" s="56"/>
      <c r="Z62" s="56"/>
      <c r="AA62" s="56"/>
      <c r="AB62" s="56"/>
      <c r="AC62" s="15"/>
    </row>
    <row r="63" spans="3:29" ht="12.75">
      <c r="C63" s="23"/>
      <c r="I63" s="23"/>
      <c r="L63" s="56"/>
      <c r="M63" s="56"/>
      <c r="N63" s="56"/>
      <c r="O63" s="56"/>
      <c r="P63" s="56"/>
      <c r="Q63" s="56"/>
      <c r="R63" s="56"/>
      <c r="S63" s="56"/>
      <c r="T63" s="56"/>
      <c r="U63" s="56"/>
      <c r="V63" s="56"/>
      <c r="W63" s="56"/>
      <c r="X63" s="56"/>
      <c r="Y63" s="56"/>
      <c r="Z63" s="56"/>
      <c r="AA63" s="56"/>
      <c r="AB63" s="56"/>
      <c r="AC63" s="15"/>
    </row>
    <row r="64" spans="3:29" ht="12.75">
      <c r="C64" s="23"/>
      <c r="I64" s="23"/>
      <c r="L64" s="56"/>
      <c r="M64" s="56"/>
      <c r="N64" s="56"/>
      <c r="O64" s="56"/>
      <c r="P64" s="56"/>
      <c r="Q64" s="56"/>
      <c r="R64" s="56"/>
      <c r="S64" s="56"/>
      <c r="T64" s="56"/>
      <c r="U64" s="56"/>
      <c r="V64" s="56"/>
      <c r="W64" s="56"/>
      <c r="X64" s="56"/>
      <c r="Y64" s="56"/>
      <c r="Z64" s="56"/>
      <c r="AA64" s="56"/>
      <c r="AB64" s="56"/>
      <c r="AC64" s="15"/>
    </row>
    <row r="65" spans="3:29" ht="12.75">
      <c r="C65" s="23"/>
      <c r="I65" s="23"/>
      <c r="L65" s="56"/>
      <c r="M65" s="56"/>
      <c r="N65" s="56"/>
      <c r="O65" s="56"/>
      <c r="P65" s="56"/>
      <c r="Q65" s="56"/>
      <c r="R65" s="56"/>
      <c r="S65" s="56"/>
      <c r="T65" s="56"/>
      <c r="U65" s="56"/>
      <c r="V65" s="56"/>
      <c r="W65" s="56"/>
      <c r="X65" s="56"/>
      <c r="Y65" s="56"/>
      <c r="Z65" s="56"/>
      <c r="AA65" s="56"/>
      <c r="AB65" s="56"/>
      <c r="AC65" s="15"/>
    </row>
    <row r="66" spans="3:29" ht="12.75">
      <c r="C66" s="23"/>
      <c r="I66" s="23"/>
      <c r="L66" s="56"/>
      <c r="M66" s="56"/>
      <c r="N66" s="56"/>
      <c r="O66" s="56"/>
      <c r="P66" s="56"/>
      <c r="Q66" s="56"/>
      <c r="R66" s="56"/>
      <c r="S66" s="56"/>
      <c r="T66" s="56"/>
      <c r="U66" s="56"/>
      <c r="V66" s="56"/>
      <c r="W66" s="56"/>
      <c r="X66" s="56"/>
      <c r="Y66" s="56"/>
      <c r="Z66" s="56"/>
      <c r="AA66" s="56"/>
      <c r="AB66" s="56"/>
      <c r="AC66" s="15"/>
    </row>
    <row r="67" spans="3:29" ht="12.75">
      <c r="C67" s="23"/>
      <c r="I67" s="23"/>
      <c r="L67" s="56"/>
      <c r="M67" s="56"/>
      <c r="N67" s="56"/>
      <c r="O67" s="56"/>
      <c r="P67" s="56"/>
      <c r="Q67" s="56"/>
      <c r="R67" s="56"/>
      <c r="S67" s="56"/>
      <c r="T67" s="56"/>
      <c r="U67" s="56"/>
      <c r="V67" s="56"/>
      <c r="W67" s="56"/>
      <c r="X67" s="56"/>
      <c r="Y67" s="56"/>
      <c r="Z67" s="56"/>
      <c r="AA67" s="56"/>
      <c r="AB67" s="56"/>
      <c r="AC67" s="15"/>
    </row>
    <row r="68" spans="3:29" ht="12.75">
      <c r="C68" s="23"/>
      <c r="I68" s="23"/>
      <c r="L68" s="56"/>
      <c r="M68" s="56"/>
      <c r="N68" s="56"/>
      <c r="O68" s="56"/>
      <c r="P68" s="56"/>
      <c r="Q68" s="56"/>
      <c r="R68" s="56"/>
      <c r="S68" s="56"/>
      <c r="T68" s="56"/>
      <c r="U68" s="56"/>
      <c r="V68" s="56"/>
      <c r="W68" s="56"/>
      <c r="X68" s="56"/>
      <c r="Y68" s="56"/>
      <c r="Z68" s="56"/>
      <c r="AA68" s="56"/>
      <c r="AB68" s="56"/>
      <c r="AC68" s="15"/>
    </row>
    <row r="69" spans="3:29" ht="12.75">
      <c r="C69" s="23"/>
      <c r="I69" s="23"/>
      <c r="L69" s="56"/>
      <c r="M69" s="56"/>
      <c r="N69" s="56"/>
      <c r="O69" s="56"/>
      <c r="P69" s="56"/>
      <c r="Q69" s="56"/>
      <c r="R69" s="56"/>
      <c r="S69" s="56"/>
      <c r="T69" s="56"/>
      <c r="U69" s="56"/>
      <c r="V69" s="56"/>
      <c r="W69" s="56"/>
      <c r="X69" s="56"/>
      <c r="Y69" s="56"/>
      <c r="Z69" s="56"/>
      <c r="AA69" s="56"/>
      <c r="AB69" s="56"/>
      <c r="AC69" s="15"/>
    </row>
    <row r="70" spans="3:29" ht="12.75">
      <c r="C70" s="23"/>
      <c r="I70" s="23"/>
      <c r="L70" s="56"/>
      <c r="M70" s="56"/>
      <c r="N70" s="56"/>
      <c r="O70" s="56"/>
      <c r="P70" s="56"/>
      <c r="Q70" s="56"/>
      <c r="R70" s="56"/>
      <c r="S70" s="56"/>
      <c r="T70" s="56"/>
      <c r="U70" s="56"/>
      <c r="V70" s="56"/>
      <c r="W70" s="56"/>
      <c r="X70" s="56"/>
      <c r="Y70" s="56"/>
      <c r="Z70" s="56"/>
      <c r="AA70" s="56"/>
      <c r="AB70" s="56"/>
      <c r="AC70" s="15"/>
    </row>
    <row r="71" spans="3:29" ht="12.75">
      <c r="C71" s="23"/>
      <c r="I71" s="23"/>
      <c r="L71" s="56"/>
      <c r="M71" s="56"/>
      <c r="N71" s="56"/>
      <c r="O71" s="56"/>
      <c r="P71" s="56"/>
      <c r="Q71" s="56"/>
      <c r="R71" s="56"/>
      <c r="S71" s="56"/>
      <c r="T71" s="56"/>
      <c r="U71" s="56"/>
      <c r="V71" s="56"/>
      <c r="W71" s="56"/>
      <c r="X71" s="56"/>
      <c r="Y71" s="56"/>
      <c r="Z71" s="56"/>
      <c r="AA71" s="56"/>
      <c r="AB71" s="56"/>
      <c r="AC71" s="15"/>
    </row>
    <row r="72" spans="3:29" ht="12.75">
      <c r="C72" s="23"/>
      <c r="I72" s="23"/>
      <c r="L72" s="56"/>
      <c r="M72" s="56"/>
      <c r="N72" s="56"/>
      <c r="O72" s="56"/>
      <c r="P72" s="56"/>
      <c r="Q72" s="56"/>
      <c r="R72" s="56"/>
      <c r="S72" s="56"/>
      <c r="T72" s="56"/>
      <c r="U72" s="56"/>
      <c r="V72" s="56"/>
      <c r="W72" s="56"/>
      <c r="X72" s="56"/>
      <c r="Y72" s="56"/>
      <c r="Z72" s="56"/>
      <c r="AA72" s="56"/>
      <c r="AB72" s="56"/>
      <c r="AC72" s="15"/>
    </row>
    <row r="73" spans="3:29" ht="12.75">
      <c r="C73" s="23"/>
      <c r="I73" s="23"/>
      <c r="L73" s="56"/>
      <c r="M73" s="56"/>
      <c r="N73" s="56"/>
      <c r="O73" s="56"/>
      <c r="P73" s="56"/>
      <c r="Q73" s="56"/>
      <c r="R73" s="56"/>
      <c r="S73" s="56"/>
      <c r="T73" s="56"/>
      <c r="U73" s="56"/>
      <c r="V73" s="56"/>
      <c r="W73" s="56"/>
      <c r="X73" s="56"/>
      <c r="Y73" s="56"/>
      <c r="Z73" s="56"/>
      <c r="AA73" s="56"/>
      <c r="AB73" s="56"/>
      <c r="AC73" s="15"/>
    </row>
    <row r="74" spans="3:29" ht="12.75">
      <c r="C74" s="23"/>
      <c r="I74" s="23"/>
      <c r="L74" s="56"/>
      <c r="M74" s="56"/>
      <c r="N74" s="56"/>
      <c r="O74" s="56"/>
      <c r="P74" s="56"/>
      <c r="Q74" s="56"/>
      <c r="R74" s="56"/>
      <c r="S74" s="56"/>
      <c r="T74" s="56"/>
      <c r="U74" s="56"/>
      <c r="V74" s="56"/>
      <c r="W74" s="56"/>
      <c r="X74" s="56"/>
      <c r="Y74" s="56"/>
      <c r="Z74" s="56"/>
      <c r="AA74" s="56"/>
      <c r="AB74" s="56"/>
      <c r="AC74" s="15"/>
    </row>
    <row r="75" spans="3:29" ht="12.75">
      <c r="C75" s="23"/>
      <c r="I75" s="23"/>
      <c r="L75" s="56"/>
      <c r="M75" s="56"/>
      <c r="N75" s="56"/>
      <c r="O75" s="56"/>
      <c r="P75" s="56"/>
      <c r="Q75" s="56"/>
      <c r="R75" s="56"/>
      <c r="S75" s="56"/>
      <c r="T75" s="56"/>
      <c r="U75" s="56"/>
      <c r="V75" s="56"/>
      <c r="W75" s="56"/>
      <c r="X75" s="56"/>
      <c r="Y75" s="56"/>
      <c r="Z75" s="56"/>
      <c r="AA75" s="56"/>
      <c r="AB75" s="56"/>
      <c r="AC75" s="15"/>
    </row>
    <row r="76" spans="3:29" ht="12.75">
      <c r="C76" s="23"/>
      <c r="I76" s="23"/>
      <c r="L76" s="56"/>
      <c r="M76" s="56"/>
      <c r="N76" s="56"/>
      <c r="O76" s="56"/>
      <c r="P76" s="56"/>
      <c r="Q76" s="56"/>
      <c r="R76" s="56"/>
      <c r="S76" s="56"/>
      <c r="T76" s="56"/>
      <c r="U76" s="56"/>
      <c r="V76" s="56"/>
      <c r="W76" s="56"/>
      <c r="X76" s="56"/>
      <c r="Y76" s="56"/>
      <c r="Z76" s="56"/>
      <c r="AA76" s="56"/>
      <c r="AB76" s="56"/>
      <c r="AC76" s="15"/>
    </row>
    <row r="77" spans="3:29" ht="12.75">
      <c r="C77" s="23"/>
      <c r="I77" s="23"/>
      <c r="L77" s="56"/>
      <c r="M77" s="56"/>
      <c r="N77" s="56"/>
      <c r="O77" s="56"/>
      <c r="P77" s="56"/>
      <c r="Q77" s="56"/>
      <c r="R77" s="56"/>
      <c r="S77" s="56"/>
      <c r="T77" s="56"/>
      <c r="U77" s="56"/>
      <c r="V77" s="56"/>
      <c r="W77" s="56"/>
      <c r="X77" s="56"/>
      <c r="Y77" s="56"/>
      <c r="Z77" s="56"/>
      <c r="AA77" s="56"/>
      <c r="AB77" s="56"/>
      <c r="AC77" s="15"/>
    </row>
    <row r="78" spans="3:29" ht="12.75">
      <c r="C78" s="23"/>
      <c r="I78" s="23"/>
      <c r="L78" s="56"/>
      <c r="M78" s="56"/>
      <c r="N78" s="56"/>
      <c r="O78" s="56"/>
      <c r="P78" s="56"/>
      <c r="Q78" s="56"/>
      <c r="R78" s="56"/>
      <c r="S78" s="56"/>
      <c r="T78" s="56"/>
      <c r="U78" s="56"/>
      <c r="V78" s="56"/>
      <c r="W78" s="56"/>
      <c r="X78" s="56"/>
      <c r="Y78" s="56"/>
      <c r="Z78" s="56"/>
      <c r="AA78" s="56"/>
      <c r="AB78" s="56"/>
      <c r="AC78" s="15"/>
    </row>
    <row r="79" spans="3:29" ht="12.75">
      <c r="C79" s="23"/>
      <c r="I79" s="23"/>
      <c r="L79" s="56"/>
      <c r="M79" s="56"/>
      <c r="N79" s="56"/>
      <c r="O79" s="56"/>
      <c r="P79" s="56"/>
      <c r="Q79" s="56"/>
      <c r="R79" s="56"/>
      <c r="S79" s="56"/>
      <c r="T79" s="56"/>
      <c r="U79" s="56"/>
      <c r="V79" s="56"/>
      <c r="W79" s="56"/>
      <c r="X79" s="56"/>
      <c r="Y79" s="56"/>
      <c r="Z79" s="56"/>
      <c r="AA79" s="56"/>
      <c r="AB79" s="56"/>
      <c r="AC79" s="15"/>
    </row>
    <row r="80" spans="3:29" ht="12.75">
      <c r="C80" s="23"/>
      <c r="I80" s="23"/>
      <c r="L80" s="56"/>
      <c r="M80" s="56"/>
      <c r="N80" s="56"/>
      <c r="O80" s="56"/>
      <c r="P80" s="56"/>
      <c r="Q80" s="56"/>
      <c r="R80" s="56"/>
      <c r="S80" s="56"/>
      <c r="T80" s="56"/>
      <c r="U80" s="56"/>
      <c r="V80" s="56"/>
      <c r="W80" s="56"/>
      <c r="X80" s="56"/>
      <c r="Y80" s="56"/>
      <c r="Z80" s="56"/>
      <c r="AA80" s="56"/>
      <c r="AB80" s="56"/>
      <c r="AC80" s="15"/>
    </row>
    <row r="81" spans="3:29" ht="12.75">
      <c r="C81" s="23"/>
      <c r="I81" s="23"/>
      <c r="L81" s="56"/>
      <c r="M81" s="56"/>
      <c r="N81" s="56"/>
      <c r="O81" s="56"/>
      <c r="P81" s="56"/>
      <c r="Q81" s="56"/>
      <c r="R81" s="56"/>
      <c r="S81" s="56"/>
      <c r="T81" s="56"/>
      <c r="U81" s="56"/>
      <c r="V81" s="56"/>
      <c r="W81" s="56"/>
      <c r="X81" s="56"/>
      <c r="Y81" s="56"/>
      <c r="Z81" s="56"/>
      <c r="AA81" s="56"/>
      <c r="AB81" s="56"/>
      <c r="AC81" s="15"/>
    </row>
    <row r="82" spans="3:29" ht="12.75">
      <c r="C82" s="23"/>
      <c r="I82" s="23"/>
      <c r="L82" s="56"/>
      <c r="M82" s="56"/>
      <c r="N82" s="56"/>
      <c r="O82" s="56"/>
      <c r="P82" s="56"/>
      <c r="Q82" s="56"/>
      <c r="R82" s="56"/>
      <c r="S82" s="56"/>
      <c r="T82" s="56"/>
      <c r="U82" s="56"/>
      <c r="V82" s="56"/>
      <c r="W82" s="56"/>
      <c r="X82" s="56"/>
      <c r="Y82" s="56"/>
      <c r="Z82" s="56"/>
      <c r="AA82" s="56"/>
      <c r="AB82" s="56"/>
      <c r="AC82" s="15"/>
    </row>
    <row r="83" spans="3:29" ht="12.75">
      <c r="C83" s="23"/>
      <c r="I83" s="23"/>
      <c r="L83" s="56"/>
      <c r="M83" s="56"/>
      <c r="N83" s="56"/>
      <c r="O83" s="56"/>
      <c r="P83" s="56"/>
      <c r="Q83" s="56"/>
      <c r="R83" s="56"/>
      <c r="S83" s="56"/>
      <c r="T83" s="56"/>
      <c r="U83" s="56"/>
      <c r="V83" s="56"/>
      <c r="W83" s="56"/>
      <c r="X83" s="56"/>
      <c r="Y83" s="56"/>
      <c r="Z83" s="56"/>
      <c r="AA83" s="56"/>
      <c r="AB83" s="56"/>
      <c r="AC83" s="15"/>
    </row>
    <row r="84" spans="3:29" ht="12.75">
      <c r="C84" s="23"/>
      <c r="I84" s="23"/>
      <c r="L84" s="56"/>
      <c r="M84" s="56"/>
      <c r="N84" s="56"/>
      <c r="O84" s="56"/>
      <c r="P84" s="56"/>
      <c r="Q84" s="56"/>
      <c r="R84" s="56"/>
      <c r="S84" s="56"/>
      <c r="T84" s="56"/>
      <c r="U84" s="56"/>
      <c r="V84" s="56"/>
      <c r="W84" s="56"/>
      <c r="X84" s="56"/>
      <c r="Y84" s="56"/>
      <c r="Z84" s="56"/>
      <c r="AA84" s="56"/>
      <c r="AB84" s="56"/>
      <c r="AC84" s="15"/>
    </row>
    <row r="85" spans="3:29" ht="12.75">
      <c r="C85" s="23"/>
      <c r="I85" s="23"/>
      <c r="L85" s="56"/>
      <c r="M85" s="56"/>
      <c r="N85" s="56"/>
      <c r="O85" s="56"/>
      <c r="P85" s="56"/>
      <c r="Q85" s="56"/>
      <c r="R85" s="56"/>
      <c r="S85" s="56"/>
      <c r="T85" s="56"/>
      <c r="U85" s="56"/>
      <c r="V85" s="56"/>
      <c r="W85" s="56"/>
      <c r="X85" s="56"/>
      <c r="Y85" s="56"/>
      <c r="Z85" s="56"/>
      <c r="AA85" s="56"/>
      <c r="AB85" s="56"/>
      <c r="AC85" s="15"/>
    </row>
    <row r="86" spans="3:29" ht="12.75">
      <c r="C86" s="23"/>
      <c r="I86" s="23"/>
      <c r="L86" s="56"/>
      <c r="M86" s="56"/>
      <c r="N86" s="56"/>
      <c r="O86" s="56"/>
      <c r="P86" s="56"/>
      <c r="Q86" s="56"/>
      <c r="R86" s="56"/>
      <c r="S86" s="56"/>
      <c r="T86" s="56"/>
      <c r="U86" s="56"/>
      <c r="V86" s="56"/>
      <c r="W86" s="56"/>
      <c r="X86" s="56"/>
      <c r="Y86" s="56"/>
      <c r="Z86" s="56"/>
      <c r="AA86" s="56"/>
      <c r="AB86" s="56"/>
      <c r="AC86" s="15"/>
    </row>
    <row r="87" spans="3:29" ht="12.75">
      <c r="C87" s="23"/>
      <c r="I87" s="23"/>
      <c r="L87" s="56"/>
      <c r="M87" s="56"/>
      <c r="N87" s="56"/>
      <c r="O87" s="56"/>
      <c r="P87" s="56"/>
      <c r="Q87" s="56"/>
      <c r="R87" s="56"/>
      <c r="S87" s="56"/>
      <c r="T87" s="56"/>
      <c r="U87" s="56"/>
      <c r="V87" s="56"/>
      <c r="W87" s="56"/>
      <c r="X87" s="56"/>
      <c r="Y87" s="56"/>
      <c r="Z87" s="56"/>
      <c r="AA87" s="56"/>
      <c r="AB87" s="56"/>
      <c r="AC87" s="15"/>
    </row>
    <row r="88" spans="3:29" ht="12.75">
      <c r="C88" s="23"/>
      <c r="I88" s="23"/>
      <c r="L88" s="56"/>
      <c r="M88" s="56"/>
      <c r="N88" s="56"/>
      <c r="O88" s="56"/>
      <c r="P88" s="56"/>
      <c r="Q88" s="56"/>
      <c r="R88" s="56"/>
      <c r="S88" s="56"/>
      <c r="T88" s="56"/>
      <c r="U88" s="56"/>
      <c r="V88" s="56"/>
      <c r="W88" s="56"/>
      <c r="X88" s="56"/>
      <c r="Y88" s="56"/>
      <c r="Z88" s="56"/>
      <c r="AA88" s="56"/>
      <c r="AB88" s="56"/>
      <c r="AC88" s="15"/>
    </row>
    <row r="89" spans="3:29" ht="12.75">
      <c r="C89" s="23"/>
      <c r="I89" s="23"/>
      <c r="L89" s="56"/>
      <c r="M89" s="56"/>
      <c r="N89" s="56"/>
      <c r="O89" s="56"/>
      <c r="P89" s="56"/>
      <c r="Q89" s="56"/>
      <c r="R89" s="56"/>
      <c r="S89" s="56"/>
      <c r="T89" s="56"/>
      <c r="U89" s="56"/>
      <c r="V89" s="56"/>
      <c r="W89" s="56"/>
      <c r="X89" s="56"/>
      <c r="Y89" s="56"/>
      <c r="Z89" s="56"/>
      <c r="AA89" s="56"/>
      <c r="AB89" s="56"/>
      <c r="AC89" s="15"/>
    </row>
    <row r="90" spans="3:29" ht="12.75">
      <c r="C90" s="23"/>
      <c r="I90" s="23"/>
      <c r="L90" s="56"/>
      <c r="M90" s="56"/>
      <c r="N90" s="56"/>
      <c r="O90" s="56"/>
      <c r="P90" s="56"/>
      <c r="Q90" s="56"/>
      <c r="R90" s="56"/>
      <c r="S90" s="56"/>
      <c r="T90" s="56"/>
      <c r="U90" s="56"/>
      <c r="V90" s="56"/>
      <c r="W90" s="56"/>
      <c r="X90" s="56"/>
      <c r="Y90" s="56"/>
      <c r="Z90" s="56"/>
      <c r="AA90" s="56"/>
      <c r="AB90" s="56"/>
      <c r="AC90" s="15"/>
    </row>
    <row r="91" spans="3:29" ht="12.75">
      <c r="C91" s="23"/>
      <c r="I91" s="23"/>
      <c r="L91" s="56"/>
      <c r="M91" s="56"/>
      <c r="N91" s="56"/>
      <c r="O91" s="56"/>
      <c r="P91" s="56"/>
      <c r="Q91" s="56"/>
      <c r="R91" s="56"/>
      <c r="S91" s="56"/>
      <c r="T91" s="56"/>
      <c r="U91" s="56"/>
      <c r="V91" s="56"/>
      <c r="W91" s="56"/>
      <c r="X91" s="56"/>
      <c r="Y91" s="56"/>
      <c r="Z91" s="56"/>
      <c r="AA91" s="56"/>
      <c r="AB91" s="56"/>
      <c r="AC91" s="15"/>
    </row>
    <row r="92" spans="3:29" ht="12.75">
      <c r="C92" s="23"/>
      <c r="I92" s="23"/>
      <c r="L92" s="56"/>
      <c r="M92" s="56"/>
      <c r="N92" s="56"/>
      <c r="O92" s="56"/>
      <c r="P92" s="56"/>
      <c r="Q92" s="56"/>
      <c r="R92" s="56"/>
      <c r="S92" s="56"/>
      <c r="T92" s="56"/>
      <c r="U92" s="56"/>
      <c r="V92" s="56"/>
      <c r="W92" s="56"/>
      <c r="X92" s="56"/>
      <c r="Y92" s="56"/>
      <c r="Z92" s="56"/>
      <c r="AA92" s="56"/>
      <c r="AB92" s="56"/>
      <c r="AC92" s="15"/>
    </row>
    <row r="93" spans="3:29" ht="12.75">
      <c r="C93" s="23"/>
      <c r="I93" s="23"/>
      <c r="L93" s="56"/>
      <c r="M93" s="56"/>
      <c r="N93" s="56"/>
      <c r="O93" s="56"/>
      <c r="P93" s="56"/>
      <c r="Q93" s="56"/>
      <c r="R93" s="56"/>
      <c r="S93" s="56"/>
      <c r="T93" s="56"/>
      <c r="U93" s="56"/>
      <c r="V93" s="56"/>
      <c r="W93" s="56"/>
      <c r="X93" s="56"/>
      <c r="Y93" s="56"/>
      <c r="Z93" s="56"/>
      <c r="AA93" s="56"/>
      <c r="AB93" s="56"/>
      <c r="AC93" s="15"/>
    </row>
    <row r="94" spans="3:29" ht="12.75">
      <c r="C94" s="23"/>
      <c r="I94" s="23"/>
      <c r="L94" s="56"/>
      <c r="M94" s="56"/>
      <c r="N94" s="56"/>
      <c r="O94" s="56"/>
      <c r="P94" s="56"/>
      <c r="Q94" s="56"/>
      <c r="R94" s="56"/>
      <c r="S94" s="56"/>
      <c r="T94" s="56"/>
      <c r="U94" s="56"/>
      <c r="V94" s="56"/>
      <c r="W94" s="56"/>
      <c r="X94" s="56"/>
      <c r="Y94" s="56"/>
      <c r="Z94" s="56"/>
      <c r="AA94" s="56"/>
      <c r="AB94" s="56"/>
      <c r="AC94" s="15"/>
    </row>
    <row r="95" spans="3:29" ht="12.75">
      <c r="C95" s="23"/>
      <c r="I95" s="23"/>
      <c r="L95" s="56"/>
      <c r="M95" s="56"/>
      <c r="N95" s="56"/>
      <c r="O95" s="56"/>
      <c r="P95" s="56"/>
      <c r="Q95" s="56"/>
      <c r="R95" s="56"/>
      <c r="S95" s="56"/>
      <c r="T95" s="56"/>
      <c r="U95" s="56"/>
      <c r="V95" s="56"/>
      <c r="W95" s="56"/>
      <c r="X95" s="56"/>
      <c r="Y95" s="56"/>
      <c r="Z95" s="56"/>
      <c r="AA95" s="56"/>
      <c r="AB95" s="56"/>
      <c r="AC95" s="15"/>
    </row>
    <row r="96" spans="3:29" ht="12.75">
      <c r="C96" s="23"/>
      <c r="I96" s="23"/>
      <c r="L96" s="56"/>
      <c r="M96" s="56"/>
      <c r="N96" s="56"/>
      <c r="O96" s="56"/>
      <c r="P96" s="56"/>
      <c r="Q96" s="56"/>
      <c r="R96" s="56"/>
      <c r="S96" s="56"/>
      <c r="T96" s="56"/>
      <c r="U96" s="56"/>
      <c r="V96" s="56"/>
      <c r="W96" s="56"/>
      <c r="X96" s="56"/>
      <c r="Y96" s="56"/>
      <c r="Z96" s="56"/>
      <c r="AA96" s="56"/>
      <c r="AB96" s="56"/>
      <c r="AC96" s="15"/>
    </row>
    <row r="97" spans="3:29" ht="12.75">
      <c r="C97" s="23"/>
      <c r="I97" s="23"/>
      <c r="L97" s="56"/>
      <c r="M97" s="56"/>
      <c r="N97" s="56"/>
      <c r="O97" s="56"/>
      <c r="P97" s="56"/>
      <c r="Q97" s="56"/>
      <c r="R97" s="56"/>
      <c r="S97" s="56"/>
      <c r="T97" s="56"/>
      <c r="U97" s="56"/>
      <c r="V97" s="56"/>
      <c r="W97" s="56"/>
      <c r="X97" s="56"/>
      <c r="Y97" s="56"/>
      <c r="Z97" s="56"/>
      <c r="AA97" s="56"/>
      <c r="AB97" s="56"/>
      <c r="AC97" s="15"/>
    </row>
    <row r="98" spans="3:29" ht="12.75">
      <c r="C98" s="23"/>
      <c r="I98" s="23"/>
      <c r="L98" s="56"/>
      <c r="M98" s="56"/>
      <c r="N98" s="56"/>
      <c r="O98" s="56"/>
      <c r="P98" s="56"/>
      <c r="Q98" s="56"/>
      <c r="R98" s="56"/>
      <c r="S98" s="56"/>
      <c r="T98" s="56"/>
      <c r="U98" s="56"/>
      <c r="V98" s="56"/>
      <c r="W98" s="56"/>
      <c r="X98" s="56"/>
      <c r="Y98" s="56"/>
      <c r="Z98" s="56"/>
      <c r="AA98" s="56"/>
      <c r="AB98" s="56"/>
      <c r="AC98" s="15"/>
    </row>
    <row r="99" spans="3:29" ht="12.75">
      <c r="C99" s="23"/>
      <c r="I99" s="23"/>
      <c r="L99" s="56"/>
      <c r="M99" s="56"/>
      <c r="N99" s="56"/>
      <c r="O99" s="56"/>
      <c r="P99" s="56"/>
      <c r="Q99" s="56"/>
      <c r="R99" s="56"/>
      <c r="S99" s="56"/>
      <c r="T99" s="56"/>
      <c r="U99" s="56"/>
      <c r="V99" s="56"/>
      <c r="W99" s="56"/>
      <c r="X99" s="56"/>
      <c r="Y99" s="56"/>
      <c r="Z99" s="56"/>
      <c r="AA99" s="56"/>
      <c r="AB99" s="56"/>
      <c r="AC99" s="15"/>
    </row>
    <row r="100" spans="3:29" ht="12.75">
      <c r="C100" s="23"/>
      <c r="I100" s="23"/>
      <c r="L100" s="56"/>
      <c r="M100" s="56"/>
      <c r="N100" s="56"/>
      <c r="O100" s="56"/>
      <c r="P100" s="56"/>
      <c r="Q100" s="56"/>
      <c r="R100" s="56"/>
      <c r="S100" s="56"/>
      <c r="T100" s="56"/>
      <c r="U100" s="56"/>
      <c r="V100" s="56"/>
      <c r="W100" s="56"/>
      <c r="X100" s="56"/>
      <c r="Y100" s="56"/>
      <c r="Z100" s="56"/>
      <c r="AA100" s="56"/>
      <c r="AB100" s="56"/>
      <c r="AC100" s="15"/>
    </row>
    <row r="101" spans="3:29" ht="12.75">
      <c r="C101" s="23"/>
      <c r="I101" s="23"/>
      <c r="L101" s="56"/>
      <c r="M101" s="56"/>
      <c r="N101" s="56"/>
      <c r="O101" s="56"/>
      <c r="P101" s="56"/>
      <c r="Q101" s="56"/>
      <c r="R101" s="56"/>
      <c r="S101" s="56"/>
      <c r="T101" s="56"/>
      <c r="U101" s="56"/>
      <c r="V101" s="56"/>
      <c r="W101" s="56"/>
      <c r="X101" s="56"/>
      <c r="Y101" s="56"/>
      <c r="Z101" s="56"/>
      <c r="AA101" s="56"/>
      <c r="AB101" s="56"/>
      <c r="AC101" s="15"/>
    </row>
    <row r="102" spans="3:29" ht="12.75">
      <c r="C102" s="23"/>
      <c r="I102" s="23"/>
      <c r="L102" s="56"/>
      <c r="M102" s="56"/>
      <c r="N102" s="56"/>
      <c r="O102" s="56"/>
      <c r="P102" s="56"/>
      <c r="Q102" s="56"/>
      <c r="R102" s="56"/>
      <c r="S102" s="56"/>
      <c r="T102" s="56"/>
      <c r="U102" s="56"/>
      <c r="V102" s="56"/>
      <c r="W102" s="56"/>
      <c r="X102" s="56"/>
      <c r="Y102" s="56"/>
      <c r="Z102" s="56"/>
      <c r="AA102" s="56"/>
      <c r="AB102" s="56"/>
      <c r="AC102" s="15"/>
    </row>
    <row r="103" spans="3:29" ht="12.75">
      <c r="C103" s="23"/>
      <c r="I103" s="23"/>
      <c r="L103" s="56"/>
      <c r="M103" s="56"/>
      <c r="N103" s="56"/>
      <c r="O103" s="56"/>
      <c r="P103" s="56"/>
      <c r="Q103" s="56"/>
      <c r="R103" s="56"/>
      <c r="S103" s="56"/>
      <c r="T103" s="56"/>
      <c r="U103" s="56"/>
      <c r="V103" s="56"/>
      <c r="W103" s="56"/>
      <c r="X103" s="56"/>
      <c r="Y103" s="56"/>
      <c r="Z103" s="56"/>
      <c r="AA103" s="56"/>
      <c r="AB103" s="56"/>
      <c r="AC103" s="15"/>
    </row>
    <row r="104" spans="3:29" ht="12.75">
      <c r="C104" s="23"/>
      <c r="I104" s="23"/>
      <c r="L104" s="56"/>
      <c r="M104" s="56"/>
      <c r="N104" s="56"/>
      <c r="O104" s="56"/>
      <c r="P104" s="56"/>
      <c r="Q104" s="56"/>
      <c r="R104" s="56"/>
      <c r="S104" s="56"/>
      <c r="T104" s="56"/>
      <c r="U104" s="56"/>
      <c r="V104" s="56"/>
      <c r="W104" s="56"/>
      <c r="X104" s="56"/>
      <c r="Y104" s="56"/>
      <c r="Z104" s="56"/>
      <c r="AA104" s="56"/>
      <c r="AB104" s="56"/>
      <c r="AC104" s="15"/>
    </row>
    <row r="105" spans="3:29" ht="12.75">
      <c r="C105" s="23"/>
      <c r="I105" s="23"/>
      <c r="L105" s="56"/>
      <c r="M105" s="56"/>
      <c r="N105" s="56"/>
      <c r="O105" s="56"/>
      <c r="P105" s="56"/>
      <c r="Q105" s="56"/>
      <c r="R105" s="56"/>
      <c r="S105" s="56"/>
      <c r="T105" s="56"/>
      <c r="U105" s="56"/>
      <c r="V105" s="56"/>
      <c r="W105" s="56"/>
      <c r="X105" s="56"/>
      <c r="Y105" s="56"/>
      <c r="Z105" s="56"/>
      <c r="AA105" s="56"/>
      <c r="AB105" s="56"/>
      <c r="AC105" s="15"/>
    </row>
    <row r="106" spans="3:29" ht="12.75">
      <c r="C106" s="23"/>
      <c r="I106" s="23"/>
      <c r="L106" s="56"/>
      <c r="M106" s="56"/>
      <c r="N106" s="56"/>
      <c r="O106" s="56"/>
      <c r="P106" s="56"/>
      <c r="Q106" s="56"/>
      <c r="R106" s="56"/>
      <c r="S106" s="56"/>
      <c r="T106" s="56"/>
      <c r="U106" s="56"/>
      <c r="V106" s="56"/>
      <c r="W106" s="56"/>
      <c r="X106" s="56"/>
      <c r="Y106" s="56"/>
      <c r="Z106" s="56"/>
      <c r="AA106" s="56"/>
      <c r="AB106" s="56"/>
      <c r="AC106" s="15"/>
    </row>
    <row r="107" spans="3:29" ht="12.75">
      <c r="C107" s="23"/>
      <c r="I107" s="23"/>
      <c r="L107" s="56"/>
      <c r="M107" s="56"/>
      <c r="N107" s="56"/>
      <c r="O107" s="56"/>
      <c r="P107" s="56"/>
      <c r="Q107" s="56"/>
      <c r="R107" s="56"/>
      <c r="S107" s="56"/>
      <c r="T107" s="56"/>
      <c r="U107" s="56"/>
      <c r="V107" s="56"/>
      <c r="W107" s="56"/>
      <c r="X107" s="56"/>
      <c r="Y107" s="56"/>
      <c r="Z107" s="56"/>
      <c r="AA107" s="56"/>
      <c r="AB107" s="56"/>
      <c r="AC107" s="15"/>
    </row>
    <row r="108" spans="3:29" ht="12.75">
      <c r="C108" s="23"/>
      <c r="I108" s="23"/>
      <c r="L108" s="56"/>
      <c r="M108" s="56"/>
      <c r="N108" s="56"/>
      <c r="O108" s="56"/>
      <c r="P108" s="56"/>
      <c r="Q108" s="56"/>
      <c r="R108" s="56"/>
      <c r="S108" s="56"/>
      <c r="T108" s="56"/>
      <c r="U108" s="56"/>
      <c r="V108" s="56"/>
      <c r="W108" s="56"/>
      <c r="X108" s="56"/>
      <c r="Y108" s="56"/>
      <c r="Z108" s="56"/>
      <c r="AA108" s="56"/>
      <c r="AB108" s="56"/>
      <c r="AC108" s="15"/>
    </row>
    <row r="109" spans="3:29" ht="12.75">
      <c r="C109" s="23"/>
      <c r="I109" s="23"/>
      <c r="L109" s="56"/>
      <c r="M109" s="56"/>
      <c r="N109" s="56"/>
      <c r="O109" s="56"/>
      <c r="P109" s="56"/>
      <c r="Q109" s="56"/>
      <c r="R109" s="56"/>
      <c r="S109" s="56"/>
      <c r="T109" s="56"/>
      <c r="U109" s="56"/>
      <c r="V109" s="56"/>
      <c r="W109" s="56"/>
      <c r="X109" s="56"/>
      <c r="Y109" s="56"/>
      <c r="Z109" s="56"/>
      <c r="AA109" s="56"/>
      <c r="AB109" s="56"/>
      <c r="AC109" s="15"/>
    </row>
    <row r="110" spans="3:29" ht="12.75">
      <c r="C110" s="23"/>
      <c r="I110" s="23"/>
      <c r="L110" s="56"/>
      <c r="M110" s="56"/>
      <c r="N110" s="56"/>
      <c r="O110" s="56"/>
      <c r="P110" s="56"/>
      <c r="Q110" s="56"/>
      <c r="R110" s="56"/>
      <c r="S110" s="56"/>
      <c r="T110" s="56"/>
      <c r="U110" s="56"/>
      <c r="V110" s="56"/>
      <c r="W110" s="56"/>
      <c r="X110" s="56"/>
      <c r="Y110" s="56"/>
      <c r="Z110" s="56"/>
      <c r="AA110" s="56"/>
      <c r="AB110" s="56"/>
      <c r="AC110" s="15"/>
    </row>
    <row r="111" spans="3:29" ht="12.75">
      <c r="C111" s="23"/>
      <c r="I111" s="23"/>
      <c r="L111" s="56"/>
      <c r="M111" s="56"/>
      <c r="N111" s="56"/>
      <c r="O111" s="56"/>
      <c r="P111" s="56"/>
      <c r="Q111" s="56"/>
      <c r="R111" s="56"/>
      <c r="S111" s="56"/>
      <c r="T111" s="56"/>
      <c r="U111" s="56"/>
      <c r="V111" s="56"/>
      <c r="W111" s="56"/>
      <c r="X111" s="56"/>
      <c r="Y111" s="56"/>
      <c r="Z111" s="56"/>
      <c r="AA111" s="56"/>
      <c r="AB111" s="56"/>
      <c r="AC111" s="15"/>
    </row>
    <row r="112" spans="3:29" ht="12.75">
      <c r="C112" s="23"/>
      <c r="I112" s="23"/>
      <c r="L112" s="56"/>
      <c r="M112" s="56"/>
      <c r="N112" s="56"/>
      <c r="O112" s="56"/>
      <c r="P112" s="56"/>
      <c r="Q112" s="56"/>
      <c r="R112" s="56"/>
      <c r="S112" s="56"/>
      <c r="T112" s="56"/>
      <c r="U112" s="56"/>
      <c r="V112" s="56"/>
      <c r="W112" s="56"/>
      <c r="X112" s="56"/>
      <c r="Y112" s="56"/>
      <c r="Z112" s="56"/>
      <c r="AA112" s="56"/>
      <c r="AB112" s="56"/>
      <c r="AC112" s="15"/>
    </row>
    <row r="113" spans="3:29" ht="12.75">
      <c r="C113" s="23"/>
      <c r="I113" s="23"/>
      <c r="L113" s="56"/>
      <c r="M113" s="56"/>
      <c r="N113" s="56"/>
      <c r="O113" s="56"/>
      <c r="P113" s="56"/>
      <c r="Q113" s="56"/>
      <c r="R113" s="56"/>
      <c r="S113" s="56"/>
      <c r="T113" s="56"/>
      <c r="U113" s="56"/>
      <c r="V113" s="56"/>
      <c r="W113" s="56"/>
      <c r="X113" s="56"/>
      <c r="Y113" s="56"/>
      <c r="Z113" s="56"/>
      <c r="AA113" s="56"/>
      <c r="AB113" s="56"/>
      <c r="AC113" s="15"/>
    </row>
    <row r="114" spans="3:29" ht="12.75">
      <c r="C114" s="23"/>
      <c r="I114" s="23"/>
      <c r="L114" s="56"/>
      <c r="M114" s="56"/>
      <c r="N114" s="56"/>
      <c r="O114" s="56"/>
      <c r="P114" s="56"/>
      <c r="Q114" s="56"/>
      <c r="R114" s="56"/>
      <c r="S114" s="56"/>
      <c r="T114" s="56"/>
      <c r="U114" s="56"/>
      <c r="V114" s="56"/>
      <c r="W114" s="56"/>
      <c r="X114" s="56"/>
      <c r="Y114" s="56"/>
      <c r="Z114" s="56"/>
      <c r="AA114" s="56"/>
      <c r="AB114" s="56"/>
      <c r="AC114" s="15"/>
    </row>
    <row r="115" spans="3:29" ht="12.75">
      <c r="C115" s="23"/>
      <c r="I115" s="23"/>
      <c r="L115" s="56"/>
      <c r="M115" s="56"/>
      <c r="N115" s="56"/>
      <c r="O115" s="56"/>
      <c r="P115" s="56"/>
      <c r="Q115" s="56"/>
      <c r="R115" s="56"/>
      <c r="S115" s="56"/>
      <c r="T115" s="56"/>
      <c r="U115" s="56"/>
      <c r="V115" s="56"/>
      <c r="W115" s="56"/>
      <c r="X115" s="56"/>
      <c r="Y115" s="56"/>
      <c r="Z115" s="56"/>
      <c r="AA115" s="56"/>
      <c r="AB115" s="56"/>
      <c r="AC115" s="15"/>
    </row>
    <row r="116" spans="3:29" ht="12.75">
      <c r="C116" s="23"/>
      <c r="I116" s="23"/>
      <c r="L116" s="56"/>
      <c r="M116" s="56"/>
      <c r="N116" s="56"/>
      <c r="O116" s="56"/>
      <c r="P116" s="56"/>
      <c r="Q116" s="56"/>
      <c r="R116" s="56"/>
      <c r="S116" s="56"/>
      <c r="T116" s="56"/>
      <c r="U116" s="56"/>
      <c r="V116" s="56"/>
      <c r="W116" s="56"/>
      <c r="X116" s="56"/>
      <c r="Y116" s="56"/>
      <c r="Z116" s="56"/>
      <c r="AA116" s="56"/>
      <c r="AB116" s="56"/>
      <c r="AC116" s="15"/>
    </row>
    <row r="117" spans="3:29" ht="12.75">
      <c r="C117" s="23"/>
      <c r="I117" s="23"/>
      <c r="L117" s="56"/>
      <c r="M117" s="56"/>
      <c r="N117" s="56"/>
      <c r="O117" s="56"/>
      <c r="P117" s="56"/>
      <c r="Q117" s="56"/>
      <c r="R117" s="56"/>
      <c r="S117" s="56"/>
      <c r="T117" s="56"/>
      <c r="U117" s="56"/>
      <c r="V117" s="56"/>
      <c r="W117" s="56"/>
      <c r="X117" s="56"/>
      <c r="Y117" s="56"/>
      <c r="Z117" s="56"/>
      <c r="AA117" s="56"/>
      <c r="AB117" s="56"/>
      <c r="AC117" s="15"/>
    </row>
    <row r="118" spans="3:29" ht="12.75">
      <c r="C118" s="23"/>
      <c r="I118" s="23"/>
      <c r="L118" s="56"/>
      <c r="M118" s="56"/>
      <c r="N118" s="56"/>
      <c r="O118" s="56"/>
      <c r="P118" s="56"/>
      <c r="Q118" s="56"/>
      <c r="R118" s="56"/>
      <c r="S118" s="56"/>
      <c r="T118" s="56"/>
      <c r="U118" s="56"/>
      <c r="V118" s="56"/>
      <c r="W118" s="56"/>
      <c r="X118" s="56"/>
      <c r="Y118" s="56"/>
      <c r="Z118" s="56"/>
      <c r="AA118" s="56"/>
      <c r="AB118" s="56"/>
      <c r="AC118" s="15"/>
    </row>
    <row r="119" spans="3:29" ht="12.75">
      <c r="C119" s="23"/>
      <c r="I119" s="23"/>
      <c r="L119" s="56"/>
      <c r="M119" s="56"/>
      <c r="N119" s="56"/>
      <c r="O119" s="56"/>
      <c r="P119" s="56"/>
      <c r="Q119" s="56"/>
      <c r="R119" s="56"/>
      <c r="S119" s="56"/>
      <c r="T119" s="56"/>
      <c r="U119" s="56"/>
      <c r="V119" s="56"/>
      <c r="W119" s="56"/>
      <c r="X119" s="56"/>
      <c r="Y119" s="56"/>
      <c r="Z119" s="56"/>
      <c r="AA119" s="56"/>
      <c r="AB119" s="56"/>
      <c r="AC119" s="15"/>
    </row>
    <row r="120" spans="3:29" ht="12.75">
      <c r="C120" s="23"/>
      <c r="I120" s="23"/>
      <c r="L120" s="56"/>
      <c r="M120" s="56"/>
      <c r="N120" s="56"/>
      <c r="O120" s="56"/>
      <c r="P120" s="56"/>
      <c r="Q120" s="56"/>
      <c r="R120" s="56"/>
      <c r="S120" s="56"/>
      <c r="T120" s="56"/>
      <c r="U120" s="56"/>
      <c r="V120" s="56"/>
      <c r="W120" s="56"/>
      <c r="X120" s="56"/>
      <c r="Y120" s="56"/>
      <c r="Z120" s="56"/>
      <c r="AA120" s="56"/>
      <c r="AB120" s="56"/>
      <c r="AC120" s="15"/>
    </row>
    <row r="121" spans="3:29" ht="12.75">
      <c r="C121" s="23"/>
      <c r="I121" s="23"/>
      <c r="L121" s="56"/>
      <c r="M121" s="56"/>
      <c r="N121" s="56"/>
      <c r="O121" s="56"/>
      <c r="P121" s="56"/>
      <c r="Q121" s="56"/>
      <c r="R121" s="56"/>
      <c r="S121" s="56"/>
      <c r="T121" s="56"/>
      <c r="U121" s="56"/>
      <c r="V121" s="56"/>
      <c r="W121" s="56"/>
      <c r="X121" s="56"/>
      <c r="Y121" s="56"/>
      <c r="Z121" s="56"/>
      <c r="AA121" s="56"/>
      <c r="AB121" s="56"/>
      <c r="AC121" s="15"/>
    </row>
    <row r="122" spans="3:29" ht="12.75">
      <c r="C122" s="23"/>
      <c r="I122" s="23"/>
      <c r="L122" s="56"/>
      <c r="M122" s="56"/>
      <c r="N122" s="56"/>
      <c r="O122" s="56"/>
      <c r="P122" s="56"/>
      <c r="Q122" s="56"/>
      <c r="R122" s="56"/>
      <c r="S122" s="56"/>
      <c r="T122" s="56"/>
      <c r="U122" s="56"/>
      <c r="V122" s="56"/>
      <c r="W122" s="56"/>
      <c r="X122" s="56"/>
      <c r="Y122" s="56"/>
      <c r="Z122" s="56"/>
      <c r="AA122" s="56"/>
      <c r="AB122" s="56"/>
      <c r="AC122" s="15"/>
    </row>
    <row r="123" spans="3:29" ht="12.75">
      <c r="C123" s="23"/>
      <c r="I123" s="23"/>
      <c r="L123" s="56"/>
      <c r="M123" s="56"/>
      <c r="N123" s="56"/>
      <c r="O123" s="56"/>
      <c r="P123" s="56"/>
      <c r="Q123" s="56"/>
      <c r="R123" s="56"/>
      <c r="S123" s="56"/>
      <c r="T123" s="56"/>
      <c r="U123" s="56"/>
      <c r="V123" s="56"/>
      <c r="W123" s="56"/>
      <c r="X123" s="56"/>
      <c r="Y123" s="56"/>
      <c r="Z123" s="56"/>
      <c r="AA123" s="56"/>
      <c r="AB123" s="56"/>
      <c r="AC123" s="15"/>
    </row>
    <row r="124" spans="3:29" ht="12.75">
      <c r="C124" s="23"/>
      <c r="I124" s="23"/>
      <c r="L124" s="56"/>
      <c r="M124" s="56"/>
      <c r="N124" s="56"/>
      <c r="O124" s="56"/>
      <c r="P124" s="56"/>
      <c r="Q124" s="56"/>
      <c r="R124" s="56"/>
      <c r="S124" s="56"/>
      <c r="T124" s="56"/>
      <c r="U124" s="56"/>
      <c r="V124" s="56"/>
      <c r="W124" s="56"/>
      <c r="X124" s="56"/>
      <c r="Y124" s="56"/>
      <c r="Z124" s="56"/>
      <c r="AA124" s="56"/>
      <c r="AB124" s="56"/>
      <c r="AC124" s="15"/>
    </row>
    <row r="125" spans="3:29" ht="12.75">
      <c r="C125" s="23"/>
      <c r="I125" s="23"/>
      <c r="L125" s="56"/>
      <c r="M125" s="56"/>
      <c r="N125" s="56"/>
      <c r="O125" s="56"/>
      <c r="P125" s="56"/>
      <c r="Q125" s="56"/>
      <c r="R125" s="56"/>
      <c r="S125" s="56"/>
      <c r="T125" s="56"/>
      <c r="U125" s="56"/>
      <c r="V125" s="56"/>
      <c r="W125" s="56"/>
      <c r="X125" s="56"/>
      <c r="Y125" s="56"/>
      <c r="Z125" s="56"/>
      <c r="AA125" s="56"/>
      <c r="AB125" s="56"/>
      <c r="AC125" s="15"/>
    </row>
    <row r="126" spans="3:29" ht="12.75">
      <c r="C126" s="23"/>
      <c r="I126" s="23"/>
      <c r="L126" s="56"/>
      <c r="M126" s="56"/>
      <c r="N126" s="56"/>
      <c r="O126" s="56"/>
      <c r="P126" s="56"/>
      <c r="Q126" s="56"/>
      <c r="R126" s="56"/>
      <c r="S126" s="56"/>
      <c r="T126" s="56"/>
      <c r="U126" s="56"/>
      <c r="V126" s="56"/>
      <c r="W126" s="56"/>
      <c r="X126" s="56"/>
      <c r="Y126" s="56"/>
      <c r="Z126" s="56"/>
      <c r="AA126" s="56"/>
      <c r="AB126" s="56"/>
      <c r="AC126" s="15"/>
    </row>
    <row r="127" spans="3:29" ht="12.75">
      <c r="C127" s="23"/>
      <c r="I127" s="23"/>
      <c r="L127" s="56"/>
      <c r="M127" s="56"/>
      <c r="N127" s="56"/>
      <c r="O127" s="56"/>
      <c r="P127" s="56"/>
      <c r="Q127" s="56"/>
      <c r="R127" s="56"/>
      <c r="S127" s="56"/>
      <c r="T127" s="56"/>
      <c r="U127" s="56"/>
      <c r="V127" s="56"/>
      <c r="W127" s="56"/>
      <c r="X127" s="56"/>
      <c r="Y127" s="56"/>
      <c r="Z127" s="56"/>
      <c r="AA127" s="56"/>
      <c r="AB127" s="56"/>
      <c r="AC127" s="15"/>
    </row>
    <row r="128" spans="3:29" ht="12.75">
      <c r="C128" s="23"/>
      <c r="I128" s="23"/>
      <c r="L128" s="56"/>
      <c r="M128" s="56"/>
      <c r="N128" s="56"/>
      <c r="O128" s="56"/>
      <c r="P128" s="56"/>
      <c r="Q128" s="56"/>
      <c r="R128" s="56"/>
      <c r="S128" s="56"/>
      <c r="T128" s="56"/>
      <c r="U128" s="56"/>
      <c r="V128" s="56"/>
      <c r="W128" s="56"/>
      <c r="X128" s="56"/>
      <c r="Y128" s="56"/>
      <c r="Z128" s="56"/>
      <c r="AA128" s="56"/>
      <c r="AB128" s="56"/>
      <c r="AC128" s="15"/>
    </row>
    <row r="129" spans="3:29" ht="12.75">
      <c r="C129" s="23"/>
      <c r="I129" s="23"/>
      <c r="L129" s="56"/>
      <c r="M129" s="56"/>
      <c r="N129" s="56"/>
      <c r="O129" s="56"/>
      <c r="P129" s="56"/>
      <c r="Q129" s="56"/>
      <c r="R129" s="56"/>
      <c r="S129" s="56"/>
      <c r="T129" s="56"/>
      <c r="U129" s="56"/>
      <c r="V129" s="56"/>
      <c r="W129" s="56"/>
      <c r="X129" s="56"/>
      <c r="Y129" s="56"/>
      <c r="Z129" s="56"/>
      <c r="AA129" s="56"/>
      <c r="AB129" s="56"/>
      <c r="AC129" s="15"/>
    </row>
    <row r="130" spans="3:29" ht="12.75">
      <c r="C130" s="23"/>
      <c r="I130" s="23"/>
      <c r="L130" s="56"/>
      <c r="M130" s="56"/>
      <c r="N130" s="56"/>
      <c r="O130" s="56"/>
      <c r="P130" s="56"/>
      <c r="Q130" s="56"/>
      <c r="R130" s="56"/>
      <c r="S130" s="56"/>
      <c r="T130" s="56"/>
      <c r="U130" s="56"/>
      <c r="V130" s="56"/>
      <c r="W130" s="56"/>
      <c r="X130" s="56"/>
      <c r="Y130" s="56"/>
      <c r="Z130" s="56"/>
      <c r="AA130" s="56"/>
      <c r="AB130" s="56"/>
      <c r="AC130" s="15"/>
    </row>
    <row r="131" spans="3:29" ht="12.75">
      <c r="C131" s="23"/>
      <c r="I131" s="23"/>
      <c r="L131" s="56"/>
      <c r="M131" s="56"/>
      <c r="N131" s="56"/>
      <c r="O131" s="56"/>
      <c r="P131" s="56"/>
      <c r="Q131" s="56"/>
      <c r="R131" s="56"/>
      <c r="S131" s="56"/>
      <c r="T131" s="56"/>
      <c r="U131" s="56"/>
      <c r="V131" s="56"/>
      <c r="W131" s="56"/>
      <c r="X131" s="56"/>
      <c r="Y131" s="56"/>
      <c r="Z131" s="56"/>
      <c r="AA131" s="56"/>
      <c r="AB131" s="56"/>
      <c r="AC131" s="15"/>
    </row>
    <row r="132" spans="3:29" ht="12.75">
      <c r="C132" s="23"/>
      <c r="I132" s="23"/>
      <c r="L132" s="56"/>
      <c r="M132" s="56"/>
      <c r="N132" s="56"/>
      <c r="O132" s="56"/>
      <c r="P132" s="56"/>
      <c r="Q132" s="56"/>
      <c r="R132" s="56"/>
      <c r="S132" s="56"/>
      <c r="T132" s="56"/>
      <c r="U132" s="56"/>
      <c r="V132" s="56"/>
      <c r="W132" s="56"/>
      <c r="X132" s="56"/>
      <c r="Y132" s="56"/>
      <c r="Z132" s="56"/>
      <c r="AA132" s="56"/>
      <c r="AB132" s="56"/>
      <c r="AC132" s="15"/>
    </row>
    <row r="133" spans="3:29" ht="12.75">
      <c r="C133" s="23"/>
      <c r="I133" s="23"/>
      <c r="L133" s="56"/>
      <c r="M133" s="56"/>
      <c r="N133" s="56"/>
      <c r="O133" s="56"/>
      <c r="P133" s="56"/>
      <c r="Q133" s="56"/>
      <c r="R133" s="56"/>
      <c r="S133" s="56"/>
      <c r="T133" s="56"/>
      <c r="U133" s="56"/>
      <c r="V133" s="56"/>
      <c r="W133" s="56"/>
      <c r="X133" s="56"/>
      <c r="Y133" s="56"/>
      <c r="Z133" s="56"/>
      <c r="AA133" s="56"/>
      <c r="AB133" s="56"/>
      <c r="AC133" s="15"/>
    </row>
    <row r="134" spans="3:29" ht="12.75">
      <c r="C134" s="23"/>
      <c r="I134" s="23"/>
      <c r="L134" s="56"/>
      <c r="M134" s="56"/>
      <c r="N134" s="56"/>
      <c r="O134" s="56"/>
      <c r="P134" s="56"/>
      <c r="Q134" s="56"/>
      <c r="R134" s="56"/>
      <c r="S134" s="56"/>
      <c r="T134" s="56"/>
      <c r="U134" s="56"/>
      <c r="V134" s="56"/>
      <c r="W134" s="56"/>
      <c r="X134" s="56"/>
      <c r="Y134" s="56"/>
      <c r="Z134" s="56"/>
      <c r="AA134" s="56"/>
      <c r="AB134" s="56"/>
      <c r="AC134" s="15"/>
    </row>
    <row r="135" spans="3:29" ht="12.75">
      <c r="C135" s="23"/>
      <c r="I135" s="23"/>
      <c r="L135" s="56"/>
      <c r="M135" s="56"/>
      <c r="N135" s="56"/>
      <c r="O135" s="56"/>
      <c r="P135" s="56"/>
      <c r="Q135" s="56"/>
      <c r="R135" s="56"/>
      <c r="S135" s="56"/>
      <c r="T135" s="56"/>
      <c r="U135" s="56"/>
      <c r="V135" s="56"/>
      <c r="W135" s="56"/>
      <c r="X135" s="56"/>
      <c r="Y135" s="56"/>
      <c r="Z135" s="56"/>
      <c r="AA135" s="56"/>
      <c r="AB135" s="56"/>
      <c r="AC135" s="15"/>
    </row>
    <row r="136" spans="3:29" ht="12.75">
      <c r="C136" s="23"/>
      <c r="I136" s="23"/>
      <c r="L136" s="56"/>
      <c r="M136" s="56"/>
      <c r="N136" s="56"/>
      <c r="O136" s="56"/>
      <c r="P136" s="56"/>
      <c r="Q136" s="56"/>
      <c r="R136" s="56"/>
      <c r="S136" s="56"/>
      <c r="T136" s="56"/>
      <c r="U136" s="56"/>
      <c r="V136" s="56"/>
      <c r="W136" s="56"/>
      <c r="X136" s="56"/>
      <c r="Y136" s="56"/>
      <c r="Z136" s="56"/>
      <c r="AA136" s="56"/>
      <c r="AB136" s="56"/>
      <c r="AC136" s="15"/>
    </row>
    <row r="137" spans="3:29" ht="12.75">
      <c r="C137" s="23"/>
      <c r="I137" s="23"/>
      <c r="L137" s="56"/>
      <c r="M137" s="56"/>
      <c r="N137" s="56"/>
      <c r="O137" s="56"/>
      <c r="P137" s="56"/>
      <c r="Q137" s="56"/>
      <c r="R137" s="56"/>
      <c r="S137" s="56"/>
      <c r="T137" s="56"/>
      <c r="U137" s="56"/>
      <c r="V137" s="56"/>
      <c r="W137" s="56"/>
      <c r="X137" s="56"/>
      <c r="Y137" s="56"/>
      <c r="Z137" s="56"/>
      <c r="AA137" s="56"/>
      <c r="AB137" s="56"/>
      <c r="AC137" s="15"/>
    </row>
    <row r="138" spans="3:29" ht="12.75">
      <c r="C138" s="23"/>
      <c r="I138" s="23"/>
      <c r="L138" s="56"/>
      <c r="M138" s="56"/>
      <c r="N138" s="56"/>
      <c r="O138" s="56"/>
      <c r="P138" s="56"/>
      <c r="Q138" s="56"/>
      <c r="R138" s="56"/>
      <c r="S138" s="56"/>
      <c r="T138" s="56"/>
      <c r="U138" s="56"/>
      <c r="V138" s="56"/>
      <c r="W138" s="56"/>
      <c r="X138" s="56"/>
      <c r="Y138" s="56"/>
      <c r="Z138" s="56"/>
      <c r="AA138" s="56"/>
      <c r="AB138" s="56"/>
      <c r="AC138" s="15"/>
    </row>
    <row r="139" spans="3:29" ht="12.75">
      <c r="C139" s="23"/>
      <c r="I139" s="23"/>
      <c r="L139" s="56"/>
      <c r="M139" s="56"/>
      <c r="N139" s="56"/>
      <c r="O139" s="56"/>
      <c r="P139" s="56"/>
      <c r="Q139" s="56"/>
      <c r="R139" s="56"/>
      <c r="S139" s="56"/>
      <c r="T139" s="56"/>
      <c r="U139" s="56"/>
      <c r="V139" s="56"/>
      <c r="W139" s="56"/>
      <c r="X139" s="56"/>
      <c r="Y139" s="56"/>
      <c r="Z139" s="56"/>
      <c r="AA139" s="56"/>
      <c r="AB139" s="56"/>
      <c r="AC139" s="15"/>
    </row>
    <row r="140" spans="3:29" ht="12.75">
      <c r="C140" s="23"/>
      <c r="I140" s="23"/>
      <c r="L140" s="56"/>
      <c r="M140" s="56"/>
      <c r="N140" s="56"/>
      <c r="O140" s="56"/>
      <c r="P140" s="56"/>
      <c r="Q140" s="56"/>
      <c r="R140" s="56"/>
      <c r="S140" s="56"/>
      <c r="T140" s="56"/>
      <c r="U140" s="56"/>
      <c r="V140" s="56"/>
      <c r="W140" s="56"/>
      <c r="X140" s="56"/>
      <c r="Y140" s="56"/>
      <c r="Z140" s="56"/>
      <c r="AA140" s="56"/>
      <c r="AB140" s="56"/>
      <c r="AC140" s="15"/>
    </row>
    <row r="141" spans="3:29" ht="12.75">
      <c r="C141" s="23"/>
      <c r="I141" s="23"/>
      <c r="L141" s="56"/>
      <c r="M141" s="56"/>
      <c r="N141" s="56"/>
      <c r="O141" s="56"/>
      <c r="P141" s="56"/>
      <c r="Q141" s="56"/>
      <c r="R141" s="56"/>
      <c r="S141" s="56"/>
      <c r="T141" s="56"/>
      <c r="U141" s="56"/>
      <c r="V141" s="56"/>
      <c r="W141" s="56"/>
      <c r="X141" s="56"/>
      <c r="Y141" s="56"/>
      <c r="Z141" s="56"/>
      <c r="AA141" s="56"/>
      <c r="AB141" s="56"/>
      <c r="AC141" s="15"/>
    </row>
    <row r="142" spans="3:29" ht="12.75">
      <c r="C142" s="23"/>
      <c r="I142" s="23"/>
      <c r="L142" s="56"/>
      <c r="M142" s="56"/>
      <c r="N142" s="56"/>
      <c r="O142" s="56"/>
      <c r="P142" s="56"/>
      <c r="Q142" s="56"/>
      <c r="R142" s="56"/>
      <c r="S142" s="56"/>
      <c r="T142" s="56"/>
      <c r="U142" s="56"/>
      <c r="V142" s="56"/>
      <c r="W142" s="56"/>
      <c r="X142" s="56"/>
      <c r="Y142" s="56"/>
      <c r="Z142" s="56"/>
      <c r="AA142" s="56"/>
      <c r="AB142" s="56"/>
      <c r="AC142" s="15"/>
    </row>
    <row r="143" spans="3:29" ht="12.75">
      <c r="C143" s="23"/>
      <c r="I143" s="23"/>
      <c r="L143" s="56"/>
      <c r="M143" s="56"/>
      <c r="N143" s="56"/>
      <c r="O143" s="56"/>
      <c r="P143" s="56"/>
      <c r="Q143" s="56"/>
      <c r="R143" s="56"/>
      <c r="S143" s="56"/>
      <c r="T143" s="56"/>
      <c r="U143" s="56"/>
      <c r="V143" s="56"/>
      <c r="W143" s="56"/>
      <c r="X143" s="56"/>
      <c r="Y143" s="56"/>
      <c r="Z143" s="56"/>
      <c r="AA143" s="56"/>
      <c r="AB143" s="56"/>
      <c r="AC143" s="15"/>
    </row>
    <row r="144" spans="3:29" ht="12.75">
      <c r="C144" s="23"/>
      <c r="I144" s="23"/>
      <c r="L144" s="56"/>
      <c r="M144" s="56"/>
      <c r="N144" s="56"/>
      <c r="O144" s="56"/>
      <c r="P144" s="56"/>
      <c r="Q144" s="56"/>
      <c r="R144" s="56"/>
      <c r="S144" s="56"/>
      <c r="T144" s="56"/>
      <c r="U144" s="56"/>
      <c r="V144" s="56"/>
      <c r="W144" s="56"/>
      <c r="X144" s="56"/>
      <c r="Y144" s="56"/>
      <c r="Z144" s="56"/>
      <c r="AA144" s="56"/>
      <c r="AB144" s="56"/>
      <c r="AC144" s="15"/>
    </row>
    <row r="145" spans="3:29" ht="12.75">
      <c r="C145" s="23"/>
      <c r="I145" s="23"/>
      <c r="L145" s="56"/>
      <c r="M145" s="56"/>
      <c r="N145" s="56"/>
      <c r="O145" s="56"/>
      <c r="P145" s="56"/>
      <c r="Q145" s="56"/>
      <c r="R145" s="56"/>
      <c r="S145" s="56"/>
      <c r="T145" s="56"/>
      <c r="U145" s="56"/>
      <c r="V145" s="56"/>
      <c r="W145" s="56"/>
      <c r="X145" s="56"/>
      <c r="Y145" s="56"/>
      <c r="Z145" s="56"/>
      <c r="AA145" s="56"/>
      <c r="AB145" s="56"/>
      <c r="AC145" s="15"/>
    </row>
    <row r="146" spans="3:29" ht="12.75">
      <c r="C146" s="23"/>
      <c r="I146" s="23"/>
      <c r="L146" s="56"/>
      <c r="M146" s="56"/>
      <c r="N146" s="56"/>
      <c r="O146" s="56"/>
      <c r="P146" s="56"/>
      <c r="Q146" s="56"/>
      <c r="R146" s="56"/>
      <c r="S146" s="56"/>
      <c r="T146" s="56"/>
      <c r="U146" s="56"/>
      <c r="V146" s="56"/>
      <c r="W146" s="56"/>
      <c r="X146" s="56"/>
      <c r="Y146" s="56"/>
      <c r="Z146" s="56"/>
      <c r="AA146" s="56"/>
      <c r="AB146" s="56"/>
      <c r="AC146" s="15"/>
    </row>
    <row r="147" spans="3:29" ht="12.75">
      <c r="C147" s="23"/>
      <c r="I147" s="23"/>
      <c r="L147" s="56"/>
      <c r="M147" s="56"/>
      <c r="N147" s="56"/>
      <c r="O147" s="56"/>
      <c r="P147" s="56"/>
      <c r="Q147" s="56"/>
      <c r="R147" s="56"/>
      <c r="S147" s="56"/>
      <c r="T147" s="56"/>
      <c r="U147" s="56"/>
      <c r="V147" s="56"/>
      <c r="W147" s="56"/>
      <c r="X147" s="56"/>
      <c r="Y147" s="56"/>
      <c r="Z147" s="56"/>
      <c r="AA147" s="56"/>
      <c r="AB147" s="56"/>
      <c r="AC147" s="15"/>
    </row>
    <row r="148" spans="3:29" ht="12.75">
      <c r="C148" s="23"/>
      <c r="I148" s="23"/>
      <c r="L148" s="56"/>
      <c r="M148" s="56"/>
      <c r="N148" s="56"/>
      <c r="O148" s="56"/>
      <c r="P148" s="56"/>
      <c r="Q148" s="56"/>
      <c r="R148" s="56"/>
      <c r="S148" s="56"/>
      <c r="T148" s="56"/>
      <c r="U148" s="56"/>
      <c r="V148" s="56"/>
      <c r="W148" s="56"/>
      <c r="X148" s="56"/>
      <c r="Y148" s="56"/>
      <c r="Z148" s="56"/>
      <c r="AA148" s="56"/>
      <c r="AB148" s="56"/>
      <c r="AC148" s="15"/>
    </row>
    <row r="149" spans="3:29" ht="12.75">
      <c r="C149" s="23"/>
      <c r="I149" s="23"/>
      <c r="L149" s="56"/>
      <c r="M149" s="56"/>
      <c r="N149" s="56"/>
      <c r="O149" s="56"/>
      <c r="P149" s="56"/>
      <c r="Q149" s="56"/>
      <c r="R149" s="56"/>
      <c r="S149" s="56"/>
      <c r="T149" s="56"/>
      <c r="U149" s="56"/>
      <c r="V149" s="56"/>
      <c r="W149" s="56"/>
      <c r="X149" s="56"/>
      <c r="Y149" s="56"/>
      <c r="Z149" s="56"/>
      <c r="AA149" s="56"/>
      <c r="AB149" s="56"/>
      <c r="AC149" s="15"/>
    </row>
    <row r="150" spans="3:29" ht="12.75">
      <c r="C150" s="23"/>
      <c r="I150" s="23"/>
      <c r="L150" s="56"/>
      <c r="M150" s="56"/>
      <c r="N150" s="56"/>
      <c r="O150" s="56"/>
      <c r="P150" s="56"/>
      <c r="Q150" s="56"/>
      <c r="R150" s="56"/>
      <c r="S150" s="56"/>
      <c r="T150" s="56"/>
      <c r="U150" s="56"/>
      <c r="V150" s="56"/>
      <c r="W150" s="56"/>
      <c r="X150" s="56"/>
      <c r="Y150" s="56"/>
      <c r="Z150" s="56"/>
      <c r="AA150" s="56"/>
      <c r="AB150" s="56"/>
      <c r="AC150" s="15"/>
    </row>
    <row r="151" spans="3:29" ht="12.75">
      <c r="C151" s="23"/>
      <c r="I151" s="23"/>
      <c r="L151" s="56"/>
      <c r="M151" s="56"/>
      <c r="N151" s="56"/>
      <c r="O151" s="56"/>
      <c r="P151" s="56"/>
      <c r="Q151" s="56"/>
      <c r="R151" s="56"/>
      <c r="S151" s="56"/>
      <c r="T151" s="56"/>
      <c r="U151" s="56"/>
      <c r="V151" s="56"/>
      <c r="W151" s="56"/>
      <c r="X151" s="56"/>
      <c r="Y151" s="56"/>
      <c r="Z151" s="56"/>
      <c r="AA151" s="56"/>
      <c r="AB151" s="56"/>
      <c r="AC151" s="15"/>
    </row>
    <row r="152" spans="3:29" ht="12.75">
      <c r="C152" s="23"/>
      <c r="I152" s="23"/>
      <c r="L152" s="56"/>
      <c r="M152" s="56"/>
      <c r="N152" s="56"/>
      <c r="O152" s="56"/>
      <c r="P152" s="56"/>
      <c r="Q152" s="56"/>
      <c r="R152" s="56"/>
      <c r="S152" s="56"/>
      <c r="T152" s="56"/>
      <c r="U152" s="56"/>
      <c r="V152" s="56"/>
      <c r="W152" s="56"/>
      <c r="X152" s="56"/>
      <c r="Y152" s="56"/>
      <c r="Z152" s="56"/>
      <c r="AA152" s="56"/>
      <c r="AB152" s="56"/>
      <c r="AC152" s="15"/>
    </row>
    <row r="153" spans="3:29" ht="12.75">
      <c r="C153" s="23"/>
      <c r="I153" s="23"/>
      <c r="L153" s="56"/>
      <c r="M153" s="56"/>
      <c r="N153" s="56"/>
      <c r="O153" s="56"/>
      <c r="P153" s="56"/>
      <c r="Q153" s="56"/>
      <c r="R153" s="56"/>
      <c r="S153" s="56"/>
      <c r="T153" s="56"/>
      <c r="U153" s="56"/>
      <c r="V153" s="56"/>
      <c r="W153" s="56"/>
      <c r="X153" s="56"/>
      <c r="Y153" s="56"/>
      <c r="Z153" s="56"/>
      <c r="AA153" s="56"/>
      <c r="AB153" s="56"/>
      <c r="AC153" s="15"/>
    </row>
    <row r="154" spans="3:29" ht="12.75">
      <c r="C154" s="23"/>
      <c r="I154" s="23"/>
      <c r="L154" s="56"/>
      <c r="M154" s="56"/>
      <c r="N154" s="56"/>
      <c r="O154" s="56"/>
      <c r="P154" s="56"/>
      <c r="Q154" s="56"/>
      <c r="R154" s="56"/>
      <c r="S154" s="56"/>
      <c r="T154" s="56"/>
      <c r="U154" s="56"/>
      <c r="V154" s="56"/>
      <c r="W154" s="56"/>
      <c r="X154" s="56"/>
      <c r="Y154" s="56"/>
      <c r="Z154" s="56"/>
      <c r="AA154" s="56"/>
      <c r="AB154" s="56"/>
      <c r="AC154" s="15"/>
    </row>
    <row r="155" spans="3:29" ht="12.75">
      <c r="C155" s="23"/>
      <c r="I155" s="23"/>
      <c r="L155" s="56"/>
      <c r="M155" s="56"/>
      <c r="N155" s="56"/>
      <c r="O155" s="56"/>
      <c r="P155" s="56"/>
      <c r="Q155" s="56"/>
      <c r="R155" s="56"/>
      <c r="S155" s="56"/>
      <c r="T155" s="56"/>
      <c r="U155" s="56"/>
      <c r="V155" s="56"/>
      <c r="W155" s="56"/>
      <c r="X155" s="56"/>
      <c r="Y155" s="56"/>
      <c r="Z155" s="56"/>
      <c r="AA155" s="56"/>
      <c r="AB155" s="56"/>
      <c r="AC155" s="15"/>
    </row>
    <row r="156" spans="3:29" ht="12.75">
      <c r="C156" s="23"/>
      <c r="I156" s="23"/>
      <c r="L156" s="56"/>
      <c r="M156" s="56"/>
      <c r="N156" s="56"/>
      <c r="O156" s="56"/>
      <c r="P156" s="56"/>
      <c r="Q156" s="56"/>
      <c r="R156" s="56"/>
      <c r="S156" s="56"/>
      <c r="T156" s="56"/>
      <c r="U156" s="56"/>
      <c r="V156" s="56"/>
      <c r="W156" s="56"/>
      <c r="X156" s="56"/>
      <c r="Y156" s="56"/>
      <c r="Z156" s="56"/>
      <c r="AA156" s="56"/>
      <c r="AB156" s="56"/>
      <c r="AC156" s="15"/>
    </row>
    <row r="157" spans="3:29" ht="12.75">
      <c r="C157" s="23"/>
      <c r="I157" s="23"/>
      <c r="L157" s="56"/>
      <c r="M157" s="56"/>
      <c r="N157" s="56"/>
      <c r="O157" s="56"/>
      <c r="P157" s="56"/>
      <c r="Q157" s="56"/>
      <c r="R157" s="56"/>
      <c r="S157" s="56"/>
      <c r="T157" s="56"/>
      <c r="U157" s="56"/>
      <c r="V157" s="56"/>
      <c r="W157" s="56"/>
      <c r="X157" s="56"/>
      <c r="Y157" s="56"/>
      <c r="Z157" s="56"/>
      <c r="AA157" s="56"/>
      <c r="AB157" s="56"/>
      <c r="AC157" s="15"/>
    </row>
    <row r="158" spans="3:29" ht="12.75">
      <c r="C158" s="23"/>
      <c r="I158" s="23"/>
      <c r="L158" s="56"/>
      <c r="M158" s="56"/>
      <c r="N158" s="56"/>
      <c r="O158" s="56"/>
      <c r="P158" s="56"/>
      <c r="Q158" s="56"/>
      <c r="R158" s="56"/>
      <c r="S158" s="56"/>
      <c r="T158" s="56"/>
      <c r="U158" s="56"/>
      <c r="V158" s="56"/>
      <c r="W158" s="56"/>
      <c r="X158" s="56"/>
      <c r="Y158" s="56"/>
      <c r="Z158" s="56"/>
      <c r="AA158" s="56"/>
      <c r="AB158" s="56"/>
      <c r="AC158" s="15"/>
    </row>
    <row r="159" spans="3:29" ht="12.75">
      <c r="C159" s="23"/>
      <c r="I159" s="23"/>
      <c r="L159" s="56"/>
      <c r="M159" s="56"/>
      <c r="N159" s="56"/>
      <c r="O159" s="56"/>
      <c r="P159" s="56"/>
      <c r="Q159" s="56"/>
      <c r="R159" s="56"/>
      <c r="S159" s="56"/>
      <c r="T159" s="56"/>
      <c r="U159" s="56"/>
      <c r="V159" s="56"/>
      <c r="W159" s="56"/>
      <c r="X159" s="56"/>
      <c r="Y159" s="56"/>
      <c r="Z159" s="56"/>
      <c r="AA159" s="56"/>
      <c r="AB159" s="56"/>
      <c r="AC159" s="15"/>
    </row>
    <row r="160" spans="3:29" ht="12.75">
      <c r="C160" s="23"/>
      <c r="I160" s="23"/>
      <c r="L160" s="56"/>
      <c r="M160" s="56"/>
      <c r="N160" s="56"/>
      <c r="O160" s="56"/>
      <c r="P160" s="56"/>
      <c r="Q160" s="56"/>
      <c r="R160" s="56"/>
      <c r="S160" s="56"/>
      <c r="T160" s="56"/>
      <c r="U160" s="56"/>
      <c r="V160" s="56"/>
      <c r="W160" s="56"/>
      <c r="X160" s="56"/>
      <c r="Y160" s="56"/>
      <c r="Z160" s="56"/>
      <c r="AA160" s="56"/>
      <c r="AB160" s="56"/>
      <c r="AC160" s="15"/>
    </row>
    <row r="161" spans="3:29" ht="12.75">
      <c r="C161" s="23"/>
      <c r="I161" s="23"/>
      <c r="L161" s="56"/>
      <c r="M161" s="56"/>
      <c r="N161" s="56"/>
      <c r="O161" s="56"/>
      <c r="P161" s="56"/>
      <c r="Q161" s="56"/>
      <c r="R161" s="56"/>
      <c r="S161" s="56"/>
      <c r="T161" s="56"/>
      <c r="U161" s="56"/>
      <c r="V161" s="56"/>
      <c r="W161" s="56"/>
      <c r="X161" s="56"/>
      <c r="Y161" s="56"/>
      <c r="Z161" s="56"/>
      <c r="AA161" s="56"/>
      <c r="AB161" s="56"/>
      <c r="AC161" s="15"/>
    </row>
    <row r="162" spans="3:29" ht="12.75">
      <c r="C162" s="23"/>
      <c r="I162" s="23"/>
      <c r="L162" s="56"/>
      <c r="M162" s="56"/>
      <c r="N162" s="56"/>
      <c r="O162" s="56"/>
      <c r="P162" s="56"/>
      <c r="Q162" s="56"/>
      <c r="R162" s="56"/>
      <c r="S162" s="56"/>
      <c r="T162" s="56"/>
      <c r="U162" s="56"/>
      <c r="V162" s="56"/>
      <c r="W162" s="56"/>
      <c r="X162" s="56"/>
      <c r="Y162" s="56"/>
      <c r="Z162" s="56"/>
      <c r="AA162" s="56"/>
      <c r="AB162" s="56"/>
      <c r="AC162" s="15"/>
    </row>
    <row r="163" spans="3:29" ht="12.75">
      <c r="C163" s="23"/>
      <c r="I163" s="23"/>
      <c r="L163" s="56"/>
      <c r="M163" s="56"/>
      <c r="N163" s="56"/>
      <c r="O163" s="56"/>
      <c r="P163" s="56"/>
      <c r="Q163" s="56"/>
      <c r="R163" s="56"/>
      <c r="S163" s="56"/>
      <c r="T163" s="56"/>
      <c r="U163" s="56"/>
      <c r="V163" s="56"/>
      <c r="W163" s="56"/>
      <c r="X163" s="56"/>
      <c r="Y163" s="56"/>
      <c r="Z163" s="56"/>
      <c r="AA163" s="56"/>
      <c r="AB163" s="56"/>
      <c r="AC163" s="15"/>
    </row>
    <row r="164" spans="3:29" ht="12.75">
      <c r="C164" s="23"/>
      <c r="I164" s="23"/>
      <c r="L164" s="56"/>
      <c r="M164" s="56"/>
      <c r="N164" s="56"/>
      <c r="O164" s="56"/>
      <c r="P164" s="56"/>
      <c r="Q164" s="56"/>
      <c r="R164" s="56"/>
      <c r="S164" s="56"/>
      <c r="T164" s="56"/>
      <c r="U164" s="56"/>
      <c r="V164" s="56"/>
      <c r="W164" s="56"/>
      <c r="X164" s="56"/>
      <c r="Y164" s="56"/>
      <c r="Z164" s="56"/>
      <c r="AA164" s="56"/>
      <c r="AB164" s="56"/>
      <c r="AC164" s="15"/>
    </row>
    <row r="165" spans="3:29" ht="12.75">
      <c r="C165" s="23"/>
      <c r="I165" s="23"/>
      <c r="L165" s="56"/>
      <c r="M165" s="56"/>
      <c r="N165" s="56"/>
      <c r="O165" s="56"/>
      <c r="P165" s="56"/>
      <c r="Q165" s="56"/>
      <c r="R165" s="56"/>
      <c r="S165" s="56"/>
      <c r="T165" s="56"/>
      <c r="U165" s="56"/>
      <c r="V165" s="56"/>
      <c r="W165" s="56"/>
      <c r="X165" s="56"/>
      <c r="Y165" s="56"/>
      <c r="Z165" s="56"/>
      <c r="AA165" s="56"/>
      <c r="AB165" s="56"/>
      <c r="AC165" s="15"/>
    </row>
    <row r="166" spans="3:29" ht="12.75">
      <c r="C166" s="23"/>
      <c r="I166" s="23"/>
      <c r="L166" s="56"/>
      <c r="M166" s="56"/>
      <c r="N166" s="56"/>
      <c r="O166" s="56"/>
      <c r="P166" s="56"/>
      <c r="Q166" s="56"/>
      <c r="R166" s="56"/>
      <c r="S166" s="56"/>
      <c r="T166" s="56"/>
      <c r="U166" s="56"/>
      <c r="V166" s="56"/>
      <c r="W166" s="56"/>
      <c r="X166" s="56"/>
      <c r="Y166" s="56"/>
      <c r="Z166" s="56"/>
      <c r="AA166" s="56"/>
      <c r="AB166" s="56"/>
      <c r="AC166" s="15"/>
    </row>
    <row r="167" spans="3:29" ht="12.75">
      <c r="C167" s="23"/>
      <c r="I167" s="23"/>
      <c r="L167" s="56"/>
      <c r="M167" s="56"/>
      <c r="N167" s="56"/>
      <c r="O167" s="56"/>
      <c r="P167" s="56"/>
      <c r="Q167" s="56"/>
      <c r="R167" s="56"/>
      <c r="S167" s="56"/>
      <c r="T167" s="56"/>
      <c r="U167" s="56"/>
      <c r="V167" s="56"/>
      <c r="W167" s="56"/>
      <c r="X167" s="56"/>
      <c r="Y167" s="56"/>
      <c r="Z167" s="56"/>
      <c r="AA167" s="56"/>
      <c r="AB167" s="56"/>
      <c r="AC167" s="15"/>
    </row>
    <row r="168" spans="3:29" ht="12.75">
      <c r="C168" s="23"/>
      <c r="I168" s="23"/>
      <c r="L168" s="56"/>
      <c r="M168" s="56"/>
      <c r="N168" s="56"/>
      <c r="O168" s="56"/>
      <c r="P168" s="56"/>
      <c r="Q168" s="56"/>
      <c r="R168" s="56"/>
      <c r="S168" s="56"/>
      <c r="T168" s="56"/>
      <c r="U168" s="56"/>
      <c r="V168" s="56"/>
      <c r="W168" s="56"/>
      <c r="X168" s="56"/>
      <c r="Y168" s="56"/>
      <c r="Z168" s="56"/>
      <c r="AA168" s="56"/>
      <c r="AB168" s="56"/>
      <c r="AC168" s="15"/>
    </row>
    <row r="169" spans="3:29" ht="12.75">
      <c r="C169" s="23"/>
      <c r="I169" s="23"/>
      <c r="L169" s="56"/>
      <c r="M169" s="56"/>
      <c r="N169" s="56"/>
      <c r="O169" s="56"/>
      <c r="P169" s="56"/>
      <c r="Q169" s="56"/>
      <c r="R169" s="56"/>
      <c r="S169" s="56"/>
      <c r="T169" s="56"/>
      <c r="U169" s="56"/>
      <c r="V169" s="56"/>
      <c r="W169" s="56"/>
      <c r="X169" s="56"/>
      <c r="Y169" s="56"/>
      <c r="Z169" s="56"/>
      <c r="AA169" s="56"/>
      <c r="AB169" s="56"/>
      <c r="AC169" s="15"/>
    </row>
    <row r="170" spans="3:29" ht="12.75">
      <c r="C170" s="23"/>
      <c r="I170" s="23"/>
      <c r="L170" s="56"/>
      <c r="M170" s="56"/>
      <c r="N170" s="56"/>
      <c r="O170" s="56"/>
      <c r="P170" s="56"/>
      <c r="Q170" s="56"/>
      <c r="R170" s="56"/>
      <c r="S170" s="56"/>
      <c r="T170" s="56"/>
      <c r="U170" s="56"/>
      <c r="V170" s="56"/>
      <c r="W170" s="56"/>
      <c r="X170" s="56"/>
      <c r="Y170" s="56"/>
      <c r="Z170" s="56"/>
      <c r="AA170" s="56"/>
      <c r="AB170" s="56"/>
      <c r="AC170" s="15"/>
    </row>
    <row r="171" spans="3:29" ht="12.75">
      <c r="C171" s="23"/>
      <c r="I171" s="23"/>
      <c r="L171" s="56"/>
      <c r="M171" s="56"/>
      <c r="N171" s="56"/>
      <c r="O171" s="56"/>
      <c r="P171" s="56"/>
      <c r="Q171" s="56"/>
      <c r="R171" s="56"/>
      <c r="S171" s="56"/>
      <c r="T171" s="56"/>
      <c r="U171" s="56"/>
      <c r="V171" s="56"/>
      <c r="W171" s="56"/>
      <c r="X171" s="56"/>
      <c r="Y171" s="56"/>
      <c r="Z171" s="56"/>
      <c r="AA171" s="56"/>
      <c r="AB171" s="56"/>
      <c r="AC171" s="15"/>
    </row>
    <row r="172" spans="3:29" ht="12.75">
      <c r="C172" s="23"/>
      <c r="I172" s="23"/>
      <c r="L172" s="56"/>
      <c r="M172" s="56"/>
      <c r="N172" s="56"/>
      <c r="O172" s="56"/>
      <c r="P172" s="56"/>
      <c r="Q172" s="56"/>
      <c r="R172" s="56"/>
      <c r="S172" s="56"/>
      <c r="T172" s="56"/>
      <c r="U172" s="56"/>
      <c r="V172" s="56"/>
      <c r="W172" s="56"/>
      <c r="X172" s="56"/>
      <c r="Y172" s="56"/>
      <c r="Z172" s="56"/>
      <c r="AA172" s="56"/>
      <c r="AB172" s="56"/>
      <c r="AC172" s="15"/>
    </row>
    <row r="173" spans="3:29" ht="12.75">
      <c r="C173" s="23"/>
      <c r="I173" s="23"/>
      <c r="L173" s="56"/>
      <c r="M173" s="56"/>
      <c r="N173" s="56"/>
      <c r="O173" s="56"/>
      <c r="P173" s="56"/>
      <c r="Q173" s="56"/>
      <c r="R173" s="56"/>
      <c r="S173" s="56"/>
      <c r="T173" s="56"/>
      <c r="U173" s="56"/>
      <c r="V173" s="56"/>
      <c r="W173" s="56"/>
      <c r="X173" s="56"/>
      <c r="Y173" s="56"/>
      <c r="Z173" s="56"/>
      <c r="AA173" s="56"/>
      <c r="AB173" s="56"/>
      <c r="AC173" s="15"/>
    </row>
    <row r="174" spans="3:29" ht="12.75">
      <c r="C174" s="23"/>
      <c r="I174" s="23"/>
      <c r="L174" s="56"/>
      <c r="M174" s="56"/>
      <c r="N174" s="56"/>
      <c r="O174" s="56"/>
      <c r="P174" s="56"/>
      <c r="Q174" s="56"/>
      <c r="R174" s="56"/>
      <c r="S174" s="56"/>
      <c r="T174" s="56"/>
      <c r="U174" s="56"/>
      <c r="V174" s="56"/>
      <c r="W174" s="56"/>
      <c r="X174" s="56"/>
      <c r="Y174" s="56"/>
      <c r="Z174" s="56"/>
      <c r="AA174" s="56"/>
      <c r="AB174" s="56"/>
      <c r="AC174" s="15"/>
    </row>
    <row r="175" spans="3:29" ht="12.75">
      <c r="C175" s="23"/>
      <c r="I175" s="23"/>
      <c r="L175" s="56"/>
      <c r="M175" s="56"/>
      <c r="N175" s="56"/>
      <c r="O175" s="56"/>
      <c r="P175" s="56"/>
      <c r="Q175" s="56"/>
      <c r="R175" s="56"/>
      <c r="S175" s="56"/>
      <c r="T175" s="56"/>
      <c r="U175" s="56"/>
      <c r="V175" s="56"/>
      <c r="W175" s="56"/>
      <c r="X175" s="56"/>
      <c r="Y175" s="56"/>
      <c r="Z175" s="56"/>
      <c r="AA175" s="56"/>
      <c r="AB175" s="56"/>
      <c r="AC175" s="15"/>
    </row>
    <row r="176" spans="3:29" ht="12.75">
      <c r="C176" s="23"/>
      <c r="I176" s="23"/>
      <c r="L176" s="56"/>
      <c r="M176" s="56"/>
      <c r="N176" s="56"/>
      <c r="O176" s="56"/>
      <c r="P176" s="56"/>
      <c r="Q176" s="56"/>
      <c r="R176" s="56"/>
      <c r="S176" s="56"/>
      <c r="T176" s="56"/>
      <c r="U176" s="56"/>
      <c r="V176" s="56"/>
      <c r="W176" s="56"/>
      <c r="X176" s="56"/>
      <c r="Y176" s="56"/>
      <c r="Z176" s="56"/>
      <c r="AA176" s="56"/>
      <c r="AB176" s="56"/>
      <c r="AC176" s="15"/>
    </row>
    <row r="177" spans="3:29" ht="12.75">
      <c r="C177" s="23"/>
      <c r="I177" s="23"/>
      <c r="L177" s="56"/>
      <c r="M177" s="56"/>
      <c r="N177" s="56"/>
      <c r="O177" s="56"/>
      <c r="P177" s="56"/>
      <c r="Q177" s="56"/>
      <c r="R177" s="56"/>
      <c r="S177" s="56"/>
      <c r="T177" s="56"/>
      <c r="U177" s="56"/>
      <c r="V177" s="56"/>
      <c r="W177" s="56"/>
      <c r="X177" s="56"/>
      <c r="Y177" s="56"/>
      <c r="Z177" s="56"/>
      <c r="AA177" s="56"/>
      <c r="AB177" s="56"/>
      <c r="AC177" s="15"/>
    </row>
    <row r="178" spans="3:29" ht="12.75">
      <c r="C178" s="23"/>
      <c r="I178" s="23"/>
      <c r="L178" s="56"/>
      <c r="M178" s="56"/>
      <c r="N178" s="56"/>
      <c r="O178" s="56"/>
      <c r="P178" s="56"/>
      <c r="Q178" s="56"/>
      <c r="R178" s="56"/>
      <c r="S178" s="56"/>
      <c r="T178" s="56"/>
      <c r="U178" s="56"/>
      <c r="V178" s="56"/>
      <c r="W178" s="56"/>
      <c r="X178" s="56"/>
      <c r="Y178" s="56"/>
      <c r="Z178" s="56"/>
      <c r="AA178" s="56"/>
      <c r="AB178" s="56"/>
      <c r="AC178" s="15"/>
    </row>
    <row r="179" spans="3:29" ht="12.75">
      <c r="C179" s="23"/>
      <c r="I179" s="23"/>
      <c r="L179" s="56"/>
      <c r="M179" s="56"/>
      <c r="N179" s="56"/>
      <c r="O179" s="56"/>
      <c r="P179" s="56"/>
      <c r="Q179" s="56"/>
      <c r="R179" s="56"/>
      <c r="S179" s="56"/>
      <c r="T179" s="56"/>
      <c r="U179" s="56"/>
      <c r="V179" s="56"/>
      <c r="W179" s="56"/>
      <c r="X179" s="56"/>
      <c r="Y179" s="56"/>
      <c r="Z179" s="56"/>
      <c r="AA179" s="56"/>
      <c r="AB179" s="56"/>
      <c r="AC179" s="15"/>
    </row>
    <row r="180" spans="3:29" ht="12.75">
      <c r="C180" s="23"/>
      <c r="I180" s="23"/>
      <c r="L180" s="56"/>
      <c r="M180" s="56"/>
      <c r="N180" s="56"/>
      <c r="O180" s="56"/>
      <c r="P180" s="56"/>
      <c r="Q180" s="56"/>
      <c r="R180" s="56"/>
      <c r="S180" s="56"/>
      <c r="T180" s="56"/>
      <c r="U180" s="56"/>
      <c r="V180" s="56"/>
      <c r="W180" s="56"/>
      <c r="X180" s="56"/>
      <c r="Y180" s="56"/>
      <c r="Z180" s="56"/>
      <c r="AA180" s="56"/>
      <c r="AB180" s="56"/>
      <c r="AC180" s="15"/>
    </row>
    <row r="181" spans="3:29" ht="12.75">
      <c r="C181" s="23"/>
      <c r="I181" s="23"/>
      <c r="L181" s="56"/>
      <c r="M181" s="56"/>
      <c r="N181" s="56"/>
      <c r="O181" s="56"/>
      <c r="P181" s="56"/>
      <c r="Q181" s="56"/>
      <c r="R181" s="56"/>
      <c r="S181" s="56"/>
      <c r="T181" s="56"/>
      <c r="U181" s="56"/>
      <c r="V181" s="56"/>
      <c r="W181" s="56"/>
      <c r="X181" s="56"/>
      <c r="Y181" s="56"/>
      <c r="Z181" s="56"/>
      <c r="AA181" s="56"/>
      <c r="AB181" s="56"/>
      <c r="AC181" s="15"/>
    </row>
    <row r="182" spans="3:29" ht="12.75">
      <c r="C182" s="23"/>
      <c r="I182" s="23"/>
      <c r="L182" s="56"/>
      <c r="M182" s="56"/>
      <c r="N182" s="56"/>
      <c r="O182" s="56"/>
      <c r="P182" s="56"/>
      <c r="Q182" s="56"/>
      <c r="R182" s="56"/>
      <c r="S182" s="56"/>
      <c r="T182" s="56"/>
      <c r="U182" s="56"/>
      <c r="V182" s="56"/>
      <c r="W182" s="56"/>
      <c r="X182" s="56"/>
      <c r="Y182" s="56"/>
      <c r="Z182" s="56"/>
      <c r="AA182" s="56"/>
      <c r="AB182" s="56"/>
      <c r="AC182" s="15"/>
    </row>
    <row r="183" spans="3:29" ht="12.75">
      <c r="C183" s="23"/>
      <c r="I183" s="23"/>
      <c r="L183" s="56"/>
      <c r="M183" s="56"/>
      <c r="N183" s="56"/>
      <c r="O183" s="56"/>
      <c r="P183" s="56"/>
      <c r="Q183" s="56"/>
      <c r="R183" s="56"/>
      <c r="S183" s="56"/>
      <c r="T183" s="56"/>
      <c r="U183" s="56"/>
      <c r="V183" s="56"/>
      <c r="W183" s="56"/>
      <c r="X183" s="56"/>
      <c r="Y183" s="56"/>
      <c r="Z183" s="56"/>
      <c r="AA183" s="56"/>
      <c r="AB183" s="56"/>
      <c r="AC183" s="15"/>
    </row>
    <row r="184" spans="3:29" ht="12.75">
      <c r="C184" s="23"/>
      <c r="I184" s="23"/>
      <c r="L184" s="56"/>
      <c r="M184" s="56"/>
      <c r="N184" s="56"/>
      <c r="O184" s="56"/>
      <c r="P184" s="56"/>
      <c r="Q184" s="56"/>
      <c r="R184" s="56"/>
      <c r="S184" s="56"/>
      <c r="T184" s="56"/>
      <c r="U184" s="56"/>
      <c r="V184" s="56"/>
      <c r="W184" s="56"/>
      <c r="X184" s="56"/>
      <c r="Y184" s="56"/>
      <c r="Z184" s="56"/>
      <c r="AA184" s="56"/>
      <c r="AB184" s="56"/>
      <c r="AC184" s="15"/>
    </row>
    <row r="185" spans="3:29" ht="12.75">
      <c r="C185" s="23"/>
      <c r="I185" s="23"/>
      <c r="L185" s="56"/>
      <c r="M185" s="56"/>
      <c r="N185" s="56"/>
      <c r="O185" s="56"/>
      <c r="P185" s="56"/>
      <c r="Q185" s="56"/>
      <c r="R185" s="56"/>
      <c r="S185" s="56"/>
      <c r="T185" s="56"/>
      <c r="U185" s="56"/>
      <c r="V185" s="56"/>
      <c r="W185" s="56"/>
      <c r="X185" s="56"/>
      <c r="Y185" s="56"/>
      <c r="Z185" s="56"/>
      <c r="AA185" s="56"/>
      <c r="AB185" s="56"/>
      <c r="AC185" s="15"/>
    </row>
    <row r="186" spans="3:29" ht="12.75">
      <c r="C186" s="23"/>
      <c r="I186" s="23"/>
      <c r="L186" s="56"/>
      <c r="M186" s="56"/>
      <c r="N186" s="56"/>
      <c r="O186" s="56"/>
      <c r="P186" s="56"/>
      <c r="Q186" s="56"/>
      <c r="R186" s="56"/>
      <c r="S186" s="56"/>
      <c r="T186" s="56"/>
      <c r="U186" s="56"/>
      <c r="V186" s="56"/>
      <c r="W186" s="56"/>
      <c r="X186" s="56"/>
      <c r="Y186" s="56"/>
      <c r="Z186" s="56"/>
      <c r="AA186" s="56"/>
      <c r="AB186" s="56"/>
      <c r="AC186" s="15"/>
    </row>
    <row r="187" spans="3:29" ht="12.75">
      <c r="C187" s="23"/>
      <c r="I187" s="23"/>
      <c r="L187" s="56"/>
      <c r="M187" s="56"/>
      <c r="N187" s="56"/>
      <c r="O187" s="56"/>
      <c r="P187" s="56"/>
      <c r="Q187" s="56"/>
      <c r="R187" s="56"/>
      <c r="S187" s="56"/>
      <c r="T187" s="56"/>
      <c r="U187" s="56"/>
      <c r="V187" s="56"/>
      <c r="W187" s="56"/>
      <c r="X187" s="56"/>
      <c r="Y187" s="56"/>
      <c r="Z187" s="56"/>
      <c r="AA187" s="56"/>
      <c r="AB187" s="56"/>
      <c r="AC187" s="15"/>
    </row>
    <row r="188" spans="3:29" ht="12.75">
      <c r="C188" s="23"/>
      <c r="I188" s="23"/>
      <c r="L188" s="56"/>
      <c r="M188" s="56"/>
      <c r="N188" s="56"/>
      <c r="O188" s="56"/>
      <c r="P188" s="56"/>
      <c r="Q188" s="56"/>
      <c r="R188" s="56"/>
      <c r="S188" s="56"/>
      <c r="T188" s="56"/>
      <c r="U188" s="56"/>
      <c r="V188" s="56"/>
      <c r="W188" s="56"/>
      <c r="X188" s="56"/>
      <c r="Y188" s="56"/>
      <c r="Z188" s="56"/>
      <c r="AA188" s="56"/>
      <c r="AB188" s="56"/>
      <c r="AC188" s="15"/>
    </row>
    <row r="189" spans="3:29" ht="12.75">
      <c r="C189" s="23"/>
      <c r="I189" s="23"/>
      <c r="L189" s="56"/>
      <c r="M189" s="56"/>
      <c r="N189" s="56"/>
      <c r="O189" s="56"/>
      <c r="P189" s="56"/>
      <c r="Q189" s="56"/>
      <c r="R189" s="56"/>
      <c r="S189" s="56"/>
      <c r="T189" s="56"/>
      <c r="U189" s="56"/>
      <c r="V189" s="56"/>
      <c r="W189" s="56"/>
      <c r="X189" s="56"/>
      <c r="Y189" s="56"/>
      <c r="Z189" s="56"/>
      <c r="AA189" s="56"/>
      <c r="AB189" s="56"/>
      <c r="AC189" s="15"/>
    </row>
    <row r="190" spans="3:29" ht="12.75">
      <c r="C190" s="23"/>
      <c r="I190" s="23"/>
      <c r="L190" s="56"/>
      <c r="M190" s="56"/>
      <c r="N190" s="56"/>
      <c r="O190" s="56"/>
      <c r="P190" s="56"/>
      <c r="Q190" s="56"/>
      <c r="R190" s="56"/>
      <c r="S190" s="56"/>
      <c r="T190" s="56"/>
      <c r="U190" s="56"/>
      <c r="V190" s="56"/>
      <c r="W190" s="56"/>
      <c r="X190" s="56"/>
      <c r="Y190" s="56"/>
      <c r="Z190" s="56"/>
      <c r="AA190" s="56"/>
      <c r="AB190" s="56"/>
      <c r="AC190" s="15"/>
    </row>
    <row r="191" spans="3:29" ht="12.75">
      <c r="C191" s="23"/>
      <c r="I191" s="23"/>
      <c r="L191" s="56"/>
      <c r="M191" s="56"/>
      <c r="N191" s="56"/>
      <c r="O191" s="56"/>
      <c r="P191" s="56"/>
      <c r="Q191" s="56"/>
      <c r="R191" s="56"/>
      <c r="S191" s="56"/>
      <c r="T191" s="56"/>
      <c r="U191" s="56"/>
      <c r="V191" s="56"/>
      <c r="W191" s="56"/>
      <c r="X191" s="56"/>
      <c r="Y191" s="56"/>
      <c r="Z191" s="56"/>
      <c r="AA191" s="56"/>
      <c r="AB191" s="56"/>
      <c r="AC191" s="15"/>
    </row>
    <row r="192" spans="3:29" ht="12.75">
      <c r="C192" s="23"/>
      <c r="I192" s="23"/>
      <c r="L192" s="56"/>
      <c r="M192" s="56"/>
      <c r="N192" s="56"/>
      <c r="O192" s="56"/>
      <c r="P192" s="56"/>
      <c r="Q192" s="56"/>
      <c r="R192" s="56"/>
      <c r="S192" s="56"/>
      <c r="T192" s="56"/>
      <c r="U192" s="56"/>
      <c r="V192" s="56"/>
      <c r="W192" s="56"/>
      <c r="X192" s="56"/>
      <c r="Y192" s="56"/>
      <c r="Z192" s="56"/>
      <c r="AA192" s="56"/>
      <c r="AB192" s="56"/>
      <c r="AC192" s="15"/>
    </row>
    <row r="193" spans="3:29" ht="12.75">
      <c r="C193" s="23"/>
      <c r="I193" s="23"/>
      <c r="L193" s="56"/>
      <c r="M193" s="56"/>
      <c r="N193" s="56"/>
      <c r="O193" s="56"/>
      <c r="P193" s="56"/>
      <c r="Q193" s="56"/>
      <c r="R193" s="56"/>
      <c r="S193" s="56"/>
      <c r="T193" s="56"/>
      <c r="U193" s="56"/>
      <c r="V193" s="56"/>
      <c r="W193" s="56"/>
      <c r="X193" s="56"/>
      <c r="Y193" s="56"/>
      <c r="Z193" s="56"/>
      <c r="AA193" s="56"/>
      <c r="AB193" s="56"/>
      <c r="AC193" s="15"/>
    </row>
    <row r="194" spans="3:29" ht="12.75">
      <c r="C194" s="23"/>
      <c r="I194" s="23"/>
      <c r="L194" s="56"/>
      <c r="M194" s="56"/>
      <c r="N194" s="56"/>
      <c r="O194" s="56"/>
      <c r="P194" s="56"/>
      <c r="Q194" s="56"/>
      <c r="R194" s="56"/>
      <c r="S194" s="56"/>
      <c r="T194" s="56"/>
      <c r="U194" s="56"/>
      <c r="V194" s="56"/>
      <c r="W194" s="56"/>
      <c r="X194" s="56"/>
      <c r="Y194" s="56"/>
      <c r="Z194" s="56"/>
      <c r="AA194" s="56"/>
      <c r="AB194" s="56"/>
      <c r="AC194" s="15"/>
    </row>
    <row r="195" spans="3:29" ht="12.75">
      <c r="C195" s="23"/>
      <c r="I195" s="23"/>
      <c r="L195" s="56"/>
      <c r="M195" s="56"/>
      <c r="N195" s="56"/>
      <c r="O195" s="56"/>
      <c r="P195" s="56"/>
      <c r="Q195" s="56"/>
      <c r="R195" s="56"/>
      <c r="S195" s="56"/>
      <c r="T195" s="56"/>
      <c r="U195" s="56"/>
      <c r="V195" s="56"/>
      <c r="W195" s="56"/>
      <c r="X195" s="56"/>
      <c r="Y195" s="56"/>
      <c r="Z195" s="56"/>
      <c r="AA195" s="56"/>
      <c r="AB195" s="56"/>
      <c r="AC195" s="15"/>
    </row>
    <row r="196" spans="3:29" ht="12.75">
      <c r="C196" s="23"/>
      <c r="I196" s="23"/>
      <c r="L196" s="56"/>
      <c r="M196" s="56"/>
      <c r="N196" s="56"/>
      <c r="O196" s="56"/>
      <c r="P196" s="56"/>
      <c r="Q196" s="56"/>
      <c r="R196" s="56"/>
      <c r="S196" s="56"/>
      <c r="T196" s="56"/>
      <c r="U196" s="56"/>
      <c r="V196" s="56"/>
      <c r="W196" s="56"/>
      <c r="X196" s="56"/>
      <c r="Y196" s="56"/>
      <c r="Z196" s="56"/>
      <c r="AA196" s="56"/>
      <c r="AB196" s="56"/>
      <c r="AC196" s="15"/>
    </row>
    <row r="197" spans="3:29" ht="12.75">
      <c r="C197" s="23"/>
      <c r="I197" s="23"/>
      <c r="L197" s="56"/>
      <c r="M197" s="56"/>
      <c r="N197" s="56"/>
      <c r="O197" s="56"/>
      <c r="P197" s="56"/>
      <c r="Q197" s="56"/>
      <c r="R197" s="56"/>
      <c r="S197" s="56"/>
      <c r="T197" s="56"/>
      <c r="U197" s="56"/>
      <c r="V197" s="56"/>
      <c r="W197" s="56"/>
      <c r="X197" s="56"/>
      <c r="Y197" s="56"/>
      <c r="Z197" s="56"/>
      <c r="AA197" s="56"/>
      <c r="AB197" s="56"/>
      <c r="AC197" s="15"/>
    </row>
    <row r="198" spans="3:29" ht="12.75">
      <c r="C198" s="23"/>
      <c r="I198" s="23"/>
      <c r="L198" s="56"/>
      <c r="M198" s="56"/>
      <c r="N198" s="56"/>
      <c r="O198" s="56"/>
      <c r="P198" s="56"/>
      <c r="Q198" s="56"/>
      <c r="R198" s="56"/>
      <c r="S198" s="56"/>
      <c r="T198" s="56"/>
      <c r="U198" s="56"/>
      <c r="V198" s="56"/>
      <c r="W198" s="56"/>
      <c r="X198" s="56"/>
      <c r="Y198" s="56"/>
      <c r="Z198" s="56"/>
      <c r="AA198" s="56"/>
      <c r="AB198" s="56"/>
      <c r="AC198" s="15"/>
    </row>
    <row r="199" spans="3:29" ht="12.75">
      <c r="C199" s="23"/>
      <c r="I199" s="23"/>
      <c r="L199" s="56"/>
      <c r="M199" s="56"/>
      <c r="N199" s="56"/>
      <c r="O199" s="56"/>
      <c r="P199" s="56"/>
      <c r="Q199" s="56"/>
      <c r="R199" s="56"/>
      <c r="S199" s="56"/>
      <c r="T199" s="56"/>
      <c r="U199" s="56"/>
      <c r="V199" s="56"/>
      <c r="W199" s="56"/>
      <c r="X199" s="56"/>
      <c r="Y199" s="56"/>
      <c r="Z199" s="56"/>
      <c r="AA199" s="56"/>
      <c r="AB199" s="56"/>
      <c r="AC199" s="15"/>
    </row>
    <row r="200" spans="3:29" ht="12.75">
      <c r="C200" s="23"/>
      <c r="I200" s="23"/>
      <c r="L200" s="56"/>
      <c r="M200" s="56"/>
      <c r="N200" s="56"/>
      <c r="O200" s="56"/>
      <c r="P200" s="56"/>
      <c r="Q200" s="56"/>
      <c r="R200" s="56"/>
      <c r="S200" s="56"/>
      <c r="T200" s="56"/>
      <c r="U200" s="56"/>
      <c r="V200" s="56"/>
      <c r="W200" s="56"/>
      <c r="X200" s="56"/>
      <c r="Y200" s="56"/>
      <c r="Z200" s="56"/>
      <c r="AA200" s="56"/>
      <c r="AB200" s="56"/>
      <c r="AC200" s="15"/>
    </row>
    <row r="201" spans="3:29" ht="12.75">
      <c r="C201" s="23"/>
      <c r="I201" s="23"/>
      <c r="L201" s="56"/>
      <c r="M201" s="56"/>
      <c r="N201" s="56"/>
      <c r="O201" s="56"/>
      <c r="P201" s="56"/>
      <c r="Q201" s="56"/>
      <c r="R201" s="56"/>
      <c r="S201" s="56"/>
      <c r="T201" s="56"/>
      <c r="U201" s="56"/>
      <c r="V201" s="56"/>
      <c r="W201" s="56"/>
      <c r="X201" s="56"/>
      <c r="Y201" s="56"/>
      <c r="Z201" s="56"/>
      <c r="AA201" s="56"/>
      <c r="AB201" s="56"/>
      <c r="AC201" s="15"/>
    </row>
    <row r="202" spans="3:29" ht="12.75">
      <c r="C202" s="23"/>
      <c r="I202" s="23"/>
      <c r="L202" s="56"/>
      <c r="M202" s="56"/>
      <c r="N202" s="56"/>
      <c r="O202" s="56"/>
      <c r="P202" s="56"/>
      <c r="Q202" s="56"/>
      <c r="R202" s="56"/>
      <c r="S202" s="56"/>
      <c r="T202" s="56"/>
      <c r="U202" s="56"/>
      <c r="V202" s="56"/>
      <c r="W202" s="56"/>
      <c r="X202" s="56"/>
      <c r="Y202" s="56"/>
      <c r="Z202" s="56"/>
      <c r="AA202" s="56"/>
      <c r="AB202" s="56"/>
      <c r="AC202" s="15"/>
    </row>
    <row r="203" spans="3:29" ht="12.75">
      <c r="C203" s="23"/>
      <c r="I203" s="23"/>
      <c r="L203" s="56"/>
      <c r="M203" s="56"/>
      <c r="N203" s="56"/>
      <c r="O203" s="56"/>
      <c r="P203" s="56"/>
      <c r="Q203" s="56"/>
      <c r="R203" s="56"/>
      <c r="S203" s="56"/>
      <c r="T203" s="56"/>
      <c r="U203" s="56"/>
      <c r="V203" s="56"/>
      <c r="W203" s="56"/>
      <c r="X203" s="56"/>
      <c r="Y203" s="56"/>
      <c r="Z203" s="56"/>
      <c r="AA203" s="56"/>
      <c r="AB203" s="56"/>
      <c r="AC203" s="15"/>
    </row>
    <row r="204" spans="3:29" ht="12.75">
      <c r="C204" s="23"/>
      <c r="I204" s="23"/>
      <c r="L204" s="56"/>
      <c r="M204" s="56"/>
      <c r="N204" s="56"/>
      <c r="O204" s="56"/>
      <c r="P204" s="56"/>
      <c r="Q204" s="56"/>
      <c r="R204" s="56"/>
      <c r="S204" s="56"/>
      <c r="T204" s="56"/>
      <c r="U204" s="56"/>
      <c r="V204" s="56"/>
      <c r="W204" s="56"/>
      <c r="X204" s="56"/>
      <c r="Y204" s="56"/>
      <c r="Z204" s="56"/>
      <c r="AA204" s="56"/>
      <c r="AB204" s="56"/>
      <c r="AC204" s="15"/>
    </row>
    <row r="205" spans="3:29" ht="12.75">
      <c r="C205" s="23"/>
      <c r="I205" s="23"/>
      <c r="L205" s="56"/>
      <c r="M205" s="56"/>
      <c r="N205" s="56"/>
      <c r="O205" s="56"/>
      <c r="P205" s="56"/>
      <c r="Q205" s="56"/>
      <c r="R205" s="56"/>
      <c r="S205" s="56"/>
      <c r="T205" s="56"/>
      <c r="U205" s="56"/>
      <c r="V205" s="56"/>
      <c r="W205" s="56"/>
      <c r="X205" s="56"/>
      <c r="Y205" s="56"/>
      <c r="Z205" s="56"/>
      <c r="AA205" s="56"/>
      <c r="AB205" s="56"/>
      <c r="AC205" s="15"/>
    </row>
    <row r="206" spans="3:29" ht="12.75">
      <c r="C206" s="23"/>
      <c r="I206" s="23"/>
      <c r="L206" s="56"/>
      <c r="M206" s="56"/>
      <c r="N206" s="56"/>
      <c r="O206" s="56"/>
      <c r="P206" s="56"/>
      <c r="Q206" s="56"/>
      <c r="R206" s="56"/>
      <c r="S206" s="56"/>
      <c r="T206" s="56"/>
      <c r="U206" s="56"/>
      <c r="V206" s="56"/>
      <c r="W206" s="56"/>
      <c r="X206" s="56"/>
      <c r="Y206" s="56"/>
      <c r="Z206" s="56"/>
      <c r="AA206" s="56"/>
      <c r="AB206" s="56"/>
      <c r="AC206" s="15"/>
    </row>
    <row r="207" spans="3:29" ht="12.75">
      <c r="C207" s="23"/>
      <c r="I207" s="23"/>
      <c r="L207" s="56"/>
      <c r="M207" s="56"/>
      <c r="N207" s="56"/>
      <c r="O207" s="56"/>
      <c r="P207" s="56"/>
      <c r="Q207" s="56"/>
      <c r="R207" s="56"/>
      <c r="S207" s="56"/>
      <c r="T207" s="56"/>
      <c r="U207" s="56"/>
      <c r="V207" s="56"/>
      <c r="W207" s="56"/>
      <c r="X207" s="56"/>
      <c r="Y207" s="56"/>
      <c r="Z207" s="56"/>
      <c r="AA207" s="56"/>
      <c r="AB207" s="56"/>
      <c r="AC207" s="15"/>
    </row>
    <row r="208" spans="3:29" ht="12.75">
      <c r="C208" s="23"/>
      <c r="I208" s="23"/>
      <c r="L208" s="56"/>
      <c r="M208" s="56"/>
      <c r="N208" s="56"/>
      <c r="O208" s="56"/>
      <c r="P208" s="56"/>
      <c r="Q208" s="56"/>
      <c r="R208" s="56"/>
      <c r="S208" s="56"/>
      <c r="T208" s="56"/>
      <c r="U208" s="56"/>
      <c r="V208" s="56"/>
      <c r="W208" s="56"/>
      <c r="X208" s="56"/>
      <c r="Y208" s="56"/>
      <c r="Z208" s="56"/>
      <c r="AA208" s="56"/>
      <c r="AB208" s="56"/>
      <c r="AC208" s="15"/>
    </row>
    <row r="209" spans="3:29" ht="12.75">
      <c r="C209" s="23"/>
      <c r="I209" s="23"/>
      <c r="L209" s="56"/>
      <c r="M209" s="56"/>
      <c r="N209" s="56"/>
      <c r="O209" s="56"/>
      <c r="P209" s="56"/>
      <c r="Q209" s="56"/>
      <c r="R209" s="56"/>
      <c r="S209" s="56"/>
      <c r="T209" s="56"/>
      <c r="U209" s="56"/>
      <c r="V209" s="56"/>
      <c r="W209" s="56"/>
      <c r="X209" s="56"/>
      <c r="Y209" s="56"/>
      <c r="Z209" s="56"/>
      <c r="AA209" s="56"/>
      <c r="AB209" s="56"/>
      <c r="AC209" s="15"/>
    </row>
    <row r="210" spans="3:29" ht="12.75">
      <c r="C210" s="23"/>
      <c r="I210" s="23"/>
      <c r="L210" s="56"/>
      <c r="M210" s="56"/>
      <c r="N210" s="56"/>
      <c r="O210" s="56"/>
      <c r="P210" s="56"/>
      <c r="Q210" s="56"/>
      <c r="R210" s="56"/>
      <c r="S210" s="56"/>
      <c r="T210" s="56"/>
      <c r="U210" s="56"/>
      <c r="V210" s="56"/>
      <c r="W210" s="56"/>
      <c r="X210" s="56"/>
      <c r="Y210" s="56"/>
      <c r="Z210" s="56"/>
      <c r="AA210" s="56"/>
      <c r="AB210" s="56"/>
      <c r="AC210" s="15"/>
    </row>
    <row r="211" spans="3:29" ht="12.75">
      <c r="C211" s="23"/>
      <c r="I211" s="23"/>
      <c r="L211" s="56"/>
      <c r="M211" s="56"/>
      <c r="N211" s="56"/>
      <c r="O211" s="56"/>
      <c r="P211" s="56"/>
      <c r="Q211" s="56"/>
      <c r="R211" s="56"/>
      <c r="S211" s="56"/>
      <c r="T211" s="56"/>
      <c r="U211" s="56"/>
      <c r="V211" s="56"/>
      <c r="W211" s="56"/>
      <c r="X211" s="56"/>
      <c r="Y211" s="56"/>
      <c r="Z211" s="56"/>
      <c r="AA211" s="56"/>
      <c r="AB211" s="56"/>
      <c r="AC211" s="15"/>
    </row>
    <row r="212" spans="3:29" ht="12.75">
      <c r="C212" s="23"/>
      <c r="I212" s="23"/>
      <c r="L212" s="56"/>
      <c r="M212" s="56"/>
      <c r="N212" s="56"/>
      <c r="O212" s="56"/>
      <c r="P212" s="56"/>
      <c r="Q212" s="56"/>
      <c r="R212" s="56"/>
      <c r="S212" s="56"/>
      <c r="T212" s="56"/>
      <c r="U212" s="56"/>
      <c r="V212" s="56"/>
      <c r="W212" s="56"/>
      <c r="X212" s="56"/>
      <c r="Y212" s="56"/>
      <c r="Z212" s="56"/>
      <c r="AA212" s="56"/>
      <c r="AB212" s="56"/>
      <c r="AC212" s="15"/>
    </row>
    <row r="213" spans="3:29" ht="12.75">
      <c r="C213" s="23"/>
      <c r="I213" s="23"/>
      <c r="L213" s="56"/>
      <c r="M213" s="56"/>
      <c r="N213" s="56"/>
      <c r="O213" s="56"/>
      <c r="P213" s="56"/>
      <c r="Q213" s="56"/>
      <c r="R213" s="56"/>
      <c r="S213" s="56"/>
      <c r="T213" s="56"/>
      <c r="U213" s="56"/>
      <c r="V213" s="56"/>
      <c r="W213" s="56"/>
      <c r="X213" s="56"/>
      <c r="Y213" s="56"/>
      <c r="Z213" s="56"/>
      <c r="AA213" s="56"/>
      <c r="AB213" s="56"/>
      <c r="AC213" s="15"/>
    </row>
    <row r="214" spans="3:29" ht="12.75">
      <c r="C214" s="23"/>
      <c r="I214" s="23"/>
      <c r="L214" s="56"/>
      <c r="M214" s="56"/>
      <c r="N214" s="56"/>
      <c r="O214" s="56"/>
      <c r="P214" s="56"/>
      <c r="Q214" s="56"/>
      <c r="R214" s="56"/>
      <c r="S214" s="56"/>
      <c r="T214" s="56"/>
      <c r="U214" s="56"/>
      <c r="V214" s="56"/>
      <c r="W214" s="56"/>
      <c r="X214" s="56"/>
      <c r="Y214" s="56"/>
      <c r="Z214" s="56"/>
      <c r="AA214" s="56"/>
      <c r="AB214" s="56"/>
      <c r="AC214" s="15"/>
    </row>
    <row r="215" spans="3:29" ht="12.75">
      <c r="C215" s="23"/>
      <c r="I215" s="23"/>
      <c r="L215" s="56"/>
      <c r="M215" s="56"/>
      <c r="N215" s="56"/>
      <c r="O215" s="56"/>
      <c r="P215" s="56"/>
      <c r="Q215" s="56"/>
      <c r="R215" s="56"/>
      <c r="S215" s="56"/>
      <c r="T215" s="56"/>
      <c r="U215" s="56"/>
      <c r="V215" s="56"/>
      <c r="W215" s="56"/>
      <c r="X215" s="56"/>
      <c r="Y215" s="56"/>
      <c r="Z215" s="56"/>
      <c r="AA215" s="56"/>
      <c r="AB215" s="56"/>
      <c r="AC215" s="15"/>
    </row>
    <row r="216" spans="3:29" ht="12.75">
      <c r="C216" s="23"/>
      <c r="I216" s="23"/>
      <c r="L216" s="56"/>
      <c r="M216" s="56"/>
      <c r="N216" s="56"/>
      <c r="O216" s="56"/>
      <c r="P216" s="56"/>
      <c r="Q216" s="56"/>
      <c r="R216" s="56"/>
      <c r="S216" s="56"/>
      <c r="T216" s="56"/>
      <c r="U216" s="56"/>
      <c r="V216" s="56"/>
      <c r="W216" s="56"/>
      <c r="X216" s="56"/>
      <c r="Y216" s="56"/>
      <c r="Z216" s="56"/>
      <c r="AA216" s="56"/>
      <c r="AB216" s="56"/>
      <c r="AC216" s="15"/>
    </row>
    <row r="217" spans="3:29" ht="12.75">
      <c r="C217" s="23"/>
      <c r="I217" s="23"/>
      <c r="L217" s="56"/>
      <c r="M217" s="56"/>
      <c r="N217" s="56"/>
      <c r="O217" s="56"/>
      <c r="P217" s="56"/>
      <c r="Q217" s="56"/>
      <c r="R217" s="56"/>
      <c r="S217" s="56"/>
      <c r="T217" s="56"/>
      <c r="U217" s="56"/>
      <c r="V217" s="56"/>
      <c r="W217" s="56"/>
      <c r="X217" s="56"/>
      <c r="Y217" s="56"/>
      <c r="Z217" s="56"/>
      <c r="AA217" s="56"/>
      <c r="AB217" s="56"/>
      <c r="AC217" s="15"/>
    </row>
    <row r="218" spans="3:29" ht="12.75">
      <c r="C218" s="23"/>
      <c r="I218" s="23"/>
      <c r="L218" s="56"/>
      <c r="M218" s="56"/>
      <c r="N218" s="56"/>
      <c r="O218" s="56"/>
      <c r="P218" s="56"/>
      <c r="Q218" s="56"/>
      <c r="R218" s="56"/>
      <c r="S218" s="56"/>
      <c r="T218" s="56"/>
      <c r="U218" s="56"/>
      <c r="V218" s="56"/>
      <c r="W218" s="56"/>
      <c r="X218" s="56"/>
      <c r="Y218" s="56"/>
      <c r="Z218" s="56"/>
      <c r="AA218" s="56"/>
      <c r="AB218" s="56"/>
      <c r="AC218" s="15"/>
    </row>
    <row r="219" spans="3:29" ht="12.75">
      <c r="C219" s="23"/>
      <c r="I219" s="23"/>
      <c r="L219" s="56"/>
      <c r="M219" s="56"/>
      <c r="N219" s="56"/>
      <c r="O219" s="56"/>
      <c r="P219" s="56"/>
      <c r="Q219" s="56"/>
      <c r="R219" s="56"/>
      <c r="S219" s="56"/>
      <c r="T219" s="56"/>
      <c r="U219" s="56"/>
      <c r="V219" s="56"/>
      <c r="W219" s="56"/>
      <c r="X219" s="56"/>
      <c r="Y219" s="56"/>
      <c r="Z219" s="56"/>
      <c r="AA219" s="56"/>
      <c r="AB219" s="56"/>
      <c r="AC219" s="15"/>
    </row>
    <row r="220" spans="3:29" ht="12.75">
      <c r="C220" s="23"/>
      <c r="I220" s="23"/>
      <c r="L220" s="56"/>
      <c r="M220" s="56"/>
      <c r="N220" s="56"/>
      <c r="O220" s="56"/>
      <c r="P220" s="56"/>
      <c r="Q220" s="56"/>
      <c r="R220" s="56"/>
      <c r="S220" s="56"/>
      <c r="T220" s="56"/>
      <c r="U220" s="56"/>
      <c r="V220" s="56"/>
      <c r="W220" s="56"/>
      <c r="X220" s="56"/>
      <c r="Y220" s="56"/>
      <c r="Z220" s="56"/>
      <c r="AA220" s="56"/>
      <c r="AB220" s="56"/>
      <c r="AC220" s="15"/>
    </row>
    <row r="221" spans="3:29" ht="12.75">
      <c r="C221" s="23"/>
      <c r="I221" s="23"/>
      <c r="L221" s="56"/>
      <c r="M221" s="56"/>
      <c r="N221" s="56"/>
      <c r="O221" s="56"/>
      <c r="P221" s="56"/>
      <c r="Q221" s="56"/>
      <c r="R221" s="56"/>
      <c r="S221" s="56"/>
      <c r="T221" s="56"/>
      <c r="U221" s="56"/>
      <c r="V221" s="56"/>
      <c r="W221" s="56"/>
      <c r="X221" s="56"/>
      <c r="Y221" s="56"/>
      <c r="Z221" s="56"/>
      <c r="AA221" s="56"/>
      <c r="AB221" s="56"/>
      <c r="AC221" s="15"/>
    </row>
    <row r="222" spans="3:29" ht="12.75">
      <c r="C222" s="23"/>
      <c r="I222" s="23"/>
      <c r="L222" s="56"/>
      <c r="M222" s="56"/>
      <c r="N222" s="56"/>
      <c r="O222" s="56"/>
      <c r="P222" s="56"/>
      <c r="Q222" s="56"/>
      <c r="R222" s="56"/>
      <c r="S222" s="56"/>
      <c r="T222" s="56"/>
      <c r="U222" s="56"/>
      <c r="V222" s="56"/>
      <c r="W222" s="56"/>
      <c r="X222" s="56"/>
      <c r="Y222" s="56"/>
      <c r="Z222" s="56"/>
      <c r="AA222" s="56"/>
      <c r="AB222" s="56"/>
      <c r="AC222" s="15"/>
    </row>
    <row r="223" spans="3:29" ht="12.75">
      <c r="C223" s="23"/>
      <c r="I223" s="23"/>
      <c r="L223" s="56"/>
      <c r="M223" s="56"/>
      <c r="N223" s="56"/>
      <c r="O223" s="56"/>
      <c r="P223" s="56"/>
      <c r="Q223" s="56"/>
      <c r="R223" s="56"/>
      <c r="S223" s="56"/>
      <c r="T223" s="56"/>
      <c r="U223" s="56"/>
      <c r="V223" s="56"/>
      <c r="W223" s="56"/>
      <c r="X223" s="56"/>
      <c r="Y223" s="56"/>
      <c r="Z223" s="56"/>
      <c r="AA223" s="56"/>
      <c r="AB223" s="56"/>
      <c r="AC223" s="15"/>
    </row>
    <row r="224" spans="3:29" ht="12.75">
      <c r="C224" s="23"/>
      <c r="I224" s="23"/>
      <c r="L224" s="56"/>
      <c r="M224" s="56"/>
      <c r="N224" s="56"/>
      <c r="O224" s="56"/>
      <c r="P224" s="56"/>
      <c r="Q224" s="56"/>
      <c r="R224" s="56"/>
      <c r="S224" s="56"/>
      <c r="T224" s="56"/>
      <c r="U224" s="56"/>
      <c r="V224" s="56"/>
      <c r="W224" s="56"/>
      <c r="X224" s="56"/>
      <c r="Y224" s="56"/>
      <c r="Z224" s="56"/>
      <c r="AA224" s="56"/>
      <c r="AB224" s="56"/>
      <c r="AC224" s="15"/>
    </row>
    <row r="225" spans="3:29" ht="12.75">
      <c r="C225" s="23"/>
      <c r="I225" s="23"/>
      <c r="L225" s="56"/>
      <c r="M225" s="56"/>
      <c r="N225" s="56"/>
      <c r="O225" s="56"/>
      <c r="P225" s="56"/>
      <c r="Q225" s="56"/>
      <c r="R225" s="56"/>
      <c r="S225" s="56"/>
      <c r="T225" s="56"/>
      <c r="U225" s="56"/>
      <c r="V225" s="56"/>
      <c r="W225" s="56"/>
      <c r="X225" s="56"/>
      <c r="Y225" s="56"/>
      <c r="Z225" s="56"/>
      <c r="AA225" s="56"/>
      <c r="AB225" s="56"/>
      <c r="AC225" s="15"/>
    </row>
    <row r="226" spans="3:29" ht="12.75">
      <c r="C226" s="23"/>
      <c r="I226" s="23"/>
      <c r="L226" s="56"/>
      <c r="M226" s="56"/>
      <c r="N226" s="56"/>
      <c r="O226" s="56"/>
      <c r="P226" s="56"/>
      <c r="Q226" s="56"/>
      <c r="R226" s="56"/>
      <c r="S226" s="56"/>
      <c r="T226" s="56"/>
      <c r="U226" s="56"/>
      <c r="V226" s="56"/>
      <c r="W226" s="56"/>
      <c r="X226" s="56"/>
      <c r="Y226" s="56"/>
      <c r="Z226" s="56"/>
      <c r="AA226" s="56"/>
      <c r="AB226" s="56"/>
      <c r="AC226" s="15"/>
    </row>
    <row r="227" spans="3:29" ht="12.75">
      <c r="C227" s="23"/>
      <c r="I227" s="23"/>
      <c r="L227" s="56"/>
      <c r="M227" s="56"/>
      <c r="N227" s="56"/>
      <c r="O227" s="56"/>
      <c r="P227" s="56"/>
      <c r="Q227" s="56"/>
      <c r="R227" s="56"/>
      <c r="S227" s="56"/>
      <c r="T227" s="56"/>
      <c r="U227" s="56"/>
      <c r="V227" s="56"/>
      <c r="W227" s="56"/>
      <c r="X227" s="56"/>
      <c r="Y227" s="56"/>
      <c r="Z227" s="56"/>
      <c r="AA227" s="56"/>
      <c r="AB227" s="56"/>
      <c r="AC227" s="15"/>
    </row>
    <row r="228" spans="3:29" ht="12.75">
      <c r="C228" s="23"/>
      <c r="I228" s="23"/>
      <c r="L228" s="56"/>
      <c r="M228" s="56"/>
      <c r="N228" s="56"/>
      <c r="O228" s="56"/>
      <c r="P228" s="56"/>
      <c r="Q228" s="56"/>
      <c r="R228" s="56"/>
      <c r="S228" s="56"/>
      <c r="T228" s="56"/>
      <c r="U228" s="56"/>
      <c r="V228" s="56"/>
      <c r="W228" s="56"/>
      <c r="X228" s="56"/>
      <c r="Y228" s="56"/>
      <c r="Z228" s="56"/>
      <c r="AA228" s="56"/>
      <c r="AB228" s="56"/>
      <c r="AC228" s="15"/>
    </row>
    <row r="229" spans="3:29" ht="12.75">
      <c r="C229" s="23"/>
      <c r="I229" s="23"/>
      <c r="L229" s="56"/>
      <c r="M229" s="56"/>
      <c r="N229" s="56"/>
      <c r="O229" s="56"/>
      <c r="P229" s="56"/>
      <c r="Q229" s="56"/>
      <c r="R229" s="56"/>
      <c r="S229" s="56"/>
      <c r="T229" s="56"/>
      <c r="U229" s="56"/>
      <c r="V229" s="56"/>
      <c r="W229" s="56"/>
      <c r="X229" s="56"/>
      <c r="Y229" s="56"/>
      <c r="Z229" s="56"/>
      <c r="AA229" s="56"/>
      <c r="AB229" s="56"/>
      <c r="AC229" s="15"/>
    </row>
    <row r="230" spans="3:29" ht="12.75">
      <c r="C230" s="23"/>
      <c r="I230" s="23"/>
      <c r="L230" s="56"/>
      <c r="M230" s="56"/>
      <c r="N230" s="56"/>
      <c r="O230" s="56"/>
      <c r="P230" s="56"/>
      <c r="Q230" s="56"/>
      <c r="R230" s="56"/>
      <c r="S230" s="56"/>
      <c r="T230" s="56"/>
      <c r="U230" s="56"/>
      <c r="V230" s="56"/>
      <c r="W230" s="56"/>
      <c r="X230" s="56"/>
      <c r="Y230" s="56"/>
      <c r="Z230" s="56"/>
      <c r="AA230" s="56"/>
      <c r="AB230" s="56"/>
      <c r="AC230" s="15"/>
    </row>
    <row r="231" spans="3:29" ht="12.75">
      <c r="C231" s="23"/>
      <c r="I231" s="23"/>
      <c r="L231" s="56"/>
      <c r="M231" s="56"/>
      <c r="N231" s="56"/>
      <c r="O231" s="56"/>
      <c r="P231" s="56"/>
      <c r="Q231" s="56"/>
      <c r="R231" s="56"/>
      <c r="S231" s="56"/>
      <c r="T231" s="56"/>
      <c r="U231" s="56"/>
      <c r="V231" s="56"/>
      <c r="W231" s="56"/>
      <c r="X231" s="56"/>
      <c r="Y231" s="56"/>
      <c r="Z231" s="56"/>
      <c r="AA231" s="56"/>
      <c r="AB231" s="56"/>
      <c r="AC231" s="15"/>
    </row>
    <row r="232" spans="3:29" ht="12.75">
      <c r="C232" s="23"/>
      <c r="I232" s="23"/>
      <c r="L232" s="56"/>
      <c r="M232" s="56"/>
      <c r="N232" s="56"/>
      <c r="O232" s="56"/>
      <c r="P232" s="56"/>
      <c r="Q232" s="56"/>
      <c r="R232" s="56"/>
      <c r="S232" s="56"/>
      <c r="T232" s="56"/>
      <c r="U232" s="56"/>
      <c r="V232" s="56"/>
      <c r="W232" s="56"/>
      <c r="X232" s="56"/>
      <c r="Y232" s="56"/>
      <c r="Z232" s="56"/>
      <c r="AA232" s="56"/>
      <c r="AB232" s="56"/>
      <c r="AC232" s="15"/>
    </row>
    <row r="233" spans="3:29" ht="12.75">
      <c r="C233" s="23"/>
      <c r="I233" s="23"/>
      <c r="L233" s="56"/>
      <c r="M233" s="56"/>
      <c r="N233" s="56"/>
      <c r="O233" s="56"/>
      <c r="P233" s="56"/>
      <c r="Q233" s="56"/>
      <c r="R233" s="56"/>
      <c r="S233" s="56"/>
      <c r="T233" s="56"/>
      <c r="U233" s="56"/>
      <c r="V233" s="56"/>
      <c r="W233" s="56"/>
      <c r="X233" s="56"/>
      <c r="Y233" s="56"/>
      <c r="Z233" s="56"/>
      <c r="AA233" s="56"/>
      <c r="AB233" s="56"/>
      <c r="AC233" s="15"/>
    </row>
    <row r="234" spans="3:29" ht="12.75">
      <c r="C234" s="23"/>
      <c r="I234" s="23"/>
      <c r="L234" s="56"/>
      <c r="M234" s="56"/>
      <c r="N234" s="56"/>
      <c r="O234" s="56"/>
      <c r="P234" s="56"/>
      <c r="Q234" s="56"/>
      <c r="R234" s="56"/>
      <c r="S234" s="56"/>
      <c r="T234" s="56"/>
      <c r="U234" s="56"/>
      <c r="V234" s="56"/>
      <c r="W234" s="56"/>
      <c r="X234" s="56"/>
      <c r="Y234" s="56"/>
      <c r="Z234" s="56"/>
      <c r="AA234" s="56"/>
      <c r="AB234" s="56"/>
      <c r="AC234" s="15"/>
    </row>
    <row r="235" spans="3:29" ht="12.75">
      <c r="C235" s="23"/>
      <c r="I235" s="23"/>
      <c r="L235" s="56"/>
      <c r="M235" s="56"/>
      <c r="N235" s="56"/>
      <c r="O235" s="56"/>
      <c r="P235" s="56"/>
      <c r="Q235" s="56"/>
      <c r="R235" s="56"/>
      <c r="S235" s="56"/>
      <c r="T235" s="56"/>
      <c r="U235" s="56"/>
      <c r="V235" s="56"/>
      <c r="W235" s="56"/>
      <c r="X235" s="56"/>
      <c r="Y235" s="56"/>
      <c r="Z235" s="56"/>
      <c r="AA235" s="56"/>
      <c r="AB235" s="56"/>
      <c r="AC235" s="15"/>
    </row>
    <row r="236" spans="3:29" ht="12.75">
      <c r="C236" s="23"/>
      <c r="I236" s="23"/>
      <c r="L236" s="56"/>
      <c r="M236" s="56"/>
      <c r="N236" s="56"/>
      <c r="O236" s="56"/>
      <c r="P236" s="56"/>
      <c r="Q236" s="56"/>
      <c r="R236" s="56"/>
      <c r="S236" s="56"/>
      <c r="T236" s="56"/>
      <c r="U236" s="56"/>
      <c r="V236" s="56"/>
      <c r="W236" s="56"/>
      <c r="X236" s="56"/>
      <c r="Y236" s="56"/>
      <c r="Z236" s="56"/>
      <c r="AA236" s="56"/>
      <c r="AB236" s="56"/>
      <c r="AC236" s="15"/>
    </row>
    <row r="237" spans="3:29" ht="12.75">
      <c r="C237" s="23"/>
      <c r="I237" s="23"/>
      <c r="L237" s="56"/>
      <c r="M237" s="56"/>
      <c r="N237" s="56"/>
      <c r="O237" s="56"/>
      <c r="P237" s="56"/>
      <c r="Q237" s="56"/>
      <c r="R237" s="56"/>
      <c r="S237" s="56"/>
      <c r="T237" s="56"/>
      <c r="U237" s="56"/>
      <c r="V237" s="56"/>
      <c r="W237" s="56"/>
      <c r="X237" s="56"/>
      <c r="Y237" s="56"/>
      <c r="Z237" s="56"/>
      <c r="AA237" s="56"/>
      <c r="AB237" s="56"/>
      <c r="AC237" s="15"/>
    </row>
    <row r="238" spans="3:29" ht="12.75">
      <c r="C238" s="23"/>
      <c r="I238" s="23"/>
      <c r="L238" s="56"/>
      <c r="M238" s="56"/>
      <c r="N238" s="56"/>
      <c r="O238" s="56"/>
      <c r="P238" s="56"/>
      <c r="Q238" s="56"/>
      <c r="R238" s="56"/>
      <c r="S238" s="56"/>
      <c r="T238" s="56"/>
      <c r="U238" s="56"/>
      <c r="V238" s="56"/>
      <c r="W238" s="56"/>
      <c r="X238" s="56"/>
      <c r="Y238" s="56"/>
      <c r="Z238" s="56"/>
      <c r="AA238" s="56"/>
      <c r="AB238" s="56"/>
      <c r="AC238" s="15"/>
    </row>
    <row r="239" spans="3:29" ht="12.75">
      <c r="C239" s="23"/>
      <c r="I239" s="23"/>
      <c r="L239" s="56"/>
      <c r="M239" s="56"/>
      <c r="N239" s="56"/>
      <c r="O239" s="56"/>
      <c r="P239" s="56"/>
      <c r="Q239" s="56"/>
      <c r="R239" s="56"/>
      <c r="S239" s="56"/>
      <c r="T239" s="56"/>
      <c r="U239" s="56"/>
      <c r="V239" s="56"/>
      <c r="W239" s="56"/>
      <c r="X239" s="56"/>
      <c r="Y239" s="56"/>
      <c r="Z239" s="56"/>
      <c r="AA239" s="56"/>
      <c r="AB239" s="56"/>
      <c r="AC239" s="15"/>
    </row>
    <row r="240" spans="3:29" ht="12.75">
      <c r="C240" s="23"/>
      <c r="I240" s="23"/>
      <c r="L240" s="56"/>
      <c r="M240" s="56"/>
      <c r="N240" s="56"/>
      <c r="O240" s="56"/>
      <c r="P240" s="56"/>
      <c r="Q240" s="56"/>
      <c r="R240" s="56"/>
      <c r="S240" s="56"/>
      <c r="T240" s="56"/>
      <c r="U240" s="56"/>
      <c r="V240" s="56"/>
      <c r="W240" s="56"/>
      <c r="X240" s="56"/>
      <c r="Y240" s="56"/>
      <c r="Z240" s="56"/>
      <c r="AA240" s="56"/>
      <c r="AB240" s="56"/>
      <c r="AC240" s="15"/>
    </row>
    <row r="241" spans="3:29" ht="12.75">
      <c r="C241" s="23"/>
      <c r="I241" s="23"/>
      <c r="L241" s="56"/>
      <c r="M241" s="56"/>
      <c r="N241" s="56"/>
      <c r="O241" s="56"/>
      <c r="P241" s="56"/>
      <c r="Q241" s="56"/>
      <c r="R241" s="56"/>
      <c r="S241" s="56"/>
      <c r="T241" s="56"/>
      <c r="U241" s="56"/>
      <c r="V241" s="56"/>
      <c r="W241" s="56"/>
      <c r="X241" s="56"/>
      <c r="Y241" s="56"/>
      <c r="Z241" s="56"/>
      <c r="AA241" s="56"/>
      <c r="AB241" s="56"/>
      <c r="AC241" s="15"/>
    </row>
    <row r="242" spans="3:29" ht="12.75">
      <c r="C242" s="23"/>
      <c r="I242" s="23"/>
      <c r="L242" s="56"/>
      <c r="M242" s="56"/>
      <c r="N242" s="56"/>
      <c r="O242" s="56"/>
      <c r="P242" s="56"/>
      <c r="Q242" s="56"/>
      <c r="R242" s="56"/>
      <c r="S242" s="56"/>
      <c r="T242" s="56"/>
      <c r="U242" s="56"/>
      <c r="V242" s="56"/>
      <c r="W242" s="56"/>
      <c r="X242" s="56"/>
      <c r="Y242" s="56"/>
      <c r="Z242" s="56"/>
      <c r="AA242" s="56"/>
      <c r="AB242" s="56"/>
      <c r="AC242" s="15"/>
    </row>
    <row r="243" spans="3:29" ht="12.75">
      <c r="C243" s="23"/>
      <c r="I243" s="23"/>
      <c r="L243" s="56"/>
      <c r="M243" s="56"/>
      <c r="N243" s="56"/>
      <c r="O243" s="56"/>
      <c r="P243" s="56"/>
      <c r="Q243" s="56"/>
      <c r="R243" s="56"/>
      <c r="S243" s="56"/>
      <c r="T243" s="56"/>
      <c r="U243" s="56"/>
      <c r="V243" s="56"/>
      <c r="W243" s="56"/>
      <c r="X243" s="56"/>
      <c r="Y243" s="56"/>
      <c r="Z243" s="56"/>
      <c r="AA243" s="56"/>
      <c r="AB243" s="56"/>
      <c r="AC243" s="15"/>
    </row>
    <row r="244" spans="3:29" ht="12.75">
      <c r="C244" s="23"/>
      <c r="I244" s="23"/>
      <c r="L244" s="56"/>
      <c r="M244" s="56"/>
      <c r="N244" s="56"/>
      <c r="O244" s="56"/>
      <c r="P244" s="56"/>
      <c r="Q244" s="56"/>
      <c r="R244" s="56"/>
      <c r="S244" s="56"/>
      <c r="T244" s="56"/>
      <c r="U244" s="56"/>
      <c r="V244" s="56"/>
      <c r="W244" s="56"/>
      <c r="X244" s="56"/>
      <c r="Y244" s="56"/>
      <c r="Z244" s="56"/>
      <c r="AA244" s="56"/>
      <c r="AB244" s="56"/>
      <c r="AC244" s="15"/>
    </row>
    <row r="245" spans="3:29" ht="12.75">
      <c r="C245" s="23"/>
      <c r="I245" s="23"/>
      <c r="L245" s="56"/>
      <c r="M245" s="56"/>
      <c r="N245" s="56"/>
      <c r="O245" s="56"/>
      <c r="P245" s="56"/>
      <c r="Q245" s="56"/>
      <c r="R245" s="56"/>
      <c r="S245" s="56"/>
      <c r="T245" s="56"/>
      <c r="U245" s="56"/>
      <c r="V245" s="56"/>
      <c r="W245" s="56"/>
      <c r="X245" s="56"/>
      <c r="Y245" s="56"/>
      <c r="Z245" s="56"/>
      <c r="AA245" s="56"/>
      <c r="AB245" s="56"/>
      <c r="AC245" s="15"/>
    </row>
    <row r="246" spans="3:29" ht="12.75">
      <c r="C246" s="23"/>
      <c r="I246" s="23"/>
      <c r="L246" s="56"/>
      <c r="M246" s="56"/>
      <c r="N246" s="56"/>
      <c r="O246" s="56"/>
      <c r="P246" s="56"/>
      <c r="Q246" s="56"/>
      <c r="R246" s="56"/>
      <c r="S246" s="56"/>
      <c r="T246" s="56"/>
      <c r="U246" s="56"/>
      <c r="V246" s="56"/>
      <c r="W246" s="56"/>
      <c r="X246" s="56"/>
      <c r="Y246" s="56"/>
      <c r="Z246" s="56"/>
      <c r="AA246" s="56"/>
      <c r="AB246" s="56"/>
      <c r="AC246" s="15"/>
    </row>
    <row r="247" spans="3:29" ht="12.75">
      <c r="C247" s="23"/>
      <c r="I247" s="23"/>
      <c r="L247" s="56"/>
      <c r="M247" s="56"/>
      <c r="N247" s="56"/>
      <c r="O247" s="56"/>
      <c r="P247" s="56"/>
      <c r="Q247" s="56"/>
      <c r="R247" s="56"/>
      <c r="S247" s="56"/>
      <c r="T247" s="56"/>
      <c r="U247" s="56"/>
      <c r="V247" s="56"/>
      <c r="W247" s="56"/>
      <c r="X247" s="56"/>
      <c r="Y247" s="56"/>
      <c r="Z247" s="56"/>
      <c r="AA247" s="56"/>
      <c r="AB247" s="56"/>
      <c r="AC247" s="15"/>
    </row>
    <row r="248" spans="3:29" ht="12.75">
      <c r="C248" s="23"/>
      <c r="I248" s="23"/>
      <c r="L248" s="56"/>
      <c r="M248" s="56"/>
      <c r="N248" s="56"/>
      <c r="O248" s="56"/>
      <c r="P248" s="56"/>
      <c r="Q248" s="56"/>
      <c r="R248" s="56"/>
      <c r="S248" s="56"/>
      <c r="T248" s="56"/>
      <c r="U248" s="56"/>
      <c r="V248" s="56"/>
      <c r="W248" s="56"/>
      <c r="X248" s="56"/>
      <c r="Y248" s="56"/>
      <c r="Z248" s="56"/>
      <c r="AA248" s="56"/>
      <c r="AB248" s="56"/>
      <c r="AC248" s="15"/>
    </row>
    <row r="249" spans="3:29" ht="12.75">
      <c r="C249" s="23"/>
      <c r="I249" s="23"/>
      <c r="L249" s="56"/>
      <c r="M249" s="56"/>
      <c r="N249" s="56"/>
      <c r="O249" s="56"/>
      <c r="P249" s="56"/>
      <c r="Q249" s="56"/>
      <c r="R249" s="56"/>
      <c r="S249" s="56"/>
      <c r="T249" s="56"/>
      <c r="U249" s="56"/>
      <c r="V249" s="56"/>
      <c r="W249" s="56"/>
      <c r="X249" s="56"/>
      <c r="Y249" s="56"/>
      <c r="Z249" s="56"/>
      <c r="AA249" s="56"/>
      <c r="AB249" s="56"/>
      <c r="AC249" s="15"/>
    </row>
    <row r="250" spans="3:29" ht="12.75">
      <c r="C250" s="23"/>
      <c r="I250" s="23"/>
      <c r="L250" s="56"/>
      <c r="M250" s="56"/>
      <c r="N250" s="56"/>
      <c r="O250" s="56"/>
      <c r="P250" s="56"/>
      <c r="Q250" s="56"/>
      <c r="R250" s="56"/>
      <c r="S250" s="56"/>
      <c r="T250" s="56"/>
      <c r="U250" s="56"/>
      <c r="V250" s="56"/>
      <c r="W250" s="56"/>
      <c r="X250" s="56"/>
      <c r="Y250" s="56"/>
      <c r="Z250" s="56"/>
      <c r="AA250" s="56"/>
      <c r="AB250" s="56"/>
      <c r="AC250" s="15"/>
    </row>
    <row r="251" spans="3:29" ht="12.75">
      <c r="C251" s="23"/>
      <c r="I251" s="23"/>
      <c r="L251" s="56"/>
      <c r="M251" s="56"/>
      <c r="N251" s="56"/>
      <c r="O251" s="56"/>
      <c r="P251" s="56"/>
      <c r="Q251" s="56"/>
      <c r="R251" s="56"/>
      <c r="S251" s="56"/>
      <c r="T251" s="56"/>
      <c r="U251" s="56"/>
      <c r="V251" s="56"/>
      <c r="W251" s="56"/>
      <c r="X251" s="56"/>
      <c r="Y251" s="56"/>
      <c r="Z251" s="56"/>
      <c r="AA251" s="56"/>
      <c r="AB251" s="56"/>
      <c r="AC251" s="15"/>
    </row>
    <row r="252" spans="3:29" ht="12.75">
      <c r="C252" s="23"/>
      <c r="I252" s="23"/>
      <c r="L252" s="56"/>
      <c r="M252" s="56"/>
      <c r="N252" s="56"/>
      <c r="O252" s="56"/>
      <c r="P252" s="56"/>
      <c r="Q252" s="56"/>
      <c r="R252" s="56"/>
      <c r="S252" s="56"/>
      <c r="T252" s="56"/>
      <c r="U252" s="56"/>
      <c r="V252" s="56"/>
      <c r="W252" s="56"/>
      <c r="X252" s="56"/>
      <c r="Y252" s="56"/>
      <c r="Z252" s="56"/>
      <c r="AA252" s="56"/>
      <c r="AB252" s="56"/>
      <c r="AC252" s="15"/>
    </row>
    <row r="253" spans="3:29" ht="12.75">
      <c r="C253" s="23"/>
      <c r="I253" s="23"/>
      <c r="L253" s="56"/>
      <c r="M253" s="56"/>
      <c r="N253" s="56"/>
      <c r="O253" s="56"/>
      <c r="P253" s="56"/>
      <c r="Q253" s="56"/>
      <c r="R253" s="56"/>
      <c r="S253" s="56"/>
      <c r="T253" s="56"/>
      <c r="U253" s="56"/>
      <c r="V253" s="56"/>
      <c r="W253" s="56"/>
      <c r="X253" s="56"/>
      <c r="Y253" s="56"/>
      <c r="Z253" s="56"/>
      <c r="AA253" s="56"/>
      <c r="AB253" s="56"/>
      <c r="AC253" s="15"/>
    </row>
    <row r="254" spans="3:29" ht="12.75">
      <c r="C254" s="23"/>
      <c r="I254" s="23"/>
      <c r="L254" s="56"/>
      <c r="M254" s="56"/>
      <c r="N254" s="56"/>
      <c r="O254" s="56"/>
      <c r="P254" s="56"/>
      <c r="Q254" s="56"/>
      <c r="R254" s="56"/>
      <c r="S254" s="56"/>
      <c r="T254" s="56"/>
      <c r="U254" s="56"/>
      <c r="V254" s="56"/>
      <c r="W254" s="56"/>
      <c r="X254" s="56"/>
      <c r="Y254" s="56"/>
      <c r="Z254" s="56"/>
      <c r="AA254" s="56"/>
      <c r="AB254" s="56"/>
      <c r="AC254" s="15"/>
    </row>
    <row r="255" spans="3:29" ht="12.75">
      <c r="C255" s="23"/>
      <c r="I255" s="23"/>
      <c r="L255" s="56"/>
      <c r="M255" s="56"/>
      <c r="N255" s="56"/>
      <c r="O255" s="56"/>
      <c r="P255" s="56"/>
      <c r="Q255" s="56"/>
      <c r="R255" s="56"/>
      <c r="S255" s="56"/>
      <c r="T255" s="56"/>
      <c r="U255" s="56"/>
      <c r="V255" s="56"/>
      <c r="W255" s="56"/>
      <c r="X255" s="56"/>
      <c r="Y255" s="56"/>
      <c r="Z255" s="56"/>
      <c r="AA255" s="56"/>
      <c r="AB255" s="56"/>
      <c r="AC255" s="15"/>
    </row>
    <row r="256" spans="3:29" ht="12.75">
      <c r="C256" s="23"/>
      <c r="I256" s="23"/>
      <c r="L256" s="56"/>
      <c r="M256" s="56"/>
      <c r="N256" s="56"/>
      <c r="O256" s="56"/>
      <c r="P256" s="56"/>
      <c r="Q256" s="56"/>
      <c r="R256" s="56"/>
      <c r="S256" s="56"/>
      <c r="T256" s="56"/>
      <c r="U256" s="56"/>
      <c r="V256" s="56"/>
      <c r="W256" s="56"/>
      <c r="X256" s="56"/>
      <c r="Y256" s="56"/>
      <c r="Z256" s="56"/>
      <c r="AA256" s="56"/>
      <c r="AB256" s="56"/>
      <c r="AC256" s="15"/>
    </row>
    <row r="257" spans="3:29" ht="12.75">
      <c r="C257" s="23"/>
      <c r="I257" s="23"/>
      <c r="L257" s="56"/>
      <c r="M257" s="56"/>
      <c r="N257" s="56"/>
      <c r="O257" s="56"/>
      <c r="P257" s="56"/>
      <c r="Q257" s="56"/>
      <c r="R257" s="56"/>
      <c r="S257" s="56"/>
      <c r="T257" s="56"/>
      <c r="U257" s="56"/>
      <c r="V257" s="56"/>
      <c r="W257" s="56"/>
      <c r="X257" s="56"/>
      <c r="Y257" s="56"/>
      <c r="Z257" s="56"/>
      <c r="AA257" s="56"/>
      <c r="AB257" s="56"/>
      <c r="AC257" s="15"/>
    </row>
    <row r="258" spans="3:29" ht="12.75">
      <c r="C258" s="23"/>
      <c r="I258" s="23"/>
      <c r="L258" s="56"/>
      <c r="M258" s="56"/>
      <c r="N258" s="56"/>
      <c r="O258" s="56"/>
      <c r="P258" s="56"/>
      <c r="Q258" s="56"/>
      <c r="R258" s="56"/>
      <c r="S258" s="56"/>
      <c r="T258" s="56"/>
      <c r="U258" s="56"/>
      <c r="V258" s="56"/>
      <c r="W258" s="56"/>
      <c r="X258" s="56"/>
      <c r="Y258" s="56"/>
      <c r="Z258" s="56"/>
      <c r="AA258" s="56"/>
      <c r="AB258" s="56"/>
      <c r="AC258" s="15"/>
    </row>
    <row r="259" spans="3:29" ht="12.75">
      <c r="C259" s="23"/>
      <c r="I259" s="23"/>
      <c r="L259" s="56"/>
      <c r="M259" s="56"/>
      <c r="N259" s="56"/>
      <c r="O259" s="56"/>
      <c r="P259" s="56"/>
      <c r="Q259" s="56"/>
      <c r="R259" s="56"/>
      <c r="S259" s="56"/>
      <c r="T259" s="56"/>
      <c r="U259" s="56"/>
      <c r="V259" s="56"/>
      <c r="W259" s="56"/>
      <c r="X259" s="56"/>
      <c r="Y259" s="56"/>
      <c r="Z259" s="56"/>
      <c r="AA259" s="56"/>
      <c r="AB259" s="56"/>
      <c r="AC259" s="15"/>
    </row>
    <row r="260" spans="3:29" ht="12.75">
      <c r="C260" s="23"/>
      <c r="I260" s="23"/>
      <c r="L260" s="56"/>
      <c r="M260" s="56"/>
      <c r="N260" s="56"/>
      <c r="O260" s="56"/>
      <c r="P260" s="56"/>
      <c r="Q260" s="56"/>
      <c r="R260" s="56"/>
      <c r="S260" s="56"/>
      <c r="T260" s="56"/>
      <c r="U260" s="56"/>
      <c r="V260" s="56"/>
      <c r="W260" s="56"/>
      <c r="X260" s="56"/>
      <c r="Y260" s="56"/>
      <c r="Z260" s="56"/>
      <c r="AA260" s="56"/>
      <c r="AB260" s="56"/>
      <c r="AC260" s="15"/>
    </row>
    <row r="261" spans="3:29" ht="12.75">
      <c r="C261" s="23"/>
      <c r="I261" s="23"/>
      <c r="L261" s="56"/>
      <c r="M261" s="56"/>
      <c r="N261" s="56"/>
      <c r="O261" s="56"/>
      <c r="P261" s="56"/>
      <c r="Q261" s="56"/>
      <c r="R261" s="56"/>
      <c r="S261" s="56"/>
      <c r="T261" s="56"/>
      <c r="U261" s="56"/>
      <c r="V261" s="56"/>
      <c r="W261" s="56"/>
      <c r="X261" s="56"/>
      <c r="Y261" s="56"/>
      <c r="Z261" s="56"/>
      <c r="AA261" s="56"/>
      <c r="AB261" s="56"/>
      <c r="AC261" s="15"/>
    </row>
    <row r="262" spans="3:29" ht="12.75">
      <c r="C262" s="23"/>
      <c r="I262" s="23"/>
      <c r="L262" s="56"/>
      <c r="M262" s="56"/>
      <c r="N262" s="56"/>
      <c r="O262" s="56"/>
      <c r="P262" s="56"/>
      <c r="Q262" s="56"/>
      <c r="R262" s="56"/>
      <c r="S262" s="56"/>
      <c r="T262" s="56"/>
      <c r="U262" s="56"/>
      <c r="V262" s="56"/>
      <c r="W262" s="56"/>
      <c r="X262" s="56"/>
      <c r="Y262" s="56"/>
      <c r="Z262" s="56"/>
      <c r="AA262" s="56"/>
      <c r="AB262" s="56"/>
      <c r="AC262" s="15"/>
    </row>
    <row r="263" spans="3:29" ht="12.75">
      <c r="C263" s="23"/>
      <c r="I263" s="23"/>
      <c r="L263" s="56"/>
      <c r="M263" s="56"/>
      <c r="N263" s="56"/>
      <c r="O263" s="56"/>
      <c r="P263" s="56"/>
      <c r="Q263" s="56"/>
      <c r="R263" s="56"/>
      <c r="S263" s="56"/>
      <c r="T263" s="56"/>
      <c r="U263" s="56"/>
      <c r="V263" s="56"/>
      <c r="W263" s="56"/>
      <c r="X263" s="56"/>
      <c r="Y263" s="56"/>
      <c r="Z263" s="56"/>
      <c r="AA263" s="56"/>
      <c r="AB263" s="56"/>
      <c r="AC263" s="15"/>
    </row>
    <row r="264" spans="3:29" ht="12.75">
      <c r="C264" s="23"/>
      <c r="I264" s="23"/>
      <c r="L264" s="56"/>
      <c r="M264" s="56"/>
      <c r="N264" s="56"/>
      <c r="O264" s="56"/>
      <c r="P264" s="56"/>
      <c r="Q264" s="56"/>
      <c r="R264" s="56"/>
      <c r="S264" s="56"/>
      <c r="T264" s="56"/>
      <c r="U264" s="56"/>
      <c r="V264" s="56"/>
      <c r="W264" s="56"/>
      <c r="X264" s="56"/>
      <c r="Y264" s="56"/>
      <c r="Z264" s="56"/>
      <c r="AA264" s="56"/>
      <c r="AB264" s="56"/>
      <c r="AC264" s="15"/>
    </row>
    <row r="265" spans="3:29" ht="12.75">
      <c r="C265" s="23"/>
      <c r="I265" s="23"/>
      <c r="L265" s="56"/>
      <c r="M265" s="56"/>
      <c r="N265" s="56"/>
      <c r="O265" s="56"/>
      <c r="P265" s="56"/>
      <c r="Q265" s="56"/>
      <c r="R265" s="56"/>
      <c r="S265" s="56"/>
      <c r="T265" s="56"/>
      <c r="U265" s="56"/>
      <c r="V265" s="56"/>
      <c r="W265" s="56"/>
      <c r="X265" s="56"/>
      <c r="Y265" s="56"/>
      <c r="Z265" s="56"/>
      <c r="AA265" s="56"/>
      <c r="AB265" s="56"/>
      <c r="AC265" s="15"/>
    </row>
    <row r="266" spans="3:29" ht="12.75">
      <c r="C266" s="23"/>
      <c r="I266" s="23"/>
      <c r="L266" s="56"/>
      <c r="M266" s="56"/>
      <c r="N266" s="56"/>
      <c r="O266" s="56"/>
      <c r="P266" s="56"/>
      <c r="Q266" s="56"/>
      <c r="R266" s="56"/>
      <c r="S266" s="56"/>
      <c r="T266" s="56"/>
      <c r="U266" s="56"/>
      <c r="V266" s="56"/>
      <c r="W266" s="56"/>
      <c r="X266" s="56"/>
      <c r="Y266" s="56"/>
      <c r="Z266" s="56"/>
      <c r="AA266" s="56"/>
      <c r="AB266" s="56"/>
      <c r="AC266" s="15"/>
    </row>
    <row r="267" spans="3:29" ht="12.75">
      <c r="C267" s="23"/>
      <c r="I267" s="23"/>
      <c r="L267" s="56"/>
      <c r="M267" s="56"/>
      <c r="N267" s="56"/>
      <c r="O267" s="56"/>
      <c r="P267" s="56"/>
      <c r="Q267" s="56"/>
      <c r="R267" s="56"/>
      <c r="S267" s="56"/>
      <c r="T267" s="56"/>
      <c r="U267" s="56"/>
      <c r="V267" s="56"/>
      <c r="W267" s="56"/>
      <c r="X267" s="56"/>
      <c r="Y267" s="56"/>
      <c r="Z267" s="56"/>
      <c r="AA267" s="56"/>
      <c r="AB267" s="56"/>
      <c r="AC267" s="15"/>
    </row>
    <row r="268" spans="3:29" ht="12.75">
      <c r="C268" s="23"/>
      <c r="I268" s="23"/>
      <c r="L268" s="56"/>
      <c r="M268" s="56"/>
      <c r="N268" s="56"/>
      <c r="O268" s="56"/>
      <c r="P268" s="56"/>
      <c r="Q268" s="56"/>
      <c r="R268" s="56"/>
      <c r="S268" s="56"/>
      <c r="T268" s="56"/>
      <c r="U268" s="56"/>
      <c r="V268" s="56"/>
      <c r="W268" s="56"/>
      <c r="X268" s="56"/>
      <c r="Y268" s="56"/>
      <c r="Z268" s="56"/>
      <c r="AA268" s="56"/>
      <c r="AB268" s="56"/>
      <c r="AC268" s="15"/>
    </row>
    <row r="269" spans="3:29" ht="12.75">
      <c r="C269" s="23"/>
      <c r="I269" s="23"/>
      <c r="L269" s="56"/>
      <c r="M269" s="56"/>
      <c r="N269" s="56"/>
      <c r="O269" s="56"/>
      <c r="P269" s="56"/>
      <c r="Q269" s="56"/>
      <c r="R269" s="56"/>
      <c r="S269" s="56"/>
      <c r="T269" s="56"/>
      <c r="U269" s="56"/>
      <c r="V269" s="56"/>
      <c r="W269" s="56"/>
      <c r="X269" s="56"/>
      <c r="Y269" s="56"/>
      <c r="Z269" s="56"/>
      <c r="AA269" s="56"/>
      <c r="AB269" s="56"/>
      <c r="AC269" s="15"/>
    </row>
    <row r="270" spans="3:29" ht="12.75">
      <c r="C270" s="23"/>
      <c r="I270" s="23"/>
      <c r="L270" s="56"/>
      <c r="M270" s="56"/>
      <c r="N270" s="56"/>
      <c r="O270" s="56"/>
      <c r="P270" s="56"/>
      <c r="Q270" s="56"/>
      <c r="R270" s="56"/>
      <c r="S270" s="56"/>
      <c r="T270" s="56"/>
      <c r="U270" s="56"/>
      <c r="V270" s="56"/>
      <c r="W270" s="56"/>
      <c r="X270" s="56"/>
      <c r="Y270" s="56"/>
      <c r="Z270" s="56"/>
      <c r="AA270" s="56"/>
      <c r="AB270" s="56"/>
      <c r="AC270" s="15"/>
    </row>
    <row r="271" spans="3:29" ht="12.75">
      <c r="C271" s="23"/>
      <c r="I271" s="23"/>
      <c r="L271" s="56"/>
      <c r="M271" s="56"/>
      <c r="N271" s="56"/>
      <c r="O271" s="56"/>
      <c r="P271" s="56"/>
      <c r="Q271" s="56"/>
      <c r="R271" s="56"/>
      <c r="S271" s="56"/>
      <c r="T271" s="56"/>
      <c r="U271" s="56"/>
      <c r="V271" s="56"/>
      <c r="W271" s="56"/>
      <c r="X271" s="56"/>
      <c r="Y271" s="56"/>
      <c r="Z271" s="56"/>
      <c r="AA271" s="56"/>
      <c r="AB271" s="56"/>
      <c r="AC271" s="15"/>
    </row>
    <row r="272" spans="3:29" ht="12.75">
      <c r="C272" s="23"/>
      <c r="I272" s="23"/>
      <c r="L272" s="56"/>
      <c r="M272" s="56"/>
      <c r="N272" s="56"/>
      <c r="O272" s="56"/>
      <c r="P272" s="56"/>
      <c r="Q272" s="56"/>
      <c r="R272" s="56"/>
      <c r="S272" s="56"/>
      <c r="T272" s="56"/>
      <c r="U272" s="56"/>
      <c r="V272" s="56"/>
      <c r="W272" s="56"/>
      <c r="X272" s="56"/>
      <c r="Y272" s="56"/>
      <c r="Z272" s="56"/>
      <c r="AA272" s="56"/>
      <c r="AB272" s="56"/>
      <c r="AC272" s="15"/>
    </row>
    <row r="273" spans="3:29" ht="12.75">
      <c r="C273" s="23"/>
      <c r="I273" s="23"/>
      <c r="L273" s="56"/>
      <c r="M273" s="56"/>
      <c r="N273" s="56"/>
      <c r="O273" s="56"/>
      <c r="P273" s="56"/>
      <c r="Q273" s="56"/>
      <c r="R273" s="56"/>
      <c r="S273" s="56"/>
      <c r="T273" s="56"/>
      <c r="U273" s="56"/>
      <c r="V273" s="56"/>
      <c r="W273" s="56"/>
      <c r="X273" s="56"/>
      <c r="Y273" s="56"/>
      <c r="Z273" s="56"/>
      <c r="AA273" s="56"/>
      <c r="AB273" s="56"/>
      <c r="AC273" s="15"/>
    </row>
    <row r="274" spans="3:29" ht="12.75">
      <c r="C274" s="23"/>
      <c r="I274" s="23"/>
      <c r="L274" s="56"/>
      <c r="M274" s="56"/>
      <c r="N274" s="56"/>
      <c r="O274" s="56"/>
      <c r="P274" s="56"/>
      <c r="Q274" s="56"/>
      <c r="R274" s="56"/>
      <c r="S274" s="56"/>
      <c r="T274" s="56"/>
      <c r="U274" s="56"/>
      <c r="V274" s="56"/>
      <c r="W274" s="56"/>
      <c r="X274" s="56"/>
      <c r="Y274" s="56"/>
      <c r="Z274" s="56"/>
      <c r="AA274" s="56"/>
      <c r="AB274" s="56"/>
      <c r="AC274" s="15"/>
    </row>
    <row r="275" spans="3:29" ht="12.75">
      <c r="C275" s="23"/>
      <c r="I275" s="23"/>
      <c r="L275" s="56"/>
      <c r="M275" s="56"/>
      <c r="N275" s="56"/>
      <c r="O275" s="56"/>
      <c r="P275" s="56"/>
      <c r="Q275" s="56"/>
      <c r="R275" s="56"/>
      <c r="S275" s="56"/>
      <c r="T275" s="56"/>
      <c r="U275" s="56"/>
      <c r="V275" s="56"/>
      <c r="W275" s="56"/>
      <c r="X275" s="56"/>
      <c r="Y275" s="56"/>
      <c r="Z275" s="56"/>
      <c r="AA275" s="56"/>
      <c r="AB275" s="56"/>
      <c r="AC275" s="15"/>
    </row>
    <row r="276" spans="3:29" ht="12.75">
      <c r="C276" s="23"/>
      <c r="I276" s="23"/>
      <c r="L276" s="56"/>
      <c r="M276" s="56"/>
      <c r="N276" s="56"/>
      <c r="O276" s="56"/>
      <c r="P276" s="56"/>
      <c r="Q276" s="56"/>
      <c r="R276" s="56"/>
      <c r="S276" s="56"/>
      <c r="T276" s="56"/>
      <c r="U276" s="56"/>
      <c r="V276" s="56"/>
      <c r="W276" s="56"/>
      <c r="X276" s="56"/>
      <c r="Y276" s="56"/>
      <c r="Z276" s="56"/>
      <c r="AA276" s="56"/>
      <c r="AB276" s="56"/>
      <c r="AC276" s="15"/>
    </row>
    <row r="277" spans="3:29" ht="12.75">
      <c r="C277" s="23"/>
      <c r="I277" s="23"/>
      <c r="L277" s="56"/>
      <c r="M277" s="56"/>
      <c r="N277" s="56"/>
      <c r="O277" s="56"/>
      <c r="P277" s="56"/>
      <c r="Q277" s="56"/>
      <c r="R277" s="56"/>
      <c r="S277" s="56"/>
      <c r="T277" s="56"/>
      <c r="U277" s="56"/>
      <c r="V277" s="56"/>
      <c r="W277" s="56"/>
      <c r="X277" s="56"/>
      <c r="Y277" s="56"/>
      <c r="Z277" s="56"/>
      <c r="AA277" s="56"/>
      <c r="AB277" s="56"/>
      <c r="AC277" s="15"/>
    </row>
    <row r="278" spans="3:29" ht="12.75">
      <c r="C278" s="23"/>
      <c r="I278" s="23"/>
      <c r="L278" s="56"/>
      <c r="M278" s="56"/>
      <c r="N278" s="56"/>
      <c r="O278" s="56"/>
      <c r="P278" s="56"/>
      <c r="Q278" s="56"/>
      <c r="R278" s="56"/>
      <c r="S278" s="56"/>
      <c r="T278" s="56"/>
      <c r="U278" s="56"/>
      <c r="V278" s="56"/>
      <c r="W278" s="56"/>
      <c r="X278" s="56"/>
      <c r="Y278" s="56"/>
      <c r="Z278" s="56"/>
      <c r="AA278" s="56"/>
      <c r="AB278" s="56"/>
      <c r="AC278" s="15"/>
    </row>
    <row r="279" spans="3:29" ht="12.75">
      <c r="C279" s="23"/>
      <c r="I279" s="23"/>
      <c r="L279" s="56"/>
      <c r="M279" s="56"/>
      <c r="N279" s="56"/>
      <c r="O279" s="56"/>
      <c r="P279" s="56"/>
      <c r="Q279" s="56"/>
      <c r="R279" s="56"/>
      <c r="S279" s="56"/>
      <c r="T279" s="56"/>
      <c r="U279" s="56"/>
      <c r="V279" s="56"/>
      <c r="W279" s="56"/>
      <c r="X279" s="56"/>
      <c r="Y279" s="56"/>
      <c r="Z279" s="56"/>
      <c r="AA279" s="56"/>
      <c r="AB279" s="56"/>
      <c r="AC279" s="15"/>
    </row>
    <row r="280" spans="3:29" ht="12.75">
      <c r="C280" s="23"/>
      <c r="I280" s="23"/>
      <c r="L280" s="56"/>
      <c r="M280" s="56"/>
      <c r="N280" s="56"/>
      <c r="O280" s="56"/>
      <c r="P280" s="56"/>
      <c r="Q280" s="56"/>
      <c r="R280" s="56"/>
      <c r="S280" s="56"/>
      <c r="T280" s="56"/>
      <c r="U280" s="56"/>
      <c r="V280" s="56"/>
      <c r="W280" s="56"/>
      <c r="X280" s="56"/>
      <c r="Y280" s="56"/>
      <c r="Z280" s="56"/>
      <c r="AA280" s="56"/>
      <c r="AB280" s="56"/>
      <c r="AC280" s="15"/>
    </row>
    <row r="281" spans="3:29" ht="12.75">
      <c r="C281" s="23"/>
      <c r="I281" s="23"/>
      <c r="L281" s="56"/>
      <c r="M281" s="56"/>
      <c r="N281" s="56"/>
      <c r="O281" s="56"/>
      <c r="P281" s="56"/>
      <c r="Q281" s="56"/>
      <c r="R281" s="56"/>
      <c r="S281" s="56"/>
      <c r="T281" s="56"/>
      <c r="U281" s="56"/>
      <c r="V281" s="56"/>
      <c r="W281" s="56"/>
      <c r="X281" s="56"/>
      <c r="Y281" s="56"/>
      <c r="Z281" s="56"/>
      <c r="AA281" s="56"/>
      <c r="AB281" s="56"/>
      <c r="AC281" s="15"/>
    </row>
    <row r="282" spans="3:29" ht="12.75">
      <c r="C282" s="23"/>
      <c r="I282" s="23"/>
      <c r="L282" s="56"/>
      <c r="M282" s="56"/>
      <c r="N282" s="56"/>
      <c r="O282" s="56"/>
      <c r="P282" s="56"/>
      <c r="Q282" s="56"/>
      <c r="R282" s="56"/>
      <c r="S282" s="56"/>
      <c r="T282" s="56"/>
      <c r="U282" s="56"/>
      <c r="V282" s="56"/>
      <c r="W282" s="56"/>
      <c r="X282" s="56"/>
      <c r="Y282" s="56"/>
      <c r="Z282" s="56"/>
      <c r="AA282" s="56"/>
      <c r="AB282" s="56"/>
      <c r="AC282" s="15"/>
    </row>
    <row r="283" spans="3:29" ht="12.75">
      <c r="C283" s="23"/>
      <c r="I283" s="23"/>
      <c r="L283" s="56"/>
      <c r="M283" s="56"/>
      <c r="N283" s="56"/>
      <c r="O283" s="56"/>
      <c r="P283" s="56"/>
      <c r="Q283" s="56"/>
      <c r="R283" s="56"/>
      <c r="S283" s="56"/>
      <c r="T283" s="56"/>
      <c r="U283" s="56"/>
      <c r="V283" s="56"/>
      <c r="W283" s="56"/>
      <c r="X283" s="56"/>
      <c r="Y283" s="56"/>
      <c r="Z283" s="56"/>
      <c r="AA283" s="56"/>
      <c r="AB283" s="56"/>
      <c r="AC283" s="15"/>
    </row>
    <row r="284" spans="3:29" ht="12.75">
      <c r="C284" s="23"/>
      <c r="I284" s="23"/>
      <c r="L284" s="56"/>
      <c r="M284" s="56"/>
      <c r="N284" s="56"/>
      <c r="O284" s="56"/>
      <c r="P284" s="56"/>
      <c r="Q284" s="56"/>
      <c r="R284" s="56"/>
      <c r="S284" s="56"/>
      <c r="T284" s="56"/>
      <c r="U284" s="56"/>
      <c r="V284" s="56"/>
      <c r="W284" s="56"/>
      <c r="X284" s="56"/>
      <c r="Y284" s="56"/>
      <c r="Z284" s="56"/>
      <c r="AA284" s="56"/>
      <c r="AB284" s="56"/>
      <c r="AC284" s="15"/>
    </row>
    <row r="285" spans="3:29" ht="12.75">
      <c r="C285" s="23"/>
      <c r="I285" s="23"/>
      <c r="L285" s="56"/>
      <c r="M285" s="56"/>
      <c r="N285" s="56"/>
      <c r="O285" s="56"/>
      <c r="P285" s="56"/>
      <c r="Q285" s="56"/>
      <c r="R285" s="56"/>
      <c r="S285" s="56"/>
      <c r="T285" s="56"/>
      <c r="U285" s="56"/>
      <c r="V285" s="56"/>
      <c r="W285" s="56"/>
      <c r="X285" s="56"/>
      <c r="Y285" s="56"/>
      <c r="Z285" s="56"/>
      <c r="AA285" s="56"/>
      <c r="AB285" s="56"/>
      <c r="AC285" s="15"/>
    </row>
    <row r="286" spans="3:29" ht="12.75">
      <c r="C286" s="23"/>
      <c r="I286" s="23"/>
      <c r="L286" s="56"/>
      <c r="M286" s="56"/>
      <c r="N286" s="56"/>
      <c r="O286" s="56"/>
      <c r="P286" s="56"/>
      <c r="Q286" s="56"/>
      <c r="R286" s="56"/>
      <c r="S286" s="56"/>
      <c r="T286" s="56"/>
      <c r="U286" s="56"/>
      <c r="V286" s="56"/>
      <c r="W286" s="56"/>
      <c r="X286" s="56"/>
      <c r="Y286" s="56"/>
      <c r="Z286" s="56"/>
      <c r="AA286" s="56"/>
      <c r="AB286" s="56"/>
      <c r="AC286" s="15"/>
    </row>
    <row r="287" spans="3:29" ht="12.75">
      <c r="C287" s="23"/>
      <c r="I287" s="23"/>
      <c r="L287" s="56"/>
      <c r="M287" s="56"/>
      <c r="N287" s="56"/>
      <c r="O287" s="56"/>
      <c r="P287" s="56"/>
      <c r="Q287" s="56"/>
      <c r="R287" s="56"/>
      <c r="S287" s="56"/>
      <c r="T287" s="56"/>
      <c r="U287" s="56"/>
      <c r="V287" s="56"/>
      <c r="W287" s="56"/>
      <c r="X287" s="56"/>
      <c r="Y287" s="56"/>
      <c r="Z287" s="56"/>
      <c r="AA287" s="56"/>
      <c r="AB287" s="56"/>
      <c r="AC287" s="15"/>
    </row>
    <row r="288" spans="3:29" ht="12.75">
      <c r="C288" s="23"/>
      <c r="I288" s="23"/>
      <c r="L288" s="56"/>
      <c r="M288" s="56"/>
      <c r="N288" s="56"/>
      <c r="O288" s="56"/>
      <c r="P288" s="56"/>
      <c r="Q288" s="56"/>
      <c r="R288" s="56"/>
      <c r="S288" s="56"/>
      <c r="T288" s="56"/>
      <c r="U288" s="56"/>
      <c r="V288" s="56"/>
      <c r="W288" s="56"/>
      <c r="X288" s="56"/>
      <c r="Y288" s="56"/>
      <c r="Z288" s="56"/>
      <c r="AA288" s="56"/>
      <c r="AB288" s="56"/>
      <c r="AC288" s="15"/>
    </row>
    <row r="289" spans="3:29" ht="12.75">
      <c r="C289" s="23"/>
      <c r="I289" s="23"/>
      <c r="L289" s="56"/>
      <c r="M289" s="56"/>
      <c r="N289" s="56"/>
      <c r="O289" s="56"/>
      <c r="P289" s="56"/>
      <c r="Q289" s="56"/>
      <c r="R289" s="56"/>
      <c r="S289" s="56"/>
      <c r="T289" s="56"/>
      <c r="U289" s="56"/>
      <c r="V289" s="56"/>
      <c r="W289" s="56"/>
      <c r="X289" s="56"/>
      <c r="Y289" s="56"/>
      <c r="Z289" s="56"/>
      <c r="AA289" s="56"/>
      <c r="AB289" s="56"/>
      <c r="AC289" s="15"/>
    </row>
    <row r="290" spans="3:29" ht="12.75">
      <c r="C290" s="23"/>
      <c r="I290" s="23"/>
      <c r="L290" s="56"/>
      <c r="M290" s="56"/>
      <c r="N290" s="56"/>
      <c r="O290" s="56"/>
      <c r="P290" s="56"/>
      <c r="Q290" s="56"/>
      <c r="R290" s="56"/>
      <c r="S290" s="56"/>
      <c r="T290" s="56"/>
      <c r="U290" s="56"/>
      <c r="V290" s="56"/>
      <c r="W290" s="56"/>
      <c r="X290" s="56"/>
      <c r="Y290" s="56"/>
      <c r="Z290" s="56"/>
      <c r="AA290" s="56"/>
      <c r="AB290" s="56"/>
      <c r="AC290" s="15"/>
    </row>
    <row r="291" spans="3:29" ht="12.75">
      <c r="C291" s="23"/>
      <c r="I291" s="23"/>
      <c r="L291" s="56"/>
      <c r="M291" s="56"/>
      <c r="N291" s="56"/>
      <c r="O291" s="56"/>
      <c r="P291" s="56"/>
      <c r="Q291" s="56"/>
      <c r="R291" s="56"/>
      <c r="S291" s="56"/>
      <c r="T291" s="56"/>
      <c r="U291" s="56"/>
      <c r="V291" s="56"/>
      <c r="W291" s="56"/>
      <c r="X291" s="56"/>
      <c r="Y291" s="56"/>
      <c r="Z291" s="56"/>
      <c r="AA291" s="56"/>
      <c r="AB291" s="56"/>
      <c r="AC291" s="15"/>
    </row>
    <row r="292" spans="3:29" ht="12.75">
      <c r="C292" s="23"/>
      <c r="I292" s="23"/>
      <c r="L292" s="56"/>
      <c r="M292" s="56"/>
      <c r="N292" s="56"/>
      <c r="O292" s="56"/>
      <c r="P292" s="56"/>
      <c r="Q292" s="56"/>
      <c r="R292" s="56"/>
      <c r="S292" s="56"/>
      <c r="T292" s="56"/>
      <c r="U292" s="56"/>
      <c r="V292" s="56"/>
      <c r="W292" s="56"/>
      <c r="X292" s="56"/>
      <c r="Y292" s="56"/>
      <c r="Z292" s="56"/>
      <c r="AA292" s="56"/>
      <c r="AB292" s="56"/>
      <c r="AC292" s="15"/>
    </row>
    <row r="293" spans="3:29" ht="12.75">
      <c r="C293" s="23"/>
      <c r="I293" s="23"/>
      <c r="L293" s="56"/>
      <c r="M293" s="56"/>
      <c r="N293" s="56"/>
      <c r="O293" s="56"/>
      <c r="P293" s="56"/>
      <c r="Q293" s="56"/>
      <c r="R293" s="56"/>
      <c r="S293" s="56"/>
      <c r="T293" s="56"/>
      <c r="U293" s="56"/>
      <c r="V293" s="56"/>
      <c r="W293" s="56"/>
      <c r="X293" s="56"/>
      <c r="Y293" s="56"/>
      <c r="Z293" s="56"/>
      <c r="AA293" s="56"/>
      <c r="AB293" s="56"/>
      <c r="AC293" s="15"/>
    </row>
    <row r="294" spans="3:29" ht="12.75">
      <c r="C294" s="23"/>
      <c r="I294" s="23"/>
      <c r="L294" s="56"/>
      <c r="M294" s="56"/>
      <c r="N294" s="56"/>
      <c r="O294" s="56"/>
      <c r="P294" s="56"/>
      <c r="Q294" s="56"/>
      <c r="R294" s="56"/>
      <c r="S294" s="56"/>
      <c r="T294" s="56"/>
      <c r="U294" s="56"/>
      <c r="V294" s="56"/>
      <c r="W294" s="56"/>
      <c r="X294" s="56"/>
      <c r="Y294" s="56"/>
      <c r="Z294" s="56"/>
      <c r="AA294" s="56"/>
      <c r="AB294" s="56"/>
      <c r="AC294" s="15"/>
    </row>
    <row r="295" spans="3:29" ht="12.75">
      <c r="C295" s="23"/>
      <c r="I295" s="23"/>
      <c r="L295" s="56"/>
      <c r="M295" s="56"/>
      <c r="N295" s="56"/>
      <c r="O295" s="56"/>
      <c r="P295" s="56"/>
      <c r="Q295" s="56"/>
      <c r="R295" s="56"/>
      <c r="S295" s="56"/>
      <c r="T295" s="56"/>
      <c r="U295" s="56"/>
      <c r="V295" s="56"/>
      <c r="W295" s="56"/>
      <c r="X295" s="56"/>
      <c r="Y295" s="56"/>
      <c r="Z295" s="56"/>
      <c r="AA295" s="56"/>
      <c r="AB295" s="56"/>
      <c r="AC295" s="15"/>
    </row>
    <row r="296" spans="3:29" ht="12.75">
      <c r="C296" s="23"/>
      <c r="I296" s="23"/>
      <c r="L296" s="56"/>
      <c r="M296" s="56"/>
      <c r="N296" s="56"/>
      <c r="O296" s="56"/>
      <c r="P296" s="56"/>
      <c r="Q296" s="56"/>
      <c r="R296" s="56"/>
      <c r="S296" s="56"/>
      <c r="T296" s="56"/>
      <c r="U296" s="56"/>
      <c r="V296" s="56"/>
      <c r="W296" s="56"/>
      <c r="X296" s="56"/>
      <c r="Y296" s="56"/>
      <c r="Z296" s="56"/>
      <c r="AA296" s="56"/>
      <c r="AB296" s="56"/>
      <c r="AC296" s="15"/>
    </row>
    <row r="297" spans="3:29" ht="12.75">
      <c r="C297" s="23"/>
      <c r="I297" s="23"/>
      <c r="L297" s="56"/>
      <c r="M297" s="56"/>
      <c r="N297" s="56"/>
      <c r="O297" s="56"/>
      <c r="P297" s="56"/>
      <c r="Q297" s="56"/>
      <c r="R297" s="56"/>
      <c r="S297" s="56"/>
      <c r="T297" s="56"/>
      <c r="U297" s="56"/>
      <c r="V297" s="56"/>
      <c r="W297" s="56"/>
      <c r="X297" s="56"/>
      <c r="Y297" s="56"/>
      <c r="Z297" s="56"/>
      <c r="AA297" s="56"/>
      <c r="AB297" s="56"/>
      <c r="AC297" s="15"/>
    </row>
    <row r="298" spans="3:29" ht="12.75">
      <c r="C298" s="23"/>
      <c r="I298" s="23"/>
      <c r="L298" s="56"/>
      <c r="M298" s="56"/>
      <c r="N298" s="56"/>
      <c r="O298" s="56"/>
      <c r="P298" s="56"/>
      <c r="Q298" s="56"/>
      <c r="R298" s="56"/>
      <c r="S298" s="56"/>
      <c r="T298" s="56"/>
      <c r="U298" s="56"/>
      <c r="V298" s="56"/>
      <c r="W298" s="56"/>
      <c r="X298" s="56"/>
      <c r="Y298" s="56"/>
      <c r="Z298" s="56"/>
      <c r="AA298" s="56"/>
      <c r="AB298" s="56"/>
      <c r="AC298" s="15"/>
    </row>
    <row r="299" spans="3:29" ht="12.75">
      <c r="C299" s="23"/>
      <c r="I299" s="23"/>
      <c r="L299" s="56"/>
      <c r="M299" s="56"/>
      <c r="N299" s="56"/>
      <c r="O299" s="56"/>
      <c r="P299" s="56"/>
      <c r="Q299" s="56"/>
      <c r="R299" s="56"/>
      <c r="S299" s="56"/>
      <c r="T299" s="56"/>
      <c r="U299" s="56"/>
      <c r="V299" s="56"/>
      <c r="W299" s="56"/>
      <c r="X299" s="56"/>
      <c r="Y299" s="56"/>
      <c r="Z299" s="56"/>
      <c r="AA299" s="56"/>
      <c r="AB299" s="56"/>
      <c r="AC299" s="15"/>
    </row>
    <row r="300" spans="3:29" ht="12.75">
      <c r="C300" s="23"/>
      <c r="I300" s="23"/>
      <c r="L300" s="56"/>
      <c r="M300" s="56"/>
      <c r="N300" s="56"/>
      <c r="O300" s="56"/>
      <c r="P300" s="56"/>
      <c r="Q300" s="56"/>
      <c r="R300" s="56"/>
      <c r="S300" s="56"/>
      <c r="T300" s="56"/>
      <c r="U300" s="56"/>
      <c r="V300" s="56"/>
      <c r="W300" s="56"/>
      <c r="X300" s="56"/>
      <c r="Y300" s="56"/>
      <c r="Z300" s="56"/>
      <c r="AA300" s="56"/>
      <c r="AB300" s="56"/>
      <c r="AC300" s="15"/>
    </row>
    <row r="301" spans="3:29" ht="12.75">
      <c r="C301" s="23"/>
      <c r="I301" s="23"/>
      <c r="L301" s="56"/>
      <c r="M301" s="56"/>
      <c r="N301" s="56"/>
      <c r="O301" s="56"/>
      <c r="P301" s="56"/>
      <c r="Q301" s="56"/>
      <c r="R301" s="56"/>
      <c r="S301" s="56"/>
      <c r="T301" s="56"/>
      <c r="U301" s="56"/>
      <c r="V301" s="56"/>
      <c r="W301" s="56"/>
      <c r="X301" s="56"/>
      <c r="Y301" s="56"/>
      <c r="Z301" s="56"/>
      <c r="AA301" s="56"/>
      <c r="AB301" s="56"/>
      <c r="AC301" s="15"/>
    </row>
    <row r="302" spans="3:29" ht="12.75">
      <c r="C302" s="23"/>
      <c r="I302" s="23"/>
      <c r="L302" s="56"/>
      <c r="M302" s="56"/>
      <c r="N302" s="56"/>
      <c r="O302" s="56"/>
      <c r="P302" s="56"/>
      <c r="Q302" s="56"/>
      <c r="R302" s="56"/>
      <c r="S302" s="56"/>
      <c r="T302" s="56"/>
      <c r="U302" s="56"/>
      <c r="V302" s="56"/>
      <c r="W302" s="56"/>
      <c r="X302" s="56"/>
      <c r="Y302" s="56"/>
      <c r="Z302" s="56"/>
      <c r="AA302" s="56"/>
      <c r="AB302" s="56"/>
      <c r="AC302" s="15"/>
    </row>
    <row r="303" spans="3:29" ht="12.75">
      <c r="C303" s="23"/>
      <c r="I303" s="23"/>
      <c r="L303" s="56"/>
      <c r="M303" s="56"/>
      <c r="N303" s="56"/>
      <c r="O303" s="56"/>
      <c r="P303" s="56"/>
      <c r="Q303" s="56"/>
      <c r="R303" s="56"/>
      <c r="S303" s="56"/>
      <c r="T303" s="56"/>
      <c r="U303" s="56"/>
      <c r="V303" s="56"/>
      <c r="W303" s="56"/>
      <c r="X303" s="56"/>
      <c r="Y303" s="56"/>
      <c r="Z303" s="56"/>
      <c r="AA303" s="56"/>
      <c r="AB303" s="56"/>
      <c r="AC303" s="15"/>
    </row>
    <row r="304" spans="3:29" ht="12.75">
      <c r="C304" s="23"/>
      <c r="I304" s="23"/>
      <c r="L304" s="56"/>
      <c r="M304" s="56"/>
      <c r="N304" s="56"/>
      <c r="O304" s="56"/>
      <c r="P304" s="56"/>
      <c r="Q304" s="56"/>
      <c r="R304" s="56"/>
      <c r="S304" s="56"/>
      <c r="T304" s="56"/>
      <c r="U304" s="56"/>
      <c r="V304" s="56"/>
      <c r="W304" s="56"/>
      <c r="X304" s="56"/>
      <c r="Y304" s="56"/>
      <c r="Z304" s="56"/>
      <c r="AA304" s="56"/>
      <c r="AB304" s="56"/>
      <c r="AC304" s="15"/>
    </row>
    <row r="305" spans="3:29" ht="12.75">
      <c r="C305" s="23"/>
      <c r="I305" s="23"/>
      <c r="L305" s="56"/>
      <c r="M305" s="56"/>
      <c r="N305" s="56"/>
      <c r="O305" s="56"/>
      <c r="P305" s="56"/>
      <c r="Q305" s="56"/>
      <c r="R305" s="56"/>
      <c r="S305" s="56"/>
      <c r="T305" s="56"/>
      <c r="U305" s="56"/>
      <c r="V305" s="56"/>
      <c r="W305" s="56"/>
      <c r="X305" s="56"/>
      <c r="Y305" s="56"/>
      <c r="Z305" s="56"/>
      <c r="AA305" s="56"/>
      <c r="AB305" s="56"/>
      <c r="AC305" s="15"/>
    </row>
    <row r="306" spans="3:29" ht="12.75">
      <c r="C306" s="23"/>
      <c r="I306" s="23"/>
      <c r="L306" s="56"/>
      <c r="M306" s="56"/>
      <c r="N306" s="56"/>
      <c r="O306" s="56"/>
      <c r="P306" s="56"/>
      <c r="Q306" s="56"/>
      <c r="R306" s="56"/>
      <c r="S306" s="56"/>
      <c r="T306" s="56"/>
      <c r="U306" s="56"/>
      <c r="V306" s="56"/>
      <c r="W306" s="56"/>
      <c r="X306" s="56"/>
      <c r="Y306" s="56"/>
      <c r="Z306" s="56"/>
      <c r="AA306" s="56"/>
      <c r="AB306" s="56"/>
      <c r="AC306" s="15"/>
    </row>
    <row r="307" spans="3:29" ht="12.75">
      <c r="C307" s="23"/>
      <c r="I307" s="23"/>
      <c r="L307" s="56"/>
      <c r="M307" s="56"/>
      <c r="N307" s="56"/>
      <c r="O307" s="56"/>
      <c r="P307" s="56"/>
      <c r="Q307" s="56"/>
      <c r="R307" s="56"/>
      <c r="S307" s="56"/>
      <c r="T307" s="56"/>
      <c r="U307" s="56"/>
      <c r="V307" s="56"/>
      <c r="W307" s="56"/>
      <c r="X307" s="56"/>
      <c r="Y307" s="56"/>
      <c r="Z307" s="56"/>
      <c r="AA307" s="56"/>
      <c r="AB307" s="56"/>
      <c r="AC307" s="15"/>
    </row>
    <row r="308" spans="3:29" ht="12.75">
      <c r="C308" s="23"/>
      <c r="I308" s="23"/>
      <c r="L308" s="56"/>
      <c r="M308" s="56"/>
      <c r="N308" s="56"/>
      <c r="O308" s="56"/>
      <c r="P308" s="56"/>
      <c r="Q308" s="56"/>
      <c r="R308" s="56"/>
      <c r="S308" s="56"/>
      <c r="T308" s="56"/>
      <c r="U308" s="56"/>
      <c r="V308" s="56"/>
      <c r="W308" s="56"/>
      <c r="X308" s="56"/>
      <c r="Y308" s="56"/>
      <c r="Z308" s="56"/>
      <c r="AA308" s="56"/>
      <c r="AB308" s="56"/>
      <c r="AC308" s="15"/>
    </row>
    <row r="309" spans="3:29" ht="12.75">
      <c r="C309" s="23"/>
      <c r="I309" s="23"/>
      <c r="L309" s="56"/>
      <c r="M309" s="56"/>
      <c r="N309" s="56"/>
      <c r="O309" s="56"/>
      <c r="P309" s="56"/>
      <c r="Q309" s="56"/>
      <c r="R309" s="56"/>
      <c r="S309" s="56"/>
      <c r="T309" s="56"/>
      <c r="U309" s="56"/>
      <c r="V309" s="56"/>
      <c r="W309" s="56"/>
      <c r="X309" s="56"/>
      <c r="Y309" s="56"/>
      <c r="Z309" s="56"/>
      <c r="AA309" s="56"/>
      <c r="AB309" s="56"/>
      <c r="AC309" s="15"/>
    </row>
    <row r="310" spans="3:29" ht="12.75">
      <c r="C310" s="23"/>
      <c r="I310" s="23"/>
      <c r="L310" s="56"/>
      <c r="M310" s="56"/>
      <c r="N310" s="56"/>
      <c r="O310" s="56"/>
      <c r="P310" s="56"/>
      <c r="Q310" s="56"/>
      <c r="R310" s="56"/>
      <c r="S310" s="56"/>
      <c r="T310" s="56"/>
      <c r="U310" s="56"/>
      <c r="V310" s="56"/>
      <c r="W310" s="56"/>
      <c r="X310" s="56"/>
      <c r="Y310" s="56"/>
      <c r="Z310" s="56"/>
      <c r="AA310" s="56"/>
      <c r="AB310" s="56"/>
      <c r="AC310" s="15"/>
    </row>
    <row r="311" spans="3:29" ht="12.75">
      <c r="C311" s="23"/>
      <c r="I311" s="23"/>
      <c r="L311" s="56"/>
      <c r="M311" s="56"/>
      <c r="N311" s="56"/>
      <c r="O311" s="56"/>
      <c r="P311" s="56"/>
      <c r="Q311" s="56"/>
      <c r="R311" s="56"/>
      <c r="S311" s="56"/>
      <c r="T311" s="56"/>
      <c r="U311" s="56"/>
      <c r="V311" s="56"/>
      <c r="W311" s="56"/>
      <c r="X311" s="56"/>
      <c r="Y311" s="56"/>
      <c r="Z311" s="56"/>
      <c r="AA311" s="56"/>
      <c r="AB311" s="56"/>
      <c r="AC311" s="15"/>
    </row>
    <row r="312" spans="3:29" ht="12.75">
      <c r="C312" s="23"/>
      <c r="I312" s="23"/>
      <c r="L312" s="56"/>
      <c r="M312" s="56"/>
      <c r="N312" s="56"/>
      <c r="O312" s="56"/>
      <c r="P312" s="56"/>
      <c r="Q312" s="56"/>
      <c r="R312" s="56"/>
      <c r="S312" s="56"/>
      <c r="T312" s="56"/>
      <c r="U312" s="56"/>
      <c r="V312" s="56"/>
      <c r="W312" s="56"/>
      <c r="X312" s="56"/>
      <c r="Y312" s="56"/>
      <c r="Z312" s="56"/>
      <c r="AA312" s="56"/>
      <c r="AB312" s="56"/>
      <c r="AC312" s="15"/>
    </row>
    <row r="313" spans="3:29" ht="12.75">
      <c r="C313" s="23"/>
      <c r="I313" s="23"/>
      <c r="L313" s="56"/>
      <c r="M313" s="56"/>
      <c r="N313" s="56"/>
      <c r="O313" s="56"/>
      <c r="P313" s="56"/>
      <c r="Q313" s="56"/>
      <c r="R313" s="56"/>
      <c r="S313" s="56"/>
      <c r="T313" s="56"/>
      <c r="U313" s="56"/>
      <c r="V313" s="56"/>
      <c r="W313" s="56"/>
      <c r="X313" s="56"/>
      <c r="Y313" s="56"/>
      <c r="Z313" s="56"/>
      <c r="AA313" s="56"/>
      <c r="AB313" s="56"/>
      <c r="AC313" s="15"/>
    </row>
    <row r="314" spans="3:29" ht="12.75">
      <c r="C314" s="23"/>
      <c r="I314" s="23"/>
      <c r="L314" s="56"/>
      <c r="M314" s="56"/>
      <c r="N314" s="56"/>
      <c r="O314" s="56"/>
      <c r="P314" s="56"/>
      <c r="Q314" s="56"/>
      <c r="R314" s="56"/>
      <c r="S314" s="56"/>
      <c r="T314" s="56"/>
      <c r="U314" s="56"/>
      <c r="V314" s="56"/>
      <c r="W314" s="56"/>
      <c r="X314" s="56"/>
      <c r="Y314" s="56"/>
      <c r="Z314" s="56"/>
      <c r="AA314" s="56"/>
      <c r="AB314" s="56"/>
      <c r="AC314" s="15"/>
    </row>
    <row r="315" spans="3:29" ht="12.75">
      <c r="C315" s="23"/>
      <c r="I315" s="23"/>
      <c r="L315" s="56"/>
      <c r="M315" s="56"/>
      <c r="N315" s="56"/>
      <c r="O315" s="56"/>
      <c r="P315" s="56"/>
      <c r="Q315" s="56"/>
      <c r="R315" s="56"/>
      <c r="S315" s="56"/>
      <c r="T315" s="56"/>
      <c r="U315" s="56"/>
      <c r="V315" s="56"/>
      <c r="W315" s="56"/>
      <c r="X315" s="56"/>
      <c r="Y315" s="56"/>
      <c r="Z315" s="56"/>
      <c r="AA315" s="56"/>
      <c r="AB315" s="56"/>
      <c r="AC315" s="15"/>
    </row>
    <row r="316" spans="3:29" ht="12.75">
      <c r="C316" s="23"/>
      <c r="I316" s="23"/>
      <c r="L316" s="56"/>
      <c r="M316" s="56"/>
      <c r="N316" s="56"/>
      <c r="O316" s="56"/>
      <c r="P316" s="56"/>
      <c r="Q316" s="56"/>
      <c r="R316" s="56"/>
      <c r="S316" s="56"/>
      <c r="T316" s="56"/>
      <c r="U316" s="56"/>
      <c r="V316" s="56"/>
      <c r="W316" s="56"/>
      <c r="X316" s="56"/>
      <c r="Y316" s="56"/>
      <c r="Z316" s="56"/>
      <c r="AA316" s="56"/>
      <c r="AB316" s="56"/>
      <c r="AC316" s="15"/>
    </row>
    <row r="317" spans="3:29" ht="12.75">
      <c r="C317" s="23"/>
      <c r="I317" s="23"/>
      <c r="L317" s="56"/>
      <c r="M317" s="56"/>
      <c r="N317" s="56"/>
      <c r="O317" s="56"/>
      <c r="P317" s="56"/>
      <c r="Q317" s="56"/>
      <c r="R317" s="56"/>
      <c r="S317" s="56"/>
      <c r="T317" s="56"/>
      <c r="U317" s="56"/>
      <c r="V317" s="56"/>
      <c r="W317" s="56"/>
      <c r="X317" s="56"/>
      <c r="Y317" s="56"/>
      <c r="Z317" s="56"/>
      <c r="AA317" s="56"/>
      <c r="AB317" s="56"/>
      <c r="AC317" s="15"/>
    </row>
    <row r="318" spans="3:29" ht="12.75">
      <c r="C318" s="23"/>
      <c r="I318" s="23"/>
      <c r="L318" s="56"/>
      <c r="M318" s="56"/>
      <c r="N318" s="56"/>
      <c r="O318" s="56"/>
      <c r="P318" s="56"/>
      <c r="Q318" s="56"/>
      <c r="R318" s="56"/>
      <c r="S318" s="56"/>
      <c r="T318" s="56"/>
      <c r="U318" s="56"/>
      <c r="V318" s="56"/>
      <c r="W318" s="56"/>
      <c r="X318" s="56"/>
      <c r="Y318" s="56"/>
      <c r="Z318" s="56"/>
      <c r="AA318" s="56"/>
      <c r="AB318" s="56"/>
      <c r="AC318" s="15"/>
    </row>
    <row r="319" spans="3:29" ht="12.75">
      <c r="C319" s="23"/>
      <c r="I319" s="23"/>
      <c r="L319" s="56"/>
      <c r="M319" s="56"/>
      <c r="N319" s="56"/>
      <c r="O319" s="56"/>
      <c r="P319" s="56"/>
      <c r="Q319" s="56"/>
      <c r="R319" s="56"/>
      <c r="S319" s="56"/>
      <c r="T319" s="56"/>
      <c r="U319" s="56"/>
      <c r="V319" s="56"/>
      <c r="W319" s="56"/>
      <c r="X319" s="56"/>
      <c r="Y319" s="56"/>
      <c r="Z319" s="56"/>
      <c r="AA319" s="56"/>
      <c r="AB319" s="56"/>
      <c r="AC319" s="15"/>
    </row>
    <row r="320" spans="3:29" ht="12.75">
      <c r="C320" s="23"/>
      <c r="I320" s="23"/>
      <c r="L320" s="56"/>
      <c r="M320" s="56"/>
      <c r="N320" s="56"/>
      <c r="O320" s="56"/>
      <c r="P320" s="56"/>
      <c r="Q320" s="56"/>
      <c r="R320" s="56"/>
      <c r="S320" s="56"/>
      <c r="T320" s="56"/>
      <c r="U320" s="56"/>
      <c r="V320" s="56"/>
      <c r="W320" s="56"/>
      <c r="X320" s="56"/>
      <c r="Y320" s="56"/>
      <c r="Z320" s="56"/>
      <c r="AA320" s="56"/>
      <c r="AB320" s="56"/>
      <c r="AC320" s="15"/>
    </row>
    <row r="321" spans="3:29" ht="12.75">
      <c r="C321" s="23"/>
      <c r="I321" s="23"/>
      <c r="L321" s="56"/>
      <c r="M321" s="56"/>
      <c r="N321" s="56"/>
      <c r="O321" s="56"/>
      <c r="P321" s="56"/>
      <c r="Q321" s="56"/>
      <c r="R321" s="56"/>
      <c r="S321" s="56"/>
      <c r="T321" s="56"/>
      <c r="U321" s="56"/>
      <c r="V321" s="56"/>
      <c r="W321" s="56"/>
      <c r="X321" s="56"/>
      <c r="Y321" s="56"/>
      <c r="Z321" s="56"/>
      <c r="AA321" s="56"/>
      <c r="AB321" s="56"/>
      <c r="AC321" s="15"/>
    </row>
    <row r="322" spans="3:29" ht="12.75">
      <c r="C322" s="23"/>
      <c r="I322" s="23"/>
      <c r="L322" s="56"/>
      <c r="M322" s="56"/>
      <c r="N322" s="56"/>
      <c r="O322" s="56"/>
      <c r="P322" s="56"/>
      <c r="Q322" s="56"/>
      <c r="R322" s="56"/>
      <c r="S322" s="56"/>
      <c r="T322" s="56"/>
      <c r="U322" s="56"/>
      <c r="V322" s="56"/>
      <c r="W322" s="56"/>
      <c r="X322" s="56"/>
      <c r="Y322" s="56"/>
      <c r="Z322" s="56"/>
      <c r="AA322" s="56"/>
      <c r="AB322" s="56"/>
      <c r="AC322" s="15"/>
    </row>
    <row r="323" spans="3:29" ht="12.75">
      <c r="C323" s="23"/>
      <c r="I323" s="23"/>
      <c r="L323" s="56"/>
      <c r="M323" s="56"/>
      <c r="N323" s="56"/>
      <c r="O323" s="56"/>
      <c r="P323" s="56"/>
      <c r="Q323" s="56"/>
      <c r="R323" s="56"/>
      <c r="S323" s="56"/>
      <c r="T323" s="56"/>
      <c r="U323" s="56"/>
      <c r="V323" s="56"/>
      <c r="W323" s="56"/>
      <c r="X323" s="56"/>
      <c r="Y323" s="56"/>
      <c r="Z323" s="56"/>
      <c r="AA323" s="56"/>
      <c r="AB323" s="56"/>
      <c r="AC323" s="15"/>
    </row>
    <row r="324" spans="3:29" ht="12.75">
      <c r="C324" s="23"/>
      <c r="I324" s="23"/>
      <c r="L324" s="56"/>
      <c r="M324" s="56"/>
      <c r="N324" s="56"/>
      <c r="O324" s="56"/>
      <c r="P324" s="56"/>
      <c r="Q324" s="56"/>
      <c r="R324" s="56"/>
      <c r="S324" s="56"/>
      <c r="T324" s="56"/>
      <c r="U324" s="56"/>
      <c r="V324" s="56"/>
      <c r="W324" s="56"/>
      <c r="X324" s="56"/>
      <c r="Y324" s="56"/>
      <c r="Z324" s="56"/>
      <c r="AA324" s="56"/>
      <c r="AB324" s="56"/>
      <c r="AC324" s="15"/>
    </row>
    <row r="325" spans="3:29" ht="12.75">
      <c r="C325" s="23"/>
      <c r="I325" s="23"/>
      <c r="L325" s="56"/>
      <c r="M325" s="56"/>
      <c r="N325" s="56"/>
      <c r="O325" s="56"/>
      <c r="P325" s="56"/>
      <c r="Q325" s="56"/>
      <c r="R325" s="56"/>
      <c r="S325" s="56"/>
      <c r="T325" s="56"/>
      <c r="U325" s="56"/>
      <c r="V325" s="56"/>
      <c r="W325" s="56"/>
      <c r="X325" s="56"/>
      <c r="Y325" s="56"/>
      <c r="Z325" s="56"/>
      <c r="AA325" s="56"/>
      <c r="AB325" s="56"/>
      <c r="AC325" s="15"/>
    </row>
    <row r="326" spans="3:29" ht="12.75">
      <c r="C326" s="23"/>
      <c r="I326" s="23"/>
      <c r="L326" s="56"/>
      <c r="M326" s="56"/>
      <c r="N326" s="56"/>
      <c r="O326" s="56"/>
      <c r="P326" s="56"/>
      <c r="Q326" s="56"/>
      <c r="R326" s="56"/>
      <c r="S326" s="56"/>
      <c r="T326" s="56"/>
      <c r="U326" s="56"/>
      <c r="V326" s="56"/>
      <c r="W326" s="56"/>
      <c r="X326" s="56"/>
      <c r="Y326" s="56"/>
      <c r="Z326" s="56"/>
      <c r="AA326" s="56"/>
      <c r="AB326" s="56"/>
      <c r="AC326" s="15"/>
    </row>
    <row r="327" spans="3:29" ht="12.75">
      <c r="C327" s="23"/>
      <c r="I327" s="23"/>
      <c r="L327" s="56"/>
      <c r="M327" s="56"/>
      <c r="N327" s="56"/>
      <c r="O327" s="56"/>
      <c r="P327" s="56"/>
      <c r="Q327" s="56"/>
      <c r="R327" s="56"/>
      <c r="S327" s="56"/>
      <c r="T327" s="56"/>
      <c r="U327" s="56"/>
      <c r="V327" s="56"/>
      <c r="W327" s="56"/>
      <c r="X327" s="56"/>
      <c r="Y327" s="56"/>
      <c r="Z327" s="56"/>
      <c r="AA327" s="56"/>
      <c r="AB327" s="56"/>
      <c r="AC327" s="15"/>
    </row>
    <row r="328" spans="3:29" ht="12.75">
      <c r="C328" s="23"/>
      <c r="I328" s="23"/>
      <c r="L328" s="56"/>
      <c r="M328" s="56"/>
      <c r="N328" s="56"/>
      <c r="O328" s="56"/>
      <c r="P328" s="56"/>
      <c r="Q328" s="56"/>
      <c r="R328" s="56"/>
      <c r="S328" s="56"/>
      <c r="T328" s="56"/>
      <c r="U328" s="56"/>
      <c r="V328" s="56"/>
      <c r="W328" s="56"/>
      <c r="X328" s="56"/>
      <c r="Y328" s="56"/>
      <c r="Z328" s="56"/>
      <c r="AA328" s="56"/>
      <c r="AB328" s="56"/>
      <c r="AC328" s="15"/>
    </row>
    <row r="329" spans="3:29" ht="12.75">
      <c r="C329" s="23"/>
      <c r="I329" s="23"/>
      <c r="L329" s="56"/>
      <c r="M329" s="56"/>
      <c r="N329" s="56"/>
      <c r="O329" s="56"/>
      <c r="P329" s="56"/>
      <c r="Q329" s="56"/>
      <c r="R329" s="56"/>
      <c r="S329" s="56"/>
      <c r="T329" s="56"/>
      <c r="U329" s="56"/>
      <c r="V329" s="56"/>
      <c r="W329" s="56"/>
      <c r="X329" s="56"/>
      <c r="Y329" s="56"/>
      <c r="Z329" s="56"/>
      <c r="AA329" s="56"/>
      <c r="AB329" s="56"/>
      <c r="AC329" s="15"/>
    </row>
    <row r="330" spans="3:29" ht="12.75">
      <c r="C330" s="23"/>
      <c r="I330" s="23"/>
      <c r="L330" s="56"/>
      <c r="M330" s="56"/>
      <c r="N330" s="56"/>
      <c r="O330" s="56"/>
      <c r="P330" s="56"/>
      <c r="Q330" s="56"/>
      <c r="R330" s="56"/>
      <c r="S330" s="56"/>
      <c r="T330" s="56"/>
      <c r="U330" s="56"/>
      <c r="V330" s="56"/>
      <c r="W330" s="56"/>
      <c r="X330" s="56"/>
      <c r="Y330" s="56"/>
      <c r="Z330" s="56"/>
      <c r="AA330" s="56"/>
      <c r="AB330" s="56"/>
      <c r="AC330" s="15"/>
    </row>
    <row r="331" spans="3:29" ht="12.75">
      <c r="C331" s="23"/>
      <c r="I331" s="23"/>
      <c r="L331" s="56"/>
      <c r="M331" s="56"/>
      <c r="N331" s="56"/>
      <c r="O331" s="56"/>
      <c r="P331" s="56"/>
      <c r="Q331" s="56"/>
      <c r="R331" s="56"/>
      <c r="S331" s="56"/>
      <c r="T331" s="56"/>
      <c r="U331" s="56"/>
      <c r="V331" s="56"/>
      <c r="W331" s="56"/>
      <c r="X331" s="56"/>
      <c r="Y331" s="56"/>
      <c r="Z331" s="56"/>
      <c r="AA331" s="56"/>
      <c r="AB331" s="56"/>
      <c r="AC331" s="15"/>
    </row>
    <row r="332" spans="3:29" ht="12.75">
      <c r="C332" s="23"/>
      <c r="I332" s="23"/>
      <c r="L332" s="56"/>
      <c r="M332" s="56"/>
      <c r="N332" s="56"/>
      <c r="O332" s="56"/>
      <c r="P332" s="56"/>
      <c r="Q332" s="56"/>
      <c r="R332" s="56"/>
      <c r="S332" s="56"/>
      <c r="T332" s="56"/>
      <c r="U332" s="56"/>
      <c r="V332" s="56"/>
      <c r="W332" s="56"/>
      <c r="X332" s="56"/>
      <c r="Y332" s="56"/>
      <c r="Z332" s="56"/>
      <c r="AA332" s="56"/>
      <c r="AB332" s="56"/>
      <c r="AC332" s="15"/>
    </row>
    <row r="333" spans="3:29" ht="12.75">
      <c r="C333" s="23"/>
      <c r="I333" s="23"/>
      <c r="L333" s="56"/>
      <c r="M333" s="56"/>
      <c r="N333" s="56"/>
      <c r="O333" s="56"/>
      <c r="P333" s="56"/>
      <c r="Q333" s="56"/>
      <c r="R333" s="56"/>
      <c r="S333" s="56"/>
      <c r="T333" s="56"/>
      <c r="U333" s="56"/>
      <c r="V333" s="56"/>
      <c r="W333" s="56"/>
      <c r="X333" s="56"/>
      <c r="Y333" s="56"/>
      <c r="Z333" s="56"/>
      <c r="AA333" s="56"/>
      <c r="AB333" s="56"/>
      <c r="AC333" s="15"/>
    </row>
    <row r="334" spans="3:29" ht="12.75">
      <c r="C334" s="23"/>
      <c r="I334" s="23"/>
      <c r="L334" s="56"/>
      <c r="M334" s="56"/>
      <c r="N334" s="56"/>
      <c r="O334" s="56"/>
      <c r="P334" s="56"/>
      <c r="Q334" s="56"/>
      <c r="R334" s="56"/>
      <c r="S334" s="56"/>
      <c r="T334" s="56"/>
      <c r="U334" s="56"/>
      <c r="V334" s="56"/>
      <c r="W334" s="56"/>
      <c r="X334" s="56"/>
      <c r="Y334" s="56"/>
      <c r="Z334" s="56"/>
      <c r="AA334" s="56"/>
      <c r="AB334" s="56"/>
      <c r="AC334" s="15"/>
    </row>
    <row r="335" spans="3:29" ht="12.75">
      <c r="C335" s="23"/>
      <c r="I335" s="23"/>
      <c r="L335" s="56"/>
      <c r="M335" s="56"/>
      <c r="N335" s="56"/>
      <c r="O335" s="56"/>
      <c r="P335" s="56"/>
      <c r="Q335" s="56"/>
      <c r="R335" s="56"/>
      <c r="S335" s="56"/>
      <c r="T335" s="56"/>
      <c r="U335" s="56"/>
      <c r="V335" s="56"/>
      <c r="W335" s="56"/>
      <c r="X335" s="56"/>
      <c r="Y335" s="56"/>
      <c r="Z335" s="56"/>
      <c r="AA335" s="56"/>
      <c r="AB335" s="56"/>
      <c r="AC335" s="15"/>
    </row>
    <row r="336" spans="3:29" ht="12.75">
      <c r="C336" s="23"/>
      <c r="I336" s="23"/>
      <c r="L336" s="56"/>
      <c r="M336" s="56"/>
      <c r="N336" s="56"/>
      <c r="O336" s="56"/>
      <c r="P336" s="56"/>
      <c r="Q336" s="56"/>
      <c r="R336" s="56"/>
      <c r="S336" s="56"/>
      <c r="T336" s="56"/>
      <c r="U336" s="56"/>
      <c r="V336" s="56"/>
      <c r="W336" s="56"/>
      <c r="X336" s="56"/>
      <c r="Y336" s="56"/>
      <c r="Z336" s="56"/>
      <c r="AA336" s="56"/>
      <c r="AB336" s="56"/>
      <c r="AC336" s="15"/>
    </row>
    <row r="337" spans="3:29" ht="12.75">
      <c r="C337" s="23"/>
      <c r="I337" s="23"/>
      <c r="L337" s="56"/>
      <c r="M337" s="56"/>
      <c r="N337" s="56"/>
      <c r="O337" s="56"/>
      <c r="P337" s="56"/>
      <c r="Q337" s="56"/>
      <c r="R337" s="56"/>
      <c r="S337" s="56"/>
      <c r="T337" s="56"/>
      <c r="U337" s="56"/>
      <c r="V337" s="56"/>
      <c r="W337" s="56"/>
      <c r="X337" s="56"/>
      <c r="Y337" s="56"/>
      <c r="Z337" s="56"/>
      <c r="AA337" s="56"/>
      <c r="AB337" s="56"/>
      <c r="AC337" s="15"/>
    </row>
    <row r="338" spans="3:29" ht="12.75">
      <c r="C338" s="23"/>
      <c r="I338" s="23"/>
      <c r="L338" s="56"/>
      <c r="M338" s="56"/>
      <c r="N338" s="56"/>
      <c r="O338" s="56"/>
      <c r="P338" s="56"/>
      <c r="Q338" s="56"/>
      <c r="R338" s="56"/>
      <c r="S338" s="56"/>
      <c r="T338" s="56"/>
      <c r="U338" s="56"/>
      <c r="V338" s="56"/>
      <c r="W338" s="56"/>
      <c r="X338" s="56"/>
      <c r="Y338" s="56"/>
      <c r="Z338" s="56"/>
      <c r="AA338" s="56"/>
      <c r="AB338" s="56"/>
      <c r="AC338" s="15"/>
    </row>
    <row r="339" spans="3:29" ht="12.75">
      <c r="C339" s="23"/>
      <c r="I339" s="23"/>
      <c r="L339" s="56"/>
      <c r="M339" s="56"/>
      <c r="N339" s="56"/>
      <c r="O339" s="56"/>
      <c r="P339" s="56"/>
      <c r="Q339" s="56"/>
      <c r="R339" s="56"/>
      <c r="S339" s="56"/>
      <c r="T339" s="56"/>
      <c r="U339" s="56"/>
      <c r="V339" s="56"/>
      <c r="W339" s="56"/>
      <c r="X339" s="56"/>
      <c r="Y339" s="56"/>
      <c r="Z339" s="56"/>
      <c r="AA339" s="56"/>
      <c r="AB339" s="56"/>
      <c r="AC339" s="15"/>
    </row>
    <row r="340" spans="3:29" ht="12.75">
      <c r="C340" s="23"/>
      <c r="I340" s="23"/>
      <c r="L340" s="56"/>
      <c r="M340" s="56"/>
      <c r="N340" s="56"/>
      <c r="O340" s="56"/>
      <c r="P340" s="56"/>
      <c r="Q340" s="56"/>
      <c r="R340" s="56"/>
      <c r="S340" s="56"/>
      <c r="T340" s="56"/>
      <c r="U340" s="56"/>
      <c r="V340" s="56"/>
      <c r="W340" s="56"/>
      <c r="X340" s="56"/>
      <c r="Y340" s="56"/>
      <c r="Z340" s="56"/>
      <c r="AA340" s="56"/>
      <c r="AB340" s="56"/>
      <c r="AC340" s="15"/>
    </row>
    <row r="341" spans="3:29" ht="12.75">
      <c r="C341" s="23"/>
      <c r="I341" s="23"/>
      <c r="L341" s="56"/>
      <c r="M341" s="56"/>
      <c r="N341" s="56"/>
      <c r="O341" s="56"/>
      <c r="P341" s="56"/>
      <c r="Q341" s="56"/>
      <c r="R341" s="56"/>
      <c r="S341" s="56"/>
      <c r="T341" s="56"/>
      <c r="U341" s="56"/>
      <c r="V341" s="56"/>
      <c r="W341" s="56"/>
      <c r="X341" s="56"/>
      <c r="Y341" s="56"/>
      <c r="Z341" s="56"/>
      <c r="AA341" s="56"/>
      <c r="AB341" s="56"/>
      <c r="AC341" s="15"/>
    </row>
    <row r="342" spans="3:29" ht="12.75">
      <c r="C342" s="23"/>
      <c r="I342" s="23"/>
      <c r="L342" s="56"/>
      <c r="M342" s="56"/>
      <c r="N342" s="56"/>
      <c r="O342" s="56"/>
      <c r="P342" s="56"/>
      <c r="Q342" s="56"/>
      <c r="R342" s="56"/>
      <c r="S342" s="56"/>
      <c r="T342" s="56"/>
      <c r="U342" s="56"/>
      <c r="V342" s="56"/>
      <c r="W342" s="56"/>
      <c r="X342" s="56"/>
      <c r="Y342" s="56"/>
      <c r="Z342" s="56"/>
      <c r="AA342" s="56"/>
      <c r="AB342" s="56"/>
      <c r="AC342" s="15"/>
    </row>
    <row r="343" spans="3:29" ht="12.75">
      <c r="C343" s="23"/>
      <c r="I343" s="23"/>
      <c r="L343" s="56"/>
      <c r="M343" s="56"/>
      <c r="N343" s="56"/>
      <c r="O343" s="56"/>
      <c r="P343" s="56"/>
      <c r="Q343" s="56"/>
      <c r="R343" s="56"/>
      <c r="S343" s="56"/>
      <c r="T343" s="56"/>
      <c r="U343" s="56"/>
      <c r="V343" s="56"/>
      <c r="W343" s="56"/>
      <c r="X343" s="56"/>
      <c r="Y343" s="56"/>
      <c r="Z343" s="56"/>
      <c r="AA343" s="56"/>
      <c r="AB343" s="56"/>
      <c r="AC343" s="15"/>
    </row>
    <row r="344" spans="3:29" ht="12.75">
      <c r="C344" s="23"/>
      <c r="I344" s="23"/>
      <c r="L344" s="56"/>
      <c r="M344" s="56"/>
      <c r="N344" s="56"/>
      <c r="O344" s="56"/>
      <c r="P344" s="56"/>
      <c r="Q344" s="56"/>
      <c r="R344" s="56"/>
      <c r="S344" s="56"/>
      <c r="T344" s="56"/>
      <c r="U344" s="56"/>
      <c r="V344" s="56"/>
      <c r="W344" s="56"/>
      <c r="X344" s="56"/>
      <c r="Y344" s="56"/>
      <c r="Z344" s="56"/>
      <c r="AA344" s="56"/>
      <c r="AB344" s="56"/>
      <c r="AC344" s="15"/>
    </row>
    <row r="345" spans="3:29" ht="12.75">
      <c r="C345" s="23"/>
      <c r="I345" s="23"/>
      <c r="L345" s="56"/>
      <c r="M345" s="56"/>
      <c r="N345" s="56"/>
      <c r="O345" s="56"/>
      <c r="P345" s="56"/>
      <c r="Q345" s="56"/>
      <c r="R345" s="56"/>
      <c r="S345" s="56"/>
      <c r="T345" s="56"/>
      <c r="U345" s="56"/>
      <c r="V345" s="56"/>
      <c r="W345" s="56"/>
      <c r="X345" s="56"/>
      <c r="Y345" s="56"/>
      <c r="Z345" s="56"/>
      <c r="AA345" s="56"/>
      <c r="AB345" s="56"/>
      <c r="AC345" s="15"/>
    </row>
    <row r="346" spans="3:29" ht="12.75">
      <c r="C346" s="23"/>
      <c r="I346" s="23"/>
      <c r="L346" s="56"/>
      <c r="M346" s="56"/>
      <c r="N346" s="56"/>
      <c r="O346" s="56"/>
      <c r="P346" s="56"/>
      <c r="Q346" s="56"/>
      <c r="R346" s="56"/>
      <c r="S346" s="56"/>
      <c r="T346" s="56"/>
      <c r="U346" s="56"/>
      <c r="V346" s="56"/>
      <c r="W346" s="56"/>
      <c r="X346" s="56"/>
      <c r="Y346" s="56"/>
      <c r="Z346" s="56"/>
      <c r="AA346" s="56"/>
      <c r="AB346" s="56"/>
      <c r="AC346" s="15"/>
    </row>
    <row r="347" spans="3:29" ht="12.75">
      <c r="C347" s="23"/>
      <c r="I347" s="23"/>
      <c r="L347" s="56"/>
      <c r="M347" s="56"/>
      <c r="N347" s="56"/>
      <c r="O347" s="56"/>
      <c r="P347" s="56"/>
      <c r="Q347" s="56"/>
      <c r="R347" s="56"/>
      <c r="S347" s="56"/>
      <c r="T347" s="56"/>
      <c r="U347" s="56"/>
      <c r="V347" s="56"/>
      <c r="W347" s="56"/>
      <c r="X347" s="56"/>
      <c r="Y347" s="56"/>
      <c r="Z347" s="56"/>
      <c r="AA347" s="56"/>
      <c r="AB347" s="56"/>
      <c r="AC347" s="15"/>
    </row>
    <row r="348" spans="3:29" ht="12.75">
      <c r="C348" s="23"/>
      <c r="I348" s="23"/>
      <c r="L348" s="56"/>
      <c r="M348" s="56"/>
      <c r="N348" s="56"/>
      <c r="O348" s="56"/>
      <c r="P348" s="56"/>
      <c r="Q348" s="56"/>
      <c r="R348" s="56"/>
      <c r="S348" s="56"/>
      <c r="T348" s="56"/>
      <c r="U348" s="56"/>
      <c r="V348" s="56"/>
      <c r="W348" s="56"/>
      <c r="X348" s="56"/>
      <c r="Y348" s="56"/>
      <c r="Z348" s="56"/>
      <c r="AA348" s="56"/>
      <c r="AB348" s="56"/>
      <c r="AC348" s="15"/>
    </row>
    <row r="349" spans="3:29" ht="12.75">
      <c r="C349" s="23"/>
      <c r="I349" s="23"/>
      <c r="L349" s="56"/>
      <c r="M349" s="56"/>
      <c r="N349" s="56"/>
      <c r="O349" s="56"/>
      <c r="P349" s="56"/>
      <c r="Q349" s="56"/>
      <c r="R349" s="56"/>
      <c r="S349" s="56"/>
      <c r="T349" s="56"/>
      <c r="U349" s="56"/>
      <c r="V349" s="56"/>
      <c r="W349" s="56"/>
      <c r="X349" s="56"/>
      <c r="Y349" s="56"/>
      <c r="Z349" s="56"/>
      <c r="AA349" s="56"/>
      <c r="AB349" s="56"/>
      <c r="AC349" s="15"/>
    </row>
    <row r="350" spans="3:29" ht="12.75">
      <c r="C350" s="23"/>
      <c r="I350" s="23"/>
      <c r="L350" s="56"/>
      <c r="M350" s="56"/>
      <c r="N350" s="56"/>
      <c r="O350" s="56"/>
      <c r="P350" s="56"/>
      <c r="Q350" s="56"/>
      <c r="R350" s="56"/>
      <c r="S350" s="56"/>
      <c r="T350" s="56"/>
      <c r="U350" s="56"/>
      <c r="V350" s="56"/>
      <c r="W350" s="56"/>
      <c r="X350" s="56"/>
      <c r="Y350" s="56"/>
      <c r="Z350" s="56"/>
      <c r="AA350" s="56"/>
      <c r="AB350" s="56"/>
      <c r="AC350" s="15"/>
    </row>
    <row r="351" spans="3:29" ht="12.75">
      <c r="C351" s="23"/>
      <c r="I351" s="23"/>
      <c r="L351" s="56"/>
      <c r="M351" s="56"/>
      <c r="N351" s="56"/>
      <c r="O351" s="56"/>
      <c r="P351" s="56"/>
      <c r="Q351" s="56"/>
      <c r="R351" s="56"/>
      <c r="S351" s="56"/>
      <c r="T351" s="56"/>
      <c r="U351" s="56"/>
      <c r="V351" s="56"/>
      <c r="W351" s="56"/>
      <c r="X351" s="56"/>
      <c r="Y351" s="56"/>
      <c r="Z351" s="56"/>
      <c r="AA351" s="56"/>
      <c r="AB351" s="56"/>
      <c r="AC351" s="15"/>
    </row>
    <row r="352" spans="3:29" ht="12.75">
      <c r="C352" s="23"/>
      <c r="I352" s="23"/>
      <c r="L352" s="56"/>
      <c r="M352" s="56"/>
      <c r="N352" s="56"/>
      <c r="O352" s="56"/>
      <c r="P352" s="56"/>
      <c r="Q352" s="56"/>
      <c r="R352" s="56"/>
      <c r="S352" s="56"/>
      <c r="T352" s="56"/>
      <c r="U352" s="56"/>
      <c r="V352" s="56"/>
      <c r="W352" s="56"/>
      <c r="X352" s="56"/>
      <c r="Y352" s="56"/>
      <c r="Z352" s="56"/>
      <c r="AA352" s="56"/>
      <c r="AB352" s="56"/>
      <c r="AC352" s="15"/>
    </row>
    <row r="353" spans="3:29" ht="12.75">
      <c r="C353" s="23"/>
      <c r="I353" s="23"/>
      <c r="L353" s="56"/>
      <c r="M353" s="56"/>
      <c r="N353" s="56"/>
      <c r="O353" s="56"/>
      <c r="P353" s="56"/>
      <c r="Q353" s="56"/>
      <c r="R353" s="56"/>
      <c r="S353" s="56"/>
      <c r="T353" s="56"/>
      <c r="U353" s="56"/>
      <c r="V353" s="56"/>
      <c r="W353" s="56"/>
      <c r="X353" s="56"/>
      <c r="Y353" s="56"/>
      <c r="Z353" s="56"/>
      <c r="AA353" s="56"/>
      <c r="AB353" s="56"/>
      <c r="AC353" s="15"/>
    </row>
    <row r="354" spans="3:29" ht="12.75">
      <c r="C354" s="23"/>
      <c r="I354" s="23"/>
      <c r="L354" s="56"/>
      <c r="M354" s="56"/>
      <c r="N354" s="56"/>
      <c r="O354" s="56"/>
      <c r="P354" s="56"/>
      <c r="Q354" s="56"/>
      <c r="R354" s="56"/>
      <c r="S354" s="56"/>
      <c r="T354" s="56"/>
      <c r="U354" s="56"/>
      <c r="V354" s="56"/>
      <c r="W354" s="56"/>
      <c r="X354" s="56"/>
      <c r="Y354" s="56"/>
      <c r="Z354" s="56"/>
      <c r="AA354" s="56"/>
      <c r="AB354" s="56"/>
      <c r="AC354" s="15"/>
    </row>
    <row r="355" spans="3:29" ht="12.75">
      <c r="C355" s="23"/>
      <c r="I355" s="23"/>
      <c r="L355" s="56"/>
      <c r="M355" s="56"/>
      <c r="N355" s="56"/>
      <c r="O355" s="56"/>
      <c r="P355" s="56"/>
      <c r="Q355" s="56"/>
      <c r="R355" s="56"/>
      <c r="S355" s="56"/>
      <c r="T355" s="56"/>
      <c r="U355" s="56"/>
      <c r="V355" s="56"/>
      <c r="W355" s="56"/>
      <c r="X355" s="56"/>
      <c r="Y355" s="56"/>
      <c r="Z355" s="56"/>
      <c r="AA355" s="56"/>
      <c r="AB355" s="56"/>
      <c r="AC355" s="15"/>
    </row>
    <row r="356" spans="3:29" ht="12.75">
      <c r="C356" s="23"/>
      <c r="I356" s="23"/>
      <c r="L356" s="56"/>
      <c r="M356" s="56"/>
      <c r="N356" s="56"/>
      <c r="O356" s="56"/>
      <c r="P356" s="56"/>
      <c r="Q356" s="56"/>
      <c r="R356" s="56"/>
      <c r="S356" s="56"/>
      <c r="T356" s="56"/>
      <c r="U356" s="56"/>
      <c r="V356" s="56"/>
      <c r="W356" s="56"/>
      <c r="X356" s="56"/>
      <c r="Y356" s="56"/>
      <c r="Z356" s="56"/>
      <c r="AA356" s="56"/>
      <c r="AB356" s="56"/>
      <c r="AC356" s="15"/>
    </row>
    <row r="357" spans="3:29" ht="12.75">
      <c r="C357" s="23"/>
      <c r="I357" s="23"/>
      <c r="L357" s="56"/>
      <c r="M357" s="56"/>
      <c r="N357" s="56"/>
      <c r="O357" s="56"/>
      <c r="P357" s="56"/>
      <c r="Q357" s="56"/>
      <c r="R357" s="56"/>
      <c r="S357" s="56"/>
      <c r="T357" s="56"/>
      <c r="U357" s="56"/>
      <c r="V357" s="56"/>
      <c r="W357" s="56"/>
      <c r="X357" s="56"/>
      <c r="Y357" s="56"/>
      <c r="Z357" s="56"/>
      <c r="AA357" s="56"/>
      <c r="AB357" s="56"/>
      <c r="AC357" s="15"/>
    </row>
    <row r="358" spans="3:29" ht="12.75">
      <c r="C358" s="23"/>
      <c r="I358" s="23"/>
      <c r="L358" s="56"/>
      <c r="M358" s="56"/>
      <c r="N358" s="56"/>
      <c r="O358" s="56"/>
      <c r="P358" s="56"/>
      <c r="Q358" s="56"/>
      <c r="R358" s="56"/>
      <c r="S358" s="56"/>
      <c r="T358" s="56"/>
      <c r="U358" s="56"/>
      <c r="V358" s="56"/>
      <c r="W358" s="56"/>
      <c r="X358" s="56"/>
      <c r="Y358" s="56"/>
      <c r="Z358" s="56"/>
      <c r="AA358" s="56"/>
      <c r="AB358" s="56"/>
      <c r="AC358" s="15"/>
    </row>
    <row r="359" spans="3:29" ht="12.75">
      <c r="C359" s="23"/>
      <c r="I359" s="23"/>
      <c r="L359" s="56"/>
      <c r="M359" s="56"/>
      <c r="N359" s="56"/>
      <c r="O359" s="56"/>
      <c r="P359" s="56"/>
      <c r="Q359" s="56"/>
      <c r="R359" s="56"/>
      <c r="S359" s="56"/>
      <c r="T359" s="56"/>
      <c r="U359" s="56"/>
      <c r="V359" s="56"/>
      <c r="W359" s="56"/>
      <c r="X359" s="56"/>
      <c r="Y359" s="56"/>
      <c r="Z359" s="56"/>
      <c r="AA359" s="56"/>
      <c r="AB359" s="56"/>
      <c r="AC359" s="15"/>
    </row>
    <row r="360" spans="3:29" ht="12.75">
      <c r="C360" s="23"/>
      <c r="I360" s="23"/>
      <c r="L360" s="56"/>
      <c r="M360" s="56"/>
      <c r="N360" s="56"/>
      <c r="O360" s="56"/>
      <c r="P360" s="56"/>
      <c r="Q360" s="56"/>
      <c r="R360" s="56"/>
      <c r="S360" s="56"/>
      <c r="T360" s="56"/>
      <c r="U360" s="56"/>
      <c r="V360" s="56"/>
      <c r="W360" s="56"/>
      <c r="X360" s="56"/>
      <c r="Y360" s="56"/>
      <c r="Z360" s="56"/>
      <c r="AA360" s="56"/>
      <c r="AB360" s="56"/>
      <c r="AC360" s="15"/>
    </row>
    <row r="361" spans="3:29" ht="12.75">
      <c r="C361" s="23"/>
      <c r="I361" s="23"/>
      <c r="L361" s="56"/>
      <c r="M361" s="56"/>
      <c r="N361" s="56"/>
      <c r="O361" s="56"/>
      <c r="P361" s="56"/>
      <c r="Q361" s="56"/>
      <c r="R361" s="56"/>
      <c r="S361" s="56"/>
      <c r="T361" s="56"/>
      <c r="U361" s="56"/>
      <c r="V361" s="56"/>
      <c r="W361" s="56"/>
      <c r="X361" s="56"/>
      <c r="Y361" s="56"/>
      <c r="Z361" s="56"/>
      <c r="AA361" s="56"/>
      <c r="AB361" s="56"/>
      <c r="AC361" s="15"/>
    </row>
    <row r="362" spans="3:29" ht="12.75">
      <c r="C362" s="23"/>
      <c r="I362" s="23"/>
      <c r="L362" s="56"/>
      <c r="M362" s="56"/>
      <c r="N362" s="56"/>
      <c r="O362" s="56"/>
      <c r="P362" s="56"/>
      <c r="Q362" s="56"/>
      <c r="R362" s="56"/>
      <c r="S362" s="56"/>
      <c r="T362" s="56"/>
      <c r="U362" s="56"/>
      <c r="V362" s="56"/>
      <c r="W362" s="56"/>
      <c r="X362" s="56"/>
      <c r="Y362" s="56"/>
      <c r="Z362" s="56"/>
      <c r="AA362" s="56"/>
      <c r="AB362" s="56"/>
      <c r="AC362" s="15"/>
    </row>
    <row r="363" spans="3:29" ht="12.75">
      <c r="C363" s="23"/>
      <c r="I363" s="23"/>
      <c r="L363" s="56"/>
      <c r="M363" s="56"/>
      <c r="N363" s="56"/>
      <c r="O363" s="56"/>
      <c r="P363" s="56"/>
      <c r="Q363" s="56"/>
      <c r="R363" s="56"/>
      <c r="S363" s="56"/>
      <c r="T363" s="56"/>
      <c r="U363" s="56"/>
      <c r="V363" s="56"/>
      <c r="W363" s="56"/>
      <c r="X363" s="56"/>
      <c r="Y363" s="56"/>
      <c r="Z363" s="56"/>
      <c r="AA363" s="56"/>
      <c r="AB363" s="56"/>
      <c r="AC363" s="15"/>
    </row>
    <row r="364" spans="3:29" ht="12.75">
      <c r="C364" s="23"/>
      <c r="I364" s="23"/>
      <c r="L364" s="56"/>
      <c r="M364" s="56"/>
      <c r="N364" s="56"/>
      <c r="O364" s="56"/>
      <c r="P364" s="56"/>
      <c r="Q364" s="56"/>
      <c r="R364" s="56"/>
      <c r="S364" s="56"/>
      <c r="T364" s="56"/>
      <c r="U364" s="56"/>
      <c r="V364" s="56"/>
      <c r="W364" s="56"/>
      <c r="X364" s="56"/>
      <c r="Y364" s="56"/>
      <c r="Z364" s="56"/>
      <c r="AA364" s="56"/>
      <c r="AB364" s="56"/>
      <c r="AC364" s="15"/>
    </row>
    <row r="365" spans="3:29" ht="12.75">
      <c r="C365" s="23"/>
      <c r="I365" s="23"/>
      <c r="L365" s="56"/>
      <c r="M365" s="56"/>
      <c r="N365" s="56"/>
      <c r="O365" s="56"/>
      <c r="P365" s="56"/>
      <c r="Q365" s="56"/>
      <c r="R365" s="56"/>
      <c r="S365" s="56"/>
      <c r="T365" s="56"/>
      <c r="U365" s="56"/>
      <c r="V365" s="56"/>
      <c r="W365" s="56"/>
      <c r="X365" s="56"/>
      <c r="Y365" s="56"/>
      <c r="Z365" s="56"/>
      <c r="AA365" s="56"/>
      <c r="AB365" s="56"/>
      <c r="AC365" s="15"/>
    </row>
    <row r="366" spans="3:29" ht="12.75">
      <c r="C366" s="23"/>
      <c r="I366" s="23"/>
      <c r="L366" s="56"/>
      <c r="M366" s="56"/>
      <c r="N366" s="56"/>
      <c r="O366" s="56"/>
      <c r="P366" s="56"/>
      <c r="Q366" s="56"/>
      <c r="R366" s="56"/>
      <c r="S366" s="56"/>
      <c r="T366" s="56"/>
      <c r="U366" s="56"/>
      <c r="V366" s="56"/>
      <c r="W366" s="56"/>
      <c r="X366" s="56"/>
      <c r="Y366" s="56"/>
      <c r="Z366" s="56"/>
      <c r="AA366" s="56"/>
      <c r="AB366" s="56"/>
      <c r="AC366" s="15"/>
    </row>
    <row r="367" spans="3:29" ht="12.75">
      <c r="C367" s="23"/>
      <c r="I367" s="23"/>
      <c r="L367" s="56"/>
      <c r="M367" s="56"/>
      <c r="N367" s="56"/>
      <c r="O367" s="56"/>
      <c r="P367" s="56"/>
      <c r="Q367" s="56"/>
      <c r="R367" s="56"/>
      <c r="S367" s="56"/>
      <c r="T367" s="56"/>
      <c r="U367" s="56"/>
      <c r="V367" s="56"/>
      <c r="W367" s="56"/>
      <c r="X367" s="56"/>
      <c r="Y367" s="56"/>
      <c r="Z367" s="56"/>
      <c r="AA367" s="56"/>
      <c r="AB367" s="56"/>
      <c r="AC367" s="15"/>
    </row>
    <row r="368" spans="3:29" ht="12.75">
      <c r="C368" s="23"/>
      <c r="I368" s="23"/>
      <c r="L368" s="56"/>
      <c r="M368" s="56"/>
      <c r="N368" s="56"/>
      <c r="O368" s="56"/>
      <c r="P368" s="56"/>
      <c r="Q368" s="56"/>
      <c r="R368" s="56"/>
      <c r="S368" s="56"/>
      <c r="T368" s="56"/>
      <c r="U368" s="56"/>
      <c r="V368" s="56"/>
      <c r="W368" s="56"/>
      <c r="X368" s="56"/>
      <c r="Y368" s="56"/>
      <c r="Z368" s="56"/>
      <c r="AA368" s="56"/>
      <c r="AB368" s="56"/>
      <c r="AC368" s="15"/>
    </row>
    <row r="369" spans="3:29" ht="12.75">
      <c r="C369" s="23"/>
      <c r="I369" s="23"/>
      <c r="L369" s="56"/>
      <c r="M369" s="56"/>
      <c r="N369" s="56"/>
      <c r="O369" s="56"/>
      <c r="P369" s="56"/>
      <c r="Q369" s="56"/>
      <c r="R369" s="56"/>
      <c r="S369" s="56"/>
      <c r="T369" s="56"/>
      <c r="U369" s="56"/>
      <c r="V369" s="56"/>
      <c r="W369" s="56"/>
      <c r="X369" s="56"/>
      <c r="Y369" s="56"/>
      <c r="Z369" s="56"/>
      <c r="AA369" s="56"/>
      <c r="AB369" s="56"/>
      <c r="AC369" s="15"/>
    </row>
    <row r="370" spans="3:29" ht="12.75">
      <c r="C370" s="23"/>
      <c r="I370" s="23"/>
      <c r="L370" s="56"/>
      <c r="M370" s="56"/>
      <c r="N370" s="56"/>
      <c r="O370" s="56"/>
      <c r="P370" s="56"/>
      <c r="Q370" s="56"/>
      <c r="R370" s="56"/>
      <c r="S370" s="56"/>
      <c r="T370" s="56"/>
      <c r="U370" s="56"/>
      <c r="V370" s="56"/>
      <c r="W370" s="56"/>
      <c r="X370" s="56"/>
      <c r="Y370" s="56"/>
      <c r="Z370" s="56"/>
      <c r="AA370" s="56"/>
      <c r="AB370" s="56"/>
      <c r="AC370" s="15"/>
    </row>
    <row r="371" spans="3:29" ht="12.75">
      <c r="C371" s="23"/>
      <c r="I371" s="23"/>
      <c r="L371" s="56"/>
      <c r="M371" s="56"/>
      <c r="N371" s="56"/>
      <c r="O371" s="56"/>
      <c r="P371" s="56"/>
      <c r="Q371" s="56"/>
      <c r="R371" s="56"/>
      <c r="S371" s="56"/>
      <c r="T371" s="56"/>
      <c r="U371" s="56"/>
      <c r="V371" s="56"/>
      <c r="W371" s="56"/>
      <c r="X371" s="56"/>
      <c r="Y371" s="56"/>
      <c r="Z371" s="56"/>
      <c r="AA371" s="56"/>
      <c r="AB371" s="56"/>
      <c r="AC371" s="15"/>
    </row>
    <row r="372" spans="3:29" ht="12.75">
      <c r="C372" s="23"/>
      <c r="I372" s="23"/>
      <c r="L372" s="56"/>
      <c r="M372" s="56"/>
      <c r="N372" s="56"/>
      <c r="O372" s="56"/>
      <c r="P372" s="56"/>
      <c r="Q372" s="56"/>
      <c r="R372" s="56"/>
      <c r="S372" s="56"/>
      <c r="T372" s="56"/>
      <c r="U372" s="56"/>
      <c r="V372" s="56"/>
      <c r="W372" s="56"/>
      <c r="X372" s="56"/>
      <c r="Y372" s="56"/>
      <c r="Z372" s="56"/>
      <c r="AA372" s="56"/>
      <c r="AB372" s="56"/>
      <c r="AC372" s="15"/>
    </row>
    <row r="373" spans="3:29" ht="12.75">
      <c r="C373" s="23"/>
      <c r="I373" s="23"/>
      <c r="L373" s="56"/>
      <c r="M373" s="56"/>
      <c r="N373" s="56"/>
      <c r="O373" s="56"/>
      <c r="P373" s="56"/>
      <c r="Q373" s="56"/>
      <c r="R373" s="56"/>
      <c r="S373" s="56"/>
      <c r="T373" s="56"/>
      <c r="U373" s="56"/>
      <c r="V373" s="56"/>
      <c r="W373" s="56"/>
      <c r="X373" s="56"/>
      <c r="Y373" s="56"/>
      <c r="Z373" s="56"/>
      <c r="AA373" s="56"/>
      <c r="AB373" s="56"/>
      <c r="AC373" s="15"/>
    </row>
    <row r="374" spans="3:29" ht="12.75">
      <c r="C374" s="23"/>
      <c r="I374" s="23"/>
      <c r="L374" s="56"/>
      <c r="M374" s="56"/>
      <c r="N374" s="56"/>
      <c r="O374" s="56"/>
      <c r="P374" s="56"/>
      <c r="Q374" s="56"/>
      <c r="R374" s="56"/>
      <c r="S374" s="56"/>
      <c r="T374" s="56"/>
      <c r="U374" s="56"/>
      <c r="V374" s="56"/>
      <c r="W374" s="56"/>
      <c r="X374" s="56"/>
      <c r="Y374" s="56"/>
      <c r="Z374" s="56"/>
      <c r="AA374" s="56"/>
      <c r="AB374" s="56"/>
      <c r="AC374" s="15"/>
    </row>
    <row r="375" spans="3:29" ht="12.75">
      <c r="C375" s="23"/>
      <c r="I375" s="23"/>
      <c r="L375" s="56"/>
      <c r="M375" s="56"/>
      <c r="N375" s="56"/>
      <c r="O375" s="56"/>
      <c r="P375" s="56"/>
      <c r="Q375" s="56"/>
      <c r="R375" s="56"/>
      <c r="S375" s="56"/>
      <c r="T375" s="56"/>
      <c r="U375" s="56"/>
      <c r="V375" s="56"/>
      <c r="W375" s="56"/>
      <c r="X375" s="56"/>
      <c r="Y375" s="56"/>
      <c r="Z375" s="56"/>
      <c r="AA375" s="56"/>
      <c r="AB375" s="56"/>
      <c r="AC375" s="15"/>
    </row>
    <row r="376" spans="3:29" ht="12.75">
      <c r="C376" s="23"/>
      <c r="I376" s="23"/>
      <c r="L376" s="56"/>
      <c r="M376" s="56"/>
      <c r="N376" s="56"/>
      <c r="O376" s="56"/>
      <c r="P376" s="56"/>
      <c r="Q376" s="56"/>
      <c r="R376" s="56"/>
      <c r="S376" s="56"/>
      <c r="T376" s="56"/>
      <c r="U376" s="56"/>
      <c r="V376" s="56"/>
      <c r="W376" s="56"/>
      <c r="X376" s="56"/>
      <c r="Y376" s="56"/>
      <c r="Z376" s="56"/>
      <c r="AA376" s="56"/>
      <c r="AB376" s="56"/>
      <c r="AC376" s="15"/>
    </row>
    <row r="377" spans="3:29" ht="12.75">
      <c r="C377" s="23"/>
      <c r="I377" s="23"/>
      <c r="L377" s="56"/>
      <c r="M377" s="56"/>
      <c r="N377" s="56"/>
      <c r="O377" s="56"/>
      <c r="P377" s="56"/>
      <c r="Q377" s="56"/>
      <c r="R377" s="56"/>
      <c r="S377" s="56"/>
      <c r="T377" s="56"/>
      <c r="U377" s="56"/>
      <c r="V377" s="56"/>
      <c r="W377" s="56"/>
      <c r="X377" s="56"/>
      <c r="Y377" s="56"/>
      <c r="Z377" s="56"/>
      <c r="AA377" s="56"/>
      <c r="AB377" s="56"/>
      <c r="AC377" s="15"/>
    </row>
    <row r="378" spans="3:29" ht="12.75">
      <c r="C378" s="23"/>
      <c r="I378" s="23"/>
      <c r="L378" s="56"/>
      <c r="M378" s="56"/>
      <c r="N378" s="56"/>
      <c r="O378" s="56"/>
      <c r="P378" s="56"/>
      <c r="Q378" s="56"/>
      <c r="R378" s="56"/>
      <c r="S378" s="56"/>
      <c r="T378" s="56"/>
      <c r="U378" s="56"/>
      <c r="V378" s="56"/>
      <c r="W378" s="56"/>
      <c r="X378" s="56"/>
      <c r="Y378" s="56"/>
      <c r="Z378" s="56"/>
      <c r="AA378" s="56"/>
      <c r="AB378" s="56"/>
      <c r="AC378" s="15"/>
    </row>
    <row r="379" spans="3:29" ht="12.75">
      <c r="C379" s="23"/>
      <c r="I379" s="23"/>
      <c r="L379" s="56"/>
      <c r="M379" s="56"/>
      <c r="N379" s="56"/>
      <c r="O379" s="56"/>
      <c r="P379" s="56"/>
      <c r="Q379" s="56"/>
      <c r="R379" s="56"/>
      <c r="S379" s="56"/>
      <c r="T379" s="56"/>
      <c r="U379" s="56"/>
      <c r="V379" s="56"/>
      <c r="W379" s="56"/>
      <c r="X379" s="56"/>
      <c r="Y379" s="56"/>
      <c r="Z379" s="56"/>
      <c r="AA379" s="56"/>
      <c r="AB379" s="56"/>
      <c r="AC379" s="15"/>
    </row>
    <row r="380" spans="3:29" ht="12.75">
      <c r="C380" s="23"/>
      <c r="I380" s="23"/>
      <c r="L380" s="56"/>
      <c r="M380" s="56"/>
      <c r="N380" s="56"/>
      <c r="O380" s="56"/>
      <c r="P380" s="56"/>
      <c r="Q380" s="56"/>
      <c r="R380" s="56"/>
      <c r="S380" s="56"/>
      <c r="T380" s="56"/>
      <c r="U380" s="56"/>
      <c r="V380" s="56"/>
      <c r="W380" s="56"/>
      <c r="X380" s="56"/>
      <c r="Y380" s="56"/>
      <c r="Z380" s="56"/>
      <c r="AA380" s="56"/>
      <c r="AB380" s="56"/>
      <c r="AC380" s="15"/>
    </row>
    <row r="381" spans="3:29" ht="12.75">
      <c r="C381" s="23"/>
      <c r="I381" s="23"/>
      <c r="L381" s="56"/>
      <c r="M381" s="56"/>
      <c r="N381" s="56"/>
      <c r="O381" s="56"/>
      <c r="P381" s="56"/>
      <c r="Q381" s="56"/>
      <c r="R381" s="56"/>
      <c r="S381" s="56"/>
      <c r="T381" s="56"/>
      <c r="U381" s="56"/>
      <c r="V381" s="56"/>
      <c r="W381" s="56"/>
      <c r="X381" s="56"/>
      <c r="Y381" s="56"/>
      <c r="Z381" s="56"/>
      <c r="AA381" s="56"/>
      <c r="AB381" s="56"/>
      <c r="AC381" s="15"/>
    </row>
    <row r="382" spans="3:29" ht="12.75">
      <c r="C382" s="23"/>
      <c r="I382" s="23"/>
      <c r="L382" s="56"/>
      <c r="M382" s="56"/>
      <c r="N382" s="56"/>
      <c r="O382" s="56"/>
      <c r="P382" s="56"/>
      <c r="Q382" s="56"/>
      <c r="R382" s="56"/>
      <c r="S382" s="56"/>
      <c r="T382" s="56"/>
      <c r="U382" s="56"/>
      <c r="V382" s="56"/>
      <c r="W382" s="56"/>
      <c r="X382" s="56"/>
      <c r="Y382" s="56"/>
      <c r="Z382" s="56"/>
      <c r="AA382" s="56"/>
      <c r="AB382" s="56"/>
      <c r="AC382" s="15"/>
    </row>
    <row r="383" spans="3:29" ht="12.75">
      <c r="C383" s="23"/>
      <c r="I383" s="23"/>
      <c r="L383" s="56"/>
      <c r="M383" s="56"/>
      <c r="N383" s="56"/>
      <c r="O383" s="56"/>
      <c r="P383" s="56"/>
      <c r="Q383" s="56"/>
      <c r="R383" s="56"/>
      <c r="S383" s="56"/>
      <c r="T383" s="56"/>
      <c r="U383" s="56"/>
      <c r="V383" s="56"/>
      <c r="W383" s="56"/>
      <c r="X383" s="56"/>
      <c r="Y383" s="56"/>
      <c r="Z383" s="56"/>
      <c r="AA383" s="56"/>
      <c r="AB383" s="56"/>
      <c r="AC383" s="15"/>
    </row>
    <row r="384" spans="3:29" ht="12.75">
      <c r="C384" s="23"/>
      <c r="I384" s="23"/>
      <c r="L384" s="56"/>
      <c r="M384" s="56"/>
      <c r="N384" s="56"/>
      <c r="O384" s="56"/>
      <c r="P384" s="56"/>
      <c r="Q384" s="56"/>
      <c r="R384" s="56"/>
      <c r="S384" s="56"/>
      <c r="T384" s="56"/>
      <c r="U384" s="56"/>
      <c r="V384" s="56"/>
      <c r="W384" s="56"/>
      <c r="X384" s="56"/>
      <c r="Y384" s="56"/>
      <c r="Z384" s="56"/>
      <c r="AA384" s="56"/>
      <c r="AB384" s="56"/>
      <c r="AC384" s="15"/>
    </row>
    <row r="385" spans="3:29" ht="12.75">
      <c r="C385" s="23"/>
      <c r="I385" s="23"/>
      <c r="L385" s="56"/>
      <c r="M385" s="56"/>
      <c r="N385" s="56"/>
      <c r="O385" s="56"/>
      <c r="P385" s="56"/>
      <c r="Q385" s="56"/>
      <c r="R385" s="56"/>
      <c r="S385" s="56"/>
      <c r="T385" s="56"/>
      <c r="U385" s="56"/>
      <c r="V385" s="56"/>
      <c r="W385" s="56"/>
      <c r="X385" s="56"/>
      <c r="Y385" s="56"/>
      <c r="Z385" s="56"/>
      <c r="AA385" s="56"/>
      <c r="AB385" s="56"/>
      <c r="AC385" s="15"/>
    </row>
    <row r="386" spans="3:29" ht="12.75">
      <c r="C386" s="23"/>
      <c r="I386" s="23"/>
      <c r="L386" s="56"/>
      <c r="M386" s="56"/>
      <c r="N386" s="56"/>
      <c r="O386" s="56"/>
      <c r="P386" s="56"/>
      <c r="Q386" s="56"/>
      <c r="R386" s="56"/>
      <c r="S386" s="56"/>
      <c r="T386" s="56"/>
      <c r="U386" s="56"/>
      <c r="V386" s="56"/>
      <c r="W386" s="56"/>
      <c r="X386" s="56"/>
      <c r="Y386" s="56"/>
      <c r="Z386" s="56"/>
      <c r="AA386" s="56"/>
      <c r="AB386" s="56"/>
      <c r="AC386" s="15"/>
    </row>
    <row r="387" spans="3:29" ht="12.75">
      <c r="C387" s="23"/>
      <c r="I387" s="23"/>
      <c r="L387" s="56"/>
      <c r="M387" s="56"/>
      <c r="N387" s="56"/>
      <c r="O387" s="56"/>
      <c r="P387" s="56"/>
      <c r="Q387" s="56"/>
      <c r="R387" s="56"/>
      <c r="S387" s="56"/>
      <c r="T387" s="56"/>
      <c r="U387" s="56"/>
      <c r="V387" s="56"/>
      <c r="W387" s="56"/>
      <c r="X387" s="56"/>
      <c r="Y387" s="56"/>
      <c r="Z387" s="56"/>
      <c r="AA387" s="56"/>
      <c r="AB387" s="56"/>
      <c r="AC387" s="15"/>
    </row>
    <row r="388" spans="3:29" ht="12.75">
      <c r="C388" s="23"/>
      <c r="I388" s="23"/>
      <c r="L388" s="56"/>
      <c r="M388" s="56"/>
      <c r="N388" s="56"/>
      <c r="O388" s="56"/>
      <c r="P388" s="56"/>
      <c r="Q388" s="56"/>
      <c r="R388" s="56"/>
      <c r="S388" s="56"/>
      <c r="T388" s="56"/>
      <c r="U388" s="56"/>
      <c r="V388" s="56"/>
      <c r="W388" s="56"/>
      <c r="X388" s="56"/>
      <c r="Y388" s="56"/>
      <c r="Z388" s="56"/>
      <c r="AA388" s="56"/>
      <c r="AB388" s="56"/>
      <c r="AC388" s="15"/>
    </row>
    <row r="389" spans="3:29" ht="12.75">
      <c r="C389" s="23"/>
      <c r="I389" s="23"/>
      <c r="L389" s="56"/>
      <c r="M389" s="56"/>
      <c r="N389" s="56"/>
      <c r="O389" s="56"/>
      <c r="P389" s="56"/>
      <c r="Q389" s="56"/>
      <c r="R389" s="56"/>
      <c r="S389" s="56"/>
      <c r="T389" s="56"/>
      <c r="U389" s="56"/>
      <c r="V389" s="56"/>
      <c r="W389" s="56"/>
      <c r="X389" s="56"/>
      <c r="Y389" s="56"/>
      <c r="Z389" s="56"/>
      <c r="AA389" s="56"/>
      <c r="AB389" s="56"/>
      <c r="AC389" s="15"/>
    </row>
    <row r="390" spans="3:29" ht="12.75">
      <c r="C390" s="23"/>
      <c r="I390" s="23"/>
      <c r="L390" s="56"/>
      <c r="M390" s="56"/>
      <c r="N390" s="56"/>
      <c r="O390" s="56"/>
      <c r="P390" s="56"/>
      <c r="Q390" s="56"/>
      <c r="R390" s="56"/>
      <c r="S390" s="56"/>
      <c r="T390" s="56"/>
      <c r="U390" s="56"/>
      <c r="V390" s="56"/>
      <c r="W390" s="56"/>
      <c r="X390" s="56"/>
      <c r="Y390" s="56"/>
      <c r="Z390" s="56"/>
      <c r="AA390" s="56"/>
      <c r="AB390" s="56"/>
      <c r="AC390" s="15"/>
    </row>
    <row r="391" spans="3:29" ht="12.75">
      <c r="C391" s="23"/>
      <c r="I391" s="23"/>
      <c r="L391" s="56"/>
      <c r="M391" s="56"/>
      <c r="N391" s="56"/>
      <c r="O391" s="56"/>
      <c r="P391" s="56"/>
      <c r="Q391" s="56"/>
      <c r="R391" s="56"/>
      <c r="S391" s="56"/>
      <c r="T391" s="56"/>
      <c r="U391" s="56"/>
      <c r="V391" s="56"/>
      <c r="W391" s="56"/>
      <c r="X391" s="56"/>
      <c r="Y391" s="56"/>
      <c r="Z391" s="56"/>
      <c r="AA391" s="56"/>
      <c r="AB391" s="56"/>
      <c r="AC391" s="15"/>
    </row>
    <row r="392" spans="3:29" ht="12.75">
      <c r="C392" s="23"/>
      <c r="I392" s="23"/>
      <c r="L392" s="56"/>
      <c r="M392" s="56"/>
      <c r="N392" s="56"/>
      <c r="O392" s="56"/>
      <c r="P392" s="56"/>
      <c r="Q392" s="56"/>
      <c r="R392" s="56"/>
      <c r="S392" s="56"/>
      <c r="T392" s="56"/>
      <c r="U392" s="56"/>
      <c r="V392" s="56"/>
      <c r="W392" s="56"/>
      <c r="X392" s="56"/>
      <c r="Y392" s="56"/>
      <c r="Z392" s="56"/>
      <c r="AA392" s="56"/>
      <c r="AB392" s="56"/>
      <c r="AC392" s="15"/>
    </row>
    <row r="393" spans="3:29" ht="12.75">
      <c r="C393" s="23"/>
      <c r="I393" s="23"/>
      <c r="L393" s="56"/>
      <c r="M393" s="56"/>
      <c r="N393" s="56"/>
      <c r="O393" s="56"/>
      <c r="P393" s="56"/>
      <c r="Q393" s="56"/>
      <c r="R393" s="56"/>
      <c r="S393" s="56"/>
      <c r="T393" s="56"/>
      <c r="U393" s="56"/>
      <c r="V393" s="56"/>
      <c r="W393" s="56"/>
      <c r="X393" s="56"/>
      <c r="Y393" s="56"/>
      <c r="Z393" s="56"/>
      <c r="AA393" s="56"/>
      <c r="AB393" s="56"/>
      <c r="AC393" s="15"/>
    </row>
    <row r="394" spans="3:29" ht="12.75">
      <c r="C394" s="23"/>
      <c r="I394" s="23"/>
      <c r="L394" s="56"/>
      <c r="M394" s="56"/>
      <c r="N394" s="56"/>
      <c r="O394" s="56"/>
      <c r="P394" s="56"/>
      <c r="Q394" s="56"/>
      <c r="R394" s="56"/>
      <c r="S394" s="56"/>
      <c r="T394" s="56"/>
      <c r="U394" s="56"/>
      <c r="V394" s="56"/>
      <c r="W394" s="56"/>
      <c r="X394" s="56"/>
      <c r="Y394" s="56"/>
      <c r="Z394" s="56"/>
      <c r="AA394" s="56"/>
      <c r="AB394" s="56"/>
      <c r="AC394" s="15"/>
    </row>
    <row r="395" spans="3:29" ht="12.75">
      <c r="C395" s="23"/>
      <c r="I395" s="23"/>
      <c r="L395" s="56"/>
      <c r="M395" s="56"/>
      <c r="N395" s="56"/>
      <c r="O395" s="56"/>
      <c r="P395" s="56"/>
      <c r="Q395" s="56"/>
      <c r="R395" s="56"/>
      <c r="S395" s="56"/>
      <c r="T395" s="56"/>
      <c r="U395" s="56"/>
      <c r="V395" s="56"/>
      <c r="W395" s="56"/>
      <c r="X395" s="56"/>
      <c r="Y395" s="56"/>
      <c r="Z395" s="56"/>
      <c r="AA395" s="56"/>
      <c r="AB395" s="56"/>
      <c r="AC395" s="15"/>
    </row>
    <row r="396" spans="3:29" ht="12.75">
      <c r="C396" s="23"/>
      <c r="I396" s="23"/>
      <c r="L396" s="56"/>
      <c r="M396" s="56"/>
      <c r="N396" s="56"/>
      <c r="O396" s="56"/>
      <c r="P396" s="56"/>
      <c r="Q396" s="56"/>
      <c r="R396" s="56"/>
      <c r="S396" s="56"/>
      <c r="T396" s="56"/>
      <c r="U396" s="56"/>
      <c r="V396" s="56"/>
      <c r="W396" s="56"/>
      <c r="X396" s="56"/>
      <c r="Y396" s="56"/>
      <c r="Z396" s="56"/>
      <c r="AA396" s="56"/>
      <c r="AB396" s="56"/>
      <c r="AC396" s="15"/>
    </row>
    <row r="397" spans="3:29" ht="12.75">
      <c r="C397" s="23"/>
      <c r="I397" s="23"/>
      <c r="L397" s="56"/>
      <c r="M397" s="56"/>
      <c r="N397" s="56"/>
      <c r="O397" s="56"/>
      <c r="P397" s="56"/>
      <c r="Q397" s="56"/>
      <c r="R397" s="56"/>
      <c r="S397" s="56"/>
      <c r="T397" s="56"/>
      <c r="U397" s="56"/>
      <c r="V397" s="56"/>
      <c r="W397" s="56"/>
      <c r="X397" s="56"/>
      <c r="Y397" s="56"/>
      <c r="Z397" s="56"/>
      <c r="AA397" s="56"/>
      <c r="AB397" s="56"/>
      <c r="AC397" s="15"/>
    </row>
    <row r="398" spans="3:29" ht="12.75">
      <c r="C398" s="23"/>
      <c r="I398" s="23"/>
      <c r="L398" s="56"/>
      <c r="M398" s="56"/>
      <c r="N398" s="56"/>
      <c r="O398" s="56"/>
      <c r="P398" s="56"/>
      <c r="Q398" s="56"/>
      <c r="R398" s="56"/>
      <c r="S398" s="56"/>
      <c r="T398" s="56"/>
      <c r="U398" s="56"/>
      <c r="V398" s="56"/>
      <c r="W398" s="56"/>
      <c r="X398" s="56"/>
      <c r="Y398" s="56"/>
      <c r="Z398" s="56"/>
      <c r="AA398" s="56"/>
      <c r="AB398" s="56"/>
      <c r="AC398" s="15"/>
    </row>
    <row r="399" spans="3:29" ht="12.75">
      <c r="C399" s="23"/>
      <c r="I399" s="23"/>
      <c r="L399" s="56"/>
      <c r="M399" s="56"/>
      <c r="N399" s="56"/>
      <c r="O399" s="56"/>
      <c r="P399" s="56"/>
      <c r="Q399" s="56"/>
      <c r="R399" s="56"/>
      <c r="S399" s="56"/>
      <c r="T399" s="56"/>
      <c r="U399" s="56"/>
      <c r="V399" s="56"/>
      <c r="W399" s="56"/>
      <c r="X399" s="56"/>
      <c r="Y399" s="56"/>
      <c r="Z399" s="56"/>
      <c r="AA399" s="56"/>
      <c r="AB399" s="56"/>
      <c r="AC399" s="15"/>
    </row>
    <row r="400" spans="3:29" ht="12.75">
      <c r="C400" s="23"/>
      <c r="I400" s="23"/>
      <c r="L400" s="56"/>
      <c r="M400" s="56"/>
      <c r="N400" s="56"/>
      <c r="O400" s="56"/>
      <c r="P400" s="56"/>
      <c r="Q400" s="56"/>
      <c r="R400" s="56"/>
      <c r="S400" s="56"/>
      <c r="T400" s="56"/>
      <c r="U400" s="56"/>
      <c r="V400" s="56"/>
      <c r="W400" s="56"/>
      <c r="X400" s="56"/>
      <c r="Y400" s="56"/>
      <c r="Z400" s="56"/>
      <c r="AA400" s="56"/>
      <c r="AB400" s="56"/>
      <c r="AC400" s="15"/>
    </row>
    <row r="401" spans="3:29" ht="12.75">
      <c r="C401" s="23"/>
      <c r="I401" s="23"/>
      <c r="L401" s="56"/>
      <c r="M401" s="56"/>
      <c r="N401" s="56"/>
      <c r="O401" s="56"/>
      <c r="P401" s="56"/>
      <c r="Q401" s="56"/>
      <c r="R401" s="56"/>
      <c r="S401" s="56"/>
      <c r="T401" s="56"/>
      <c r="U401" s="56"/>
      <c r="V401" s="56"/>
      <c r="W401" s="56"/>
      <c r="X401" s="56"/>
      <c r="Y401" s="56"/>
      <c r="Z401" s="56"/>
      <c r="AA401" s="56"/>
      <c r="AB401" s="56"/>
      <c r="AC401" s="15"/>
    </row>
    <row r="402" spans="3:29" ht="12.75">
      <c r="C402" s="23"/>
      <c r="I402" s="23"/>
      <c r="L402" s="56"/>
      <c r="M402" s="56"/>
      <c r="N402" s="56"/>
      <c r="O402" s="56"/>
      <c r="P402" s="56"/>
      <c r="Q402" s="56"/>
      <c r="R402" s="56"/>
      <c r="S402" s="56"/>
      <c r="T402" s="56"/>
      <c r="U402" s="56"/>
      <c r="V402" s="56"/>
      <c r="W402" s="56"/>
      <c r="X402" s="56"/>
      <c r="Y402" s="56"/>
      <c r="Z402" s="56"/>
      <c r="AA402" s="56"/>
      <c r="AB402" s="56"/>
      <c r="AC402" s="15"/>
    </row>
    <row r="403" spans="3:29" ht="12.75">
      <c r="C403" s="23"/>
      <c r="I403" s="23"/>
      <c r="L403" s="56"/>
      <c r="M403" s="56"/>
      <c r="N403" s="56"/>
      <c r="O403" s="56"/>
      <c r="P403" s="56"/>
      <c r="Q403" s="56"/>
      <c r="R403" s="56"/>
      <c r="S403" s="56"/>
      <c r="T403" s="56"/>
      <c r="U403" s="56"/>
      <c r="V403" s="56"/>
      <c r="W403" s="56"/>
      <c r="X403" s="56"/>
      <c r="Y403" s="56"/>
      <c r="Z403" s="56"/>
      <c r="AA403" s="56"/>
      <c r="AB403" s="56"/>
      <c r="AC403" s="15"/>
    </row>
    <row r="404" spans="3:29" ht="12.75">
      <c r="C404" s="23"/>
      <c r="I404" s="23"/>
      <c r="L404" s="56"/>
      <c r="M404" s="56"/>
      <c r="N404" s="56"/>
      <c r="O404" s="56"/>
      <c r="P404" s="56"/>
      <c r="Q404" s="56"/>
      <c r="R404" s="56"/>
      <c r="S404" s="56"/>
      <c r="T404" s="56"/>
      <c r="U404" s="56"/>
      <c r="V404" s="56"/>
      <c r="W404" s="56"/>
      <c r="X404" s="56"/>
      <c r="Y404" s="56"/>
      <c r="Z404" s="56"/>
      <c r="AA404" s="56"/>
      <c r="AB404" s="56"/>
      <c r="AC404" s="15"/>
    </row>
    <row r="405" spans="3:29" ht="12.75">
      <c r="C405" s="23"/>
      <c r="I405" s="23"/>
      <c r="L405" s="56"/>
      <c r="M405" s="56"/>
      <c r="N405" s="56"/>
      <c r="O405" s="56"/>
      <c r="P405" s="56"/>
      <c r="Q405" s="56"/>
      <c r="R405" s="56"/>
      <c r="S405" s="56"/>
      <c r="T405" s="56"/>
      <c r="U405" s="56"/>
      <c r="V405" s="56"/>
      <c r="W405" s="56"/>
      <c r="X405" s="56"/>
      <c r="Y405" s="56"/>
      <c r="Z405" s="56"/>
      <c r="AA405" s="56"/>
      <c r="AB405" s="56"/>
      <c r="AC405" s="15"/>
    </row>
    <row r="406" spans="3:29" ht="12.75">
      <c r="C406" s="23"/>
      <c r="I406" s="23"/>
      <c r="L406" s="56"/>
      <c r="M406" s="56"/>
      <c r="N406" s="56"/>
      <c r="O406" s="56"/>
      <c r="P406" s="56"/>
      <c r="Q406" s="56"/>
      <c r="R406" s="56"/>
      <c r="S406" s="56"/>
      <c r="T406" s="56"/>
      <c r="U406" s="56"/>
      <c r="V406" s="56"/>
      <c r="W406" s="56"/>
      <c r="X406" s="56"/>
      <c r="Y406" s="56"/>
      <c r="Z406" s="56"/>
      <c r="AA406" s="56"/>
      <c r="AB406" s="56"/>
      <c r="AC406" s="15"/>
    </row>
    <row r="407" spans="3:29" ht="12.75">
      <c r="C407" s="23"/>
      <c r="I407" s="23"/>
      <c r="L407" s="56"/>
      <c r="M407" s="56"/>
      <c r="N407" s="56"/>
      <c r="O407" s="56"/>
      <c r="P407" s="56"/>
      <c r="Q407" s="56"/>
      <c r="R407" s="56"/>
      <c r="S407" s="56"/>
      <c r="T407" s="56"/>
      <c r="U407" s="56"/>
      <c r="V407" s="56"/>
      <c r="W407" s="56"/>
      <c r="X407" s="56"/>
      <c r="Y407" s="56"/>
      <c r="Z407" s="56"/>
      <c r="AA407" s="56"/>
      <c r="AB407" s="56"/>
      <c r="AC407" s="15"/>
    </row>
    <row r="408" spans="3:29" ht="12.75">
      <c r="C408" s="23"/>
      <c r="I408" s="23"/>
      <c r="L408" s="56"/>
      <c r="M408" s="56"/>
      <c r="N408" s="56"/>
      <c r="O408" s="56"/>
      <c r="P408" s="56"/>
      <c r="Q408" s="56"/>
      <c r="R408" s="56"/>
      <c r="S408" s="56"/>
      <c r="T408" s="56"/>
      <c r="U408" s="56"/>
      <c r="V408" s="56"/>
      <c r="W408" s="56"/>
      <c r="X408" s="56"/>
      <c r="Y408" s="56"/>
      <c r="Z408" s="56"/>
      <c r="AA408" s="56"/>
      <c r="AB408" s="56"/>
      <c r="AC408" s="15"/>
    </row>
    <row r="409" spans="3:29" ht="12.75">
      <c r="C409" s="23"/>
      <c r="I409" s="23"/>
      <c r="L409" s="56"/>
      <c r="M409" s="56"/>
      <c r="N409" s="56"/>
      <c r="O409" s="56"/>
      <c r="P409" s="56"/>
      <c r="Q409" s="56"/>
      <c r="R409" s="56"/>
      <c r="S409" s="56"/>
      <c r="T409" s="56"/>
      <c r="U409" s="56"/>
      <c r="V409" s="56"/>
      <c r="W409" s="56"/>
      <c r="X409" s="56"/>
      <c r="Y409" s="56"/>
      <c r="Z409" s="56"/>
      <c r="AA409" s="56"/>
      <c r="AB409" s="56"/>
      <c r="AC409" s="15"/>
    </row>
    <row r="410" spans="3:29" ht="12.75">
      <c r="C410" s="23"/>
      <c r="I410" s="23"/>
      <c r="L410" s="56"/>
      <c r="M410" s="56"/>
      <c r="N410" s="56"/>
      <c r="O410" s="56"/>
      <c r="P410" s="56"/>
      <c r="Q410" s="56"/>
      <c r="R410" s="56"/>
      <c r="S410" s="56"/>
      <c r="T410" s="56"/>
      <c r="U410" s="56"/>
      <c r="V410" s="56"/>
      <c r="W410" s="56"/>
      <c r="X410" s="56"/>
      <c r="Y410" s="56"/>
      <c r="Z410" s="56"/>
      <c r="AA410" s="56"/>
      <c r="AB410" s="56"/>
      <c r="AC410" s="15"/>
    </row>
    <row r="411" spans="3:29" ht="12.75">
      <c r="C411" s="23"/>
      <c r="I411" s="23"/>
      <c r="L411" s="56"/>
      <c r="M411" s="56"/>
      <c r="N411" s="56"/>
      <c r="O411" s="56"/>
      <c r="P411" s="56"/>
      <c r="Q411" s="56"/>
      <c r="R411" s="56"/>
      <c r="S411" s="56"/>
      <c r="T411" s="56"/>
      <c r="U411" s="56"/>
      <c r="V411" s="56"/>
      <c r="W411" s="56"/>
      <c r="X411" s="56"/>
      <c r="Y411" s="56"/>
      <c r="Z411" s="56"/>
      <c r="AA411" s="56"/>
      <c r="AB411" s="56"/>
      <c r="AC411" s="15"/>
    </row>
    <row r="412" spans="3:29" ht="12.75">
      <c r="C412" s="23"/>
      <c r="I412" s="23"/>
      <c r="L412" s="56"/>
      <c r="M412" s="56"/>
      <c r="N412" s="56"/>
      <c r="O412" s="56"/>
      <c r="P412" s="56"/>
      <c r="Q412" s="56"/>
      <c r="R412" s="56"/>
      <c r="S412" s="56"/>
      <c r="T412" s="56"/>
      <c r="U412" s="56"/>
      <c r="V412" s="56"/>
      <c r="W412" s="56"/>
      <c r="X412" s="56"/>
      <c r="Y412" s="56"/>
      <c r="Z412" s="56"/>
      <c r="AA412" s="56"/>
      <c r="AB412" s="56"/>
      <c r="AC412" s="15"/>
    </row>
    <row r="413" spans="3:29" ht="12.75">
      <c r="C413" s="23"/>
      <c r="I413" s="23"/>
      <c r="L413" s="56"/>
      <c r="M413" s="56"/>
      <c r="N413" s="56"/>
      <c r="O413" s="56"/>
      <c r="P413" s="56"/>
      <c r="Q413" s="56"/>
      <c r="R413" s="56"/>
      <c r="S413" s="56"/>
      <c r="T413" s="56"/>
      <c r="U413" s="56"/>
      <c r="V413" s="56"/>
      <c r="W413" s="56"/>
      <c r="X413" s="56"/>
      <c r="Y413" s="56"/>
      <c r="Z413" s="56"/>
      <c r="AA413" s="56"/>
      <c r="AB413" s="56"/>
      <c r="AC413" s="15"/>
    </row>
    <row r="414" spans="3:29" ht="12.75">
      <c r="C414" s="23"/>
      <c r="I414" s="23"/>
      <c r="L414" s="56"/>
      <c r="M414" s="56"/>
      <c r="N414" s="56"/>
      <c r="O414" s="56"/>
      <c r="P414" s="56"/>
      <c r="Q414" s="56"/>
      <c r="R414" s="56"/>
      <c r="S414" s="56"/>
      <c r="T414" s="56"/>
      <c r="U414" s="56"/>
      <c r="V414" s="56"/>
      <c r="W414" s="56"/>
      <c r="X414" s="56"/>
      <c r="Y414" s="56"/>
      <c r="Z414" s="56"/>
      <c r="AA414" s="56"/>
      <c r="AB414" s="56"/>
      <c r="AC414" s="15"/>
    </row>
    <row r="415" spans="3:29" ht="12.75">
      <c r="C415" s="23"/>
      <c r="I415" s="23"/>
      <c r="L415" s="56"/>
      <c r="M415" s="56"/>
      <c r="N415" s="56"/>
      <c r="O415" s="56"/>
      <c r="P415" s="56"/>
      <c r="Q415" s="56"/>
      <c r="R415" s="56"/>
      <c r="S415" s="56"/>
      <c r="T415" s="56"/>
      <c r="U415" s="56"/>
      <c r="V415" s="56"/>
      <c r="W415" s="56"/>
      <c r="X415" s="56"/>
      <c r="Y415" s="56"/>
      <c r="Z415" s="56"/>
      <c r="AA415" s="56"/>
      <c r="AB415" s="56"/>
      <c r="AC415" s="15"/>
    </row>
    <row r="416" spans="3:29" ht="12.75">
      <c r="C416" s="23"/>
      <c r="I416" s="23"/>
      <c r="L416" s="56"/>
      <c r="M416" s="56"/>
      <c r="N416" s="56"/>
      <c r="O416" s="56"/>
      <c r="P416" s="56"/>
      <c r="Q416" s="56"/>
      <c r="R416" s="56"/>
      <c r="S416" s="56"/>
      <c r="T416" s="56"/>
      <c r="U416" s="56"/>
      <c r="V416" s="56"/>
      <c r="W416" s="56"/>
      <c r="X416" s="56"/>
      <c r="Y416" s="56"/>
      <c r="Z416" s="56"/>
      <c r="AA416" s="56"/>
      <c r="AB416" s="56"/>
      <c r="AC416" s="15"/>
    </row>
    <row r="417" spans="3:29" ht="12.75">
      <c r="C417" s="23"/>
      <c r="I417" s="23"/>
      <c r="L417" s="56"/>
      <c r="M417" s="56"/>
      <c r="N417" s="56"/>
      <c r="O417" s="56"/>
      <c r="P417" s="56"/>
      <c r="Q417" s="56"/>
      <c r="R417" s="56"/>
      <c r="S417" s="56"/>
      <c r="T417" s="56"/>
      <c r="U417" s="56"/>
      <c r="V417" s="56"/>
      <c r="W417" s="56"/>
      <c r="X417" s="56"/>
      <c r="Y417" s="56"/>
      <c r="Z417" s="56"/>
      <c r="AA417" s="56"/>
      <c r="AB417" s="56"/>
      <c r="AC417" s="15"/>
    </row>
    <row r="418" spans="3:29" ht="12.75">
      <c r="C418" s="23"/>
      <c r="I418" s="23"/>
      <c r="L418" s="56"/>
      <c r="M418" s="56"/>
      <c r="N418" s="56"/>
      <c r="O418" s="56"/>
      <c r="P418" s="56"/>
      <c r="Q418" s="56"/>
      <c r="R418" s="56"/>
      <c r="S418" s="56"/>
      <c r="T418" s="56"/>
      <c r="U418" s="56"/>
      <c r="V418" s="56"/>
      <c r="W418" s="56"/>
      <c r="X418" s="56"/>
      <c r="Y418" s="56"/>
      <c r="Z418" s="56"/>
      <c r="AA418" s="56"/>
      <c r="AB418" s="56"/>
      <c r="AC418" s="15"/>
    </row>
    <row r="419" spans="3:29" ht="12.75">
      <c r="C419" s="23"/>
      <c r="I419" s="23"/>
      <c r="L419" s="56"/>
      <c r="M419" s="56"/>
      <c r="N419" s="56"/>
      <c r="O419" s="56"/>
      <c r="P419" s="56"/>
      <c r="Q419" s="56"/>
      <c r="R419" s="56"/>
      <c r="S419" s="56"/>
      <c r="T419" s="56"/>
      <c r="U419" s="56"/>
      <c r="V419" s="56"/>
      <c r="W419" s="56"/>
      <c r="X419" s="56"/>
      <c r="Y419" s="56"/>
      <c r="Z419" s="56"/>
      <c r="AA419" s="56"/>
      <c r="AB419" s="56"/>
      <c r="AC419" s="15"/>
    </row>
    <row r="420" spans="3:29" ht="12.75">
      <c r="C420" s="23"/>
      <c r="I420" s="23"/>
      <c r="L420" s="56"/>
      <c r="M420" s="56"/>
      <c r="N420" s="56"/>
      <c r="O420" s="56"/>
      <c r="P420" s="56"/>
      <c r="Q420" s="56"/>
      <c r="R420" s="56"/>
      <c r="S420" s="56"/>
      <c r="T420" s="56"/>
      <c r="U420" s="56"/>
      <c r="V420" s="56"/>
      <c r="W420" s="56"/>
      <c r="X420" s="56"/>
      <c r="Y420" s="56"/>
      <c r="Z420" s="56"/>
      <c r="AA420" s="56"/>
      <c r="AB420" s="56"/>
      <c r="AC420" s="15"/>
    </row>
    <row r="421" spans="3:29" ht="12.75">
      <c r="C421" s="23"/>
      <c r="I421" s="23"/>
      <c r="L421" s="56"/>
      <c r="M421" s="56"/>
      <c r="N421" s="56"/>
      <c r="O421" s="56"/>
      <c r="P421" s="56"/>
      <c r="Q421" s="56"/>
      <c r="R421" s="56"/>
      <c r="S421" s="56"/>
      <c r="T421" s="56"/>
      <c r="U421" s="56"/>
      <c r="V421" s="56"/>
      <c r="W421" s="56"/>
      <c r="X421" s="56"/>
      <c r="Y421" s="56"/>
      <c r="Z421" s="56"/>
      <c r="AA421" s="56"/>
      <c r="AB421" s="56"/>
      <c r="AC421" s="15"/>
    </row>
    <row r="422" spans="3:29" ht="12.75">
      <c r="C422" s="23"/>
      <c r="I422" s="23"/>
      <c r="L422" s="56"/>
      <c r="M422" s="56"/>
      <c r="N422" s="56"/>
      <c r="O422" s="56"/>
      <c r="P422" s="56"/>
      <c r="Q422" s="56"/>
      <c r="R422" s="56"/>
      <c r="S422" s="56"/>
      <c r="T422" s="56"/>
      <c r="U422" s="56"/>
      <c r="V422" s="56"/>
      <c r="W422" s="56"/>
      <c r="X422" s="56"/>
      <c r="Y422" s="56"/>
      <c r="Z422" s="56"/>
      <c r="AA422" s="56"/>
      <c r="AB422" s="56"/>
      <c r="AC422" s="15"/>
    </row>
    <row r="423" spans="3:29" ht="12.75">
      <c r="C423" s="23"/>
      <c r="I423" s="23"/>
      <c r="L423" s="56"/>
      <c r="M423" s="56"/>
      <c r="N423" s="56"/>
      <c r="O423" s="56"/>
      <c r="P423" s="56"/>
      <c r="Q423" s="56"/>
      <c r="R423" s="56"/>
      <c r="S423" s="56"/>
      <c r="T423" s="56"/>
      <c r="U423" s="56"/>
      <c r="V423" s="56"/>
      <c r="W423" s="56"/>
      <c r="X423" s="56"/>
      <c r="Y423" s="56"/>
      <c r="Z423" s="56"/>
      <c r="AA423" s="56"/>
      <c r="AB423" s="56"/>
      <c r="AC423" s="15"/>
    </row>
    <row r="424" spans="3:29" ht="12.75">
      <c r="C424" s="23"/>
      <c r="I424" s="23"/>
      <c r="L424" s="56"/>
      <c r="M424" s="56"/>
      <c r="N424" s="56"/>
      <c r="O424" s="56"/>
      <c r="P424" s="56"/>
      <c r="Q424" s="56"/>
      <c r="R424" s="56"/>
      <c r="S424" s="56"/>
      <c r="T424" s="56"/>
      <c r="U424" s="56"/>
      <c r="V424" s="56"/>
      <c r="W424" s="56"/>
      <c r="X424" s="56"/>
      <c r="Y424" s="56"/>
      <c r="Z424" s="56"/>
      <c r="AA424" s="56"/>
      <c r="AB424" s="56"/>
      <c r="AC424" s="15"/>
    </row>
    <row r="425" spans="3:29" ht="12.75">
      <c r="C425" s="23"/>
      <c r="I425" s="23"/>
      <c r="L425" s="56"/>
      <c r="M425" s="56"/>
      <c r="N425" s="56"/>
      <c r="O425" s="56"/>
      <c r="P425" s="56"/>
      <c r="Q425" s="56"/>
      <c r="R425" s="56"/>
      <c r="S425" s="56"/>
      <c r="T425" s="56"/>
      <c r="U425" s="56"/>
      <c r="V425" s="56"/>
      <c r="W425" s="56"/>
      <c r="X425" s="56"/>
      <c r="Y425" s="56"/>
      <c r="Z425" s="56"/>
      <c r="AA425" s="56"/>
      <c r="AB425" s="56"/>
      <c r="AC425" s="15"/>
    </row>
    <row r="426" spans="3:29" ht="12.75">
      <c r="C426" s="23"/>
      <c r="I426" s="23"/>
      <c r="L426" s="56"/>
      <c r="M426" s="56"/>
      <c r="N426" s="56"/>
      <c r="O426" s="56"/>
      <c r="P426" s="56"/>
      <c r="Q426" s="56"/>
      <c r="R426" s="56"/>
      <c r="S426" s="56"/>
      <c r="T426" s="56"/>
      <c r="U426" s="56"/>
      <c r="V426" s="56"/>
      <c r="W426" s="56"/>
      <c r="X426" s="56"/>
      <c r="Y426" s="56"/>
      <c r="Z426" s="56"/>
      <c r="AA426" s="56"/>
      <c r="AB426" s="56"/>
      <c r="AC426" s="15"/>
    </row>
    <row r="427" spans="3:29" ht="12.75">
      <c r="C427" s="23"/>
      <c r="I427" s="23"/>
      <c r="L427" s="56"/>
      <c r="M427" s="56"/>
      <c r="N427" s="56"/>
      <c r="O427" s="56"/>
      <c r="P427" s="56"/>
      <c r="Q427" s="56"/>
      <c r="R427" s="56"/>
      <c r="S427" s="56"/>
      <c r="T427" s="56"/>
      <c r="U427" s="56"/>
      <c r="V427" s="56"/>
      <c r="W427" s="56"/>
      <c r="X427" s="56"/>
      <c r="Y427" s="56"/>
      <c r="Z427" s="56"/>
      <c r="AA427" s="56"/>
      <c r="AB427" s="56"/>
      <c r="AC427" s="15"/>
    </row>
    <row r="428" spans="3:29" ht="12.75">
      <c r="C428" s="23"/>
      <c r="I428" s="23"/>
      <c r="L428" s="56"/>
      <c r="M428" s="56"/>
      <c r="N428" s="56"/>
      <c r="O428" s="56"/>
      <c r="P428" s="56"/>
      <c r="Q428" s="56"/>
      <c r="R428" s="56"/>
      <c r="S428" s="56"/>
      <c r="T428" s="56"/>
      <c r="U428" s="56"/>
      <c r="V428" s="56"/>
      <c r="W428" s="56"/>
      <c r="X428" s="56"/>
      <c r="Y428" s="56"/>
      <c r="Z428" s="56"/>
      <c r="AA428" s="56"/>
      <c r="AB428" s="56"/>
      <c r="AC428" s="15"/>
    </row>
    <row r="429" spans="3:29" ht="12.75">
      <c r="C429" s="23"/>
      <c r="I429" s="23"/>
      <c r="L429" s="56"/>
      <c r="M429" s="56"/>
      <c r="N429" s="56"/>
      <c r="O429" s="56"/>
      <c r="P429" s="56"/>
      <c r="Q429" s="56"/>
      <c r="R429" s="56"/>
      <c r="S429" s="56"/>
      <c r="T429" s="56"/>
      <c r="U429" s="56"/>
      <c r="V429" s="56"/>
      <c r="W429" s="56"/>
      <c r="X429" s="56"/>
      <c r="Y429" s="56"/>
      <c r="Z429" s="56"/>
      <c r="AA429" s="56"/>
      <c r="AB429" s="56"/>
      <c r="AC429" s="15"/>
    </row>
    <row r="430" spans="3:29" ht="12.75">
      <c r="C430" s="23"/>
      <c r="I430" s="23"/>
      <c r="L430" s="56"/>
      <c r="M430" s="56"/>
      <c r="N430" s="56"/>
      <c r="O430" s="56"/>
      <c r="P430" s="56"/>
      <c r="Q430" s="56"/>
      <c r="R430" s="56"/>
      <c r="S430" s="56"/>
      <c r="T430" s="56"/>
      <c r="U430" s="56"/>
      <c r="V430" s="56"/>
      <c r="W430" s="56"/>
      <c r="X430" s="56"/>
      <c r="Y430" s="56"/>
      <c r="Z430" s="56"/>
      <c r="AA430" s="56"/>
      <c r="AB430" s="56"/>
      <c r="AC430" s="15"/>
    </row>
    <row r="431" spans="3:29" ht="12.75">
      <c r="C431" s="23"/>
      <c r="I431" s="23"/>
      <c r="L431" s="56"/>
      <c r="M431" s="56"/>
      <c r="N431" s="56"/>
      <c r="O431" s="56"/>
      <c r="P431" s="56"/>
      <c r="Q431" s="56"/>
      <c r="R431" s="56"/>
      <c r="S431" s="56"/>
      <c r="T431" s="56"/>
      <c r="U431" s="56"/>
      <c r="V431" s="56"/>
      <c r="W431" s="56"/>
      <c r="X431" s="56"/>
      <c r="Y431" s="56"/>
      <c r="Z431" s="56"/>
      <c r="AA431" s="56"/>
      <c r="AB431" s="56"/>
      <c r="AC431" s="15"/>
    </row>
    <row r="432" spans="3:29" ht="12.75">
      <c r="C432" s="23"/>
      <c r="I432" s="23"/>
      <c r="L432" s="56"/>
      <c r="M432" s="56"/>
      <c r="N432" s="56"/>
      <c r="O432" s="56"/>
      <c r="P432" s="56"/>
      <c r="Q432" s="56"/>
      <c r="R432" s="56"/>
      <c r="S432" s="56"/>
      <c r="T432" s="56"/>
      <c r="U432" s="56"/>
      <c r="V432" s="56"/>
      <c r="W432" s="56"/>
      <c r="X432" s="56"/>
      <c r="Y432" s="56"/>
      <c r="Z432" s="56"/>
      <c r="AA432" s="56"/>
      <c r="AB432" s="56"/>
      <c r="AC432" s="15"/>
    </row>
    <row r="433" spans="3:29" ht="12.75">
      <c r="C433" s="23"/>
      <c r="I433" s="23"/>
      <c r="L433" s="56"/>
      <c r="M433" s="56"/>
      <c r="N433" s="56"/>
      <c r="O433" s="56"/>
      <c r="P433" s="56"/>
      <c r="Q433" s="56"/>
      <c r="R433" s="56"/>
      <c r="S433" s="56"/>
      <c r="T433" s="56"/>
      <c r="U433" s="56"/>
      <c r="V433" s="56"/>
      <c r="W433" s="56"/>
      <c r="X433" s="56"/>
      <c r="Y433" s="56"/>
      <c r="Z433" s="56"/>
      <c r="AA433" s="56"/>
      <c r="AB433" s="56"/>
      <c r="AC433" s="15"/>
    </row>
    <row r="434" spans="3:29" ht="12.75">
      <c r="C434" s="23"/>
      <c r="I434" s="23"/>
      <c r="L434" s="56"/>
      <c r="M434" s="56"/>
      <c r="N434" s="56"/>
      <c r="O434" s="56"/>
      <c r="P434" s="56"/>
      <c r="Q434" s="56"/>
      <c r="R434" s="56"/>
      <c r="S434" s="56"/>
      <c r="T434" s="56"/>
      <c r="U434" s="56"/>
      <c r="V434" s="56"/>
      <c r="W434" s="56"/>
      <c r="X434" s="56"/>
      <c r="Y434" s="56"/>
      <c r="Z434" s="56"/>
      <c r="AA434" s="56"/>
      <c r="AB434" s="56"/>
      <c r="AC434" s="15"/>
    </row>
    <row r="435" spans="3:29" ht="12.75">
      <c r="C435" s="23"/>
      <c r="I435" s="23"/>
      <c r="L435" s="56"/>
      <c r="M435" s="56"/>
      <c r="N435" s="56"/>
      <c r="O435" s="56"/>
      <c r="P435" s="56"/>
      <c r="Q435" s="56"/>
      <c r="R435" s="56"/>
      <c r="S435" s="56"/>
      <c r="T435" s="56"/>
      <c r="U435" s="56"/>
      <c r="V435" s="56"/>
      <c r="W435" s="56"/>
      <c r="X435" s="56"/>
      <c r="Y435" s="56"/>
      <c r="Z435" s="56"/>
      <c r="AA435" s="56"/>
      <c r="AB435" s="56"/>
      <c r="AC435" s="15"/>
    </row>
    <row r="436" spans="3:29" ht="12.75">
      <c r="C436" s="23"/>
      <c r="I436" s="23"/>
      <c r="L436" s="56"/>
      <c r="M436" s="56"/>
      <c r="N436" s="56"/>
      <c r="O436" s="56"/>
      <c r="P436" s="56"/>
      <c r="Q436" s="56"/>
      <c r="R436" s="56"/>
      <c r="S436" s="56"/>
      <c r="T436" s="56"/>
      <c r="U436" s="56"/>
      <c r="V436" s="56"/>
      <c r="W436" s="56"/>
      <c r="X436" s="56"/>
      <c r="Y436" s="56"/>
      <c r="Z436" s="56"/>
      <c r="AA436" s="56"/>
      <c r="AB436" s="56"/>
      <c r="AC436" s="15"/>
    </row>
    <row r="437" spans="3:29" ht="12.75">
      <c r="C437" s="23"/>
      <c r="I437" s="23"/>
      <c r="L437" s="56"/>
      <c r="M437" s="56"/>
      <c r="N437" s="56"/>
      <c r="O437" s="56"/>
      <c r="P437" s="56"/>
      <c r="Q437" s="56"/>
      <c r="R437" s="56"/>
      <c r="S437" s="56"/>
      <c r="T437" s="56"/>
      <c r="U437" s="56"/>
      <c r="V437" s="56"/>
      <c r="W437" s="56"/>
      <c r="X437" s="56"/>
      <c r="Y437" s="56"/>
      <c r="Z437" s="56"/>
      <c r="AA437" s="56"/>
      <c r="AB437" s="56"/>
      <c r="AC437" s="15"/>
    </row>
    <row r="438" spans="3:29" ht="12.75">
      <c r="C438" s="23"/>
      <c r="I438" s="23"/>
      <c r="L438" s="56"/>
      <c r="M438" s="56"/>
      <c r="N438" s="56"/>
      <c r="O438" s="56"/>
      <c r="P438" s="56"/>
      <c r="Q438" s="56"/>
      <c r="R438" s="56"/>
      <c r="S438" s="56"/>
      <c r="T438" s="56"/>
      <c r="U438" s="56"/>
      <c r="V438" s="56"/>
      <c r="W438" s="56"/>
      <c r="X438" s="56"/>
      <c r="Y438" s="56"/>
      <c r="Z438" s="56"/>
      <c r="AA438" s="56"/>
      <c r="AB438" s="56"/>
      <c r="AC438" s="15"/>
    </row>
    <row r="439" spans="3:29" ht="12.75">
      <c r="C439" s="23"/>
      <c r="I439" s="23"/>
      <c r="L439" s="56"/>
      <c r="M439" s="56"/>
      <c r="N439" s="56"/>
      <c r="O439" s="56"/>
      <c r="P439" s="56"/>
      <c r="Q439" s="56"/>
      <c r="R439" s="56"/>
      <c r="S439" s="56"/>
      <c r="T439" s="56"/>
      <c r="U439" s="56"/>
      <c r="V439" s="56"/>
      <c r="W439" s="56"/>
      <c r="X439" s="56"/>
      <c r="Y439" s="56"/>
      <c r="Z439" s="56"/>
      <c r="AA439" s="56"/>
      <c r="AB439" s="56"/>
      <c r="AC439" s="15"/>
    </row>
    <row r="440" spans="3:29" ht="12.75">
      <c r="C440" s="23"/>
      <c r="I440" s="23"/>
      <c r="L440" s="56"/>
      <c r="M440" s="56"/>
      <c r="N440" s="56"/>
      <c r="O440" s="56"/>
      <c r="P440" s="56"/>
      <c r="Q440" s="56"/>
      <c r="R440" s="56"/>
      <c r="S440" s="56"/>
      <c r="T440" s="56"/>
      <c r="U440" s="56"/>
      <c r="V440" s="56"/>
      <c r="W440" s="56"/>
      <c r="X440" s="56"/>
      <c r="Y440" s="56"/>
      <c r="Z440" s="56"/>
      <c r="AA440" s="56"/>
      <c r="AB440" s="56"/>
      <c r="AC440" s="15"/>
    </row>
    <row r="441" spans="3:29" ht="12.75">
      <c r="C441" s="23"/>
      <c r="I441" s="23"/>
      <c r="L441" s="56"/>
      <c r="M441" s="56"/>
      <c r="N441" s="56"/>
      <c r="O441" s="56"/>
      <c r="P441" s="56"/>
      <c r="Q441" s="56"/>
      <c r="R441" s="56"/>
      <c r="S441" s="56"/>
      <c r="T441" s="56"/>
      <c r="U441" s="56"/>
      <c r="V441" s="56"/>
      <c r="W441" s="56"/>
      <c r="X441" s="56"/>
      <c r="Y441" s="56"/>
      <c r="Z441" s="56"/>
      <c r="AA441" s="56"/>
      <c r="AB441" s="56"/>
      <c r="AC441" s="15"/>
    </row>
    <row r="442" spans="3:29" ht="12.75">
      <c r="C442" s="23"/>
      <c r="I442" s="23"/>
      <c r="L442" s="56"/>
      <c r="M442" s="56"/>
      <c r="N442" s="56"/>
      <c r="O442" s="56"/>
      <c r="P442" s="56"/>
      <c r="Q442" s="56"/>
      <c r="R442" s="56"/>
      <c r="S442" s="56"/>
      <c r="T442" s="56"/>
      <c r="U442" s="56"/>
      <c r="V442" s="56"/>
      <c r="W442" s="56"/>
      <c r="X442" s="56"/>
      <c r="Y442" s="56"/>
      <c r="Z442" s="56"/>
      <c r="AA442" s="56"/>
      <c r="AB442" s="56"/>
      <c r="AC442" s="15"/>
    </row>
    <row r="443" spans="3:29" ht="12.75">
      <c r="C443" s="23"/>
      <c r="I443" s="23"/>
      <c r="L443" s="56"/>
      <c r="M443" s="56"/>
      <c r="N443" s="56"/>
      <c r="O443" s="56"/>
      <c r="P443" s="56"/>
      <c r="Q443" s="56"/>
      <c r="R443" s="56"/>
      <c r="S443" s="56"/>
      <c r="T443" s="56"/>
      <c r="U443" s="56"/>
      <c r="V443" s="56"/>
      <c r="W443" s="56"/>
      <c r="X443" s="56"/>
      <c r="Y443" s="56"/>
      <c r="Z443" s="56"/>
      <c r="AA443" s="56"/>
      <c r="AB443" s="56"/>
      <c r="AC443" s="15"/>
    </row>
    <row r="444" spans="3:29" ht="12.75">
      <c r="C444" s="23"/>
      <c r="I444" s="23"/>
      <c r="L444" s="56"/>
      <c r="M444" s="56"/>
      <c r="N444" s="56"/>
      <c r="O444" s="56"/>
      <c r="P444" s="56"/>
      <c r="Q444" s="56"/>
      <c r="R444" s="56"/>
      <c r="S444" s="56"/>
      <c r="T444" s="56"/>
      <c r="U444" s="56"/>
      <c r="V444" s="56"/>
      <c r="W444" s="56"/>
      <c r="X444" s="56"/>
      <c r="Y444" s="56"/>
      <c r="Z444" s="56"/>
      <c r="AA444" s="56"/>
      <c r="AB444" s="56"/>
      <c r="AC444" s="15"/>
    </row>
    <row r="445" spans="3:29" ht="12.75">
      <c r="C445" s="23"/>
      <c r="I445" s="23"/>
      <c r="L445" s="56"/>
      <c r="M445" s="56"/>
      <c r="N445" s="56"/>
      <c r="O445" s="56"/>
      <c r="P445" s="56"/>
      <c r="Q445" s="56"/>
      <c r="R445" s="56"/>
      <c r="S445" s="56"/>
      <c r="T445" s="56"/>
      <c r="U445" s="56"/>
      <c r="V445" s="56"/>
      <c r="W445" s="56"/>
      <c r="X445" s="56"/>
      <c r="Y445" s="56"/>
      <c r="Z445" s="56"/>
      <c r="AA445" s="56"/>
      <c r="AB445" s="56"/>
      <c r="AC445" s="15"/>
    </row>
    <row r="446" spans="3:29" ht="12.75">
      <c r="C446" s="23"/>
      <c r="I446" s="23"/>
      <c r="L446" s="56"/>
      <c r="M446" s="56"/>
      <c r="N446" s="56"/>
      <c r="O446" s="56"/>
      <c r="P446" s="56"/>
      <c r="Q446" s="56"/>
      <c r="R446" s="56"/>
      <c r="S446" s="56"/>
      <c r="T446" s="56"/>
      <c r="U446" s="56"/>
      <c r="V446" s="56"/>
      <c r="W446" s="56"/>
      <c r="X446" s="56"/>
      <c r="Y446" s="56"/>
      <c r="Z446" s="56"/>
      <c r="AA446" s="56"/>
      <c r="AB446" s="56"/>
      <c r="AC446" s="15"/>
    </row>
    <row r="447" spans="3:29" ht="12.75">
      <c r="C447" s="23"/>
      <c r="I447" s="23"/>
      <c r="L447" s="56"/>
      <c r="M447" s="56"/>
      <c r="N447" s="56"/>
      <c r="O447" s="56"/>
      <c r="P447" s="56"/>
      <c r="Q447" s="56"/>
      <c r="R447" s="56"/>
      <c r="S447" s="56"/>
      <c r="T447" s="56"/>
      <c r="U447" s="56"/>
      <c r="V447" s="56"/>
      <c r="W447" s="56"/>
      <c r="X447" s="56"/>
      <c r="Y447" s="56"/>
      <c r="Z447" s="56"/>
      <c r="AA447" s="56"/>
      <c r="AB447" s="56"/>
      <c r="AC447" s="15"/>
    </row>
    <row r="448" spans="3:29" ht="12.75">
      <c r="C448" s="23"/>
      <c r="I448" s="23"/>
      <c r="L448" s="56"/>
      <c r="M448" s="56"/>
      <c r="N448" s="56"/>
      <c r="O448" s="56"/>
      <c r="P448" s="56"/>
      <c r="Q448" s="56"/>
      <c r="R448" s="56"/>
      <c r="S448" s="56"/>
      <c r="T448" s="56"/>
      <c r="U448" s="56"/>
      <c r="V448" s="56"/>
      <c r="W448" s="56"/>
      <c r="X448" s="56"/>
      <c r="Y448" s="56"/>
      <c r="Z448" s="56"/>
      <c r="AA448" s="56"/>
      <c r="AB448" s="56"/>
      <c r="AC448" s="15"/>
    </row>
    <row r="449" spans="3:29" ht="12.75">
      <c r="C449" s="23"/>
      <c r="I449" s="23"/>
      <c r="L449" s="56"/>
      <c r="M449" s="56"/>
      <c r="N449" s="56"/>
      <c r="O449" s="56"/>
      <c r="P449" s="56"/>
      <c r="Q449" s="56"/>
      <c r="R449" s="56"/>
      <c r="S449" s="56"/>
      <c r="T449" s="56"/>
      <c r="U449" s="56"/>
      <c r="V449" s="56"/>
      <c r="W449" s="56"/>
      <c r="X449" s="56"/>
      <c r="Y449" s="56"/>
      <c r="Z449" s="56"/>
      <c r="AA449" s="56"/>
      <c r="AB449" s="56"/>
      <c r="AC449" s="15"/>
    </row>
    <row r="450" spans="3:29" ht="12.75">
      <c r="C450" s="23"/>
      <c r="I450" s="23"/>
      <c r="L450" s="56"/>
      <c r="M450" s="56"/>
      <c r="N450" s="56"/>
      <c r="O450" s="56"/>
      <c r="P450" s="56"/>
      <c r="Q450" s="56"/>
      <c r="R450" s="56"/>
      <c r="S450" s="56"/>
      <c r="T450" s="56"/>
      <c r="U450" s="56"/>
      <c r="V450" s="56"/>
      <c r="W450" s="56"/>
      <c r="X450" s="56"/>
      <c r="Y450" s="56"/>
      <c r="Z450" s="56"/>
      <c r="AA450" s="56"/>
      <c r="AB450" s="56"/>
      <c r="AC450" s="15"/>
    </row>
    <row r="451" spans="3:29" ht="12.75">
      <c r="C451" s="23"/>
      <c r="I451" s="23"/>
      <c r="L451" s="56"/>
      <c r="M451" s="56"/>
      <c r="N451" s="56"/>
      <c r="O451" s="56"/>
      <c r="P451" s="56"/>
      <c r="Q451" s="56"/>
      <c r="R451" s="56"/>
      <c r="S451" s="56"/>
      <c r="T451" s="56"/>
      <c r="U451" s="56"/>
      <c r="V451" s="56"/>
      <c r="W451" s="56"/>
      <c r="X451" s="56"/>
      <c r="Y451" s="56"/>
      <c r="Z451" s="56"/>
      <c r="AA451" s="56"/>
      <c r="AB451" s="56"/>
      <c r="AC451" s="15"/>
    </row>
    <row r="452" spans="3:29" ht="12.75">
      <c r="C452" s="23"/>
      <c r="I452" s="23"/>
      <c r="L452" s="56"/>
      <c r="M452" s="56"/>
      <c r="N452" s="56"/>
      <c r="O452" s="56"/>
      <c r="P452" s="56"/>
      <c r="Q452" s="56"/>
      <c r="R452" s="56"/>
      <c r="S452" s="56"/>
      <c r="T452" s="56"/>
      <c r="U452" s="56"/>
      <c r="V452" s="56"/>
      <c r="W452" s="56"/>
      <c r="X452" s="56"/>
      <c r="Y452" s="56"/>
      <c r="Z452" s="56"/>
      <c r="AA452" s="56"/>
      <c r="AB452" s="56"/>
      <c r="AC452" s="15"/>
    </row>
    <row r="453" spans="3:29" ht="12.75">
      <c r="C453" s="23"/>
      <c r="I453" s="23"/>
      <c r="L453" s="56"/>
      <c r="M453" s="56"/>
      <c r="N453" s="56"/>
      <c r="O453" s="56"/>
      <c r="P453" s="56"/>
      <c r="Q453" s="56"/>
      <c r="R453" s="56"/>
      <c r="S453" s="56"/>
      <c r="T453" s="56"/>
      <c r="U453" s="56"/>
      <c r="V453" s="56"/>
      <c r="W453" s="56"/>
      <c r="X453" s="56"/>
      <c r="Y453" s="56"/>
      <c r="Z453" s="56"/>
      <c r="AA453" s="56"/>
      <c r="AB453" s="56"/>
      <c r="AC453" s="15"/>
    </row>
    <row r="454" spans="3:29" ht="12.75">
      <c r="C454" s="23"/>
      <c r="I454" s="23"/>
      <c r="L454" s="56"/>
      <c r="M454" s="56"/>
      <c r="N454" s="56"/>
      <c r="O454" s="56"/>
      <c r="P454" s="56"/>
      <c r="Q454" s="56"/>
      <c r="R454" s="56"/>
      <c r="S454" s="56"/>
      <c r="T454" s="56"/>
      <c r="U454" s="56"/>
      <c r="V454" s="56"/>
      <c r="W454" s="56"/>
      <c r="X454" s="56"/>
      <c r="Y454" s="56"/>
      <c r="Z454" s="56"/>
      <c r="AA454" s="56"/>
      <c r="AB454" s="56"/>
      <c r="AC454" s="15"/>
    </row>
    <row r="455" spans="3:29" ht="12.75">
      <c r="C455" s="23"/>
      <c r="I455" s="23"/>
      <c r="L455" s="56"/>
      <c r="M455" s="56"/>
      <c r="N455" s="56"/>
      <c r="O455" s="56"/>
      <c r="P455" s="56"/>
      <c r="Q455" s="56"/>
      <c r="R455" s="56"/>
      <c r="S455" s="56"/>
      <c r="T455" s="56"/>
      <c r="U455" s="56"/>
      <c r="V455" s="56"/>
      <c r="W455" s="56"/>
      <c r="X455" s="56"/>
      <c r="Y455" s="56"/>
      <c r="Z455" s="56"/>
      <c r="AA455" s="56"/>
      <c r="AB455" s="56"/>
      <c r="AC455" s="15"/>
    </row>
    <row r="456" spans="3:29" ht="12.75">
      <c r="C456" s="23"/>
      <c r="I456" s="23"/>
      <c r="L456" s="56"/>
      <c r="M456" s="56"/>
      <c r="N456" s="56"/>
      <c r="O456" s="56"/>
      <c r="P456" s="56"/>
      <c r="Q456" s="56"/>
      <c r="R456" s="56"/>
      <c r="S456" s="56"/>
      <c r="T456" s="56"/>
      <c r="U456" s="56"/>
      <c r="V456" s="56"/>
      <c r="W456" s="56"/>
      <c r="X456" s="56"/>
      <c r="Y456" s="56"/>
      <c r="Z456" s="56"/>
      <c r="AA456" s="56"/>
      <c r="AB456" s="56"/>
      <c r="AC456" s="15"/>
    </row>
    <row r="457" spans="3:29" ht="12.75">
      <c r="C457" s="23"/>
      <c r="I457" s="23"/>
      <c r="L457" s="56"/>
      <c r="M457" s="56"/>
      <c r="N457" s="56"/>
      <c r="O457" s="56"/>
      <c r="P457" s="56"/>
      <c r="Q457" s="56"/>
      <c r="R457" s="56"/>
      <c r="S457" s="56"/>
      <c r="T457" s="56"/>
      <c r="U457" s="56"/>
      <c r="V457" s="56"/>
      <c r="W457" s="56"/>
      <c r="X457" s="56"/>
      <c r="Y457" s="56"/>
      <c r="Z457" s="56"/>
      <c r="AA457" s="56"/>
      <c r="AB457" s="56"/>
      <c r="AC457" s="15"/>
    </row>
    <row r="458" spans="3:29" ht="12.75">
      <c r="C458" s="23"/>
      <c r="I458" s="23"/>
      <c r="L458" s="56"/>
      <c r="M458" s="56"/>
      <c r="N458" s="56"/>
      <c r="O458" s="56"/>
      <c r="P458" s="56"/>
      <c r="Q458" s="56"/>
      <c r="R458" s="56"/>
      <c r="S458" s="56"/>
      <c r="T458" s="56"/>
      <c r="U458" s="56"/>
      <c r="V458" s="56"/>
      <c r="W458" s="56"/>
      <c r="X458" s="56"/>
      <c r="Y458" s="56"/>
      <c r="Z458" s="56"/>
      <c r="AA458" s="56"/>
      <c r="AB458" s="56"/>
      <c r="AC458" s="15"/>
    </row>
    <row r="459" spans="3:29" ht="12.75">
      <c r="C459" s="23"/>
      <c r="I459" s="23"/>
      <c r="L459" s="56"/>
      <c r="M459" s="56"/>
      <c r="N459" s="56"/>
      <c r="O459" s="56"/>
      <c r="P459" s="56"/>
      <c r="Q459" s="56"/>
      <c r="R459" s="56"/>
      <c r="S459" s="56"/>
      <c r="T459" s="56"/>
      <c r="U459" s="56"/>
      <c r="V459" s="56"/>
      <c r="W459" s="56"/>
      <c r="X459" s="56"/>
      <c r="Y459" s="56"/>
      <c r="Z459" s="56"/>
      <c r="AA459" s="56"/>
      <c r="AB459" s="56"/>
      <c r="AC459" s="15"/>
    </row>
    <row r="460" spans="3:29" ht="12.75">
      <c r="C460" s="23"/>
      <c r="I460" s="23"/>
      <c r="L460" s="56"/>
      <c r="M460" s="56"/>
      <c r="N460" s="56"/>
      <c r="O460" s="56"/>
      <c r="P460" s="56"/>
      <c r="Q460" s="56"/>
      <c r="R460" s="56"/>
      <c r="S460" s="56"/>
      <c r="T460" s="56"/>
      <c r="U460" s="56"/>
      <c r="V460" s="56"/>
      <c r="W460" s="56"/>
      <c r="X460" s="56"/>
      <c r="Y460" s="56"/>
      <c r="Z460" s="56"/>
      <c r="AA460" s="56"/>
      <c r="AB460" s="56"/>
      <c r="AC460" s="15"/>
    </row>
    <row r="461" spans="3:29" ht="12.75">
      <c r="C461" s="23"/>
      <c r="I461" s="23"/>
      <c r="L461" s="56"/>
      <c r="M461" s="56"/>
      <c r="N461" s="56"/>
      <c r="O461" s="56"/>
      <c r="P461" s="56"/>
      <c r="Q461" s="56"/>
      <c r="R461" s="56"/>
      <c r="S461" s="56"/>
      <c r="T461" s="56"/>
      <c r="U461" s="56"/>
      <c r="V461" s="56"/>
      <c r="W461" s="56"/>
      <c r="X461" s="56"/>
      <c r="Y461" s="56"/>
      <c r="Z461" s="56"/>
      <c r="AA461" s="56"/>
      <c r="AB461" s="56"/>
      <c r="AC461" s="15"/>
    </row>
    <row r="462" spans="3:29" ht="12.75">
      <c r="C462" s="23"/>
      <c r="I462" s="23"/>
      <c r="L462" s="56"/>
      <c r="M462" s="56"/>
      <c r="N462" s="56"/>
      <c r="O462" s="56"/>
      <c r="P462" s="56"/>
      <c r="Q462" s="56"/>
      <c r="R462" s="56"/>
      <c r="S462" s="56"/>
      <c r="T462" s="56"/>
      <c r="U462" s="56"/>
      <c r="V462" s="56"/>
      <c r="W462" s="56"/>
      <c r="X462" s="56"/>
      <c r="Y462" s="56"/>
      <c r="Z462" s="56"/>
      <c r="AA462" s="56"/>
      <c r="AB462" s="56"/>
      <c r="AC462" s="15"/>
    </row>
    <row r="463" spans="3:29" ht="12.75">
      <c r="C463" s="23"/>
      <c r="I463" s="23"/>
      <c r="L463" s="56"/>
      <c r="M463" s="56"/>
      <c r="N463" s="56"/>
      <c r="O463" s="56"/>
      <c r="P463" s="56"/>
      <c r="Q463" s="56"/>
      <c r="R463" s="56"/>
      <c r="S463" s="56"/>
      <c r="T463" s="56"/>
      <c r="U463" s="56"/>
      <c r="V463" s="56"/>
      <c r="W463" s="56"/>
      <c r="X463" s="56"/>
      <c r="Y463" s="56"/>
      <c r="Z463" s="56"/>
      <c r="AA463" s="56"/>
      <c r="AB463" s="56"/>
      <c r="AC463" s="15"/>
    </row>
    <row r="464" spans="3:29" ht="12.75">
      <c r="C464" s="23"/>
      <c r="I464" s="23"/>
      <c r="L464" s="56"/>
      <c r="M464" s="56"/>
      <c r="N464" s="56"/>
      <c r="O464" s="56"/>
      <c r="P464" s="56"/>
      <c r="Q464" s="56"/>
      <c r="R464" s="56"/>
      <c r="S464" s="56"/>
      <c r="T464" s="56"/>
      <c r="U464" s="56"/>
      <c r="V464" s="56"/>
      <c r="W464" s="56"/>
      <c r="X464" s="56"/>
      <c r="Y464" s="56"/>
      <c r="Z464" s="56"/>
      <c r="AA464" s="56"/>
      <c r="AB464" s="56"/>
      <c r="AC464" s="15"/>
    </row>
    <row r="465" spans="3:29" ht="12.75">
      <c r="C465" s="23"/>
      <c r="I465" s="23"/>
      <c r="L465" s="56"/>
      <c r="M465" s="56"/>
      <c r="N465" s="56"/>
      <c r="O465" s="56"/>
      <c r="P465" s="56"/>
      <c r="Q465" s="56"/>
      <c r="R465" s="56"/>
      <c r="S465" s="56"/>
      <c r="T465" s="56"/>
      <c r="U465" s="56"/>
      <c r="V465" s="56"/>
      <c r="W465" s="56"/>
      <c r="X465" s="56"/>
      <c r="Y465" s="56"/>
      <c r="Z465" s="56"/>
      <c r="AA465" s="56"/>
      <c r="AB465" s="56"/>
      <c r="AC465" s="15"/>
    </row>
    <row r="466" spans="3:29" ht="12.75">
      <c r="C466" s="23"/>
      <c r="I466" s="23"/>
      <c r="L466" s="56"/>
      <c r="M466" s="56"/>
      <c r="N466" s="56"/>
      <c r="O466" s="56"/>
      <c r="P466" s="56"/>
      <c r="Q466" s="56"/>
      <c r="R466" s="56"/>
      <c r="S466" s="56"/>
      <c r="T466" s="56"/>
      <c r="U466" s="56"/>
      <c r="V466" s="56"/>
      <c r="W466" s="56"/>
      <c r="X466" s="56"/>
      <c r="Y466" s="56"/>
      <c r="Z466" s="56"/>
      <c r="AA466" s="56"/>
      <c r="AB466" s="56"/>
      <c r="AC466" s="15"/>
    </row>
    <row r="467" spans="3:29" ht="12.75">
      <c r="C467" s="23"/>
      <c r="I467" s="23"/>
      <c r="L467" s="56"/>
      <c r="M467" s="56"/>
      <c r="N467" s="56"/>
      <c r="O467" s="56"/>
      <c r="P467" s="56"/>
      <c r="Q467" s="56"/>
      <c r="R467" s="56"/>
      <c r="S467" s="56"/>
      <c r="T467" s="56"/>
      <c r="U467" s="56"/>
      <c r="V467" s="56"/>
      <c r="W467" s="56"/>
      <c r="X467" s="56"/>
      <c r="Y467" s="56"/>
      <c r="Z467" s="56"/>
      <c r="AA467" s="56"/>
      <c r="AB467" s="56"/>
      <c r="AC467" s="15"/>
    </row>
    <row r="468" spans="3:29" ht="12.75">
      <c r="C468" s="23"/>
      <c r="I468" s="23"/>
      <c r="L468" s="56"/>
      <c r="M468" s="56"/>
      <c r="N468" s="56"/>
      <c r="O468" s="56"/>
      <c r="P468" s="56"/>
      <c r="Q468" s="56"/>
      <c r="R468" s="56"/>
      <c r="S468" s="56"/>
      <c r="T468" s="56"/>
      <c r="U468" s="56"/>
      <c r="V468" s="56"/>
      <c r="W468" s="56"/>
      <c r="X468" s="56"/>
      <c r="Y468" s="56"/>
      <c r="Z468" s="56"/>
      <c r="AA468" s="56"/>
      <c r="AB468" s="56"/>
      <c r="AC468" s="15"/>
    </row>
    <row r="469" spans="3:29" ht="12.75">
      <c r="C469" s="23"/>
      <c r="I469" s="23"/>
      <c r="L469" s="56"/>
      <c r="M469" s="56"/>
      <c r="N469" s="56"/>
      <c r="O469" s="56"/>
      <c r="P469" s="56"/>
      <c r="Q469" s="56"/>
      <c r="R469" s="56"/>
      <c r="S469" s="56"/>
      <c r="T469" s="56"/>
      <c r="U469" s="56"/>
      <c r="V469" s="56"/>
      <c r="W469" s="56"/>
      <c r="X469" s="56"/>
      <c r="Y469" s="56"/>
      <c r="Z469" s="56"/>
      <c r="AA469" s="56"/>
      <c r="AB469" s="56"/>
      <c r="AC469" s="15"/>
    </row>
    <row r="470" spans="3:29" ht="12.75">
      <c r="C470" s="23"/>
      <c r="I470" s="23"/>
      <c r="L470" s="56"/>
      <c r="M470" s="56"/>
      <c r="N470" s="56"/>
      <c r="O470" s="56"/>
      <c r="P470" s="56"/>
      <c r="Q470" s="56"/>
      <c r="R470" s="56"/>
      <c r="S470" s="56"/>
      <c r="T470" s="56"/>
      <c r="U470" s="56"/>
      <c r="V470" s="56"/>
      <c r="W470" s="56"/>
      <c r="X470" s="56"/>
      <c r="Y470" s="56"/>
      <c r="Z470" s="56"/>
      <c r="AA470" s="56"/>
      <c r="AB470" s="56"/>
      <c r="AC470" s="15"/>
    </row>
    <row r="471" spans="3:29" ht="12.75">
      <c r="C471" s="23"/>
      <c r="I471" s="23"/>
      <c r="L471" s="56"/>
      <c r="M471" s="56"/>
      <c r="N471" s="56"/>
      <c r="O471" s="56"/>
      <c r="P471" s="56"/>
      <c r="Q471" s="56"/>
      <c r="R471" s="56"/>
      <c r="S471" s="56"/>
      <c r="T471" s="56"/>
      <c r="U471" s="56"/>
      <c r="V471" s="56"/>
      <c r="W471" s="56"/>
      <c r="X471" s="56"/>
      <c r="Y471" s="56"/>
      <c r="Z471" s="56"/>
      <c r="AA471" s="56"/>
      <c r="AB471" s="56"/>
      <c r="AC471" s="15"/>
    </row>
    <row r="472" spans="3:29" ht="12.75">
      <c r="C472" s="23"/>
      <c r="I472" s="23"/>
      <c r="L472" s="56"/>
      <c r="M472" s="56"/>
      <c r="N472" s="56"/>
      <c r="O472" s="56"/>
      <c r="P472" s="56"/>
      <c r="Q472" s="56"/>
      <c r="R472" s="56"/>
      <c r="S472" s="56"/>
      <c r="T472" s="56"/>
      <c r="U472" s="56"/>
      <c r="V472" s="56"/>
      <c r="W472" s="56"/>
      <c r="X472" s="56"/>
      <c r="Y472" s="56"/>
      <c r="Z472" s="56"/>
      <c r="AA472" s="56"/>
      <c r="AB472" s="56"/>
      <c r="AC472" s="15"/>
    </row>
    <row r="473" spans="3:29" ht="12.75">
      <c r="C473" s="23"/>
      <c r="I473" s="23"/>
      <c r="L473" s="56"/>
      <c r="M473" s="56"/>
      <c r="N473" s="56"/>
      <c r="O473" s="56"/>
      <c r="P473" s="56"/>
      <c r="Q473" s="56"/>
      <c r="R473" s="56"/>
      <c r="S473" s="56"/>
      <c r="T473" s="56"/>
      <c r="U473" s="56"/>
      <c r="V473" s="56"/>
      <c r="W473" s="56"/>
      <c r="X473" s="56"/>
      <c r="Y473" s="56"/>
      <c r="Z473" s="56"/>
      <c r="AA473" s="56"/>
      <c r="AB473" s="56"/>
      <c r="AC473" s="15"/>
    </row>
    <row r="474" spans="3:29" ht="12.75">
      <c r="C474" s="23"/>
      <c r="I474" s="23"/>
      <c r="L474" s="56"/>
      <c r="M474" s="56"/>
      <c r="N474" s="56"/>
      <c r="O474" s="56"/>
      <c r="P474" s="56"/>
      <c r="Q474" s="56"/>
      <c r="R474" s="56"/>
      <c r="S474" s="56"/>
      <c r="T474" s="56"/>
      <c r="U474" s="56"/>
      <c r="V474" s="56"/>
      <c r="W474" s="56"/>
      <c r="X474" s="56"/>
      <c r="Y474" s="56"/>
      <c r="Z474" s="56"/>
      <c r="AA474" s="56"/>
      <c r="AB474" s="56"/>
      <c r="AC474" s="15"/>
    </row>
    <row r="475" spans="3:29" ht="12.75">
      <c r="C475" s="23"/>
      <c r="I475" s="23"/>
      <c r="L475" s="56"/>
      <c r="M475" s="56"/>
      <c r="N475" s="56"/>
      <c r="O475" s="56"/>
      <c r="P475" s="56"/>
      <c r="Q475" s="56"/>
      <c r="R475" s="56"/>
      <c r="S475" s="56"/>
      <c r="T475" s="56"/>
      <c r="U475" s="56"/>
      <c r="V475" s="56"/>
      <c r="W475" s="56"/>
      <c r="X475" s="56"/>
      <c r="Y475" s="56"/>
      <c r="Z475" s="56"/>
      <c r="AA475" s="56"/>
      <c r="AB475" s="56"/>
      <c r="AC475" s="15"/>
    </row>
    <row r="476" spans="3:29" ht="12.75">
      <c r="C476" s="23"/>
      <c r="I476" s="23"/>
      <c r="L476" s="56"/>
      <c r="M476" s="56"/>
      <c r="N476" s="56"/>
      <c r="O476" s="56"/>
      <c r="P476" s="56"/>
      <c r="Q476" s="56"/>
      <c r="R476" s="56"/>
      <c r="S476" s="56"/>
      <c r="T476" s="56"/>
      <c r="U476" s="56"/>
      <c r="V476" s="56"/>
      <c r="W476" s="56"/>
      <c r="X476" s="56"/>
      <c r="Y476" s="56"/>
      <c r="Z476" s="56"/>
      <c r="AA476" s="56"/>
      <c r="AB476" s="56"/>
      <c r="AC476" s="15"/>
    </row>
    <row r="477" spans="3:29" ht="12.75">
      <c r="C477" s="23"/>
      <c r="I477" s="23"/>
      <c r="L477" s="56"/>
      <c r="M477" s="56"/>
      <c r="N477" s="56"/>
      <c r="O477" s="56"/>
      <c r="P477" s="56"/>
      <c r="Q477" s="56"/>
      <c r="R477" s="56"/>
      <c r="S477" s="56"/>
      <c r="T477" s="56"/>
      <c r="U477" s="56"/>
      <c r="V477" s="56"/>
      <c r="W477" s="56"/>
      <c r="X477" s="56"/>
      <c r="Y477" s="56"/>
      <c r="Z477" s="56"/>
      <c r="AA477" s="56"/>
      <c r="AB477" s="56"/>
      <c r="AC477" s="15"/>
    </row>
    <row r="478" spans="3:29" ht="12.75">
      <c r="C478" s="23"/>
      <c r="I478" s="23"/>
      <c r="L478" s="56"/>
      <c r="M478" s="56"/>
      <c r="N478" s="56"/>
      <c r="O478" s="56"/>
      <c r="P478" s="56"/>
      <c r="Q478" s="56"/>
      <c r="R478" s="56"/>
      <c r="S478" s="56"/>
      <c r="T478" s="56"/>
      <c r="U478" s="56"/>
      <c r="V478" s="56"/>
      <c r="W478" s="56"/>
      <c r="X478" s="56"/>
      <c r="Y478" s="56"/>
      <c r="Z478" s="56"/>
      <c r="AA478" s="56"/>
      <c r="AB478" s="56"/>
      <c r="AC478" s="15"/>
    </row>
    <row r="479" spans="3:29" ht="12.75">
      <c r="C479" s="23"/>
      <c r="I479" s="23"/>
      <c r="L479" s="56"/>
      <c r="M479" s="56"/>
      <c r="N479" s="56"/>
      <c r="O479" s="56"/>
      <c r="P479" s="56"/>
      <c r="Q479" s="56"/>
      <c r="R479" s="56"/>
      <c r="S479" s="56"/>
      <c r="T479" s="56"/>
      <c r="U479" s="56"/>
      <c r="V479" s="56"/>
      <c r="W479" s="56"/>
      <c r="X479" s="56"/>
      <c r="Y479" s="56"/>
      <c r="Z479" s="56"/>
      <c r="AA479" s="56"/>
      <c r="AB479" s="56"/>
      <c r="AC479" s="15"/>
    </row>
    <row r="480" spans="3:29" ht="12.75">
      <c r="C480" s="23"/>
      <c r="I480" s="23"/>
      <c r="L480" s="56"/>
      <c r="M480" s="56"/>
      <c r="N480" s="56"/>
      <c r="O480" s="56"/>
      <c r="P480" s="56"/>
      <c r="Q480" s="56"/>
      <c r="R480" s="56"/>
      <c r="S480" s="56"/>
      <c r="T480" s="56"/>
      <c r="U480" s="56"/>
      <c r="V480" s="56"/>
      <c r="W480" s="56"/>
      <c r="X480" s="56"/>
      <c r="Y480" s="56"/>
      <c r="Z480" s="56"/>
      <c r="AA480" s="56"/>
      <c r="AB480" s="56"/>
      <c r="AC480" s="15"/>
    </row>
    <row r="481" spans="3:29" ht="12.75">
      <c r="C481" s="23"/>
      <c r="I481" s="23"/>
      <c r="L481" s="56"/>
      <c r="M481" s="56"/>
      <c r="N481" s="56"/>
      <c r="O481" s="56"/>
      <c r="P481" s="56"/>
      <c r="Q481" s="56"/>
      <c r="R481" s="56"/>
      <c r="S481" s="56"/>
      <c r="T481" s="56"/>
      <c r="U481" s="56"/>
      <c r="V481" s="56"/>
      <c r="W481" s="56"/>
      <c r="X481" s="56"/>
      <c r="Y481" s="56"/>
      <c r="Z481" s="56"/>
      <c r="AA481" s="56"/>
      <c r="AB481" s="56"/>
      <c r="AC481" s="15"/>
    </row>
    <row r="482" spans="3:29" ht="12.75">
      <c r="C482" s="23"/>
      <c r="I482" s="23"/>
      <c r="L482" s="56"/>
      <c r="M482" s="56"/>
      <c r="N482" s="56"/>
      <c r="O482" s="56"/>
      <c r="P482" s="56"/>
      <c r="Q482" s="56"/>
      <c r="R482" s="56"/>
      <c r="S482" s="56"/>
      <c r="T482" s="56"/>
      <c r="U482" s="56"/>
      <c r="V482" s="56"/>
      <c r="W482" s="56"/>
      <c r="X482" s="56"/>
      <c r="Y482" s="56"/>
      <c r="Z482" s="56"/>
      <c r="AA482" s="56"/>
      <c r="AB482" s="56"/>
      <c r="AC482" s="15"/>
    </row>
    <row r="483" spans="3:29" ht="12.75">
      <c r="C483" s="23"/>
      <c r="I483" s="23"/>
      <c r="L483" s="56"/>
      <c r="M483" s="56"/>
      <c r="N483" s="56"/>
      <c r="O483" s="56"/>
      <c r="P483" s="56"/>
      <c r="Q483" s="56"/>
      <c r="R483" s="56"/>
      <c r="S483" s="56"/>
      <c r="T483" s="56"/>
      <c r="U483" s="56"/>
      <c r="V483" s="56"/>
      <c r="W483" s="56"/>
      <c r="X483" s="56"/>
      <c r="Y483" s="56"/>
      <c r="Z483" s="56"/>
      <c r="AA483" s="56"/>
      <c r="AB483" s="56"/>
      <c r="AC483" s="15"/>
    </row>
    <row r="484" spans="3:29" ht="12.75">
      <c r="C484" s="23"/>
      <c r="I484" s="23"/>
      <c r="L484" s="56"/>
      <c r="M484" s="56"/>
      <c r="N484" s="56"/>
      <c r="O484" s="56"/>
      <c r="P484" s="56"/>
      <c r="Q484" s="56"/>
      <c r="R484" s="56"/>
      <c r="S484" s="56"/>
      <c r="T484" s="56"/>
      <c r="U484" s="56"/>
      <c r="V484" s="56"/>
      <c r="W484" s="56"/>
      <c r="X484" s="56"/>
      <c r="Y484" s="56"/>
      <c r="Z484" s="56"/>
      <c r="AA484" s="56"/>
      <c r="AB484" s="56"/>
      <c r="AC484" s="15"/>
    </row>
    <row r="485" spans="3:29" ht="12.75">
      <c r="C485" s="23"/>
      <c r="I485" s="23"/>
      <c r="L485" s="56"/>
      <c r="M485" s="56"/>
      <c r="N485" s="56"/>
      <c r="O485" s="56"/>
      <c r="P485" s="56"/>
      <c r="Q485" s="56"/>
      <c r="R485" s="56"/>
      <c r="S485" s="56"/>
      <c r="T485" s="56"/>
      <c r="U485" s="56"/>
      <c r="V485" s="56"/>
      <c r="W485" s="56"/>
      <c r="X485" s="56"/>
      <c r="Y485" s="56"/>
      <c r="Z485" s="56"/>
      <c r="AA485" s="56"/>
      <c r="AB485" s="56"/>
      <c r="AC485" s="15"/>
    </row>
    <row r="486" spans="3:29" ht="12.75">
      <c r="C486" s="23"/>
      <c r="I486" s="23"/>
      <c r="L486" s="56"/>
      <c r="M486" s="56"/>
      <c r="N486" s="56"/>
      <c r="O486" s="56"/>
      <c r="P486" s="56"/>
      <c r="Q486" s="56"/>
      <c r="R486" s="56"/>
      <c r="S486" s="56"/>
      <c r="T486" s="56"/>
      <c r="U486" s="56"/>
      <c r="V486" s="56"/>
      <c r="W486" s="56"/>
      <c r="X486" s="56"/>
      <c r="Y486" s="56"/>
      <c r="Z486" s="56"/>
      <c r="AA486" s="56"/>
      <c r="AB486" s="56"/>
      <c r="AC486" s="15"/>
    </row>
    <row r="487" spans="3:29" ht="12.75">
      <c r="C487" s="23"/>
      <c r="I487" s="23"/>
      <c r="L487" s="56"/>
      <c r="M487" s="56"/>
      <c r="N487" s="56"/>
      <c r="O487" s="56"/>
      <c r="P487" s="56"/>
      <c r="Q487" s="56"/>
      <c r="R487" s="56"/>
      <c r="S487" s="56"/>
      <c r="T487" s="56"/>
      <c r="U487" s="56"/>
      <c r="V487" s="56"/>
      <c r="W487" s="56"/>
      <c r="X487" s="56"/>
      <c r="Y487" s="56"/>
      <c r="Z487" s="56"/>
      <c r="AA487" s="56"/>
      <c r="AB487" s="56"/>
      <c r="AC487" s="15"/>
    </row>
    <row r="488" spans="3:29" ht="12.75">
      <c r="C488" s="23"/>
      <c r="I488" s="23"/>
      <c r="L488" s="56"/>
      <c r="M488" s="56"/>
      <c r="N488" s="56"/>
      <c r="O488" s="56"/>
      <c r="P488" s="56"/>
      <c r="Q488" s="56"/>
      <c r="R488" s="56"/>
      <c r="S488" s="56"/>
      <c r="T488" s="56"/>
      <c r="U488" s="56"/>
      <c r="V488" s="56"/>
      <c r="W488" s="56"/>
      <c r="X488" s="56"/>
      <c r="Y488" s="56"/>
      <c r="Z488" s="56"/>
      <c r="AA488" s="56"/>
      <c r="AB488" s="56"/>
      <c r="AC488" s="15"/>
    </row>
    <row r="489" spans="3:29" ht="12.75">
      <c r="C489" s="23"/>
      <c r="I489" s="23"/>
      <c r="L489" s="56"/>
      <c r="M489" s="56"/>
      <c r="N489" s="56"/>
      <c r="O489" s="56"/>
      <c r="P489" s="56"/>
      <c r="Q489" s="56"/>
      <c r="R489" s="56"/>
      <c r="S489" s="56"/>
      <c r="T489" s="56"/>
      <c r="U489" s="56"/>
      <c r="V489" s="56"/>
      <c r="W489" s="56"/>
      <c r="X489" s="56"/>
      <c r="Y489" s="56"/>
      <c r="Z489" s="56"/>
      <c r="AA489" s="56"/>
      <c r="AB489" s="56"/>
      <c r="AC489" s="15"/>
    </row>
    <row r="490" spans="3:29" ht="12.75">
      <c r="C490" s="23"/>
      <c r="I490" s="23"/>
      <c r="L490" s="56"/>
      <c r="M490" s="56"/>
      <c r="N490" s="56"/>
      <c r="O490" s="56"/>
      <c r="P490" s="56"/>
      <c r="Q490" s="56"/>
      <c r="R490" s="56"/>
      <c r="S490" s="56"/>
      <c r="T490" s="56"/>
      <c r="U490" s="56"/>
      <c r="V490" s="56"/>
      <c r="W490" s="56"/>
      <c r="X490" s="56"/>
      <c r="Y490" s="56"/>
      <c r="Z490" s="56"/>
      <c r="AA490" s="56"/>
      <c r="AB490" s="56"/>
      <c r="AC490" s="15"/>
    </row>
    <row r="491" spans="3:29" ht="12.75">
      <c r="C491" s="23"/>
      <c r="I491" s="23"/>
      <c r="L491" s="56"/>
      <c r="M491" s="56"/>
      <c r="N491" s="56"/>
      <c r="O491" s="56"/>
      <c r="P491" s="56"/>
      <c r="Q491" s="56"/>
      <c r="R491" s="56"/>
      <c r="S491" s="56"/>
      <c r="T491" s="56"/>
      <c r="U491" s="56"/>
      <c r="V491" s="56"/>
      <c r="W491" s="56"/>
      <c r="X491" s="56"/>
      <c r="Y491" s="56"/>
      <c r="Z491" s="56"/>
      <c r="AA491" s="56"/>
      <c r="AB491" s="56"/>
      <c r="AC491" s="15"/>
    </row>
    <row r="492" spans="3:29" ht="12.75">
      <c r="C492" s="23"/>
      <c r="I492" s="23"/>
      <c r="L492" s="56"/>
      <c r="M492" s="56"/>
      <c r="N492" s="56"/>
      <c r="O492" s="56"/>
      <c r="P492" s="56"/>
      <c r="Q492" s="56"/>
      <c r="R492" s="56"/>
      <c r="S492" s="56"/>
      <c r="T492" s="56"/>
      <c r="U492" s="56"/>
      <c r="V492" s="56"/>
      <c r="W492" s="56"/>
      <c r="X492" s="56"/>
      <c r="Y492" s="56"/>
      <c r="Z492" s="56"/>
      <c r="AA492" s="56"/>
      <c r="AB492" s="56"/>
      <c r="AC492" s="15"/>
    </row>
    <row r="493" spans="3:29" ht="12.75">
      <c r="C493" s="23"/>
      <c r="I493" s="23"/>
      <c r="L493" s="56"/>
      <c r="M493" s="56"/>
      <c r="N493" s="56"/>
      <c r="O493" s="56"/>
      <c r="P493" s="56"/>
      <c r="Q493" s="56"/>
      <c r="R493" s="56"/>
      <c r="S493" s="56"/>
      <c r="T493" s="56"/>
      <c r="U493" s="56"/>
      <c r="V493" s="56"/>
      <c r="W493" s="56"/>
      <c r="X493" s="56"/>
      <c r="Y493" s="56"/>
      <c r="Z493" s="56"/>
      <c r="AA493" s="56"/>
      <c r="AB493" s="56"/>
      <c r="AC493" s="15"/>
    </row>
    <row r="494" spans="3:29" ht="12.75">
      <c r="C494" s="23"/>
      <c r="I494" s="23"/>
      <c r="L494" s="56"/>
      <c r="M494" s="56"/>
      <c r="N494" s="56"/>
      <c r="O494" s="56"/>
      <c r="P494" s="56"/>
      <c r="Q494" s="56"/>
      <c r="R494" s="56"/>
      <c r="S494" s="56"/>
      <c r="T494" s="56"/>
      <c r="U494" s="56"/>
      <c r="V494" s="56"/>
      <c r="W494" s="56"/>
      <c r="X494" s="56"/>
      <c r="Y494" s="56"/>
      <c r="Z494" s="56"/>
      <c r="AA494" s="56"/>
      <c r="AB494" s="56"/>
      <c r="AC494" s="15"/>
    </row>
    <row r="495" spans="3:29" ht="12.75">
      <c r="C495" s="23"/>
      <c r="I495" s="23"/>
      <c r="L495" s="56"/>
      <c r="M495" s="56"/>
      <c r="N495" s="56"/>
      <c r="O495" s="56"/>
      <c r="P495" s="56"/>
      <c r="Q495" s="56"/>
      <c r="R495" s="56"/>
      <c r="S495" s="56"/>
      <c r="T495" s="56"/>
      <c r="U495" s="56"/>
      <c r="V495" s="56"/>
      <c r="W495" s="56"/>
      <c r="X495" s="56"/>
      <c r="Y495" s="56"/>
      <c r="Z495" s="56"/>
      <c r="AA495" s="56"/>
      <c r="AB495" s="56"/>
      <c r="AC495" s="15"/>
    </row>
    <row r="496" spans="3:29" ht="12.75">
      <c r="C496" s="23"/>
      <c r="I496" s="23"/>
      <c r="L496" s="56"/>
      <c r="M496" s="56"/>
      <c r="N496" s="56"/>
      <c r="O496" s="56"/>
      <c r="P496" s="56"/>
      <c r="Q496" s="56"/>
      <c r="R496" s="56"/>
      <c r="S496" s="56"/>
      <c r="T496" s="56"/>
      <c r="U496" s="56"/>
      <c r="V496" s="56"/>
      <c r="W496" s="56"/>
      <c r="X496" s="56"/>
      <c r="Y496" s="56"/>
      <c r="Z496" s="56"/>
      <c r="AA496" s="56"/>
      <c r="AB496" s="56"/>
      <c r="AC496" s="15"/>
    </row>
    <row r="497" spans="3:29" ht="12.75">
      <c r="C497" s="23"/>
      <c r="I497" s="23"/>
      <c r="L497" s="56"/>
      <c r="M497" s="56"/>
      <c r="N497" s="56"/>
      <c r="O497" s="56"/>
      <c r="P497" s="56"/>
      <c r="Q497" s="56"/>
      <c r="R497" s="56"/>
      <c r="S497" s="56"/>
      <c r="T497" s="56"/>
      <c r="U497" s="56"/>
      <c r="V497" s="56"/>
      <c r="W497" s="56"/>
      <c r="X497" s="56"/>
      <c r="Y497" s="56"/>
      <c r="Z497" s="56"/>
      <c r="AA497" s="56"/>
      <c r="AB497" s="56"/>
      <c r="AC497" s="15"/>
    </row>
    <row r="498" spans="3:29" ht="12.75">
      <c r="C498" s="23"/>
      <c r="I498" s="23"/>
      <c r="L498" s="56"/>
      <c r="M498" s="56"/>
      <c r="N498" s="56"/>
      <c r="O498" s="56"/>
      <c r="P498" s="56"/>
      <c r="Q498" s="56"/>
      <c r="R498" s="56"/>
      <c r="S498" s="56"/>
      <c r="T498" s="56"/>
      <c r="U498" s="56"/>
      <c r="V498" s="56"/>
      <c r="W498" s="56"/>
      <c r="X498" s="56"/>
      <c r="Y498" s="56"/>
      <c r="Z498" s="56"/>
      <c r="AA498" s="56"/>
      <c r="AB498" s="56"/>
      <c r="AC498" s="15"/>
    </row>
    <row r="499" spans="3:29" ht="12.75">
      <c r="C499" s="23"/>
      <c r="I499" s="23"/>
      <c r="L499" s="56"/>
      <c r="M499" s="56"/>
      <c r="N499" s="56"/>
      <c r="O499" s="56"/>
      <c r="P499" s="56"/>
      <c r="Q499" s="56"/>
      <c r="R499" s="56"/>
      <c r="S499" s="56"/>
      <c r="T499" s="56"/>
      <c r="U499" s="56"/>
      <c r="V499" s="56"/>
      <c r="W499" s="56"/>
      <c r="X499" s="56"/>
      <c r="Y499" s="56"/>
      <c r="Z499" s="56"/>
      <c r="AA499" s="56"/>
      <c r="AB499" s="56"/>
      <c r="AC499" s="15"/>
    </row>
    <row r="500" spans="3:29" ht="12.75">
      <c r="C500" s="23"/>
      <c r="I500" s="23"/>
      <c r="L500" s="56"/>
      <c r="M500" s="56"/>
      <c r="N500" s="56"/>
      <c r="O500" s="56"/>
      <c r="P500" s="56"/>
      <c r="Q500" s="56"/>
      <c r="R500" s="56"/>
      <c r="S500" s="56"/>
      <c r="T500" s="56"/>
      <c r="U500" s="56"/>
      <c r="V500" s="56"/>
      <c r="W500" s="56"/>
      <c r="X500" s="56"/>
      <c r="Y500" s="56"/>
      <c r="Z500" s="56"/>
      <c r="AA500" s="56"/>
      <c r="AB500" s="56"/>
      <c r="AC500" s="15"/>
    </row>
    <row r="501" spans="3:29" ht="12.75">
      <c r="C501" s="23"/>
      <c r="I501" s="23"/>
      <c r="L501" s="56"/>
      <c r="M501" s="56"/>
      <c r="N501" s="56"/>
      <c r="O501" s="56"/>
      <c r="P501" s="56"/>
      <c r="Q501" s="56"/>
      <c r="R501" s="56"/>
      <c r="S501" s="56"/>
      <c r="T501" s="56"/>
      <c r="U501" s="56"/>
      <c r="V501" s="56"/>
      <c r="W501" s="56"/>
      <c r="X501" s="56"/>
      <c r="Y501" s="56"/>
      <c r="Z501" s="56"/>
      <c r="AA501" s="56"/>
      <c r="AB501" s="56"/>
      <c r="AC501" s="15"/>
    </row>
    <row r="502" spans="3:29" ht="12.75">
      <c r="C502" s="23"/>
      <c r="I502" s="23"/>
      <c r="L502" s="56"/>
      <c r="M502" s="56"/>
      <c r="N502" s="56"/>
      <c r="O502" s="56"/>
      <c r="P502" s="56"/>
      <c r="Q502" s="56"/>
      <c r="R502" s="56"/>
      <c r="S502" s="56"/>
      <c r="T502" s="56"/>
      <c r="U502" s="56"/>
      <c r="V502" s="56"/>
      <c r="W502" s="56"/>
      <c r="X502" s="56"/>
      <c r="Y502" s="56"/>
      <c r="Z502" s="56"/>
      <c r="AA502" s="56"/>
      <c r="AB502" s="56"/>
      <c r="AC502" s="15"/>
    </row>
    <row r="503" spans="3:29" ht="12.75">
      <c r="C503" s="23"/>
      <c r="I503" s="23"/>
      <c r="L503" s="56"/>
      <c r="M503" s="56"/>
      <c r="N503" s="56"/>
      <c r="O503" s="56"/>
      <c r="P503" s="56"/>
      <c r="Q503" s="56"/>
      <c r="R503" s="56"/>
      <c r="S503" s="56"/>
      <c r="T503" s="56"/>
      <c r="U503" s="56"/>
      <c r="V503" s="56"/>
      <c r="W503" s="56"/>
      <c r="X503" s="56"/>
      <c r="Y503" s="56"/>
      <c r="Z503" s="56"/>
      <c r="AA503" s="56"/>
      <c r="AB503" s="56"/>
      <c r="AC503" s="15"/>
    </row>
    <row r="504" spans="3:29" ht="12.75">
      <c r="C504" s="23"/>
      <c r="I504" s="23"/>
      <c r="L504" s="56"/>
      <c r="M504" s="56"/>
      <c r="N504" s="56"/>
      <c r="O504" s="56"/>
      <c r="P504" s="56"/>
      <c r="Q504" s="56"/>
      <c r="R504" s="56"/>
      <c r="S504" s="56"/>
      <c r="T504" s="56"/>
      <c r="U504" s="56"/>
      <c r="V504" s="56"/>
      <c r="W504" s="56"/>
      <c r="X504" s="56"/>
      <c r="Y504" s="56"/>
      <c r="Z504" s="56"/>
      <c r="AA504" s="56"/>
      <c r="AB504" s="56"/>
      <c r="AC504" s="15"/>
    </row>
    <row r="505" spans="3:29" ht="12.75">
      <c r="C505" s="23"/>
      <c r="I505" s="23"/>
      <c r="L505" s="56"/>
      <c r="M505" s="56"/>
      <c r="N505" s="56"/>
      <c r="O505" s="56"/>
      <c r="P505" s="56"/>
      <c r="Q505" s="56"/>
      <c r="R505" s="56"/>
      <c r="S505" s="56"/>
      <c r="T505" s="56"/>
      <c r="U505" s="56"/>
      <c r="V505" s="56"/>
      <c r="W505" s="56"/>
      <c r="X505" s="56"/>
      <c r="Y505" s="56"/>
      <c r="Z505" s="56"/>
      <c r="AA505" s="56"/>
      <c r="AB505" s="56"/>
      <c r="AC505" s="15"/>
    </row>
    <row r="506" spans="3:29" ht="12.75">
      <c r="C506" s="23"/>
      <c r="I506" s="23"/>
      <c r="L506" s="56"/>
      <c r="M506" s="56"/>
      <c r="N506" s="56"/>
      <c r="O506" s="56"/>
      <c r="P506" s="56"/>
      <c r="Q506" s="56"/>
      <c r="R506" s="56"/>
      <c r="S506" s="56"/>
      <c r="T506" s="56"/>
      <c r="U506" s="56"/>
      <c r="V506" s="56"/>
      <c r="W506" s="56"/>
      <c r="X506" s="56"/>
      <c r="Y506" s="56"/>
      <c r="Z506" s="56"/>
      <c r="AA506" s="56"/>
      <c r="AB506" s="56"/>
      <c r="AC506" s="15"/>
    </row>
    <row r="507" spans="3:29" ht="12.75">
      <c r="C507" s="23"/>
      <c r="I507" s="23"/>
      <c r="L507" s="56"/>
      <c r="M507" s="56"/>
      <c r="N507" s="56"/>
      <c r="O507" s="56"/>
      <c r="P507" s="56"/>
      <c r="Q507" s="56"/>
      <c r="R507" s="56"/>
      <c r="S507" s="56"/>
      <c r="T507" s="56"/>
      <c r="U507" s="56"/>
      <c r="V507" s="56"/>
      <c r="W507" s="56"/>
      <c r="X507" s="56"/>
      <c r="Y507" s="56"/>
      <c r="Z507" s="56"/>
      <c r="AA507" s="56"/>
      <c r="AB507" s="56"/>
      <c r="AC507" s="15"/>
    </row>
    <row r="508" spans="3:29" ht="12.75">
      <c r="C508" s="23"/>
      <c r="I508" s="23"/>
      <c r="L508" s="56"/>
      <c r="M508" s="56"/>
      <c r="N508" s="56"/>
      <c r="O508" s="56"/>
      <c r="P508" s="56"/>
      <c r="Q508" s="56"/>
      <c r="R508" s="56"/>
      <c r="S508" s="56"/>
      <c r="T508" s="56"/>
      <c r="U508" s="56"/>
      <c r="V508" s="56"/>
      <c r="W508" s="56"/>
      <c r="X508" s="56"/>
      <c r="Y508" s="56"/>
      <c r="Z508" s="56"/>
      <c r="AA508" s="56"/>
      <c r="AB508" s="56"/>
      <c r="AC508" s="15"/>
    </row>
    <row r="509" spans="3:29" ht="12.75">
      <c r="C509" s="23"/>
      <c r="I509" s="23"/>
      <c r="L509" s="56"/>
      <c r="M509" s="56"/>
      <c r="N509" s="56"/>
      <c r="O509" s="56"/>
      <c r="P509" s="56"/>
      <c r="Q509" s="56"/>
      <c r="R509" s="56"/>
      <c r="S509" s="56"/>
      <c r="T509" s="56"/>
      <c r="U509" s="56"/>
      <c r="V509" s="56"/>
      <c r="W509" s="56"/>
      <c r="X509" s="56"/>
      <c r="Y509" s="56"/>
      <c r="Z509" s="56"/>
      <c r="AA509" s="56"/>
      <c r="AB509" s="56"/>
      <c r="AC509" s="15"/>
    </row>
    <row r="510" spans="3:29" ht="12.75">
      <c r="C510" s="23"/>
      <c r="I510" s="23"/>
      <c r="L510" s="56"/>
      <c r="M510" s="56"/>
      <c r="N510" s="56"/>
      <c r="O510" s="56"/>
      <c r="P510" s="56"/>
      <c r="Q510" s="56"/>
      <c r="R510" s="56"/>
      <c r="S510" s="56"/>
      <c r="T510" s="56"/>
      <c r="U510" s="56"/>
      <c r="V510" s="56"/>
      <c r="W510" s="56"/>
      <c r="X510" s="56"/>
      <c r="Y510" s="56"/>
      <c r="Z510" s="56"/>
      <c r="AA510" s="56"/>
      <c r="AB510" s="56"/>
      <c r="AC510" s="15"/>
    </row>
    <row r="511" spans="3:29" ht="12.75">
      <c r="C511" s="23"/>
      <c r="I511" s="23"/>
      <c r="L511" s="56"/>
      <c r="M511" s="56"/>
      <c r="N511" s="56"/>
      <c r="O511" s="56"/>
      <c r="P511" s="56"/>
      <c r="Q511" s="56"/>
      <c r="R511" s="56"/>
      <c r="S511" s="56"/>
      <c r="T511" s="56"/>
      <c r="U511" s="56"/>
      <c r="V511" s="56"/>
      <c r="W511" s="56"/>
      <c r="X511" s="56"/>
      <c r="Y511" s="56"/>
      <c r="Z511" s="56"/>
      <c r="AA511" s="56"/>
      <c r="AB511" s="56"/>
      <c r="AC511" s="15"/>
    </row>
    <row r="512" spans="3:29" ht="12.75">
      <c r="C512" s="23"/>
      <c r="I512" s="23"/>
      <c r="L512" s="56"/>
      <c r="M512" s="56"/>
      <c r="N512" s="56"/>
      <c r="O512" s="56"/>
      <c r="P512" s="56"/>
      <c r="Q512" s="56"/>
      <c r="R512" s="56"/>
      <c r="S512" s="56"/>
      <c r="T512" s="56"/>
      <c r="U512" s="56"/>
      <c r="V512" s="56"/>
      <c r="W512" s="56"/>
      <c r="X512" s="56"/>
      <c r="Y512" s="56"/>
      <c r="Z512" s="56"/>
      <c r="AA512" s="56"/>
      <c r="AB512" s="56"/>
      <c r="AC512" s="15"/>
    </row>
    <row r="513" spans="3:29" ht="12.75">
      <c r="C513" s="23"/>
      <c r="I513" s="23"/>
      <c r="L513" s="56"/>
      <c r="M513" s="56"/>
      <c r="N513" s="56"/>
      <c r="O513" s="56"/>
      <c r="P513" s="56"/>
      <c r="Q513" s="56"/>
      <c r="R513" s="56"/>
      <c r="S513" s="56"/>
      <c r="T513" s="56"/>
      <c r="U513" s="56"/>
      <c r="V513" s="56"/>
      <c r="W513" s="56"/>
      <c r="X513" s="56"/>
      <c r="Y513" s="56"/>
      <c r="Z513" s="56"/>
      <c r="AA513" s="56"/>
      <c r="AB513" s="56"/>
      <c r="AC513" s="15"/>
    </row>
    <row r="514" spans="3:29" ht="12.75">
      <c r="C514" s="23"/>
      <c r="I514" s="23"/>
      <c r="L514" s="56"/>
      <c r="M514" s="56"/>
      <c r="N514" s="56"/>
      <c r="O514" s="56"/>
      <c r="P514" s="56"/>
      <c r="Q514" s="56"/>
      <c r="R514" s="56"/>
      <c r="S514" s="56"/>
      <c r="T514" s="56"/>
      <c r="U514" s="56"/>
      <c r="V514" s="56"/>
      <c r="W514" s="56"/>
      <c r="X514" s="56"/>
      <c r="Y514" s="56"/>
      <c r="Z514" s="56"/>
      <c r="AA514" s="56"/>
      <c r="AB514" s="56"/>
      <c r="AC514" s="15"/>
    </row>
    <row r="515" spans="3:29" ht="12.75">
      <c r="C515" s="23"/>
      <c r="I515" s="23"/>
      <c r="L515" s="56"/>
      <c r="M515" s="56"/>
      <c r="N515" s="56"/>
      <c r="O515" s="56"/>
      <c r="P515" s="56"/>
      <c r="Q515" s="56"/>
      <c r="R515" s="56"/>
      <c r="S515" s="56"/>
      <c r="T515" s="56"/>
      <c r="U515" s="56"/>
      <c r="V515" s="56"/>
      <c r="W515" s="56"/>
      <c r="X515" s="56"/>
      <c r="Y515" s="56"/>
      <c r="Z515" s="56"/>
      <c r="AA515" s="56"/>
      <c r="AB515" s="56"/>
      <c r="AC515" s="15"/>
    </row>
    <row r="516" spans="3:29" ht="12.75">
      <c r="C516" s="23"/>
      <c r="I516" s="23"/>
      <c r="L516" s="56"/>
      <c r="M516" s="56"/>
      <c r="N516" s="56"/>
      <c r="O516" s="56"/>
      <c r="P516" s="56"/>
      <c r="Q516" s="56"/>
      <c r="R516" s="56"/>
      <c r="S516" s="56"/>
      <c r="T516" s="56"/>
      <c r="U516" s="56"/>
      <c r="V516" s="56"/>
      <c r="W516" s="56"/>
      <c r="X516" s="56"/>
      <c r="Y516" s="56"/>
      <c r="Z516" s="56"/>
      <c r="AA516" s="56"/>
      <c r="AB516" s="56"/>
      <c r="AC516" s="15"/>
    </row>
    <row r="517" spans="3:29" ht="12.75">
      <c r="C517" s="23"/>
      <c r="I517" s="23"/>
      <c r="L517" s="56"/>
      <c r="M517" s="56"/>
      <c r="N517" s="56"/>
      <c r="O517" s="56"/>
      <c r="P517" s="56"/>
      <c r="Q517" s="56"/>
      <c r="R517" s="56"/>
      <c r="S517" s="56"/>
      <c r="T517" s="56"/>
      <c r="U517" s="56"/>
      <c r="V517" s="56"/>
      <c r="W517" s="56"/>
      <c r="X517" s="56"/>
      <c r="Y517" s="56"/>
      <c r="Z517" s="56"/>
      <c r="AA517" s="56"/>
      <c r="AB517" s="56"/>
      <c r="AC517" s="15"/>
    </row>
    <row r="518" spans="3:29" ht="12.75">
      <c r="C518" s="23"/>
      <c r="I518" s="23"/>
      <c r="L518" s="56"/>
      <c r="M518" s="56"/>
      <c r="N518" s="56"/>
      <c r="O518" s="56"/>
      <c r="P518" s="56"/>
      <c r="Q518" s="56"/>
      <c r="R518" s="56"/>
      <c r="S518" s="56"/>
      <c r="T518" s="56"/>
      <c r="U518" s="56"/>
      <c r="V518" s="56"/>
      <c r="W518" s="56"/>
      <c r="X518" s="56"/>
      <c r="Y518" s="56"/>
      <c r="Z518" s="56"/>
      <c r="AA518" s="56"/>
      <c r="AB518" s="56"/>
      <c r="AC518" s="15"/>
    </row>
    <row r="519" spans="3:29" ht="12.75">
      <c r="C519" s="23"/>
      <c r="I519" s="23"/>
      <c r="L519" s="56"/>
      <c r="M519" s="56"/>
      <c r="N519" s="56"/>
      <c r="O519" s="56"/>
      <c r="P519" s="56"/>
      <c r="Q519" s="56"/>
      <c r="R519" s="56"/>
      <c r="S519" s="56"/>
      <c r="T519" s="56"/>
      <c r="U519" s="56"/>
      <c r="V519" s="56"/>
      <c r="W519" s="56"/>
      <c r="X519" s="56"/>
      <c r="Y519" s="56"/>
      <c r="Z519" s="56"/>
      <c r="AA519" s="56"/>
      <c r="AB519" s="56"/>
      <c r="AC519" s="15"/>
    </row>
    <row r="520" spans="3:29" ht="12.75">
      <c r="C520" s="23"/>
      <c r="I520" s="23"/>
      <c r="L520" s="56"/>
      <c r="M520" s="56"/>
      <c r="N520" s="56"/>
      <c r="O520" s="56"/>
      <c r="P520" s="56"/>
      <c r="Q520" s="56"/>
      <c r="R520" s="56"/>
      <c r="S520" s="56"/>
      <c r="T520" s="56"/>
      <c r="U520" s="56"/>
      <c r="V520" s="56"/>
      <c r="W520" s="56"/>
      <c r="X520" s="56"/>
      <c r="Y520" s="56"/>
      <c r="Z520" s="56"/>
      <c r="AA520" s="56"/>
      <c r="AB520" s="56"/>
      <c r="AC520" s="15"/>
    </row>
    <row r="521" spans="3:29" ht="12.75">
      <c r="C521" s="23"/>
      <c r="I521" s="23"/>
      <c r="L521" s="56"/>
      <c r="M521" s="56"/>
      <c r="N521" s="56"/>
      <c r="O521" s="56"/>
      <c r="P521" s="56"/>
      <c r="Q521" s="56"/>
      <c r="R521" s="56"/>
      <c r="S521" s="56"/>
      <c r="T521" s="56"/>
      <c r="U521" s="56"/>
      <c r="V521" s="56"/>
      <c r="W521" s="56"/>
      <c r="X521" s="56"/>
      <c r="Y521" s="56"/>
      <c r="Z521" s="56"/>
      <c r="AA521" s="56"/>
      <c r="AB521" s="56"/>
      <c r="AC521" s="15"/>
    </row>
    <row r="522" spans="3:29" ht="12.75">
      <c r="C522" s="23"/>
      <c r="I522" s="23"/>
      <c r="L522" s="56"/>
      <c r="M522" s="56"/>
      <c r="N522" s="56"/>
      <c r="O522" s="56"/>
      <c r="P522" s="56"/>
      <c r="Q522" s="56"/>
      <c r="R522" s="56"/>
      <c r="S522" s="56"/>
      <c r="T522" s="56"/>
      <c r="U522" s="56"/>
      <c r="V522" s="56"/>
      <c r="W522" s="56"/>
      <c r="X522" s="56"/>
      <c r="Y522" s="56"/>
      <c r="Z522" s="56"/>
      <c r="AA522" s="56"/>
      <c r="AB522" s="56"/>
      <c r="AC522" s="15"/>
    </row>
    <row r="523" spans="3:29" ht="12.75">
      <c r="C523" s="23"/>
      <c r="I523" s="23"/>
      <c r="L523" s="56"/>
      <c r="M523" s="56"/>
      <c r="N523" s="56"/>
      <c r="O523" s="56"/>
      <c r="P523" s="56"/>
      <c r="Q523" s="56"/>
      <c r="R523" s="56"/>
      <c r="S523" s="56"/>
      <c r="T523" s="56"/>
      <c r="U523" s="56"/>
      <c r="V523" s="56"/>
      <c r="W523" s="56"/>
      <c r="X523" s="56"/>
      <c r="Y523" s="56"/>
      <c r="Z523" s="56"/>
      <c r="AA523" s="56"/>
      <c r="AB523" s="56"/>
      <c r="AC523" s="15"/>
    </row>
    <row r="524" spans="3:29" ht="12.75">
      <c r="C524" s="23"/>
      <c r="I524" s="23"/>
      <c r="L524" s="56"/>
      <c r="M524" s="56"/>
      <c r="N524" s="56"/>
      <c r="O524" s="56"/>
      <c r="P524" s="56"/>
      <c r="Q524" s="56"/>
      <c r="R524" s="56"/>
      <c r="S524" s="56"/>
      <c r="T524" s="56"/>
      <c r="U524" s="56"/>
      <c r="V524" s="56"/>
      <c r="W524" s="56"/>
      <c r="X524" s="56"/>
      <c r="Y524" s="56"/>
      <c r="Z524" s="56"/>
      <c r="AA524" s="56"/>
      <c r="AB524" s="56"/>
      <c r="AC524" s="15"/>
    </row>
    <row r="525" spans="3:29" ht="12.75">
      <c r="C525" s="23"/>
      <c r="I525" s="23"/>
      <c r="L525" s="56"/>
      <c r="M525" s="56"/>
      <c r="N525" s="56"/>
      <c r="O525" s="56"/>
      <c r="P525" s="56"/>
      <c r="Q525" s="56"/>
      <c r="R525" s="56"/>
      <c r="S525" s="56"/>
      <c r="T525" s="56"/>
      <c r="U525" s="56"/>
      <c r="V525" s="56"/>
      <c r="W525" s="56"/>
      <c r="X525" s="56"/>
      <c r="Y525" s="56"/>
      <c r="Z525" s="56"/>
      <c r="AA525" s="56"/>
      <c r="AB525" s="56"/>
      <c r="AC525" s="15"/>
    </row>
    <row r="526" spans="3:29" ht="12.75">
      <c r="C526" s="23"/>
      <c r="I526" s="23"/>
      <c r="L526" s="56"/>
      <c r="M526" s="56"/>
      <c r="N526" s="56"/>
      <c r="O526" s="56"/>
      <c r="P526" s="56"/>
      <c r="Q526" s="56"/>
      <c r="R526" s="56"/>
      <c r="S526" s="56"/>
      <c r="T526" s="56"/>
      <c r="U526" s="56"/>
      <c r="V526" s="56"/>
      <c r="W526" s="56"/>
      <c r="X526" s="56"/>
      <c r="Y526" s="56"/>
      <c r="Z526" s="56"/>
      <c r="AA526" s="56"/>
      <c r="AB526" s="56"/>
      <c r="AC526" s="15"/>
    </row>
    <row r="527" spans="3:29" ht="12.75">
      <c r="C527" s="23"/>
      <c r="I527" s="23"/>
      <c r="L527" s="56"/>
      <c r="M527" s="56"/>
      <c r="N527" s="56"/>
      <c r="O527" s="56"/>
      <c r="P527" s="56"/>
      <c r="Q527" s="56"/>
      <c r="R527" s="56"/>
      <c r="S527" s="56"/>
      <c r="T527" s="56"/>
      <c r="U527" s="56"/>
      <c r="V527" s="56"/>
      <c r="W527" s="56"/>
      <c r="X527" s="56"/>
      <c r="Y527" s="56"/>
      <c r="Z527" s="56"/>
      <c r="AA527" s="56"/>
      <c r="AB527" s="56"/>
      <c r="AC527" s="15"/>
    </row>
    <row r="528" spans="3:29" ht="12.75">
      <c r="C528" s="23"/>
      <c r="I528" s="23"/>
      <c r="L528" s="56"/>
      <c r="M528" s="56"/>
      <c r="N528" s="56"/>
      <c r="O528" s="56"/>
      <c r="P528" s="56"/>
      <c r="Q528" s="56"/>
      <c r="R528" s="56"/>
      <c r="S528" s="56"/>
      <c r="T528" s="56"/>
      <c r="U528" s="56"/>
      <c r="V528" s="56"/>
      <c r="W528" s="56"/>
      <c r="X528" s="56"/>
      <c r="Y528" s="56"/>
      <c r="Z528" s="56"/>
      <c r="AA528" s="56"/>
      <c r="AB528" s="56"/>
      <c r="AC528" s="15"/>
    </row>
    <row r="529" spans="3:29" ht="12.75">
      <c r="C529" s="23"/>
      <c r="I529" s="23"/>
      <c r="L529" s="56"/>
      <c r="M529" s="56"/>
      <c r="N529" s="56"/>
      <c r="O529" s="56"/>
      <c r="P529" s="56"/>
      <c r="Q529" s="56"/>
      <c r="R529" s="56"/>
      <c r="S529" s="56"/>
      <c r="T529" s="56"/>
      <c r="U529" s="56"/>
      <c r="V529" s="56"/>
      <c r="W529" s="56"/>
      <c r="X529" s="56"/>
      <c r="Y529" s="56"/>
      <c r="Z529" s="56"/>
      <c r="AA529" s="56"/>
      <c r="AB529" s="56"/>
      <c r="AC529" s="15"/>
    </row>
    <row r="530" spans="3:29" ht="12.75">
      <c r="C530" s="23"/>
      <c r="I530" s="23"/>
      <c r="L530" s="56"/>
      <c r="M530" s="56"/>
      <c r="N530" s="56"/>
      <c r="O530" s="56"/>
      <c r="P530" s="56"/>
      <c r="Q530" s="56"/>
      <c r="R530" s="56"/>
      <c r="S530" s="56"/>
      <c r="T530" s="56"/>
      <c r="U530" s="56"/>
      <c r="V530" s="56"/>
      <c r="W530" s="56"/>
      <c r="X530" s="56"/>
      <c r="Y530" s="56"/>
      <c r="Z530" s="56"/>
      <c r="AA530" s="56"/>
      <c r="AB530" s="56"/>
      <c r="AC530" s="15"/>
    </row>
    <row r="531" spans="3:29" ht="12.75">
      <c r="C531" s="23"/>
      <c r="I531" s="23"/>
      <c r="L531" s="56"/>
      <c r="M531" s="56"/>
      <c r="N531" s="56"/>
      <c r="O531" s="56"/>
      <c r="P531" s="56"/>
      <c r="Q531" s="56"/>
      <c r="R531" s="56"/>
      <c r="S531" s="56"/>
      <c r="T531" s="56"/>
      <c r="U531" s="56"/>
      <c r="V531" s="56"/>
      <c r="W531" s="56"/>
      <c r="X531" s="56"/>
      <c r="Y531" s="56"/>
      <c r="Z531" s="56"/>
      <c r="AA531" s="56"/>
      <c r="AB531" s="56"/>
      <c r="AC531" s="15"/>
    </row>
    <row r="532" spans="3:29" ht="12.75">
      <c r="C532" s="23"/>
      <c r="I532" s="23"/>
      <c r="L532" s="56"/>
      <c r="M532" s="56"/>
      <c r="N532" s="56"/>
      <c r="O532" s="56"/>
      <c r="P532" s="56"/>
      <c r="Q532" s="56"/>
      <c r="R532" s="56"/>
      <c r="S532" s="56"/>
      <c r="T532" s="56"/>
      <c r="U532" s="56"/>
      <c r="V532" s="56"/>
      <c r="W532" s="56"/>
      <c r="X532" s="56"/>
      <c r="Y532" s="56"/>
      <c r="Z532" s="56"/>
      <c r="AA532" s="56"/>
      <c r="AB532" s="56"/>
      <c r="AC532" s="15"/>
    </row>
    <row r="533" spans="3:29" ht="12.75">
      <c r="C533" s="23"/>
      <c r="I533" s="23"/>
      <c r="L533" s="56"/>
      <c r="M533" s="56"/>
      <c r="N533" s="56"/>
      <c r="O533" s="56"/>
      <c r="P533" s="56"/>
      <c r="Q533" s="56"/>
      <c r="R533" s="56"/>
      <c r="S533" s="56"/>
      <c r="T533" s="56"/>
      <c r="U533" s="56"/>
      <c r="V533" s="56"/>
      <c r="W533" s="56"/>
      <c r="X533" s="56"/>
      <c r="Y533" s="56"/>
      <c r="Z533" s="56"/>
      <c r="AA533" s="56"/>
      <c r="AB533" s="56"/>
      <c r="AC533" s="15"/>
    </row>
    <row r="534" spans="3:29" ht="12.75">
      <c r="C534" s="23"/>
      <c r="I534" s="23"/>
      <c r="L534" s="56"/>
      <c r="M534" s="56"/>
      <c r="N534" s="56"/>
      <c r="O534" s="56"/>
      <c r="P534" s="56"/>
      <c r="Q534" s="56"/>
      <c r="R534" s="56"/>
      <c r="S534" s="56"/>
      <c r="T534" s="56"/>
      <c r="U534" s="56"/>
      <c r="V534" s="56"/>
      <c r="W534" s="56"/>
      <c r="X534" s="56"/>
      <c r="Y534" s="56"/>
      <c r="Z534" s="56"/>
      <c r="AA534" s="56"/>
      <c r="AB534" s="56"/>
      <c r="AC534" s="15"/>
    </row>
    <row r="535" spans="3:29" ht="12.75">
      <c r="C535" s="23"/>
      <c r="I535" s="23"/>
      <c r="L535" s="56"/>
      <c r="M535" s="56"/>
      <c r="N535" s="56"/>
      <c r="O535" s="56"/>
      <c r="P535" s="56"/>
      <c r="Q535" s="56"/>
      <c r="R535" s="56"/>
      <c r="S535" s="56"/>
      <c r="T535" s="56"/>
      <c r="U535" s="56"/>
      <c r="V535" s="56"/>
      <c r="W535" s="56"/>
      <c r="X535" s="56"/>
      <c r="Y535" s="56"/>
      <c r="Z535" s="56"/>
      <c r="AA535" s="56"/>
      <c r="AB535" s="56"/>
      <c r="AC535" s="15"/>
    </row>
    <row r="536" spans="3:29" ht="12.75">
      <c r="C536" s="23"/>
      <c r="I536" s="23"/>
      <c r="L536" s="56"/>
      <c r="M536" s="56"/>
      <c r="N536" s="56"/>
      <c r="O536" s="56"/>
      <c r="P536" s="56"/>
      <c r="Q536" s="56"/>
      <c r="R536" s="56"/>
      <c r="S536" s="56"/>
      <c r="T536" s="56"/>
      <c r="U536" s="56"/>
      <c r="V536" s="56"/>
      <c r="W536" s="56"/>
      <c r="X536" s="56"/>
      <c r="Y536" s="56"/>
      <c r="Z536" s="56"/>
      <c r="AA536" s="56"/>
      <c r="AB536" s="56"/>
      <c r="AC536" s="15"/>
    </row>
    <row r="537" spans="3:29" ht="12.75">
      <c r="C537" s="23"/>
      <c r="I537" s="23"/>
      <c r="L537" s="56"/>
      <c r="M537" s="56"/>
      <c r="N537" s="56"/>
      <c r="O537" s="56"/>
      <c r="P537" s="56"/>
      <c r="Q537" s="56"/>
      <c r="R537" s="56"/>
      <c r="S537" s="56"/>
      <c r="T537" s="56"/>
      <c r="U537" s="56"/>
      <c r="V537" s="56"/>
      <c r="W537" s="56"/>
      <c r="X537" s="56"/>
      <c r="Y537" s="56"/>
      <c r="Z537" s="56"/>
      <c r="AA537" s="56"/>
      <c r="AB537" s="56"/>
      <c r="AC537" s="15"/>
    </row>
    <row r="538" spans="3:29" ht="12.75">
      <c r="C538" s="23"/>
      <c r="I538" s="23"/>
      <c r="L538" s="56"/>
      <c r="M538" s="56"/>
      <c r="N538" s="56"/>
      <c r="O538" s="56"/>
      <c r="P538" s="56"/>
      <c r="Q538" s="56"/>
      <c r="R538" s="56"/>
      <c r="S538" s="56"/>
      <c r="T538" s="56"/>
      <c r="U538" s="56"/>
      <c r="V538" s="56"/>
      <c r="W538" s="56"/>
      <c r="X538" s="56"/>
      <c r="Y538" s="56"/>
      <c r="Z538" s="56"/>
      <c r="AA538" s="56"/>
      <c r="AB538" s="56"/>
      <c r="AC538" s="15"/>
    </row>
    <row r="539" spans="3:29" ht="12.75">
      <c r="C539" s="23"/>
      <c r="I539" s="23"/>
      <c r="L539" s="56"/>
      <c r="M539" s="56"/>
      <c r="N539" s="56"/>
      <c r="O539" s="56"/>
      <c r="P539" s="56"/>
      <c r="Q539" s="56"/>
      <c r="R539" s="56"/>
      <c r="S539" s="56"/>
      <c r="T539" s="56"/>
      <c r="U539" s="56"/>
      <c r="V539" s="56"/>
      <c r="W539" s="56"/>
      <c r="X539" s="56"/>
      <c r="Y539" s="56"/>
      <c r="Z539" s="56"/>
      <c r="AA539" s="56"/>
      <c r="AB539" s="56"/>
      <c r="AC539" s="15"/>
    </row>
    <row r="540" spans="3:29" ht="12.75">
      <c r="C540" s="23"/>
      <c r="I540" s="23"/>
      <c r="L540" s="56"/>
      <c r="M540" s="56"/>
      <c r="N540" s="56"/>
      <c r="O540" s="56"/>
      <c r="P540" s="56"/>
      <c r="Q540" s="56"/>
      <c r="R540" s="56"/>
      <c r="S540" s="56"/>
      <c r="T540" s="56"/>
      <c r="U540" s="56"/>
      <c r="V540" s="56"/>
      <c r="W540" s="56"/>
      <c r="X540" s="56"/>
      <c r="Y540" s="56"/>
      <c r="Z540" s="56"/>
      <c r="AA540" s="56"/>
      <c r="AB540" s="56"/>
      <c r="AC540" s="15"/>
    </row>
    <row r="541" spans="3:29" ht="12.75">
      <c r="C541" s="23"/>
      <c r="I541" s="23"/>
      <c r="L541" s="56"/>
      <c r="M541" s="56"/>
      <c r="N541" s="56"/>
      <c r="O541" s="56"/>
      <c r="P541" s="56"/>
      <c r="Q541" s="56"/>
      <c r="R541" s="56"/>
      <c r="S541" s="56"/>
      <c r="T541" s="56"/>
      <c r="U541" s="56"/>
      <c r="V541" s="56"/>
      <c r="W541" s="56"/>
      <c r="X541" s="56"/>
      <c r="Y541" s="56"/>
      <c r="Z541" s="56"/>
      <c r="AA541" s="56"/>
      <c r="AB541" s="56"/>
      <c r="AC541" s="15"/>
    </row>
    <row r="542" spans="3:29" ht="12.75">
      <c r="C542" s="23"/>
      <c r="I542" s="23"/>
      <c r="L542" s="56"/>
      <c r="M542" s="56"/>
      <c r="N542" s="56"/>
      <c r="O542" s="56"/>
      <c r="P542" s="56"/>
      <c r="Q542" s="56"/>
      <c r="R542" s="56"/>
      <c r="S542" s="56"/>
      <c r="T542" s="56"/>
      <c r="U542" s="56"/>
      <c r="V542" s="56"/>
      <c r="W542" s="56"/>
      <c r="X542" s="56"/>
      <c r="Y542" s="56"/>
      <c r="Z542" s="56"/>
      <c r="AA542" s="56"/>
      <c r="AB542" s="56"/>
      <c r="AC542" s="15"/>
    </row>
    <row r="543" spans="3:29" ht="12.75">
      <c r="C543" s="23"/>
      <c r="I543" s="23"/>
      <c r="L543" s="56"/>
      <c r="M543" s="56"/>
      <c r="N543" s="56"/>
      <c r="O543" s="56"/>
      <c r="P543" s="56"/>
      <c r="Q543" s="56"/>
      <c r="R543" s="56"/>
      <c r="S543" s="56"/>
      <c r="T543" s="56"/>
      <c r="U543" s="56"/>
      <c r="V543" s="56"/>
      <c r="W543" s="56"/>
      <c r="X543" s="56"/>
      <c r="Y543" s="56"/>
      <c r="Z543" s="56"/>
      <c r="AA543" s="56"/>
      <c r="AB543" s="56"/>
      <c r="AC543" s="15"/>
    </row>
    <row r="544" spans="3:29" ht="12.75">
      <c r="C544" s="23"/>
      <c r="I544" s="23"/>
      <c r="L544" s="56"/>
      <c r="M544" s="56"/>
      <c r="N544" s="56"/>
      <c r="O544" s="56"/>
      <c r="P544" s="56"/>
      <c r="Q544" s="56"/>
      <c r="R544" s="56"/>
      <c r="S544" s="56"/>
      <c r="T544" s="56"/>
      <c r="U544" s="56"/>
      <c r="V544" s="56"/>
      <c r="W544" s="56"/>
      <c r="X544" s="56"/>
      <c r="Y544" s="56"/>
      <c r="Z544" s="56"/>
      <c r="AA544" s="56"/>
      <c r="AB544" s="56"/>
      <c r="AC544" s="15"/>
    </row>
    <row r="545" spans="3:29" ht="12.75">
      <c r="C545" s="23"/>
      <c r="I545" s="23"/>
      <c r="L545" s="56"/>
      <c r="M545" s="56"/>
      <c r="N545" s="56"/>
      <c r="O545" s="56"/>
      <c r="P545" s="56"/>
      <c r="Q545" s="56"/>
      <c r="R545" s="56"/>
      <c r="S545" s="56"/>
      <c r="T545" s="56"/>
      <c r="U545" s="56"/>
      <c r="V545" s="56"/>
      <c r="W545" s="56"/>
      <c r="X545" s="56"/>
      <c r="Y545" s="56"/>
      <c r="Z545" s="56"/>
      <c r="AA545" s="56"/>
      <c r="AB545" s="56"/>
      <c r="AC545" s="15"/>
    </row>
    <row r="546" spans="3:29" ht="12.75">
      <c r="C546" s="23"/>
      <c r="I546" s="23"/>
      <c r="L546" s="56"/>
      <c r="M546" s="56"/>
      <c r="N546" s="56"/>
      <c r="O546" s="56"/>
      <c r="P546" s="56"/>
      <c r="Q546" s="56"/>
      <c r="R546" s="56"/>
      <c r="S546" s="56"/>
      <c r="T546" s="56"/>
      <c r="U546" s="56"/>
      <c r="V546" s="56"/>
      <c r="W546" s="56"/>
      <c r="X546" s="56"/>
      <c r="Y546" s="56"/>
      <c r="Z546" s="56"/>
      <c r="AA546" s="56"/>
      <c r="AB546" s="56"/>
      <c r="AC546" s="15"/>
    </row>
    <row r="547" spans="3:29" ht="12.75">
      <c r="C547" s="23"/>
      <c r="I547" s="23"/>
      <c r="L547" s="56"/>
      <c r="M547" s="56"/>
      <c r="N547" s="56"/>
      <c r="O547" s="56"/>
      <c r="P547" s="56"/>
      <c r="Q547" s="56"/>
      <c r="R547" s="56"/>
      <c r="S547" s="56"/>
      <c r="T547" s="56"/>
      <c r="U547" s="56"/>
      <c r="V547" s="56"/>
      <c r="W547" s="56"/>
      <c r="X547" s="56"/>
      <c r="Y547" s="56"/>
      <c r="Z547" s="56"/>
      <c r="AA547" s="56"/>
      <c r="AB547" s="56"/>
      <c r="AC547" s="15"/>
    </row>
    <row r="548" spans="3:29" ht="12.75">
      <c r="C548" s="23"/>
      <c r="I548" s="23"/>
      <c r="L548" s="56"/>
      <c r="M548" s="56"/>
      <c r="N548" s="56"/>
      <c r="O548" s="56"/>
      <c r="P548" s="56"/>
      <c r="Q548" s="56"/>
      <c r="R548" s="56"/>
      <c r="S548" s="56"/>
      <c r="T548" s="56"/>
      <c r="U548" s="56"/>
      <c r="V548" s="56"/>
      <c r="W548" s="56"/>
      <c r="X548" s="56"/>
      <c r="Y548" s="56"/>
      <c r="Z548" s="56"/>
      <c r="AA548" s="56"/>
      <c r="AB548" s="56"/>
      <c r="AC548" s="15"/>
    </row>
    <row r="549" spans="3:29" ht="12.75">
      <c r="C549" s="23"/>
      <c r="I549" s="23"/>
      <c r="L549" s="56"/>
      <c r="M549" s="56"/>
      <c r="N549" s="56"/>
      <c r="O549" s="56"/>
      <c r="P549" s="56"/>
      <c r="Q549" s="56"/>
      <c r="R549" s="56"/>
      <c r="S549" s="56"/>
      <c r="T549" s="56"/>
      <c r="U549" s="56"/>
      <c r="V549" s="56"/>
      <c r="W549" s="56"/>
      <c r="X549" s="56"/>
      <c r="Y549" s="56"/>
      <c r="Z549" s="56"/>
      <c r="AA549" s="56"/>
      <c r="AB549" s="56"/>
      <c r="AC549" s="15"/>
    </row>
    <row r="550" spans="3:29" ht="12.75">
      <c r="C550" s="23"/>
      <c r="I550" s="23"/>
      <c r="L550" s="56"/>
      <c r="M550" s="56"/>
      <c r="N550" s="56"/>
      <c r="O550" s="56"/>
      <c r="P550" s="56"/>
      <c r="Q550" s="56"/>
      <c r="R550" s="56"/>
      <c r="S550" s="56"/>
      <c r="T550" s="56"/>
      <c r="U550" s="56"/>
      <c r="V550" s="56"/>
      <c r="W550" s="56"/>
      <c r="X550" s="56"/>
      <c r="Y550" s="56"/>
      <c r="Z550" s="56"/>
      <c r="AA550" s="56"/>
      <c r="AB550" s="56"/>
      <c r="AC550" s="15"/>
    </row>
    <row r="551" spans="3:29" ht="12.75">
      <c r="C551" s="23"/>
      <c r="I551" s="23"/>
      <c r="L551" s="56"/>
      <c r="M551" s="56"/>
      <c r="N551" s="56"/>
      <c r="O551" s="56"/>
      <c r="P551" s="56"/>
      <c r="Q551" s="56"/>
      <c r="R551" s="56"/>
      <c r="S551" s="56"/>
      <c r="T551" s="56"/>
      <c r="U551" s="56"/>
      <c r="V551" s="56"/>
      <c r="W551" s="56"/>
      <c r="X551" s="56"/>
      <c r="Y551" s="56"/>
      <c r="Z551" s="56"/>
      <c r="AA551" s="56"/>
      <c r="AB551" s="56"/>
      <c r="AC551" s="15"/>
    </row>
    <row r="552" spans="3:29" ht="12.75">
      <c r="C552" s="23"/>
      <c r="I552" s="23"/>
      <c r="L552" s="56"/>
      <c r="M552" s="56"/>
      <c r="N552" s="56"/>
      <c r="O552" s="56"/>
      <c r="P552" s="56"/>
      <c r="Q552" s="56"/>
      <c r="R552" s="56"/>
      <c r="S552" s="56"/>
      <c r="T552" s="56"/>
      <c r="U552" s="56"/>
      <c r="V552" s="56"/>
      <c r="W552" s="56"/>
      <c r="X552" s="56"/>
      <c r="Y552" s="56"/>
      <c r="Z552" s="56"/>
      <c r="AA552" s="56"/>
      <c r="AB552" s="56"/>
      <c r="AC552" s="15"/>
    </row>
    <row r="553" spans="3:29" ht="12.75">
      <c r="C553" s="23"/>
      <c r="I553" s="23"/>
      <c r="L553" s="56"/>
      <c r="M553" s="56"/>
      <c r="N553" s="56"/>
      <c r="O553" s="56"/>
      <c r="P553" s="56"/>
      <c r="Q553" s="56"/>
      <c r="R553" s="56"/>
      <c r="S553" s="56"/>
      <c r="T553" s="56"/>
      <c r="U553" s="56"/>
      <c r="V553" s="56"/>
      <c r="W553" s="56"/>
      <c r="X553" s="56"/>
      <c r="Y553" s="56"/>
      <c r="Z553" s="56"/>
      <c r="AA553" s="56"/>
      <c r="AB553" s="56"/>
      <c r="AC553" s="15"/>
    </row>
    <row r="554" spans="3:29" ht="12.75">
      <c r="C554" s="23"/>
      <c r="I554" s="23"/>
      <c r="L554" s="56"/>
      <c r="M554" s="56"/>
      <c r="N554" s="56"/>
      <c r="O554" s="56"/>
      <c r="P554" s="56"/>
      <c r="Q554" s="56"/>
      <c r="R554" s="56"/>
      <c r="S554" s="56"/>
      <c r="T554" s="56"/>
      <c r="U554" s="56"/>
      <c r="V554" s="56"/>
      <c r="W554" s="56"/>
      <c r="X554" s="56"/>
      <c r="Y554" s="56"/>
      <c r="Z554" s="56"/>
      <c r="AA554" s="56"/>
      <c r="AB554" s="56"/>
      <c r="AC554" s="15"/>
    </row>
    <row r="555" spans="3:29" ht="12.75">
      <c r="C555" s="23"/>
      <c r="I555" s="23"/>
      <c r="L555" s="56"/>
      <c r="M555" s="56"/>
      <c r="N555" s="56"/>
      <c r="O555" s="56"/>
      <c r="P555" s="56"/>
      <c r="Q555" s="56"/>
      <c r="R555" s="56"/>
      <c r="S555" s="56"/>
      <c r="T555" s="56"/>
      <c r="U555" s="56"/>
      <c r="V555" s="56"/>
      <c r="W555" s="56"/>
      <c r="X555" s="56"/>
      <c r="Y555" s="56"/>
      <c r="Z555" s="56"/>
      <c r="AA555" s="56"/>
      <c r="AB555" s="56"/>
      <c r="AC555" s="15"/>
    </row>
    <row r="556" spans="3:29" ht="12.75">
      <c r="C556" s="23"/>
      <c r="I556" s="23"/>
      <c r="L556" s="56"/>
      <c r="M556" s="56"/>
      <c r="N556" s="56"/>
      <c r="O556" s="56"/>
      <c r="P556" s="56"/>
      <c r="Q556" s="56"/>
      <c r="R556" s="56"/>
      <c r="S556" s="56"/>
      <c r="T556" s="56"/>
      <c r="U556" s="56"/>
      <c r="V556" s="56"/>
      <c r="W556" s="56"/>
      <c r="X556" s="56"/>
      <c r="Y556" s="56"/>
      <c r="Z556" s="56"/>
      <c r="AA556" s="56"/>
      <c r="AB556" s="56"/>
      <c r="AC556" s="15"/>
    </row>
    <row r="557" spans="3:29" ht="12.75">
      <c r="C557" s="23"/>
      <c r="I557" s="23"/>
      <c r="L557" s="56"/>
      <c r="M557" s="56"/>
      <c r="N557" s="56"/>
      <c r="O557" s="56"/>
      <c r="P557" s="56"/>
      <c r="Q557" s="56"/>
      <c r="R557" s="56"/>
      <c r="S557" s="56"/>
      <c r="T557" s="56"/>
      <c r="U557" s="56"/>
      <c r="V557" s="56"/>
      <c r="W557" s="56"/>
      <c r="X557" s="56"/>
      <c r="Y557" s="56"/>
      <c r="Z557" s="56"/>
      <c r="AA557" s="56"/>
      <c r="AB557" s="56"/>
      <c r="AC557" s="15"/>
    </row>
    <row r="558" spans="3:29" ht="12.75">
      <c r="C558" s="23"/>
      <c r="I558" s="23"/>
      <c r="L558" s="56"/>
      <c r="M558" s="56"/>
      <c r="N558" s="56"/>
      <c r="O558" s="56"/>
      <c r="P558" s="56"/>
      <c r="Q558" s="56"/>
      <c r="R558" s="56"/>
      <c r="S558" s="56"/>
      <c r="T558" s="56"/>
      <c r="U558" s="56"/>
      <c r="V558" s="56"/>
      <c r="W558" s="56"/>
      <c r="X558" s="56"/>
      <c r="Y558" s="56"/>
      <c r="Z558" s="56"/>
      <c r="AA558" s="56"/>
      <c r="AB558" s="56"/>
      <c r="AC558" s="15"/>
    </row>
    <row r="559" spans="3:29" ht="12.75">
      <c r="C559" s="23"/>
      <c r="I559" s="23"/>
      <c r="L559" s="56"/>
      <c r="M559" s="56"/>
      <c r="N559" s="56"/>
      <c r="O559" s="56"/>
      <c r="P559" s="56"/>
      <c r="Q559" s="56"/>
      <c r="R559" s="56"/>
      <c r="S559" s="56"/>
      <c r="T559" s="56"/>
      <c r="U559" s="56"/>
      <c r="V559" s="56"/>
      <c r="W559" s="56"/>
      <c r="X559" s="56"/>
      <c r="Y559" s="56"/>
      <c r="Z559" s="56"/>
      <c r="AA559" s="56"/>
      <c r="AB559" s="56"/>
      <c r="AC559" s="15"/>
    </row>
    <row r="560" spans="3:29" ht="12.75">
      <c r="C560" s="23"/>
      <c r="I560" s="23"/>
      <c r="L560" s="56"/>
      <c r="M560" s="56"/>
      <c r="N560" s="56"/>
      <c r="O560" s="56"/>
      <c r="P560" s="56"/>
      <c r="Q560" s="56"/>
      <c r="R560" s="56"/>
      <c r="S560" s="56"/>
      <c r="T560" s="56"/>
      <c r="U560" s="56"/>
      <c r="V560" s="56"/>
      <c r="W560" s="56"/>
      <c r="X560" s="56"/>
      <c r="Y560" s="56"/>
      <c r="Z560" s="56"/>
      <c r="AA560" s="56"/>
      <c r="AB560" s="56"/>
      <c r="AC560" s="15"/>
    </row>
    <row r="561" spans="3:29" ht="12.75">
      <c r="C561" s="23"/>
      <c r="I561" s="23"/>
      <c r="L561" s="56"/>
      <c r="M561" s="56"/>
      <c r="N561" s="56"/>
      <c r="O561" s="56"/>
      <c r="P561" s="56"/>
      <c r="Q561" s="56"/>
      <c r="R561" s="56"/>
      <c r="S561" s="56"/>
      <c r="T561" s="56"/>
      <c r="U561" s="56"/>
      <c r="V561" s="56"/>
      <c r="W561" s="56"/>
      <c r="X561" s="56"/>
      <c r="Y561" s="56"/>
      <c r="Z561" s="56"/>
      <c r="AA561" s="56"/>
      <c r="AB561" s="56"/>
      <c r="AC561" s="15"/>
    </row>
    <row r="562" spans="3:29" ht="12.75">
      <c r="C562" s="23"/>
      <c r="I562" s="23"/>
      <c r="L562" s="56"/>
      <c r="M562" s="56"/>
      <c r="N562" s="56"/>
      <c r="O562" s="56"/>
      <c r="P562" s="56"/>
      <c r="Q562" s="56"/>
      <c r="R562" s="56"/>
      <c r="S562" s="56"/>
      <c r="T562" s="56"/>
      <c r="U562" s="56"/>
      <c r="V562" s="56"/>
      <c r="W562" s="56"/>
      <c r="X562" s="56"/>
      <c r="Y562" s="56"/>
      <c r="Z562" s="56"/>
      <c r="AA562" s="56"/>
      <c r="AB562" s="56"/>
      <c r="AC562" s="15"/>
    </row>
    <row r="563" spans="3:29" ht="12.75">
      <c r="C563" s="23"/>
      <c r="I563" s="23"/>
      <c r="L563" s="56"/>
      <c r="M563" s="56"/>
      <c r="N563" s="56"/>
      <c r="O563" s="56"/>
      <c r="P563" s="56"/>
      <c r="Q563" s="56"/>
      <c r="R563" s="56"/>
      <c r="S563" s="56"/>
      <c r="T563" s="56"/>
      <c r="U563" s="56"/>
      <c r="V563" s="56"/>
      <c r="W563" s="56"/>
      <c r="X563" s="56"/>
      <c r="Y563" s="56"/>
      <c r="Z563" s="56"/>
      <c r="AA563" s="56"/>
      <c r="AB563" s="56"/>
      <c r="AC563" s="15"/>
    </row>
    <row r="564" spans="3:29" ht="12.75">
      <c r="C564" s="23"/>
      <c r="I564" s="23"/>
      <c r="L564" s="56"/>
      <c r="M564" s="56"/>
      <c r="N564" s="56"/>
      <c r="O564" s="56"/>
      <c r="P564" s="56"/>
      <c r="Q564" s="56"/>
      <c r="R564" s="56"/>
      <c r="S564" s="56"/>
      <c r="T564" s="56"/>
      <c r="U564" s="56"/>
      <c r="V564" s="56"/>
      <c r="W564" s="56"/>
      <c r="X564" s="56"/>
      <c r="Y564" s="56"/>
      <c r="Z564" s="56"/>
      <c r="AA564" s="56"/>
      <c r="AB564" s="56"/>
      <c r="AC564" s="15"/>
    </row>
    <row r="565" spans="3:29" ht="12.75">
      <c r="C565" s="23"/>
      <c r="I565" s="23"/>
      <c r="L565" s="56"/>
      <c r="M565" s="56"/>
      <c r="N565" s="56"/>
      <c r="O565" s="56"/>
      <c r="P565" s="56"/>
      <c r="Q565" s="56"/>
      <c r="R565" s="56"/>
      <c r="S565" s="56"/>
      <c r="T565" s="56"/>
      <c r="U565" s="56"/>
      <c r="V565" s="56"/>
      <c r="W565" s="56"/>
      <c r="X565" s="56"/>
      <c r="Y565" s="56"/>
      <c r="Z565" s="56"/>
      <c r="AA565" s="56"/>
      <c r="AB565" s="56"/>
      <c r="AC565" s="15"/>
    </row>
    <row r="566" spans="3:29" ht="12.75">
      <c r="C566" s="23"/>
      <c r="I566" s="23"/>
      <c r="L566" s="56"/>
      <c r="M566" s="56"/>
      <c r="N566" s="56"/>
      <c r="O566" s="56"/>
      <c r="P566" s="56"/>
      <c r="Q566" s="56"/>
      <c r="R566" s="56"/>
      <c r="S566" s="56"/>
      <c r="T566" s="56"/>
      <c r="U566" s="56"/>
      <c r="V566" s="56"/>
      <c r="W566" s="56"/>
      <c r="X566" s="56"/>
      <c r="Y566" s="56"/>
      <c r="Z566" s="56"/>
      <c r="AA566" s="56"/>
      <c r="AB566" s="56"/>
      <c r="AC566" s="15"/>
    </row>
    <row r="567" spans="3:29" ht="12.75">
      <c r="C567" s="23"/>
      <c r="I567" s="23"/>
      <c r="L567" s="56"/>
      <c r="M567" s="56"/>
      <c r="N567" s="56"/>
      <c r="O567" s="56"/>
      <c r="P567" s="56"/>
      <c r="Q567" s="56"/>
      <c r="R567" s="56"/>
      <c r="S567" s="56"/>
      <c r="T567" s="56"/>
      <c r="U567" s="56"/>
      <c r="V567" s="56"/>
      <c r="W567" s="56"/>
      <c r="X567" s="56"/>
      <c r="Y567" s="56"/>
      <c r="Z567" s="56"/>
      <c r="AA567" s="56"/>
      <c r="AB567" s="56"/>
      <c r="AC567" s="15"/>
    </row>
    <row r="568" spans="3:29" ht="12.75">
      <c r="C568" s="23"/>
      <c r="I568" s="23"/>
      <c r="L568" s="56"/>
      <c r="M568" s="56"/>
      <c r="N568" s="56"/>
      <c r="O568" s="56"/>
      <c r="P568" s="56"/>
      <c r="Q568" s="56"/>
      <c r="R568" s="56"/>
      <c r="S568" s="56"/>
      <c r="T568" s="56"/>
      <c r="U568" s="56"/>
      <c r="V568" s="56"/>
      <c r="W568" s="56"/>
      <c r="X568" s="56"/>
      <c r="Y568" s="56"/>
      <c r="Z568" s="56"/>
      <c r="AA568" s="56"/>
      <c r="AB568" s="56"/>
      <c r="AC568" s="15"/>
    </row>
    <row r="569" spans="3:29" ht="12.75">
      <c r="C569" s="23"/>
      <c r="I569" s="23"/>
      <c r="L569" s="56"/>
      <c r="M569" s="56"/>
      <c r="N569" s="56"/>
      <c r="O569" s="56"/>
      <c r="P569" s="56"/>
      <c r="Q569" s="56"/>
      <c r="R569" s="56"/>
      <c r="S569" s="56"/>
      <c r="T569" s="56"/>
      <c r="U569" s="56"/>
      <c r="V569" s="56"/>
      <c r="W569" s="56"/>
      <c r="X569" s="56"/>
      <c r="Y569" s="56"/>
      <c r="Z569" s="56"/>
      <c r="AA569" s="56"/>
      <c r="AB569" s="56"/>
      <c r="AC569" s="15"/>
    </row>
    <row r="570" spans="3:29" ht="12.75">
      <c r="C570" s="23"/>
      <c r="I570" s="23"/>
      <c r="L570" s="56"/>
      <c r="M570" s="56"/>
      <c r="N570" s="56"/>
      <c r="O570" s="56"/>
      <c r="P570" s="56"/>
      <c r="Q570" s="56"/>
      <c r="R570" s="56"/>
      <c r="S570" s="56"/>
      <c r="T570" s="56"/>
      <c r="U570" s="56"/>
      <c r="V570" s="56"/>
      <c r="W570" s="56"/>
      <c r="X570" s="56"/>
      <c r="Y570" s="56"/>
      <c r="Z570" s="56"/>
      <c r="AA570" s="56"/>
      <c r="AB570" s="56"/>
      <c r="AC570" s="15"/>
    </row>
    <row r="571" spans="3:29" ht="12.75">
      <c r="C571" s="23"/>
      <c r="I571" s="23"/>
      <c r="L571" s="56"/>
      <c r="M571" s="56"/>
      <c r="N571" s="56"/>
      <c r="O571" s="56"/>
      <c r="P571" s="56"/>
      <c r="Q571" s="56"/>
      <c r="R571" s="56"/>
      <c r="S571" s="56"/>
      <c r="T571" s="56"/>
      <c r="U571" s="56"/>
      <c r="V571" s="56"/>
      <c r="W571" s="56"/>
      <c r="X571" s="56"/>
      <c r="Y571" s="56"/>
      <c r="Z571" s="56"/>
      <c r="AA571" s="56"/>
      <c r="AB571" s="56"/>
      <c r="AC571" s="15"/>
    </row>
    <row r="572" spans="3:29" ht="12.75">
      <c r="C572" s="23"/>
      <c r="I572" s="23"/>
      <c r="L572" s="56"/>
      <c r="M572" s="56"/>
      <c r="N572" s="56"/>
      <c r="O572" s="56"/>
      <c r="P572" s="56"/>
      <c r="Q572" s="56"/>
      <c r="R572" s="56"/>
      <c r="S572" s="56"/>
      <c r="T572" s="56"/>
      <c r="U572" s="56"/>
      <c r="V572" s="56"/>
      <c r="W572" s="56"/>
      <c r="X572" s="56"/>
      <c r="Y572" s="56"/>
      <c r="Z572" s="56"/>
      <c r="AA572" s="56"/>
      <c r="AB572" s="56"/>
      <c r="AC572" s="15"/>
    </row>
    <row r="573" spans="3:29" ht="12.75">
      <c r="C573" s="23"/>
      <c r="I573" s="23"/>
      <c r="L573" s="56"/>
      <c r="M573" s="56"/>
      <c r="N573" s="56"/>
      <c r="O573" s="56"/>
      <c r="P573" s="56"/>
      <c r="Q573" s="56"/>
      <c r="R573" s="56"/>
      <c r="S573" s="56"/>
      <c r="T573" s="56"/>
      <c r="U573" s="56"/>
      <c r="V573" s="56"/>
      <c r="W573" s="56"/>
      <c r="X573" s="56"/>
      <c r="Y573" s="56"/>
      <c r="Z573" s="56"/>
      <c r="AA573" s="56"/>
      <c r="AB573" s="56"/>
      <c r="AC573" s="15"/>
    </row>
    <row r="574" spans="3:29" ht="12.75">
      <c r="C574" s="23"/>
      <c r="I574" s="23"/>
      <c r="L574" s="56"/>
      <c r="M574" s="56"/>
      <c r="N574" s="56"/>
      <c r="O574" s="56"/>
      <c r="P574" s="56"/>
      <c r="Q574" s="56"/>
      <c r="R574" s="56"/>
      <c r="S574" s="56"/>
      <c r="T574" s="56"/>
      <c r="U574" s="56"/>
      <c r="V574" s="56"/>
      <c r="W574" s="56"/>
      <c r="X574" s="56"/>
      <c r="Y574" s="56"/>
      <c r="Z574" s="56"/>
      <c r="AA574" s="56"/>
      <c r="AB574" s="56"/>
      <c r="AC574" s="15"/>
    </row>
    <row r="575" spans="3:29" ht="12.75">
      <c r="C575" s="23"/>
      <c r="I575" s="23"/>
      <c r="L575" s="56"/>
      <c r="M575" s="56"/>
      <c r="N575" s="56"/>
      <c r="O575" s="56"/>
      <c r="P575" s="56"/>
      <c r="Q575" s="56"/>
      <c r="R575" s="56"/>
      <c r="S575" s="56"/>
      <c r="T575" s="56"/>
      <c r="U575" s="56"/>
      <c r="V575" s="56"/>
      <c r="W575" s="56"/>
      <c r="X575" s="56"/>
      <c r="Y575" s="56"/>
      <c r="Z575" s="56"/>
      <c r="AA575" s="56"/>
      <c r="AB575" s="56"/>
      <c r="AC575" s="15"/>
    </row>
    <row r="576" spans="3:29" ht="12.75">
      <c r="C576" s="23"/>
      <c r="I576" s="23"/>
      <c r="L576" s="56"/>
      <c r="M576" s="56"/>
      <c r="N576" s="56"/>
      <c r="O576" s="56"/>
      <c r="P576" s="56"/>
      <c r="Q576" s="56"/>
      <c r="R576" s="56"/>
      <c r="S576" s="56"/>
      <c r="T576" s="56"/>
      <c r="U576" s="56"/>
      <c r="V576" s="56"/>
      <c r="W576" s="56"/>
      <c r="X576" s="56"/>
      <c r="Y576" s="56"/>
      <c r="Z576" s="56"/>
      <c r="AA576" s="56"/>
      <c r="AB576" s="56"/>
      <c r="AC576" s="15"/>
    </row>
    <row r="577" spans="3:29" ht="12.75">
      <c r="C577" s="23"/>
      <c r="I577" s="23"/>
      <c r="L577" s="56"/>
      <c r="M577" s="56"/>
      <c r="N577" s="56"/>
      <c r="O577" s="56"/>
      <c r="P577" s="56"/>
      <c r="Q577" s="56"/>
      <c r="R577" s="56"/>
      <c r="S577" s="56"/>
      <c r="T577" s="56"/>
      <c r="U577" s="56"/>
      <c r="V577" s="56"/>
      <c r="W577" s="56"/>
      <c r="X577" s="56"/>
      <c r="Y577" s="56"/>
      <c r="Z577" s="56"/>
      <c r="AA577" s="56"/>
      <c r="AB577" s="56"/>
      <c r="AC577" s="15"/>
    </row>
    <row r="578" spans="3:29" ht="12.75">
      <c r="C578" s="23"/>
      <c r="I578" s="23"/>
      <c r="L578" s="56"/>
      <c r="M578" s="56"/>
      <c r="N578" s="56"/>
      <c r="O578" s="56"/>
      <c r="P578" s="56"/>
      <c r="Q578" s="56"/>
      <c r="R578" s="56"/>
      <c r="S578" s="56"/>
      <c r="T578" s="56"/>
      <c r="U578" s="56"/>
      <c r="V578" s="56"/>
      <c r="W578" s="56"/>
      <c r="X578" s="56"/>
      <c r="Y578" s="56"/>
      <c r="Z578" s="56"/>
      <c r="AA578" s="56"/>
      <c r="AB578" s="56"/>
      <c r="AC578" s="15"/>
    </row>
    <row r="579" spans="3:29" ht="12.75">
      <c r="C579" s="23"/>
      <c r="I579" s="23"/>
      <c r="L579" s="56"/>
      <c r="M579" s="56"/>
      <c r="N579" s="56"/>
      <c r="O579" s="56"/>
      <c r="P579" s="56"/>
      <c r="Q579" s="56"/>
      <c r="R579" s="56"/>
      <c r="S579" s="56"/>
      <c r="T579" s="56"/>
      <c r="U579" s="56"/>
      <c r="V579" s="56"/>
      <c r="W579" s="56"/>
      <c r="X579" s="56"/>
      <c r="Y579" s="56"/>
      <c r="Z579" s="56"/>
      <c r="AA579" s="56"/>
      <c r="AB579" s="56"/>
      <c r="AC579" s="15"/>
    </row>
    <row r="580" spans="3:29" ht="12.75">
      <c r="C580" s="23"/>
      <c r="I580" s="23"/>
      <c r="L580" s="56"/>
      <c r="M580" s="56"/>
      <c r="N580" s="56"/>
      <c r="O580" s="56"/>
      <c r="P580" s="56"/>
      <c r="Q580" s="56"/>
      <c r="R580" s="56"/>
      <c r="S580" s="56"/>
      <c r="T580" s="56"/>
      <c r="U580" s="56"/>
      <c r="V580" s="56"/>
      <c r="W580" s="56"/>
      <c r="X580" s="56"/>
      <c r="Y580" s="56"/>
      <c r="Z580" s="56"/>
      <c r="AA580" s="56"/>
      <c r="AB580" s="56"/>
      <c r="AC580" s="15"/>
    </row>
    <row r="581" spans="3:29" ht="12.75">
      <c r="C581" s="23"/>
      <c r="I581" s="23"/>
      <c r="L581" s="56"/>
      <c r="M581" s="56"/>
      <c r="N581" s="56"/>
      <c r="O581" s="56"/>
      <c r="P581" s="56"/>
      <c r="Q581" s="56"/>
      <c r="R581" s="56"/>
      <c r="S581" s="56"/>
      <c r="T581" s="56"/>
      <c r="U581" s="56"/>
      <c r="V581" s="56"/>
      <c r="W581" s="56"/>
      <c r="X581" s="56"/>
      <c r="Y581" s="56"/>
      <c r="Z581" s="56"/>
      <c r="AA581" s="56"/>
      <c r="AB581" s="56"/>
      <c r="AC581" s="15"/>
    </row>
    <row r="582" spans="3:29" ht="12.75">
      <c r="C582" s="23"/>
      <c r="I582" s="23"/>
      <c r="L582" s="56"/>
      <c r="M582" s="56"/>
      <c r="N582" s="56"/>
      <c r="O582" s="56"/>
      <c r="P582" s="56"/>
      <c r="Q582" s="56"/>
      <c r="R582" s="56"/>
      <c r="S582" s="56"/>
      <c r="T582" s="56"/>
      <c r="U582" s="56"/>
      <c r="V582" s="56"/>
      <c r="W582" s="56"/>
      <c r="X582" s="56"/>
      <c r="Y582" s="56"/>
      <c r="Z582" s="56"/>
      <c r="AA582" s="56"/>
      <c r="AB582" s="56"/>
      <c r="AC582" s="15"/>
    </row>
    <row r="583" spans="3:29" ht="12.75">
      <c r="C583" s="23"/>
      <c r="I583" s="23"/>
      <c r="L583" s="56"/>
      <c r="M583" s="56"/>
      <c r="N583" s="56"/>
      <c r="O583" s="56"/>
      <c r="P583" s="56"/>
      <c r="Q583" s="56"/>
      <c r="R583" s="56"/>
      <c r="S583" s="56"/>
      <c r="T583" s="56"/>
      <c r="U583" s="56"/>
      <c r="V583" s="56"/>
      <c r="W583" s="56"/>
      <c r="X583" s="56"/>
      <c r="Y583" s="56"/>
      <c r="Z583" s="56"/>
      <c r="AA583" s="56"/>
      <c r="AB583" s="56"/>
      <c r="AC583" s="15"/>
    </row>
    <row r="584" spans="3:29" ht="12.75">
      <c r="C584" s="23"/>
      <c r="I584" s="23"/>
      <c r="L584" s="56"/>
      <c r="M584" s="56"/>
      <c r="N584" s="56"/>
      <c r="O584" s="56"/>
      <c r="P584" s="56"/>
      <c r="Q584" s="56"/>
      <c r="R584" s="56"/>
      <c r="S584" s="56"/>
      <c r="T584" s="56"/>
      <c r="U584" s="56"/>
      <c r="V584" s="56"/>
      <c r="W584" s="56"/>
      <c r="X584" s="56"/>
      <c r="Y584" s="56"/>
      <c r="Z584" s="56"/>
      <c r="AA584" s="56"/>
      <c r="AB584" s="56"/>
      <c r="AC584" s="15"/>
    </row>
    <row r="585" spans="3:29" ht="12.75">
      <c r="C585" s="23"/>
      <c r="I585" s="23"/>
      <c r="L585" s="56"/>
      <c r="M585" s="56"/>
      <c r="N585" s="56"/>
      <c r="O585" s="56"/>
      <c r="P585" s="56"/>
      <c r="Q585" s="56"/>
      <c r="R585" s="56"/>
      <c r="S585" s="56"/>
      <c r="T585" s="56"/>
      <c r="U585" s="56"/>
      <c r="V585" s="56"/>
      <c r="W585" s="56"/>
      <c r="X585" s="56"/>
      <c r="Y585" s="56"/>
      <c r="Z585" s="56"/>
      <c r="AA585" s="56"/>
      <c r="AB585" s="56"/>
      <c r="AC585" s="15"/>
    </row>
    <row r="586" spans="3:29" ht="12.75">
      <c r="C586" s="23"/>
      <c r="I586" s="23"/>
      <c r="L586" s="56"/>
      <c r="M586" s="56"/>
      <c r="N586" s="56"/>
      <c r="O586" s="56"/>
      <c r="P586" s="56"/>
      <c r="Q586" s="56"/>
      <c r="R586" s="56"/>
      <c r="S586" s="56"/>
      <c r="T586" s="56"/>
      <c r="U586" s="56"/>
      <c r="V586" s="56"/>
      <c r="W586" s="56"/>
      <c r="X586" s="56"/>
      <c r="Y586" s="56"/>
      <c r="Z586" s="56"/>
      <c r="AA586" s="56"/>
      <c r="AB586" s="56"/>
      <c r="AC586" s="15"/>
    </row>
    <row r="587" spans="3:29" ht="12.75">
      <c r="C587" s="23"/>
      <c r="I587" s="23"/>
      <c r="L587" s="56"/>
      <c r="M587" s="56"/>
      <c r="N587" s="56"/>
      <c r="O587" s="56"/>
      <c r="P587" s="56"/>
      <c r="Q587" s="56"/>
      <c r="R587" s="56"/>
      <c r="S587" s="56"/>
      <c r="T587" s="56"/>
      <c r="U587" s="56"/>
      <c r="V587" s="56"/>
      <c r="W587" s="56"/>
      <c r="X587" s="56"/>
      <c r="Y587" s="56"/>
      <c r="Z587" s="56"/>
      <c r="AA587" s="56"/>
      <c r="AB587" s="56"/>
      <c r="AC587" s="15"/>
    </row>
    <row r="588" spans="3:29" ht="12.75">
      <c r="C588" s="23"/>
      <c r="I588" s="23"/>
      <c r="L588" s="56"/>
      <c r="M588" s="56"/>
      <c r="N588" s="56"/>
      <c r="O588" s="56"/>
      <c r="P588" s="56"/>
      <c r="Q588" s="56"/>
      <c r="R588" s="56"/>
      <c r="S588" s="56"/>
      <c r="T588" s="56"/>
      <c r="U588" s="56"/>
      <c r="V588" s="56"/>
      <c r="W588" s="56"/>
      <c r="X588" s="56"/>
      <c r="Y588" s="56"/>
      <c r="Z588" s="56"/>
      <c r="AA588" s="56"/>
      <c r="AB588" s="56"/>
      <c r="AC588" s="15"/>
    </row>
    <row r="589" spans="3:29" ht="12.75">
      <c r="C589" s="23"/>
      <c r="I589" s="23"/>
      <c r="L589" s="56"/>
      <c r="M589" s="56"/>
      <c r="N589" s="56"/>
      <c r="O589" s="56"/>
      <c r="P589" s="56"/>
      <c r="Q589" s="56"/>
      <c r="R589" s="56"/>
      <c r="S589" s="56"/>
      <c r="T589" s="56"/>
      <c r="U589" s="56"/>
      <c r="V589" s="56"/>
      <c r="W589" s="56"/>
      <c r="X589" s="56"/>
      <c r="Y589" s="56"/>
      <c r="Z589" s="56"/>
      <c r="AA589" s="56"/>
      <c r="AB589" s="56"/>
      <c r="AC589" s="15"/>
    </row>
    <row r="590" spans="3:29" ht="12.75">
      <c r="C590" s="23"/>
      <c r="I590" s="23"/>
      <c r="L590" s="56"/>
      <c r="M590" s="56"/>
      <c r="N590" s="56"/>
      <c r="O590" s="56"/>
      <c r="P590" s="56"/>
      <c r="Q590" s="56"/>
      <c r="R590" s="56"/>
      <c r="S590" s="56"/>
      <c r="T590" s="56"/>
      <c r="U590" s="56"/>
      <c r="V590" s="56"/>
      <c r="W590" s="56"/>
      <c r="X590" s="56"/>
      <c r="Y590" s="56"/>
      <c r="Z590" s="56"/>
      <c r="AA590" s="56"/>
      <c r="AB590" s="56"/>
      <c r="AC590" s="15"/>
    </row>
    <row r="591" spans="3:29" ht="12.75">
      <c r="C591" s="23"/>
      <c r="I591" s="23"/>
      <c r="L591" s="56"/>
      <c r="M591" s="56"/>
      <c r="N591" s="56"/>
      <c r="O591" s="56"/>
      <c r="P591" s="56"/>
      <c r="Q591" s="56"/>
      <c r="R591" s="56"/>
      <c r="S591" s="56"/>
      <c r="T591" s="56"/>
      <c r="U591" s="56"/>
      <c r="V591" s="56"/>
      <c r="W591" s="56"/>
      <c r="X591" s="56"/>
      <c r="Y591" s="56"/>
      <c r="Z591" s="56"/>
      <c r="AA591" s="56"/>
      <c r="AB591" s="56"/>
      <c r="AC591" s="15"/>
    </row>
    <row r="592" spans="3:29" ht="12.75">
      <c r="C592" s="23"/>
      <c r="I592" s="23"/>
      <c r="L592" s="56"/>
      <c r="M592" s="56"/>
      <c r="N592" s="56"/>
      <c r="O592" s="56"/>
      <c r="P592" s="56"/>
      <c r="Q592" s="56"/>
      <c r="R592" s="56"/>
      <c r="S592" s="56"/>
      <c r="T592" s="56"/>
      <c r="U592" s="56"/>
      <c r="V592" s="56"/>
      <c r="W592" s="56"/>
      <c r="X592" s="56"/>
      <c r="Y592" s="56"/>
      <c r="Z592" s="56"/>
      <c r="AA592" s="56"/>
      <c r="AB592" s="56"/>
      <c r="AC592" s="15"/>
    </row>
    <row r="593" spans="3:29" ht="12.75">
      <c r="C593" s="23"/>
      <c r="I593" s="23"/>
      <c r="L593" s="56"/>
      <c r="M593" s="56"/>
      <c r="N593" s="56"/>
      <c r="O593" s="56"/>
      <c r="P593" s="56"/>
      <c r="Q593" s="56"/>
      <c r="R593" s="56"/>
      <c r="S593" s="56"/>
      <c r="T593" s="56"/>
      <c r="U593" s="56"/>
      <c r="V593" s="56"/>
      <c r="W593" s="56"/>
      <c r="X593" s="56"/>
      <c r="Y593" s="56"/>
      <c r="Z593" s="56"/>
      <c r="AA593" s="56"/>
      <c r="AB593" s="56"/>
      <c r="AC593" s="15"/>
    </row>
    <row r="594" spans="3:29" ht="12.75">
      <c r="C594" s="23"/>
      <c r="I594" s="23"/>
      <c r="L594" s="56"/>
      <c r="M594" s="56"/>
      <c r="N594" s="56"/>
      <c r="O594" s="56"/>
      <c r="P594" s="56"/>
      <c r="Q594" s="56"/>
      <c r="R594" s="56"/>
      <c r="S594" s="56"/>
      <c r="T594" s="56"/>
      <c r="U594" s="56"/>
      <c r="V594" s="56"/>
      <c r="W594" s="56"/>
      <c r="X594" s="56"/>
      <c r="Y594" s="56"/>
      <c r="Z594" s="56"/>
      <c r="AA594" s="56"/>
      <c r="AB594" s="56"/>
      <c r="AC594" s="15"/>
    </row>
    <row r="595" spans="3:29" ht="12.75">
      <c r="C595" s="23"/>
      <c r="I595" s="23"/>
      <c r="L595" s="56"/>
      <c r="M595" s="56"/>
      <c r="N595" s="56"/>
      <c r="O595" s="56"/>
      <c r="P595" s="56"/>
      <c r="Q595" s="56"/>
      <c r="R595" s="56"/>
      <c r="S595" s="56"/>
      <c r="T595" s="56"/>
      <c r="U595" s="56"/>
      <c r="V595" s="56"/>
      <c r="W595" s="56"/>
      <c r="X595" s="56"/>
      <c r="Y595" s="56"/>
      <c r="Z595" s="56"/>
      <c r="AA595" s="56"/>
      <c r="AB595" s="56"/>
      <c r="AC595" s="15"/>
    </row>
    <row r="596" spans="3:29" ht="12.75">
      <c r="C596" s="23"/>
      <c r="I596" s="23"/>
      <c r="L596" s="56"/>
      <c r="M596" s="56"/>
      <c r="N596" s="56"/>
      <c r="O596" s="56"/>
      <c r="P596" s="56"/>
      <c r="Q596" s="56"/>
      <c r="R596" s="56"/>
      <c r="S596" s="56"/>
      <c r="T596" s="56"/>
      <c r="U596" s="56"/>
      <c r="V596" s="56"/>
      <c r="W596" s="56"/>
      <c r="X596" s="56"/>
      <c r="Y596" s="56"/>
      <c r="Z596" s="56"/>
      <c r="AA596" s="56"/>
      <c r="AB596" s="56"/>
      <c r="AC596" s="15"/>
    </row>
    <row r="597" spans="3:29" ht="12.75">
      <c r="C597" s="23"/>
      <c r="I597" s="23"/>
      <c r="L597" s="56"/>
      <c r="M597" s="56"/>
      <c r="N597" s="56"/>
      <c r="O597" s="56"/>
      <c r="P597" s="56"/>
      <c r="Q597" s="56"/>
      <c r="R597" s="56"/>
      <c r="S597" s="56"/>
      <c r="T597" s="56"/>
      <c r="U597" s="56"/>
      <c r="V597" s="56"/>
      <c r="W597" s="56"/>
      <c r="X597" s="56"/>
      <c r="Y597" s="56"/>
      <c r="Z597" s="56"/>
      <c r="AA597" s="56"/>
      <c r="AB597" s="56"/>
      <c r="AC597" s="15"/>
    </row>
    <row r="598" spans="3:29" ht="12.75">
      <c r="C598" s="23"/>
      <c r="I598" s="23"/>
      <c r="L598" s="56"/>
      <c r="M598" s="56"/>
      <c r="N598" s="56"/>
      <c r="O598" s="56"/>
      <c r="P598" s="56"/>
      <c r="Q598" s="56"/>
      <c r="R598" s="56"/>
      <c r="S598" s="56"/>
      <c r="T598" s="56"/>
      <c r="U598" s="56"/>
      <c r="V598" s="56"/>
      <c r="W598" s="56"/>
      <c r="X598" s="56"/>
      <c r="Y598" s="56"/>
      <c r="Z598" s="56"/>
      <c r="AA598" s="56"/>
      <c r="AB598" s="56"/>
      <c r="AC598" s="15"/>
    </row>
    <row r="599" spans="3:29" ht="12.75">
      <c r="C599" s="23"/>
      <c r="I599" s="23"/>
      <c r="L599" s="56"/>
      <c r="M599" s="56"/>
      <c r="N599" s="56"/>
      <c r="O599" s="56"/>
      <c r="P599" s="56"/>
      <c r="Q599" s="56"/>
      <c r="R599" s="56"/>
      <c r="S599" s="56"/>
      <c r="T599" s="56"/>
      <c r="U599" s="56"/>
      <c r="V599" s="56"/>
      <c r="W599" s="56"/>
      <c r="X599" s="56"/>
      <c r="Y599" s="56"/>
      <c r="Z599" s="56"/>
      <c r="AA599" s="56"/>
      <c r="AB599" s="56"/>
      <c r="AC599" s="15"/>
    </row>
    <row r="600" spans="3:29" ht="12.75">
      <c r="C600" s="23"/>
      <c r="I600" s="23"/>
      <c r="L600" s="56"/>
      <c r="M600" s="56"/>
      <c r="N600" s="56"/>
      <c r="O600" s="56"/>
      <c r="P600" s="56"/>
      <c r="Q600" s="56"/>
      <c r="R600" s="56"/>
      <c r="S600" s="56"/>
      <c r="T600" s="56"/>
      <c r="U600" s="56"/>
      <c r="V600" s="56"/>
      <c r="W600" s="56"/>
      <c r="X600" s="56"/>
      <c r="Y600" s="56"/>
      <c r="Z600" s="56"/>
      <c r="AA600" s="56"/>
      <c r="AB600" s="56"/>
      <c r="AC600" s="15"/>
    </row>
    <row r="601" spans="3:29" ht="12.75">
      <c r="C601" s="23"/>
      <c r="I601" s="23"/>
      <c r="L601" s="56"/>
      <c r="M601" s="56"/>
      <c r="N601" s="56"/>
      <c r="O601" s="56"/>
      <c r="P601" s="56"/>
      <c r="Q601" s="56"/>
      <c r="R601" s="56"/>
      <c r="S601" s="56"/>
      <c r="T601" s="56"/>
      <c r="U601" s="56"/>
      <c r="V601" s="56"/>
      <c r="W601" s="56"/>
      <c r="X601" s="56"/>
      <c r="Y601" s="56"/>
      <c r="Z601" s="56"/>
      <c r="AA601" s="56"/>
      <c r="AB601" s="56"/>
      <c r="AC601" s="15"/>
    </row>
    <row r="602" spans="3:29" ht="12.75">
      <c r="C602" s="23"/>
      <c r="I602" s="23"/>
      <c r="L602" s="56"/>
      <c r="M602" s="56"/>
      <c r="N602" s="56"/>
      <c r="O602" s="56"/>
      <c r="P602" s="56"/>
      <c r="Q602" s="56"/>
      <c r="R602" s="56"/>
      <c r="S602" s="56"/>
      <c r="T602" s="56"/>
      <c r="U602" s="56"/>
      <c r="V602" s="56"/>
      <c r="W602" s="56"/>
      <c r="X602" s="56"/>
      <c r="Y602" s="56"/>
      <c r="Z602" s="56"/>
      <c r="AA602" s="56"/>
      <c r="AB602" s="56"/>
      <c r="AC602" s="15"/>
    </row>
    <row r="603" spans="3:29" ht="12.75">
      <c r="C603" s="23"/>
      <c r="I603" s="23"/>
      <c r="L603" s="56"/>
      <c r="M603" s="56"/>
      <c r="N603" s="56"/>
      <c r="O603" s="56"/>
      <c r="P603" s="56"/>
      <c r="Q603" s="56"/>
      <c r="R603" s="56"/>
      <c r="S603" s="56"/>
      <c r="T603" s="56"/>
      <c r="U603" s="56"/>
      <c r="V603" s="56"/>
      <c r="W603" s="56"/>
      <c r="X603" s="56"/>
      <c r="Y603" s="56"/>
      <c r="Z603" s="56"/>
      <c r="AA603" s="56"/>
      <c r="AB603" s="56"/>
      <c r="AC603" s="15"/>
    </row>
    <row r="604" spans="3:29" ht="12.75">
      <c r="C604" s="23"/>
      <c r="I604" s="23"/>
      <c r="L604" s="56"/>
      <c r="M604" s="56"/>
      <c r="N604" s="56"/>
      <c r="O604" s="56"/>
      <c r="P604" s="56"/>
      <c r="Q604" s="56"/>
      <c r="R604" s="56"/>
      <c r="S604" s="56"/>
      <c r="T604" s="56"/>
      <c r="U604" s="56"/>
      <c r="V604" s="56"/>
      <c r="W604" s="56"/>
      <c r="X604" s="56"/>
      <c r="Y604" s="56"/>
      <c r="Z604" s="56"/>
      <c r="AA604" s="56"/>
      <c r="AB604" s="56"/>
      <c r="AC604" s="15"/>
    </row>
    <row r="605" spans="3:29" ht="12.75">
      <c r="C605" s="23"/>
      <c r="I605" s="23"/>
      <c r="L605" s="56"/>
      <c r="M605" s="56"/>
      <c r="N605" s="56"/>
      <c r="O605" s="56"/>
      <c r="P605" s="56"/>
      <c r="Q605" s="56"/>
      <c r="R605" s="56"/>
      <c r="S605" s="56"/>
      <c r="T605" s="56"/>
      <c r="U605" s="56"/>
      <c r="V605" s="56"/>
      <c r="W605" s="56"/>
      <c r="X605" s="56"/>
      <c r="Y605" s="56"/>
      <c r="Z605" s="56"/>
      <c r="AA605" s="56"/>
      <c r="AB605" s="56"/>
      <c r="AC605" s="15"/>
    </row>
    <row r="606" spans="3:29" ht="12.75">
      <c r="C606" s="23"/>
      <c r="I606" s="23"/>
      <c r="L606" s="56"/>
      <c r="M606" s="56"/>
      <c r="N606" s="56"/>
      <c r="O606" s="56"/>
      <c r="P606" s="56"/>
      <c r="Q606" s="56"/>
      <c r="R606" s="56"/>
      <c r="S606" s="56"/>
      <c r="T606" s="56"/>
      <c r="U606" s="56"/>
      <c r="V606" s="56"/>
      <c r="W606" s="56"/>
      <c r="X606" s="56"/>
      <c r="Y606" s="56"/>
      <c r="Z606" s="56"/>
      <c r="AA606" s="56"/>
      <c r="AB606" s="56"/>
      <c r="AC606" s="15"/>
    </row>
    <row r="607" spans="3:29" ht="12.75">
      <c r="C607" s="23"/>
      <c r="I607" s="23"/>
      <c r="L607" s="56"/>
      <c r="M607" s="56"/>
      <c r="N607" s="56"/>
      <c r="O607" s="56"/>
      <c r="P607" s="56"/>
      <c r="Q607" s="56"/>
      <c r="R607" s="56"/>
      <c r="S607" s="56"/>
      <c r="T607" s="56"/>
      <c r="U607" s="56"/>
      <c r="V607" s="56"/>
      <c r="W607" s="56"/>
      <c r="X607" s="56"/>
      <c r="Y607" s="56"/>
      <c r="Z607" s="56"/>
      <c r="AA607" s="56"/>
      <c r="AB607" s="56"/>
      <c r="AC607" s="15"/>
    </row>
    <row r="608" spans="3:29" ht="12.75">
      <c r="C608" s="23"/>
      <c r="I608" s="23"/>
      <c r="L608" s="56"/>
      <c r="M608" s="56"/>
      <c r="N608" s="56"/>
      <c r="O608" s="56"/>
      <c r="P608" s="56"/>
      <c r="Q608" s="56"/>
      <c r="R608" s="56"/>
      <c r="S608" s="56"/>
      <c r="T608" s="56"/>
      <c r="U608" s="56"/>
      <c r="V608" s="56"/>
      <c r="W608" s="56"/>
      <c r="X608" s="56"/>
      <c r="Y608" s="56"/>
      <c r="Z608" s="56"/>
      <c r="AA608" s="56"/>
      <c r="AB608" s="56"/>
      <c r="AC608" s="15"/>
    </row>
    <row r="609" spans="3:29" ht="12.75">
      <c r="C609" s="23"/>
      <c r="I609" s="23"/>
      <c r="L609" s="56"/>
      <c r="M609" s="56"/>
      <c r="N609" s="56"/>
      <c r="O609" s="56"/>
      <c r="P609" s="56"/>
      <c r="Q609" s="56"/>
      <c r="R609" s="56"/>
      <c r="S609" s="56"/>
      <c r="T609" s="56"/>
      <c r="U609" s="56"/>
      <c r="V609" s="56"/>
      <c r="W609" s="56"/>
      <c r="X609" s="56"/>
      <c r="Y609" s="56"/>
      <c r="Z609" s="56"/>
      <c r="AA609" s="56"/>
      <c r="AB609" s="56"/>
      <c r="AC609" s="15"/>
    </row>
    <row r="610" spans="3:29" ht="12.75">
      <c r="C610" s="23"/>
      <c r="I610" s="23"/>
      <c r="L610" s="56"/>
      <c r="M610" s="56"/>
      <c r="N610" s="56"/>
      <c r="O610" s="56"/>
      <c r="P610" s="56"/>
      <c r="Q610" s="56"/>
      <c r="R610" s="56"/>
      <c r="S610" s="56"/>
      <c r="T610" s="56"/>
      <c r="U610" s="56"/>
      <c r="V610" s="56"/>
      <c r="W610" s="56"/>
      <c r="X610" s="56"/>
      <c r="Y610" s="56"/>
      <c r="Z610" s="56"/>
      <c r="AA610" s="56"/>
      <c r="AB610" s="56"/>
      <c r="AC610" s="15"/>
    </row>
    <row r="611" spans="3:29" ht="12.75">
      <c r="C611" s="23"/>
      <c r="I611" s="23"/>
      <c r="L611" s="56"/>
      <c r="M611" s="56"/>
      <c r="N611" s="56"/>
      <c r="O611" s="56"/>
      <c r="P611" s="56"/>
      <c r="Q611" s="56"/>
      <c r="R611" s="56"/>
      <c r="S611" s="56"/>
      <c r="T611" s="56"/>
      <c r="U611" s="56"/>
      <c r="V611" s="56"/>
      <c r="W611" s="56"/>
      <c r="X611" s="56"/>
      <c r="Y611" s="56"/>
      <c r="Z611" s="56"/>
      <c r="AA611" s="56"/>
      <c r="AB611" s="56"/>
      <c r="AC611" s="15"/>
    </row>
    <row r="612" spans="3:29" ht="12.75">
      <c r="C612" s="23"/>
      <c r="I612" s="23"/>
      <c r="L612" s="56"/>
      <c r="M612" s="56"/>
      <c r="N612" s="56"/>
      <c r="O612" s="56"/>
      <c r="P612" s="56"/>
      <c r="Q612" s="56"/>
      <c r="R612" s="56"/>
      <c r="S612" s="56"/>
      <c r="T612" s="56"/>
      <c r="U612" s="56"/>
      <c r="V612" s="56"/>
      <c r="W612" s="56"/>
      <c r="X612" s="56"/>
      <c r="Y612" s="56"/>
      <c r="Z612" s="56"/>
      <c r="AA612" s="56"/>
      <c r="AB612" s="56"/>
      <c r="AC612" s="15"/>
    </row>
    <row r="613" spans="3:29" ht="12.75">
      <c r="C613" s="23"/>
      <c r="I613" s="23"/>
      <c r="L613" s="56"/>
      <c r="M613" s="56"/>
      <c r="N613" s="56"/>
      <c r="O613" s="56"/>
      <c r="P613" s="56"/>
      <c r="Q613" s="56"/>
      <c r="R613" s="56"/>
      <c r="S613" s="56"/>
      <c r="T613" s="56"/>
      <c r="U613" s="56"/>
      <c r="V613" s="56"/>
      <c r="W613" s="56"/>
      <c r="X613" s="56"/>
      <c r="Y613" s="56"/>
      <c r="Z613" s="56"/>
      <c r="AA613" s="56"/>
      <c r="AB613" s="56"/>
      <c r="AC613" s="15"/>
    </row>
    <row r="614" spans="3:29" ht="12.75">
      <c r="C614" s="23"/>
      <c r="I614" s="23"/>
      <c r="L614" s="56"/>
      <c r="M614" s="56"/>
      <c r="N614" s="56"/>
      <c r="O614" s="56"/>
      <c r="P614" s="56"/>
      <c r="Q614" s="56"/>
      <c r="R614" s="56"/>
      <c r="S614" s="56"/>
      <c r="T614" s="56"/>
      <c r="U614" s="56"/>
      <c r="V614" s="56"/>
      <c r="W614" s="56"/>
      <c r="X614" s="56"/>
      <c r="Y614" s="56"/>
      <c r="Z614" s="56"/>
      <c r="AA614" s="56"/>
      <c r="AB614" s="56"/>
      <c r="AC614" s="15"/>
    </row>
    <row r="615" spans="3:29" ht="12.75">
      <c r="C615" s="23"/>
      <c r="I615" s="23"/>
      <c r="L615" s="56"/>
      <c r="M615" s="56"/>
      <c r="N615" s="56"/>
      <c r="O615" s="56"/>
      <c r="P615" s="56"/>
      <c r="Q615" s="56"/>
      <c r="R615" s="56"/>
      <c r="S615" s="56"/>
      <c r="T615" s="56"/>
      <c r="U615" s="56"/>
      <c r="V615" s="56"/>
      <c r="W615" s="56"/>
      <c r="X615" s="56"/>
      <c r="Y615" s="56"/>
      <c r="Z615" s="56"/>
      <c r="AA615" s="56"/>
      <c r="AB615" s="56"/>
      <c r="AC615" s="15"/>
    </row>
    <row r="616" spans="3:29" ht="12.75">
      <c r="C616" s="23"/>
      <c r="I616" s="23"/>
      <c r="L616" s="56"/>
      <c r="M616" s="56"/>
      <c r="N616" s="56"/>
      <c r="O616" s="56"/>
      <c r="P616" s="56"/>
      <c r="Q616" s="56"/>
      <c r="R616" s="56"/>
      <c r="S616" s="56"/>
      <c r="T616" s="56"/>
      <c r="U616" s="56"/>
      <c r="V616" s="56"/>
      <c r="W616" s="56"/>
      <c r="X616" s="56"/>
      <c r="Y616" s="56"/>
      <c r="Z616" s="56"/>
      <c r="AA616" s="56"/>
      <c r="AB616" s="56"/>
      <c r="AC616" s="15"/>
    </row>
    <row r="617" spans="3:29" ht="12.75">
      <c r="C617" s="23"/>
      <c r="I617" s="23"/>
      <c r="L617" s="56"/>
      <c r="M617" s="56"/>
      <c r="N617" s="56"/>
      <c r="O617" s="56"/>
      <c r="P617" s="56"/>
      <c r="Q617" s="56"/>
      <c r="R617" s="56"/>
      <c r="S617" s="56"/>
      <c r="T617" s="56"/>
      <c r="U617" s="56"/>
      <c r="V617" s="56"/>
      <c r="W617" s="56"/>
      <c r="X617" s="56"/>
      <c r="Y617" s="56"/>
      <c r="Z617" s="56"/>
      <c r="AA617" s="56"/>
      <c r="AB617" s="56"/>
      <c r="AC617" s="15"/>
    </row>
    <row r="618" spans="3:29" ht="12.75">
      <c r="C618" s="23"/>
      <c r="I618" s="23"/>
      <c r="L618" s="56"/>
      <c r="M618" s="56"/>
      <c r="N618" s="56"/>
      <c r="O618" s="56"/>
      <c r="P618" s="56"/>
      <c r="Q618" s="56"/>
      <c r="R618" s="56"/>
      <c r="S618" s="56"/>
      <c r="T618" s="56"/>
      <c r="U618" s="56"/>
      <c r="V618" s="56"/>
      <c r="W618" s="56"/>
      <c r="X618" s="56"/>
      <c r="Y618" s="56"/>
      <c r="Z618" s="56"/>
      <c r="AA618" s="56"/>
      <c r="AB618" s="56"/>
      <c r="AC618" s="15"/>
    </row>
    <row r="619" spans="3:29" ht="12.75">
      <c r="C619" s="23"/>
      <c r="I619" s="23"/>
      <c r="L619" s="56"/>
      <c r="M619" s="56"/>
      <c r="N619" s="56"/>
      <c r="O619" s="56"/>
      <c r="P619" s="56"/>
      <c r="Q619" s="56"/>
      <c r="R619" s="56"/>
      <c r="S619" s="56"/>
      <c r="T619" s="56"/>
      <c r="U619" s="56"/>
      <c r="V619" s="56"/>
      <c r="W619" s="56"/>
      <c r="X619" s="56"/>
      <c r="Y619" s="56"/>
      <c r="Z619" s="56"/>
      <c r="AA619" s="56"/>
      <c r="AB619" s="56"/>
      <c r="AC619" s="15"/>
    </row>
    <row r="620" spans="3:29" ht="12.75">
      <c r="C620" s="23"/>
      <c r="I620" s="23"/>
      <c r="L620" s="56"/>
      <c r="M620" s="56"/>
      <c r="N620" s="56"/>
      <c r="O620" s="56"/>
      <c r="P620" s="56"/>
      <c r="Q620" s="56"/>
      <c r="R620" s="56"/>
      <c r="S620" s="56"/>
      <c r="T620" s="56"/>
      <c r="U620" s="56"/>
      <c r="V620" s="56"/>
      <c r="W620" s="56"/>
      <c r="X620" s="56"/>
      <c r="Y620" s="56"/>
      <c r="Z620" s="56"/>
      <c r="AA620" s="56"/>
      <c r="AB620" s="56"/>
      <c r="AC620" s="15"/>
    </row>
    <row r="621" spans="3:29" ht="12.75">
      <c r="C621" s="23"/>
      <c r="I621" s="23"/>
      <c r="L621" s="56"/>
      <c r="M621" s="56"/>
      <c r="N621" s="56"/>
      <c r="O621" s="56"/>
      <c r="P621" s="56"/>
      <c r="Q621" s="56"/>
      <c r="R621" s="56"/>
      <c r="S621" s="56"/>
      <c r="T621" s="56"/>
      <c r="U621" s="56"/>
      <c r="V621" s="56"/>
      <c r="W621" s="56"/>
      <c r="X621" s="56"/>
      <c r="Y621" s="56"/>
      <c r="Z621" s="56"/>
      <c r="AA621" s="56"/>
      <c r="AB621" s="56"/>
      <c r="AC621" s="15"/>
    </row>
    <row r="622" spans="3:29" ht="12.75">
      <c r="C622" s="23"/>
      <c r="I622" s="23"/>
      <c r="L622" s="56"/>
      <c r="M622" s="56"/>
      <c r="N622" s="56"/>
      <c r="O622" s="56"/>
      <c r="P622" s="56"/>
      <c r="Q622" s="56"/>
      <c r="R622" s="56"/>
      <c r="S622" s="56"/>
      <c r="T622" s="56"/>
      <c r="U622" s="56"/>
      <c r="V622" s="56"/>
      <c r="W622" s="56"/>
      <c r="X622" s="56"/>
      <c r="Y622" s="56"/>
      <c r="Z622" s="56"/>
      <c r="AA622" s="56"/>
      <c r="AB622" s="56"/>
      <c r="AC622" s="15"/>
    </row>
    <row r="623" spans="3:29" ht="12.75">
      <c r="C623" s="23"/>
      <c r="I623" s="23"/>
      <c r="L623" s="56"/>
      <c r="M623" s="56"/>
      <c r="N623" s="56"/>
      <c r="O623" s="56"/>
      <c r="P623" s="56"/>
      <c r="Q623" s="56"/>
      <c r="R623" s="56"/>
      <c r="S623" s="56"/>
      <c r="T623" s="56"/>
      <c r="U623" s="56"/>
      <c r="V623" s="56"/>
      <c r="W623" s="56"/>
      <c r="X623" s="56"/>
      <c r="Y623" s="56"/>
      <c r="Z623" s="56"/>
      <c r="AA623" s="56"/>
      <c r="AB623" s="56"/>
      <c r="AC623" s="15"/>
    </row>
    <row r="624" spans="3:29" ht="12.75">
      <c r="C624" s="23"/>
      <c r="I624" s="23"/>
      <c r="L624" s="56"/>
      <c r="M624" s="56"/>
      <c r="N624" s="56"/>
      <c r="O624" s="56"/>
      <c r="P624" s="56"/>
      <c r="Q624" s="56"/>
      <c r="R624" s="56"/>
      <c r="S624" s="56"/>
      <c r="T624" s="56"/>
      <c r="U624" s="56"/>
      <c r="V624" s="56"/>
      <c r="W624" s="56"/>
      <c r="X624" s="56"/>
      <c r="Y624" s="56"/>
      <c r="Z624" s="56"/>
      <c r="AA624" s="56"/>
      <c r="AB624" s="56"/>
      <c r="AC624" s="15"/>
    </row>
    <row r="625" spans="3:29" ht="12.75">
      <c r="C625" s="23"/>
      <c r="I625" s="23"/>
      <c r="L625" s="56"/>
      <c r="M625" s="56"/>
      <c r="N625" s="56"/>
      <c r="O625" s="56"/>
      <c r="P625" s="56"/>
      <c r="Q625" s="56"/>
      <c r="R625" s="56"/>
      <c r="S625" s="56"/>
      <c r="T625" s="56"/>
      <c r="U625" s="56"/>
      <c r="V625" s="56"/>
      <c r="W625" s="56"/>
      <c r="X625" s="56"/>
      <c r="Y625" s="56"/>
      <c r="Z625" s="56"/>
      <c r="AA625" s="56"/>
      <c r="AB625" s="56"/>
      <c r="AC625" s="15"/>
    </row>
    <row r="626" spans="3:29" ht="12.75">
      <c r="C626" s="23"/>
      <c r="I626" s="23"/>
      <c r="L626" s="56"/>
      <c r="M626" s="56"/>
      <c r="N626" s="56"/>
      <c r="O626" s="56"/>
      <c r="P626" s="56"/>
      <c r="Q626" s="56"/>
      <c r="R626" s="56"/>
      <c r="S626" s="56"/>
      <c r="T626" s="56"/>
      <c r="U626" s="56"/>
      <c r="V626" s="56"/>
      <c r="W626" s="56"/>
      <c r="X626" s="56"/>
      <c r="Y626" s="56"/>
      <c r="Z626" s="56"/>
      <c r="AA626" s="56"/>
      <c r="AB626" s="56"/>
      <c r="AC626" s="15"/>
    </row>
    <row r="627" spans="3:29" ht="12.75">
      <c r="C627" s="23"/>
      <c r="I627" s="23"/>
      <c r="L627" s="56"/>
      <c r="M627" s="56"/>
      <c r="N627" s="56"/>
      <c r="O627" s="56"/>
      <c r="P627" s="56"/>
      <c r="Q627" s="56"/>
      <c r="R627" s="56"/>
      <c r="S627" s="56"/>
      <c r="T627" s="56"/>
      <c r="U627" s="56"/>
      <c r="V627" s="56"/>
      <c r="W627" s="56"/>
      <c r="X627" s="56"/>
      <c r="Y627" s="56"/>
      <c r="Z627" s="56"/>
      <c r="AA627" s="56"/>
      <c r="AB627" s="56"/>
      <c r="AC627" s="15"/>
    </row>
    <row r="628" spans="3:29" ht="12.75">
      <c r="C628" s="23"/>
      <c r="I628" s="23"/>
      <c r="L628" s="56"/>
      <c r="M628" s="56"/>
      <c r="N628" s="56"/>
      <c r="O628" s="56"/>
      <c r="P628" s="56"/>
      <c r="Q628" s="56"/>
      <c r="R628" s="56"/>
      <c r="S628" s="56"/>
      <c r="T628" s="56"/>
      <c r="U628" s="56"/>
      <c r="V628" s="56"/>
      <c r="W628" s="56"/>
      <c r="X628" s="56"/>
      <c r="Y628" s="56"/>
      <c r="Z628" s="56"/>
      <c r="AA628" s="56"/>
      <c r="AB628" s="56"/>
      <c r="AC628" s="15"/>
    </row>
    <row r="629" spans="3:29" ht="12.75">
      <c r="C629" s="23"/>
      <c r="I629" s="23"/>
      <c r="L629" s="56"/>
      <c r="M629" s="56"/>
      <c r="N629" s="56"/>
      <c r="O629" s="56"/>
      <c r="P629" s="56"/>
      <c r="Q629" s="56"/>
      <c r="R629" s="56"/>
      <c r="S629" s="56"/>
      <c r="T629" s="56"/>
      <c r="U629" s="56"/>
      <c r="V629" s="56"/>
      <c r="W629" s="56"/>
      <c r="X629" s="56"/>
      <c r="Y629" s="56"/>
      <c r="Z629" s="56"/>
      <c r="AA629" s="56"/>
      <c r="AB629" s="56"/>
      <c r="AC629" s="15"/>
    </row>
    <row r="630" spans="3:29" ht="12.75">
      <c r="C630" s="23"/>
      <c r="I630" s="23"/>
      <c r="L630" s="56"/>
      <c r="M630" s="56"/>
      <c r="N630" s="56"/>
      <c r="O630" s="56"/>
      <c r="P630" s="56"/>
      <c r="Q630" s="56"/>
      <c r="R630" s="56"/>
      <c r="S630" s="56"/>
      <c r="T630" s="56"/>
      <c r="U630" s="56"/>
      <c r="V630" s="56"/>
      <c r="W630" s="56"/>
      <c r="X630" s="56"/>
      <c r="Y630" s="56"/>
      <c r="Z630" s="56"/>
      <c r="AA630" s="56"/>
      <c r="AB630" s="56"/>
      <c r="AC630" s="15"/>
    </row>
    <row r="631" spans="3:29" ht="12.75">
      <c r="C631" s="23"/>
      <c r="I631" s="23"/>
      <c r="L631" s="56"/>
      <c r="M631" s="56"/>
      <c r="N631" s="56"/>
      <c r="O631" s="56"/>
      <c r="P631" s="56"/>
      <c r="Q631" s="56"/>
      <c r="R631" s="56"/>
      <c r="S631" s="56"/>
      <c r="T631" s="56"/>
      <c r="U631" s="56"/>
      <c r="V631" s="56"/>
      <c r="W631" s="56"/>
      <c r="X631" s="56"/>
      <c r="Y631" s="56"/>
      <c r="Z631" s="56"/>
      <c r="AA631" s="56"/>
      <c r="AB631" s="56"/>
      <c r="AC631" s="15"/>
    </row>
    <row r="632" spans="3:29" ht="12.75">
      <c r="C632" s="23"/>
      <c r="I632" s="23"/>
      <c r="L632" s="56"/>
      <c r="M632" s="56"/>
      <c r="N632" s="56"/>
      <c r="O632" s="56"/>
      <c r="P632" s="56"/>
      <c r="Q632" s="56"/>
      <c r="R632" s="56"/>
      <c r="S632" s="56"/>
      <c r="T632" s="56"/>
      <c r="U632" s="56"/>
      <c r="V632" s="56"/>
      <c r="W632" s="56"/>
      <c r="X632" s="56"/>
      <c r="Y632" s="56"/>
      <c r="Z632" s="56"/>
      <c r="AA632" s="56"/>
      <c r="AB632" s="56"/>
      <c r="AC632" s="15"/>
    </row>
    <row r="633" spans="3:29" ht="12.75">
      <c r="C633" s="23"/>
      <c r="I633" s="23"/>
      <c r="L633" s="56"/>
      <c r="M633" s="56"/>
      <c r="N633" s="56"/>
      <c r="O633" s="56"/>
      <c r="P633" s="56"/>
      <c r="Q633" s="56"/>
      <c r="R633" s="56"/>
      <c r="S633" s="56"/>
      <c r="T633" s="56"/>
      <c r="U633" s="56"/>
      <c r="V633" s="56"/>
      <c r="W633" s="56"/>
      <c r="X633" s="56"/>
      <c r="Y633" s="56"/>
      <c r="Z633" s="56"/>
      <c r="AA633" s="56"/>
      <c r="AB633" s="56"/>
      <c r="AC633" s="15"/>
    </row>
    <row r="634" spans="3:29" ht="12.75">
      <c r="C634" s="23"/>
      <c r="I634" s="23"/>
      <c r="L634" s="56"/>
      <c r="M634" s="56"/>
      <c r="N634" s="56"/>
      <c r="O634" s="56"/>
      <c r="P634" s="56"/>
      <c r="Q634" s="56"/>
      <c r="R634" s="56"/>
      <c r="S634" s="56"/>
      <c r="T634" s="56"/>
      <c r="U634" s="56"/>
      <c r="V634" s="56"/>
      <c r="W634" s="56"/>
      <c r="X634" s="56"/>
      <c r="Y634" s="56"/>
      <c r="Z634" s="56"/>
      <c r="AA634" s="56"/>
      <c r="AB634" s="56"/>
      <c r="AC634" s="15"/>
    </row>
    <row r="635" spans="3:29" ht="12.75">
      <c r="C635" s="23"/>
      <c r="I635" s="23"/>
      <c r="L635" s="56"/>
      <c r="M635" s="56"/>
      <c r="N635" s="56"/>
      <c r="O635" s="56"/>
      <c r="P635" s="56"/>
      <c r="Q635" s="56"/>
      <c r="R635" s="56"/>
      <c r="S635" s="56"/>
      <c r="T635" s="56"/>
      <c r="U635" s="56"/>
      <c r="V635" s="56"/>
      <c r="W635" s="56"/>
      <c r="X635" s="56"/>
      <c r="Y635" s="56"/>
      <c r="Z635" s="56"/>
      <c r="AA635" s="56"/>
      <c r="AB635" s="56"/>
      <c r="AC635" s="15"/>
    </row>
    <row r="636" spans="3:29" ht="12.75">
      <c r="C636" s="23"/>
      <c r="I636" s="23"/>
      <c r="L636" s="56"/>
      <c r="M636" s="56"/>
      <c r="N636" s="56"/>
      <c r="O636" s="56"/>
      <c r="P636" s="56"/>
      <c r="Q636" s="56"/>
      <c r="R636" s="56"/>
      <c r="S636" s="56"/>
      <c r="T636" s="56"/>
      <c r="U636" s="56"/>
      <c r="V636" s="56"/>
      <c r="W636" s="56"/>
      <c r="X636" s="56"/>
      <c r="Y636" s="56"/>
      <c r="Z636" s="56"/>
      <c r="AA636" s="56"/>
      <c r="AB636" s="56"/>
      <c r="AC636" s="15"/>
    </row>
    <row r="637" spans="3:29" ht="12.75">
      <c r="C637" s="23"/>
      <c r="I637" s="23"/>
      <c r="L637" s="56"/>
      <c r="M637" s="56"/>
      <c r="N637" s="56"/>
      <c r="O637" s="56"/>
      <c r="P637" s="56"/>
      <c r="Q637" s="56"/>
      <c r="R637" s="56"/>
      <c r="S637" s="56"/>
      <c r="T637" s="56"/>
      <c r="U637" s="56"/>
      <c r="V637" s="56"/>
      <c r="W637" s="56"/>
      <c r="X637" s="56"/>
      <c r="Y637" s="56"/>
      <c r="Z637" s="56"/>
      <c r="AA637" s="56"/>
      <c r="AB637" s="56"/>
      <c r="AC637" s="15"/>
    </row>
    <row r="638" spans="3:29" ht="12.75">
      <c r="C638" s="23"/>
      <c r="I638" s="23"/>
      <c r="L638" s="56"/>
      <c r="M638" s="56"/>
      <c r="N638" s="56"/>
      <c r="O638" s="56"/>
      <c r="P638" s="56"/>
      <c r="Q638" s="56"/>
      <c r="R638" s="56"/>
      <c r="S638" s="56"/>
      <c r="T638" s="56"/>
      <c r="U638" s="56"/>
      <c r="V638" s="56"/>
      <c r="W638" s="56"/>
      <c r="X638" s="56"/>
      <c r="Y638" s="56"/>
      <c r="Z638" s="56"/>
      <c r="AA638" s="56"/>
      <c r="AB638" s="56"/>
      <c r="AC638" s="15"/>
    </row>
    <row r="639" spans="3:29" ht="12.75">
      <c r="C639" s="23"/>
      <c r="I639" s="23"/>
      <c r="L639" s="56"/>
      <c r="M639" s="56"/>
      <c r="N639" s="56"/>
      <c r="O639" s="56"/>
      <c r="P639" s="56"/>
      <c r="Q639" s="56"/>
      <c r="R639" s="56"/>
      <c r="S639" s="56"/>
      <c r="T639" s="56"/>
      <c r="U639" s="56"/>
      <c r="V639" s="56"/>
      <c r="W639" s="56"/>
      <c r="X639" s="56"/>
      <c r="Y639" s="56"/>
      <c r="Z639" s="56"/>
      <c r="AA639" s="56"/>
      <c r="AB639" s="56"/>
      <c r="AC639" s="15"/>
    </row>
    <row r="640" spans="3:29" ht="12.75">
      <c r="C640" s="23"/>
      <c r="I640" s="23"/>
      <c r="L640" s="56"/>
      <c r="M640" s="56"/>
      <c r="N640" s="56"/>
      <c r="O640" s="56"/>
      <c r="P640" s="56"/>
      <c r="Q640" s="56"/>
      <c r="R640" s="56"/>
      <c r="S640" s="56"/>
      <c r="T640" s="56"/>
      <c r="U640" s="56"/>
      <c r="V640" s="56"/>
      <c r="W640" s="56"/>
      <c r="X640" s="56"/>
      <c r="Y640" s="56"/>
      <c r="Z640" s="56"/>
      <c r="AA640" s="56"/>
      <c r="AB640" s="56"/>
      <c r="AC640" s="15"/>
    </row>
    <row r="641" spans="3:29" ht="12.75">
      <c r="C641" s="23"/>
      <c r="I641" s="23"/>
      <c r="L641" s="56"/>
      <c r="M641" s="56"/>
      <c r="N641" s="56"/>
      <c r="O641" s="56"/>
      <c r="P641" s="56"/>
      <c r="Q641" s="56"/>
      <c r="R641" s="56"/>
      <c r="S641" s="56"/>
      <c r="T641" s="56"/>
      <c r="U641" s="56"/>
      <c r="V641" s="56"/>
      <c r="W641" s="56"/>
      <c r="X641" s="56"/>
      <c r="Y641" s="56"/>
      <c r="Z641" s="56"/>
      <c r="AA641" s="56"/>
      <c r="AB641" s="56"/>
      <c r="AC641" s="15"/>
    </row>
    <row r="642" spans="3:29" ht="12.75">
      <c r="C642" s="23"/>
      <c r="I642" s="23"/>
      <c r="L642" s="56"/>
      <c r="M642" s="56"/>
      <c r="N642" s="56"/>
      <c r="O642" s="56"/>
      <c r="P642" s="56"/>
      <c r="Q642" s="56"/>
      <c r="R642" s="56"/>
      <c r="S642" s="56"/>
      <c r="T642" s="56"/>
      <c r="U642" s="56"/>
      <c r="V642" s="56"/>
      <c r="W642" s="56"/>
      <c r="X642" s="56"/>
      <c r="Y642" s="56"/>
      <c r="Z642" s="56"/>
      <c r="AA642" s="56"/>
      <c r="AB642" s="56"/>
      <c r="AC642" s="15"/>
    </row>
    <row r="643" spans="3:29" ht="12.75">
      <c r="C643" s="23"/>
      <c r="I643" s="23"/>
      <c r="L643" s="56"/>
      <c r="M643" s="56"/>
      <c r="N643" s="56"/>
      <c r="O643" s="56"/>
      <c r="P643" s="56"/>
      <c r="Q643" s="56"/>
      <c r="R643" s="56"/>
      <c r="S643" s="56"/>
      <c r="T643" s="56"/>
      <c r="U643" s="56"/>
      <c r="V643" s="56"/>
      <c r="W643" s="56"/>
      <c r="X643" s="56"/>
      <c r="Y643" s="56"/>
      <c r="Z643" s="56"/>
      <c r="AA643" s="56"/>
      <c r="AB643" s="56"/>
      <c r="AC643" s="15"/>
    </row>
    <row r="644" spans="3:29" ht="12.75">
      <c r="C644" s="23"/>
      <c r="I644" s="23"/>
      <c r="L644" s="56"/>
      <c r="M644" s="56"/>
      <c r="N644" s="56"/>
      <c r="O644" s="56"/>
      <c r="P644" s="56"/>
      <c r="Q644" s="56"/>
      <c r="R644" s="56"/>
      <c r="S644" s="56"/>
      <c r="T644" s="56"/>
      <c r="U644" s="56"/>
      <c r="V644" s="56"/>
      <c r="W644" s="56"/>
      <c r="X644" s="56"/>
      <c r="Y644" s="56"/>
      <c r="Z644" s="56"/>
      <c r="AA644" s="56"/>
      <c r="AB644" s="56"/>
      <c r="AC644" s="15"/>
    </row>
    <row r="645" spans="3:29" ht="12.75">
      <c r="C645" s="23"/>
      <c r="I645" s="23"/>
      <c r="L645" s="56"/>
      <c r="M645" s="56"/>
      <c r="N645" s="56"/>
      <c r="O645" s="56"/>
      <c r="P645" s="56"/>
      <c r="Q645" s="56"/>
      <c r="R645" s="56"/>
      <c r="S645" s="56"/>
      <c r="T645" s="56"/>
      <c r="U645" s="56"/>
      <c r="V645" s="56"/>
      <c r="W645" s="56"/>
      <c r="X645" s="56"/>
      <c r="Y645" s="56"/>
      <c r="Z645" s="56"/>
      <c r="AA645" s="56"/>
      <c r="AB645" s="56"/>
      <c r="AC645" s="15"/>
    </row>
    <row r="646" spans="3:29" ht="12.75">
      <c r="C646" s="23"/>
      <c r="I646" s="23"/>
      <c r="L646" s="56"/>
      <c r="M646" s="56"/>
      <c r="N646" s="56"/>
      <c r="O646" s="56"/>
      <c r="P646" s="56"/>
      <c r="Q646" s="56"/>
      <c r="R646" s="56"/>
      <c r="S646" s="56"/>
      <c r="T646" s="56"/>
      <c r="U646" s="56"/>
      <c r="V646" s="56"/>
      <c r="W646" s="56"/>
      <c r="X646" s="56"/>
      <c r="Y646" s="56"/>
      <c r="Z646" s="56"/>
      <c r="AA646" s="56"/>
      <c r="AB646" s="56"/>
      <c r="AC646" s="15"/>
    </row>
    <row r="647" spans="3:29" ht="12.75">
      <c r="C647" s="23"/>
      <c r="I647" s="23"/>
      <c r="L647" s="56"/>
      <c r="M647" s="56"/>
      <c r="N647" s="56"/>
      <c r="O647" s="56"/>
      <c r="P647" s="56"/>
      <c r="Q647" s="56"/>
      <c r="R647" s="56"/>
      <c r="S647" s="56"/>
      <c r="T647" s="56"/>
      <c r="U647" s="56"/>
      <c r="V647" s="56"/>
      <c r="W647" s="56"/>
      <c r="X647" s="56"/>
      <c r="Y647" s="56"/>
      <c r="Z647" s="56"/>
      <c r="AA647" s="56"/>
      <c r="AB647" s="56"/>
      <c r="AC647" s="15"/>
    </row>
    <row r="648" spans="3:29" ht="12.75">
      <c r="C648" s="23"/>
      <c r="I648" s="23"/>
      <c r="L648" s="56"/>
      <c r="M648" s="56"/>
      <c r="N648" s="56"/>
      <c r="O648" s="56"/>
      <c r="P648" s="56"/>
      <c r="Q648" s="56"/>
      <c r="R648" s="56"/>
      <c r="S648" s="56"/>
      <c r="T648" s="56"/>
      <c r="U648" s="56"/>
      <c r="V648" s="56"/>
      <c r="W648" s="56"/>
      <c r="X648" s="56"/>
      <c r="Y648" s="56"/>
      <c r="Z648" s="56"/>
      <c r="AA648" s="56"/>
      <c r="AB648" s="56"/>
      <c r="AC648" s="15"/>
    </row>
    <row r="649" spans="3:29" ht="12.75">
      <c r="C649" s="23"/>
      <c r="I649" s="23"/>
      <c r="L649" s="56"/>
      <c r="M649" s="56"/>
      <c r="N649" s="56"/>
      <c r="O649" s="56"/>
      <c r="P649" s="56"/>
      <c r="Q649" s="56"/>
      <c r="R649" s="56"/>
      <c r="S649" s="56"/>
      <c r="T649" s="56"/>
      <c r="U649" s="56"/>
      <c r="V649" s="56"/>
      <c r="W649" s="56"/>
      <c r="X649" s="56"/>
      <c r="Y649" s="56"/>
      <c r="Z649" s="56"/>
      <c r="AA649" s="56"/>
      <c r="AB649" s="56"/>
      <c r="AC649" s="15"/>
    </row>
    <row r="650" spans="3:29" ht="12.75">
      <c r="C650" s="23"/>
      <c r="I650" s="23"/>
      <c r="L650" s="56"/>
      <c r="M650" s="56"/>
      <c r="N650" s="56"/>
      <c r="O650" s="56"/>
      <c r="P650" s="56"/>
      <c r="Q650" s="56"/>
      <c r="R650" s="56"/>
      <c r="S650" s="56"/>
      <c r="T650" s="56"/>
      <c r="U650" s="56"/>
      <c r="V650" s="56"/>
      <c r="W650" s="56"/>
      <c r="X650" s="56"/>
      <c r="Y650" s="56"/>
      <c r="Z650" s="56"/>
      <c r="AA650" s="56"/>
      <c r="AB650" s="56"/>
      <c r="AC650" s="15"/>
    </row>
    <row r="651" spans="3:29" ht="12.75">
      <c r="C651" s="23"/>
      <c r="I651" s="23"/>
      <c r="L651" s="56"/>
      <c r="M651" s="56"/>
      <c r="N651" s="56"/>
      <c r="O651" s="56"/>
      <c r="P651" s="56"/>
      <c r="Q651" s="56"/>
      <c r="R651" s="56"/>
      <c r="S651" s="56"/>
      <c r="T651" s="56"/>
      <c r="U651" s="56"/>
      <c r="V651" s="56"/>
      <c r="W651" s="56"/>
      <c r="X651" s="56"/>
      <c r="Y651" s="56"/>
      <c r="Z651" s="56"/>
      <c r="AA651" s="56"/>
      <c r="AB651" s="56"/>
      <c r="AC651" s="15"/>
    </row>
    <row r="652" spans="3:29" ht="12.75">
      <c r="C652" s="23"/>
      <c r="I652" s="23"/>
      <c r="L652" s="56"/>
      <c r="M652" s="56"/>
      <c r="N652" s="56"/>
      <c r="O652" s="56"/>
      <c r="P652" s="56"/>
      <c r="Q652" s="56"/>
      <c r="R652" s="56"/>
      <c r="S652" s="56"/>
      <c r="T652" s="56"/>
      <c r="U652" s="56"/>
      <c r="V652" s="56"/>
      <c r="W652" s="56"/>
      <c r="X652" s="56"/>
      <c r="Y652" s="56"/>
      <c r="Z652" s="56"/>
      <c r="AA652" s="56"/>
      <c r="AB652" s="56"/>
      <c r="AC652" s="15"/>
    </row>
    <row r="653" spans="3:29" ht="12.75">
      <c r="C653" s="23"/>
      <c r="I653" s="23"/>
      <c r="L653" s="56"/>
      <c r="M653" s="56"/>
      <c r="N653" s="56"/>
      <c r="O653" s="56"/>
      <c r="P653" s="56"/>
      <c r="Q653" s="56"/>
      <c r="R653" s="56"/>
      <c r="S653" s="56"/>
      <c r="T653" s="56"/>
      <c r="U653" s="56"/>
      <c r="V653" s="56"/>
      <c r="W653" s="56"/>
      <c r="X653" s="56"/>
      <c r="Y653" s="56"/>
      <c r="Z653" s="56"/>
      <c r="AA653" s="56"/>
      <c r="AB653" s="56"/>
      <c r="AC653" s="15"/>
    </row>
    <row r="654" spans="3:29" ht="12.75">
      <c r="C654" s="23"/>
      <c r="I654" s="23"/>
      <c r="L654" s="56"/>
      <c r="M654" s="56"/>
      <c r="N654" s="56"/>
      <c r="O654" s="56"/>
      <c r="P654" s="56"/>
      <c r="Q654" s="56"/>
      <c r="R654" s="56"/>
      <c r="S654" s="56"/>
      <c r="T654" s="56"/>
      <c r="U654" s="56"/>
      <c r="V654" s="56"/>
      <c r="W654" s="56"/>
      <c r="X654" s="56"/>
      <c r="Y654" s="56"/>
      <c r="Z654" s="56"/>
      <c r="AA654" s="56"/>
      <c r="AB654" s="56"/>
      <c r="AC654" s="15"/>
    </row>
    <row r="655" spans="3:29" ht="12.75">
      <c r="C655" s="23"/>
      <c r="I655" s="23"/>
      <c r="L655" s="56"/>
      <c r="M655" s="56"/>
      <c r="N655" s="56"/>
      <c r="O655" s="56"/>
      <c r="P655" s="56"/>
      <c r="Q655" s="56"/>
      <c r="R655" s="56"/>
      <c r="S655" s="56"/>
      <c r="T655" s="56"/>
      <c r="U655" s="56"/>
      <c r="V655" s="56"/>
      <c r="W655" s="56"/>
      <c r="X655" s="56"/>
      <c r="Y655" s="56"/>
      <c r="Z655" s="56"/>
      <c r="AA655" s="56"/>
      <c r="AB655" s="56"/>
      <c r="AC655" s="15"/>
    </row>
    <row r="656" spans="3:29" ht="12.75">
      <c r="C656" s="23"/>
      <c r="I656" s="23"/>
      <c r="L656" s="56"/>
      <c r="M656" s="56"/>
      <c r="N656" s="56"/>
      <c r="O656" s="56"/>
      <c r="P656" s="56"/>
      <c r="Q656" s="56"/>
      <c r="R656" s="56"/>
      <c r="S656" s="56"/>
      <c r="T656" s="56"/>
      <c r="U656" s="56"/>
      <c r="V656" s="56"/>
      <c r="W656" s="56"/>
      <c r="X656" s="56"/>
      <c r="Y656" s="56"/>
      <c r="Z656" s="56"/>
      <c r="AA656" s="56"/>
      <c r="AB656" s="56"/>
      <c r="AC656" s="15"/>
    </row>
    <row r="657" spans="3:29" ht="12.75">
      <c r="C657" s="23"/>
      <c r="I657" s="23"/>
      <c r="L657" s="56"/>
      <c r="M657" s="56"/>
      <c r="N657" s="56"/>
      <c r="O657" s="56"/>
      <c r="P657" s="56"/>
      <c r="Q657" s="56"/>
      <c r="R657" s="56"/>
      <c r="S657" s="56"/>
      <c r="T657" s="56"/>
      <c r="U657" s="56"/>
      <c r="V657" s="56"/>
      <c r="W657" s="56"/>
      <c r="X657" s="56"/>
      <c r="Y657" s="56"/>
      <c r="Z657" s="56"/>
      <c r="AA657" s="56"/>
      <c r="AB657" s="56"/>
      <c r="AC657" s="15"/>
    </row>
    <row r="658" spans="3:29" ht="12.75">
      <c r="C658" s="23"/>
      <c r="I658" s="23"/>
      <c r="L658" s="56"/>
      <c r="M658" s="56"/>
      <c r="N658" s="56"/>
      <c r="O658" s="56"/>
      <c r="P658" s="56"/>
      <c r="Q658" s="56"/>
      <c r="R658" s="56"/>
      <c r="S658" s="56"/>
      <c r="T658" s="56"/>
      <c r="U658" s="56"/>
      <c r="V658" s="56"/>
      <c r="W658" s="56"/>
      <c r="X658" s="56"/>
      <c r="Y658" s="56"/>
      <c r="Z658" s="56"/>
      <c r="AA658" s="56"/>
      <c r="AB658" s="56"/>
      <c r="AC658" s="15"/>
    </row>
    <row r="659" spans="3:29" ht="12.75">
      <c r="C659" s="23"/>
      <c r="I659" s="23"/>
      <c r="L659" s="56"/>
      <c r="M659" s="56"/>
      <c r="N659" s="56"/>
      <c r="O659" s="56"/>
      <c r="P659" s="56"/>
      <c r="Q659" s="56"/>
      <c r="R659" s="56"/>
      <c r="S659" s="56"/>
      <c r="T659" s="56"/>
      <c r="U659" s="56"/>
      <c r="V659" s="56"/>
      <c r="W659" s="56"/>
      <c r="X659" s="56"/>
      <c r="Y659" s="56"/>
      <c r="Z659" s="56"/>
      <c r="AA659" s="56"/>
      <c r="AB659" s="56"/>
      <c r="AC659" s="15"/>
    </row>
    <row r="660" spans="3:29" ht="12.75">
      <c r="C660" s="23"/>
      <c r="I660" s="23"/>
      <c r="L660" s="56"/>
      <c r="M660" s="56"/>
      <c r="N660" s="56"/>
      <c r="O660" s="56"/>
      <c r="P660" s="56"/>
      <c r="Q660" s="56"/>
      <c r="R660" s="56"/>
      <c r="S660" s="56"/>
      <c r="T660" s="56"/>
      <c r="U660" s="56"/>
      <c r="V660" s="56"/>
      <c r="W660" s="56"/>
      <c r="X660" s="56"/>
      <c r="Y660" s="56"/>
      <c r="Z660" s="56"/>
      <c r="AA660" s="56"/>
      <c r="AB660" s="56"/>
      <c r="AC660" s="15"/>
    </row>
    <row r="661" spans="3:29" ht="12.75">
      <c r="C661" s="23"/>
      <c r="I661" s="23"/>
      <c r="L661" s="56"/>
      <c r="M661" s="56"/>
      <c r="N661" s="56"/>
      <c r="O661" s="56"/>
      <c r="P661" s="56"/>
      <c r="Q661" s="56"/>
      <c r="R661" s="56"/>
      <c r="S661" s="56"/>
      <c r="T661" s="56"/>
      <c r="U661" s="56"/>
      <c r="V661" s="56"/>
      <c r="W661" s="56"/>
      <c r="X661" s="56"/>
      <c r="Y661" s="56"/>
      <c r="Z661" s="56"/>
      <c r="AA661" s="56"/>
      <c r="AB661" s="56"/>
      <c r="AC661" s="15"/>
    </row>
    <row r="662" spans="3:29" ht="12.75">
      <c r="C662" s="23"/>
      <c r="I662" s="23"/>
      <c r="L662" s="56"/>
      <c r="M662" s="56"/>
      <c r="N662" s="56"/>
      <c r="O662" s="56"/>
      <c r="P662" s="56"/>
      <c r="Q662" s="56"/>
      <c r="R662" s="56"/>
      <c r="S662" s="56"/>
      <c r="T662" s="56"/>
      <c r="U662" s="56"/>
      <c r="V662" s="56"/>
      <c r="W662" s="56"/>
      <c r="X662" s="56"/>
      <c r="Y662" s="56"/>
      <c r="Z662" s="56"/>
      <c r="AA662" s="56"/>
      <c r="AB662" s="56"/>
      <c r="AC662" s="15"/>
    </row>
    <row r="663" spans="3:29" ht="12.75">
      <c r="C663" s="23"/>
      <c r="I663" s="23"/>
      <c r="L663" s="56"/>
      <c r="M663" s="56"/>
      <c r="N663" s="56"/>
      <c r="O663" s="56"/>
      <c r="P663" s="56"/>
      <c r="Q663" s="56"/>
      <c r="R663" s="56"/>
      <c r="S663" s="56"/>
      <c r="T663" s="56"/>
      <c r="U663" s="56"/>
      <c r="V663" s="56"/>
      <c r="W663" s="56"/>
      <c r="X663" s="56"/>
      <c r="Y663" s="56"/>
      <c r="Z663" s="56"/>
      <c r="AA663" s="56"/>
      <c r="AB663" s="56"/>
      <c r="AC663" s="15"/>
    </row>
    <row r="664" spans="3:29" ht="12.75">
      <c r="C664" s="23"/>
      <c r="I664" s="23"/>
      <c r="L664" s="56"/>
      <c r="M664" s="56"/>
      <c r="N664" s="56"/>
      <c r="O664" s="56"/>
      <c r="P664" s="56"/>
      <c r="Q664" s="56"/>
      <c r="R664" s="56"/>
      <c r="S664" s="56"/>
      <c r="T664" s="56"/>
      <c r="U664" s="56"/>
      <c r="V664" s="56"/>
      <c r="W664" s="56"/>
      <c r="X664" s="56"/>
      <c r="Y664" s="56"/>
      <c r="Z664" s="56"/>
      <c r="AA664" s="56"/>
      <c r="AB664" s="56"/>
      <c r="AC664" s="15"/>
    </row>
    <row r="665" spans="3:29" ht="12.75">
      <c r="C665" s="23"/>
      <c r="I665" s="23"/>
      <c r="L665" s="56"/>
      <c r="M665" s="56"/>
      <c r="N665" s="56"/>
      <c r="O665" s="56"/>
      <c r="P665" s="56"/>
      <c r="Q665" s="56"/>
      <c r="R665" s="56"/>
      <c r="S665" s="56"/>
      <c r="T665" s="56"/>
      <c r="U665" s="56"/>
      <c r="V665" s="56"/>
      <c r="W665" s="56"/>
      <c r="X665" s="56"/>
      <c r="Y665" s="56"/>
      <c r="Z665" s="56"/>
      <c r="AA665" s="56"/>
      <c r="AB665" s="56"/>
      <c r="AC665" s="15"/>
    </row>
    <row r="666" spans="3:29" ht="12.75">
      <c r="C666" s="23"/>
      <c r="I666" s="23"/>
      <c r="L666" s="56"/>
      <c r="M666" s="56"/>
      <c r="N666" s="56"/>
      <c r="O666" s="56"/>
      <c r="P666" s="56"/>
      <c r="Q666" s="56"/>
      <c r="R666" s="56"/>
      <c r="S666" s="56"/>
      <c r="T666" s="56"/>
      <c r="U666" s="56"/>
      <c r="V666" s="56"/>
      <c r="W666" s="56"/>
      <c r="X666" s="56"/>
      <c r="Y666" s="56"/>
      <c r="Z666" s="56"/>
      <c r="AA666" s="56"/>
      <c r="AB666" s="56"/>
      <c r="AC666" s="15"/>
    </row>
    <row r="667" spans="3:29" ht="12.75">
      <c r="C667" s="23"/>
      <c r="I667" s="23"/>
      <c r="L667" s="56"/>
      <c r="M667" s="56"/>
      <c r="N667" s="56"/>
      <c r="O667" s="56"/>
      <c r="P667" s="56"/>
      <c r="Q667" s="56"/>
      <c r="R667" s="56"/>
      <c r="S667" s="56"/>
      <c r="T667" s="56"/>
      <c r="U667" s="56"/>
      <c r="V667" s="56"/>
      <c r="W667" s="56"/>
      <c r="X667" s="56"/>
      <c r="Y667" s="56"/>
      <c r="Z667" s="56"/>
      <c r="AA667" s="56"/>
      <c r="AB667" s="56"/>
      <c r="AC667" s="15"/>
    </row>
    <row r="668" spans="3:29" ht="12.75">
      <c r="C668" s="23"/>
      <c r="I668" s="23"/>
      <c r="L668" s="56"/>
      <c r="M668" s="56"/>
      <c r="N668" s="56"/>
      <c r="O668" s="56"/>
      <c r="P668" s="56"/>
      <c r="Q668" s="56"/>
      <c r="R668" s="56"/>
      <c r="S668" s="56"/>
      <c r="T668" s="56"/>
      <c r="U668" s="56"/>
      <c r="V668" s="56"/>
      <c r="W668" s="56"/>
      <c r="X668" s="56"/>
      <c r="Y668" s="56"/>
      <c r="Z668" s="56"/>
      <c r="AA668" s="56"/>
      <c r="AB668" s="56"/>
      <c r="AC668" s="15"/>
    </row>
    <row r="669" spans="3:29" ht="12.75">
      <c r="C669" s="23"/>
      <c r="I669" s="23"/>
      <c r="L669" s="56"/>
      <c r="M669" s="56"/>
      <c r="N669" s="56"/>
      <c r="O669" s="56"/>
      <c r="P669" s="56"/>
      <c r="Q669" s="56"/>
      <c r="R669" s="56"/>
      <c r="S669" s="56"/>
      <c r="T669" s="56"/>
      <c r="U669" s="56"/>
      <c r="V669" s="56"/>
      <c r="W669" s="56"/>
      <c r="X669" s="56"/>
      <c r="Y669" s="56"/>
      <c r="Z669" s="56"/>
      <c r="AA669" s="56"/>
      <c r="AB669" s="56"/>
      <c r="AC669" s="15"/>
    </row>
    <row r="670" spans="3:29" ht="12.75">
      <c r="C670" s="23"/>
      <c r="I670" s="23"/>
      <c r="L670" s="56"/>
      <c r="M670" s="56"/>
      <c r="N670" s="56"/>
      <c r="O670" s="56"/>
      <c r="P670" s="56"/>
      <c r="Q670" s="56"/>
      <c r="R670" s="56"/>
      <c r="S670" s="56"/>
      <c r="T670" s="56"/>
      <c r="U670" s="56"/>
      <c r="V670" s="56"/>
      <c r="W670" s="56"/>
      <c r="X670" s="56"/>
      <c r="Y670" s="56"/>
      <c r="Z670" s="56"/>
      <c r="AA670" s="56"/>
      <c r="AB670" s="56"/>
      <c r="AC670" s="15"/>
    </row>
    <row r="671" spans="3:29" ht="12.75">
      <c r="C671" s="23"/>
      <c r="I671" s="23"/>
      <c r="L671" s="56"/>
      <c r="M671" s="56"/>
      <c r="N671" s="56"/>
      <c r="O671" s="56"/>
      <c r="P671" s="56"/>
      <c r="Q671" s="56"/>
      <c r="R671" s="56"/>
      <c r="S671" s="56"/>
      <c r="T671" s="56"/>
      <c r="U671" s="56"/>
      <c r="V671" s="56"/>
      <c r="W671" s="56"/>
      <c r="X671" s="56"/>
      <c r="Y671" s="56"/>
      <c r="Z671" s="56"/>
      <c r="AA671" s="56"/>
      <c r="AB671" s="56"/>
      <c r="AC671" s="15"/>
    </row>
    <row r="672" spans="3:29" ht="12.75">
      <c r="C672" s="23"/>
      <c r="I672" s="23"/>
      <c r="L672" s="56"/>
      <c r="M672" s="56"/>
      <c r="N672" s="56"/>
      <c r="O672" s="56"/>
      <c r="P672" s="56"/>
      <c r="Q672" s="56"/>
      <c r="R672" s="56"/>
      <c r="S672" s="56"/>
      <c r="T672" s="56"/>
      <c r="U672" s="56"/>
      <c r="V672" s="56"/>
      <c r="W672" s="56"/>
      <c r="X672" s="56"/>
      <c r="Y672" s="56"/>
      <c r="Z672" s="56"/>
      <c r="AA672" s="56"/>
      <c r="AB672" s="56"/>
      <c r="AC672" s="15"/>
    </row>
    <row r="673" spans="3:29" ht="12.75">
      <c r="C673" s="23"/>
      <c r="I673" s="23"/>
      <c r="L673" s="56"/>
      <c r="M673" s="56"/>
      <c r="N673" s="56"/>
      <c r="O673" s="56"/>
      <c r="P673" s="56"/>
      <c r="Q673" s="56"/>
      <c r="R673" s="56"/>
      <c r="S673" s="56"/>
      <c r="T673" s="56"/>
      <c r="U673" s="56"/>
      <c r="V673" s="56"/>
      <c r="W673" s="56"/>
      <c r="X673" s="56"/>
      <c r="Y673" s="56"/>
      <c r="Z673" s="56"/>
      <c r="AA673" s="56"/>
      <c r="AB673" s="56"/>
      <c r="AC673" s="15"/>
    </row>
    <row r="674" spans="3:29" ht="12.75">
      <c r="C674" s="23"/>
      <c r="I674" s="23"/>
      <c r="L674" s="56"/>
      <c r="M674" s="56"/>
      <c r="N674" s="56"/>
      <c r="O674" s="56"/>
      <c r="P674" s="56"/>
      <c r="Q674" s="56"/>
      <c r="R674" s="56"/>
      <c r="S674" s="56"/>
      <c r="T674" s="56"/>
      <c r="U674" s="56"/>
      <c r="V674" s="56"/>
      <c r="W674" s="56"/>
      <c r="X674" s="56"/>
      <c r="Y674" s="56"/>
      <c r="Z674" s="56"/>
      <c r="AA674" s="56"/>
      <c r="AB674" s="56"/>
      <c r="AC674" s="15"/>
    </row>
    <row r="675" spans="3:29" ht="12.75">
      <c r="C675" s="23"/>
      <c r="I675" s="23"/>
      <c r="L675" s="56"/>
      <c r="M675" s="56"/>
      <c r="N675" s="56"/>
      <c r="O675" s="56"/>
      <c r="P675" s="56"/>
      <c r="Q675" s="56"/>
      <c r="R675" s="56"/>
      <c r="S675" s="56"/>
      <c r="T675" s="56"/>
      <c r="U675" s="56"/>
      <c r="V675" s="56"/>
      <c r="W675" s="56"/>
      <c r="X675" s="56"/>
      <c r="Y675" s="56"/>
      <c r="Z675" s="56"/>
      <c r="AA675" s="56"/>
      <c r="AB675" s="56"/>
      <c r="AC675" s="15"/>
    </row>
    <row r="676" spans="3:29" ht="12.75">
      <c r="C676" s="23"/>
      <c r="I676" s="23"/>
      <c r="L676" s="56"/>
      <c r="M676" s="56"/>
      <c r="N676" s="56"/>
      <c r="O676" s="56"/>
      <c r="P676" s="56"/>
      <c r="Q676" s="56"/>
      <c r="R676" s="56"/>
      <c r="S676" s="56"/>
      <c r="T676" s="56"/>
      <c r="U676" s="56"/>
      <c r="V676" s="56"/>
      <c r="W676" s="56"/>
      <c r="X676" s="56"/>
      <c r="Y676" s="56"/>
      <c r="Z676" s="56"/>
      <c r="AA676" s="56"/>
      <c r="AB676" s="56"/>
      <c r="AC676" s="15"/>
    </row>
    <row r="677" spans="3:29" ht="12.75">
      <c r="C677" s="23"/>
      <c r="I677" s="23"/>
      <c r="L677" s="56"/>
      <c r="M677" s="56"/>
      <c r="N677" s="56"/>
      <c r="O677" s="56"/>
      <c r="P677" s="56"/>
      <c r="Q677" s="56"/>
      <c r="R677" s="56"/>
      <c r="S677" s="56"/>
      <c r="T677" s="56"/>
      <c r="U677" s="56"/>
      <c r="V677" s="56"/>
      <c r="W677" s="56"/>
      <c r="X677" s="56"/>
      <c r="Y677" s="56"/>
      <c r="Z677" s="56"/>
      <c r="AA677" s="56"/>
      <c r="AB677" s="56"/>
      <c r="AC677" s="15"/>
    </row>
    <row r="678" spans="3:29" ht="12.75">
      <c r="C678" s="23"/>
      <c r="I678" s="23"/>
      <c r="L678" s="56"/>
      <c r="M678" s="56"/>
      <c r="N678" s="56"/>
      <c r="O678" s="56"/>
      <c r="P678" s="56"/>
      <c r="Q678" s="56"/>
      <c r="R678" s="56"/>
      <c r="S678" s="56"/>
      <c r="T678" s="56"/>
      <c r="U678" s="56"/>
      <c r="V678" s="56"/>
      <c r="W678" s="56"/>
      <c r="X678" s="56"/>
      <c r="Y678" s="56"/>
      <c r="Z678" s="56"/>
      <c r="AA678" s="56"/>
      <c r="AB678" s="56"/>
      <c r="AC678" s="15"/>
    </row>
    <row r="679" spans="3:29" ht="12.75">
      <c r="C679" s="23"/>
      <c r="I679" s="23"/>
      <c r="L679" s="56"/>
      <c r="M679" s="56"/>
      <c r="N679" s="56"/>
      <c r="O679" s="56"/>
      <c r="P679" s="56"/>
      <c r="Q679" s="56"/>
      <c r="R679" s="56"/>
      <c r="S679" s="56"/>
      <c r="T679" s="56"/>
      <c r="U679" s="56"/>
      <c r="V679" s="56"/>
      <c r="W679" s="56"/>
      <c r="X679" s="56"/>
      <c r="Y679" s="56"/>
      <c r="Z679" s="56"/>
      <c r="AA679" s="56"/>
      <c r="AB679" s="56"/>
      <c r="AC679" s="15"/>
    </row>
    <row r="680" spans="3:29" ht="12.75">
      <c r="C680" s="23"/>
      <c r="I680" s="23"/>
      <c r="L680" s="56"/>
      <c r="M680" s="56"/>
      <c r="N680" s="56"/>
      <c r="O680" s="56"/>
      <c r="P680" s="56"/>
      <c r="Q680" s="56"/>
      <c r="R680" s="56"/>
      <c r="S680" s="56"/>
      <c r="T680" s="56"/>
      <c r="U680" s="56"/>
      <c r="V680" s="56"/>
      <c r="W680" s="56"/>
      <c r="X680" s="56"/>
      <c r="Y680" s="56"/>
      <c r="Z680" s="56"/>
      <c r="AA680" s="56"/>
      <c r="AB680" s="56"/>
      <c r="AC680" s="15"/>
    </row>
    <row r="681" spans="3:29" ht="12.75">
      <c r="C681" s="23"/>
      <c r="I681" s="23"/>
      <c r="L681" s="56"/>
      <c r="M681" s="56"/>
      <c r="N681" s="56"/>
      <c r="O681" s="56"/>
      <c r="P681" s="56"/>
      <c r="Q681" s="56"/>
      <c r="R681" s="56"/>
      <c r="S681" s="56"/>
      <c r="T681" s="56"/>
      <c r="U681" s="56"/>
      <c r="V681" s="56"/>
      <c r="W681" s="56"/>
      <c r="X681" s="56"/>
      <c r="Y681" s="56"/>
      <c r="Z681" s="56"/>
      <c r="AA681" s="56"/>
      <c r="AB681" s="56"/>
      <c r="AC681" s="15"/>
    </row>
    <row r="682" spans="3:29" ht="12.75">
      <c r="C682" s="23"/>
      <c r="I682" s="23"/>
      <c r="L682" s="56"/>
      <c r="M682" s="56"/>
      <c r="N682" s="56"/>
      <c r="O682" s="56"/>
      <c r="P682" s="56"/>
      <c r="Q682" s="56"/>
      <c r="R682" s="56"/>
      <c r="S682" s="56"/>
      <c r="T682" s="56"/>
      <c r="U682" s="56"/>
      <c r="V682" s="56"/>
      <c r="W682" s="56"/>
      <c r="X682" s="56"/>
      <c r="Y682" s="56"/>
      <c r="Z682" s="56"/>
      <c r="AA682" s="56"/>
      <c r="AB682" s="56"/>
      <c r="AC682" s="15"/>
    </row>
    <row r="683" spans="3:29" ht="12.75">
      <c r="C683" s="23"/>
      <c r="I683" s="23"/>
      <c r="L683" s="56"/>
      <c r="M683" s="56"/>
      <c r="N683" s="56"/>
      <c r="O683" s="56"/>
      <c r="P683" s="56"/>
      <c r="Q683" s="56"/>
      <c r="R683" s="56"/>
      <c r="S683" s="56"/>
      <c r="T683" s="56"/>
      <c r="U683" s="56"/>
      <c r="V683" s="56"/>
      <c r="W683" s="56"/>
      <c r="X683" s="56"/>
      <c r="Y683" s="56"/>
      <c r="Z683" s="56"/>
      <c r="AA683" s="56"/>
      <c r="AB683" s="56"/>
      <c r="AC683" s="15"/>
    </row>
    <row r="684" spans="3:29" ht="12.75">
      <c r="C684" s="23"/>
      <c r="I684" s="23"/>
      <c r="L684" s="56"/>
      <c r="M684" s="56"/>
      <c r="N684" s="56"/>
      <c r="O684" s="56"/>
      <c r="P684" s="56"/>
      <c r="Q684" s="56"/>
      <c r="R684" s="56"/>
      <c r="S684" s="56"/>
      <c r="T684" s="56"/>
      <c r="U684" s="56"/>
      <c r="V684" s="56"/>
      <c r="W684" s="56"/>
      <c r="X684" s="56"/>
      <c r="Y684" s="56"/>
      <c r="Z684" s="56"/>
      <c r="AA684" s="56"/>
      <c r="AB684" s="56"/>
      <c r="AC684" s="15"/>
    </row>
    <row r="685" spans="3:29" ht="12.75">
      <c r="C685" s="23"/>
      <c r="I685" s="23"/>
      <c r="L685" s="56"/>
      <c r="M685" s="56"/>
      <c r="N685" s="56"/>
      <c r="O685" s="56"/>
      <c r="P685" s="56"/>
      <c r="Q685" s="56"/>
      <c r="R685" s="56"/>
      <c r="S685" s="56"/>
      <c r="T685" s="56"/>
      <c r="U685" s="56"/>
      <c r="V685" s="56"/>
      <c r="W685" s="56"/>
      <c r="X685" s="56"/>
      <c r="Y685" s="56"/>
      <c r="Z685" s="56"/>
      <c r="AA685" s="56"/>
      <c r="AB685" s="56"/>
      <c r="AC685" s="15"/>
    </row>
    <row r="686" spans="3:29" ht="12.75">
      <c r="C686" s="23"/>
      <c r="I686" s="23"/>
      <c r="L686" s="56"/>
      <c r="M686" s="56"/>
      <c r="N686" s="56"/>
      <c r="O686" s="56"/>
      <c r="P686" s="56"/>
      <c r="Q686" s="56"/>
      <c r="R686" s="56"/>
      <c r="S686" s="56"/>
      <c r="T686" s="56"/>
      <c r="U686" s="56"/>
      <c r="V686" s="56"/>
      <c r="W686" s="56"/>
      <c r="X686" s="56"/>
      <c r="Y686" s="56"/>
      <c r="Z686" s="56"/>
      <c r="AA686" s="56"/>
      <c r="AB686" s="56"/>
      <c r="AC686" s="15"/>
    </row>
    <row r="687" spans="3:29" ht="12.75">
      <c r="C687" s="23"/>
      <c r="I687" s="23"/>
      <c r="L687" s="56"/>
      <c r="M687" s="56"/>
      <c r="N687" s="56"/>
      <c r="O687" s="56"/>
      <c r="P687" s="56"/>
      <c r="Q687" s="56"/>
      <c r="R687" s="56"/>
      <c r="S687" s="56"/>
      <c r="T687" s="56"/>
      <c r="U687" s="56"/>
      <c r="V687" s="56"/>
      <c r="W687" s="56"/>
      <c r="X687" s="56"/>
      <c r="Y687" s="56"/>
      <c r="Z687" s="56"/>
      <c r="AA687" s="56"/>
      <c r="AB687" s="56"/>
      <c r="AC687" s="15"/>
    </row>
    <row r="688" spans="3:29" ht="12.75">
      <c r="C688" s="23"/>
      <c r="I688" s="23"/>
      <c r="L688" s="56"/>
      <c r="M688" s="56"/>
      <c r="N688" s="56"/>
      <c r="O688" s="56"/>
      <c r="P688" s="56"/>
      <c r="Q688" s="56"/>
      <c r="R688" s="56"/>
      <c r="S688" s="56"/>
      <c r="T688" s="56"/>
      <c r="U688" s="56"/>
      <c r="V688" s="56"/>
      <c r="W688" s="56"/>
      <c r="X688" s="56"/>
      <c r="Y688" s="56"/>
      <c r="Z688" s="56"/>
      <c r="AA688" s="56"/>
      <c r="AB688" s="56"/>
      <c r="AC688" s="15"/>
    </row>
    <row r="689" spans="3:29" ht="12.75">
      <c r="C689" s="23"/>
      <c r="I689" s="23"/>
      <c r="L689" s="56"/>
      <c r="M689" s="56"/>
      <c r="N689" s="56"/>
      <c r="O689" s="56"/>
      <c r="P689" s="56"/>
      <c r="Q689" s="56"/>
      <c r="R689" s="56"/>
      <c r="S689" s="56"/>
      <c r="T689" s="56"/>
      <c r="U689" s="56"/>
      <c r="V689" s="56"/>
      <c r="W689" s="56"/>
      <c r="X689" s="56"/>
      <c r="Y689" s="56"/>
      <c r="Z689" s="56"/>
      <c r="AA689" s="56"/>
      <c r="AB689" s="56"/>
      <c r="AC689" s="15"/>
    </row>
    <row r="690" spans="3:29" ht="12.75">
      <c r="C690" s="23"/>
      <c r="I690" s="23"/>
      <c r="L690" s="56"/>
      <c r="M690" s="56"/>
      <c r="N690" s="56"/>
      <c r="O690" s="56"/>
      <c r="P690" s="56"/>
      <c r="Q690" s="56"/>
      <c r="R690" s="56"/>
      <c r="S690" s="56"/>
      <c r="T690" s="56"/>
      <c r="U690" s="56"/>
      <c r="V690" s="56"/>
      <c r="W690" s="56"/>
      <c r="X690" s="56"/>
      <c r="Y690" s="56"/>
      <c r="Z690" s="56"/>
      <c r="AA690" s="56"/>
      <c r="AB690" s="56"/>
      <c r="AC690" s="15"/>
    </row>
    <row r="691" spans="3:29" ht="12.75">
      <c r="C691" s="23"/>
      <c r="I691" s="23"/>
      <c r="L691" s="56"/>
      <c r="M691" s="56"/>
      <c r="N691" s="56"/>
      <c r="O691" s="56"/>
      <c r="P691" s="56"/>
      <c r="Q691" s="56"/>
      <c r="R691" s="56"/>
      <c r="S691" s="56"/>
      <c r="T691" s="56"/>
      <c r="U691" s="56"/>
      <c r="V691" s="56"/>
      <c r="W691" s="56"/>
      <c r="X691" s="56"/>
      <c r="Y691" s="56"/>
      <c r="Z691" s="56"/>
      <c r="AA691" s="56"/>
      <c r="AB691" s="56"/>
      <c r="AC691" s="15"/>
    </row>
    <row r="692" spans="3:29" ht="12.75">
      <c r="C692" s="23"/>
      <c r="I692" s="23"/>
      <c r="L692" s="56"/>
      <c r="M692" s="56"/>
      <c r="N692" s="56"/>
      <c r="O692" s="56"/>
      <c r="P692" s="56"/>
      <c r="Q692" s="56"/>
      <c r="R692" s="56"/>
      <c r="S692" s="56"/>
      <c r="T692" s="56"/>
      <c r="U692" s="56"/>
      <c r="V692" s="56"/>
      <c r="W692" s="56"/>
      <c r="X692" s="56"/>
      <c r="Y692" s="56"/>
      <c r="Z692" s="56"/>
      <c r="AA692" s="56"/>
      <c r="AB692" s="56"/>
      <c r="AC692" s="15"/>
    </row>
    <row r="693" spans="3:29" ht="12.75">
      <c r="C693" s="23"/>
      <c r="I693" s="23"/>
      <c r="L693" s="56"/>
      <c r="M693" s="56"/>
      <c r="N693" s="56"/>
      <c r="O693" s="56"/>
      <c r="P693" s="56"/>
      <c r="Q693" s="56"/>
      <c r="R693" s="56"/>
      <c r="S693" s="56"/>
      <c r="T693" s="56"/>
      <c r="U693" s="56"/>
      <c r="V693" s="56"/>
      <c r="W693" s="56"/>
      <c r="X693" s="56"/>
      <c r="Y693" s="56"/>
      <c r="Z693" s="56"/>
      <c r="AA693" s="56"/>
      <c r="AB693" s="56"/>
      <c r="AC693" s="15"/>
    </row>
    <row r="694" spans="3:29" ht="12.75">
      <c r="C694" s="23"/>
      <c r="I694" s="23"/>
      <c r="L694" s="56"/>
      <c r="M694" s="56"/>
      <c r="N694" s="56"/>
      <c r="O694" s="56"/>
      <c r="P694" s="56"/>
      <c r="Q694" s="56"/>
      <c r="R694" s="56"/>
      <c r="S694" s="56"/>
      <c r="T694" s="56"/>
      <c r="U694" s="56"/>
      <c r="V694" s="56"/>
      <c r="W694" s="56"/>
      <c r="X694" s="56"/>
      <c r="Y694" s="56"/>
      <c r="Z694" s="56"/>
      <c r="AA694" s="56"/>
      <c r="AB694" s="56"/>
      <c r="AC694" s="15"/>
    </row>
    <row r="695" spans="3:29" ht="12.75">
      <c r="C695" s="23"/>
      <c r="I695" s="23"/>
      <c r="L695" s="56"/>
      <c r="M695" s="56"/>
      <c r="N695" s="56"/>
      <c r="O695" s="56"/>
      <c r="P695" s="56"/>
      <c r="Q695" s="56"/>
      <c r="R695" s="56"/>
      <c r="S695" s="56"/>
      <c r="T695" s="56"/>
      <c r="U695" s="56"/>
      <c r="V695" s="56"/>
      <c r="W695" s="56"/>
      <c r="X695" s="56"/>
      <c r="Y695" s="56"/>
      <c r="Z695" s="56"/>
      <c r="AA695" s="56"/>
      <c r="AB695" s="56"/>
      <c r="AC695" s="15"/>
    </row>
    <row r="696" spans="3:29" ht="12.75">
      <c r="C696" s="23"/>
      <c r="I696" s="23"/>
      <c r="L696" s="56"/>
      <c r="M696" s="56"/>
      <c r="N696" s="56"/>
      <c r="O696" s="56"/>
      <c r="P696" s="56"/>
      <c r="Q696" s="56"/>
      <c r="R696" s="56"/>
      <c r="S696" s="56"/>
      <c r="T696" s="56"/>
      <c r="U696" s="56"/>
      <c r="V696" s="56"/>
      <c r="W696" s="56"/>
      <c r="X696" s="56"/>
      <c r="Y696" s="56"/>
      <c r="Z696" s="56"/>
      <c r="AA696" s="56"/>
      <c r="AB696" s="56"/>
      <c r="AC696" s="15"/>
    </row>
    <row r="697" spans="3:29" ht="12.75">
      <c r="C697" s="23"/>
      <c r="I697" s="23"/>
      <c r="L697" s="56"/>
      <c r="M697" s="56"/>
      <c r="N697" s="56"/>
      <c r="O697" s="56"/>
      <c r="P697" s="56"/>
      <c r="Q697" s="56"/>
      <c r="R697" s="56"/>
      <c r="S697" s="56"/>
      <c r="T697" s="56"/>
      <c r="U697" s="56"/>
      <c r="V697" s="56"/>
      <c r="W697" s="56"/>
      <c r="X697" s="56"/>
      <c r="Y697" s="56"/>
      <c r="Z697" s="56"/>
      <c r="AA697" s="56"/>
      <c r="AB697" s="56"/>
      <c r="AC697" s="15"/>
    </row>
    <row r="698" spans="3:29" ht="12.75">
      <c r="C698" s="23"/>
      <c r="I698" s="23"/>
      <c r="L698" s="56"/>
      <c r="M698" s="56"/>
      <c r="N698" s="56"/>
      <c r="O698" s="56"/>
      <c r="P698" s="56"/>
      <c r="Q698" s="56"/>
      <c r="R698" s="56"/>
      <c r="S698" s="56"/>
      <c r="T698" s="56"/>
      <c r="U698" s="56"/>
      <c r="V698" s="56"/>
      <c r="W698" s="56"/>
      <c r="X698" s="56"/>
      <c r="Y698" s="56"/>
      <c r="Z698" s="56"/>
      <c r="AA698" s="56"/>
      <c r="AB698" s="56"/>
      <c r="AC698" s="15"/>
    </row>
    <row r="699" spans="3:29" ht="12.75">
      <c r="C699" s="23"/>
      <c r="I699" s="23"/>
      <c r="L699" s="56"/>
      <c r="M699" s="56"/>
      <c r="N699" s="56"/>
      <c r="O699" s="56"/>
      <c r="P699" s="56"/>
      <c r="Q699" s="56"/>
      <c r="R699" s="56"/>
      <c r="S699" s="56"/>
      <c r="T699" s="56"/>
      <c r="U699" s="56"/>
      <c r="V699" s="56"/>
      <c r="W699" s="56"/>
      <c r="X699" s="56"/>
      <c r="Y699" s="56"/>
      <c r="Z699" s="56"/>
      <c r="AA699" s="56"/>
      <c r="AB699" s="56"/>
      <c r="AC699" s="15"/>
    </row>
    <row r="700" spans="3:29" ht="12.75">
      <c r="C700" s="23"/>
      <c r="I700" s="23"/>
      <c r="L700" s="56"/>
      <c r="M700" s="56"/>
      <c r="N700" s="56"/>
      <c r="O700" s="56"/>
      <c r="P700" s="56"/>
      <c r="Q700" s="56"/>
      <c r="R700" s="56"/>
      <c r="S700" s="56"/>
      <c r="T700" s="56"/>
      <c r="U700" s="56"/>
      <c r="V700" s="56"/>
      <c r="W700" s="56"/>
      <c r="X700" s="56"/>
      <c r="Y700" s="56"/>
      <c r="Z700" s="56"/>
      <c r="AA700" s="56"/>
      <c r="AB700" s="56"/>
      <c r="AC700" s="15"/>
    </row>
    <row r="701" spans="3:29" ht="12.75">
      <c r="C701" s="23"/>
      <c r="I701" s="23"/>
      <c r="L701" s="56"/>
      <c r="M701" s="56"/>
      <c r="N701" s="56"/>
      <c r="O701" s="56"/>
      <c r="P701" s="56"/>
      <c r="Q701" s="56"/>
      <c r="R701" s="56"/>
      <c r="S701" s="56"/>
      <c r="T701" s="56"/>
      <c r="U701" s="56"/>
      <c r="V701" s="56"/>
      <c r="W701" s="56"/>
      <c r="X701" s="56"/>
      <c r="Y701" s="56"/>
      <c r="Z701" s="56"/>
      <c r="AA701" s="56"/>
      <c r="AB701" s="56"/>
      <c r="AC701" s="15"/>
    </row>
    <row r="702" spans="3:29" ht="12.75">
      <c r="C702" s="23"/>
      <c r="I702" s="23"/>
      <c r="L702" s="56"/>
      <c r="M702" s="56"/>
      <c r="N702" s="56"/>
      <c r="O702" s="56"/>
      <c r="P702" s="56"/>
      <c r="Q702" s="56"/>
      <c r="R702" s="56"/>
      <c r="S702" s="56"/>
      <c r="T702" s="56"/>
      <c r="U702" s="56"/>
      <c r="V702" s="56"/>
      <c r="W702" s="56"/>
      <c r="X702" s="56"/>
      <c r="Y702" s="56"/>
      <c r="Z702" s="56"/>
      <c r="AA702" s="56"/>
      <c r="AB702" s="56"/>
      <c r="AC702" s="15"/>
    </row>
    <row r="703" spans="3:29" ht="12.75">
      <c r="C703" s="23"/>
      <c r="I703" s="23"/>
      <c r="L703" s="56"/>
      <c r="M703" s="56"/>
      <c r="N703" s="56"/>
      <c r="O703" s="56"/>
      <c r="P703" s="56"/>
      <c r="Q703" s="56"/>
      <c r="R703" s="56"/>
      <c r="S703" s="56"/>
      <c r="T703" s="56"/>
      <c r="U703" s="56"/>
      <c r="V703" s="56"/>
      <c r="W703" s="56"/>
      <c r="X703" s="56"/>
      <c r="Y703" s="56"/>
      <c r="Z703" s="56"/>
      <c r="AA703" s="56"/>
      <c r="AB703" s="56"/>
      <c r="AC703" s="15"/>
    </row>
    <row r="704" spans="3:29" ht="12.75">
      <c r="C704" s="23"/>
      <c r="I704" s="23"/>
      <c r="L704" s="56"/>
      <c r="M704" s="56"/>
      <c r="N704" s="56"/>
      <c r="O704" s="56"/>
      <c r="P704" s="56"/>
      <c r="Q704" s="56"/>
      <c r="R704" s="56"/>
      <c r="S704" s="56"/>
      <c r="T704" s="56"/>
      <c r="U704" s="56"/>
      <c r="V704" s="56"/>
      <c r="W704" s="56"/>
      <c r="X704" s="56"/>
      <c r="Y704" s="56"/>
      <c r="Z704" s="56"/>
      <c r="AA704" s="56"/>
      <c r="AB704" s="56"/>
      <c r="AC704" s="15"/>
    </row>
    <row r="705" spans="3:29" ht="12.75">
      <c r="C705" s="23"/>
      <c r="I705" s="23"/>
      <c r="L705" s="56"/>
      <c r="M705" s="56"/>
      <c r="N705" s="56"/>
      <c r="O705" s="56"/>
      <c r="P705" s="56"/>
      <c r="Q705" s="56"/>
      <c r="R705" s="56"/>
      <c r="S705" s="56"/>
      <c r="T705" s="56"/>
      <c r="U705" s="56"/>
      <c r="V705" s="56"/>
      <c r="W705" s="56"/>
      <c r="X705" s="56"/>
      <c r="Y705" s="56"/>
      <c r="Z705" s="56"/>
      <c r="AA705" s="56"/>
      <c r="AB705" s="56"/>
      <c r="AC705" s="15"/>
    </row>
    <row r="706" spans="3:29" ht="12.75">
      <c r="C706" s="23"/>
      <c r="I706" s="23"/>
      <c r="L706" s="56"/>
      <c r="M706" s="56"/>
      <c r="N706" s="56"/>
      <c r="O706" s="56"/>
      <c r="P706" s="56"/>
      <c r="Q706" s="56"/>
      <c r="R706" s="56"/>
      <c r="S706" s="56"/>
      <c r="T706" s="56"/>
      <c r="U706" s="56"/>
      <c r="V706" s="56"/>
      <c r="W706" s="56"/>
      <c r="X706" s="56"/>
      <c r="Y706" s="56"/>
      <c r="Z706" s="56"/>
      <c r="AA706" s="56"/>
      <c r="AB706" s="56"/>
      <c r="AC706" s="15"/>
    </row>
    <row r="707" spans="3:29" ht="12.75">
      <c r="C707" s="23"/>
      <c r="I707" s="23"/>
      <c r="L707" s="56"/>
      <c r="M707" s="56"/>
      <c r="N707" s="56"/>
      <c r="O707" s="56"/>
      <c r="P707" s="56"/>
      <c r="Q707" s="56"/>
      <c r="R707" s="56"/>
      <c r="S707" s="56"/>
      <c r="T707" s="56"/>
      <c r="U707" s="56"/>
      <c r="V707" s="56"/>
      <c r="W707" s="56"/>
      <c r="X707" s="56"/>
      <c r="Y707" s="56"/>
      <c r="Z707" s="56"/>
      <c r="AA707" s="56"/>
      <c r="AB707" s="56"/>
      <c r="AC707" s="15"/>
    </row>
    <row r="708" spans="3:29" ht="12.75">
      <c r="C708" s="23"/>
      <c r="I708" s="23"/>
      <c r="L708" s="56"/>
      <c r="M708" s="56"/>
      <c r="N708" s="56"/>
      <c r="O708" s="56"/>
      <c r="P708" s="56"/>
      <c r="Q708" s="56"/>
      <c r="R708" s="56"/>
      <c r="S708" s="56"/>
      <c r="T708" s="56"/>
      <c r="U708" s="56"/>
      <c r="V708" s="56"/>
      <c r="W708" s="56"/>
      <c r="X708" s="56"/>
      <c r="Y708" s="56"/>
      <c r="Z708" s="56"/>
      <c r="AA708" s="56"/>
      <c r="AB708" s="56"/>
      <c r="AC708" s="15"/>
    </row>
    <row r="709" spans="3:29" ht="12.75">
      <c r="C709" s="23"/>
      <c r="I709" s="23"/>
      <c r="L709" s="56"/>
      <c r="M709" s="56"/>
      <c r="N709" s="56"/>
      <c r="O709" s="56"/>
      <c r="P709" s="56"/>
      <c r="Q709" s="56"/>
      <c r="R709" s="56"/>
      <c r="S709" s="56"/>
      <c r="T709" s="56"/>
      <c r="U709" s="56"/>
      <c r="V709" s="56"/>
      <c r="W709" s="56"/>
      <c r="X709" s="56"/>
      <c r="Y709" s="56"/>
      <c r="Z709" s="56"/>
      <c r="AA709" s="56"/>
      <c r="AB709" s="56"/>
      <c r="AC709" s="15"/>
    </row>
    <row r="710" spans="3:29" ht="12.75">
      <c r="C710" s="23"/>
      <c r="I710" s="23"/>
      <c r="L710" s="56"/>
      <c r="M710" s="56"/>
      <c r="N710" s="56"/>
      <c r="O710" s="56"/>
      <c r="P710" s="56"/>
      <c r="Q710" s="56"/>
      <c r="R710" s="56"/>
      <c r="S710" s="56"/>
      <c r="T710" s="56"/>
      <c r="U710" s="56"/>
      <c r="V710" s="56"/>
      <c r="W710" s="56"/>
      <c r="X710" s="56"/>
      <c r="Y710" s="56"/>
      <c r="Z710" s="56"/>
      <c r="AA710" s="56"/>
      <c r="AB710" s="56"/>
      <c r="AC710" s="15"/>
    </row>
    <row r="711" spans="3:29" ht="12.75">
      <c r="C711" s="23"/>
      <c r="I711" s="23"/>
      <c r="L711" s="56"/>
      <c r="M711" s="56"/>
      <c r="N711" s="56"/>
      <c r="O711" s="56"/>
      <c r="P711" s="56"/>
      <c r="Q711" s="56"/>
      <c r="R711" s="56"/>
      <c r="S711" s="56"/>
      <c r="T711" s="56"/>
      <c r="U711" s="56"/>
      <c r="V711" s="56"/>
      <c r="W711" s="56"/>
      <c r="X711" s="56"/>
      <c r="Y711" s="56"/>
      <c r="Z711" s="56"/>
      <c r="AA711" s="56"/>
      <c r="AB711" s="56"/>
      <c r="AC711" s="15"/>
    </row>
    <row r="712" spans="3:29" ht="12.75">
      <c r="C712" s="23"/>
      <c r="I712" s="23"/>
      <c r="L712" s="56"/>
      <c r="M712" s="56"/>
      <c r="N712" s="56"/>
      <c r="O712" s="56"/>
      <c r="P712" s="56"/>
      <c r="Q712" s="56"/>
      <c r="R712" s="56"/>
      <c r="S712" s="56"/>
      <c r="T712" s="56"/>
      <c r="U712" s="56"/>
      <c r="V712" s="56"/>
      <c r="W712" s="56"/>
      <c r="X712" s="56"/>
      <c r="Y712" s="56"/>
      <c r="Z712" s="56"/>
      <c r="AA712" s="56"/>
      <c r="AB712" s="56"/>
      <c r="AC712" s="15"/>
    </row>
    <row r="713" spans="3:29" ht="12.75">
      <c r="C713" s="23"/>
      <c r="I713" s="23"/>
      <c r="L713" s="56"/>
      <c r="M713" s="56"/>
      <c r="N713" s="56"/>
      <c r="O713" s="56"/>
      <c r="P713" s="56"/>
      <c r="Q713" s="56"/>
      <c r="R713" s="56"/>
      <c r="S713" s="56"/>
      <c r="T713" s="56"/>
      <c r="U713" s="56"/>
      <c r="V713" s="56"/>
      <c r="W713" s="56"/>
      <c r="X713" s="56"/>
      <c r="Y713" s="56"/>
      <c r="Z713" s="56"/>
      <c r="AA713" s="56"/>
      <c r="AB713" s="56"/>
      <c r="AC713" s="15"/>
    </row>
    <row r="714" spans="3:29" ht="12.75">
      <c r="C714" s="23"/>
      <c r="I714" s="23"/>
      <c r="L714" s="56"/>
      <c r="M714" s="56"/>
      <c r="N714" s="56"/>
      <c r="O714" s="56"/>
      <c r="P714" s="56"/>
      <c r="Q714" s="56"/>
      <c r="R714" s="56"/>
      <c r="S714" s="56"/>
      <c r="T714" s="56"/>
      <c r="U714" s="56"/>
      <c r="V714" s="56"/>
      <c r="W714" s="56"/>
      <c r="X714" s="56"/>
      <c r="Y714" s="56"/>
      <c r="Z714" s="56"/>
      <c r="AA714" s="56"/>
      <c r="AB714" s="56"/>
      <c r="AC714" s="15"/>
    </row>
    <row r="715" spans="3:29" ht="12.75">
      <c r="C715" s="23"/>
      <c r="I715" s="23"/>
      <c r="L715" s="56"/>
      <c r="M715" s="56"/>
      <c r="N715" s="56"/>
      <c r="O715" s="56"/>
      <c r="P715" s="56"/>
      <c r="Q715" s="56"/>
      <c r="R715" s="56"/>
      <c r="S715" s="56"/>
      <c r="T715" s="56"/>
      <c r="U715" s="56"/>
      <c r="V715" s="56"/>
      <c r="W715" s="56"/>
      <c r="X715" s="56"/>
      <c r="Y715" s="56"/>
      <c r="Z715" s="56"/>
      <c r="AA715" s="56"/>
      <c r="AB715" s="56"/>
      <c r="AC715" s="15"/>
    </row>
    <row r="716" spans="3:29" ht="12.75">
      <c r="C716" s="23"/>
      <c r="I716" s="23"/>
      <c r="L716" s="56"/>
      <c r="M716" s="56"/>
      <c r="N716" s="56"/>
      <c r="O716" s="56"/>
      <c r="P716" s="56"/>
      <c r="Q716" s="56"/>
      <c r="R716" s="56"/>
      <c r="S716" s="56"/>
      <c r="T716" s="56"/>
      <c r="U716" s="56"/>
      <c r="V716" s="56"/>
      <c r="W716" s="56"/>
      <c r="X716" s="56"/>
      <c r="Y716" s="56"/>
      <c r="Z716" s="56"/>
      <c r="AA716" s="56"/>
      <c r="AB716" s="56"/>
      <c r="AC716" s="15"/>
    </row>
    <row r="717" spans="3:29" ht="12.75">
      <c r="C717" s="23"/>
      <c r="I717" s="23"/>
      <c r="L717" s="56"/>
      <c r="M717" s="56"/>
      <c r="N717" s="56"/>
      <c r="O717" s="56"/>
      <c r="P717" s="56"/>
      <c r="Q717" s="56"/>
      <c r="R717" s="56"/>
      <c r="S717" s="56"/>
      <c r="T717" s="56"/>
      <c r="U717" s="56"/>
      <c r="V717" s="56"/>
      <c r="W717" s="56"/>
      <c r="X717" s="56"/>
      <c r="Y717" s="56"/>
      <c r="Z717" s="56"/>
      <c r="AA717" s="56"/>
      <c r="AB717" s="56"/>
      <c r="AC717" s="15"/>
    </row>
    <row r="718" spans="3:29" ht="12.75">
      <c r="C718" s="23"/>
      <c r="I718" s="23"/>
      <c r="L718" s="56"/>
      <c r="M718" s="56"/>
      <c r="N718" s="56"/>
      <c r="O718" s="56"/>
      <c r="P718" s="56"/>
      <c r="Q718" s="56"/>
      <c r="R718" s="56"/>
      <c r="S718" s="56"/>
      <c r="T718" s="56"/>
      <c r="U718" s="56"/>
      <c r="V718" s="56"/>
      <c r="W718" s="56"/>
      <c r="X718" s="56"/>
      <c r="Y718" s="56"/>
      <c r="Z718" s="56"/>
      <c r="AA718" s="56"/>
      <c r="AB718" s="56"/>
      <c r="AC718" s="15"/>
    </row>
    <row r="719" spans="3:29" ht="12.75">
      <c r="C719" s="23"/>
      <c r="I719" s="23"/>
      <c r="L719" s="56"/>
      <c r="M719" s="56"/>
      <c r="N719" s="56"/>
      <c r="O719" s="56"/>
      <c r="P719" s="56"/>
      <c r="Q719" s="56"/>
      <c r="R719" s="56"/>
      <c r="S719" s="56"/>
      <c r="T719" s="56"/>
      <c r="U719" s="56"/>
      <c r="V719" s="56"/>
      <c r="W719" s="56"/>
      <c r="X719" s="56"/>
      <c r="Y719" s="56"/>
      <c r="Z719" s="56"/>
      <c r="AA719" s="56"/>
      <c r="AB719" s="56"/>
      <c r="AC719" s="15"/>
    </row>
    <row r="720" spans="3:29" ht="12.75">
      <c r="C720" s="23"/>
      <c r="I720" s="23"/>
      <c r="L720" s="56"/>
      <c r="M720" s="56"/>
      <c r="N720" s="56"/>
      <c r="O720" s="56"/>
      <c r="P720" s="56"/>
      <c r="Q720" s="56"/>
      <c r="R720" s="56"/>
      <c r="S720" s="56"/>
      <c r="T720" s="56"/>
      <c r="U720" s="56"/>
      <c r="V720" s="56"/>
      <c r="W720" s="56"/>
      <c r="X720" s="56"/>
      <c r="Y720" s="56"/>
      <c r="Z720" s="56"/>
      <c r="AA720" s="56"/>
      <c r="AB720" s="56"/>
      <c r="AC720" s="15"/>
    </row>
    <row r="721" spans="3:29" ht="12.75">
      <c r="C721" s="23"/>
      <c r="I721" s="23"/>
      <c r="L721" s="56"/>
      <c r="M721" s="56"/>
      <c r="N721" s="56"/>
      <c r="O721" s="56"/>
      <c r="P721" s="56"/>
      <c r="Q721" s="56"/>
      <c r="R721" s="56"/>
      <c r="S721" s="56"/>
      <c r="T721" s="56"/>
      <c r="U721" s="56"/>
      <c r="V721" s="56"/>
      <c r="W721" s="56"/>
      <c r="X721" s="56"/>
      <c r="Y721" s="56"/>
      <c r="Z721" s="56"/>
      <c r="AA721" s="56"/>
      <c r="AB721" s="56"/>
      <c r="AC721" s="15"/>
    </row>
    <row r="722" spans="3:29" ht="12.75">
      <c r="C722" s="23"/>
      <c r="I722" s="23"/>
      <c r="L722" s="56"/>
      <c r="M722" s="56"/>
      <c r="N722" s="56"/>
      <c r="O722" s="56"/>
      <c r="P722" s="56"/>
      <c r="Q722" s="56"/>
      <c r="R722" s="56"/>
      <c r="S722" s="56"/>
      <c r="T722" s="56"/>
      <c r="U722" s="56"/>
      <c r="V722" s="56"/>
      <c r="W722" s="56"/>
      <c r="X722" s="56"/>
      <c r="Y722" s="56"/>
      <c r="Z722" s="56"/>
      <c r="AA722" s="56"/>
      <c r="AB722" s="56"/>
      <c r="AC722" s="15"/>
    </row>
    <row r="723" spans="3:29" ht="12.75">
      <c r="C723" s="23"/>
      <c r="I723" s="23"/>
      <c r="L723" s="56"/>
      <c r="M723" s="56"/>
      <c r="N723" s="56"/>
      <c r="O723" s="56"/>
      <c r="P723" s="56"/>
      <c r="Q723" s="56"/>
      <c r="R723" s="56"/>
      <c r="S723" s="56"/>
      <c r="T723" s="56"/>
      <c r="U723" s="56"/>
      <c r="V723" s="56"/>
      <c r="W723" s="56"/>
      <c r="X723" s="56"/>
      <c r="Y723" s="56"/>
      <c r="Z723" s="56"/>
      <c r="AA723" s="56"/>
      <c r="AB723" s="56"/>
      <c r="AC723" s="15"/>
    </row>
    <row r="724" spans="3:29" ht="12.75">
      <c r="C724" s="23"/>
      <c r="I724" s="23"/>
      <c r="L724" s="56"/>
      <c r="M724" s="56"/>
      <c r="N724" s="56"/>
      <c r="O724" s="56"/>
      <c r="P724" s="56"/>
      <c r="Q724" s="56"/>
      <c r="R724" s="56"/>
      <c r="S724" s="56"/>
      <c r="T724" s="56"/>
      <c r="U724" s="56"/>
      <c r="V724" s="56"/>
      <c r="W724" s="56"/>
      <c r="X724" s="56"/>
      <c r="Y724" s="56"/>
      <c r="Z724" s="56"/>
      <c r="AA724" s="56"/>
      <c r="AB724" s="56"/>
      <c r="AC724" s="15"/>
    </row>
    <row r="725" spans="3:29" ht="12.75">
      <c r="C725" s="23"/>
      <c r="I725" s="23"/>
      <c r="L725" s="56"/>
      <c r="M725" s="56"/>
      <c r="N725" s="56"/>
      <c r="O725" s="56"/>
      <c r="P725" s="56"/>
      <c r="Q725" s="56"/>
      <c r="R725" s="56"/>
      <c r="S725" s="56"/>
      <c r="T725" s="56"/>
      <c r="U725" s="56"/>
      <c r="V725" s="56"/>
      <c r="W725" s="56"/>
      <c r="X725" s="56"/>
      <c r="Y725" s="56"/>
      <c r="Z725" s="56"/>
      <c r="AA725" s="56"/>
      <c r="AB725" s="56"/>
      <c r="AC725" s="15"/>
    </row>
    <row r="726" spans="3:29" ht="12.75">
      <c r="C726" s="23"/>
      <c r="I726" s="23"/>
      <c r="L726" s="56"/>
      <c r="M726" s="56"/>
      <c r="N726" s="56"/>
      <c r="O726" s="56"/>
      <c r="P726" s="56"/>
      <c r="Q726" s="56"/>
      <c r="R726" s="56"/>
      <c r="S726" s="56"/>
      <c r="T726" s="56"/>
      <c r="U726" s="56"/>
      <c r="V726" s="56"/>
      <c r="W726" s="56"/>
      <c r="X726" s="56"/>
      <c r="Y726" s="56"/>
      <c r="Z726" s="56"/>
      <c r="AA726" s="56"/>
      <c r="AB726" s="56"/>
      <c r="AC726" s="15"/>
    </row>
    <row r="727" spans="3:29" ht="12.75">
      <c r="C727" s="23"/>
      <c r="I727" s="23"/>
      <c r="L727" s="56"/>
      <c r="M727" s="56"/>
      <c r="N727" s="56"/>
      <c r="O727" s="56"/>
      <c r="P727" s="56"/>
      <c r="Q727" s="56"/>
      <c r="R727" s="56"/>
      <c r="S727" s="56"/>
      <c r="T727" s="56"/>
      <c r="U727" s="56"/>
      <c r="V727" s="56"/>
      <c r="W727" s="56"/>
      <c r="X727" s="56"/>
      <c r="Y727" s="56"/>
      <c r="Z727" s="56"/>
      <c r="AA727" s="56"/>
      <c r="AB727" s="56"/>
      <c r="AC727" s="15"/>
    </row>
    <row r="728" spans="3:29" ht="12.75">
      <c r="C728" s="23"/>
      <c r="I728" s="23"/>
      <c r="L728" s="56"/>
      <c r="M728" s="56"/>
      <c r="N728" s="56"/>
      <c r="O728" s="56"/>
      <c r="P728" s="56"/>
      <c r="Q728" s="56"/>
      <c r="R728" s="56"/>
      <c r="S728" s="56"/>
      <c r="T728" s="56"/>
      <c r="U728" s="56"/>
      <c r="V728" s="56"/>
      <c r="W728" s="56"/>
      <c r="X728" s="56"/>
      <c r="Y728" s="56"/>
      <c r="Z728" s="56"/>
      <c r="AA728" s="56"/>
      <c r="AB728" s="56"/>
      <c r="AC728" s="15"/>
    </row>
    <row r="729" spans="3:29" ht="12.75">
      <c r="C729" s="23"/>
      <c r="I729" s="23"/>
      <c r="L729" s="56"/>
      <c r="M729" s="56"/>
      <c r="N729" s="56"/>
      <c r="O729" s="56"/>
      <c r="P729" s="56"/>
      <c r="Q729" s="56"/>
      <c r="R729" s="56"/>
      <c r="S729" s="56"/>
      <c r="T729" s="56"/>
      <c r="U729" s="56"/>
      <c r="V729" s="56"/>
      <c r="W729" s="56"/>
      <c r="X729" s="56"/>
      <c r="Y729" s="56"/>
      <c r="Z729" s="56"/>
      <c r="AA729" s="56"/>
      <c r="AB729" s="56"/>
      <c r="AC729" s="15"/>
    </row>
    <row r="730" spans="3:29" ht="12.75">
      <c r="C730" s="23"/>
      <c r="I730" s="23"/>
      <c r="L730" s="56"/>
      <c r="M730" s="56"/>
      <c r="N730" s="56"/>
      <c r="O730" s="56"/>
      <c r="P730" s="56"/>
      <c r="Q730" s="56"/>
      <c r="R730" s="56"/>
      <c r="S730" s="56"/>
      <c r="T730" s="56"/>
      <c r="U730" s="56"/>
      <c r="V730" s="56"/>
      <c r="W730" s="56"/>
      <c r="X730" s="56"/>
      <c r="Y730" s="56"/>
      <c r="Z730" s="56"/>
      <c r="AA730" s="56"/>
      <c r="AB730" s="56"/>
      <c r="AC730" s="15"/>
    </row>
    <row r="731" spans="3:29" ht="12.75">
      <c r="C731" s="23"/>
      <c r="I731" s="23"/>
      <c r="L731" s="56"/>
      <c r="M731" s="56"/>
      <c r="N731" s="56"/>
      <c r="O731" s="56"/>
      <c r="P731" s="56"/>
      <c r="Q731" s="56"/>
      <c r="R731" s="56"/>
      <c r="S731" s="56"/>
      <c r="T731" s="56"/>
      <c r="U731" s="56"/>
      <c r="V731" s="56"/>
      <c r="W731" s="56"/>
      <c r="X731" s="56"/>
      <c r="Y731" s="56"/>
      <c r="Z731" s="56"/>
      <c r="AA731" s="56"/>
      <c r="AB731" s="56"/>
      <c r="AC731" s="15"/>
    </row>
    <row r="732" spans="3:29" ht="12.75">
      <c r="C732" s="23"/>
      <c r="I732" s="23"/>
      <c r="L732" s="56"/>
      <c r="M732" s="56"/>
      <c r="N732" s="56"/>
      <c r="O732" s="56"/>
      <c r="P732" s="56"/>
      <c r="Q732" s="56"/>
      <c r="R732" s="56"/>
      <c r="S732" s="56"/>
      <c r="T732" s="56"/>
      <c r="U732" s="56"/>
      <c r="V732" s="56"/>
      <c r="W732" s="56"/>
      <c r="X732" s="56"/>
      <c r="Y732" s="56"/>
      <c r="Z732" s="56"/>
      <c r="AA732" s="56"/>
      <c r="AB732" s="56"/>
      <c r="AC732" s="15"/>
    </row>
    <row r="733" spans="3:29" ht="12.75">
      <c r="C733" s="23"/>
      <c r="I733" s="23"/>
      <c r="L733" s="56"/>
      <c r="M733" s="56"/>
      <c r="N733" s="56"/>
      <c r="O733" s="56"/>
      <c r="P733" s="56"/>
      <c r="Q733" s="56"/>
      <c r="R733" s="56"/>
      <c r="S733" s="56"/>
      <c r="T733" s="56"/>
      <c r="U733" s="56"/>
      <c r="V733" s="56"/>
      <c r="W733" s="56"/>
      <c r="X733" s="56"/>
      <c r="Y733" s="56"/>
      <c r="Z733" s="56"/>
      <c r="AA733" s="56"/>
      <c r="AB733" s="56"/>
      <c r="AC733" s="15"/>
    </row>
    <row r="734" spans="3:29" ht="12.75">
      <c r="C734" s="23"/>
      <c r="I734" s="23"/>
      <c r="L734" s="56"/>
      <c r="M734" s="56"/>
      <c r="N734" s="56"/>
      <c r="O734" s="56"/>
      <c r="P734" s="56"/>
      <c r="Q734" s="56"/>
      <c r="R734" s="56"/>
      <c r="S734" s="56"/>
      <c r="T734" s="56"/>
      <c r="U734" s="56"/>
      <c r="V734" s="56"/>
      <c r="W734" s="56"/>
      <c r="X734" s="56"/>
      <c r="Y734" s="56"/>
      <c r="Z734" s="56"/>
      <c r="AA734" s="56"/>
      <c r="AB734" s="56"/>
      <c r="AC734" s="15"/>
    </row>
    <row r="735" spans="3:29" ht="12.75">
      <c r="C735" s="23"/>
      <c r="I735" s="23"/>
      <c r="L735" s="56"/>
      <c r="M735" s="56"/>
      <c r="N735" s="56"/>
      <c r="O735" s="56"/>
      <c r="P735" s="56"/>
      <c r="Q735" s="56"/>
      <c r="R735" s="56"/>
      <c r="S735" s="56"/>
      <c r="T735" s="56"/>
      <c r="U735" s="56"/>
      <c r="V735" s="56"/>
      <c r="W735" s="56"/>
      <c r="X735" s="56"/>
      <c r="Y735" s="56"/>
      <c r="Z735" s="56"/>
      <c r="AA735" s="56"/>
      <c r="AB735" s="56"/>
      <c r="AC735" s="15"/>
    </row>
    <row r="736" spans="3:29" ht="12.75">
      <c r="C736" s="23"/>
      <c r="I736" s="23"/>
      <c r="L736" s="56"/>
      <c r="M736" s="56"/>
      <c r="N736" s="56"/>
      <c r="O736" s="56"/>
      <c r="P736" s="56"/>
      <c r="Q736" s="56"/>
      <c r="R736" s="56"/>
      <c r="S736" s="56"/>
      <c r="T736" s="56"/>
      <c r="U736" s="56"/>
      <c r="V736" s="56"/>
      <c r="W736" s="56"/>
      <c r="X736" s="56"/>
      <c r="Y736" s="56"/>
      <c r="Z736" s="56"/>
      <c r="AA736" s="56"/>
      <c r="AB736" s="56"/>
      <c r="AC736" s="15"/>
    </row>
    <row r="737" spans="3:29" ht="12.75">
      <c r="C737" s="23"/>
      <c r="I737" s="23"/>
      <c r="L737" s="56"/>
      <c r="M737" s="56"/>
      <c r="N737" s="56"/>
      <c r="O737" s="56"/>
      <c r="P737" s="56"/>
      <c r="Q737" s="56"/>
      <c r="R737" s="56"/>
      <c r="S737" s="56"/>
      <c r="T737" s="56"/>
      <c r="U737" s="56"/>
      <c r="V737" s="56"/>
      <c r="W737" s="56"/>
      <c r="X737" s="56"/>
      <c r="Y737" s="56"/>
      <c r="Z737" s="56"/>
      <c r="AA737" s="56"/>
      <c r="AB737" s="56"/>
      <c r="AC737" s="15"/>
    </row>
    <row r="738" spans="3:29" ht="12.75">
      <c r="C738" s="23"/>
      <c r="I738" s="23"/>
      <c r="L738" s="56"/>
      <c r="M738" s="56"/>
      <c r="N738" s="56"/>
      <c r="O738" s="56"/>
      <c r="P738" s="56"/>
      <c r="Q738" s="56"/>
      <c r="R738" s="56"/>
      <c r="S738" s="56"/>
      <c r="T738" s="56"/>
      <c r="U738" s="56"/>
      <c r="V738" s="56"/>
      <c r="W738" s="56"/>
      <c r="X738" s="56"/>
      <c r="Y738" s="56"/>
      <c r="Z738" s="56"/>
      <c r="AA738" s="56"/>
      <c r="AB738" s="56"/>
      <c r="AC738" s="15"/>
    </row>
    <row r="739" spans="3:29" ht="12.75">
      <c r="C739" s="23"/>
      <c r="I739" s="23"/>
      <c r="L739" s="56"/>
      <c r="M739" s="56"/>
      <c r="N739" s="56"/>
      <c r="O739" s="56"/>
      <c r="P739" s="56"/>
      <c r="Q739" s="56"/>
      <c r="R739" s="56"/>
      <c r="S739" s="56"/>
      <c r="T739" s="56"/>
      <c r="U739" s="56"/>
      <c r="V739" s="56"/>
      <c r="W739" s="56"/>
      <c r="X739" s="56"/>
      <c r="Y739" s="56"/>
      <c r="Z739" s="56"/>
      <c r="AA739" s="56"/>
      <c r="AB739" s="56"/>
      <c r="AC739" s="15"/>
    </row>
    <row r="740" spans="3:29" ht="12.75">
      <c r="C740" s="23"/>
      <c r="I740" s="23"/>
      <c r="L740" s="56"/>
      <c r="M740" s="56"/>
      <c r="N740" s="56"/>
      <c r="O740" s="56"/>
      <c r="P740" s="56"/>
      <c r="Q740" s="56"/>
      <c r="R740" s="56"/>
      <c r="S740" s="56"/>
      <c r="T740" s="56"/>
      <c r="U740" s="56"/>
      <c r="V740" s="56"/>
      <c r="W740" s="56"/>
      <c r="X740" s="56"/>
      <c r="Y740" s="56"/>
      <c r="Z740" s="56"/>
      <c r="AA740" s="56"/>
      <c r="AB740" s="56"/>
      <c r="AC740" s="15"/>
    </row>
    <row r="741" spans="3:29" ht="12.75">
      <c r="C741" s="23"/>
      <c r="I741" s="23"/>
      <c r="L741" s="56"/>
      <c r="M741" s="56"/>
      <c r="N741" s="56"/>
      <c r="O741" s="56"/>
      <c r="P741" s="56"/>
      <c r="Q741" s="56"/>
      <c r="R741" s="56"/>
      <c r="S741" s="56"/>
      <c r="T741" s="56"/>
      <c r="U741" s="56"/>
      <c r="V741" s="56"/>
      <c r="W741" s="56"/>
      <c r="X741" s="56"/>
      <c r="Y741" s="56"/>
      <c r="Z741" s="56"/>
      <c r="AA741" s="56"/>
      <c r="AB741" s="56"/>
      <c r="AC741" s="15"/>
    </row>
    <row r="742" spans="3:29" ht="12.75">
      <c r="C742" s="23"/>
      <c r="I742" s="23"/>
      <c r="L742" s="56"/>
      <c r="M742" s="56"/>
      <c r="N742" s="56"/>
      <c r="O742" s="56"/>
      <c r="P742" s="56"/>
      <c r="Q742" s="56"/>
      <c r="R742" s="56"/>
      <c r="S742" s="56"/>
      <c r="T742" s="56"/>
      <c r="U742" s="56"/>
      <c r="V742" s="56"/>
      <c r="W742" s="56"/>
      <c r="X742" s="56"/>
      <c r="Y742" s="56"/>
      <c r="Z742" s="56"/>
      <c r="AA742" s="56"/>
      <c r="AB742" s="56"/>
      <c r="AC742" s="15"/>
    </row>
    <row r="743" spans="3:29" ht="12.75">
      <c r="C743" s="23"/>
      <c r="I743" s="23"/>
      <c r="L743" s="56"/>
      <c r="M743" s="56"/>
      <c r="N743" s="56"/>
      <c r="O743" s="56"/>
      <c r="P743" s="56"/>
      <c r="Q743" s="56"/>
      <c r="R743" s="56"/>
      <c r="S743" s="56"/>
      <c r="T743" s="56"/>
      <c r="U743" s="56"/>
      <c r="V743" s="56"/>
      <c r="W743" s="56"/>
      <c r="X743" s="56"/>
      <c r="Y743" s="56"/>
      <c r="Z743" s="56"/>
      <c r="AA743" s="56"/>
      <c r="AB743" s="56"/>
      <c r="AC743" s="15"/>
    </row>
    <row r="744" spans="3:29" ht="12.75">
      <c r="C744" s="23"/>
      <c r="I744" s="23"/>
      <c r="L744" s="56"/>
      <c r="M744" s="56"/>
      <c r="N744" s="56"/>
      <c r="O744" s="56"/>
      <c r="P744" s="56"/>
      <c r="Q744" s="56"/>
      <c r="R744" s="56"/>
      <c r="S744" s="56"/>
      <c r="T744" s="56"/>
      <c r="U744" s="56"/>
      <c r="V744" s="56"/>
      <c r="W744" s="56"/>
      <c r="X744" s="56"/>
      <c r="Y744" s="56"/>
      <c r="Z744" s="56"/>
      <c r="AA744" s="56"/>
      <c r="AB744" s="56"/>
      <c r="AC744" s="15"/>
    </row>
    <row r="745" spans="3:29" ht="12.75">
      <c r="C745" s="23"/>
      <c r="I745" s="23"/>
      <c r="L745" s="56"/>
      <c r="M745" s="56"/>
      <c r="N745" s="56"/>
      <c r="O745" s="56"/>
      <c r="P745" s="56"/>
      <c r="Q745" s="56"/>
      <c r="R745" s="56"/>
      <c r="S745" s="56"/>
      <c r="T745" s="56"/>
      <c r="U745" s="56"/>
      <c r="V745" s="56"/>
      <c r="W745" s="56"/>
      <c r="X745" s="56"/>
      <c r="Y745" s="56"/>
      <c r="Z745" s="56"/>
      <c r="AA745" s="56"/>
      <c r="AB745" s="56"/>
      <c r="AC745" s="15"/>
    </row>
    <row r="746" spans="3:29" ht="12.75">
      <c r="C746" s="23"/>
      <c r="I746" s="23"/>
      <c r="L746" s="56"/>
      <c r="M746" s="56"/>
      <c r="N746" s="56"/>
      <c r="O746" s="56"/>
      <c r="P746" s="56"/>
      <c r="Q746" s="56"/>
      <c r="R746" s="56"/>
      <c r="S746" s="56"/>
      <c r="T746" s="56"/>
      <c r="U746" s="56"/>
      <c r="V746" s="56"/>
      <c r="W746" s="56"/>
      <c r="X746" s="56"/>
      <c r="Y746" s="56"/>
      <c r="Z746" s="56"/>
      <c r="AA746" s="56"/>
      <c r="AB746" s="56"/>
      <c r="AC746" s="15"/>
    </row>
    <row r="747" spans="3:29" ht="12.75">
      <c r="C747" s="23"/>
      <c r="I747" s="23"/>
      <c r="L747" s="56"/>
      <c r="M747" s="56"/>
      <c r="N747" s="56"/>
      <c r="O747" s="56"/>
      <c r="P747" s="56"/>
      <c r="Q747" s="56"/>
      <c r="R747" s="56"/>
      <c r="S747" s="56"/>
      <c r="T747" s="56"/>
      <c r="U747" s="56"/>
      <c r="V747" s="56"/>
      <c r="W747" s="56"/>
      <c r="X747" s="56"/>
      <c r="Y747" s="56"/>
      <c r="Z747" s="56"/>
      <c r="AA747" s="56"/>
      <c r="AB747" s="56"/>
      <c r="AC747" s="15"/>
    </row>
    <row r="748" spans="3:29" ht="12.75">
      <c r="C748" s="23"/>
      <c r="I748" s="23"/>
      <c r="L748" s="56"/>
      <c r="M748" s="56"/>
      <c r="N748" s="56"/>
      <c r="O748" s="56"/>
      <c r="P748" s="56"/>
      <c r="Q748" s="56"/>
      <c r="R748" s="56"/>
      <c r="S748" s="56"/>
      <c r="T748" s="56"/>
      <c r="U748" s="56"/>
      <c r="V748" s="56"/>
      <c r="W748" s="56"/>
      <c r="X748" s="56"/>
      <c r="Y748" s="56"/>
      <c r="Z748" s="56"/>
      <c r="AA748" s="56"/>
      <c r="AB748" s="56"/>
      <c r="AC748" s="15"/>
    </row>
    <row r="749" spans="3:29" ht="12.75">
      <c r="C749" s="23"/>
      <c r="I749" s="23"/>
      <c r="L749" s="56"/>
      <c r="M749" s="56"/>
      <c r="N749" s="56"/>
      <c r="O749" s="56"/>
      <c r="P749" s="56"/>
      <c r="Q749" s="56"/>
      <c r="R749" s="56"/>
      <c r="S749" s="56"/>
      <c r="T749" s="56"/>
      <c r="U749" s="56"/>
      <c r="V749" s="56"/>
      <c r="W749" s="56"/>
      <c r="X749" s="56"/>
      <c r="Y749" s="56"/>
      <c r="Z749" s="56"/>
      <c r="AA749" s="56"/>
      <c r="AB749" s="56"/>
      <c r="AC749" s="15"/>
    </row>
    <row r="750" spans="3:29" ht="12.75">
      <c r="C750" s="23"/>
      <c r="I750" s="23"/>
      <c r="L750" s="56"/>
      <c r="M750" s="56"/>
      <c r="N750" s="56"/>
      <c r="O750" s="56"/>
      <c r="P750" s="56"/>
      <c r="Q750" s="56"/>
      <c r="R750" s="56"/>
      <c r="S750" s="56"/>
      <c r="T750" s="56"/>
      <c r="U750" s="56"/>
      <c r="V750" s="56"/>
      <c r="W750" s="56"/>
      <c r="X750" s="56"/>
      <c r="Y750" s="56"/>
      <c r="Z750" s="56"/>
      <c r="AA750" s="56"/>
      <c r="AB750" s="56"/>
      <c r="AC750" s="15"/>
    </row>
    <row r="751" spans="3:29" ht="12.75">
      <c r="C751" s="23"/>
      <c r="I751" s="23"/>
      <c r="L751" s="56"/>
      <c r="M751" s="56"/>
      <c r="N751" s="56"/>
      <c r="O751" s="56"/>
      <c r="P751" s="56"/>
      <c r="Q751" s="56"/>
      <c r="R751" s="56"/>
      <c r="S751" s="56"/>
      <c r="T751" s="56"/>
      <c r="U751" s="56"/>
      <c r="V751" s="56"/>
      <c r="W751" s="56"/>
      <c r="X751" s="56"/>
      <c r="Y751" s="56"/>
      <c r="Z751" s="56"/>
      <c r="AA751" s="56"/>
      <c r="AB751" s="56"/>
      <c r="AC751" s="15"/>
    </row>
    <row r="752" spans="3:29" ht="12.75">
      <c r="C752" s="23"/>
      <c r="I752" s="23"/>
      <c r="L752" s="56"/>
      <c r="M752" s="56"/>
      <c r="N752" s="56"/>
      <c r="O752" s="56"/>
      <c r="P752" s="56"/>
      <c r="Q752" s="56"/>
      <c r="R752" s="56"/>
      <c r="S752" s="56"/>
      <c r="T752" s="56"/>
      <c r="U752" s="56"/>
      <c r="V752" s="56"/>
      <c r="W752" s="56"/>
      <c r="X752" s="56"/>
      <c r="Y752" s="56"/>
      <c r="Z752" s="56"/>
      <c r="AA752" s="56"/>
      <c r="AB752" s="56"/>
      <c r="AC752" s="15"/>
    </row>
    <row r="753" spans="3:29" ht="12.75">
      <c r="C753" s="23"/>
      <c r="I753" s="23"/>
      <c r="L753" s="56"/>
      <c r="M753" s="56"/>
      <c r="N753" s="56"/>
      <c r="O753" s="56"/>
      <c r="P753" s="56"/>
      <c r="Q753" s="56"/>
      <c r="R753" s="56"/>
      <c r="S753" s="56"/>
      <c r="T753" s="56"/>
      <c r="U753" s="56"/>
      <c r="V753" s="56"/>
      <c r="W753" s="56"/>
      <c r="X753" s="56"/>
      <c r="Y753" s="56"/>
      <c r="Z753" s="56"/>
      <c r="AA753" s="56"/>
      <c r="AB753" s="56"/>
      <c r="AC753" s="15"/>
    </row>
    <row r="754" spans="3:29" ht="12.75">
      <c r="C754" s="23"/>
      <c r="I754" s="23"/>
      <c r="L754" s="56"/>
      <c r="M754" s="56"/>
      <c r="N754" s="56"/>
      <c r="O754" s="56"/>
      <c r="P754" s="56"/>
      <c r="Q754" s="56"/>
      <c r="R754" s="56"/>
      <c r="S754" s="56"/>
      <c r="T754" s="56"/>
      <c r="U754" s="56"/>
      <c r="V754" s="56"/>
      <c r="W754" s="56"/>
      <c r="X754" s="56"/>
      <c r="Y754" s="56"/>
      <c r="Z754" s="56"/>
      <c r="AA754" s="56"/>
      <c r="AB754" s="56"/>
      <c r="AC754" s="15"/>
    </row>
    <row r="755" spans="3:29" ht="12.75">
      <c r="C755" s="23"/>
      <c r="I755" s="23"/>
      <c r="L755" s="56"/>
      <c r="M755" s="56"/>
      <c r="N755" s="56"/>
      <c r="O755" s="56"/>
      <c r="P755" s="56"/>
      <c r="Q755" s="56"/>
      <c r="R755" s="56"/>
      <c r="S755" s="56"/>
      <c r="T755" s="56"/>
      <c r="U755" s="56"/>
      <c r="V755" s="56"/>
      <c r="W755" s="56"/>
      <c r="X755" s="56"/>
      <c r="Y755" s="56"/>
      <c r="Z755" s="56"/>
      <c r="AA755" s="56"/>
      <c r="AB755" s="56"/>
      <c r="AC755" s="15"/>
    </row>
    <row r="756" spans="3:29" ht="12.75">
      <c r="C756" s="23"/>
      <c r="I756" s="23"/>
      <c r="L756" s="56"/>
      <c r="M756" s="56"/>
      <c r="N756" s="56"/>
      <c r="O756" s="56"/>
      <c r="P756" s="56"/>
      <c r="Q756" s="56"/>
      <c r="R756" s="56"/>
      <c r="S756" s="56"/>
      <c r="T756" s="56"/>
      <c r="U756" s="56"/>
      <c r="V756" s="56"/>
      <c r="W756" s="56"/>
      <c r="X756" s="56"/>
      <c r="Y756" s="56"/>
      <c r="Z756" s="56"/>
      <c r="AA756" s="56"/>
      <c r="AB756" s="56"/>
      <c r="AC756" s="15"/>
    </row>
    <row r="757" spans="3:29" ht="12.75">
      <c r="C757" s="23"/>
      <c r="I757" s="23"/>
      <c r="L757" s="56"/>
      <c r="M757" s="56"/>
      <c r="N757" s="56"/>
      <c r="O757" s="56"/>
      <c r="P757" s="56"/>
      <c r="Q757" s="56"/>
      <c r="R757" s="56"/>
      <c r="S757" s="56"/>
      <c r="T757" s="56"/>
      <c r="U757" s="56"/>
      <c r="V757" s="56"/>
      <c r="W757" s="56"/>
      <c r="X757" s="56"/>
      <c r="Y757" s="56"/>
      <c r="Z757" s="56"/>
      <c r="AA757" s="56"/>
      <c r="AB757" s="56"/>
      <c r="AC757" s="15"/>
    </row>
    <row r="758" spans="3:29" ht="12.75">
      <c r="C758" s="23"/>
      <c r="I758" s="23"/>
      <c r="L758" s="56"/>
      <c r="M758" s="56"/>
      <c r="N758" s="56"/>
      <c r="O758" s="56"/>
      <c r="P758" s="56"/>
      <c r="Q758" s="56"/>
      <c r="R758" s="56"/>
      <c r="S758" s="56"/>
      <c r="T758" s="56"/>
      <c r="U758" s="56"/>
      <c r="V758" s="56"/>
      <c r="W758" s="56"/>
      <c r="X758" s="56"/>
      <c r="Y758" s="56"/>
      <c r="Z758" s="56"/>
      <c r="AA758" s="56"/>
      <c r="AB758" s="56"/>
      <c r="AC758" s="15"/>
    </row>
    <row r="759" spans="3:29" ht="12.75">
      <c r="C759" s="23"/>
      <c r="I759" s="23"/>
      <c r="L759" s="56"/>
      <c r="M759" s="56"/>
      <c r="N759" s="56"/>
      <c r="O759" s="56"/>
      <c r="P759" s="56"/>
      <c r="Q759" s="56"/>
      <c r="R759" s="56"/>
      <c r="S759" s="56"/>
      <c r="T759" s="56"/>
      <c r="U759" s="56"/>
      <c r="V759" s="56"/>
      <c r="W759" s="56"/>
      <c r="X759" s="56"/>
      <c r="Y759" s="56"/>
      <c r="Z759" s="56"/>
      <c r="AA759" s="56"/>
      <c r="AB759" s="56"/>
      <c r="AC759" s="15"/>
    </row>
    <row r="760" spans="3:29" ht="12.75">
      <c r="C760" s="23"/>
      <c r="I760" s="23"/>
      <c r="L760" s="56"/>
      <c r="M760" s="56"/>
      <c r="N760" s="56"/>
      <c r="O760" s="56"/>
      <c r="P760" s="56"/>
      <c r="Q760" s="56"/>
      <c r="R760" s="56"/>
      <c r="S760" s="56"/>
      <c r="T760" s="56"/>
      <c r="U760" s="56"/>
      <c r="V760" s="56"/>
      <c r="W760" s="56"/>
      <c r="X760" s="56"/>
      <c r="Y760" s="56"/>
      <c r="Z760" s="56"/>
      <c r="AA760" s="56"/>
      <c r="AB760" s="56"/>
      <c r="AC760" s="15"/>
    </row>
    <row r="761" spans="3:29" ht="12.75">
      <c r="C761" s="23"/>
      <c r="I761" s="23"/>
      <c r="L761" s="56"/>
      <c r="M761" s="56"/>
      <c r="N761" s="56"/>
      <c r="O761" s="56"/>
      <c r="P761" s="56"/>
      <c r="Q761" s="56"/>
      <c r="R761" s="56"/>
      <c r="S761" s="56"/>
      <c r="T761" s="56"/>
      <c r="U761" s="56"/>
      <c r="V761" s="56"/>
      <c r="W761" s="56"/>
      <c r="X761" s="56"/>
      <c r="Y761" s="56"/>
      <c r="Z761" s="56"/>
      <c r="AA761" s="56"/>
      <c r="AB761" s="56"/>
      <c r="AC761" s="15"/>
    </row>
    <row r="762" spans="3:29" ht="12.75">
      <c r="C762" s="23"/>
      <c r="I762" s="23"/>
      <c r="L762" s="56"/>
      <c r="M762" s="56"/>
      <c r="N762" s="56"/>
      <c r="O762" s="56"/>
      <c r="P762" s="56"/>
      <c r="Q762" s="56"/>
      <c r="R762" s="56"/>
      <c r="S762" s="56"/>
      <c r="T762" s="56"/>
      <c r="U762" s="56"/>
      <c r="V762" s="56"/>
      <c r="W762" s="56"/>
      <c r="X762" s="56"/>
      <c r="Y762" s="56"/>
      <c r="Z762" s="56"/>
      <c r="AA762" s="56"/>
      <c r="AB762" s="56"/>
      <c r="AC762" s="15"/>
    </row>
    <row r="763" spans="3:29" ht="12.75">
      <c r="C763" s="23"/>
      <c r="I763" s="23"/>
      <c r="L763" s="56"/>
      <c r="M763" s="56"/>
      <c r="N763" s="56"/>
      <c r="O763" s="56"/>
      <c r="P763" s="56"/>
      <c r="Q763" s="56"/>
      <c r="R763" s="56"/>
      <c r="S763" s="56"/>
      <c r="T763" s="56"/>
      <c r="U763" s="56"/>
      <c r="V763" s="56"/>
      <c r="W763" s="56"/>
      <c r="X763" s="56"/>
      <c r="Y763" s="56"/>
      <c r="Z763" s="56"/>
      <c r="AA763" s="56"/>
      <c r="AB763" s="56"/>
      <c r="AC763" s="15"/>
    </row>
    <row r="764" spans="3:29" ht="12.75">
      <c r="C764" s="23"/>
      <c r="I764" s="23"/>
      <c r="L764" s="56"/>
      <c r="M764" s="56"/>
      <c r="N764" s="56"/>
      <c r="O764" s="56"/>
      <c r="P764" s="56"/>
      <c r="Q764" s="56"/>
      <c r="R764" s="56"/>
      <c r="S764" s="56"/>
      <c r="T764" s="56"/>
      <c r="U764" s="56"/>
      <c r="V764" s="56"/>
      <c r="W764" s="56"/>
      <c r="X764" s="56"/>
      <c r="Y764" s="56"/>
      <c r="Z764" s="56"/>
      <c r="AA764" s="56"/>
      <c r="AB764" s="56"/>
      <c r="AC764" s="15"/>
    </row>
    <row r="765" spans="3:29" ht="12.75">
      <c r="C765" s="23"/>
      <c r="I765" s="23"/>
      <c r="L765" s="56"/>
      <c r="M765" s="56"/>
      <c r="N765" s="56"/>
      <c r="O765" s="56"/>
      <c r="P765" s="56"/>
      <c r="Q765" s="56"/>
      <c r="R765" s="56"/>
      <c r="S765" s="56"/>
      <c r="T765" s="56"/>
      <c r="U765" s="56"/>
      <c r="V765" s="56"/>
      <c r="W765" s="56"/>
      <c r="X765" s="56"/>
      <c r="Y765" s="56"/>
      <c r="Z765" s="56"/>
      <c r="AA765" s="56"/>
      <c r="AB765" s="56"/>
      <c r="AC765" s="15"/>
    </row>
    <row r="766" spans="3:29" ht="12.75">
      <c r="C766" s="23"/>
      <c r="I766" s="23"/>
      <c r="L766" s="56"/>
      <c r="M766" s="56"/>
      <c r="N766" s="56"/>
      <c r="O766" s="56"/>
      <c r="P766" s="56"/>
      <c r="Q766" s="56"/>
      <c r="R766" s="56"/>
      <c r="S766" s="56"/>
      <c r="T766" s="56"/>
      <c r="U766" s="56"/>
      <c r="V766" s="56"/>
      <c r="W766" s="56"/>
      <c r="X766" s="56"/>
      <c r="Y766" s="56"/>
      <c r="Z766" s="56"/>
      <c r="AA766" s="56"/>
      <c r="AB766" s="56"/>
      <c r="AC766" s="15"/>
    </row>
    <row r="767" spans="3:29" ht="12.75">
      <c r="C767" s="23"/>
      <c r="I767" s="23"/>
      <c r="L767" s="56"/>
      <c r="M767" s="56"/>
      <c r="N767" s="56"/>
      <c r="O767" s="56"/>
      <c r="P767" s="56"/>
      <c r="Q767" s="56"/>
      <c r="R767" s="56"/>
      <c r="S767" s="56"/>
      <c r="T767" s="56"/>
      <c r="U767" s="56"/>
      <c r="V767" s="56"/>
      <c r="W767" s="56"/>
      <c r="X767" s="56"/>
      <c r="Y767" s="56"/>
      <c r="Z767" s="56"/>
      <c r="AA767" s="56"/>
      <c r="AB767" s="56"/>
      <c r="AC767" s="15"/>
    </row>
    <row r="768" spans="3:29" ht="12.75">
      <c r="C768" s="23"/>
      <c r="I768" s="23"/>
      <c r="L768" s="56"/>
      <c r="M768" s="56"/>
      <c r="N768" s="56"/>
      <c r="O768" s="56"/>
      <c r="P768" s="56"/>
      <c r="Q768" s="56"/>
      <c r="R768" s="56"/>
      <c r="S768" s="56"/>
      <c r="T768" s="56"/>
      <c r="U768" s="56"/>
      <c r="V768" s="56"/>
      <c r="W768" s="56"/>
      <c r="X768" s="56"/>
      <c r="Y768" s="56"/>
      <c r="Z768" s="56"/>
      <c r="AA768" s="56"/>
      <c r="AB768" s="56"/>
      <c r="AC768" s="15"/>
    </row>
    <row r="769" spans="3:29" ht="12.75">
      <c r="C769" s="23"/>
      <c r="I769" s="23"/>
      <c r="L769" s="56"/>
      <c r="M769" s="56"/>
      <c r="N769" s="56"/>
      <c r="O769" s="56"/>
      <c r="P769" s="56"/>
      <c r="Q769" s="56"/>
      <c r="R769" s="56"/>
      <c r="S769" s="56"/>
      <c r="T769" s="56"/>
      <c r="U769" s="56"/>
      <c r="V769" s="56"/>
      <c r="W769" s="56"/>
      <c r="X769" s="56"/>
      <c r="Y769" s="56"/>
      <c r="Z769" s="56"/>
      <c r="AA769" s="56"/>
      <c r="AB769" s="56"/>
      <c r="AC769" s="15"/>
    </row>
    <row r="770" spans="3:29" ht="12.75">
      <c r="C770" s="23"/>
      <c r="I770" s="23"/>
      <c r="L770" s="56"/>
      <c r="M770" s="56"/>
      <c r="N770" s="56"/>
      <c r="O770" s="56"/>
      <c r="P770" s="56"/>
      <c r="Q770" s="56"/>
      <c r="R770" s="56"/>
      <c r="S770" s="56"/>
      <c r="T770" s="56"/>
      <c r="U770" s="56"/>
      <c r="V770" s="56"/>
      <c r="W770" s="56"/>
      <c r="X770" s="56"/>
      <c r="Y770" s="56"/>
      <c r="Z770" s="56"/>
      <c r="AA770" s="56"/>
      <c r="AB770" s="56"/>
      <c r="AC770" s="15"/>
    </row>
    <row r="771" spans="3:29" ht="12.75">
      <c r="C771" s="23"/>
      <c r="I771" s="23"/>
      <c r="L771" s="56"/>
      <c r="M771" s="56"/>
      <c r="N771" s="56"/>
      <c r="O771" s="56"/>
      <c r="P771" s="56"/>
      <c r="Q771" s="56"/>
      <c r="R771" s="56"/>
      <c r="S771" s="56"/>
      <c r="T771" s="56"/>
      <c r="U771" s="56"/>
      <c r="V771" s="56"/>
      <c r="W771" s="56"/>
      <c r="X771" s="56"/>
      <c r="Y771" s="56"/>
      <c r="Z771" s="56"/>
      <c r="AA771" s="56"/>
      <c r="AB771" s="56"/>
      <c r="AC771" s="15"/>
    </row>
    <row r="772" spans="3:29" ht="12.75">
      <c r="C772" s="23"/>
      <c r="I772" s="23"/>
      <c r="L772" s="56"/>
      <c r="M772" s="56"/>
      <c r="N772" s="56"/>
      <c r="O772" s="56"/>
      <c r="P772" s="56"/>
      <c r="Q772" s="56"/>
      <c r="R772" s="56"/>
      <c r="S772" s="56"/>
      <c r="T772" s="56"/>
      <c r="U772" s="56"/>
      <c r="V772" s="56"/>
      <c r="W772" s="56"/>
      <c r="X772" s="56"/>
      <c r="Y772" s="56"/>
      <c r="Z772" s="56"/>
      <c r="AA772" s="56"/>
      <c r="AB772" s="56"/>
      <c r="AC772" s="15"/>
    </row>
    <row r="773" spans="3:29" ht="12.75">
      <c r="C773" s="23"/>
      <c r="I773" s="23"/>
      <c r="L773" s="56"/>
      <c r="M773" s="56"/>
      <c r="N773" s="56"/>
      <c r="O773" s="56"/>
      <c r="P773" s="56"/>
      <c r="Q773" s="56"/>
      <c r="R773" s="56"/>
      <c r="S773" s="56"/>
      <c r="T773" s="56"/>
      <c r="U773" s="56"/>
      <c r="V773" s="56"/>
      <c r="W773" s="56"/>
      <c r="X773" s="56"/>
      <c r="Y773" s="56"/>
      <c r="Z773" s="56"/>
      <c r="AA773" s="56"/>
      <c r="AB773" s="56"/>
      <c r="AC773" s="15"/>
    </row>
    <row r="774" spans="3:29" ht="12.75">
      <c r="C774" s="23"/>
      <c r="I774" s="23"/>
      <c r="L774" s="56"/>
      <c r="M774" s="56"/>
      <c r="N774" s="56"/>
      <c r="O774" s="56"/>
      <c r="P774" s="56"/>
      <c r="Q774" s="56"/>
      <c r="R774" s="56"/>
      <c r="S774" s="56"/>
      <c r="T774" s="56"/>
      <c r="U774" s="56"/>
      <c r="V774" s="56"/>
      <c r="W774" s="56"/>
      <c r="X774" s="56"/>
      <c r="Y774" s="56"/>
      <c r="Z774" s="56"/>
      <c r="AA774" s="56"/>
      <c r="AB774" s="56"/>
      <c r="AC774" s="15"/>
    </row>
    <row r="775" spans="3:29" ht="12.75">
      <c r="C775" s="23"/>
      <c r="I775" s="23"/>
      <c r="L775" s="56"/>
      <c r="M775" s="56"/>
      <c r="N775" s="56"/>
      <c r="O775" s="56"/>
      <c r="P775" s="56"/>
      <c r="Q775" s="56"/>
      <c r="R775" s="56"/>
      <c r="S775" s="56"/>
      <c r="T775" s="56"/>
      <c r="U775" s="56"/>
      <c r="V775" s="56"/>
      <c r="W775" s="56"/>
      <c r="X775" s="56"/>
      <c r="Y775" s="56"/>
      <c r="Z775" s="56"/>
      <c r="AA775" s="56"/>
      <c r="AB775" s="56"/>
      <c r="AC775" s="15"/>
    </row>
    <row r="776" spans="3:29" ht="12.75">
      <c r="C776" s="23"/>
      <c r="I776" s="23"/>
      <c r="L776" s="56"/>
      <c r="M776" s="56"/>
      <c r="N776" s="56"/>
      <c r="O776" s="56"/>
      <c r="P776" s="56"/>
      <c r="Q776" s="56"/>
      <c r="R776" s="56"/>
      <c r="S776" s="56"/>
      <c r="T776" s="56"/>
      <c r="U776" s="56"/>
      <c r="V776" s="56"/>
      <c r="W776" s="56"/>
      <c r="X776" s="56"/>
      <c r="Y776" s="56"/>
      <c r="Z776" s="56"/>
      <c r="AA776" s="56"/>
      <c r="AB776" s="56"/>
      <c r="AC776" s="15"/>
    </row>
    <row r="777" spans="3:29" ht="12.75">
      <c r="C777" s="23"/>
      <c r="I777" s="23"/>
      <c r="L777" s="56"/>
      <c r="M777" s="56"/>
      <c r="N777" s="56"/>
      <c r="O777" s="56"/>
      <c r="P777" s="56"/>
      <c r="Q777" s="56"/>
      <c r="R777" s="56"/>
      <c r="S777" s="56"/>
      <c r="T777" s="56"/>
      <c r="U777" s="56"/>
      <c r="V777" s="56"/>
      <c r="W777" s="56"/>
      <c r="X777" s="56"/>
      <c r="Y777" s="56"/>
      <c r="Z777" s="56"/>
      <c r="AA777" s="56"/>
      <c r="AB777" s="56"/>
      <c r="AC777" s="15"/>
    </row>
    <row r="778" spans="3:29" ht="12.75">
      <c r="C778" s="23"/>
      <c r="I778" s="23"/>
      <c r="L778" s="56"/>
      <c r="M778" s="56"/>
      <c r="N778" s="56"/>
      <c r="O778" s="56"/>
      <c r="P778" s="56"/>
      <c r="Q778" s="56"/>
      <c r="R778" s="56"/>
      <c r="S778" s="56"/>
      <c r="T778" s="56"/>
      <c r="U778" s="56"/>
      <c r="V778" s="56"/>
      <c r="W778" s="56"/>
      <c r="X778" s="56"/>
      <c r="Y778" s="56"/>
      <c r="Z778" s="56"/>
      <c r="AA778" s="56"/>
      <c r="AB778" s="56"/>
      <c r="AC778" s="15"/>
    </row>
    <row r="779" spans="3:29" ht="12.75">
      <c r="C779" s="23"/>
      <c r="I779" s="23"/>
      <c r="L779" s="56"/>
      <c r="M779" s="56"/>
      <c r="N779" s="56"/>
      <c r="O779" s="56"/>
      <c r="P779" s="56"/>
      <c r="Q779" s="56"/>
      <c r="R779" s="56"/>
      <c r="S779" s="56"/>
      <c r="T779" s="56"/>
      <c r="U779" s="56"/>
      <c r="V779" s="56"/>
      <c r="W779" s="56"/>
      <c r="X779" s="56"/>
      <c r="Y779" s="56"/>
      <c r="Z779" s="56"/>
      <c r="AA779" s="56"/>
      <c r="AB779" s="56"/>
      <c r="AC779" s="15"/>
    </row>
    <row r="780" spans="3:29" ht="12.75">
      <c r="C780" s="23"/>
      <c r="I780" s="23"/>
      <c r="L780" s="56"/>
      <c r="M780" s="56"/>
      <c r="N780" s="56"/>
      <c r="O780" s="56"/>
      <c r="P780" s="56"/>
      <c r="Q780" s="56"/>
      <c r="R780" s="56"/>
      <c r="S780" s="56"/>
      <c r="T780" s="56"/>
      <c r="U780" s="56"/>
      <c r="V780" s="56"/>
      <c r="W780" s="56"/>
      <c r="X780" s="56"/>
      <c r="Y780" s="56"/>
      <c r="Z780" s="56"/>
      <c r="AA780" s="56"/>
      <c r="AB780" s="56"/>
      <c r="AC780" s="15"/>
    </row>
    <row r="781" spans="3:29" ht="12.75">
      <c r="C781" s="23"/>
      <c r="I781" s="23"/>
      <c r="L781" s="56"/>
      <c r="M781" s="56"/>
      <c r="N781" s="56"/>
      <c r="O781" s="56"/>
      <c r="P781" s="56"/>
      <c r="Q781" s="56"/>
      <c r="R781" s="56"/>
      <c r="S781" s="56"/>
      <c r="T781" s="56"/>
      <c r="U781" s="56"/>
      <c r="V781" s="56"/>
      <c r="W781" s="56"/>
      <c r="X781" s="56"/>
      <c r="Y781" s="56"/>
      <c r="Z781" s="56"/>
      <c r="AA781" s="56"/>
      <c r="AB781" s="56"/>
      <c r="AC781" s="15"/>
    </row>
    <row r="782" spans="3:29" ht="12.75">
      <c r="C782" s="23"/>
      <c r="I782" s="23"/>
      <c r="L782" s="56"/>
      <c r="M782" s="56"/>
      <c r="N782" s="56"/>
      <c r="O782" s="56"/>
      <c r="P782" s="56"/>
      <c r="Q782" s="56"/>
      <c r="R782" s="56"/>
      <c r="S782" s="56"/>
      <c r="T782" s="56"/>
      <c r="U782" s="56"/>
      <c r="V782" s="56"/>
      <c r="W782" s="56"/>
      <c r="X782" s="56"/>
      <c r="Y782" s="56"/>
      <c r="Z782" s="56"/>
      <c r="AA782" s="56"/>
      <c r="AB782" s="56"/>
      <c r="AC782" s="15"/>
    </row>
    <row r="783" spans="3:29" ht="12.75">
      <c r="C783" s="23"/>
      <c r="I783" s="23"/>
      <c r="L783" s="56"/>
      <c r="M783" s="56"/>
      <c r="N783" s="56"/>
      <c r="O783" s="56"/>
      <c r="P783" s="56"/>
      <c r="Q783" s="56"/>
      <c r="R783" s="56"/>
      <c r="S783" s="56"/>
      <c r="T783" s="56"/>
      <c r="U783" s="56"/>
      <c r="V783" s="56"/>
      <c r="W783" s="56"/>
      <c r="X783" s="56"/>
      <c r="Y783" s="56"/>
      <c r="Z783" s="56"/>
      <c r="AA783" s="56"/>
      <c r="AB783" s="56"/>
      <c r="AC783" s="15"/>
    </row>
    <row r="784" spans="3:29" ht="12.75">
      <c r="C784" s="23"/>
      <c r="I784" s="23"/>
      <c r="L784" s="56"/>
      <c r="M784" s="56"/>
      <c r="N784" s="56"/>
      <c r="O784" s="56"/>
      <c r="P784" s="56"/>
      <c r="Q784" s="56"/>
      <c r="R784" s="56"/>
      <c r="S784" s="56"/>
      <c r="T784" s="56"/>
      <c r="U784" s="56"/>
      <c r="V784" s="56"/>
      <c r="W784" s="56"/>
      <c r="X784" s="56"/>
      <c r="Y784" s="56"/>
      <c r="Z784" s="56"/>
      <c r="AA784" s="56"/>
      <c r="AB784" s="56"/>
      <c r="AC784" s="15"/>
    </row>
    <row r="785" spans="3:29" ht="12.75">
      <c r="C785" s="23"/>
      <c r="I785" s="23"/>
      <c r="L785" s="56"/>
      <c r="M785" s="56"/>
      <c r="N785" s="56"/>
      <c r="O785" s="56"/>
      <c r="P785" s="56"/>
      <c r="Q785" s="56"/>
      <c r="R785" s="56"/>
      <c r="S785" s="56"/>
      <c r="T785" s="56"/>
      <c r="U785" s="56"/>
      <c r="V785" s="56"/>
      <c r="W785" s="56"/>
      <c r="X785" s="56"/>
      <c r="Y785" s="56"/>
      <c r="Z785" s="56"/>
      <c r="AA785" s="56"/>
      <c r="AB785" s="56"/>
      <c r="AC785" s="15"/>
    </row>
    <row r="786" spans="3:29" ht="12.75">
      <c r="C786" s="23"/>
      <c r="I786" s="23"/>
      <c r="L786" s="56"/>
      <c r="M786" s="56"/>
      <c r="N786" s="56"/>
      <c r="O786" s="56"/>
      <c r="P786" s="56"/>
      <c r="Q786" s="56"/>
      <c r="R786" s="56"/>
      <c r="S786" s="56"/>
      <c r="T786" s="56"/>
      <c r="U786" s="56"/>
      <c r="V786" s="56"/>
      <c r="W786" s="56"/>
      <c r="X786" s="56"/>
      <c r="Y786" s="56"/>
      <c r="Z786" s="56"/>
      <c r="AA786" s="56"/>
      <c r="AB786" s="56"/>
      <c r="AC786" s="15"/>
    </row>
    <row r="787" spans="3:29" ht="12.75">
      <c r="C787" s="23"/>
      <c r="I787" s="23"/>
      <c r="L787" s="56"/>
      <c r="M787" s="56"/>
      <c r="N787" s="56"/>
      <c r="O787" s="56"/>
      <c r="P787" s="56"/>
      <c r="Q787" s="56"/>
      <c r="R787" s="56"/>
      <c r="S787" s="56"/>
      <c r="T787" s="56"/>
      <c r="U787" s="56"/>
      <c r="V787" s="56"/>
      <c r="W787" s="56"/>
      <c r="X787" s="56"/>
      <c r="Y787" s="56"/>
      <c r="Z787" s="56"/>
      <c r="AA787" s="56"/>
      <c r="AB787" s="56"/>
      <c r="AC787" s="15"/>
    </row>
    <row r="788" spans="3:29" ht="12.75">
      <c r="C788" s="23"/>
      <c r="I788" s="23"/>
      <c r="L788" s="56"/>
      <c r="M788" s="56"/>
      <c r="N788" s="56"/>
      <c r="O788" s="56"/>
      <c r="P788" s="56"/>
      <c r="Q788" s="56"/>
      <c r="R788" s="56"/>
      <c r="S788" s="56"/>
      <c r="T788" s="56"/>
      <c r="U788" s="56"/>
      <c r="V788" s="56"/>
      <c r="W788" s="56"/>
      <c r="X788" s="56"/>
      <c r="Y788" s="56"/>
      <c r="Z788" s="56"/>
      <c r="AA788" s="56"/>
      <c r="AB788" s="56"/>
      <c r="AC788" s="15"/>
    </row>
    <row r="789" spans="3:29" ht="12.75">
      <c r="C789" s="23"/>
      <c r="I789" s="23"/>
      <c r="L789" s="56"/>
      <c r="M789" s="56"/>
      <c r="N789" s="56"/>
      <c r="O789" s="56"/>
      <c r="P789" s="56"/>
      <c r="Q789" s="56"/>
      <c r="R789" s="56"/>
      <c r="S789" s="56"/>
      <c r="T789" s="56"/>
      <c r="U789" s="56"/>
      <c r="V789" s="56"/>
      <c r="W789" s="56"/>
      <c r="X789" s="56"/>
      <c r="Y789" s="56"/>
      <c r="Z789" s="56"/>
      <c r="AA789" s="56"/>
      <c r="AB789" s="56"/>
      <c r="AC789" s="15"/>
    </row>
    <row r="790" spans="3:29" ht="12.75">
      <c r="C790" s="23"/>
      <c r="I790" s="23"/>
      <c r="L790" s="56"/>
      <c r="M790" s="56"/>
      <c r="N790" s="56"/>
      <c r="O790" s="56"/>
      <c r="P790" s="56"/>
      <c r="Q790" s="56"/>
      <c r="R790" s="56"/>
      <c r="S790" s="56"/>
      <c r="T790" s="56"/>
      <c r="U790" s="56"/>
      <c r="V790" s="56"/>
      <c r="W790" s="56"/>
      <c r="X790" s="56"/>
      <c r="Y790" s="56"/>
      <c r="Z790" s="56"/>
      <c r="AA790" s="56"/>
      <c r="AB790" s="56"/>
      <c r="AC790" s="15"/>
    </row>
    <row r="791" spans="3:29" ht="12.75">
      <c r="C791" s="23"/>
      <c r="I791" s="23"/>
      <c r="L791" s="56"/>
      <c r="M791" s="56"/>
      <c r="N791" s="56"/>
      <c r="O791" s="56"/>
      <c r="P791" s="56"/>
      <c r="Q791" s="56"/>
      <c r="R791" s="56"/>
      <c r="S791" s="56"/>
      <c r="T791" s="56"/>
      <c r="U791" s="56"/>
      <c r="V791" s="56"/>
      <c r="W791" s="56"/>
      <c r="X791" s="56"/>
      <c r="Y791" s="56"/>
      <c r="Z791" s="56"/>
      <c r="AA791" s="56"/>
      <c r="AB791" s="56"/>
      <c r="AC791" s="15"/>
    </row>
    <row r="792" spans="3:29" ht="12.75">
      <c r="C792" s="23"/>
      <c r="I792" s="23"/>
      <c r="L792" s="56"/>
      <c r="M792" s="56"/>
      <c r="N792" s="56"/>
      <c r="O792" s="56"/>
      <c r="P792" s="56"/>
      <c r="Q792" s="56"/>
      <c r="R792" s="56"/>
      <c r="S792" s="56"/>
      <c r="T792" s="56"/>
      <c r="U792" s="56"/>
      <c r="V792" s="56"/>
      <c r="W792" s="56"/>
      <c r="X792" s="56"/>
      <c r="Y792" s="56"/>
      <c r="Z792" s="56"/>
      <c r="AA792" s="56"/>
      <c r="AB792" s="56"/>
      <c r="AC792" s="15"/>
    </row>
    <row r="793" spans="3:29" ht="12.75">
      <c r="C793" s="23"/>
      <c r="I793" s="23"/>
      <c r="L793" s="56"/>
      <c r="M793" s="56"/>
      <c r="N793" s="56"/>
      <c r="O793" s="56"/>
      <c r="P793" s="56"/>
      <c r="Q793" s="56"/>
      <c r="R793" s="56"/>
      <c r="S793" s="56"/>
      <c r="T793" s="56"/>
      <c r="U793" s="56"/>
      <c r="V793" s="56"/>
      <c r="W793" s="56"/>
      <c r="X793" s="56"/>
      <c r="Y793" s="56"/>
      <c r="Z793" s="56"/>
      <c r="AA793" s="56"/>
      <c r="AB793" s="56"/>
      <c r="AC793" s="15"/>
    </row>
    <row r="794" spans="3:29" ht="12.75">
      <c r="C794" s="23"/>
      <c r="I794" s="23"/>
      <c r="L794" s="56"/>
      <c r="M794" s="56"/>
      <c r="N794" s="56"/>
      <c r="O794" s="56"/>
      <c r="P794" s="56"/>
      <c r="Q794" s="56"/>
      <c r="R794" s="56"/>
      <c r="S794" s="56"/>
      <c r="T794" s="56"/>
      <c r="U794" s="56"/>
      <c r="V794" s="56"/>
      <c r="W794" s="56"/>
      <c r="X794" s="56"/>
      <c r="Y794" s="56"/>
      <c r="Z794" s="56"/>
      <c r="AA794" s="56"/>
      <c r="AB794" s="56"/>
      <c r="AC794" s="15"/>
    </row>
    <row r="795" spans="3:29" ht="12.75">
      <c r="C795" s="23"/>
      <c r="I795" s="23"/>
      <c r="L795" s="56"/>
      <c r="M795" s="56"/>
      <c r="N795" s="56"/>
      <c r="O795" s="56"/>
      <c r="P795" s="56"/>
      <c r="Q795" s="56"/>
      <c r="R795" s="56"/>
      <c r="S795" s="56"/>
      <c r="T795" s="56"/>
      <c r="U795" s="56"/>
      <c r="V795" s="56"/>
      <c r="W795" s="56"/>
      <c r="X795" s="56"/>
      <c r="Y795" s="56"/>
      <c r="Z795" s="56"/>
      <c r="AA795" s="56"/>
      <c r="AB795" s="56"/>
      <c r="AC795" s="15"/>
    </row>
    <row r="796" spans="3:29" ht="12.75">
      <c r="C796" s="23"/>
      <c r="I796" s="23"/>
      <c r="L796" s="56"/>
      <c r="M796" s="56"/>
      <c r="N796" s="56"/>
      <c r="O796" s="56"/>
      <c r="P796" s="56"/>
      <c r="Q796" s="56"/>
      <c r="R796" s="56"/>
      <c r="S796" s="56"/>
      <c r="T796" s="56"/>
      <c r="U796" s="56"/>
      <c r="V796" s="56"/>
      <c r="W796" s="56"/>
      <c r="X796" s="56"/>
      <c r="Y796" s="56"/>
      <c r="Z796" s="56"/>
      <c r="AA796" s="56"/>
      <c r="AB796" s="56"/>
      <c r="AC796" s="15"/>
    </row>
    <row r="797" spans="3:29" ht="12.75">
      <c r="C797" s="23"/>
      <c r="I797" s="23"/>
      <c r="L797" s="56"/>
      <c r="M797" s="56"/>
      <c r="N797" s="56"/>
      <c r="O797" s="56"/>
      <c r="P797" s="56"/>
      <c r="Q797" s="56"/>
      <c r="R797" s="56"/>
      <c r="S797" s="56"/>
      <c r="T797" s="56"/>
      <c r="U797" s="56"/>
      <c r="V797" s="56"/>
      <c r="W797" s="56"/>
      <c r="X797" s="56"/>
      <c r="Y797" s="56"/>
      <c r="Z797" s="56"/>
      <c r="AA797" s="56"/>
      <c r="AB797" s="56"/>
      <c r="AC797" s="15"/>
    </row>
    <row r="798" spans="3:29" ht="12.75">
      <c r="C798" s="23"/>
      <c r="I798" s="23"/>
      <c r="L798" s="56"/>
      <c r="M798" s="56"/>
      <c r="N798" s="56"/>
      <c r="O798" s="56"/>
      <c r="P798" s="56"/>
      <c r="Q798" s="56"/>
      <c r="R798" s="56"/>
      <c r="S798" s="56"/>
      <c r="T798" s="56"/>
      <c r="U798" s="56"/>
      <c r="V798" s="56"/>
      <c r="W798" s="56"/>
      <c r="X798" s="56"/>
      <c r="Y798" s="56"/>
      <c r="Z798" s="56"/>
      <c r="AA798" s="56"/>
      <c r="AB798" s="56"/>
      <c r="AC798" s="15"/>
    </row>
    <row r="799" spans="3:29" ht="12.75">
      <c r="C799" s="23"/>
      <c r="I799" s="23"/>
      <c r="L799" s="56"/>
      <c r="M799" s="56"/>
      <c r="N799" s="56"/>
      <c r="O799" s="56"/>
      <c r="P799" s="56"/>
      <c r="Q799" s="56"/>
      <c r="R799" s="56"/>
      <c r="S799" s="56"/>
      <c r="T799" s="56"/>
      <c r="U799" s="56"/>
      <c r="V799" s="56"/>
      <c r="W799" s="56"/>
      <c r="X799" s="56"/>
      <c r="Y799" s="56"/>
      <c r="Z799" s="56"/>
      <c r="AA799" s="56"/>
      <c r="AB799" s="56"/>
      <c r="AC799" s="15"/>
    </row>
    <row r="800" spans="3:29" ht="12.75">
      <c r="C800" s="23"/>
      <c r="I800" s="23"/>
      <c r="L800" s="56"/>
      <c r="M800" s="56"/>
      <c r="N800" s="56"/>
      <c r="O800" s="56"/>
      <c r="P800" s="56"/>
      <c r="Q800" s="56"/>
      <c r="R800" s="56"/>
      <c r="S800" s="56"/>
      <c r="T800" s="56"/>
      <c r="U800" s="56"/>
      <c r="V800" s="56"/>
      <c r="W800" s="56"/>
      <c r="X800" s="56"/>
      <c r="Y800" s="56"/>
      <c r="Z800" s="56"/>
      <c r="AA800" s="56"/>
      <c r="AB800" s="56"/>
      <c r="AC800" s="15"/>
    </row>
    <row r="801" spans="3:29" ht="12.75">
      <c r="C801" s="23"/>
      <c r="I801" s="23"/>
      <c r="L801" s="56"/>
      <c r="M801" s="56"/>
      <c r="N801" s="56"/>
      <c r="O801" s="56"/>
      <c r="P801" s="56"/>
      <c r="Q801" s="56"/>
      <c r="R801" s="56"/>
      <c r="S801" s="56"/>
      <c r="T801" s="56"/>
      <c r="U801" s="56"/>
      <c r="V801" s="56"/>
      <c r="W801" s="56"/>
      <c r="X801" s="56"/>
      <c r="Y801" s="56"/>
      <c r="Z801" s="56"/>
      <c r="AA801" s="56"/>
      <c r="AB801" s="56"/>
      <c r="AC801" s="15"/>
    </row>
    <row r="802" spans="3:29" ht="12.75">
      <c r="C802" s="23"/>
      <c r="I802" s="23"/>
      <c r="L802" s="56"/>
      <c r="M802" s="56"/>
      <c r="N802" s="56"/>
      <c r="O802" s="56"/>
      <c r="P802" s="56"/>
      <c r="Q802" s="56"/>
      <c r="R802" s="56"/>
      <c r="S802" s="56"/>
      <c r="T802" s="56"/>
      <c r="U802" s="56"/>
      <c r="V802" s="56"/>
      <c r="W802" s="56"/>
      <c r="X802" s="56"/>
      <c r="Y802" s="56"/>
      <c r="Z802" s="56"/>
      <c r="AA802" s="56"/>
      <c r="AB802" s="56"/>
      <c r="AC802" s="15"/>
    </row>
    <row r="803" spans="3:29" ht="12.75">
      <c r="C803" s="23"/>
      <c r="I803" s="23"/>
      <c r="L803" s="56"/>
      <c r="M803" s="56"/>
      <c r="N803" s="56"/>
      <c r="O803" s="56"/>
      <c r="P803" s="56"/>
      <c r="Q803" s="56"/>
      <c r="R803" s="56"/>
      <c r="S803" s="56"/>
      <c r="T803" s="56"/>
      <c r="U803" s="56"/>
      <c r="V803" s="56"/>
      <c r="W803" s="56"/>
      <c r="X803" s="56"/>
      <c r="Y803" s="56"/>
      <c r="Z803" s="56"/>
      <c r="AA803" s="56"/>
      <c r="AB803" s="56"/>
      <c r="AC803" s="15"/>
    </row>
    <row r="804" spans="3:29" ht="12.75">
      <c r="C804" s="23"/>
      <c r="I804" s="23"/>
      <c r="L804" s="56"/>
      <c r="M804" s="56"/>
      <c r="N804" s="56"/>
      <c r="O804" s="56"/>
      <c r="P804" s="56"/>
      <c r="Q804" s="56"/>
      <c r="R804" s="56"/>
      <c r="S804" s="56"/>
      <c r="T804" s="56"/>
      <c r="U804" s="56"/>
      <c r="V804" s="56"/>
      <c r="W804" s="56"/>
      <c r="X804" s="56"/>
      <c r="Y804" s="56"/>
      <c r="Z804" s="56"/>
      <c r="AA804" s="56"/>
      <c r="AB804" s="56"/>
      <c r="AC804" s="15"/>
    </row>
    <row r="805" spans="3:29" ht="12.75">
      <c r="C805" s="23"/>
      <c r="I805" s="23"/>
      <c r="L805" s="56"/>
      <c r="M805" s="56"/>
      <c r="N805" s="56"/>
      <c r="O805" s="56"/>
      <c r="P805" s="56"/>
      <c r="Q805" s="56"/>
      <c r="R805" s="56"/>
      <c r="S805" s="56"/>
      <c r="T805" s="56"/>
      <c r="U805" s="56"/>
      <c r="V805" s="56"/>
      <c r="W805" s="56"/>
      <c r="X805" s="56"/>
      <c r="Y805" s="56"/>
      <c r="Z805" s="56"/>
      <c r="AA805" s="56"/>
      <c r="AB805" s="56"/>
      <c r="AC805" s="15"/>
    </row>
    <row r="806" spans="3:29" ht="12.75">
      <c r="C806" s="23"/>
      <c r="I806" s="23"/>
      <c r="L806" s="56"/>
      <c r="M806" s="56"/>
      <c r="N806" s="56"/>
      <c r="O806" s="56"/>
      <c r="P806" s="56"/>
      <c r="Q806" s="56"/>
      <c r="R806" s="56"/>
      <c r="S806" s="56"/>
      <c r="T806" s="56"/>
      <c r="U806" s="56"/>
      <c r="V806" s="56"/>
      <c r="W806" s="56"/>
      <c r="X806" s="56"/>
      <c r="Y806" s="56"/>
      <c r="Z806" s="56"/>
      <c r="AA806" s="56"/>
      <c r="AB806" s="56"/>
      <c r="AC806" s="15"/>
    </row>
    <row r="807" spans="3:29" ht="12.75">
      <c r="C807" s="23"/>
      <c r="I807" s="23"/>
      <c r="L807" s="56"/>
      <c r="M807" s="56"/>
      <c r="N807" s="56"/>
      <c r="O807" s="56"/>
      <c r="P807" s="56"/>
      <c r="Q807" s="56"/>
      <c r="R807" s="56"/>
      <c r="S807" s="56"/>
      <c r="T807" s="56"/>
      <c r="U807" s="56"/>
      <c r="V807" s="56"/>
      <c r="W807" s="56"/>
      <c r="X807" s="56"/>
      <c r="Y807" s="56"/>
      <c r="Z807" s="56"/>
      <c r="AA807" s="56"/>
      <c r="AB807" s="56"/>
      <c r="AC807" s="15"/>
    </row>
    <row r="808" spans="3:29" ht="12.75">
      <c r="C808" s="23"/>
      <c r="I808" s="23"/>
      <c r="L808" s="56"/>
      <c r="M808" s="56"/>
      <c r="N808" s="56"/>
      <c r="O808" s="56"/>
      <c r="P808" s="56"/>
      <c r="Q808" s="56"/>
      <c r="R808" s="56"/>
      <c r="S808" s="56"/>
      <c r="T808" s="56"/>
      <c r="U808" s="56"/>
      <c r="V808" s="56"/>
      <c r="W808" s="56"/>
      <c r="X808" s="56"/>
      <c r="Y808" s="56"/>
      <c r="Z808" s="56"/>
      <c r="AA808" s="56"/>
      <c r="AB808" s="56"/>
      <c r="AC808" s="15"/>
    </row>
    <row r="809" spans="3:29" ht="12.75">
      <c r="C809" s="23"/>
      <c r="I809" s="23"/>
      <c r="L809" s="56"/>
      <c r="M809" s="56"/>
      <c r="N809" s="56"/>
      <c r="O809" s="56"/>
      <c r="P809" s="56"/>
      <c r="Q809" s="56"/>
      <c r="R809" s="56"/>
      <c r="S809" s="56"/>
      <c r="T809" s="56"/>
      <c r="U809" s="56"/>
      <c r="V809" s="56"/>
      <c r="W809" s="56"/>
      <c r="X809" s="56"/>
      <c r="Y809" s="56"/>
      <c r="Z809" s="56"/>
      <c r="AA809" s="56"/>
      <c r="AB809" s="56"/>
      <c r="AC809" s="15"/>
    </row>
    <row r="810" spans="3:29" ht="12.75">
      <c r="C810" s="23"/>
      <c r="I810" s="23"/>
      <c r="L810" s="56"/>
      <c r="M810" s="56"/>
      <c r="N810" s="56"/>
      <c r="O810" s="56"/>
      <c r="P810" s="56"/>
      <c r="Q810" s="56"/>
      <c r="R810" s="56"/>
      <c r="S810" s="56"/>
      <c r="T810" s="56"/>
      <c r="U810" s="56"/>
      <c r="V810" s="56"/>
      <c r="W810" s="56"/>
      <c r="X810" s="56"/>
      <c r="Y810" s="56"/>
      <c r="Z810" s="56"/>
      <c r="AA810" s="56"/>
      <c r="AB810" s="56"/>
      <c r="AC810" s="15"/>
    </row>
    <row r="811" spans="3:29" ht="12.75">
      <c r="C811" s="23"/>
      <c r="I811" s="23"/>
      <c r="L811" s="56"/>
      <c r="M811" s="56"/>
      <c r="N811" s="56"/>
      <c r="O811" s="56"/>
      <c r="P811" s="56"/>
      <c r="Q811" s="56"/>
      <c r="R811" s="56"/>
      <c r="S811" s="56"/>
      <c r="T811" s="56"/>
      <c r="U811" s="56"/>
      <c r="V811" s="56"/>
      <c r="W811" s="56"/>
      <c r="X811" s="56"/>
      <c r="Y811" s="56"/>
      <c r="Z811" s="56"/>
      <c r="AA811" s="56"/>
      <c r="AB811" s="56"/>
      <c r="AC811" s="15"/>
    </row>
    <row r="812" spans="3:29" ht="12.75">
      <c r="C812" s="23"/>
      <c r="I812" s="23"/>
      <c r="L812" s="56"/>
      <c r="M812" s="56"/>
      <c r="N812" s="56"/>
      <c r="O812" s="56"/>
      <c r="P812" s="56"/>
      <c r="Q812" s="56"/>
      <c r="R812" s="56"/>
      <c r="S812" s="56"/>
      <c r="T812" s="56"/>
      <c r="U812" s="56"/>
      <c r="V812" s="56"/>
      <c r="W812" s="56"/>
      <c r="X812" s="56"/>
      <c r="Y812" s="56"/>
      <c r="Z812" s="56"/>
      <c r="AA812" s="56"/>
      <c r="AB812" s="56"/>
      <c r="AC812" s="15"/>
    </row>
    <row r="813" spans="3:29" ht="12.75">
      <c r="C813" s="23"/>
      <c r="I813" s="23"/>
      <c r="L813" s="56"/>
      <c r="M813" s="56"/>
      <c r="N813" s="56"/>
      <c r="O813" s="56"/>
      <c r="P813" s="56"/>
      <c r="Q813" s="56"/>
      <c r="R813" s="56"/>
      <c r="S813" s="56"/>
      <c r="T813" s="56"/>
      <c r="U813" s="56"/>
      <c r="V813" s="56"/>
      <c r="W813" s="56"/>
      <c r="X813" s="56"/>
      <c r="Y813" s="56"/>
      <c r="Z813" s="56"/>
      <c r="AA813" s="56"/>
      <c r="AB813" s="56"/>
      <c r="AC813" s="15"/>
    </row>
    <row r="814" spans="3:29" ht="12.75">
      <c r="C814" s="23"/>
      <c r="I814" s="23"/>
      <c r="L814" s="56"/>
      <c r="M814" s="56"/>
      <c r="N814" s="56"/>
      <c r="O814" s="56"/>
      <c r="P814" s="56"/>
      <c r="Q814" s="56"/>
      <c r="R814" s="56"/>
      <c r="S814" s="56"/>
      <c r="T814" s="56"/>
      <c r="U814" s="56"/>
      <c r="V814" s="56"/>
      <c r="W814" s="56"/>
      <c r="X814" s="56"/>
      <c r="Y814" s="56"/>
      <c r="Z814" s="56"/>
      <c r="AA814" s="56"/>
      <c r="AB814" s="56"/>
      <c r="AC814" s="15"/>
    </row>
    <row r="815" spans="3:29" ht="12.75">
      <c r="C815" s="23"/>
      <c r="I815" s="23"/>
      <c r="L815" s="56"/>
      <c r="M815" s="56"/>
      <c r="N815" s="56"/>
      <c r="O815" s="56"/>
      <c r="P815" s="56"/>
      <c r="Q815" s="56"/>
      <c r="R815" s="56"/>
      <c r="S815" s="56"/>
      <c r="T815" s="56"/>
      <c r="U815" s="56"/>
      <c r="V815" s="56"/>
      <c r="W815" s="56"/>
      <c r="X815" s="56"/>
      <c r="Y815" s="56"/>
      <c r="Z815" s="56"/>
      <c r="AA815" s="56"/>
      <c r="AB815" s="56"/>
      <c r="AC815" s="15"/>
    </row>
    <row r="816" spans="3:29" ht="12.75">
      <c r="C816" s="23"/>
      <c r="I816" s="23"/>
      <c r="L816" s="56"/>
      <c r="M816" s="56"/>
      <c r="N816" s="56"/>
      <c r="O816" s="56"/>
      <c r="P816" s="56"/>
      <c r="Q816" s="56"/>
      <c r="R816" s="56"/>
      <c r="S816" s="56"/>
      <c r="T816" s="56"/>
      <c r="U816" s="56"/>
      <c r="V816" s="56"/>
      <c r="W816" s="56"/>
      <c r="X816" s="56"/>
      <c r="Y816" s="56"/>
      <c r="Z816" s="56"/>
      <c r="AA816" s="56"/>
      <c r="AB816" s="56"/>
      <c r="AC816" s="15"/>
    </row>
    <row r="817" spans="3:29" ht="12.75">
      <c r="C817" s="23"/>
      <c r="I817" s="23"/>
      <c r="L817" s="56"/>
      <c r="M817" s="56"/>
      <c r="N817" s="56"/>
      <c r="O817" s="56"/>
      <c r="P817" s="56"/>
      <c r="Q817" s="56"/>
      <c r="R817" s="56"/>
      <c r="S817" s="56"/>
      <c r="T817" s="56"/>
      <c r="U817" s="56"/>
      <c r="V817" s="56"/>
      <c r="W817" s="56"/>
      <c r="X817" s="56"/>
      <c r="Y817" s="56"/>
      <c r="Z817" s="56"/>
      <c r="AA817" s="56"/>
      <c r="AB817" s="56"/>
      <c r="AC817" s="15"/>
    </row>
    <row r="818" spans="3:29" ht="12.75">
      <c r="C818" s="23"/>
      <c r="I818" s="23"/>
      <c r="L818" s="56"/>
      <c r="M818" s="56"/>
      <c r="N818" s="56"/>
      <c r="O818" s="56"/>
      <c r="P818" s="56"/>
      <c r="Q818" s="56"/>
      <c r="R818" s="56"/>
      <c r="S818" s="56"/>
      <c r="T818" s="56"/>
      <c r="U818" s="56"/>
      <c r="V818" s="56"/>
      <c r="W818" s="56"/>
      <c r="X818" s="56"/>
      <c r="Y818" s="56"/>
      <c r="Z818" s="56"/>
      <c r="AA818" s="56"/>
      <c r="AB818" s="56"/>
      <c r="AC818" s="15"/>
    </row>
    <row r="819" spans="3:29" ht="12.75">
      <c r="C819" s="23"/>
      <c r="I819" s="23"/>
      <c r="L819" s="56"/>
      <c r="M819" s="56"/>
      <c r="N819" s="56"/>
      <c r="O819" s="56"/>
      <c r="P819" s="56"/>
      <c r="Q819" s="56"/>
      <c r="R819" s="56"/>
      <c r="S819" s="56"/>
      <c r="T819" s="56"/>
      <c r="U819" s="56"/>
      <c r="V819" s="56"/>
      <c r="W819" s="56"/>
      <c r="X819" s="56"/>
      <c r="Y819" s="56"/>
      <c r="Z819" s="56"/>
      <c r="AA819" s="56"/>
      <c r="AB819" s="56"/>
      <c r="AC819" s="15"/>
    </row>
    <row r="820" spans="3:29" ht="12.75">
      <c r="C820" s="23"/>
      <c r="I820" s="23"/>
      <c r="L820" s="56"/>
      <c r="M820" s="56"/>
      <c r="N820" s="56"/>
      <c r="O820" s="56"/>
      <c r="P820" s="56"/>
      <c r="Q820" s="56"/>
      <c r="R820" s="56"/>
      <c r="S820" s="56"/>
      <c r="T820" s="56"/>
      <c r="U820" s="56"/>
      <c r="V820" s="56"/>
      <c r="W820" s="56"/>
      <c r="X820" s="56"/>
      <c r="Y820" s="56"/>
      <c r="Z820" s="56"/>
      <c r="AA820" s="56"/>
      <c r="AB820" s="56"/>
      <c r="AC820" s="15"/>
    </row>
    <row r="821" spans="3:29" ht="12.75">
      <c r="C821" s="23"/>
      <c r="I821" s="23"/>
      <c r="L821" s="56"/>
      <c r="M821" s="56"/>
      <c r="N821" s="56"/>
      <c r="O821" s="56"/>
      <c r="P821" s="56"/>
      <c r="Q821" s="56"/>
      <c r="R821" s="56"/>
      <c r="S821" s="56"/>
      <c r="T821" s="56"/>
      <c r="U821" s="56"/>
      <c r="V821" s="56"/>
      <c r="W821" s="56"/>
      <c r="X821" s="56"/>
      <c r="Y821" s="56"/>
      <c r="Z821" s="56"/>
      <c r="AA821" s="56"/>
      <c r="AB821" s="56"/>
      <c r="AC821" s="15"/>
    </row>
    <row r="822" spans="3:29" ht="12.75">
      <c r="C822" s="23"/>
      <c r="I822" s="23"/>
      <c r="L822" s="56"/>
      <c r="M822" s="56"/>
      <c r="N822" s="56"/>
      <c r="O822" s="56"/>
      <c r="P822" s="56"/>
      <c r="Q822" s="56"/>
      <c r="R822" s="56"/>
      <c r="S822" s="56"/>
      <c r="T822" s="56"/>
      <c r="U822" s="56"/>
      <c r="V822" s="56"/>
      <c r="W822" s="56"/>
      <c r="X822" s="56"/>
      <c r="Y822" s="56"/>
      <c r="Z822" s="56"/>
      <c r="AA822" s="56"/>
      <c r="AB822" s="56"/>
      <c r="AC822" s="15"/>
    </row>
    <row r="823" spans="3:29" ht="12.75">
      <c r="C823" s="23"/>
      <c r="I823" s="23"/>
      <c r="L823" s="56"/>
      <c r="M823" s="56"/>
      <c r="N823" s="56"/>
      <c r="O823" s="56"/>
      <c r="P823" s="56"/>
      <c r="Q823" s="56"/>
      <c r="R823" s="56"/>
      <c r="S823" s="56"/>
      <c r="T823" s="56"/>
      <c r="U823" s="56"/>
      <c r="V823" s="56"/>
      <c r="W823" s="56"/>
      <c r="X823" s="56"/>
      <c r="Y823" s="56"/>
      <c r="Z823" s="56"/>
      <c r="AA823" s="56"/>
      <c r="AB823" s="56"/>
      <c r="AC823" s="15"/>
    </row>
    <row r="824" spans="3:29" ht="12.75">
      <c r="C824" s="23"/>
      <c r="I824" s="23"/>
      <c r="L824" s="56"/>
      <c r="M824" s="56"/>
      <c r="N824" s="56"/>
      <c r="O824" s="56"/>
      <c r="P824" s="56"/>
      <c r="Q824" s="56"/>
      <c r="R824" s="56"/>
      <c r="S824" s="56"/>
      <c r="T824" s="56"/>
      <c r="U824" s="56"/>
      <c r="V824" s="56"/>
      <c r="W824" s="56"/>
      <c r="X824" s="56"/>
      <c r="Y824" s="56"/>
      <c r="Z824" s="56"/>
      <c r="AA824" s="56"/>
      <c r="AB824" s="56"/>
      <c r="AC824" s="15"/>
    </row>
    <row r="825" spans="3:29" ht="12.75">
      <c r="C825" s="23"/>
      <c r="I825" s="23"/>
      <c r="L825" s="56"/>
      <c r="M825" s="56"/>
      <c r="N825" s="56"/>
      <c r="O825" s="56"/>
      <c r="P825" s="56"/>
      <c r="Q825" s="56"/>
      <c r="R825" s="56"/>
      <c r="S825" s="56"/>
      <c r="T825" s="56"/>
      <c r="U825" s="56"/>
      <c r="V825" s="56"/>
      <c r="W825" s="56"/>
      <c r="X825" s="56"/>
      <c r="Y825" s="56"/>
      <c r="Z825" s="56"/>
      <c r="AA825" s="56"/>
      <c r="AB825" s="56"/>
      <c r="AC825" s="15"/>
    </row>
    <row r="826" spans="3:29" ht="12.75">
      <c r="C826" s="23"/>
      <c r="I826" s="23"/>
      <c r="L826" s="56"/>
      <c r="M826" s="56"/>
      <c r="N826" s="56"/>
      <c r="O826" s="56"/>
      <c r="P826" s="56"/>
      <c r="Q826" s="56"/>
      <c r="R826" s="56"/>
      <c r="S826" s="56"/>
      <c r="T826" s="56"/>
      <c r="U826" s="56"/>
      <c r="V826" s="56"/>
      <c r="W826" s="56"/>
      <c r="X826" s="56"/>
      <c r="Y826" s="56"/>
      <c r="Z826" s="56"/>
      <c r="AA826" s="56"/>
      <c r="AB826" s="56"/>
      <c r="AC826" s="15"/>
    </row>
    <row r="827" spans="3:29" ht="12.75">
      <c r="C827" s="23"/>
      <c r="I827" s="23"/>
      <c r="L827" s="56"/>
      <c r="M827" s="56"/>
      <c r="N827" s="56"/>
      <c r="O827" s="56"/>
      <c r="P827" s="56"/>
      <c r="Q827" s="56"/>
      <c r="R827" s="56"/>
      <c r="S827" s="56"/>
      <c r="T827" s="56"/>
      <c r="U827" s="56"/>
      <c r="V827" s="56"/>
      <c r="W827" s="56"/>
      <c r="X827" s="56"/>
      <c r="Y827" s="56"/>
      <c r="Z827" s="56"/>
      <c r="AA827" s="56"/>
      <c r="AB827" s="56"/>
      <c r="AC827" s="15"/>
    </row>
    <row r="828" spans="3:29" ht="12.75">
      <c r="C828" s="23"/>
      <c r="I828" s="23"/>
      <c r="L828" s="56"/>
      <c r="M828" s="56"/>
      <c r="N828" s="56"/>
      <c r="O828" s="56"/>
      <c r="P828" s="56"/>
      <c r="Q828" s="56"/>
      <c r="R828" s="56"/>
      <c r="S828" s="56"/>
      <c r="T828" s="56"/>
      <c r="U828" s="56"/>
      <c r="V828" s="56"/>
      <c r="W828" s="56"/>
      <c r="X828" s="56"/>
      <c r="Y828" s="56"/>
      <c r="Z828" s="56"/>
      <c r="AA828" s="56"/>
      <c r="AB828" s="56"/>
      <c r="AC828" s="15"/>
    </row>
    <row r="829" spans="3:29" ht="12.75">
      <c r="C829" s="23"/>
      <c r="I829" s="23"/>
      <c r="L829" s="56"/>
      <c r="M829" s="56"/>
      <c r="N829" s="56"/>
      <c r="O829" s="56"/>
      <c r="P829" s="56"/>
      <c r="Q829" s="56"/>
      <c r="R829" s="56"/>
      <c r="S829" s="56"/>
      <c r="T829" s="56"/>
      <c r="U829" s="56"/>
      <c r="V829" s="56"/>
      <c r="W829" s="56"/>
      <c r="X829" s="56"/>
      <c r="Y829" s="56"/>
      <c r="Z829" s="56"/>
      <c r="AA829" s="56"/>
      <c r="AB829" s="56"/>
      <c r="AC829" s="15"/>
    </row>
    <row r="830" spans="3:29" ht="12.75">
      <c r="C830" s="23"/>
      <c r="I830" s="23"/>
      <c r="L830" s="56"/>
      <c r="M830" s="56"/>
      <c r="N830" s="56"/>
      <c r="O830" s="56"/>
      <c r="P830" s="56"/>
      <c r="Q830" s="56"/>
      <c r="R830" s="56"/>
      <c r="S830" s="56"/>
      <c r="T830" s="56"/>
      <c r="U830" s="56"/>
      <c r="V830" s="56"/>
      <c r="W830" s="56"/>
      <c r="X830" s="56"/>
      <c r="Y830" s="56"/>
      <c r="Z830" s="56"/>
      <c r="AA830" s="56"/>
      <c r="AB830" s="56"/>
      <c r="AC830" s="15"/>
    </row>
    <row r="831" spans="3:29" ht="12.75">
      <c r="C831" s="23"/>
      <c r="I831" s="23"/>
      <c r="L831" s="56"/>
      <c r="M831" s="56"/>
      <c r="N831" s="56"/>
      <c r="O831" s="56"/>
      <c r="P831" s="56"/>
      <c r="Q831" s="56"/>
      <c r="R831" s="56"/>
      <c r="S831" s="56"/>
      <c r="T831" s="56"/>
      <c r="U831" s="56"/>
      <c r="V831" s="56"/>
      <c r="W831" s="56"/>
      <c r="X831" s="56"/>
      <c r="Y831" s="56"/>
      <c r="Z831" s="56"/>
      <c r="AA831" s="56"/>
      <c r="AB831" s="56"/>
      <c r="AC831" s="15"/>
    </row>
    <row r="832" spans="3:29" ht="12.75">
      <c r="C832" s="23"/>
      <c r="I832" s="23"/>
      <c r="L832" s="56"/>
      <c r="M832" s="56"/>
      <c r="N832" s="56"/>
      <c r="O832" s="56"/>
      <c r="P832" s="56"/>
      <c r="Q832" s="56"/>
      <c r="R832" s="56"/>
      <c r="S832" s="56"/>
      <c r="T832" s="56"/>
      <c r="U832" s="56"/>
      <c r="V832" s="56"/>
      <c r="W832" s="56"/>
      <c r="X832" s="56"/>
      <c r="Y832" s="56"/>
      <c r="Z832" s="56"/>
      <c r="AA832" s="56"/>
      <c r="AB832" s="56"/>
      <c r="AC832" s="15"/>
    </row>
    <row r="833" spans="3:29" ht="12.75">
      <c r="C833" s="23"/>
      <c r="I833" s="23"/>
      <c r="L833" s="56"/>
      <c r="M833" s="56"/>
      <c r="N833" s="56"/>
      <c r="O833" s="56"/>
      <c r="P833" s="56"/>
      <c r="Q833" s="56"/>
      <c r="R833" s="56"/>
      <c r="S833" s="56"/>
      <c r="T833" s="56"/>
      <c r="U833" s="56"/>
      <c r="V833" s="56"/>
      <c r="W833" s="56"/>
      <c r="X833" s="56"/>
      <c r="Y833" s="56"/>
      <c r="Z833" s="56"/>
      <c r="AA833" s="56"/>
      <c r="AB833" s="56"/>
      <c r="AC833" s="15"/>
    </row>
    <row r="834" spans="3:29" ht="12.75">
      <c r="C834" s="23"/>
      <c r="I834" s="23"/>
      <c r="L834" s="56"/>
      <c r="M834" s="56"/>
      <c r="N834" s="56"/>
      <c r="O834" s="56"/>
      <c r="P834" s="56"/>
      <c r="Q834" s="56"/>
      <c r="R834" s="56"/>
      <c r="S834" s="56"/>
      <c r="T834" s="56"/>
      <c r="U834" s="56"/>
      <c r="V834" s="56"/>
      <c r="W834" s="56"/>
      <c r="X834" s="56"/>
      <c r="Y834" s="56"/>
      <c r="Z834" s="56"/>
      <c r="AA834" s="56"/>
      <c r="AB834" s="56"/>
      <c r="AC834" s="15"/>
    </row>
    <row r="835" spans="3:29" ht="12.75">
      <c r="C835" s="23"/>
      <c r="I835" s="23"/>
      <c r="L835" s="56"/>
      <c r="M835" s="56"/>
      <c r="N835" s="56"/>
      <c r="O835" s="56"/>
      <c r="P835" s="56"/>
      <c r="Q835" s="56"/>
      <c r="R835" s="56"/>
      <c r="S835" s="56"/>
      <c r="T835" s="56"/>
      <c r="U835" s="56"/>
      <c r="V835" s="56"/>
      <c r="W835" s="56"/>
      <c r="X835" s="56"/>
      <c r="Y835" s="56"/>
      <c r="Z835" s="56"/>
      <c r="AA835" s="56"/>
      <c r="AB835" s="56"/>
      <c r="AC835" s="15"/>
    </row>
    <row r="836" spans="3:29" ht="12.75">
      <c r="C836" s="23"/>
      <c r="I836" s="23"/>
      <c r="L836" s="56"/>
      <c r="M836" s="56"/>
      <c r="N836" s="56"/>
      <c r="O836" s="56"/>
      <c r="P836" s="56"/>
      <c r="Q836" s="56"/>
      <c r="R836" s="56"/>
      <c r="S836" s="56"/>
      <c r="T836" s="56"/>
      <c r="U836" s="56"/>
      <c r="V836" s="56"/>
      <c r="W836" s="56"/>
      <c r="X836" s="56"/>
      <c r="Y836" s="56"/>
      <c r="Z836" s="56"/>
      <c r="AA836" s="56"/>
      <c r="AB836" s="56"/>
      <c r="AC836" s="15"/>
    </row>
    <row r="837" spans="3:29" ht="12.75">
      <c r="C837" s="23"/>
      <c r="I837" s="23"/>
      <c r="L837" s="56"/>
      <c r="M837" s="56"/>
      <c r="N837" s="56"/>
      <c r="O837" s="56"/>
      <c r="P837" s="56"/>
      <c r="Q837" s="56"/>
      <c r="R837" s="56"/>
      <c r="S837" s="56"/>
      <c r="T837" s="56"/>
      <c r="U837" s="56"/>
      <c r="V837" s="56"/>
      <c r="W837" s="56"/>
      <c r="X837" s="56"/>
      <c r="Y837" s="56"/>
      <c r="Z837" s="56"/>
      <c r="AA837" s="56"/>
      <c r="AB837" s="56"/>
      <c r="AC837" s="15"/>
    </row>
    <row r="838" spans="3:29" ht="12.75">
      <c r="C838" s="23"/>
      <c r="I838" s="23"/>
      <c r="L838" s="56"/>
      <c r="M838" s="56"/>
      <c r="N838" s="56"/>
      <c r="O838" s="56"/>
      <c r="P838" s="56"/>
      <c r="Q838" s="56"/>
      <c r="R838" s="56"/>
      <c r="S838" s="56"/>
      <c r="T838" s="56"/>
      <c r="U838" s="56"/>
      <c r="V838" s="56"/>
      <c r="W838" s="56"/>
      <c r="X838" s="56"/>
      <c r="Y838" s="56"/>
      <c r="Z838" s="56"/>
      <c r="AA838" s="56"/>
      <c r="AB838" s="56"/>
      <c r="AC838" s="15"/>
    </row>
    <row r="839" spans="3:29" ht="12.75">
      <c r="C839" s="23"/>
      <c r="I839" s="23"/>
      <c r="L839" s="56"/>
      <c r="M839" s="56"/>
      <c r="N839" s="56"/>
      <c r="O839" s="56"/>
      <c r="P839" s="56"/>
      <c r="Q839" s="56"/>
      <c r="R839" s="56"/>
      <c r="S839" s="56"/>
      <c r="T839" s="56"/>
      <c r="U839" s="56"/>
      <c r="V839" s="56"/>
      <c r="W839" s="56"/>
      <c r="X839" s="56"/>
      <c r="Y839" s="56"/>
      <c r="Z839" s="56"/>
      <c r="AA839" s="56"/>
      <c r="AB839" s="56"/>
      <c r="AC839" s="15"/>
    </row>
    <row r="840" spans="3:29" ht="12.75">
      <c r="C840" s="23"/>
      <c r="I840" s="23"/>
      <c r="L840" s="56"/>
      <c r="M840" s="56"/>
      <c r="N840" s="56"/>
      <c r="O840" s="56"/>
      <c r="P840" s="56"/>
      <c r="Q840" s="56"/>
      <c r="R840" s="56"/>
      <c r="S840" s="56"/>
      <c r="T840" s="56"/>
      <c r="U840" s="56"/>
      <c r="V840" s="56"/>
      <c r="W840" s="56"/>
      <c r="X840" s="56"/>
      <c r="Y840" s="56"/>
      <c r="Z840" s="56"/>
      <c r="AA840" s="56"/>
      <c r="AB840" s="56"/>
      <c r="AC840" s="15"/>
    </row>
    <row r="841" spans="3:29" ht="12.75">
      <c r="C841" s="23"/>
      <c r="I841" s="23"/>
      <c r="L841" s="56"/>
      <c r="M841" s="56"/>
      <c r="N841" s="56"/>
      <c r="O841" s="56"/>
      <c r="P841" s="56"/>
      <c r="Q841" s="56"/>
      <c r="R841" s="56"/>
      <c r="S841" s="56"/>
      <c r="T841" s="56"/>
      <c r="U841" s="56"/>
      <c r="V841" s="56"/>
      <c r="W841" s="56"/>
      <c r="X841" s="56"/>
      <c r="Y841" s="56"/>
      <c r="Z841" s="56"/>
      <c r="AA841" s="56"/>
      <c r="AB841" s="56"/>
      <c r="AC841" s="15"/>
    </row>
    <row r="842" spans="3:29" ht="12.75">
      <c r="C842" s="23"/>
      <c r="I842" s="23"/>
      <c r="L842" s="56"/>
      <c r="M842" s="56"/>
      <c r="N842" s="56"/>
      <c r="O842" s="56"/>
      <c r="P842" s="56"/>
      <c r="Q842" s="56"/>
      <c r="R842" s="56"/>
      <c r="S842" s="56"/>
      <c r="T842" s="56"/>
      <c r="U842" s="56"/>
      <c r="V842" s="56"/>
      <c r="W842" s="56"/>
      <c r="X842" s="56"/>
      <c r="Y842" s="56"/>
      <c r="Z842" s="56"/>
      <c r="AA842" s="56"/>
      <c r="AB842" s="56"/>
      <c r="AC842" s="15"/>
    </row>
    <row r="843" spans="3:29" ht="12.75">
      <c r="C843" s="23"/>
      <c r="I843" s="23"/>
      <c r="L843" s="56"/>
      <c r="M843" s="56"/>
      <c r="N843" s="56"/>
      <c r="O843" s="56"/>
      <c r="P843" s="56"/>
      <c r="Q843" s="56"/>
      <c r="R843" s="56"/>
      <c r="S843" s="56"/>
      <c r="T843" s="56"/>
      <c r="U843" s="56"/>
      <c r="V843" s="56"/>
      <c r="W843" s="56"/>
      <c r="X843" s="56"/>
      <c r="Y843" s="56"/>
      <c r="Z843" s="56"/>
      <c r="AA843" s="56"/>
      <c r="AB843" s="56"/>
      <c r="AC843" s="15"/>
    </row>
    <row r="844" spans="3:29" ht="12.75">
      <c r="C844" s="23"/>
      <c r="I844" s="23"/>
      <c r="L844" s="56"/>
      <c r="M844" s="56"/>
      <c r="N844" s="56"/>
      <c r="O844" s="56"/>
      <c r="P844" s="56"/>
      <c r="Q844" s="56"/>
      <c r="R844" s="56"/>
      <c r="S844" s="56"/>
      <c r="T844" s="56"/>
      <c r="U844" s="56"/>
      <c r="V844" s="56"/>
      <c r="W844" s="56"/>
      <c r="X844" s="56"/>
      <c r="Y844" s="56"/>
      <c r="Z844" s="56"/>
      <c r="AA844" s="56"/>
      <c r="AB844" s="56"/>
      <c r="AC844" s="15"/>
    </row>
    <row r="845" spans="3:29" ht="12.75">
      <c r="C845" s="23"/>
      <c r="I845" s="23"/>
      <c r="L845" s="56"/>
      <c r="M845" s="56"/>
      <c r="N845" s="56"/>
      <c r="O845" s="56"/>
      <c r="P845" s="56"/>
      <c r="Q845" s="56"/>
      <c r="R845" s="56"/>
      <c r="S845" s="56"/>
      <c r="T845" s="56"/>
      <c r="U845" s="56"/>
      <c r="V845" s="56"/>
      <c r="W845" s="56"/>
      <c r="X845" s="56"/>
      <c r="Y845" s="56"/>
      <c r="Z845" s="56"/>
      <c r="AA845" s="56"/>
      <c r="AB845" s="56"/>
      <c r="AC845" s="15"/>
    </row>
    <row r="846" spans="3:29" ht="12.75">
      <c r="C846" s="23"/>
      <c r="I846" s="23"/>
      <c r="L846" s="56"/>
      <c r="M846" s="56"/>
      <c r="N846" s="56"/>
      <c r="O846" s="56"/>
      <c r="P846" s="56"/>
      <c r="Q846" s="56"/>
      <c r="R846" s="56"/>
      <c r="S846" s="56"/>
      <c r="T846" s="56"/>
      <c r="U846" s="56"/>
      <c r="V846" s="56"/>
      <c r="W846" s="56"/>
      <c r="X846" s="56"/>
      <c r="Y846" s="56"/>
      <c r="Z846" s="56"/>
      <c r="AA846" s="56"/>
      <c r="AB846" s="56"/>
      <c r="AC846" s="15"/>
    </row>
    <row r="847" spans="3:29" ht="12.75">
      <c r="C847" s="23"/>
      <c r="I847" s="23"/>
      <c r="L847" s="56"/>
      <c r="M847" s="56"/>
      <c r="N847" s="56"/>
      <c r="O847" s="56"/>
      <c r="P847" s="56"/>
      <c r="Q847" s="56"/>
      <c r="R847" s="56"/>
      <c r="S847" s="56"/>
      <c r="T847" s="56"/>
      <c r="U847" s="56"/>
      <c r="V847" s="56"/>
      <c r="W847" s="56"/>
      <c r="X847" s="56"/>
      <c r="Y847" s="56"/>
      <c r="Z847" s="56"/>
      <c r="AA847" s="56"/>
      <c r="AB847" s="56"/>
      <c r="AC847" s="15"/>
    </row>
    <row r="848" spans="3:29" ht="12.75">
      <c r="C848" s="23"/>
      <c r="I848" s="23"/>
      <c r="L848" s="56"/>
      <c r="M848" s="56"/>
      <c r="N848" s="56"/>
      <c r="O848" s="56"/>
      <c r="P848" s="56"/>
      <c r="Q848" s="56"/>
      <c r="R848" s="56"/>
      <c r="S848" s="56"/>
      <c r="T848" s="56"/>
      <c r="U848" s="56"/>
      <c r="V848" s="56"/>
      <c r="W848" s="56"/>
      <c r="X848" s="56"/>
      <c r="Y848" s="56"/>
      <c r="Z848" s="56"/>
      <c r="AA848" s="56"/>
      <c r="AB848" s="56"/>
      <c r="AC848" s="15"/>
    </row>
    <row r="849" spans="3:29" ht="12.75">
      <c r="C849" s="23"/>
      <c r="I849" s="23"/>
      <c r="L849" s="56"/>
      <c r="M849" s="56"/>
      <c r="N849" s="56"/>
      <c r="O849" s="56"/>
      <c r="P849" s="56"/>
      <c r="Q849" s="56"/>
      <c r="R849" s="56"/>
      <c r="S849" s="56"/>
      <c r="T849" s="56"/>
      <c r="U849" s="56"/>
      <c r="V849" s="56"/>
      <c r="W849" s="56"/>
      <c r="X849" s="56"/>
      <c r="Y849" s="56"/>
      <c r="Z849" s="56"/>
      <c r="AA849" s="56"/>
      <c r="AB849" s="56"/>
      <c r="AC849" s="15"/>
    </row>
    <row r="850" spans="3:29" ht="12.75">
      <c r="C850" s="23"/>
      <c r="I850" s="23"/>
      <c r="L850" s="56"/>
      <c r="M850" s="56"/>
      <c r="N850" s="56"/>
      <c r="O850" s="56"/>
      <c r="P850" s="56"/>
      <c r="Q850" s="56"/>
      <c r="R850" s="56"/>
      <c r="S850" s="56"/>
      <c r="T850" s="56"/>
      <c r="U850" s="56"/>
      <c r="V850" s="56"/>
      <c r="W850" s="56"/>
      <c r="X850" s="56"/>
      <c r="Y850" s="56"/>
      <c r="Z850" s="56"/>
      <c r="AA850" s="56"/>
      <c r="AB850" s="56"/>
      <c r="AC850" s="15"/>
    </row>
    <row r="851" spans="3:29" ht="12.75">
      <c r="C851" s="23"/>
      <c r="I851" s="23"/>
      <c r="L851" s="56"/>
      <c r="M851" s="56"/>
      <c r="N851" s="56"/>
      <c r="O851" s="56"/>
      <c r="P851" s="56"/>
      <c r="Q851" s="56"/>
      <c r="R851" s="56"/>
      <c r="S851" s="56"/>
      <c r="T851" s="56"/>
      <c r="U851" s="56"/>
      <c r="V851" s="56"/>
      <c r="W851" s="56"/>
      <c r="X851" s="56"/>
      <c r="Y851" s="56"/>
      <c r="Z851" s="56"/>
      <c r="AA851" s="56"/>
      <c r="AB851" s="56"/>
      <c r="AC851" s="15"/>
    </row>
    <row r="852" spans="3:29" ht="12.75">
      <c r="C852" s="23"/>
      <c r="I852" s="23"/>
      <c r="L852" s="56"/>
      <c r="M852" s="56"/>
      <c r="N852" s="56"/>
      <c r="O852" s="56"/>
      <c r="P852" s="56"/>
      <c r="Q852" s="56"/>
      <c r="R852" s="56"/>
      <c r="S852" s="56"/>
      <c r="T852" s="56"/>
      <c r="U852" s="56"/>
      <c r="V852" s="56"/>
      <c r="W852" s="56"/>
      <c r="X852" s="56"/>
      <c r="Y852" s="56"/>
      <c r="Z852" s="56"/>
      <c r="AA852" s="56"/>
      <c r="AB852" s="56"/>
      <c r="AC852" s="15"/>
    </row>
    <row r="853" spans="3:29" ht="12.75">
      <c r="C853" s="23"/>
      <c r="I853" s="23"/>
      <c r="L853" s="56"/>
      <c r="M853" s="56"/>
      <c r="N853" s="56"/>
      <c r="O853" s="56"/>
      <c r="P853" s="56"/>
      <c r="Q853" s="56"/>
      <c r="R853" s="56"/>
      <c r="S853" s="56"/>
      <c r="T853" s="56"/>
      <c r="U853" s="56"/>
      <c r="V853" s="56"/>
      <c r="W853" s="56"/>
      <c r="X853" s="56"/>
      <c r="Y853" s="56"/>
      <c r="Z853" s="56"/>
      <c r="AA853" s="56"/>
      <c r="AB853" s="56"/>
      <c r="AC853" s="15"/>
    </row>
    <row r="854" spans="3:29" ht="12.75">
      <c r="C854" s="23"/>
      <c r="I854" s="23"/>
      <c r="L854" s="56"/>
      <c r="M854" s="56"/>
      <c r="N854" s="56"/>
      <c r="O854" s="56"/>
      <c r="P854" s="56"/>
      <c r="Q854" s="56"/>
      <c r="R854" s="56"/>
      <c r="S854" s="56"/>
      <c r="T854" s="56"/>
      <c r="U854" s="56"/>
      <c r="V854" s="56"/>
      <c r="W854" s="56"/>
      <c r="X854" s="56"/>
      <c r="Y854" s="56"/>
      <c r="Z854" s="56"/>
      <c r="AA854" s="56"/>
      <c r="AB854" s="56"/>
      <c r="AC854" s="15"/>
    </row>
    <row r="855" spans="3:29" ht="12.75">
      <c r="C855" s="23"/>
      <c r="I855" s="23"/>
      <c r="L855" s="56"/>
      <c r="M855" s="56"/>
      <c r="N855" s="56"/>
      <c r="O855" s="56"/>
      <c r="P855" s="56"/>
      <c r="Q855" s="56"/>
      <c r="R855" s="56"/>
      <c r="S855" s="56"/>
      <c r="T855" s="56"/>
      <c r="U855" s="56"/>
      <c r="V855" s="56"/>
      <c r="W855" s="56"/>
      <c r="X855" s="56"/>
      <c r="Y855" s="56"/>
      <c r="Z855" s="56"/>
      <c r="AA855" s="56"/>
      <c r="AB855" s="56"/>
      <c r="AC855" s="15"/>
    </row>
    <row r="856" spans="3:29" ht="12.75">
      <c r="C856" s="23"/>
      <c r="I856" s="23"/>
      <c r="L856" s="56"/>
      <c r="M856" s="56"/>
      <c r="N856" s="56"/>
      <c r="O856" s="56"/>
      <c r="P856" s="56"/>
      <c r="Q856" s="56"/>
      <c r="R856" s="56"/>
      <c r="S856" s="56"/>
      <c r="T856" s="56"/>
      <c r="U856" s="56"/>
      <c r="V856" s="56"/>
      <c r="W856" s="56"/>
      <c r="X856" s="56"/>
      <c r="Y856" s="56"/>
      <c r="Z856" s="56"/>
      <c r="AA856" s="56"/>
      <c r="AB856" s="56"/>
      <c r="AC856" s="15"/>
    </row>
    <row r="857" spans="3:29" ht="12.75">
      <c r="C857" s="23"/>
      <c r="I857" s="23"/>
      <c r="L857" s="56"/>
      <c r="M857" s="56"/>
      <c r="N857" s="56"/>
      <c r="O857" s="56"/>
      <c r="P857" s="56"/>
      <c r="Q857" s="56"/>
      <c r="R857" s="56"/>
      <c r="S857" s="56"/>
      <c r="T857" s="56"/>
      <c r="U857" s="56"/>
      <c r="V857" s="56"/>
      <c r="W857" s="56"/>
      <c r="X857" s="56"/>
      <c r="Y857" s="56"/>
      <c r="Z857" s="56"/>
      <c r="AA857" s="56"/>
      <c r="AB857" s="56"/>
      <c r="AC857" s="15"/>
    </row>
    <row r="858" spans="3:29" ht="12.75">
      <c r="C858" s="23"/>
      <c r="I858" s="23"/>
      <c r="L858" s="56"/>
      <c r="M858" s="56"/>
      <c r="N858" s="56"/>
      <c r="O858" s="56"/>
      <c r="P858" s="56"/>
      <c r="Q858" s="56"/>
      <c r="R858" s="56"/>
      <c r="S858" s="56"/>
      <c r="T858" s="56"/>
      <c r="U858" s="56"/>
      <c r="V858" s="56"/>
      <c r="W858" s="56"/>
      <c r="X858" s="56"/>
      <c r="Y858" s="56"/>
      <c r="Z858" s="56"/>
      <c r="AA858" s="56"/>
      <c r="AB858" s="56"/>
      <c r="AC858" s="15"/>
    </row>
    <row r="859" spans="3:29" ht="12.75">
      <c r="C859" s="23"/>
      <c r="I859" s="23"/>
      <c r="L859" s="56"/>
      <c r="M859" s="56"/>
      <c r="N859" s="56"/>
      <c r="O859" s="56"/>
      <c r="P859" s="56"/>
      <c r="Q859" s="56"/>
      <c r="R859" s="56"/>
      <c r="S859" s="56"/>
      <c r="T859" s="56"/>
      <c r="U859" s="56"/>
      <c r="V859" s="56"/>
      <c r="W859" s="56"/>
      <c r="X859" s="56"/>
      <c r="Y859" s="56"/>
      <c r="Z859" s="56"/>
      <c r="AA859" s="56"/>
      <c r="AB859" s="56"/>
      <c r="AC859" s="15"/>
    </row>
    <row r="860" spans="3:29" ht="12.75">
      <c r="C860" s="23"/>
      <c r="I860" s="23"/>
      <c r="L860" s="56"/>
      <c r="M860" s="56"/>
      <c r="N860" s="56"/>
      <c r="O860" s="56"/>
      <c r="P860" s="56"/>
      <c r="Q860" s="56"/>
      <c r="R860" s="56"/>
      <c r="S860" s="56"/>
      <c r="T860" s="56"/>
      <c r="U860" s="56"/>
      <c r="V860" s="56"/>
      <c r="W860" s="56"/>
      <c r="X860" s="56"/>
      <c r="Y860" s="56"/>
      <c r="Z860" s="56"/>
      <c r="AA860" s="56"/>
      <c r="AB860" s="56"/>
      <c r="AC860" s="15"/>
    </row>
    <row r="861" spans="3:29" ht="12.75">
      <c r="C861" s="23"/>
      <c r="I861" s="23"/>
      <c r="L861" s="56"/>
      <c r="M861" s="56"/>
      <c r="N861" s="56"/>
      <c r="O861" s="56"/>
      <c r="P861" s="56"/>
      <c r="Q861" s="56"/>
      <c r="R861" s="56"/>
      <c r="S861" s="56"/>
      <c r="T861" s="56"/>
      <c r="U861" s="56"/>
      <c r="V861" s="56"/>
      <c r="W861" s="56"/>
      <c r="X861" s="56"/>
      <c r="Y861" s="56"/>
      <c r="Z861" s="56"/>
      <c r="AA861" s="56"/>
      <c r="AB861" s="56"/>
      <c r="AC861" s="15"/>
    </row>
    <row r="862" spans="3:29" ht="12.75">
      <c r="C862" s="23"/>
      <c r="I862" s="23"/>
      <c r="L862" s="56"/>
      <c r="M862" s="56"/>
      <c r="N862" s="56"/>
      <c r="O862" s="56"/>
      <c r="P862" s="56"/>
      <c r="Q862" s="56"/>
      <c r="R862" s="56"/>
      <c r="S862" s="56"/>
      <c r="T862" s="56"/>
      <c r="U862" s="56"/>
      <c r="V862" s="56"/>
      <c r="W862" s="56"/>
      <c r="X862" s="56"/>
      <c r="Y862" s="56"/>
      <c r="Z862" s="56"/>
      <c r="AA862" s="56"/>
      <c r="AB862" s="56"/>
      <c r="AC862" s="15"/>
    </row>
    <row r="863" spans="3:29" ht="12.75">
      <c r="C863" s="23"/>
      <c r="I863" s="23"/>
      <c r="L863" s="56"/>
      <c r="M863" s="56"/>
      <c r="N863" s="56"/>
      <c r="O863" s="56"/>
      <c r="P863" s="56"/>
      <c r="Q863" s="56"/>
      <c r="R863" s="56"/>
      <c r="S863" s="56"/>
      <c r="T863" s="56"/>
      <c r="U863" s="56"/>
      <c r="V863" s="56"/>
      <c r="W863" s="56"/>
      <c r="X863" s="56"/>
      <c r="Y863" s="56"/>
      <c r="Z863" s="56"/>
      <c r="AA863" s="56"/>
      <c r="AB863" s="56"/>
      <c r="AC863" s="15"/>
    </row>
    <row r="864" spans="3:29" ht="12.75">
      <c r="C864" s="23"/>
      <c r="I864" s="23"/>
      <c r="L864" s="56"/>
      <c r="M864" s="56"/>
      <c r="N864" s="56"/>
      <c r="O864" s="56"/>
      <c r="P864" s="56"/>
      <c r="Q864" s="56"/>
      <c r="R864" s="56"/>
      <c r="S864" s="56"/>
      <c r="T864" s="56"/>
      <c r="U864" s="56"/>
      <c r="V864" s="56"/>
      <c r="W864" s="56"/>
      <c r="X864" s="56"/>
      <c r="Y864" s="56"/>
      <c r="Z864" s="56"/>
      <c r="AA864" s="56"/>
      <c r="AB864" s="56"/>
      <c r="AC864" s="15"/>
    </row>
    <row r="865" spans="3:29" ht="12.75">
      <c r="C865" s="23"/>
      <c r="I865" s="23"/>
      <c r="L865" s="56"/>
      <c r="M865" s="56"/>
      <c r="N865" s="56"/>
      <c r="O865" s="56"/>
      <c r="P865" s="56"/>
      <c r="Q865" s="56"/>
      <c r="R865" s="56"/>
      <c r="S865" s="56"/>
      <c r="T865" s="56"/>
      <c r="U865" s="56"/>
      <c r="V865" s="56"/>
      <c r="W865" s="56"/>
      <c r="X865" s="56"/>
      <c r="Y865" s="56"/>
      <c r="Z865" s="56"/>
      <c r="AA865" s="56"/>
      <c r="AB865" s="56"/>
      <c r="AC865" s="15"/>
    </row>
    <row r="866" spans="3:29" ht="12.75">
      <c r="C866" s="23"/>
      <c r="I866" s="23"/>
      <c r="L866" s="56"/>
      <c r="M866" s="56"/>
      <c r="N866" s="56"/>
      <c r="O866" s="56"/>
      <c r="P866" s="56"/>
      <c r="Q866" s="56"/>
      <c r="R866" s="56"/>
      <c r="S866" s="56"/>
      <c r="T866" s="56"/>
      <c r="U866" s="56"/>
      <c r="V866" s="56"/>
      <c r="W866" s="56"/>
      <c r="X866" s="56"/>
      <c r="Y866" s="56"/>
      <c r="Z866" s="56"/>
      <c r="AA866" s="56"/>
      <c r="AB866" s="56"/>
      <c r="AC866" s="15"/>
    </row>
    <row r="867" spans="3:29" ht="12.75">
      <c r="C867" s="23"/>
      <c r="I867" s="23"/>
      <c r="L867" s="56"/>
      <c r="M867" s="56"/>
      <c r="N867" s="56"/>
      <c r="O867" s="56"/>
      <c r="P867" s="56"/>
      <c r="Q867" s="56"/>
      <c r="R867" s="56"/>
      <c r="S867" s="56"/>
      <c r="T867" s="56"/>
      <c r="U867" s="56"/>
      <c r="V867" s="56"/>
      <c r="W867" s="56"/>
      <c r="X867" s="56"/>
      <c r="Y867" s="56"/>
      <c r="Z867" s="56"/>
      <c r="AA867" s="56"/>
      <c r="AB867" s="56"/>
      <c r="AC867" s="15"/>
    </row>
    <row r="868" spans="3:29" ht="12.75">
      <c r="C868" s="23"/>
      <c r="I868" s="23"/>
      <c r="L868" s="56"/>
      <c r="M868" s="56"/>
      <c r="N868" s="56"/>
      <c r="O868" s="56"/>
      <c r="P868" s="56"/>
      <c r="Q868" s="56"/>
      <c r="R868" s="56"/>
      <c r="S868" s="56"/>
      <c r="T868" s="56"/>
      <c r="U868" s="56"/>
      <c r="V868" s="56"/>
      <c r="W868" s="56"/>
      <c r="X868" s="56"/>
      <c r="Y868" s="56"/>
      <c r="Z868" s="56"/>
      <c r="AA868" s="56"/>
      <c r="AB868" s="56"/>
      <c r="AC868" s="15"/>
    </row>
    <row r="869" spans="3:29" ht="12.75">
      <c r="C869" s="23"/>
      <c r="I869" s="23"/>
      <c r="L869" s="56"/>
      <c r="M869" s="56"/>
      <c r="N869" s="56"/>
      <c r="O869" s="56"/>
      <c r="P869" s="56"/>
      <c r="Q869" s="56"/>
      <c r="R869" s="56"/>
      <c r="S869" s="56"/>
      <c r="T869" s="56"/>
      <c r="U869" s="56"/>
      <c r="V869" s="56"/>
      <c r="W869" s="56"/>
      <c r="X869" s="56"/>
      <c r="Y869" s="56"/>
      <c r="Z869" s="56"/>
      <c r="AA869" s="56"/>
      <c r="AB869" s="56"/>
      <c r="AC869" s="15"/>
    </row>
    <row r="870" spans="3:29" ht="12.75">
      <c r="C870" s="23"/>
      <c r="I870" s="23"/>
      <c r="L870" s="56"/>
      <c r="M870" s="56"/>
      <c r="N870" s="56"/>
      <c r="O870" s="56"/>
      <c r="P870" s="56"/>
      <c r="Q870" s="56"/>
      <c r="R870" s="56"/>
      <c r="S870" s="56"/>
      <c r="T870" s="56"/>
      <c r="U870" s="56"/>
      <c r="V870" s="56"/>
      <c r="W870" s="56"/>
      <c r="X870" s="56"/>
      <c r="Y870" s="56"/>
      <c r="Z870" s="56"/>
      <c r="AA870" s="56"/>
      <c r="AB870" s="56"/>
      <c r="AC870" s="15"/>
    </row>
    <row r="871" spans="3:29" ht="12.75">
      <c r="C871" s="23"/>
      <c r="I871" s="23"/>
      <c r="L871" s="56"/>
      <c r="M871" s="56"/>
      <c r="N871" s="56"/>
      <c r="O871" s="56"/>
      <c r="P871" s="56"/>
      <c r="Q871" s="56"/>
      <c r="R871" s="56"/>
      <c r="S871" s="56"/>
      <c r="T871" s="56"/>
      <c r="U871" s="56"/>
      <c r="V871" s="56"/>
      <c r="W871" s="56"/>
      <c r="X871" s="56"/>
      <c r="Y871" s="56"/>
      <c r="Z871" s="56"/>
      <c r="AA871" s="56"/>
      <c r="AB871" s="56"/>
      <c r="AC871" s="15"/>
    </row>
    <row r="872" spans="3:29" ht="12.75">
      <c r="C872" s="23"/>
      <c r="I872" s="23"/>
      <c r="L872" s="56"/>
      <c r="M872" s="56"/>
      <c r="N872" s="56"/>
      <c r="O872" s="56"/>
      <c r="P872" s="56"/>
      <c r="Q872" s="56"/>
      <c r="R872" s="56"/>
      <c r="S872" s="56"/>
      <c r="T872" s="56"/>
      <c r="U872" s="56"/>
      <c r="V872" s="56"/>
      <c r="W872" s="56"/>
      <c r="X872" s="56"/>
      <c r="Y872" s="56"/>
      <c r="Z872" s="56"/>
      <c r="AA872" s="56"/>
      <c r="AB872" s="56"/>
      <c r="AC872" s="15"/>
    </row>
    <row r="873" spans="3:29" ht="12.75">
      <c r="C873" s="23"/>
      <c r="I873" s="23"/>
      <c r="L873" s="56"/>
      <c r="M873" s="56"/>
      <c r="N873" s="56"/>
      <c r="O873" s="56"/>
      <c r="P873" s="56"/>
      <c r="Q873" s="56"/>
      <c r="R873" s="56"/>
      <c r="S873" s="56"/>
      <c r="T873" s="56"/>
      <c r="U873" s="56"/>
      <c r="V873" s="56"/>
      <c r="W873" s="56"/>
      <c r="X873" s="56"/>
      <c r="Y873" s="56"/>
      <c r="Z873" s="56"/>
      <c r="AA873" s="56"/>
      <c r="AB873" s="56"/>
      <c r="AC873" s="15"/>
    </row>
    <row r="874" spans="3:29" ht="12.75">
      <c r="C874" s="23"/>
      <c r="I874" s="23"/>
      <c r="L874" s="56"/>
      <c r="M874" s="56"/>
      <c r="N874" s="56"/>
      <c r="O874" s="56"/>
      <c r="P874" s="56"/>
      <c r="Q874" s="56"/>
      <c r="R874" s="56"/>
      <c r="S874" s="56"/>
      <c r="T874" s="56"/>
      <c r="U874" s="56"/>
      <c r="V874" s="56"/>
      <c r="W874" s="56"/>
      <c r="X874" s="56"/>
      <c r="Y874" s="56"/>
      <c r="Z874" s="56"/>
      <c r="AA874" s="56"/>
      <c r="AB874" s="56"/>
      <c r="AC874" s="15"/>
    </row>
    <row r="875" spans="3:29" ht="12.75">
      <c r="C875" s="23"/>
      <c r="I875" s="23"/>
      <c r="L875" s="56"/>
      <c r="M875" s="56"/>
      <c r="N875" s="56"/>
      <c r="O875" s="56"/>
      <c r="P875" s="56"/>
      <c r="Q875" s="56"/>
      <c r="R875" s="56"/>
      <c r="S875" s="56"/>
      <c r="T875" s="56"/>
      <c r="U875" s="56"/>
      <c r="V875" s="56"/>
      <c r="W875" s="56"/>
      <c r="X875" s="56"/>
      <c r="Y875" s="56"/>
      <c r="Z875" s="56"/>
      <c r="AA875" s="56"/>
      <c r="AB875" s="56"/>
      <c r="AC875" s="15"/>
    </row>
    <row r="876" spans="3:29" ht="12.75">
      <c r="C876" s="23"/>
      <c r="I876" s="23"/>
      <c r="L876" s="56"/>
      <c r="M876" s="56"/>
      <c r="N876" s="56"/>
      <c r="O876" s="56"/>
      <c r="P876" s="56"/>
      <c r="Q876" s="56"/>
      <c r="R876" s="56"/>
      <c r="S876" s="56"/>
      <c r="T876" s="56"/>
      <c r="U876" s="56"/>
      <c r="V876" s="56"/>
      <c r="W876" s="56"/>
      <c r="X876" s="56"/>
      <c r="Y876" s="56"/>
      <c r="Z876" s="56"/>
      <c r="AA876" s="56"/>
      <c r="AB876" s="56"/>
      <c r="AC876" s="15"/>
    </row>
    <row r="877" spans="3:29" ht="12.75">
      <c r="C877" s="23"/>
      <c r="I877" s="23"/>
      <c r="L877" s="56"/>
      <c r="M877" s="56"/>
      <c r="N877" s="56"/>
      <c r="O877" s="56"/>
      <c r="P877" s="56"/>
      <c r="Q877" s="56"/>
      <c r="R877" s="56"/>
      <c r="S877" s="56"/>
      <c r="T877" s="56"/>
      <c r="U877" s="56"/>
      <c r="V877" s="56"/>
      <c r="W877" s="56"/>
      <c r="X877" s="56"/>
      <c r="Y877" s="56"/>
      <c r="Z877" s="56"/>
      <c r="AA877" s="56"/>
      <c r="AB877" s="56"/>
      <c r="AC877" s="15"/>
    </row>
    <row r="878" spans="3:29" ht="12.75">
      <c r="C878" s="23"/>
      <c r="I878" s="23"/>
      <c r="L878" s="56"/>
      <c r="M878" s="56"/>
      <c r="N878" s="56"/>
      <c r="O878" s="56"/>
      <c r="P878" s="56"/>
      <c r="Q878" s="56"/>
      <c r="R878" s="56"/>
      <c r="S878" s="56"/>
      <c r="T878" s="56"/>
      <c r="U878" s="56"/>
      <c r="V878" s="56"/>
      <c r="W878" s="56"/>
      <c r="X878" s="56"/>
      <c r="Y878" s="56"/>
      <c r="Z878" s="56"/>
      <c r="AA878" s="56"/>
      <c r="AB878" s="56"/>
      <c r="AC878" s="15"/>
    </row>
    <row r="879" spans="3:29" ht="12.75">
      <c r="C879" s="23"/>
      <c r="I879" s="23"/>
      <c r="L879" s="56"/>
      <c r="M879" s="56"/>
      <c r="N879" s="56"/>
      <c r="O879" s="56"/>
      <c r="P879" s="56"/>
      <c r="Q879" s="56"/>
      <c r="R879" s="56"/>
      <c r="S879" s="56"/>
      <c r="T879" s="56"/>
      <c r="U879" s="56"/>
      <c r="V879" s="56"/>
      <c r="W879" s="56"/>
      <c r="X879" s="56"/>
      <c r="Y879" s="56"/>
      <c r="Z879" s="56"/>
      <c r="AA879" s="56"/>
      <c r="AB879" s="56"/>
      <c r="AC879" s="15"/>
    </row>
    <row r="880" spans="3:29" ht="12.75">
      <c r="C880" s="23"/>
      <c r="I880" s="23"/>
      <c r="L880" s="56"/>
      <c r="M880" s="56"/>
      <c r="N880" s="56"/>
      <c r="O880" s="56"/>
      <c r="P880" s="56"/>
      <c r="Q880" s="56"/>
      <c r="R880" s="56"/>
      <c r="S880" s="56"/>
      <c r="T880" s="56"/>
      <c r="U880" s="56"/>
      <c r="V880" s="56"/>
      <c r="W880" s="56"/>
      <c r="X880" s="56"/>
      <c r="Y880" s="56"/>
      <c r="Z880" s="56"/>
      <c r="AA880" s="56"/>
      <c r="AB880" s="56"/>
      <c r="AC880" s="15"/>
    </row>
    <row r="881" spans="3:29" ht="12.75">
      <c r="C881" s="23"/>
      <c r="I881" s="23"/>
      <c r="L881" s="56"/>
      <c r="M881" s="56"/>
      <c r="N881" s="56"/>
      <c r="O881" s="56"/>
      <c r="P881" s="56"/>
      <c r="Q881" s="56"/>
      <c r="R881" s="56"/>
      <c r="S881" s="56"/>
      <c r="T881" s="56"/>
      <c r="U881" s="56"/>
      <c r="V881" s="56"/>
      <c r="W881" s="56"/>
      <c r="X881" s="56"/>
      <c r="Y881" s="56"/>
      <c r="Z881" s="56"/>
      <c r="AA881" s="56"/>
      <c r="AB881" s="56"/>
      <c r="AC881" s="15"/>
    </row>
    <row r="882" spans="3:29" ht="12.75">
      <c r="C882" s="23"/>
      <c r="I882" s="23"/>
      <c r="L882" s="56"/>
      <c r="M882" s="56"/>
      <c r="N882" s="56"/>
      <c r="O882" s="56"/>
      <c r="P882" s="56"/>
      <c r="Q882" s="56"/>
      <c r="R882" s="56"/>
      <c r="S882" s="56"/>
      <c r="T882" s="56"/>
      <c r="U882" s="56"/>
      <c r="V882" s="56"/>
      <c r="W882" s="56"/>
      <c r="X882" s="56"/>
      <c r="Y882" s="56"/>
      <c r="Z882" s="56"/>
      <c r="AA882" s="56"/>
      <c r="AB882" s="56"/>
      <c r="AC882" s="15"/>
    </row>
    <row r="883" spans="3:29" ht="12.75">
      <c r="C883" s="23"/>
      <c r="I883" s="23"/>
      <c r="L883" s="56"/>
      <c r="M883" s="56"/>
      <c r="N883" s="56"/>
      <c r="O883" s="56"/>
      <c r="P883" s="56"/>
      <c r="Q883" s="56"/>
      <c r="R883" s="56"/>
      <c r="S883" s="56"/>
      <c r="T883" s="56"/>
      <c r="U883" s="56"/>
      <c r="V883" s="56"/>
      <c r="W883" s="56"/>
      <c r="X883" s="56"/>
      <c r="Y883" s="56"/>
      <c r="Z883" s="56"/>
      <c r="AA883" s="56"/>
      <c r="AB883" s="56"/>
      <c r="AC883" s="15"/>
    </row>
    <row r="884" spans="3:29" ht="12.75">
      <c r="C884" s="23"/>
      <c r="I884" s="23"/>
      <c r="L884" s="56"/>
      <c r="M884" s="56"/>
      <c r="N884" s="56"/>
      <c r="O884" s="56"/>
      <c r="P884" s="56"/>
      <c r="Q884" s="56"/>
      <c r="R884" s="56"/>
      <c r="S884" s="56"/>
      <c r="T884" s="56"/>
      <c r="U884" s="56"/>
      <c r="V884" s="56"/>
      <c r="W884" s="56"/>
      <c r="X884" s="56"/>
      <c r="Y884" s="56"/>
      <c r="Z884" s="56"/>
      <c r="AA884" s="56"/>
      <c r="AB884" s="56"/>
      <c r="AC884" s="15"/>
    </row>
    <row r="885" spans="3:29" ht="12.75">
      <c r="C885" s="23"/>
      <c r="I885" s="23"/>
      <c r="L885" s="56"/>
      <c r="M885" s="56"/>
      <c r="N885" s="56"/>
      <c r="O885" s="56"/>
      <c r="P885" s="56"/>
      <c r="Q885" s="56"/>
      <c r="R885" s="56"/>
      <c r="S885" s="56"/>
      <c r="T885" s="56"/>
      <c r="U885" s="56"/>
      <c r="V885" s="56"/>
      <c r="W885" s="56"/>
      <c r="X885" s="56"/>
      <c r="Y885" s="56"/>
      <c r="Z885" s="56"/>
      <c r="AA885" s="56"/>
      <c r="AB885" s="56"/>
      <c r="AC885" s="15"/>
    </row>
    <row r="886" spans="3:29" ht="12.75">
      <c r="C886" s="23"/>
      <c r="I886" s="23"/>
      <c r="L886" s="56"/>
      <c r="M886" s="56"/>
      <c r="N886" s="56"/>
      <c r="O886" s="56"/>
      <c r="P886" s="56"/>
      <c r="Q886" s="56"/>
      <c r="R886" s="56"/>
      <c r="S886" s="56"/>
      <c r="T886" s="56"/>
      <c r="U886" s="56"/>
      <c r="V886" s="56"/>
      <c r="W886" s="56"/>
      <c r="X886" s="56"/>
      <c r="Y886" s="56"/>
      <c r="Z886" s="56"/>
      <c r="AA886" s="56"/>
      <c r="AB886" s="56"/>
      <c r="AC886" s="15"/>
    </row>
    <row r="887" spans="3:29" ht="12.75">
      <c r="C887" s="23"/>
      <c r="I887" s="23"/>
      <c r="L887" s="56"/>
      <c r="M887" s="56"/>
      <c r="N887" s="56"/>
      <c r="O887" s="56"/>
      <c r="P887" s="56"/>
      <c r="Q887" s="56"/>
      <c r="R887" s="56"/>
      <c r="S887" s="56"/>
      <c r="T887" s="56"/>
      <c r="U887" s="56"/>
      <c r="V887" s="56"/>
      <c r="W887" s="56"/>
      <c r="X887" s="56"/>
      <c r="Y887" s="56"/>
      <c r="Z887" s="56"/>
      <c r="AA887" s="56"/>
      <c r="AB887" s="56"/>
      <c r="AC887" s="15"/>
    </row>
    <row r="888" spans="3:29" ht="12.75">
      <c r="C888" s="23"/>
      <c r="I888" s="23"/>
      <c r="L888" s="56"/>
      <c r="M888" s="56"/>
      <c r="N888" s="56"/>
      <c r="O888" s="56"/>
      <c r="P888" s="56"/>
      <c r="Q888" s="56"/>
      <c r="R888" s="56"/>
      <c r="S888" s="56"/>
      <c r="T888" s="56"/>
      <c r="U888" s="56"/>
      <c r="V888" s="56"/>
      <c r="W888" s="56"/>
      <c r="X888" s="56"/>
      <c r="Y888" s="56"/>
      <c r="Z888" s="56"/>
      <c r="AA888" s="56"/>
      <c r="AB888" s="56"/>
      <c r="AC888" s="15"/>
    </row>
    <row r="889" spans="3:29" ht="12.75">
      <c r="C889" s="23"/>
      <c r="I889" s="23"/>
      <c r="L889" s="56"/>
      <c r="M889" s="56"/>
      <c r="N889" s="56"/>
      <c r="O889" s="56"/>
      <c r="P889" s="56"/>
      <c r="Q889" s="56"/>
      <c r="R889" s="56"/>
      <c r="S889" s="56"/>
      <c r="T889" s="56"/>
      <c r="U889" s="56"/>
      <c r="V889" s="56"/>
      <c r="W889" s="56"/>
      <c r="X889" s="56"/>
      <c r="Y889" s="56"/>
      <c r="Z889" s="56"/>
      <c r="AA889" s="56"/>
      <c r="AB889" s="56"/>
      <c r="AC889" s="15"/>
    </row>
    <row r="890" spans="3:29" ht="12.75">
      <c r="C890" s="23"/>
      <c r="I890" s="23"/>
      <c r="L890" s="56"/>
      <c r="M890" s="56"/>
      <c r="N890" s="56"/>
      <c r="O890" s="56"/>
      <c r="P890" s="56"/>
      <c r="Q890" s="56"/>
      <c r="R890" s="56"/>
      <c r="S890" s="56"/>
      <c r="T890" s="56"/>
      <c r="U890" s="56"/>
      <c r="V890" s="56"/>
      <c r="W890" s="56"/>
      <c r="X890" s="56"/>
      <c r="Y890" s="56"/>
      <c r="Z890" s="56"/>
      <c r="AA890" s="56"/>
      <c r="AB890" s="56"/>
      <c r="AC890" s="15"/>
    </row>
    <row r="891" spans="3:29" ht="12.75">
      <c r="C891" s="23"/>
      <c r="I891" s="23"/>
      <c r="L891" s="56"/>
      <c r="M891" s="56"/>
      <c r="N891" s="56"/>
      <c r="O891" s="56"/>
      <c r="P891" s="56"/>
      <c r="Q891" s="56"/>
      <c r="R891" s="56"/>
      <c r="S891" s="56"/>
      <c r="T891" s="56"/>
      <c r="U891" s="56"/>
      <c r="V891" s="56"/>
      <c r="W891" s="56"/>
      <c r="X891" s="56"/>
      <c r="Y891" s="56"/>
      <c r="Z891" s="56"/>
      <c r="AA891" s="56"/>
      <c r="AB891" s="56"/>
      <c r="AC891" s="15"/>
    </row>
    <row r="892" spans="3:29" ht="12.75">
      <c r="C892" s="23"/>
      <c r="I892" s="23"/>
      <c r="L892" s="56"/>
      <c r="M892" s="56"/>
      <c r="N892" s="56"/>
      <c r="O892" s="56"/>
      <c r="P892" s="56"/>
      <c r="Q892" s="56"/>
      <c r="R892" s="56"/>
      <c r="S892" s="56"/>
      <c r="T892" s="56"/>
      <c r="U892" s="56"/>
      <c r="V892" s="56"/>
      <c r="W892" s="56"/>
      <c r="X892" s="56"/>
      <c r="Y892" s="56"/>
      <c r="Z892" s="56"/>
      <c r="AA892" s="56"/>
      <c r="AB892" s="56"/>
      <c r="AC892" s="15"/>
    </row>
    <row r="893" spans="3:29" ht="12.75">
      <c r="C893" s="23"/>
      <c r="I893" s="23"/>
      <c r="L893" s="56"/>
      <c r="M893" s="56"/>
      <c r="N893" s="56"/>
      <c r="O893" s="56"/>
      <c r="P893" s="56"/>
      <c r="Q893" s="56"/>
      <c r="R893" s="56"/>
      <c r="S893" s="56"/>
      <c r="T893" s="56"/>
      <c r="U893" s="56"/>
      <c r="V893" s="56"/>
      <c r="W893" s="56"/>
      <c r="X893" s="56"/>
      <c r="Y893" s="56"/>
      <c r="Z893" s="56"/>
      <c r="AA893" s="56"/>
      <c r="AB893" s="56"/>
      <c r="AC893" s="15"/>
    </row>
    <row r="894" spans="3:29" ht="12.75">
      <c r="C894" s="23"/>
      <c r="I894" s="23"/>
      <c r="L894" s="56"/>
      <c r="M894" s="56"/>
      <c r="N894" s="56"/>
      <c r="O894" s="56"/>
      <c r="P894" s="56"/>
      <c r="Q894" s="56"/>
      <c r="R894" s="56"/>
      <c r="S894" s="56"/>
      <c r="T894" s="56"/>
      <c r="U894" s="56"/>
      <c r="V894" s="56"/>
      <c r="W894" s="56"/>
      <c r="X894" s="56"/>
      <c r="Y894" s="56"/>
      <c r="Z894" s="56"/>
      <c r="AA894" s="56"/>
      <c r="AB894" s="56"/>
      <c r="AC894" s="15"/>
    </row>
    <row r="895" spans="3:29" ht="12.75">
      <c r="C895" s="23"/>
      <c r="I895" s="23"/>
      <c r="L895" s="56"/>
      <c r="M895" s="56"/>
      <c r="N895" s="56"/>
      <c r="O895" s="56"/>
      <c r="P895" s="56"/>
      <c r="Q895" s="56"/>
      <c r="R895" s="56"/>
      <c r="S895" s="56"/>
      <c r="T895" s="56"/>
      <c r="U895" s="56"/>
      <c r="V895" s="56"/>
      <c r="W895" s="56"/>
      <c r="X895" s="56"/>
      <c r="Y895" s="56"/>
      <c r="Z895" s="56"/>
      <c r="AA895" s="56"/>
      <c r="AB895" s="56"/>
      <c r="AC895" s="15"/>
    </row>
    <row r="896" spans="3:29" ht="12.75">
      <c r="C896" s="23"/>
      <c r="I896" s="23"/>
      <c r="L896" s="56"/>
      <c r="M896" s="56"/>
      <c r="N896" s="56"/>
      <c r="O896" s="56"/>
      <c r="P896" s="56"/>
      <c r="Q896" s="56"/>
      <c r="R896" s="56"/>
      <c r="S896" s="56"/>
      <c r="T896" s="56"/>
      <c r="U896" s="56"/>
      <c r="V896" s="56"/>
      <c r="W896" s="56"/>
      <c r="X896" s="56"/>
      <c r="Y896" s="56"/>
      <c r="Z896" s="56"/>
      <c r="AA896" s="56"/>
      <c r="AB896" s="56"/>
      <c r="AC896" s="15"/>
    </row>
    <row r="897" spans="3:29" ht="12.75">
      <c r="C897" s="23"/>
      <c r="I897" s="23"/>
      <c r="L897" s="56"/>
      <c r="M897" s="56"/>
      <c r="N897" s="56"/>
      <c r="O897" s="56"/>
      <c r="P897" s="56"/>
      <c r="Q897" s="56"/>
      <c r="R897" s="56"/>
      <c r="S897" s="56"/>
      <c r="T897" s="56"/>
      <c r="U897" s="56"/>
      <c r="V897" s="56"/>
      <c r="W897" s="56"/>
      <c r="X897" s="56"/>
      <c r="Y897" s="56"/>
      <c r="Z897" s="56"/>
      <c r="AA897" s="56"/>
      <c r="AB897" s="56"/>
      <c r="AC897" s="15"/>
    </row>
    <row r="898" spans="3:29" ht="12.75">
      <c r="C898" s="23"/>
      <c r="I898" s="23"/>
      <c r="L898" s="56"/>
      <c r="M898" s="56"/>
      <c r="N898" s="56"/>
      <c r="O898" s="56"/>
      <c r="P898" s="56"/>
      <c r="Q898" s="56"/>
      <c r="R898" s="56"/>
      <c r="S898" s="56"/>
      <c r="T898" s="56"/>
      <c r="U898" s="56"/>
      <c r="V898" s="56"/>
      <c r="W898" s="56"/>
      <c r="X898" s="56"/>
      <c r="Y898" s="56"/>
      <c r="Z898" s="56"/>
      <c r="AA898" s="56"/>
      <c r="AB898" s="56"/>
      <c r="AC898" s="15"/>
    </row>
    <row r="899" spans="3:29" ht="12.75">
      <c r="C899" s="23"/>
      <c r="I899" s="23"/>
      <c r="L899" s="56"/>
      <c r="M899" s="56"/>
      <c r="N899" s="56"/>
      <c r="O899" s="56"/>
      <c r="P899" s="56"/>
      <c r="Q899" s="56"/>
      <c r="R899" s="56"/>
      <c r="S899" s="56"/>
      <c r="T899" s="56"/>
      <c r="U899" s="56"/>
      <c r="V899" s="56"/>
      <c r="W899" s="56"/>
      <c r="X899" s="56"/>
      <c r="Y899" s="56"/>
      <c r="Z899" s="56"/>
      <c r="AA899" s="56"/>
      <c r="AB899" s="56"/>
      <c r="AC899" s="15"/>
    </row>
    <row r="900" spans="3:29" ht="12.75">
      <c r="C900" s="23"/>
      <c r="I900" s="23"/>
      <c r="L900" s="56"/>
      <c r="M900" s="56"/>
      <c r="N900" s="56"/>
      <c r="O900" s="56"/>
      <c r="P900" s="56"/>
      <c r="Q900" s="56"/>
      <c r="R900" s="56"/>
      <c r="S900" s="56"/>
      <c r="T900" s="56"/>
      <c r="U900" s="56"/>
      <c r="V900" s="56"/>
      <c r="W900" s="56"/>
      <c r="X900" s="56"/>
      <c r="Y900" s="56"/>
      <c r="Z900" s="56"/>
      <c r="AA900" s="56"/>
      <c r="AB900" s="56"/>
      <c r="AC900" s="15"/>
    </row>
    <row r="901" spans="3:29" ht="12.75">
      <c r="C901" s="23"/>
      <c r="I901" s="23"/>
      <c r="L901" s="56"/>
      <c r="M901" s="56"/>
      <c r="N901" s="56"/>
      <c r="O901" s="56"/>
      <c r="P901" s="56"/>
      <c r="Q901" s="56"/>
      <c r="R901" s="56"/>
      <c r="S901" s="56"/>
      <c r="T901" s="56"/>
      <c r="U901" s="56"/>
      <c r="V901" s="56"/>
      <c r="W901" s="56"/>
      <c r="X901" s="56"/>
      <c r="Y901" s="56"/>
      <c r="Z901" s="56"/>
      <c r="AA901" s="56"/>
      <c r="AB901" s="56"/>
      <c r="AC901" s="15"/>
    </row>
    <row r="902" spans="3:29" ht="12.75">
      <c r="C902" s="23"/>
      <c r="I902" s="23"/>
      <c r="L902" s="56"/>
      <c r="M902" s="56"/>
      <c r="N902" s="56"/>
      <c r="O902" s="56"/>
      <c r="P902" s="56"/>
      <c r="Q902" s="56"/>
      <c r="R902" s="56"/>
      <c r="S902" s="56"/>
      <c r="T902" s="56"/>
      <c r="U902" s="56"/>
      <c r="V902" s="56"/>
      <c r="W902" s="56"/>
      <c r="X902" s="56"/>
      <c r="Y902" s="56"/>
      <c r="Z902" s="56"/>
      <c r="AA902" s="56"/>
      <c r="AB902" s="56"/>
      <c r="AC902" s="15"/>
    </row>
    <row r="903" spans="3:29" ht="12.75">
      <c r="C903" s="23"/>
      <c r="I903" s="23"/>
      <c r="L903" s="56"/>
      <c r="M903" s="56"/>
      <c r="N903" s="56"/>
      <c r="O903" s="56"/>
      <c r="P903" s="56"/>
      <c r="Q903" s="56"/>
      <c r="R903" s="56"/>
      <c r="S903" s="56"/>
      <c r="T903" s="56"/>
      <c r="U903" s="56"/>
      <c r="V903" s="56"/>
      <c r="W903" s="56"/>
      <c r="X903" s="56"/>
      <c r="Y903" s="56"/>
      <c r="Z903" s="56"/>
      <c r="AA903" s="56"/>
      <c r="AB903" s="56"/>
      <c r="AC903" s="15"/>
    </row>
    <row r="904" spans="3:29" ht="12.75">
      <c r="C904" s="23"/>
      <c r="I904" s="23"/>
      <c r="L904" s="56"/>
      <c r="M904" s="56"/>
      <c r="N904" s="56"/>
      <c r="O904" s="56"/>
      <c r="P904" s="56"/>
      <c r="Q904" s="56"/>
      <c r="R904" s="56"/>
      <c r="S904" s="56"/>
      <c r="T904" s="56"/>
      <c r="U904" s="56"/>
      <c r="V904" s="56"/>
      <c r="W904" s="56"/>
      <c r="X904" s="56"/>
      <c r="Y904" s="56"/>
      <c r="Z904" s="56"/>
      <c r="AA904" s="56"/>
      <c r="AB904" s="56"/>
      <c r="AC904" s="15"/>
    </row>
    <row r="905" spans="3:29" ht="12.75">
      <c r="C905" s="23"/>
      <c r="I905" s="23"/>
      <c r="L905" s="56"/>
      <c r="M905" s="56"/>
      <c r="N905" s="56"/>
      <c r="O905" s="56"/>
      <c r="P905" s="56"/>
      <c r="Q905" s="56"/>
      <c r="R905" s="56"/>
      <c r="S905" s="56"/>
      <c r="T905" s="56"/>
      <c r="U905" s="56"/>
      <c r="V905" s="56"/>
      <c r="W905" s="56"/>
      <c r="X905" s="56"/>
      <c r="Y905" s="56"/>
      <c r="Z905" s="56"/>
      <c r="AA905" s="56"/>
      <c r="AB905" s="56"/>
      <c r="AC905" s="15"/>
    </row>
    <row r="906" spans="3:29" ht="12.75">
      <c r="C906" s="23"/>
      <c r="I906" s="23"/>
      <c r="L906" s="56"/>
      <c r="M906" s="56"/>
      <c r="N906" s="56"/>
      <c r="O906" s="56"/>
      <c r="P906" s="56"/>
      <c r="Q906" s="56"/>
      <c r="R906" s="56"/>
      <c r="S906" s="56"/>
      <c r="T906" s="56"/>
      <c r="U906" s="56"/>
      <c r="V906" s="56"/>
      <c r="W906" s="56"/>
      <c r="X906" s="56"/>
      <c r="Y906" s="56"/>
      <c r="Z906" s="56"/>
      <c r="AA906" s="56"/>
      <c r="AB906" s="56"/>
      <c r="AC906" s="15"/>
    </row>
    <row r="907" spans="3:29" ht="12.75">
      <c r="C907" s="23"/>
      <c r="I907" s="23"/>
      <c r="L907" s="56"/>
      <c r="M907" s="56"/>
      <c r="N907" s="56"/>
      <c r="O907" s="56"/>
      <c r="P907" s="56"/>
      <c r="Q907" s="56"/>
      <c r="R907" s="56"/>
      <c r="S907" s="56"/>
      <c r="T907" s="56"/>
      <c r="U907" s="56"/>
      <c r="V907" s="56"/>
      <c r="W907" s="56"/>
      <c r="X907" s="56"/>
      <c r="Y907" s="56"/>
      <c r="Z907" s="56"/>
      <c r="AA907" s="56"/>
      <c r="AB907" s="56"/>
      <c r="AC907" s="15"/>
    </row>
    <row r="908" spans="3:29" ht="12.75">
      <c r="C908" s="23"/>
      <c r="I908" s="23"/>
      <c r="L908" s="56"/>
      <c r="M908" s="56"/>
      <c r="N908" s="56"/>
      <c r="O908" s="56"/>
      <c r="P908" s="56"/>
      <c r="Q908" s="56"/>
      <c r="R908" s="56"/>
      <c r="S908" s="56"/>
      <c r="T908" s="56"/>
      <c r="U908" s="56"/>
      <c r="V908" s="56"/>
      <c r="W908" s="56"/>
      <c r="X908" s="56"/>
      <c r="Y908" s="56"/>
      <c r="Z908" s="56"/>
      <c r="AA908" s="56"/>
      <c r="AB908" s="56"/>
      <c r="AC908" s="15"/>
    </row>
    <row r="909" spans="3:29" ht="12.75">
      <c r="C909" s="23"/>
      <c r="I909" s="23"/>
      <c r="L909" s="56"/>
      <c r="M909" s="56"/>
      <c r="N909" s="56"/>
      <c r="O909" s="56"/>
      <c r="P909" s="56"/>
      <c r="Q909" s="56"/>
      <c r="R909" s="56"/>
      <c r="S909" s="56"/>
      <c r="T909" s="56"/>
      <c r="U909" s="56"/>
      <c r="V909" s="56"/>
      <c r="W909" s="56"/>
      <c r="X909" s="56"/>
      <c r="Y909" s="56"/>
      <c r="Z909" s="56"/>
      <c r="AA909" s="56"/>
      <c r="AB909" s="56"/>
      <c r="AC909" s="15"/>
    </row>
    <row r="910" spans="3:29" ht="12.75">
      <c r="C910" s="23"/>
      <c r="I910" s="23"/>
      <c r="L910" s="56"/>
      <c r="M910" s="56"/>
      <c r="N910" s="56"/>
      <c r="O910" s="56"/>
      <c r="P910" s="56"/>
      <c r="Q910" s="56"/>
      <c r="R910" s="56"/>
      <c r="S910" s="56"/>
      <c r="T910" s="56"/>
      <c r="U910" s="56"/>
      <c r="V910" s="56"/>
      <c r="W910" s="56"/>
      <c r="X910" s="56"/>
      <c r="Y910" s="56"/>
      <c r="Z910" s="56"/>
      <c r="AA910" s="56"/>
      <c r="AB910" s="56"/>
      <c r="AC910" s="15"/>
    </row>
    <row r="911" spans="3:29" ht="12.75">
      <c r="C911" s="23"/>
      <c r="I911" s="23"/>
      <c r="L911" s="56"/>
      <c r="M911" s="56"/>
      <c r="N911" s="56"/>
      <c r="O911" s="56"/>
      <c r="P911" s="56"/>
      <c r="Q911" s="56"/>
      <c r="R911" s="56"/>
      <c r="S911" s="56"/>
      <c r="T911" s="56"/>
      <c r="U911" s="56"/>
      <c r="V911" s="56"/>
      <c r="W911" s="56"/>
      <c r="X911" s="56"/>
      <c r="Y911" s="56"/>
      <c r="Z911" s="56"/>
      <c r="AA911" s="56"/>
      <c r="AB911" s="56"/>
      <c r="AC911" s="15"/>
    </row>
    <row r="912" spans="3:29" ht="12.75">
      <c r="C912" s="23"/>
      <c r="I912" s="23"/>
      <c r="L912" s="56"/>
      <c r="M912" s="56"/>
      <c r="N912" s="56"/>
      <c r="O912" s="56"/>
      <c r="P912" s="56"/>
      <c r="Q912" s="56"/>
      <c r="R912" s="56"/>
      <c r="S912" s="56"/>
      <c r="T912" s="56"/>
      <c r="U912" s="56"/>
      <c r="V912" s="56"/>
      <c r="W912" s="56"/>
      <c r="X912" s="56"/>
      <c r="Y912" s="56"/>
      <c r="Z912" s="56"/>
      <c r="AA912" s="56"/>
      <c r="AB912" s="56"/>
      <c r="AC912" s="15"/>
    </row>
    <row r="913" spans="3:29" ht="12.75">
      <c r="C913" s="23"/>
      <c r="I913" s="23"/>
      <c r="L913" s="56"/>
      <c r="M913" s="56"/>
      <c r="N913" s="56"/>
      <c r="O913" s="56"/>
      <c r="P913" s="56"/>
      <c r="Q913" s="56"/>
      <c r="R913" s="56"/>
      <c r="S913" s="56"/>
      <c r="T913" s="56"/>
      <c r="U913" s="56"/>
      <c r="V913" s="56"/>
      <c r="W913" s="56"/>
      <c r="X913" s="56"/>
      <c r="Y913" s="56"/>
      <c r="Z913" s="56"/>
      <c r="AA913" s="56"/>
      <c r="AB913" s="56"/>
      <c r="AC913" s="15"/>
    </row>
    <row r="914" spans="3:29" ht="12.75">
      <c r="C914" s="23"/>
      <c r="I914" s="23"/>
      <c r="L914" s="56"/>
      <c r="M914" s="56"/>
      <c r="N914" s="56"/>
      <c r="O914" s="56"/>
      <c r="P914" s="56"/>
      <c r="Q914" s="56"/>
      <c r="R914" s="56"/>
      <c r="S914" s="56"/>
      <c r="T914" s="56"/>
      <c r="U914" s="56"/>
      <c r="V914" s="56"/>
      <c r="W914" s="56"/>
      <c r="X914" s="56"/>
      <c r="Y914" s="56"/>
      <c r="Z914" s="56"/>
      <c r="AA914" s="56"/>
      <c r="AB914" s="56"/>
      <c r="AC914" s="15"/>
    </row>
    <row r="915" spans="3:29" ht="12.75">
      <c r="C915" s="23"/>
      <c r="I915" s="23"/>
      <c r="L915" s="56"/>
      <c r="M915" s="56"/>
      <c r="N915" s="56"/>
      <c r="O915" s="56"/>
      <c r="P915" s="56"/>
      <c r="Q915" s="56"/>
      <c r="R915" s="56"/>
      <c r="S915" s="56"/>
      <c r="T915" s="56"/>
      <c r="U915" s="56"/>
      <c r="V915" s="56"/>
      <c r="W915" s="56"/>
      <c r="X915" s="56"/>
      <c r="Y915" s="56"/>
      <c r="Z915" s="56"/>
      <c r="AA915" s="56"/>
      <c r="AB915" s="56"/>
      <c r="AC915" s="15"/>
    </row>
    <row r="916" spans="3:29" ht="12.75">
      <c r="C916" s="23"/>
      <c r="I916" s="23"/>
      <c r="L916" s="56"/>
      <c r="M916" s="56"/>
      <c r="N916" s="56"/>
      <c r="O916" s="56"/>
      <c r="P916" s="56"/>
      <c r="Q916" s="56"/>
      <c r="R916" s="56"/>
      <c r="S916" s="56"/>
      <c r="T916" s="56"/>
      <c r="U916" s="56"/>
      <c r="V916" s="56"/>
      <c r="W916" s="56"/>
      <c r="X916" s="56"/>
      <c r="Y916" s="56"/>
      <c r="Z916" s="56"/>
      <c r="AA916" s="56"/>
      <c r="AB916" s="56"/>
      <c r="AC916" s="15"/>
    </row>
    <row r="917" spans="3:29" ht="12.75">
      <c r="C917" s="23"/>
      <c r="I917" s="23"/>
      <c r="L917" s="56"/>
      <c r="M917" s="56"/>
      <c r="N917" s="56"/>
      <c r="O917" s="56"/>
      <c r="P917" s="56"/>
      <c r="Q917" s="56"/>
      <c r="R917" s="56"/>
      <c r="S917" s="56"/>
      <c r="T917" s="56"/>
      <c r="U917" s="56"/>
      <c r="V917" s="56"/>
      <c r="W917" s="56"/>
      <c r="X917" s="56"/>
      <c r="Y917" s="56"/>
      <c r="Z917" s="56"/>
      <c r="AA917" s="56"/>
      <c r="AB917" s="56"/>
      <c r="AC917" s="15"/>
    </row>
    <row r="918" spans="3:29" ht="12.75">
      <c r="C918" s="23"/>
      <c r="I918" s="23"/>
      <c r="L918" s="56"/>
      <c r="M918" s="56"/>
      <c r="N918" s="56"/>
      <c r="O918" s="56"/>
      <c r="P918" s="56"/>
      <c r="Q918" s="56"/>
      <c r="R918" s="56"/>
      <c r="S918" s="56"/>
      <c r="T918" s="56"/>
      <c r="U918" s="56"/>
      <c r="V918" s="56"/>
      <c r="W918" s="56"/>
      <c r="X918" s="56"/>
      <c r="Y918" s="56"/>
      <c r="Z918" s="56"/>
      <c r="AA918" s="56"/>
      <c r="AB918" s="56"/>
      <c r="AC918" s="15"/>
    </row>
    <row r="919" spans="3:29" ht="12.75">
      <c r="C919" s="23"/>
      <c r="I919" s="23"/>
      <c r="L919" s="56"/>
      <c r="M919" s="56"/>
      <c r="N919" s="56"/>
      <c r="O919" s="56"/>
      <c r="P919" s="56"/>
      <c r="Q919" s="56"/>
      <c r="R919" s="56"/>
      <c r="S919" s="56"/>
      <c r="T919" s="56"/>
      <c r="U919" s="56"/>
      <c r="V919" s="56"/>
      <c r="W919" s="56"/>
      <c r="X919" s="56"/>
      <c r="Y919" s="56"/>
      <c r="Z919" s="56"/>
      <c r="AA919" s="56"/>
      <c r="AB919" s="56"/>
      <c r="AC919" s="15"/>
    </row>
    <row r="920" spans="3:29" ht="12.75">
      <c r="C920" s="23"/>
      <c r="I920" s="23"/>
      <c r="L920" s="56"/>
      <c r="M920" s="56"/>
      <c r="N920" s="56"/>
      <c r="O920" s="56"/>
      <c r="P920" s="56"/>
      <c r="Q920" s="56"/>
      <c r="R920" s="56"/>
      <c r="S920" s="56"/>
      <c r="T920" s="56"/>
      <c r="U920" s="56"/>
      <c r="V920" s="56"/>
      <c r="W920" s="56"/>
      <c r="X920" s="56"/>
      <c r="Y920" s="56"/>
      <c r="Z920" s="56"/>
      <c r="AA920" s="56"/>
      <c r="AB920" s="56"/>
      <c r="AC920" s="15"/>
    </row>
    <row r="921" spans="3:29" ht="12.75">
      <c r="C921" s="23"/>
      <c r="I921" s="23"/>
      <c r="L921" s="56"/>
      <c r="M921" s="56"/>
      <c r="N921" s="56"/>
      <c r="O921" s="56"/>
      <c r="P921" s="56"/>
      <c r="Q921" s="56"/>
      <c r="R921" s="56"/>
      <c r="S921" s="56"/>
      <c r="T921" s="56"/>
      <c r="U921" s="56"/>
      <c r="V921" s="56"/>
      <c r="W921" s="56"/>
      <c r="X921" s="56"/>
      <c r="Y921" s="56"/>
      <c r="Z921" s="56"/>
      <c r="AA921" s="56"/>
      <c r="AB921" s="56"/>
      <c r="AC921" s="15"/>
    </row>
    <row r="922" spans="3:29" ht="12.75">
      <c r="C922" s="23"/>
      <c r="I922" s="23"/>
      <c r="L922" s="56"/>
      <c r="M922" s="56"/>
      <c r="N922" s="56"/>
      <c r="O922" s="56"/>
      <c r="P922" s="56"/>
      <c r="Q922" s="56"/>
      <c r="R922" s="56"/>
      <c r="S922" s="56"/>
      <c r="T922" s="56"/>
      <c r="U922" s="56"/>
      <c r="V922" s="56"/>
      <c r="W922" s="56"/>
      <c r="X922" s="56"/>
      <c r="Y922" s="56"/>
      <c r="Z922" s="56"/>
      <c r="AA922" s="56"/>
      <c r="AB922" s="56"/>
      <c r="AC922" s="15"/>
    </row>
    <row r="923" spans="3:29" ht="12.75">
      <c r="C923" s="23"/>
      <c r="I923" s="23"/>
      <c r="L923" s="56"/>
      <c r="M923" s="56"/>
      <c r="N923" s="56"/>
      <c r="O923" s="56"/>
      <c r="P923" s="56"/>
      <c r="Q923" s="56"/>
      <c r="R923" s="56"/>
      <c r="S923" s="56"/>
      <c r="T923" s="56"/>
      <c r="U923" s="56"/>
      <c r="V923" s="56"/>
      <c r="W923" s="56"/>
      <c r="X923" s="56"/>
      <c r="Y923" s="56"/>
      <c r="Z923" s="56"/>
      <c r="AA923" s="56"/>
      <c r="AB923" s="56"/>
      <c r="AC923" s="15"/>
    </row>
    <row r="924" spans="3:29" ht="12.75">
      <c r="C924" s="23"/>
      <c r="I924" s="23"/>
      <c r="L924" s="56"/>
      <c r="M924" s="56"/>
      <c r="N924" s="56"/>
      <c r="O924" s="56"/>
      <c r="P924" s="56"/>
      <c r="Q924" s="56"/>
      <c r="R924" s="56"/>
      <c r="S924" s="56"/>
      <c r="T924" s="56"/>
      <c r="U924" s="56"/>
      <c r="V924" s="56"/>
      <c r="W924" s="56"/>
      <c r="X924" s="56"/>
      <c r="Y924" s="56"/>
      <c r="Z924" s="56"/>
      <c r="AA924" s="56"/>
      <c r="AB924" s="56"/>
      <c r="AC924" s="15"/>
    </row>
    <row r="925" spans="3:29" ht="12.75">
      <c r="C925" s="23"/>
      <c r="I925" s="23"/>
      <c r="L925" s="56"/>
      <c r="M925" s="56"/>
      <c r="N925" s="56"/>
      <c r="O925" s="56"/>
      <c r="P925" s="56"/>
      <c r="Q925" s="56"/>
      <c r="R925" s="56"/>
      <c r="S925" s="56"/>
      <c r="T925" s="56"/>
      <c r="U925" s="56"/>
      <c r="V925" s="56"/>
      <c r="W925" s="56"/>
      <c r="X925" s="56"/>
      <c r="Y925" s="56"/>
      <c r="Z925" s="56"/>
      <c r="AA925" s="56"/>
      <c r="AB925" s="56"/>
      <c r="AC925" s="15"/>
    </row>
    <row r="926" spans="3:29" ht="12.75">
      <c r="C926" s="23"/>
      <c r="I926" s="23"/>
      <c r="L926" s="56"/>
      <c r="M926" s="56"/>
      <c r="N926" s="56"/>
      <c r="O926" s="56"/>
      <c r="P926" s="56"/>
      <c r="Q926" s="56"/>
      <c r="R926" s="56"/>
      <c r="S926" s="56"/>
      <c r="T926" s="56"/>
      <c r="U926" s="56"/>
      <c r="V926" s="56"/>
      <c r="W926" s="56"/>
      <c r="X926" s="56"/>
      <c r="Y926" s="56"/>
      <c r="Z926" s="56"/>
      <c r="AA926" s="56"/>
      <c r="AB926" s="56"/>
      <c r="AC926" s="15"/>
    </row>
    <row r="927" spans="3:29" ht="12.75">
      <c r="C927" s="23"/>
      <c r="I927" s="23"/>
      <c r="L927" s="56"/>
      <c r="M927" s="56"/>
      <c r="N927" s="56"/>
      <c r="O927" s="56"/>
      <c r="P927" s="56"/>
      <c r="Q927" s="56"/>
      <c r="R927" s="56"/>
      <c r="S927" s="56"/>
      <c r="T927" s="56"/>
      <c r="U927" s="56"/>
      <c r="V927" s="56"/>
      <c r="W927" s="56"/>
      <c r="X927" s="56"/>
      <c r="Y927" s="56"/>
      <c r="Z927" s="56"/>
      <c r="AA927" s="56"/>
      <c r="AB927" s="56"/>
      <c r="AC927" s="15"/>
    </row>
    <row r="928" spans="3:29" ht="12.75">
      <c r="C928" s="23"/>
      <c r="I928" s="23"/>
      <c r="L928" s="56"/>
      <c r="M928" s="56"/>
      <c r="N928" s="56"/>
      <c r="O928" s="56"/>
      <c r="P928" s="56"/>
      <c r="Q928" s="56"/>
      <c r="R928" s="56"/>
      <c r="S928" s="56"/>
      <c r="T928" s="56"/>
      <c r="U928" s="56"/>
      <c r="V928" s="56"/>
      <c r="W928" s="56"/>
      <c r="X928" s="56"/>
      <c r="Y928" s="56"/>
      <c r="Z928" s="56"/>
      <c r="AA928" s="56"/>
      <c r="AB928" s="56"/>
      <c r="AC928" s="15"/>
    </row>
    <row r="929" spans="3:29" ht="12.75">
      <c r="C929" s="23"/>
      <c r="I929" s="23"/>
      <c r="L929" s="56"/>
      <c r="M929" s="56"/>
      <c r="N929" s="56"/>
      <c r="O929" s="56"/>
      <c r="P929" s="56"/>
      <c r="Q929" s="56"/>
      <c r="R929" s="56"/>
      <c r="S929" s="56"/>
      <c r="T929" s="56"/>
      <c r="U929" s="56"/>
      <c r="V929" s="56"/>
      <c r="W929" s="56"/>
      <c r="X929" s="56"/>
      <c r="Y929" s="56"/>
      <c r="Z929" s="56"/>
      <c r="AA929" s="56"/>
      <c r="AB929" s="56"/>
      <c r="AC929" s="15"/>
    </row>
    <row r="930" spans="3:29" ht="12.75">
      <c r="C930" s="23"/>
      <c r="I930" s="23"/>
      <c r="L930" s="56"/>
      <c r="M930" s="56"/>
      <c r="N930" s="56"/>
      <c r="O930" s="56"/>
      <c r="P930" s="56"/>
      <c r="Q930" s="56"/>
      <c r="R930" s="56"/>
      <c r="S930" s="56"/>
      <c r="T930" s="56"/>
      <c r="U930" s="56"/>
      <c r="V930" s="56"/>
      <c r="W930" s="56"/>
      <c r="X930" s="56"/>
      <c r="Y930" s="56"/>
      <c r="Z930" s="56"/>
      <c r="AA930" s="56"/>
      <c r="AB930" s="56"/>
      <c r="AC930" s="15"/>
    </row>
    <row r="931" spans="3:29" ht="12.75">
      <c r="C931" s="23"/>
      <c r="I931" s="23"/>
      <c r="L931" s="56"/>
      <c r="M931" s="56"/>
      <c r="N931" s="56"/>
      <c r="O931" s="56"/>
      <c r="P931" s="56"/>
      <c r="Q931" s="56"/>
      <c r="R931" s="56"/>
      <c r="S931" s="56"/>
      <c r="T931" s="56"/>
      <c r="U931" s="56"/>
      <c r="V931" s="56"/>
      <c r="W931" s="56"/>
      <c r="X931" s="56"/>
      <c r="Y931" s="56"/>
      <c r="Z931" s="56"/>
      <c r="AA931" s="56"/>
      <c r="AB931" s="56"/>
      <c r="AC931" s="15"/>
    </row>
    <row r="932" spans="3:29" ht="12.75">
      <c r="C932" s="23"/>
      <c r="I932" s="23"/>
      <c r="L932" s="56"/>
      <c r="M932" s="56"/>
      <c r="N932" s="56"/>
      <c r="O932" s="56"/>
      <c r="P932" s="56"/>
      <c r="Q932" s="56"/>
      <c r="R932" s="56"/>
      <c r="S932" s="56"/>
      <c r="T932" s="56"/>
      <c r="U932" s="56"/>
      <c r="V932" s="56"/>
      <c r="W932" s="56"/>
      <c r="X932" s="56"/>
      <c r="Y932" s="56"/>
      <c r="Z932" s="56"/>
      <c r="AA932" s="56"/>
      <c r="AB932" s="56"/>
      <c r="AC932" s="15"/>
    </row>
    <row r="933" spans="3:29" ht="12.75">
      <c r="C933" s="23"/>
      <c r="I933" s="23"/>
      <c r="L933" s="56"/>
      <c r="M933" s="56"/>
      <c r="N933" s="56"/>
      <c r="O933" s="56"/>
      <c r="P933" s="56"/>
      <c r="Q933" s="56"/>
      <c r="R933" s="56"/>
      <c r="S933" s="56"/>
      <c r="T933" s="56"/>
      <c r="U933" s="56"/>
      <c r="V933" s="56"/>
      <c r="W933" s="56"/>
      <c r="X933" s="56"/>
      <c r="Y933" s="56"/>
      <c r="Z933" s="56"/>
      <c r="AA933" s="56"/>
      <c r="AB933" s="56"/>
      <c r="AC933" s="15"/>
    </row>
    <row r="934" spans="3:29" ht="12.75">
      <c r="C934" s="23"/>
      <c r="I934" s="23"/>
      <c r="L934" s="56"/>
      <c r="M934" s="56"/>
      <c r="N934" s="56"/>
      <c r="O934" s="56"/>
      <c r="P934" s="56"/>
      <c r="Q934" s="56"/>
      <c r="R934" s="56"/>
      <c r="S934" s="56"/>
      <c r="T934" s="56"/>
      <c r="U934" s="56"/>
      <c r="V934" s="56"/>
      <c r="W934" s="56"/>
      <c r="X934" s="56"/>
      <c r="Y934" s="56"/>
      <c r="Z934" s="56"/>
      <c r="AA934" s="56"/>
      <c r="AB934" s="56"/>
      <c r="AC934" s="15"/>
    </row>
    <row r="935" spans="3:29" ht="12.75">
      <c r="C935" s="23"/>
      <c r="I935" s="23"/>
      <c r="L935" s="56"/>
      <c r="M935" s="56"/>
      <c r="N935" s="56"/>
      <c r="O935" s="56"/>
      <c r="P935" s="56"/>
      <c r="Q935" s="56"/>
      <c r="R935" s="56"/>
      <c r="S935" s="56"/>
      <c r="T935" s="56"/>
      <c r="U935" s="56"/>
      <c r="V935" s="56"/>
      <c r="W935" s="56"/>
      <c r="X935" s="56"/>
      <c r="Y935" s="56"/>
      <c r="Z935" s="56"/>
      <c r="AA935" s="56"/>
      <c r="AB935" s="56"/>
      <c r="AC935" s="15"/>
    </row>
    <row r="936" spans="3:29" ht="12.75">
      <c r="C936" s="23"/>
      <c r="I936" s="23"/>
      <c r="L936" s="56"/>
      <c r="M936" s="56"/>
      <c r="N936" s="56"/>
      <c r="O936" s="56"/>
      <c r="P936" s="56"/>
      <c r="Q936" s="56"/>
      <c r="R936" s="56"/>
      <c r="S936" s="56"/>
      <c r="T936" s="56"/>
      <c r="U936" s="56"/>
      <c r="V936" s="56"/>
      <c r="W936" s="56"/>
      <c r="X936" s="56"/>
      <c r="Y936" s="56"/>
      <c r="Z936" s="56"/>
      <c r="AA936" s="56"/>
      <c r="AB936" s="56"/>
      <c r="AC936" s="15"/>
    </row>
    <row r="937" spans="3:29" ht="12.75">
      <c r="C937" s="23"/>
      <c r="I937" s="23"/>
      <c r="L937" s="56"/>
      <c r="M937" s="56"/>
      <c r="N937" s="56"/>
      <c r="O937" s="56"/>
      <c r="P937" s="56"/>
      <c r="Q937" s="56"/>
      <c r="R937" s="56"/>
      <c r="S937" s="56"/>
      <c r="T937" s="56"/>
      <c r="U937" s="56"/>
      <c r="V937" s="56"/>
      <c r="W937" s="56"/>
      <c r="X937" s="56"/>
      <c r="Y937" s="56"/>
      <c r="Z937" s="56"/>
      <c r="AA937" s="56"/>
      <c r="AB937" s="56"/>
      <c r="AC937" s="15"/>
    </row>
    <row r="938" spans="3:29" ht="12.75">
      <c r="C938" s="23"/>
      <c r="I938" s="23"/>
      <c r="L938" s="56"/>
      <c r="M938" s="56"/>
      <c r="N938" s="56"/>
      <c r="O938" s="56"/>
      <c r="P938" s="56"/>
      <c r="Q938" s="56"/>
      <c r="R938" s="56"/>
      <c r="S938" s="56"/>
      <c r="T938" s="56"/>
      <c r="U938" s="56"/>
      <c r="V938" s="56"/>
      <c r="W938" s="56"/>
      <c r="X938" s="56"/>
      <c r="Y938" s="56"/>
      <c r="Z938" s="56"/>
      <c r="AA938" s="56"/>
      <c r="AB938" s="56"/>
      <c r="AC938" s="15"/>
    </row>
    <row r="939" spans="3:29" ht="12.75">
      <c r="C939" s="23"/>
      <c r="I939" s="23"/>
      <c r="L939" s="56"/>
      <c r="M939" s="56"/>
      <c r="N939" s="56"/>
      <c r="O939" s="56"/>
      <c r="P939" s="56"/>
      <c r="Q939" s="56"/>
      <c r="R939" s="56"/>
      <c r="S939" s="56"/>
      <c r="T939" s="56"/>
      <c r="U939" s="56"/>
      <c r="V939" s="56"/>
      <c r="W939" s="56"/>
      <c r="X939" s="56"/>
      <c r="Y939" s="56"/>
      <c r="Z939" s="56"/>
      <c r="AA939" s="56"/>
      <c r="AB939" s="56"/>
      <c r="AC939" s="15"/>
    </row>
    <row r="940" spans="3:29" ht="12.75">
      <c r="C940" s="23"/>
      <c r="I940" s="23"/>
      <c r="L940" s="56"/>
      <c r="M940" s="56"/>
      <c r="N940" s="56"/>
      <c r="O940" s="56"/>
      <c r="P940" s="56"/>
      <c r="Q940" s="56"/>
      <c r="R940" s="56"/>
      <c r="S940" s="56"/>
      <c r="T940" s="56"/>
      <c r="U940" s="56"/>
      <c r="V940" s="56"/>
      <c r="W940" s="56"/>
      <c r="X940" s="56"/>
      <c r="Y940" s="56"/>
      <c r="Z940" s="56"/>
      <c r="AA940" s="56"/>
      <c r="AB940" s="56"/>
      <c r="AC940" s="15"/>
    </row>
    <row r="941" spans="3:29" ht="12.75">
      <c r="C941" s="23"/>
      <c r="I941" s="23"/>
      <c r="L941" s="56"/>
      <c r="M941" s="56"/>
      <c r="N941" s="56"/>
      <c r="O941" s="56"/>
      <c r="P941" s="56"/>
      <c r="Q941" s="56"/>
      <c r="R941" s="56"/>
      <c r="S941" s="56"/>
      <c r="T941" s="56"/>
      <c r="U941" s="56"/>
      <c r="V941" s="56"/>
      <c r="W941" s="56"/>
      <c r="X941" s="56"/>
      <c r="Y941" s="56"/>
      <c r="Z941" s="56"/>
      <c r="AA941" s="56"/>
      <c r="AB941" s="56"/>
      <c r="AC941" s="15"/>
    </row>
    <row r="942" spans="3:29" ht="12.75">
      <c r="C942" s="23"/>
      <c r="I942" s="23"/>
      <c r="L942" s="56"/>
      <c r="M942" s="56"/>
      <c r="N942" s="56"/>
      <c r="O942" s="56"/>
      <c r="P942" s="56"/>
      <c r="Q942" s="56"/>
      <c r="R942" s="56"/>
      <c r="S942" s="56"/>
      <c r="T942" s="56"/>
      <c r="U942" s="56"/>
      <c r="V942" s="56"/>
      <c r="W942" s="56"/>
      <c r="X942" s="56"/>
      <c r="Y942" s="56"/>
      <c r="Z942" s="56"/>
      <c r="AA942" s="56"/>
      <c r="AB942" s="56"/>
      <c r="AC942" s="15"/>
    </row>
    <row r="943" spans="3:29" ht="12.75">
      <c r="C943" s="23"/>
      <c r="I943" s="23"/>
      <c r="L943" s="56"/>
      <c r="M943" s="56"/>
      <c r="N943" s="56"/>
      <c r="O943" s="56"/>
      <c r="P943" s="56"/>
      <c r="Q943" s="56"/>
      <c r="R943" s="56"/>
      <c r="S943" s="56"/>
      <c r="T943" s="56"/>
      <c r="U943" s="56"/>
      <c r="V943" s="56"/>
      <c r="W943" s="56"/>
      <c r="X943" s="56"/>
      <c r="Y943" s="56"/>
      <c r="Z943" s="56"/>
      <c r="AA943" s="56"/>
      <c r="AB943" s="56"/>
      <c r="AC943" s="15"/>
    </row>
    <row r="944" spans="3:29" ht="12.75">
      <c r="C944" s="23"/>
      <c r="I944" s="23"/>
      <c r="L944" s="56"/>
      <c r="M944" s="56"/>
      <c r="N944" s="56"/>
      <c r="O944" s="56"/>
      <c r="P944" s="56"/>
      <c r="Q944" s="56"/>
      <c r="R944" s="56"/>
      <c r="S944" s="56"/>
      <c r="T944" s="56"/>
      <c r="U944" s="56"/>
      <c r="V944" s="56"/>
      <c r="W944" s="56"/>
      <c r="X944" s="56"/>
      <c r="Y944" s="56"/>
      <c r="Z944" s="56"/>
      <c r="AA944" s="56"/>
      <c r="AB944" s="56"/>
      <c r="AC944" s="15"/>
    </row>
    <row r="945" spans="3:29" ht="12.75">
      <c r="C945" s="23"/>
      <c r="I945" s="23"/>
      <c r="L945" s="56"/>
      <c r="M945" s="56"/>
      <c r="N945" s="56"/>
      <c r="O945" s="56"/>
      <c r="P945" s="56"/>
      <c r="Q945" s="56"/>
      <c r="R945" s="56"/>
      <c r="S945" s="56"/>
      <c r="T945" s="56"/>
      <c r="U945" s="56"/>
      <c r="V945" s="56"/>
      <c r="W945" s="56"/>
      <c r="X945" s="56"/>
      <c r="Y945" s="56"/>
      <c r="Z945" s="56"/>
      <c r="AA945" s="56"/>
      <c r="AB945" s="56"/>
      <c r="AC945" s="15"/>
    </row>
    <row r="946" spans="3:29" ht="12.75">
      <c r="C946" s="23"/>
      <c r="I946" s="23"/>
      <c r="L946" s="56"/>
      <c r="M946" s="56"/>
      <c r="N946" s="56"/>
      <c r="O946" s="56"/>
      <c r="P946" s="56"/>
      <c r="Q946" s="56"/>
      <c r="R946" s="56"/>
      <c r="S946" s="56"/>
      <c r="T946" s="56"/>
      <c r="U946" s="56"/>
      <c r="V946" s="56"/>
      <c r="W946" s="56"/>
      <c r="X946" s="56"/>
      <c r="Y946" s="56"/>
      <c r="Z946" s="56"/>
      <c r="AA946" s="56"/>
      <c r="AB946" s="56"/>
      <c r="AC946" s="15"/>
    </row>
    <row r="947" spans="3:29" ht="12.75">
      <c r="C947" s="23"/>
      <c r="I947" s="23"/>
      <c r="L947" s="56"/>
      <c r="M947" s="56"/>
      <c r="N947" s="56"/>
      <c r="O947" s="56"/>
      <c r="P947" s="56"/>
      <c r="Q947" s="56"/>
      <c r="R947" s="56"/>
      <c r="S947" s="56"/>
      <c r="T947" s="56"/>
      <c r="U947" s="56"/>
      <c r="V947" s="56"/>
      <c r="W947" s="56"/>
      <c r="X947" s="56"/>
      <c r="Y947" s="56"/>
      <c r="Z947" s="56"/>
      <c r="AA947" s="56"/>
      <c r="AB947" s="56"/>
      <c r="AC947" s="15"/>
    </row>
    <row r="948" spans="3:29" ht="12.75">
      <c r="C948" s="23"/>
      <c r="I948" s="23"/>
      <c r="L948" s="56"/>
      <c r="M948" s="56"/>
      <c r="N948" s="56"/>
      <c r="O948" s="56"/>
      <c r="P948" s="56"/>
      <c r="Q948" s="56"/>
      <c r="R948" s="56"/>
      <c r="S948" s="56"/>
      <c r="T948" s="56"/>
      <c r="U948" s="56"/>
      <c r="V948" s="56"/>
      <c r="W948" s="56"/>
      <c r="X948" s="56"/>
      <c r="Y948" s="56"/>
      <c r="Z948" s="56"/>
      <c r="AA948" s="56"/>
      <c r="AB948" s="56"/>
      <c r="AC948" s="15"/>
    </row>
    <row r="949" spans="3:29" ht="12.75">
      <c r="C949" s="23"/>
      <c r="I949" s="23"/>
      <c r="L949" s="56"/>
      <c r="M949" s="56"/>
      <c r="N949" s="56"/>
      <c r="O949" s="56"/>
      <c r="P949" s="56"/>
      <c r="Q949" s="56"/>
      <c r="R949" s="56"/>
      <c r="S949" s="56"/>
      <c r="T949" s="56"/>
      <c r="U949" s="56"/>
      <c r="V949" s="56"/>
      <c r="W949" s="56"/>
      <c r="X949" s="56"/>
      <c r="Y949" s="56"/>
      <c r="Z949" s="56"/>
      <c r="AA949" s="56"/>
      <c r="AB949" s="56"/>
      <c r="AC949" s="15"/>
    </row>
    <row r="950" spans="3:29" ht="12.75">
      <c r="C950" s="23"/>
      <c r="I950" s="23"/>
      <c r="L950" s="56"/>
      <c r="M950" s="56"/>
      <c r="N950" s="56"/>
      <c r="O950" s="56"/>
      <c r="P950" s="56"/>
      <c r="Q950" s="56"/>
      <c r="R950" s="56"/>
      <c r="S950" s="56"/>
      <c r="T950" s="56"/>
      <c r="U950" s="56"/>
      <c r="V950" s="56"/>
      <c r="W950" s="56"/>
      <c r="X950" s="56"/>
      <c r="Y950" s="56"/>
      <c r="Z950" s="56"/>
      <c r="AA950" s="56"/>
      <c r="AB950" s="56"/>
      <c r="AC950" s="15"/>
    </row>
    <row r="951" spans="3:29" ht="12.75">
      <c r="C951" s="23"/>
      <c r="I951" s="23"/>
      <c r="L951" s="56"/>
      <c r="M951" s="56"/>
      <c r="N951" s="56"/>
      <c r="O951" s="56"/>
      <c r="P951" s="56"/>
      <c r="Q951" s="56"/>
      <c r="R951" s="56"/>
      <c r="S951" s="56"/>
      <c r="T951" s="56"/>
      <c r="U951" s="56"/>
      <c r="V951" s="56"/>
      <c r="W951" s="56"/>
      <c r="X951" s="56"/>
      <c r="Y951" s="56"/>
      <c r="Z951" s="56"/>
      <c r="AA951" s="56"/>
      <c r="AB951" s="56"/>
      <c r="AC951" s="15"/>
    </row>
    <row r="952" spans="3:29" ht="12.75">
      <c r="C952" s="23"/>
      <c r="I952" s="23"/>
      <c r="L952" s="56"/>
      <c r="M952" s="56"/>
      <c r="N952" s="56"/>
      <c r="O952" s="56"/>
      <c r="P952" s="56"/>
      <c r="Q952" s="56"/>
      <c r="R952" s="56"/>
      <c r="S952" s="56"/>
      <c r="T952" s="56"/>
      <c r="U952" s="56"/>
      <c r="V952" s="56"/>
      <c r="W952" s="56"/>
      <c r="X952" s="56"/>
      <c r="Y952" s="56"/>
      <c r="Z952" s="56"/>
      <c r="AA952" s="56"/>
      <c r="AB952" s="56"/>
      <c r="AC952" s="15"/>
    </row>
    <row r="953" spans="3:29" ht="12.75">
      <c r="C953" s="23"/>
      <c r="I953" s="23"/>
      <c r="L953" s="56"/>
      <c r="M953" s="56"/>
      <c r="N953" s="56"/>
      <c r="O953" s="56"/>
      <c r="P953" s="56"/>
      <c r="Q953" s="56"/>
      <c r="R953" s="56"/>
      <c r="S953" s="56"/>
      <c r="T953" s="56"/>
      <c r="U953" s="56"/>
      <c r="V953" s="56"/>
      <c r="W953" s="56"/>
      <c r="X953" s="56"/>
      <c r="Y953" s="56"/>
      <c r="Z953" s="56"/>
      <c r="AA953" s="56"/>
      <c r="AB953" s="56"/>
      <c r="AC953" s="15"/>
    </row>
    <row r="954" spans="3:29" ht="12.75">
      <c r="C954" s="23"/>
      <c r="I954" s="23"/>
      <c r="L954" s="56"/>
      <c r="M954" s="56"/>
      <c r="N954" s="56"/>
      <c r="O954" s="56"/>
      <c r="P954" s="56"/>
      <c r="Q954" s="56"/>
      <c r="R954" s="56"/>
      <c r="S954" s="56"/>
      <c r="T954" s="56"/>
      <c r="U954" s="56"/>
      <c r="V954" s="56"/>
      <c r="W954" s="56"/>
      <c r="X954" s="56"/>
      <c r="Y954" s="56"/>
      <c r="Z954" s="56"/>
      <c r="AA954" s="56"/>
      <c r="AB954" s="56"/>
      <c r="AC954" s="15"/>
    </row>
    <row r="955" spans="3:29" ht="12.75">
      <c r="C955" s="23"/>
      <c r="I955" s="23"/>
      <c r="L955" s="56"/>
      <c r="M955" s="56"/>
      <c r="N955" s="56"/>
      <c r="O955" s="56"/>
      <c r="P955" s="56"/>
      <c r="Q955" s="56"/>
      <c r="R955" s="56"/>
      <c r="S955" s="56"/>
      <c r="T955" s="56"/>
      <c r="U955" s="56"/>
      <c r="V955" s="56"/>
      <c r="W955" s="56"/>
      <c r="X955" s="56"/>
      <c r="Y955" s="56"/>
      <c r="Z955" s="56"/>
      <c r="AA955" s="56"/>
      <c r="AB955" s="56"/>
      <c r="AC955" s="15"/>
    </row>
    <row r="956" spans="3:29" ht="12.75">
      <c r="C956" s="23"/>
      <c r="I956" s="23"/>
      <c r="L956" s="56"/>
      <c r="M956" s="56"/>
      <c r="N956" s="56"/>
      <c r="O956" s="56"/>
      <c r="P956" s="56"/>
      <c r="Q956" s="56"/>
      <c r="R956" s="56"/>
      <c r="S956" s="56"/>
      <c r="T956" s="56"/>
      <c r="U956" s="56"/>
      <c r="V956" s="56"/>
      <c r="W956" s="56"/>
      <c r="X956" s="56"/>
      <c r="Y956" s="56"/>
      <c r="Z956" s="56"/>
      <c r="AA956" s="56"/>
      <c r="AB956" s="56"/>
      <c r="AC956" s="15"/>
    </row>
    <row r="957" spans="3:29" ht="12.75">
      <c r="C957" s="23"/>
      <c r="I957" s="23"/>
      <c r="L957" s="56"/>
      <c r="M957" s="56"/>
      <c r="N957" s="56"/>
      <c r="O957" s="56"/>
      <c r="P957" s="56"/>
      <c r="Q957" s="56"/>
      <c r="R957" s="56"/>
      <c r="S957" s="56"/>
      <c r="T957" s="56"/>
      <c r="U957" s="56"/>
      <c r="V957" s="56"/>
      <c r="W957" s="56"/>
      <c r="X957" s="56"/>
      <c r="Y957" s="56"/>
      <c r="Z957" s="56"/>
      <c r="AA957" s="56"/>
      <c r="AB957" s="56"/>
      <c r="AC957" s="15"/>
    </row>
    <row r="958" spans="3:29" ht="12.75">
      <c r="C958" s="23"/>
      <c r="I958" s="23"/>
      <c r="L958" s="56"/>
      <c r="M958" s="56"/>
      <c r="N958" s="56"/>
      <c r="O958" s="56"/>
      <c r="P958" s="56"/>
      <c r="Q958" s="56"/>
      <c r="R958" s="56"/>
      <c r="S958" s="56"/>
      <c r="T958" s="56"/>
      <c r="U958" s="56"/>
      <c r="V958" s="56"/>
      <c r="W958" s="56"/>
      <c r="X958" s="56"/>
      <c r="Y958" s="56"/>
      <c r="Z958" s="56"/>
      <c r="AA958" s="56"/>
      <c r="AB958" s="56"/>
      <c r="AC958" s="15"/>
    </row>
    <row r="959" spans="3:29" ht="12.75">
      <c r="C959" s="23"/>
      <c r="I959" s="23"/>
      <c r="L959" s="56"/>
      <c r="M959" s="56"/>
      <c r="N959" s="56"/>
      <c r="O959" s="56"/>
      <c r="P959" s="56"/>
      <c r="Q959" s="56"/>
      <c r="R959" s="56"/>
      <c r="S959" s="56"/>
      <c r="T959" s="56"/>
      <c r="U959" s="56"/>
      <c r="V959" s="56"/>
      <c r="W959" s="56"/>
      <c r="X959" s="56"/>
      <c r="Y959" s="56"/>
      <c r="Z959" s="56"/>
      <c r="AA959" s="56"/>
      <c r="AB959" s="56"/>
      <c r="AC959" s="15"/>
    </row>
    <row r="960" spans="3:29" ht="12.75">
      <c r="C960" s="23"/>
      <c r="I960" s="23"/>
      <c r="L960" s="56"/>
      <c r="M960" s="56"/>
      <c r="N960" s="56"/>
      <c r="O960" s="56"/>
      <c r="P960" s="56"/>
      <c r="Q960" s="56"/>
      <c r="R960" s="56"/>
      <c r="S960" s="56"/>
      <c r="T960" s="56"/>
      <c r="U960" s="56"/>
      <c r="V960" s="56"/>
      <c r="W960" s="56"/>
      <c r="X960" s="56"/>
      <c r="Y960" s="56"/>
      <c r="Z960" s="56"/>
      <c r="AA960" s="56"/>
      <c r="AB960" s="56"/>
      <c r="AC960" s="15"/>
    </row>
    <row r="961" spans="3:29" ht="12.75">
      <c r="C961" s="23"/>
      <c r="I961" s="23"/>
      <c r="L961" s="56"/>
      <c r="M961" s="56"/>
      <c r="N961" s="56"/>
      <c r="O961" s="56"/>
      <c r="P961" s="56"/>
      <c r="Q961" s="56"/>
      <c r="R961" s="56"/>
      <c r="S961" s="56"/>
      <c r="T961" s="56"/>
      <c r="U961" s="56"/>
      <c r="V961" s="56"/>
      <c r="W961" s="56"/>
      <c r="X961" s="56"/>
      <c r="Y961" s="56"/>
      <c r="Z961" s="56"/>
      <c r="AA961" s="56"/>
      <c r="AB961" s="56"/>
      <c r="AC961" s="15"/>
    </row>
    <row r="962" spans="3:29" ht="12.75">
      <c r="C962" s="23"/>
      <c r="I962" s="23"/>
      <c r="L962" s="56"/>
      <c r="M962" s="56"/>
      <c r="N962" s="56"/>
      <c r="O962" s="56"/>
      <c r="P962" s="56"/>
      <c r="Q962" s="56"/>
      <c r="R962" s="56"/>
      <c r="S962" s="56"/>
      <c r="T962" s="56"/>
      <c r="U962" s="56"/>
      <c r="V962" s="56"/>
      <c r="W962" s="56"/>
      <c r="X962" s="56"/>
      <c r="Y962" s="56"/>
      <c r="Z962" s="56"/>
      <c r="AA962" s="56"/>
      <c r="AB962" s="56"/>
      <c r="AC962" s="15"/>
    </row>
    <row r="963" spans="3:29" ht="12.75">
      <c r="C963" s="23"/>
      <c r="I963" s="23"/>
      <c r="L963" s="56"/>
      <c r="M963" s="56"/>
      <c r="N963" s="56"/>
      <c r="O963" s="56"/>
      <c r="P963" s="56"/>
      <c r="Q963" s="56"/>
      <c r="R963" s="56"/>
      <c r="S963" s="56"/>
      <c r="T963" s="56"/>
      <c r="U963" s="56"/>
      <c r="V963" s="56"/>
      <c r="W963" s="56"/>
      <c r="X963" s="56"/>
      <c r="Y963" s="56"/>
      <c r="Z963" s="56"/>
      <c r="AA963" s="56"/>
      <c r="AB963" s="56"/>
      <c r="AC963" s="15"/>
    </row>
    <row r="964" spans="3:29" ht="12.75">
      <c r="C964" s="23"/>
      <c r="I964" s="23"/>
      <c r="L964" s="56"/>
      <c r="M964" s="56"/>
      <c r="N964" s="56"/>
      <c r="O964" s="56"/>
      <c r="P964" s="56"/>
      <c r="Q964" s="56"/>
      <c r="R964" s="56"/>
      <c r="S964" s="56"/>
      <c r="T964" s="56"/>
      <c r="U964" s="56"/>
      <c r="V964" s="56"/>
      <c r="W964" s="56"/>
      <c r="X964" s="56"/>
      <c r="Y964" s="56"/>
      <c r="Z964" s="56"/>
      <c r="AA964" s="56"/>
      <c r="AB964" s="56"/>
      <c r="AC964" s="15"/>
    </row>
    <row r="965" spans="3:29" ht="12.75">
      <c r="C965" s="23"/>
      <c r="I965" s="23"/>
      <c r="L965" s="56"/>
      <c r="M965" s="56"/>
      <c r="N965" s="56"/>
      <c r="O965" s="56"/>
      <c r="P965" s="56"/>
      <c r="Q965" s="56"/>
      <c r="R965" s="56"/>
      <c r="S965" s="56"/>
      <c r="T965" s="56"/>
      <c r="U965" s="56"/>
      <c r="V965" s="56"/>
      <c r="W965" s="56"/>
      <c r="X965" s="56"/>
      <c r="Y965" s="56"/>
      <c r="Z965" s="56"/>
      <c r="AA965" s="56"/>
      <c r="AB965" s="56"/>
      <c r="AC965" s="15"/>
    </row>
    <row r="966" spans="3:29" ht="12.75">
      <c r="C966" s="23"/>
      <c r="I966" s="23"/>
      <c r="L966" s="56"/>
      <c r="M966" s="56"/>
      <c r="N966" s="56"/>
      <c r="O966" s="56"/>
      <c r="P966" s="56"/>
      <c r="Q966" s="56"/>
      <c r="R966" s="56"/>
      <c r="S966" s="56"/>
      <c r="T966" s="56"/>
      <c r="U966" s="56"/>
      <c r="V966" s="56"/>
      <c r="W966" s="56"/>
      <c r="X966" s="56"/>
      <c r="Y966" s="56"/>
      <c r="Z966" s="56"/>
      <c r="AA966" s="56"/>
      <c r="AB966" s="56"/>
      <c r="AC966" s="15"/>
    </row>
    <row r="967" spans="3:29" ht="12.75">
      <c r="C967" s="23"/>
      <c r="I967" s="23"/>
      <c r="L967" s="56"/>
      <c r="M967" s="56"/>
      <c r="N967" s="56"/>
      <c r="O967" s="56"/>
      <c r="P967" s="56"/>
      <c r="Q967" s="56"/>
      <c r="R967" s="56"/>
      <c r="S967" s="56"/>
      <c r="T967" s="56"/>
      <c r="U967" s="56"/>
      <c r="V967" s="56"/>
      <c r="W967" s="56"/>
      <c r="X967" s="56"/>
      <c r="Y967" s="56"/>
      <c r="Z967" s="56"/>
      <c r="AA967" s="56"/>
      <c r="AB967" s="56"/>
      <c r="AC967" s="15"/>
    </row>
    <row r="968" spans="3:29" ht="12.75">
      <c r="C968" s="23"/>
      <c r="I968" s="23"/>
      <c r="L968" s="56"/>
      <c r="M968" s="56"/>
      <c r="N968" s="56"/>
      <c r="O968" s="56"/>
      <c r="P968" s="56"/>
      <c r="Q968" s="56"/>
      <c r="R968" s="56"/>
      <c r="S968" s="56"/>
      <c r="T968" s="56"/>
      <c r="U968" s="56"/>
      <c r="V968" s="56"/>
      <c r="W968" s="56"/>
      <c r="X968" s="56"/>
      <c r="Y968" s="56"/>
      <c r="Z968" s="56"/>
      <c r="AA968" s="56"/>
      <c r="AB968" s="56"/>
      <c r="AC968" s="15"/>
    </row>
    <row r="969" spans="3:29" ht="12.75">
      <c r="C969" s="23"/>
      <c r="I969" s="23"/>
      <c r="L969" s="56"/>
      <c r="M969" s="56"/>
      <c r="N969" s="56"/>
      <c r="O969" s="56"/>
      <c r="P969" s="56"/>
      <c r="Q969" s="56"/>
      <c r="R969" s="56"/>
      <c r="S969" s="56"/>
      <c r="T969" s="56"/>
      <c r="U969" s="56"/>
      <c r="V969" s="56"/>
      <c r="W969" s="56"/>
      <c r="X969" s="56"/>
      <c r="Y969" s="56"/>
      <c r="Z969" s="56"/>
      <c r="AA969" s="56"/>
      <c r="AB969" s="56"/>
      <c r="AC969" s="15"/>
    </row>
    <row r="970" spans="3:29" ht="12.75">
      <c r="C970" s="23"/>
      <c r="I970" s="23"/>
      <c r="L970" s="56"/>
      <c r="M970" s="56"/>
      <c r="N970" s="56"/>
      <c r="O970" s="56"/>
      <c r="P970" s="56"/>
      <c r="Q970" s="56"/>
      <c r="R970" s="56"/>
      <c r="S970" s="56"/>
      <c r="T970" s="56"/>
      <c r="U970" s="56"/>
      <c r="V970" s="56"/>
      <c r="W970" s="56"/>
      <c r="X970" s="56"/>
      <c r="Y970" s="56"/>
      <c r="Z970" s="56"/>
      <c r="AA970" s="56"/>
      <c r="AB970" s="56"/>
      <c r="AC970" s="15"/>
    </row>
    <row r="971" spans="3:29" ht="12.75">
      <c r="C971" s="23"/>
      <c r="I971" s="23"/>
      <c r="L971" s="56"/>
      <c r="M971" s="56"/>
      <c r="N971" s="56"/>
      <c r="O971" s="56"/>
      <c r="P971" s="56"/>
      <c r="Q971" s="56"/>
      <c r="R971" s="56"/>
      <c r="S971" s="56"/>
      <c r="T971" s="56"/>
      <c r="U971" s="56"/>
      <c r="V971" s="56"/>
      <c r="W971" s="56"/>
      <c r="X971" s="56"/>
      <c r="Y971" s="56"/>
      <c r="Z971" s="56"/>
      <c r="AA971" s="56"/>
      <c r="AB971" s="56"/>
      <c r="AC971" s="15"/>
    </row>
    <row r="972" spans="3:29" ht="12.75">
      <c r="C972" s="23"/>
      <c r="I972" s="23"/>
      <c r="L972" s="56"/>
      <c r="M972" s="56"/>
      <c r="N972" s="56"/>
      <c r="O972" s="56"/>
      <c r="P972" s="56"/>
      <c r="Q972" s="56"/>
      <c r="R972" s="56"/>
      <c r="S972" s="56"/>
      <c r="T972" s="56"/>
      <c r="U972" s="56"/>
      <c r="V972" s="56"/>
      <c r="W972" s="56"/>
      <c r="X972" s="56"/>
      <c r="Y972" s="56"/>
      <c r="Z972" s="56"/>
      <c r="AA972" s="56"/>
      <c r="AB972" s="56"/>
      <c r="AC972" s="15"/>
    </row>
    <row r="973" spans="3:29" ht="12.75">
      <c r="C973" s="23"/>
      <c r="I973" s="23"/>
      <c r="L973" s="56"/>
      <c r="M973" s="56"/>
      <c r="N973" s="56"/>
      <c r="O973" s="56"/>
      <c r="P973" s="56"/>
      <c r="Q973" s="56"/>
      <c r="R973" s="56"/>
      <c r="S973" s="56"/>
      <c r="T973" s="56"/>
      <c r="U973" s="56"/>
      <c r="V973" s="56"/>
      <c r="W973" s="56"/>
      <c r="X973" s="56"/>
      <c r="Y973" s="56"/>
      <c r="Z973" s="56"/>
      <c r="AA973" s="56"/>
      <c r="AB973" s="56"/>
      <c r="AC973" s="15"/>
    </row>
    <row r="974" spans="3:29" ht="12.75">
      <c r="C974" s="23"/>
      <c r="I974" s="23"/>
      <c r="L974" s="56"/>
      <c r="M974" s="56"/>
      <c r="N974" s="56"/>
      <c r="O974" s="56"/>
      <c r="P974" s="56"/>
      <c r="Q974" s="56"/>
      <c r="R974" s="56"/>
      <c r="S974" s="56"/>
      <c r="T974" s="56"/>
      <c r="U974" s="56"/>
      <c r="V974" s="56"/>
      <c r="W974" s="56"/>
      <c r="X974" s="56"/>
      <c r="Y974" s="56"/>
      <c r="Z974" s="56"/>
      <c r="AA974" s="56"/>
      <c r="AB974" s="56"/>
      <c r="AC974" s="15"/>
    </row>
    <row r="975" spans="3:29" ht="12.75">
      <c r="C975" s="23"/>
      <c r="I975" s="23"/>
      <c r="L975" s="56"/>
      <c r="M975" s="56"/>
      <c r="N975" s="56"/>
      <c r="O975" s="56"/>
      <c r="P975" s="56"/>
      <c r="Q975" s="56"/>
      <c r="R975" s="56"/>
      <c r="S975" s="56"/>
      <c r="T975" s="56"/>
      <c r="U975" s="56"/>
      <c r="V975" s="56"/>
      <c r="W975" s="56"/>
      <c r="X975" s="56"/>
      <c r="Y975" s="56"/>
      <c r="Z975" s="56"/>
      <c r="AA975" s="56"/>
      <c r="AB975" s="56"/>
      <c r="AC975" s="15"/>
    </row>
    <row r="976" spans="3:29" ht="12.75">
      <c r="C976" s="23"/>
      <c r="I976" s="23"/>
      <c r="L976" s="56"/>
      <c r="M976" s="56"/>
      <c r="N976" s="56"/>
      <c r="O976" s="56"/>
      <c r="P976" s="56"/>
      <c r="Q976" s="56"/>
      <c r="R976" s="56"/>
      <c r="S976" s="56"/>
      <c r="T976" s="56"/>
      <c r="U976" s="56"/>
      <c r="V976" s="56"/>
      <c r="W976" s="56"/>
      <c r="X976" s="56"/>
      <c r="Y976" s="56"/>
      <c r="Z976" s="56"/>
      <c r="AA976" s="56"/>
      <c r="AB976" s="56"/>
      <c r="AC976" s="15"/>
    </row>
    <row r="977" spans="3:29" ht="12.75">
      <c r="C977" s="23"/>
      <c r="I977" s="23"/>
      <c r="L977" s="56"/>
      <c r="M977" s="56"/>
      <c r="N977" s="56"/>
      <c r="O977" s="56"/>
      <c r="P977" s="56"/>
      <c r="Q977" s="56"/>
      <c r="R977" s="56"/>
      <c r="S977" s="56"/>
      <c r="T977" s="56"/>
      <c r="U977" s="56"/>
      <c r="V977" s="56"/>
      <c r="W977" s="56"/>
      <c r="X977" s="56"/>
      <c r="Y977" s="56"/>
      <c r="Z977" s="56"/>
      <c r="AA977" s="56"/>
      <c r="AB977" s="56"/>
      <c r="AC977" s="15"/>
    </row>
    <row r="978" spans="3:29" ht="12.75">
      <c r="C978" s="23"/>
      <c r="I978" s="23"/>
      <c r="L978" s="56"/>
      <c r="M978" s="56"/>
      <c r="N978" s="56"/>
      <c r="O978" s="56"/>
      <c r="P978" s="56"/>
      <c r="Q978" s="56"/>
      <c r="R978" s="56"/>
      <c r="S978" s="56"/>
      <c r="T978" s="56"/>
      <c r="U978" s="56"/>
      <c r="V978" s="56"/>
      <c r="W978" s="56"/>
      <c r="X978" s="56"/>
      <c r="Y978" s="56"/>
      <c r="Z978" s="56"/>
      <c r="AA978" s="56"/>
      <c r="AB978" s="56"/>
      <c r="AC978" s="15"/>
    </row>
    <row r="979" spans="3:29" ht="12.75">
      <c r="C979" s="23"/>
      <c r="I979" s="23"/>
      <c r="L979" s="56"/>
      <c r="M979" s="56"/>
      <c r="N979" s="56"/>
      <c r="O979" s="56"/>
      <c r="P979" s="56"/>
      <c r="Q979" s="56"/>
      <c r="R979" s="56"/>
      <c r="S979" s="56"/>
      <c r="T979" s="56"/>
      <c r="U979" s="56"/>
      <c r="V979" s="56"/>
      <c r="W979" s="56"/>
      <c r="X979" s="56"/>
      <c r="Y979" s="56"/>
      <c r="Z979" s="56"/>
      <c r="AA979" s="56"/>
      <c r="AB979" s="56"/>
      <c r="AC979" s="15"/>
    </row>
    <row r="980" spans="3:29" ht="12.75">
      <c r="C980" s="23"/>
      <c r="I980" s="23"/>
      <c r="L980" s="56"/>
      <c r="M980" s="56"/>
      <c r="N980" s="56"/>
      <c r="O980" s="56"/>
      <c r="P980" s="56"/>
      <c r="Q980" s="56"/>
      <c r="R980" s="56"/>
      <c r="S980" s="56"/>
      <c r="T980" s="56"/>
      <c r="U980" s="56"/>
      <c r="V980" s="56"/>
      <c r="W980" s="56"/>
      <c r="X980" s="56"/>
      <c r="Y980" s="56"/>
      <c r="Z980" s="56"/>
      <c r="AA980" s="56"/>
      <c r="AB980" s="56"/>
      <c r="AC980" s="15"/>
    </row>
    <row r="981" spans="3:29" ht="12.75">
      <c r="C981" s="23"/>
      <c r="I981" s="23"/>
      <c r="L981" s="56"/>
      <c r="M981" s="56"/>
      <c r="N981" s="56"/>
      <c r="O981" s="56"/>
      <c r="P981" s="56"/>
      <c r="Q981" s="56"/>
      <c r="R981" s="56"/>
      <c r="S981" s="56"/>
      <c r="T981" s="56"/>
      <c r="U981" s="56"/>
      <c r="V981" s="56"/>
      <c r="W981" s="56"/>
      <c r="X981" s="56"/>
      <c r="Y981" s="56"/>
      <c r="Z981" s="56"/>
      <c r="AA981" s="56"/>
      <c r="AB981" s="56"/>
      <c r="AC981" s="15"/>
    </row>
    <row r="982" spans="3:29" ht="12.75">
      <c r="C982" s="23"/>
      <c r="I982" s="23"/>
      <c r="L982" s="56"/>
      <c r="M982" s="56"/>
      <c r="N982" s="56"/>
      <c r="O982" s="56"/>
      <c r="P982" s="56"/>
      <c r="Q982" s="56"/>
      <c r="R982" s="56"/>
      <c r="S982" s="56"/>
      <c r="T982" s="56"/>
      <c r="U982" s="56"/>
      <c r="V982" s="56"/>
      <c r="W982" s="56"/>
      <c r="X982" s="56"/>
      <c r="Y982" s="56"/>
      <c r="Z982" s="56"/>
      <c r="AA982" s="56"/>
      <c r="AB982" s="56"/>
      <c r="AC982" s="15"/>
    </row>
    <row r="983" spans="3:29" ht="12.75">
      <c r="C983" s="23"/>
      <c r="I983" s="23"/>
      <c r="L983" s="56"/>
      <c r="M983" s="56"/>
      <c r="N983" s="56"/>
      <c r="O983" s="56"/>
      <c r="P983" s="56"/>
      <c r="Q983" s="56"/>
      <c r="R983" s="56"/>
      <c r="S983" s="56"/>
      <c r="T983" s="56"/>
      <c r="U983" s="56"/>
      <c r="V983" s="56"/>
      <c r="W983" s="56"/>
      <c r="X983" s="56"/>
      <c r="Y983" s="56"/>
      <c r="Z983" s="56"/>
      <c r="AA983" s="56"/>
      <c r="AB983" s="56"/>
      <c r="AC983" s="15"/>
    </row>
    <row r="984" spans="3:29" ht="12.75">
      <c r="C984" s="23"/>
      <c r="I984" s="23"/>
      <c r="L984" s="56"/>
      <c r="M984" s="56"/>
      <c r="N984" s="56"/>
      <c r="O984" s="56"/>
      <c r="P984" s="56"/>
      <c r="Q984" s="56"/>
      <c r="R984" s="56"/>
      <c r="S984" s="56"/>
      <c r="T984" s="56"/>
      <c r="U984" s="56"/>
      <c r="V984" s="56"/>
      <c r="W984" s="56"/>
      <c r="X984" s="56"/>
      <c r="Y984" s="56"/>
      <c r="Z984" s="56"/>
      <c r="AA984" s="56"/>
      <c r="AB984" s="56"/>
      <c r="AC984" s="15"/>
    </row>
    <row r="985" spans="3:29" ht="12.75">
      <c r="C985" s="23"/>
      <c r="I985" s="23"/>
      <c r="L985" s="56"/>
      <c r="M985" s="56"/>
      <c r="N985" s="56"/>
      <c r="O985" s="56"/>
      <c r="P985" s="56"/>
      <c r="Q985" s="56"/>
      <c r="R985" s="56"/>
      <c r="S985" s="56"/>
      <c r="T985" s="56"/>
      <c r="U985" s="56"/>
      <c r="V985" s="56"/>
      <c r="W985" s="56"/>
      <c r="X985" s="56"/>
      <c r="Y985" s="56"/>
      <c r="Z985" s="56"/>
      <c r="AA985" s="56"/>
      <c r="AB985" s="56"/>
      <c r="AC985" s="15"/>
    </row>
    <row r="986" spans="3:29" ht="12.75">
      <c r="C986" s="23"/>
      <c r="I986" s="23"/>
      <c r="L986" s="56"/>
      <c r="M986" s="56"/>
      <c r="N986" s="56"/>
      <c r="O986" s="56"/>
      <c r="P986" s="56"/>
      <c r="Q986" s="56"/>
      <c r="R986" s="56"/>
      <c r="S986" s="56"/>
      <c r="T986" s="56"/>
      <c r="U986" s="56"/>
      <c r="V986" s="56"/>
      <c r="W986" s="56"/>
      <c r="X986" s="56"/>
      <c r="Y986" s="56"/>
      <c r="Z986" s="56"/>
      <c r="AA986" s="56"/>
      <c r="AB986" s="56"/>
      <c r="AC986" s="15"/>
    </row>
    <row r="987" spans="3:29" ht="12.75">
      <c r="C987" s="23"/>
      <c r="I987" s="23"/>
      <c r="L987" s="56"/>
      <c r="M987" s="56"/>
      <c r="N987" s="56"/>
      <c r="O987" s="56"/>
      <c r="P987" s="56"/>
      <c r="Q987" s="56"/>
      <c r="R987" s="56"/>
      <c r="S987" s="56"/>
      <c r="T987" s="56"/>
      <c r="U987" s="56"/>
      <c r="V987" s="56"/>
      <c r="W987" s="56"/>
      <c r="X987" s="56"/>
      <c r="Y987" s="56"/>
      <c r="Z987" s="56"/>
      <c r="AA987" s="56"/>
      <c r="AB987" s="56"/>
      <c r="AC987" s="15"/>
    </row>
    <row r="988" spans="3:29" ht="12.75">
      <c r="C988" s="23"/>
      <c r="I988" s="23"/>
      <c r="L988" s="56"/>
      <c r="M988" s="56"/>
      <c r="N988" s="56"/>
      <c r="O988" s="56"/>
      <c r="P988" s="56"/>
      <c r="Q988" s="56"/>
      <c r="R988" s="56"/>
      <c r="S988" s="56"/>
      <c r="T988" s="56"/>
      <c r="U988" s="56"/>
      <c r="V988" s="56"/>
      <c r="W988" s="56"/>
      <c r="X988" s="56"/>
      <c r="Y988" s="56"/>
      <c r="Z988" s="56"/>
      <c r="AA988" s="56"/>
      <c r="AB988" s="56"/>
      <c r="AC988" s="15"/>
    </row>
    <row r="989" spans="3:29" ht="12.75">
      <c r="C989" s="23"/>
      <c r="I989" s="23"/>
      <c r="L989" s="56"/>
      <c r="M989" s="56"/>
      <c r="N989" s="56"/>
      <c r="O989" s="56"/>
      <c r="P989" s="56"/>
      <c r="Q989" s="56"/>
      <c r="R989" s="56"/>
      <c r="S989" s="56"/>
      <c r="T989" s="56"/>
      <c r="U989" s="56"/>
      <c r="V989" s="56"/>
      <c r="W989" s="56"/>
      <c r="X989" s="56"/>
      <c r="Y989" s="56"/>
      <c r="Z989" s="56"/>
      <c r="AA989" s="56"/>
      <c r="AB989" s="56"/>
      <c r="AC989" s="15"/>
    </row>
    <row r="990" spans="3:29" ht="12.75">
      <c r="C990" s="23"/>
      <c r="I990" s="23"/>
      <c r="L990" s="56"/>
      <c r="M990" s="56"/>
      <c r="N990" s="56"/>
      <c r="O990" s="56"/>
      <c r="P990" s="56"/>
      <c r="Q990" s="56"/>
      <c r="R990" s="56"/>
      <c r="S990" s="56"/>
      <c r="T990" s="56"/>
      <c r="U990" s="56"/>
      <c r="V990" s="56"/>
      <c r="W990" s="56"/>
      <c r="X990" s="56"/>
      <c r="Y990" s="56"/>
      <c r="Z990" s="56"/>
      <c r="AA990" s="56"/>
      <c r="AB990" s="56"/>
      <c r="AC990" s="15"/>
    </row>
    <row r="991" spans="3:29" ht="12.75">
      <c r="C991" s="23"/>
      <c r="I991" s="23"/>
      <c r="L991" s="56"/>
      <c r="M991" s="56"/>
      <c r="N991" s="56"/>
      <c r="O991" s="56"/>
      <c r="P991" s="56"/>
      <c r="Q991" s="56"/>
      <c r="R991" s="56"/>
      <c r="S991" s="56"/>
      <c r="T991" s="56"/>
      <c r="U991" s="56"/>
      <c r="V991" s="56"/>
      <c r="W991" s="56"/>
      <c r="X991" s="56"/>
      <c r="Y991" s="56"/>
      <c r="Z991" s="56"/>
      <c r="AA991" s="56"/>
      <c r="AB991" s="56"/>
      <c r="AC991" s="15"/>
    </row>
    <row r="992" spans="3:29" ht="12.75">
      <c r="C992" s="23"/>
      <c r="I992" s="23"/>
      <c r="L992" s="56"/>
      <c r="M992" s="56"/>
      <c r="N992" s="56"/>
      <c r="O992" s="56"/>
      <c r="P992" s="56"/>
      <c r="Q992" s="56"/>
      <c r="R992" s="56"/>
      <c r="S992" s="56"/>
      <c r="T992" s="56"/>
      <c r="U992" s="56"/>
      <c r="V992" s="56"/>
      <c r="W992" s="56"/>
      <c r="X992" s="56"/>
      <c r="Y992" s="56"/>
      <c r="Z992" s="56"/>
      <c r="AA992" s="56"/>
      <c r="AB992" s="56"/>
      <c r="AC992" s="15"/>
    </row>
    <row r="993" spans="3:29" ht="12.75">
      <c r="C993" s="23"/>
      <c r="I993" s="23"/>
      <c r="L993" s="56"/>
      <c r="M993" s="56"/>
      <c r="N993" s="56"/>
      <c r="O993" s="56"/>
      <c r="P993" s="56"/>
      <c r="Q993" s="56"/>
      <c r="R993" s="56"/>
      <c r="S993" s="56"/>
      <c r="T993" s="56"/>
      <c r="U993" s="56"/>
      <c r="V993" s="56"/>
      <c r="W993" s="56"/>
      <c r="X993" s="56"/>
      <c r="Y993" s="56"/>
      <c r="Z993" s="56"/>
      <c r="AA993" s="56"/>
      <c r="AB993" s="56"/>
      <c r="AC993" s="15"/>
    </row>
    <row r="994" spans="3:29" ht="12.75">
      <c r="C994" s="23"/>
      <c r="I994" s="23"/>
      <c r="L994" s="56"/>
      <c r="M994" s="56"/>
      <c r="N994" s="56"/>
      <c r="O994" s="56"/>
      <c r="P994" s="56"/>
      <c r="Q994" s="56"/>
      <c r="R994" s="56"/>
      <c r="S994" s="56"/>
      <c r="T994" s="56"/>
      <c r="U994" s="56"/>
      <c r="V994" s="56"/>
      <c r="W994" s="56"/>
      <c r="X994" s="56"/>
      <c r="Y994" s="56"/>
      <c r="Z994" s="56"/>
      <c r="AA994" s="56"/>
      <c r="AB994" s="56"/>
      <c r="AC994" s="15"/>
    </row>
    <row r="995" spans="3:29" ht="12.75">
      <c r="C995" s="23"/>
      <c r="I995" s="23"/>
      <c r="L995" s="56"/>
      <c r="M995" s="56"/>
      <c r="N995" s="56"/>
      <c r="O995" s="56"/>
      <c r="P995" s="56"/>
      <c r="Q995" s="56"/>
      <c r="R995" s="56"/>
      <c r="S995" s="56"/>
      <c r="T995" s="56"/>
      <c r="U995" s="56"/>
      <c r="V995" s="56"/>
      <c r="W995" s="56"/>
      <c r="X995" s="56"/>
      <c r="Y995" s="56"/>
      <c r="Z995" s="56"/>
      <c r="AA995" s="56"/>
      <c r="AB995" s="56"/>
      <c r="AC995" s="15"/>
    </row>
    <row r="996" spans="3:29" ht="12.75">
      <c r="C996" s="23"/>
      <c r="I996" s="23"/>
      <c r="L996" s="56"/>
      <c r="M996" s="56"/>
      <c r="N996" s="56"/>
      <c r="O996" s="56"/>
      <c r="P996" s="56"/>
      <c r="Q996" s="56"/>
      <c r="R996" s="56"/>
      <c r="S996" s="56"/>
      <c r="T996" s="56"/>
      <c r="U996" s="56"/>
      <c r="V996" s="56"/>
      <c r="W996" s="56"/>
      <c r="X996" s="56"/>
      <c r="Y996" s="56"/>
      <c r="Z996" s="56"/>
      <c r="AA996" s="56"/>
      <c r="AB996" s="56"/>
      <c r="AC996" s="15"/>
    </row>
    <row r="997" spans="3:29" ht="12.75">
      <c r="C997" s="23"/>
      <c r="I997" s="23"/>
      <c r="L997" s="56"/>
      <c r="M997" s="56"/>
      <c r="N997" s="56"/>
      <c r="O997" s="56"/>
      <c r="P997" s="56"/>
      <c r="Q997" s="56"/>
      <c r="R997" s="56"/>
      <c r="S997" s="56"/>
      <c r="T997" s="56"/>
      <c r="U997" s="56"/>
      <c r="V997" s="56"/>
      <c r="W997" s="56"/>
      <c r="X997" s="56"/>
      <c r="Y997" s="56"/>
      <c r="Z997" s="56"/>
      <c r="AA997" s="56"/>
      <c r="AB997" s="56"/>
      <c r="AC997" s="15"/>
    </row>
    <row r="998" spans="3:29" ht="12.75">
      <c r="C998" s="23"/>
      <c r="I998" s="23"/>
      <c r="L998" s="56"/>
      <c r="M998" s="56"/>
      <c r="N998" s="56"/>
      <c r="O998" s="56"/>
      <c r="P998" s="56"/>
      <c r="Q998" s="56"/>
      <c r="R998" s="56"/>
      <c r="S998" s="56"/>
      <c r="T998" s="56"/>
      <c r="U998" s="56"/>
      <c r="V998" s="56"/>
      <c r="W998" s="56"/>
      <c r="X998" s="56"/>
      <c r="Y998" s="56"/>
      <c r="Z998" s="56"/>
      <c r="AA998" s="56"/>
      <c r="AB998" s="56"/>
      <c r="AC998" s="15"/>
    </row>
    <row r="999" spans="3:29" ht="12.75">
      <c r="C999" s="23"/>
      <c r="I999" s="23"/>
      <c r="L999" s="56"/>
      <c r="M999" s="56"/>
      <c r="N999" s="56"/>
      <c r="O999" s="56"/>
      <c r="P999" s="56"/>
      <c r="Q999" s="56"/>
      <c r="R999" s="56"/>
      <c r="S999" s="56"/>
      <c r="T999" s="56"/>
      <c r="U999" s="56"/>
      <c r="V999" s="56"/>
      <c r="W999" s="56"/>
      <c r="X999" s="56"/>
      <c r="Y999" s="56"/>
      <c r="Z999" s="56"/>
      <c r="AA999" s="56"/>
      <c r="AB999" s="56"/>
      <c r="AC999" s="15"/>
    </row>
    <row r="1000" spans="3:29" ht="12.75">
      <c r="C1000" s="23"/>
      <c r="I1000" s="23"/>
      <c r="L1000" s="56"/>
      <c r="M1000" s="56"/>
      <c r="N1000" s="56"/>
      <c r="O1000" s="56"/>
      <c r="P1000" s="56"/>
      <c r="Q1000" s="56"/>
      <c r="R1000" s="56"/>
      <c r="S1000" s="56"/>
      <c r="T1000" s="56"/>
      <c r="U1000" s="56"/>
      <c r="V1000" s="56"/>
      <c r="W1000" s="56"/>
      <c r="X1000" s="56"/>
      <c r="Y1000" s="56"/>
      <c r="Z1000" s="56"/>
      <c r="AA1000" s="56"/>
      <c r="AB1000" s="56"/>
      <c r="AC1000" s="15"/>
    </row>
    <row r="1001" spans="3:29" ht="12.75">
      <c r="C1001" s="23"/>
      <c r="I1001" s="23"/>
      <c r="L1001" s="56"/>
      <c r="M1001" s="56"/>
      <c r="N1001" s="56"/>
      <c r="O1001" s="56"/>
      <c r="P1001" s="56"/>
      <c r="Q1001" s="56"/>
      <c r="R1001" s="56"/>
      <c r="S1001" s="56"/>
      <c r="T1001" s="56"/>
      <c r="U1001" s="56"/>
      <c r="V1001" s="56"/>
      <c r="W1001" s="56"/>
      <c r="X1001" s="56"/>
      <c r="Y1001" s="56"/>
      <c r="Z1001" s="56"/>
      <c r="AA1001" s="56"/>
      <c r="AB1001" s="56"/>
      <c r="AC1001" s="15"/>
    </row>
    <row r="1002" spans="3:29" ht="12.75">
      <c r="C1002" s="23"/>
      <c r="I1002" s="23"/>
      <c r="L1002" s="56"/>
      <c r="M1002" s="56"/>
      <c r="N1002" s="56"/>
      <c r="O1002" s="56"/>
      <c r="P1002" s="56"/>
      <c r="Q1002" s="56"/>
      <c r="R1002" s="56"/>
      <c r="S1002" s="56"/>
      <c r="T1002" s="56"/>
      <c r="U1002" s="56"/>
      <c r="V1002" s="56"/>
      <c r="W1002" s="56"/>
      <c r="X1002" s="56"/>
      <c r="Y1002" s="56"/>
      <c r="Z1002" s="56"/>
      <c r="AA1002" s="56"/>
      <c r="AB1002" s="56"/>
      <c r="AC1002" s="15"/>
    </row>
    <row r="1003" spans="3:29" ht="12.75">
      <c r="C1003" s="23"/>
      <c r="I1003" s="23"/>
      <c r="L1003" s="56"/>
      <c r="M1003" s="56"/>
      <c r="N1003" s="56"/>
      <c r="O1003" s="56"/>
      <c r="P1003" s="56"/>
      <c r="Q1003" s="56"/>
      <c r="R1003" s="56"/>
      <c r="S1003" s="56"/>
      <c r="T1003" s="56"/>
      <c r="U1003" s="56"/>
      <c r="V1003" s="56"/>
      <c r="W1003" s="56"/>
      <c r="X1003" s="56"/>
      <c r="Y1003" s="56"/>
      <c r="Z1003" s="56"/>
      <c r="AA1003" s="56"/>
      <c r="AB1003" s="56"/>
      <c r="AC1003" s="15"/>
    </row>
    <row r="1004" spans="3:29" ht="12.75">
      <c r="C1004" s="23"/>
      <c r="I1004" s="23"/>
      <c r="L1004" s="56"/>
      <c r="M1004" s="56"/>
      <c r="N1004" s="56"/>
      <c r="O1004" s="56"/>
      <c r="P1004" s="56"/>
      <c r="Q1004" s="56"/>
      <c r="R1004" s="56"/>
      <c r="S1004" s="56"/>
      <c r="T1004" s="56"/>
      <c r="U1004" s="56"/>
      <c r="V1004" s="56"/>
      <c r="W1004" s="56"/>
      <c r="X1004" s="56"/>
      <c r="Y1004" s="56"/>
      <c r="Z1004" s="56"/>
      <c r="AA1004" s="56"/>
      <c r="AB1004" s="56"/>
      <c r="AC1004" s="15"/>
    </row>
    <row r="1005" spans="3:29" ht="12.75">
      <c r="C1005" s="23"/>
      <c r="I1005" s="23"/>
      <c r="L1005" s="56"/>
      <c r="M1005" s="56"/>
      <c r="N1005" s="56"/>
      <c r="O1005" s="56"/>
      <c r="P1005" s="56"/>
      <c r="Q1005" s="56"/>
      <c r="R1005" s="56"/>
      <c r="S1005" s="56"/>
      <c r="T1005" s="56"/>
      <c r="U1005" s="56"/>
      <c r="V1005" s="56"/>
      <c r="W1005" s="56"/>
      <c r="X1005" s="56"/>
      <c r="Y1005" s="56"/>
      <c r="Z1005" s="56"/>
      <c r="AA1005" s="56"/>
      <c r="AB1005" s="56"/>
      <c r="AC1005" s="15"/>
    </row>
    <row r="1006" spans="3:29" ht="12.75">
      <c r="C1006" s="23"/>
      <c r="I1006" s="23"/>
      <c r="L1006" s="56"/>
      <c r="M1006" s="56"/>
      <c r="N1006" s="56"/>
      <c r="O1006" s="56"/>
      <c r="P1006" s="56"/>
      <c r="Q1006" s="56"/>
      <c r="R1006" s="56"/>
      <c r="S1006" s="56"/>
      <c r="T1006" s="56"/>
      <c r="U1006" s="56"/>
      <c r="V1006" s="56"/>
      <c r="W1006" s="56"/>
      <c r="X1006" s="56"/>
      <c r="Y1006" s="56"/>
      <c r="Z1006" s="56"/>
      <c r="AA1006" s="56"/>
      <c r="AB1006" s="56"/>
      <c r="AC1006" s="15"/>
    </row>
    <row r="1007" spans="3:29" ht="12.75">
      <c r="C1007" s="23"/>
      <c r="I1007" s="23"/>
      <c r="L1007" s="56"/>
      <c r="M1007" s="56"/>
      <c r="N1007" s="56"/>
      <c r="O1007" s="56"/>
      <c r="P1007" s="56"/>
      <c r="Q1007" s="56"/>
      <c r="R1007" s="56"/>
      <c r="S1007" s="56"/>
      <c r="T1007" s="56"/>
      <c r="U1007" s="56"/>
      <c r="V1007" s="56"/>
      <c r="W1007" s="56"/>
      <c r="X1007" s="56"/>
      <c r="Y1007" s="56"/>
      <c r="Z1007" s="56"/>
      <c r="AA1007" s="56"/>
      <c r="AB1007" s="56"/>
      <c r="AC1007" s="15"/>
    </row>
    <row r="1008" spans="3:29" ht="12.75">
      <c r="C1008" s="23"/>
      <c r="I1008" s="23"/>
      <c r="L1008" s="56"/>
      <c r="M1008" s="56"/>
      <c r="N1008" s="56"/>
      <c r="O1008" s="56"/>
      <c r="P1008" s="56"/>
      <c r="Q1008" s="56"/>
      <c r="R1008" s="56"/>
      <c r="S1008" s="56"/>
      <c r="T1008" s="56"/>
      <c r="U1008" s="56"/>
      <c r="V1008" s="56"/>
      <c r="W1008" s="56"/>
      <c r="X1008" s="56"/>
      <c r="Y1008" s="56"/>
      <c r="Z1008" s="56"/>
      <c r="AA1008" s="56"/>
      <c r="AB1008" s="56"/>
      <c r="AC1008" s="15"/>
    </row>
    <row r="1009" spans="3:29" ht="12.75">
      <c r="C1009" s="23"/>
      <c r="I1009" s="23"/>
      <c r="L1009" s="56"/>
      <c r="M1009" s="56"/>
      <c r="N1009" s="56"/>
      <c r="O1009" s="56"/>
      <c r="P1009" s="56"/>
      <c r="Q1009" s="56"/>
      <c r="R1009" s="56"/>
      <c r="S1009" s="56"/>
      <c r="T1009" s="56"/>
      <c r="U1009" s="56"/>
      <c r="V1009" s="56"/>
      <c r="W1009" s="56"/>
      <c r="X1009" s="56"/>
      <c r="Y1009" s="56"/>
      <c r="Z1009" s="56"/>
      <c r="AA1009" s="56"/>
      <c r="AB1009" s="56"/>
      <c r="AC1009" s="15"/>
    </row>
    <row r="1010" spans="3:29" ht="12.75">
      <c r="C1010" s="23"/>
      <c r="I1010" s="23"/>
      <c r="L1010" s="56"/>
      <c r="M1010" s="56"/>
      <c r="N1010" s="56"/>
      <c r="O1010" s="56"/>
      <c r="P1010" s="56"/>
      <c r="Q1010" s="56"/>
      <c r="R1010" s="56"/>
      <c r="S1010" s="56"/>
      <c r="T1010" s="56"/>
      <c r="U1010" s="56"/>
      <c r="V1010" s="56"/>
      <c r="W1010" s="56"/>
      <c r="X1010" s="56"/>
      <c r="Y1010" s="56"/>
      <c r="Z1010" s="56"/>
      <c r="AA1010" s="56"/>
      <c r="AB1010" s="56"/>
      <c r="AC1010" s="15"/>
    </row>
    <row r="1011" spans="3:29" ht="12.75">
      <c r="C1011" s="23"/>
      <c r="I1011" s="23"/>
      <c r="L1011" s="56"/>
      <c r="M1011" s="56"/>
      <c r="N1011" s="56"/>
      <c r="O1011" s="56"/>
      <c r="P1011" s="56"/>
      <c r="Q1011" s="56"/>
      <c r="R1011" s="56"/>
      <c r="S1011" s="56"/>
      <c r="T1011" s="56"/>
      <c r="U1011" s="56"/>
      <c r="V1011" s="56"/>
      <c r="W1011" s="56"/>
      <c r="X1011" s="56"/>
      <c r="Y1011" s="56"/>
      <c r="Z1011" s="56"/>
      <c r="AA1011" s="56"/>
      <c r="AB1011" s="56"/>
      <c r="AC1011" s="15"/>
    </row>
    <row r="1012" spans="3:29" ht="12.75">
      <c r="C1012" s="23"/>
      <c r="I1012" s="23"/>
      <c r="L1012" s="56"/>
      <c r="M1012" s="56"/>
      <c r="N1012" s="56"/>
      <c r="O1012" s="56"/>
      <c r="P1012" s="56"/>
      <c r="Q1012" s="56"/>
      <c r="R1012" s="56"/>
      <c r="S1012" s="56"/>
      <c r="T1012" s="56"/>
      <c r="U1012" s="56"/>
      <c r="V1012" s="56"/>
      <c r="W1012" s="56"/>
      <c r="X1012" s="56"/>
      <c r="Y1012" s="56"/>
      <c r="Z1012" s="56"/>
      <c r="AA1012" s="56"/>
      <c r="AB1012" s="56"/>
      <c r="AC1012" s="15"/>
    </row>
    <row r="1013" spans="3:29" ht="12.75">
      <c r="C1013" s="23"/>
      <c r="I1013" s="23"/>
      <c r="L1013" s="56"/>
      <c r="M1013" s="56"/>
      <c r="N1013" s="56"/>
      <c r="O1013" s="56"/>
      <c r="P1013" s="56"/>
      <c r="Q1013" s="56"/>
      <c r="R1013" s="56"/>
      <c r="S1013" s="56"/>
      <c r="T1013" s="56"/>
      <c r="U1013" s="56"/>
      <c r="V1013" s="56"/>
      <c r="W1013" s="56"/>
      <c r="X1013" s="56"/>
      <c r="Y1013" s="56"/>
      <c r="Z1013" s="56"/>
      <c r="AA1013" s="56"/>
      <c r="AB1013" s="56"/>
      <c r="AC1013" s="15"/>
    </row>
    <row r="1014" spans="3:29" ht="12.75">
      <c r="C1014" s="23"/>
      <c r="I1014" s="23"/>
      <c r="L1014" s="56"/>
      <c r="M1014" s="56"/>
      <c r="N1014" s="56"/>
      <c r="O1014" s="56"/>
      <c r="P1014" s="56"/>
      <c r="Q1014" s="56"/>
      <c r="R1014" s="56"/>
      <c r="S1014" s="56"/>
      <c r="T1014" s="56"/>
      <c r="U1014" s="56"/>
      <c r="V1014" s="56"/>
      <c r="W1014" s="56"/>
      <c r="X1014" s="56"/>
      <c r="Y1014" s="56"/>
      <c r="Z1014" s="56"/>
      <c r="AA1014" s="56"/>
      <c r="AB1014" s="56"/>
      <c r="AC1014" s="15"/>
    </row>
    <row r="1015" spans="3:29" ht="12.75">
      <c r="C1015" s="23"/>
      <c r="I1015" s="23"/>
      <c r="L1015" s="56"/>
      <c r="M1015" s="56"/>
      <c r="N1015" s="56"/>
      <c r="O1015" s="56"/>
      <c r="P1015" s="56"/>
      <c r="Q1015" s="56"/>
      <c r="R1015" s="56"/>
      <c r="S1015" s="56"/>
      <c r="T1015" s="56"/>
      <c r="U1015" s="56"/>
      <c r="V1015" s="56"/>
      <c r="W1015" s="56"/>
      <c r="X1015" s="56"/>
      <c r="Y1015" s="56"/>
      <c r="Z1015" s="56"/>
      <c r="AA1015" s="56"/>
      <c r="AB1015" s="56"/>
      <c r="AC1015" s="15"/>
    </row>
    <row r="1016" spans="3:29" ht="12.75">
      <c r="C1016" s="23"/>
      <c r="I1016" s="23"/>
      <c r="L1016" s="56"/>
      <c r="M1016" s="56"/>
      <c r="N1016" s="56"/>
      <c r="O1016" s="56"/>
      <c r="P1016" s="56"/>
      <c r="Q1016" s="56"/>
      <c r="R1016" s="56"/>
      <c r="S1016" s="56"/>
      <c r="T1016" s="56"/>
      <c r="U1016" s="56"/>
      <c r="V1016" s="56"/>
      <c r="W1016" s="56"/>
      <c r="X1016" s="56"/>
      <c r="Y1016" s="56"/>
      <c r="Z1016" s="56"/>
      <c r="AA1016" s="56"/>
      <c r="AB1016" s="56"/>
      <c r="AC1016" s="15"/>
    </row>
    <row r="1017" spans="3:29" ht="12.75">
      <c r="C1017" s="23"/>
      <c r="I1017" s="23"/>
      <c r="L1017" s="56"/>
      <c r="M1017" s="56"/>
      <c r="N1017" s="56"/>
      <c r="O1017" s="56"/>
      <c r="P1017" s="56"/>
      <c r="Q1017" s="56"/>
      <c r="R1017" s="56"/>
      <c r="S1017" s="56"/>
      <c r="T1017" s="56"/>
      <c r="U1017" s="56"/>
      <c r="V1017" s="56"/>
      <c r="W1017" s="56"/>
      <c r="X1017" s="56"/>
      <c r="Y1017" s="56"/>
      <c r="Z1017" s="56"/>
      <c r="AA1017" s="56"/>
      <c r="AB1017" s="56"/>
      <c r="AC1017" s="15"/>
    </row>
    <row r="1018" spans="3:29" ht="12.75">
      <c r="C1018" s="23"/>
      <c r="I1018" s="23"/>
      <c r="L1018" s="56"/>
      <c r="M1018" s="56"/>
      <c r="N1018" s="56"/>
      <c r="O1018" s="56"/>
      <c r="P1018" s="56"/>
      <c r="Q1018" s="56"/>
      <c r="R1018" s="56"/>
      <c r="S1018" s="56"/>
      <c r="T1018" s="56"/>
      <c r="U1018" s="56"/>
      <c r="V1018" s="56"/>
      <c r="W1018" s="56"/>
      <c r="X1018" s="56"/>
      <c r="Y1018" s="56"/>
      <c r="Z1018" s="56"/>
      <c r="AA1018" s="56"/>
      <c r="AB1018" s="56"/>
      <c r="AC1018" s="15"/>
    </row>
    <row r="1019" spans="3:29" ht="12.75">
      <c r="C1019" s="23"/>
      <c r="I1019" s="23"/>
      <c r="L1019" s="56"/>
      <c r="M1019" s="56"/>
      <c r="N1019" s="56"/>
      <c r="O1019" s="56"/>
      <c r="P1019" s="56"/>
      <c r="Q1019" s="56"/>
      <c r="R1019" s="56"/>
      <c r="S1019" s="56"/>
      <c r="T1019" s="56"/>
      <c r="U1019" s="56"/>
      <c r="V1019" s="56"/>
      <c r="W1019" s="56"/>
      <c r="X1019" s="56"/>
      <c r="Y1019" s="56"/>
      <c r="Z1019" s="56"/>
      <c r="AA1019" s="56"/>
      <c r="AB1019" s="56"/>
      <c r="AC1019" s="15"/>
    </row>
    <row r="1020" spans="3:29" ht="12.75">
      <c r="C1020" s="23"/>
      <c r="I1020" s="23"/>
      <c r="L1020" s="56"/>
      <c r="M1020" s="56"/>
      <c r="N1020" s="56"/>
      <c r="O1020" s="56"/>
      <c r="P1020" s="56"/>
      <c r="Q1020" s="56"/>
      <c r="R1020" s="56"/>
      <c r="S1020" s="56"/>
      <c r="T1020" s="56"/>
      <c r="U1020" s="56"/>
      <c r="V1020" s="56"/>
      <c r="W1020" s="56"/>
      <c r="X1020" s="56"/>
      <c r="Y1020" s="56"/>
      <c r="Z1020" s="56"/>
      <c r="AA1020" s="56"/>
      <c r="AB1020" s="56"/>
      <c r="AC1020" s="15"/>
    </row>
    <row r="1021" spans="3:29" ht="12.75">
      <c r="C1021" s="23"/>
      <c r="I1021" s="23"/>
      <c r="L1021" s="56"/>
      <c r="M1021" s="56"/>
      <c r="N1021" s="56"/>
      <c r="O1021" s="56"/>
      <c r="P1021" s="56"/>
      <c r="Q1021" s="56"/>
      <c r="R1021" s="56"/>
      <c r="S1021" s="56"/>
      <c r="T1021" s="56"/>
      <c r="U1021" s="56"/>
      <c r="V1021" s="56"/>
      <c r="W1021" s="56"/>
      <c r="X1021" s="56"/>
      <c r="Y1021" s="56"/>
      <c r="Z1021" s="56"/>
      <c r="AA1021" s="56"/>
      <c r="AB1021" s="56"/>
      <c r="AC1021" s="15"/>
    </row>
    <row r="1022" spans="3:29" ht="12.75">
      <c r="C1022" s="23"/>
      <c r="I1022" s="23"/>
      <c r="L1022" s="56"/>
      <c r="M1022" s="56"/>
      <c r="N1022" s="56"/>
      <c r="O1022" s="56"/>
      <c r="P1022" s="56"/>
      <c r="Q1022" s="56"/>
      <c r="R1022" s="56"/>
      <c r="S1022" s="56"/>
      <c r="T1022" s="56"/>
      <c r="U1022" s="56"/>
      <c r="V1022" s="56"/>
      <c r="W1022" s="56"/>
      <c r="X1022" s="56"/>
      <c r="Y1022" s="56"/>
      <c r="Z1022" s="56"/>
      <c r="AA1022" s="56"/>
      <c r="AB1022" s="56"/>
      <c r="AC1022" s="15"/>
    </row>
    <row r="1023" spans="3:29" ht="12.75">
      <c r="C1023" s="23"/>
      <c r="I1023" s="23"/>
      <c r="L1023" s="56"/>
      <c r="M1023" s="56"/>
      <c r="N1023" s="56"/>
      <c r="O1023" s="56"/>
      <c r="P1023" s="56"/>
      <c r="Q1023" s="56"/>
      <c r="R1023" s="56"/>
      <c r="S1023" s="56"/>
      <c r="T1023" s="56"/>
      <c r="U1023" s="56"/>
      <c r="V1023" s="56"/>
      <c r="W1023" s="56"/>
      <c r="X1023" s="56"/>
      <c r="Y1023" s="56"/>
      <c r="Z1023" s="56"/>
      <c r="AA1023" s="56"/>
      <c r="AB1023" s="56"/>
      <c r="AC1023" s="15"/>
    </row>
    <row r="1024" spans="3:29" ht="12.75">
      <c r="C1024" s="23"/>
      <c r="I1024" s="23"/>
      <c r="L1024" s="56"/>
      <c r="M1024" s="56"/>
      <c r="N1024" s="56"/>
      <c r="O1024" s="56"/>
      <c r="P1024" s="56"/>
      <c r="Q1024" s="56"/>
      <c r="R1024" s="56"/>
      <c r="S1024" s="56"/>
      <c r="T1024" s="56"/>
      <c r="U1024" s="56"/>
      <c r="V1024" s="56"/>
      <c r="W1024" s="56"/>
      <c r="X1024" s="56"/>
      <c r="Y1024" s="56"/>
      <c r="Z1024" s="56"/>
      <c r="AA1024" s="56"/>
      <c r="AB1024" s="56"/>
      <c r="AC1024" s="15"/>
    </row>
    <row r="1025" spans="3:29" ht="12.75">
      <c r="C1025" s="23"/>
      <c r="I1025" s="23"/>
      <c r="L1025" s="56"/>
      <c r="M1025" s="56"/>
      <c r="N1025" s="56"/>
      <c r="O1025" s="56"/>
      <c r="P1025" s="56"/>
      <c r="Q1025" s="56"/>
      <c r="R1025" s="56"/>
      <c r="S1025" s="56"/>
      <c r="T1025" s="56"/>
      <c r="U1025" s="56"/>
      <c r="V1025" s="56"/>
      <c r="W1025" s="56"/>
      <c r="X1025" s="56"/>
      <c r="Y1025" s="56"/>
      <c r="Z1025" s="56"/>
      <c r="AA1025" s="56"/>
      <c r="AB1025" s="56"/>
      <c r="AC1025" s="15"/>
    </row>
    <row r="1026" spans="3:29" ht="12.75">
      <c r="C1026" s="23"/>
      <c r="I1026" s="23"/>
      <c r="L1026" s="56"/>
      <c r="M1026" s="56"/>
      <c r="N1026" s="56"/>
      <c r="O1026" s="56"/>
      <c r="P1026" s="56"/>
      <c r="Q1026" s="56"/>
      <c r="R1026" s="56"/>
      <c r="S1026" s="56"/>
      <c r="T1026" s="56"/>
      <c r="U1026" s="56"/>
      <c r="V1026" s="56"/>
      <c r="W1026" s="56"/>
      <c r="X1026" s="56"/>
      <c r="Y1026" s="56"/>
      <c r="Z1026" s="56"/>
      <c r="AA1026" s="56"/>
      <c r="AB1026" s="56"/>
      <c r="AC1026" s="15"/>
    </row>
    <row r="1027" spans="3:29" ht="12.75">
      <c r="C1027" s="23"/>
      <c r="I1027" s="23"/>
      <c r="L1027" s="56"/>
      <c r="M1027" s="56"/>
      <c r="N1027" s="56"/>
      <c r="O1027" s="56"/>
      <c r="P1027" s="56"/>
      <c r="Q1027" s="56"/>
      <c r="R1027" s="56"/>
      <c r="S1027" s="56"/>
      <c r="T1027" s="56"/>
      <c r="U1027" s="56"/>
      <c r="V1027" s="56"/>
      <c r="W1027" s="56"/>
      <c r="X1027" s="56"/>
      <c r="Y1027" s="56"/>
      <c r="Z1027" s="56"/>
      <c r="AA1027" s="56"/>
      <c r="AB1027" s="56"/>
      <c r="AC1027" s="15"/>
    </row>
    <row r="1028" spans="3:29" ht="12.75">
      <c r="C1028" s="23"/>
      <c r="I1028" s="23"/>
      <c r="L1028" s="56"/>
      <c r="M1028" s="56"/>
      <c r="N1028" s="56"/>
      <c r="O1028" s="56"/>
      <c r="P1028" s="56"/>
      <c r="Q1028" s="56"/>
      <c r="R1028" s="56"/>
      <c r="S1028" s="56"/>
      <c r="T1028" s="56"/>
      <c r="U1028" s="56"/>
      <c r="V1028" s="56"/>
      <c r="W1028" s="56"/>
      <c r="X1028" s="56"/>
      <c r="Y1028" s="56"/>
      <c r="Z1028" s="56"/>
      <c r="AA1028" s="56"/>
      <c r="AB1028" s="56"/>
      <c r="AC1028" s="15"/>
    </row>
    <row r="1029" spans="3:29" ht="12.75">
      <c r="C1029" s="23"/>
      <c r="I1029" s="23"/>
      <c r="L1029" s="56"/>
      <c r="M1029" s="56"/>
      <c r="N1029" s="56"/>
      <c r="O1029" s="56"/>
      <c r="P1029" s="56"/>
      <c r="Q1029" s="56"/>
      <c r="R1029" s="56"/>
      <c r="S1029" s="56"/>
      <c r="T1029" s="56"/>
      <c r="U1029" s="56"/>
      <c r="V1029" s="56"/>
      <c r="W1029" s="56"/>
      <c r="X1029" s="56"/>
      <c r="Y1029" s="56"/>
      <c r="Z1029" s="56"/>
      <c r="AA1029" s="56"/>
      <c r="AB1029" s="56"/>
      <c r="AC1029" s="15"/>
    </row>
    <row r="1030" spans="3:29" ht="12.75">
      <c r="C1030" s="23"/>
      <c r="I1030" s="23"/>
      <c r="L1030" s="56"/>
      <c r="M1030" s="56"/>
      <c r="N1030" s="56"/>
      <c r="O1030" s="56"/>
      <c r="P1030" s="56"/>
      <c r="Q1030" s="56"/>
      <c r="R1030" s="56"/>
      <c r="S1030" s="56"/>
      <c r="T1030" s="56"/>
      <c r="U1030" s="56"/>
      <c r="V1030" s="56"/>
      <c r="W1030" s="56"/>
      <c r="X1030" s="56"/>
      <c r="Y1030" s="56"/>
      <c r="Z1030" s="56"/>
      <c r="AA1030" s="56"/>
      <c r="AB1030" s="56"/>
      <c r="AC1030" s="15"/>
    </row>
    <row r="1031" spans="3:29" ht="12.75">
      <c r="C1031" s="23"/>
      <c r="I1031" s="23"/>
      <c r="L1031" s="56"/>
      <c r="M1031" s="56"/>
      <c r="N1031" s="56"/>
      <c r="O1031" s="56"/>
      <c r="P1031" s="56"/>
      <c r="Q1031" s="56"/>
      <c r="R1031" s="56"/>
      <c r="S1031" s="56"/>
      <c r="T1031" s="56"/>
      <c r="U1031" s="56"/>
      <c r="V1031" s="56"/>
      <c r="W1031" s="56"/>
      <c r="X1031" s="56"/>
      <c r="Y1031" s="56"/>
      <c r="Z1031" s="56"/>
      <c r="AA1031" s="56"/>
      <c r="AB1031" s="56"/>
      <c r="AC1031" s="15"/>
    </row>
    <row r="1032" spans="3:29" ht="12.75">
      <c r="C1032" s="23"/>
      <c r="I1032" s="23"/>
      <c r="L1032" s="56"/>
      <c r="M1032" s="56"/>
      <c r="N1032" s="56"/>
      <c r="O1032" s="56"/>
      <c r="P1032" s="56"/>
      <c r="Q1032" s="56"/>
      <c r="R1032" s="56"/>
      <c r="S1032" s="56"/>
      <c r="T1032" s="56"/>
      <c r="U1032" s="56"/>
      <c r="V1032" s="56"/>
      <c r="W1032" s="56"/>
      <c r="X1032" s="56"/>
      <c r="Y1032" s="56"/>
      <c r="Z1032" s="56"/>
      <c r="AA1032" s="56"/>
      <c r="AB1032" s="56"/>
      <c r="AC1032" s="15"/>
    </row>
    <row r="1033" spans="3:29" ht="12.75">
      <c r="C1033" s="23"/>
      <c r="I1033" s="23"/>
      <c r="L1033" s="56"/>
      <c r="M1033" s="56"/>
      <c r="N1033" s="56"/>
      <c r="O1033" s="56"/>
      <c r="P1033" s="56"/>
      <c r="Q1033" s="56"/>
      <c r="R1033" s="56"/>
      <c r="S1033" s="56"/>
      <c r="T1033" s="56"/>
      <c r="U1033" s="56"/>
      <c r="V1033" s="56"/>
      <c r="W1033" s="56"/>
      <c r="X1033" s="56"/>
      <c r="Y1033" s="56"/>
      <c r="Z1033" s="56"/>
      <c r="AA1033" s="56"/>
      <c r="AB1033" s="56"/>
      <c r="AC1033" s="15"/>
    </row>
    <row r="1034" spans="3:29" ht="12.75">
      <c r="C1034" s="23"/>
      <c r="I1034" s="23"/>
      <c r="L1034" s="56"/>
      <c r="M1034" s="56"/>
      <c r="N1034" s="56"/>
      <c r="O1034" s="56"/>
      <c r="P1034" s="56"/>
      <c r="Q1034" s="56"/>
      <c r="R1034" s="56"/>
      <c r="S1034" s="56"/>
      <c r="T1034" s="56"/>
      <c r="U1034" s="56"/>
      <c r="V1034" s="56"/>
      <c r="W1034" s="56"/>
      <c r="X1034" s="56"/>
      <c r="Y1034" s="56"/>
      <c r="Z1034" s="56"/>
      <c r="AA1034" s="56"/>
      <c r="AB1034" s="56"/>
      <c r="AC1034" s="15"/>
    </row>
    <row r="1035" spans="3:29" ht="12.75">
      <c r="C1035" s="23"/>
      <c r="I1035" s="23"/>
      <c r="L1035" s="56"/>
      <c r="M1035" s="56"/>
      <c r="N1035" s="56"/>
      <c r="O1035" s="56"/>
      <c r="P1035" s="56"/>
      <c r="Q1035" s="56"/>
      <c r="R1035" s="56"/>
      <c r="S1035" s="56"/>
      <c r="T1035" s="56"/>
      <c r="U1035" s="56"/>
      <c r="V1035" s="56"/>
      <c r="W1035" s="56"/>
      <c r="X1035" s="56"/>
      <c r="Y1035" s="56"/>
      <c r="Z1035" s="56"/>
      <c r="AA1035" s="56"/>
      <c r="AB1035" s="56"/>
      <c r="AC1035" s="15"/>
    </row>
    <row r="1036" spans="3:29" ht="12.75">
      <c r="C1036" s="23"/>
      <c r="I1036" s="23"/>
      <c r="L1036" s="56"/>
      <c r="M1036" s="56"/>
      <c r="N1036" s="56"/>
      <c r="O1036" s="56"/>
      <c r="P1036" s="56"/>
      <c r="Q1036" s="56"/>
      <c r="R1036" s="56"/>
      <c r="S1036" s="56"/>
      <c r="T1036" s="56"/>
      <c r="U1036" s="56"/>
      <c r="V1036" s="56"/>
      <c r="W1036" s="56"/>
      <c r="X1036" s="56"/>
      <c r="Y1036" s="56"/>
      <c r="Z1036" s="56"/>
      <c r="AA1036" s="56"/>
      <c r="AB1036" s="56"/>
      <c r="AC1036" s="15"/>
    </row>
    <row r="1037" spans="3:29" ht="12.75">
      <c r="C1037" s="23"/>
      <c r="I1037" s="23"/>
      <c r="L1037" s="56"/>
      <c r="M1037" s="56"/>
      <c r="N1037" s="56"/>
      <c r="O1037" s="56"/>
      <c r="P1037" s="56"/>
      <c r="Q1037" s="56"/>
      <c r="R1037" s="56"/>
      <c r="S1037" s="56"/>
      <c r="T1037" s="56"/>
      <c r="U1037" s="56"/>
      <c r="V1037" s="56"/>
      <c r="W1037" s="56"/>
      <c r="X1037" s="56"/>
      <c r="Y1037" s="56"/>
      <c r="Z1037" s="56"/>
      <c r="AA1037" s="56"/>
      <c r="AB1037" s="56"/>
      <c r="AC1037" s="15"/>
    </row>
    <row r="1038" spans="3:29" ht="12.75">
      <c r="C1038" s="23"/>
      <c r="I1038" s="23"/>
      <c r="L1038" s="56"/>
      <c r="M1038" s="56"/>
      <c r="N1038" s="56"/>
      <c r="O1038" s="56"/>
      <c r="P1038" s="56"/>
      <c r="Q1038" s="56"/>
      <c r="R1038" s="56"/>
      <c r="S1038" s="56"/>
      <c r="T1038" s="56"/>
      <c r="U1038" s="56"/>
      <c r="V1038" s="56"/>
      <c r="W1038" s="56"/>
      <c r="X1038" s="56"/>
      <c r="Y1038" s="56"/>
      <c r="Z1038" s="56"/>
      <c r="AA1038" s="56"/>
      <c r="AB1038" s="56"/>
      <c r="AC1038" s="15"/>
    </row>
    <row r="1039" spans="3:29" ht="12.75">
      <c r="C1039" s="23"/>
      <c r="I1039" s="23"/>
      <c r="L1039" s="56"/>
      <c r="M1039" s="56"/>
      <c r="N1039" s="56"/>
      <c r="O1039" s="56"/>
      <c r="P1039" s="56"/>
      <c r="Q1039" s="56"/>
      <c r="R1039" s="56"/>
      <c r="S1039" s="56"/>
      <c r="T1039" s="56"/>
      <c r="U1039" s="56"/>
      <c r="V1039" s="56"/>
      <c r="W1039" s="56"/>
      <c r="X1039" s="56"/>
      <c r="Y1039" s="56"/>
      <c r="Z1039" s="56"/>
      <c r="AA1039" s="56"/>
      <c r="AB1039" s="56"/>
      <c r="AC1039" s="15"/>
    </row>
    <row r="1040" spans="3:29" ht="12.75">
      <c r="C1040" s="23"/>
      <c r="I1040" s="23"/>
      <c r="L1040" s="56"/>
      <c r="M1040" s="56"/>
      <c r="N1040" s="56"/>
      <c r="O1040" s="56"/>
      <c r="P1040" s="56"/>
      <c r="Q1040" s="56"/>
      <c r="R1040" s="56"/>
      <c r="S1040" s="56"/>
      <c r="T1040" s="56"/>
      <c r="U1040" s="56"/>
      <c r="V1040" s="56"/>
      <c r="W1040" s="56"/>
      <c r="X1040" s="56"/>
      <c r="Y1040" s="56"/>
      <c r="Z1040" s="56"/>
      <c r="AA1040" s="56"/>
      <c r="AB1040" s="56"/>
      <c r="AC1040" s="15"/>
    </row>
    <row r="1041" spans="3:29" ht="12.75">
      <c r="C1041" s="23"/>
      <c r="I1041" s="23"/>
      <c r="L1041" s="56"/>
      <c r="M1041" s="56"/>
      <c r="N1041" s="56"/>
      <c r="O1041" s="56"/>
      <c r="P1041" s="56"/>
      <c r="Q1041" s="56"/>
      <c r="R1041" s="56"/>
      <c r="S1041" s="56"/>
      <c r="T1041" s="56"/>
      <c r="U1041" s="56"/>
      <c r="V1041" s="56"/>
      <c r="W1041" s="56"/>
      <c r="X1041" s="56"/>
      <c r="Y1041" s="56"/>
      <c r="Z1041" s="56"/>
      <c r="AA1041" s="56"/>
      <c r="AB1041" s="56"/>
      <c r="AC1041" s="15"/>
    </row>
    <row r="1042" spans="3:29" ht="12.75">
      <c r="C1042" s="23"/>
      <c r="I1042" s="23"/>
      <c r="L1042" s="56"/>
      <c r="M1042" s="56"/>
      <c r="N1042" s="56"/>
      <c r="O1042" s="56"/>
      <c r="P1042" s="56"/>
      <c r="Q1042" s="56"/>
      <c r="R1042" s="56"/>
      <c r="S1042" s="56"/>
      <c r="T1042" s="56"/>
      <c r="U1042" s="56"/>
      <c r="V1042" s="56"/>
      <c r="W1042" s="56"/>
      <c r="X1042" s="56"/>
      <c r="Y1042" s="56"/>
      <c r="Z1042" s="56"/>
      <c r="AA1042" s="56"/>
      <c r="AB1042" s="56"/>
      <c r="AC1042" s="15"/>
    </row>
    <row r="1043" spans="3:29" ht="12.75">
      <c r="C1043" s="23"/>
      <c r="I1043" s="23"/>
      <c r="L1043" s="56"/>
      <c r="M1043" s="56"/>
      <c r="N1043" s="56"/>
      <c r="O1043" s="56"/>
      <c r="P1043" s="56"/>
      <c r="Q1043" s="56"/>
      <c r="R1043" s="56"/>
      <c r="S1043" s="56"/>
      <c r="T1043" s="56"/>
      <c r="U1043" s="56"/>
      <c r="V1043" s="56"/>
      <c r="W1043" s="56"/>
      <c r="X1043" s="56"/>
      <c r="Y1043" s="56"/>
      <c r="Z1043" s="56"/>
      <c r="AA1043" s="56"/>
      <c r="AB1043" s="56"/>
      <c r="AC1043" s="15"/>
    </row>
    <row r="1044" spans="3:29" ht="12.75">
      <c r="C1044" s="23"/>
      <c r="I1044" s="23"/>
      <c r="L1044" s="56"/>
      <c r="M1044" s="56"/>
      <c r="N1044" s="56"/>
      <c r="O1044" s="56"/>
      <c r="P1044" s="56"/>
      <c r="Q1044" s="56"/>
      <c r="R1044" s="56"/>
      <c r="S1044" s="56"/>
      <c r="T1044" s="56"/>
      <c r="U1044" s="56"/>
      <c r="V1044" s="56"/>
      <c r="W1044" s="56"/>
      <c r="X1044" s="56"/>
      <c r="Y1044" s="56"/>
      <c r="Z1044" s="56"/>
      <c r="AA1044" s="56"/>
      <c r="AB1044" s="56"/>
      <c r="AC1044" s="15"/>
    </row>
    <row r="1045" spans="3:29" ht="12.75">
      <c r="C1045" s="23"/>
      <c r="I1045" s="23"/>
      <c r="L1045" s="56"/>
      <c r="M1045" s="56"/>
      <c r="N1045" s="56"/>
      <c r="O1045" s="56"/>
      <c r="P1045" s="56"/>
      <c r="Q1045" s="56"/>
      <c r="R1045" s="56"/>
      <c r="S1045" s="56"/>
      <c r="T1045" s="56"/>
      <c r="U1045" s="56"/>
      <c r="V1045" s="56"/>
      <c r="W1045" s="56"/>
      <c r="X1045" s="56"/>
      <c r="Y1045" s="56"/>
      <c r="Z1045" s="56"/>
      <c r="AA1045" s="56"/>
      <c r="AB1045" s="56"/>
      <c r="AC1045" s="15"/>
    </row>
    <row r="1046" spans="3:29" ht="12.75">
      <c r="C1046" s="23"/>
      <c r="I1046" s="23"/>
      <c r="L1046" s="56"/>
      <c r="M1046" s="56"/>
      <c r="N1046" s="56"/>
      <c r="O1046" s="56"/>
      <c r="P1046" s="56"/>
      <c r="Q1046" s="56"/>
      <c r="R1046" s="56"/>
      <c r="S1046" s="56"/>
      <c r="T1046" s="56"/>
      <c r="U1046" s="56"/>
      <c r="V1046" s="56"/>
      <c r="W1046" s="56"/>
      <c r="X1046" s="56"/>
      <c r="Y1046" s="56"/>
      <c r="Z1046" s="56"/>
      <c r="AA1046" s="56"/>
      <c r="AB1046" s="56"/>
      <c r="AC1046" s="15"/>
    </row>
    <row r="1047" spans="3:29" ht="12.75">
      <c r="C1047" s="23"/>
      <c r="I1047" s="23"/>
      <c r="L1047" s="56"/>
      <c r="M1047" s="56"/>
      <c r="N1047" s="56"/>
      <c r="O1047" s="56"/>
      <c r="P1047" s="56"/>
      <c r="Q1047" s="56"/>
      <c r="R1047" s="56"/>
      <c r="S1047" s="56"/>
      <c r="T1047" s="56"/>
      <c r="U1047" s="56"/>
      <c r="V1047" s="56"/>
      <c r="W1047" s="56"/>
      <c r="X1047" s="56"/>
      <c r="Y1047" s="56"/>
      <c r="Z1047" s="56"/>
      <c r="AA1047" s="56"/>
      <c r="AB1047" s="56"/>
      <c r="AC1047" s="15"/>
    </row>
    <row r="1048" spans="3:29" ht="12.75">
      <c r="C1048" s="23"/>
      <c r="I1048" s="23"/>
      <c r="L1048" s="56"/>
      <c r="M1048" s="56"/>
      <c r="N1048" s="56"/>
      <c r="O1048" s="56"/>
      <c r="P1048" s="56"/>
      <c r="Q1048" s="56"/>
      <c r="R1048" s="56"/>
      <c r="S1048" s="56"/>
      <c r="T1048" s="56"/>
      <c r="U1048" s="56"/>
      <c r="V1048" s="56"/>
      <c r="W1048" s="56"/>
      <c r="X1048" s="56"/>
      <c r="Y1048" s="56"/>
      <c r="Z1048" s="56"/>
      <c r="AA1048" s="56"/>
      <c r="AB1048" s="56"/>
      <c r="AC1048" s="15"/>
    </row>
    <row r="1049" spans="3:29" ht="12.75">
      <c r="C1049" s="23"/>
      <c r="I1049" s="23"/>
      <c r="L1049" s="56"/>
      <c r="M1049" s="56"/>
      <c r="N1049" s="56"/>
      <c r="O1049" s="56"/>
      <c r="P1049" s="56"/>
      <c r="Q1049" s="56"/>
      <c r="R1049" s="56"/>
      <c r="S1049" s="56"/>
      <c r="T1049" s="56"/>
      <c r="U1049" s="56"/>
      <c r="V1049" s="56"/>
      <c r="W1049" s="56"/>
      <c r="X1049" s="56"/>
      <c r="Y1049" s="56"/>
      <c r="Z1049" s="56"/>
      <c r="AA1049" s="56"/>
      <c r="AB1049" s="56"/>
      <c r="AC1049" s="15"/>
    </row>
    <row r="1050" spans="3:29" ht="12.75">
      <c r="C1050" s="23"/>
      <c r="I1050" s="23"/>
      <c r="L1050" s="56"/>
      <c r="M1050" s="56"/>
      <c r="N1050" s="56"/>
      <c r="O1050" s="56"/>
      <c r="P1050" s="56"/>
      <c r="Q1050" s="56"/>
      <c r="R1050" s="56"/>
      <c r="S1050" s="56"/>
      <c r="T1050" s="56"/>
      <c r="U1050" s="56"/>
      <c r="V1050" s="56"/>
      <c r="W1050" s="56"/>
      <c r="X1050" s="56"/>
      <c r="Y1050" s="56"/>
      <c r="Z1050" s="56"/>
      <c r="AA1050" s="56"/>
      <c r="AB1050" s="56"/>
      <c r="AC1050" s="15"/>
    </row>
    <row r="1051" spans="3:29" ht="12.75">
      <c r="C1051" s="23"/>
      <c r="I1051" s="23"/>
      <c r="L1051" s="56"/>
      <c r="M1051" s="56"/>
      <c r="N1051" s="56"/>
      <c r="O1051" s="56"/>
      <c r="P1051" s="56"/>
      <c r="Q1051" s="56"/>
      <c r="R1051" s="56"/>
      <c r="S1051" s="56"/>
      <c r="T1051" s="56"/>
      <c r="U1051" s="56"/>
      <c r="V1051" s="56"/>
      <c r="W1051" s="56"/>
      <c r="X1051" s="56"/>
      <c r="Y1051" s="56"/>
      <c r="Z1051" s="56"/>
      <c r="AA1051" s="56"/>
      <c r="AB1051" s="56"/>
      <c r="AC1051" s="15"/>
    </row>
    <row r="1052" spans="3:29" ht="12.75">
      <c r="C1052" s="23"/>
      <c r="I1052" s="23"/>
      <c r="L1052" s="56"/>
      <c r="M1052" s="56"/>
      <c r="N1052" s="56"/>
      <c r="O1052" s="56"/>
      <c r="P1052" s="56"/>
      <c r="Q1052" s="56"/>
      <c r="R1052" s="56"/>
      <c r="S1052" s="56"/>
      <c r="T1052" s="56"/>
      <c r="U1052" s="56"/>
      <c r="V1052" s="56"/>
      <c r="W1052" s="56"/>
      <c r="X1052" s="56"/>
      <c r="Y1052" s="56"/>
      <c r="Z1052" s="56"/>
      <c r="AA1052" s="56"/>
      <c r="AB1052" s="56"/>
      <c r="AC1052" s="15"/>
    </row>
    <row r="1053" spans="3:29" ht="12.75">
      <c r="C1053" s="23"/>
      <c r="I1053" s="23"/>
      <c r="L1053" s="56"/>
      <c r="M1053" s="56"/>
      <c r="N1053" s="56"/>
      <c r="O1053" s="56"/>
      <c r="P1053" s="56"/>
      <c r="Q1053" s="56"/>
      <c r="R1053" s="56"/>
      <c r="S1053" s="56"/>
      <c r="T1053" s="56"/>
      <c r="U1053" s="56"/>
      <c r="V1053" s="56"/>
      <c r="W1053" s="56"/>
      <c r="X1053" s="56"/>
      <c r="Y1053" s="56"/>
      <c r="Z1053" s="56"/>
      <c r="AA1053" s="56"/>
      <c r="AB1053" s="56"/>
      <c r="AC1053" s="15"/>
    </row>
    <row r="1054" spans="3:29" ht="12.75">
      <c r="C1054" s="23"/>
      <c r="I1054" s="23"/>
      <c r="L1054" s="56"/>
      <c r="M1054" s="56"/>
      <c r="N1054" s="56"/>
      <c r="O1054" s="56"/>
      <c r="P1054" s="56"/>
      <c r="Q1054" s="56"/>
      <c r="R1054" s="56"/>
      <c r="S1054" s="56"/>
      <c r="T1054" s="56"/>
      <c r="U1054" s="56"/>
      <c r="V1054" s="56"/>
      <c r="W1054" s="56"/>
      <c r="X1054" s="56"/>
      <c r="Y1054" s="56"/>
      <c r="Z1054" s="56"/>
      <c r="AA1054" s="56"/>
      <c r="AB1054" s="56"/>
      <c r="AC1054" s="15"/>
    </row>
    <row r="1055" spans="3:29" ht="12.75">
      <c r="C1055" s="23"/>
      <c r="I1055" s="23"/>
      <c r="L1055" s="56"/>
      <c r="M1055" s="56"/>
      <c r="N1055" s="56"/>
      <c r="O1055" s="56"/>
      <c r="P1055" s="56"/>
      <c r="Q1055" s="56"/>
      <c r="R1055" s="56"/>
      <c r="S1055" s="56"/>
      <c r="T1055" s="56"/>
      <c r="U1055" s="56"/>
      <c r="V1055" s="56"/>
      <c r="W1055" s="56"/>
      <c r="X1055" s="56"/>
      <c r="Y1055" s="56"/>
      <c r="Z1055" s="56"/>
      <c r="AA1055" s="56"/>
      <c r="AB1055" s="56"/>
      <c r="AC1055" s="15"/>
    </row>
    <row r="1056" spans="3:29" ht="12.75">
      <c r="C1056" s="23"/>
      <c r="I1056" s="23"/>
      <c r="L1056" s="56"/>
      <c r="M1056" s="56"/>
      <c r="N1056" s="56"/>
      <c r="O1056" s="56"/>
      <c r="P1056" s="56"/>
      <c r="Q1056" s="56"/>
      <c r="R1056" s="56"/>
      <c r="S1056" s="56"/>
      <c r="T1056" s="56"/>
      <c r="U1056" s="56"/>
      <c r="V1056" s="56"/>
      <c r="W1056" s="56"/>
      <c r="X1056" s="56"/>
      <c r="Y1056" s="56"/>
      <c r="Z1056" s="56"/>
      <c r="AA1056" s="56"/>
      <c r="AB1056" s="56"/>
      <c r="AC1056" s="15"/>
    </row>
    <row r="1057" spans="3:29" ht="12.75">
      <c r="C1057" s="23"/>
      <c r="I1057" s="23"/>
      <c r="L1057" s="56"/>
      <c r="M1057" s="56"/>
      <c r="N1057" s="56"/>
      <c r="O1057" s="56"/>
      <c r="P1057" s="56"/>
      <c r="Q1057" s="56"/>
      <c r="R1057" s="56"/>
      <c r="S1057" s="56"/>
      <c r="T1057" s="56"/>
      <c r="U1057" s="56"/>
      <c r="V1057" s="56"/>
      <c r="W1057" s="56"/>
      <c r="X1057" s="56"/>
      <c r="Y1057" s="56"/>
      <c r="Z1057" s="56"/>
      <c r="AA1057" s="56"/>
      <c r="AB1057" s="56"/>
      <c r="AC1057" s="15"/>
    </row>
    <row r="1058" spans="3:29" ht="12.75">
      <c r="C1058" s="23"/>
      <c r="I1058" s="23"/>
      <c r="L1058" s="56"/>
      <c r="M1058" s="56"/>
      <c r="N1058" s="56"/>
      <c r="O1058" s="56"/>
      <c r="P1058" s="56"/>
      <c r="Q1058" s="56"/>
      <c r="R1058" s="56"/>
      <c r="S1058" s="56"/>
      <c r="T1058" s="56"/>
      <c r="U1058" s="56"/>
      <c r="V1058" s="56"/>
      <c r="W1058" s="56"/>
      <c r="X1058" s="56"/>
      <c r="Y1058" s="56"/>
      <c r="Z1058" s="56"/>
      <c r="AA1058" s="56"/>
      <c r="AB1058" s="56"/>
      <c r="AC1058" s="15"/>
    </row>
    <row r="1059" spans="3:29" ht="12.75">
      <c r="C1059" s="23"/>
      <c r="I1059" s="23"/>
      <c r="L1059" s="56"/>
      <c r="M1059" s="56"/>
      <c r="N1059" s="56"/>
      <c r="O1059" s="56"/>
      <c r="P1059" s="56"/>
      <c r="Q1059" s="56"/>
      <c r="R1059" s="56"/>
      <c r="S1059" s="56"/>
      <c r="T1059" s="56"/>
      <c r="U1059" s="56"/>
      <c r="V1059" s="56"/>
      <c r="W1059" s="56"/>
      <c r="X1059" s="56"/>
      <c r="Y1059" s="56"/>
      <c r="Z1059" s="56"/>
      <c r="AA1059" s="56"/>
      <c r="AB1059" s="56"/>
      <c r="AC1059" s="15"/>
    </row>
    <row r="1060" spans="3:29" ht="12.75">
      <c r="C1060" s="23"/>
      <c r="I1060" s="23"/>
      <c r="L1060" s="56"/>
      <c r="M1060" s="56"/>
      <c r="N1060" s="56"/>
      <c r="O1060" s="56"/>
      <c r="P1060" s="56"/>
      <c r="Q1060" s="56"/>
      <c r="R1060" s="56"/>
      <c r="S1060" s="56"/>
      <c r="T1060" s="56"/>
      <c r="U1060" s="56"/>
      <c r="V1060" s="56"/>
      <c r="W1060" s="56"/>
      <c r="X1060" s="56"/>
      <c r="Y1060" s="56"/>
      <c r="Z1060" s="56"/>
      <c r="AA1060" s="56"/>
      <c r="AB1060" s="56"/>
      <c r="AC1060" s="15"/>
    </row>
    <row r="1061" spans="3:29" ht="12.75">
      <c r="C1061" s="23"/>
      <c r="I1061" s="23"/>
      <c r="L1061" s="56"/>
      <c r="M1061" s="56"/>
      <c r="N1061" s="56"/>
      <c r="O1061" s="56"/>
      <c r="P1061" s="56"/>
      <c r="Q1061" s="56"/>
      <c r="R1061" s="56"/>
      <c r="S1061" s="56"/>
      <c r="T1061" s="56"/>
      <c r="U1061" s="56"/>
      <c r="V1061" s="56"/>
      <c r="W1061" s="56"/>
      <c r="X1061" s="56"/>
      <c r="Y1061" s="56"/>
      <c r="Z1061" s="56"/>
      <c r="AA1061" s="56"/>
      <c r="AB1061" s="56"/>
      <c r="AC1061" s="15"/>
    </row>
    <row r="1062" spans="3:29" ht="12.75">
      <c r="C1062" s="23"/>
      <c r="I1062" s="23"/>
      <c r="L1062" s="56"/>
      <c r="M1062" s="56"/>
      <c r="N1062" s="56"/>
      <c r="O1062" s="56"/>
      <c r="P1062" s="56"/>
      <c r="Q1062" s="56"/>
      <c r="R1062" s="56"/>
      <c r="S1062" s="56"/>
      <c r="T1062" s="56"/>
      <c r="U1062" s="56"/>
      <c r="V1062" s="56"/>
      <c r="W1062" s="56"/>
      <c r="X1062" s="56"/>
      <c r="Y1062" s="56"/>
      <c r="Z1062" s="56"/>
      <c r="AA1062" s="56"/>
      <c r="AB1062" s="56"/>
      <c r="AC1062" s="15"/>
    </row>
    <row r="1063" spans="3:29" ht="12.75">
      <c r="C1063" s="23"/>
      <c r="I1063" s="23"/>
      <c r="L1063" s="56"/>
      <c r="M1063" s="56"/>
      <c r="N1063" s="56"/>
      <c r="O1063" s="56"/>
      <c r="P1063" s="56"/>
      <c r="Q1063" s="56"/>
      <c r="R1063" s="56"/>
      <c r="S1063" s="56"/>
      <c r="T1063" s="56"/>
      <c r="U1063" s="56"/>
      <c r="V1063" s="56"/>
      <c r="W1063" s="56"/>
      <c r="X1063" s="56"/>
      <c r="Y1063" s="56"/>
      <c r="Z1063" s="56"/>
      <c r="AA1063" s="56"/>
      <c r="AB1063" s="56"/>
      <c r="AC1063" s="15"/>
    </row>
    <row r="1064" spans="3:29" ht="12.75">
      <c r="C1064" s="23"/>
      <c r="I1064" s="23"/>
      <c r="L1064" s="56"/>
      <c r="M1064" s="56"/>
      <c r="N1064" s="56"/>
      <c r="O1064" s="56"/>
      <c r="P1064" s="56"/>
      <c r="Q1064" s="56"/>
      <c r="R1064" s="56"/>
      <c r="S1064" s="56"/>
      <c r="T1064" s="56"/>
      <c r="U1064" s="56"/>
      <c r="V1064" s="56"/>
      <c r="W1064" s="56"/>
      <c r="X1064" s="56"/>
      <c r="Y1064" s="56"/>
      <c r="Z1064" s="56"/>
      <c r="AA1064" s="56"/>
      <c r="AB1064" s="56"/>
      <c r="AC1064" s="15"/>
    </row>
    <row r="1065" spans="3:29" ht="12.75">
      <c r="C1065" s="23"/>
      <c r="I1065" s="23"/>
      <c r="L1065" s="56"/>
      <c r="M1065" s="56"/>
      <c r="N1065" s="56"/>
      <c r="O1065" s="56"/>
      <c r="P1065" s="56"/>
      <c r="Q1065" s="56"/>
      <c r="R1065" s="56"/>
      <c r="S1065" s="56"/>
      <c r="T1065" s="56"/>
      <c r="U1065" s="56"/>
      <c r="V1065" s="56"/>
      <c r="W1065" s="56"/>
      <c r="X1065" s="56"/>
      <c r="Y1065" s="56"/>
      <c r="Z1065" s="56"/>
      <c r="AA1065" s="56"/>
      <c r="AB1065" s="56"/>
      <c r="AC1065" s="15"/>
    </row>
    <row r="1066" spans="3:29" ht="12.75">
      <c r="C1066" s="23"/>
      <c r="I1066" s="23"/>
      <c r="L1066" s="56"/>
      <c r="M1066" s="56"/>
      <c r="N1066" s="56"/>
      <c r="O1066" s="56"/>
      <c r="P1066" s="56"/>
      <c r="Q1066" s="56"/>
      <c r="R1066" s="56"/>
      <c r="S1066" s="56"/>
      <c r="T1066" s="56"/>
      <c r="U1066" s="56"/>
      <c r="V1066" s="56"/>
      <c r="W1066" s="56"/>
      <c r="X1066" s="56"/>
      <c r="Y1066" s="56"/>
      <c r="Z1066" s="56"/>
      <c r="AA1066" s="56"/>
      <c r="AB1066" s="56"/>
      <c r="AC1066" s="15"/>
    </row>
    <row r="1067" spans="3:29" ht="12.75">
      <c r="C1067" s="23"/>
      <c r="I1067" s="23"/>
      <c r="L1067" s="56"/>
      <c r="M1067" s="56"/>
      <c r="N1067" s="56"/>
      <c r="O1067" s="56"/>
      <c r="P1067" s="56"/>
      <c r="Q1067" s="56"/>
      <c r="R1067" s="56"/>
      <c r="S1067" s="56"/>
      <c r="T1067" s="56"/>
      <c r="U1067" s="56"/>
      <c r="V1067" s="56"/>
      <c r="W1067" s="56"/>
      <c r="X1067" s="56"/>
      <c r="Y1067" s="56"/>
      <c r="Z1067" s="56"/>
      <c r="AA1067" s="56"/>
      <c r="AB1067" s="56"/>
      <c r="AC1067" s="15"/>
    </row>
    <row r="1068" spans="3:29" ht="12.75">
      <c r="C1068" s="23"/>
      <c r="I1068" s="23"/>
      <c r="L1068" s="56"/>
      <c r="M1068" s="56"/>
      <c r="N1068" s="56"/>
      <c r="O1068" s="56"/>
      <c r="P1068" s="56"/>
      <c r="Q1068" s="56"/>
      <c r="R1068" s="56"/>
      <c r="S1068" s="56"/>
      <c r="T1068" s="56"/>
      <c r="U1068" s="56"/>
      <c r="V1068" s="56"/>
      <c r="W1068" s="56"/>
      <c r="X1068" s="56"/>
      <c r="Y1068" s="56"/>
      <c r="Z1068" s="56"/>
      <c r="AA1068" s="56"/>
      <c r="AB1068" s="56"/>
      <c r="AC1068" s="15"/>
    </row>
    <row r="1069" spans="3:29" ht="12.75">
      <c r="C1069" s="23"/>
      <c r="I1069" s="23"/>
      <c r="L1069" s="56"/>
      <c r="M1069" s="56"/>
      <c r="N1069" s="56"/>
      <c r="O1069" s="56"/>
      <c r="P1069" s="56"/>
      <c r="Q1069" s="56"/>
      <c r="R1069" s="56"/>
      <c r="S1069" s="56"/>
      <c r="T1069" s="56"/>
      <c r="U1069" s="56"/>
      <c r="V1069" s="56"/>
      <c r="W1069" s="56"/>
      <c r="X1069" s="56"/>
      <c r="Y1069" s="56"/>
      <c r="Z1069" s="56"/>
      <c r="AA1069" s="56"/>
      <c r="AB1069" s="56"/>
      <c r="AC1069" s="15"/>
    </row>
    <row r="1070" spans="3:29" ht="12.75">
      <c r="C1070" s="23"/>
      <c r="I1070" s="23"/>
      <c r="L1070" s="56"/>
      <c r="M1070" s="56"/>
      <c r="N1070" s="56"/>
      <c r="O1070" s="56"/>
      <c r="P1070" s="56"/>
      <c r="Q1070" s="56"/>
      <c r="R1070" s="56"/>
      <c r="S1070" s="56"/>
      <c r="T1070" s="56"/>
      <c r="U1070" s="56"/>
      <c r="V1070" s="56"/>
      <c r="W1070" s="56"/>
      <c r="X1070" s="56"/>
      <c r="Y1070" s="56"/>
      <c r="Z1070" s="56"/>
      <c r="AA1070" s="56"/>
      <c r="AB1070" s="56"/>
      <c r="AC1070" s="15"/>
    </row>
    <row r="1071" spans="3:29" ht="12.75">
      <c r="C1071" s="23"/>
      <c r="I1071" s="23"/>
      <c r="L1071" s="56"/>
      <c r="M1071" s="56"/>
      <c r="N1071" s="56"/>
      <c r="O1071" s="56"/>
      <c r="P1071" s="56"/>
      <c r="Q1071" s="56"/>
      <c r="R1071" s="56"/>
      <c r="S1071" s="56"/>
      <c r="T1071" s="56"/>
      <c r="U1071" s="56"/>
      <c r="V1071" s="56"/>
      <c r="W1071" s="56"/>
      <c r="X1071" s="56"/>
      <c r="Y1071" s="56"/>
      <c r="Z1071" s="56"/>
      <c r="AA1071" s="56"/>
      <c r="AB1071" s="56"/>
      <c r="AC1071" s="15"/>
    </row>
    <row r="1072" spans="3:29" ht="12.75">
      <c r="C1072" s="23"/>
      <c r="I1072" s="23"/>
      <c r="L1072" s="56"/>
      <c r="M1072" s="56"/>
      <c r="N1072" s="56"/>
      <c r="O1072" s="56"/>
      <c r="P1072" s="56"/>
      <c r="Q1072" s="56"/>
      <c r="R1072" s="56"/>
      <c r="S1072" s="56"/>
      <c r="T1072" s="56"/>
      <c r="U1072" s="56"/>
      <c r="V1072" s="56"/>
      <c r="W1072" s="56"/>
      <c r="X1072" s="56"/>
      <c r="Y1072" s="56"/>
      <c r="Z1072" s="56"/>
      <c r="AA1072" s="56"/>
      <c r="AB1072" s="56"/>
      <c r="AC1072" s="15"/>
    </row>
    <row r="1073" spans="3:29" ht="12.75">
      <c r="C1073" s="23"/>
      <c r="I1073" s="23"/>
      <c r="L1073" s="56"/>
      <c r="M1073" s="56"/>
      <c r="N1073" s="56"/>
      <c r="O1073" s="56"/>
      <c r="P1073" s="56"/>
      <c r="Q1073" s="56"/>
      <c r="R1073" s="56"/>
      <c r="S1073" s="56"/>
      <c r="T1073" s="56"/>
      <c r="U1073" s="56"/>
      <c r="V1073" s="56"/>
      <c r="W1073" s="56"/>
      <c r="X1073" s="56"/>
      <c r="Y1073" s="56"/>
      <c r="Z1073" s="56"/>
      <c r="AA1073" s="56"/>
      <c r="AB1073" s="56"/>
      <c r="AC1073" s="15"/>
    </row>
    <row r="1074" spans="3:29" ht="12.75">
      <c r="C1074" s="23"/>
      <c r="I1074" s="23"/>
      <c r="L1074" s="56"/>
      <c r="M1074" s="56"/>
      <c r="N1074" s="56"/>
      <c r="O1074" s="56"/>
      <c r="P1074" s="56"/>
      <c r="Q1074" s="56"/>
      <c r="R1074" s="56"/>
      <c r="S1074" s="56"/>
      <c r="T1074" s="56"/>
      <c r="U1074" s="56"/>
      <c r="V1074" s="56"/>
      <c r="W1074" s="56"/>
      <c r="X1074" s="56"/>
      <c r="Y1074" s="56"/>
      <c r="Z1074" s="56"/>
      <c r="AA1074" s="56"/>
      <c r="AB1074" s="56"/>
      <c r="AC1074" s="15"/>
    </row>
    <row r="1075" spans="3:29" ht="12.75">
      <c r="C1075" s="23"/>
      <c r="I1075" s="23"/>
      <c r="L1075" s="56"/>
      <c r="M1075" s="56"/>
      <c r="N1075" s="56"/>
      <c r="O1075" s="56"/>
      <c r="P1075" s="56"/>
      <c r="Q1075" s="56"/>
      <c r="R1075" s="56"/>
      <c r="S1075" s="56"/>
      <c r="T1075" s="56"/>
      <c r="U1075" s="56"/>
      <c r="V1075" s="56"/>
      <c r="W1075" s="56"/>
      <c r="X1075" s="56"/>
      <c r="Y1075" s="56"/>
      <c r="Z1075" s="56"/>
      <c r="AA1075" s="56"/>
      <c r="AB1075" s="56"/>
      <c r="AC1075" s="15"/>
    </row>
    <row r="1076" spans="3:29" ht="12.75">
      <c r="C1076" s="23"/>
      <c r="I1076" s="23"/>
      <c r="L1076" s="56"/>
      <c r="M1076" s="56"/>
      <c r="N1076" s="56"/>
      <c r="O1076" s="56"/>
      <c r="P1076" s="56"/>
      <c r="Q1076" s="56"/>
      <c r="R1076" s="56"/>
      <c r="S1076" s="56"/>
      <c r="T1076" s="56"/>
      <c r="U1076" s="56"/>
      <c r="V1076" s="56"/>
      <c r="W1076" s="56"/>
      <c r="X1076" s="56"/>
      <c r="Y1076" s="56"/>
      <c r="Z1076" s="56"/>
      <c r="AA1076" s="56"/>
      <c r="AB1076" s="56"/>
      <c r="AC1076" s="15"/>
    </row>
    <row r="1077" spans="3:29" ht="12.75">
      <c r="C1077" s="23"/>
      <c r="I1077" s="23"/>
      <c r="L1077" s="56"/>
      <c r="M1077" s="56"/>
      <c r="N1077" s="56"/>
      <c r="O1077" s="56"/>
      <c r="P1077" s="56"/>
      <c r="Q1077" s="56"/>
      <c r="R1077" s="56"/>
      <c r="S1077" s="56"/>
      <c r="T1077" s="56"/>
      <c r="U1077" s="56"/>
      <c r="V1077" s="56"/>
      <c r="W1077" s="56"/>
      <c r="X1077" s="56"/>
      <c r="Y1077" s="56"/>
      <c r="Z1077" s="56"/>
      <c r="AA1077" s="56"/>
      <c r="AB1077" s="56"/>
      <c r="AC1077" s="15"/>
    </row>
    <row r="1078" spans="3:29" ht="12.75">
      <c r="C1078" s="23"/>
      <c r="I1078" s="23"/>
      <c r="L1078" s="56"/>
      <c r="M1078" s="56"/>
      <c r="N1078" s="56"/>
      <c r="O1078" s="56"/>
      <c r="P1078" s="56"/>
      <c r="Q1078" s="56"/>
      <c r="R1078" s="56"/>
      <c r="S1078" s="56"/>
      <c r="T1078" s="56"/>
      <c r="U1078" s="56"/>
      <c r="V1078" s="56"/>
      <c r="W1078" s="56"/>
      <c r="X1078" s="56"/>
      <c r="Y1078" s="56"/>
      <c r="Z1078" s="56"/>
      <c r="AA1078" s="56"/>
      <c r="AB1078" s="56"/>
      <c r="AC1078" s="15"/>
    </row>
    <row r="1079" spans="3:29" ht="12.75">
      <c r="C1079" s="23"/>
      <c r="I1079" s="23"/>
      <c r="L1079" s="56"/>
      <c r="M1079" s="56"/>
      <c r="N1079" s="56"/>
      <c r="O1079" s="56"/>
      <c r="P1079" s="56"/>
      <c r="Q1079" s="56"/>
      <c r="R1079" s="56"/>
      <c r="S1079" s="56"/>
      <c r="T1079" s="56"/>
      <c r="U1079" s="56"/>
      <c r="V1079" s="56"/>
      <c r="W1079" s="56"/>
      <c r="X1079" s="56"/>
      <c r="Y1079" s="56"/>
      <c r="Z1079" s="56"/>
      <c r="AA1079" s="56"/>
      <c r="AB1079" s="56"/>
      <c r="AC1079" s="15"/>
    </row>
    <row r="1080" spans="3:29" ht="12.75">
      <c r="C1080" s="23"/>
      <c r="I1080" s="23"/>
      <c r="L1080" s="56"/>
      <c r="M1080" s="56"/>
      <c r="N1080" s="56"/>
      <c r="O1080" s="56"/>
      <c r="P1080" s="56"/>
      <c r="Q1080" s="56"/>
      <c r="R1080" s="56"/>
      <c r="S1080" s="56"/>
      <c r="T1080" s="56"/>
      <c r="U1080" s="56"/>
      <c r="V1080" s="56"/>
      <c r="W1080" s="56"/>
      <c r="X1080" s="56"/>
      <c r="Y1080" s="56"/>
      <c r="Z1080" s="56"/>
      <c r="AA1080" s="56"/>
      <c r="AB1080" s="56"/>
      <c r="AC1080" s="15"/>
    </row>
    <row r="1081" spans="3:29" ht="12.75">
      <c r="C1081" s="23"/>
      <c r="I1081" s="23"/>
      <c r="L1081" s="56"/>
      <c r="M1081" s="56"/>
      <c r="N1081" s="56"/>
      <c r="O1081" s="56"/>
      <c r="P1081" s="56"/>
      <c r="Q1081" s="56"/>
      <c r="R1081" s="56"/>
      <c r="S1081" s="56"/>
      <c r="T1081" s="56"/>
      <c r="U1081" s="56"/>
      <c r="V1081" s="56"/>
      <c r="W1081" s="56"/>
      <c r="X1081" s="56"/>
      <c r="Y1081" s="56"/>
      <c r="Z1081" s="56"/>
      <c r="AA1081" s="56"/>
      <c r="AB1081" s="56"/>
      <c r="AC1081" s="15"/>
    </row>
    <row r="1082" spans="3:29" ht="12.75">
      <c r="C1082" s="23"/>
      <c r="I1082" s="23"/>
      <c r="L1082" s="56"/>
      <c r="M1082" s="56"/>
      <c r="N1082" s="56"/>
      <c r="O1082" s="56"/>
      <c r="P1082" s="56"/>
      <c r="Q1082" s="56"/>
      <c r="R1082" s="56"/>
      <c r="S1082" s="56"/>
      <c r="T1082" s="56"/>
      <c r="U1082" s="56"/>
      <c r="V1082" s="56"/>
      <c r="W1082" s="56"/>
      <c r="X1082" s="56"/>
      <c r="Y1082" s="56"/>
      <c r="Z1082" s="56"/>
      <c r="AA1082" s="56"/>
      <c r="AB1082" s="56"/>
      <c r="AC1082" s="15"/>
    </row>
    <row r="1083" spans="3:29" ht="12.75">
      <c r="C1083" s="23"/>
      <c r="I1083" s="23"/>
      <c r="L1083" s="56"/>
      <c r="M1083" s="56"/>
      <c r="N1083" s="56"/>
      <c r="O1083" s="56"/>
      <c r="P1083" s="56"/>
      <c r="Q1083" s="56"/>
      <c r="R1083" s="56"/>
      <c r="S1083" s="56"/>
      <c r="T1083" s="56"/>
      <c r="U1083" s="56"/>
      <c r="V1083" s="56"/>
      <c r="W1083" s="56"/>
      <c r="X1083" s="56"/>
      <c r="Y1083" s="56"/>
      <c r="Z1083" s="56"/>
      <c r="AA1083" s="56"/>
      <c r="AB1083" s="56"/>
      <c r="AC1083" s="15"/>
    </row>
    <row r="1084" spans="3:29" ht="12.75">
      <c r="C1084" s="23"/>
      <c r="I1084" s="23"/>
      <c r="L1084" s="56"/>
      <c r="M1084" s="56"/>
      <c r="N1084" s="56"/>
      <c r="O1084" s="56"/>
      <c r="P1084" s="56"/>
      <c r="Q1084" s="56"/>
      <c r="R1084" s="56"/>
      <c r="S1084" s="56"/>
      <c r="T1084" s="56"/>
      <c r="U1084" s="56"/>
      <c r="V1084" s="56"/>
      <c r="W1084" s="56"/>
      <c r="X1084" s="56"/>
      <c r="Y1084" s="56"/>
      <c r="Z1084" s="56"/>
      <c r="AA1084" s="56"/>
      <c r="AB1084" s="56"/>
      <c r="AC1084" s="15"/>
    </row>
    <row r="1085" spans="3:29" ht="12.75">
      <c r="C1085" s="23"/>
      <c r="I1085" s="23"/>
      <c r="L1085" s="56"/>
      <c r="M1085" s="56"/>
      <c r="N1085" s="56"/>
      <c r="O1085" s="56"/>
      <c r="P1085" s="56"/>
      <c r="Q1085" s="56"/>
      <c r="R1085" s="56"/>
      <c r="S1085" s="56"/>
      <c r="T1085" s="56"/>
      <c r="U1085" s="56"/>
      <c r="V1085" s="56"/>
      <c r="W1085" s="56"/>
      <c r="X1085" s="56"/>
      <c r="Y1085" s="56"/>
      <c r="Z1085" s="56"/>
      <c r="AA1085" s="56"/>
      <c r="AB1085" s="56"/>
      <c r="AC1085" s="15"/>
    </row>
    <row r="1086" spans="3:29" ht="12.75">
      <c r="C1086" s="23"/>
      <c r="I1086" s="23"/>
      <c r="L1086" s="56"/>
      <c r="M1086" s="56"/>
      <c r="N1086" s="56"/>
      <c r="O1086" s="56"/>
      <c r="P1086" s="56"/>
      <c r="Q1086" s="56"/>
      <c r="R1086" s="56"/>
      <c r="S1086" s="56"/>
      <c r="T1086" s="56"/>
      <c r="U1086" s="56"/>
      <c r="V1086" s="56"/>
      <c r="W1086" s="56"/>
      <c r="X1086" s="56"/>
      <c r="Y1086" s="56"/>
      <c r="Z1086" s="56"/>
      <c r="AA1086" s="56"/>
      <c r="AB1086" s="56"/>
      <c r="AC1086" s="15"/>
    </row>
    <row r="1087" spans="3:29" ht="12.75">
      <c r="C1087" s="23"/>
      <c r="I1087" s="23"/>
      <c r="L1087" s="56"/>
      <c r="M1087" s="56"/>
      <c r="N1087" s="56"/>
      <c r="O1087" s="56"/>
      <c r="P1087" s="56"/>
      <c r="Q1087" s="56"/>
      <c r="R1087" s="56"/>
      <c r="S1087" s="56"/>
      <c r="T1087" s="56"/>
      <c r="U1087" s="56"/>
      <c r="V1087" s="56"/>
      <c r="W1087" s="56"/>
      <c r="X1087" s="56"/>
      <c r="Y1087" s="56"/>
      <c r="Z1087" s="56"/>
      <c r="AA1087" s="56"/>
      <c r="AB1087" s="56"/>
      <c r="AC1087" s="15"/>
    </row>
    <row r="1088" spans="3:29" ht="12.75">
      <c r="C1088" s="23"/>
      <c r="I1088" s="23"/>
      <c r="L1088" s="56"/>
      <c r="M1088" s="56"/>
      <c r="N1088" s="56"/>
      <c r="O1088" s="56"/>
      <c r="P1088" s="56"/>
      <c r="Q1088" s="56"/>
      <c r="R1088" s="56"/>
      <c r="S1088" s="56"/>
      <c r="T1088" s="56"/>
      <c r="U1088" s="56"/>
      <c r="V1088" s="56"/>
      <c r="W1088" s="56"/>
      <c r="X1088" s="56"/>
      <c r="Y1088" s="56"/>
      <c r="Z1088" s="56"/>
      <c r="AA1088" s="56"/>
      <c r="AB1088" s="56"/>
      <c r="AC1088" s="15"/>
    </row>
    <row r="1089" spans="3:29" ht="12.75">
      <c r="C1089" s="23"/>
      <c r="I1089" s="23"/>
      <c r="L1089" s="56"/>
      <c r="M1089" s="56"/>
      <c r="N1089" s="56"/>
      <c r="O1089" s="56"/>
      <c r="P1089" s="56"/>
      <c r="Q1089" s="56"/>
      <c r="R1089" s="56"/>
      <c r="S1089" s="56"/>
      <c r="T1089" s="56"/>
      <c r="U1089" s="56"/>
      <c r="V1089" s="56"/>
      <c r="W1089" s="56"/>
      <c r="X1089" s="56"/>
      <c r="Y1089" s="56"/>
      <c r="Z1089" s="56"/>
      <c r="AA1089" s="56"/>
      <c r="AB1089" s="56"/>
      <c r="AC1089" s="15"/>
    </row>
    <row r="1090" spans="3:29" ht="12.75">
      <c r="C1090" s="23"/>
      <c r="I1090" s="23"/>
      <c r="L1090" s="56"/>
      <c r="M1090" s="56"/>
      <c r="N1090" s="56"/>
      <c r="O1090" s="56"/>
      <c r="P1090" s="56"/>
      <c r="Q1090" s="56"/>
      <c r="R1090" s="56"/>
      <c r="S1090" s="56"/>
      <c r="T1090" s="56"/>
      <c r="U1090" s="56"/>
      <c r="V1090" s="56"/>
      <c r="W1090" s="56"/>
      <c r="X1090" s="56"/>
      <c r="Y1090" s="56"/>
      <c r="Z1090" s="56"/>
      <c r="AA1090" s="56"/>
      <c r="AB1090" s="56"/>
      <c r="AC1090" s="15"/>
    </row>
    <row r="1091" spans="3:29" ht="12.75">
      <c r="C1091" s="23"/>
      <c r="I1091" s="23"/>
      <c r="L1091" s="56"/>
      <c r="M1091" s="56"/>
      <c r="N1091" s="56"/>
      <c r="O1091" s="56"/>
      <c r="P1091" s="56"/>
      <c r="Q1091" s="56"/>
      <c r="R1091" s="56"/>
      <c r="S1091" s="56"/>
      <c r="T1091" s="56"/>
      <c r="U1091" s="56"/>
      <c r="V1091" s="56"/>
      <c r="W1091" s="56"/>
      <c r="X1091" s="56"/>
      <c r="Y1091" s="56"/>
      <c r="Z1091" s="56"/>
      <c r="AA1091" s="56"/>
      <c r="AB1091" s="56"/>
      <c r="AC1091" s="15"/>
    </row>
    <row r="1092" spans="3:29" ht="12.75">
      <c r="C1092" s="23"/>
      <c r="I1092" s="23"/>
      <c r="L1092" s="56"/>
      <c r="M1092" s="56"/>
      <c r="N1092" s="56"/>
      <c r="O1092" s="56"/>
      <c r="P1092" s="56"/>
      <c r="Q1092" s="56"/>
      <c r="R1092" s="56"/>
      <c r="S1092" s="56"/>
      <c r="T1092" s="56"/>
      <c r="U1092" s="56"/>
      <c r="V1092" s="56"/>
      <c r="W1092" s="56"/>
      <c r="X1092" s="56"/>
      <c r="Y1092" s="56"/>
      <c r="Z1092" s="56"/>
      <c r="AA1092" s="56"/>
      <c r="AB1092" s="56"/>
      <c r="AC1092" s="15"/>
    </row>
    <row r="1093" spans="3:29" ht="12.75">
      <c r="C1093" s="23"/>
      <c r="I1093" s="23"/>
      <c r="L1093" s="56"/>
      <c r="M1093" s="56"/>
      <c r="N1093" s="56"/>
      <c r="O1093" s="56"/>
      <c r="P1093" s="56"/>
      <c r="Q1093" s="56"/>
      <c r="R1093" s="56"/>
      <c r="S1093" s="56"/>
      <c r="T1093" s="56"/>
      <c r="U1093" s="56"/>
      <c r="V1093" s="56"/>
      <c r="W1093" s="56"/>
      <c r="X1093" s="56"/>
      <c r="Y1093" s="56"/>
      <c r="Z1093" s="56"/>
      <c r="AA1093" s="56"/>
      <c r="AB1093" s="56"/>
      <c r="AC1093" s="15"/>
    </row>
    <row r="1094" spans="3:29" ht="12.75">
      <c r="C1094" s="23"/>
      <c r="I1094" s="23"/>
      <c r="L1094" s="56"/>
      <c r="M1094" s="56"/>
      <c r="N1094" s="56"/>
      <c r="O1094" s="56"/>
      <c r="P1094" s="56"/>
      <c r="Q1094" s="56"/>
      <c r="R1094" s="56"/>
      <c r="S1094" s="56"/>
      <c r="T1094" s="56"/>
      <c r="U1094" s="56"/>
      <c r="V1094" s="56"/>
      <c r="W1094" s="56"/>
      <c r="X1094" s="56"/>
      <c r="Y1094" s="56"/>
      <c r="Z1094" s="56"/>
      <c r="AA1094" s="56"/>
      <c r="AB1094" s="56"/>
      <c r="AC1094" s="15"/>
    </row>
    <row r="1095" spans="3:29" ht="12.75">
      <c r="C1095" s="23"/>
      <c r="I1095" s="23"/>
      <c r="L1095" s="56"/>
      <c r="M1095" s="56"/>
      <c r="N1095" s="56"/>
      <c r="O1095" s="56"/>
      <c r="P1095" s="56"/>
      <c r="Q1095" s="56"/>
      <c r="R1095" s="56"/>
      <c r="S1095" s="56"/>
      <c r="T1095" s="56"/>
      <c r="U1095" s="56"/>
      <c r="V1095" s="56"/>
      <c r="W1095" s="56"/>
      <c r="X1095" s="56"/>
      <c r="Y1095" s="56"/>
      <c r="Z1095" s="56"/>
      <c r="AA1095" s="56"/>
      <c r="AB1095" s="56"/>
      <c r="AC1095" s="15"/>
    </row>
    <row r="1096" spans="3:29" ht="12.75">
      <c r="C1096" s="23"/>
      <c r="I1096" s="23"/>
      <c r="L1096" s="56"/>
      <c r="M1096" s="56"/>
      <c r="N1096" s="56"/>
      <c r="O1096" s="56"/>
      <c r="P1096" s="56"/>
      <c r="Q1096" s="56"/>
      <c r="R1096" s="56"/>
      <c r="S1096" s="56"/>
      <c r="T1096" s="56"/>
      <c r="U1096" s="56"/>
      <c r="V1096" s="56"/>
      <c r="W1096" s="56"/>
      <c r="X1096" s="56"/>
      <c r="Y1096" s="56"/>
      <c r="Z1096" s="56"/>
      <c r="AA1096" s="56"/>
      <c r="AB1096" s="56"/>
      <c r="AC1096" s="15"/>
    </row>
    <row r="1097" spans="3:29" ht="12.75">
      <c r="C1097" s="23"/>
      <c r="I1097" s="23"/>
      <c r="L1097" s="56"/>
      <c r="M1097" s="56"/>
      <c r="N1097" s="56"/>
      <c r="O1097" s="56"/>
      <c r="P1097" s="56"/>
      <c r="Q1097" s="56"/>
      <c r="R1097" s="56"/>
      <c r="S1097" s="56"/>
      <c r="T1097" s="56"/>
      <c r="U1097" s="56"/>
      <c r="V1097" s="56"/>
      <c r="W1097" s="56"/>
      <c r="X1097" s="56"/>
      <c r="Y1097" s="56"/>
      <c r="Z1097" s="56"/>
      <c r="AA1097" s="56"/>
      <c r="AB1097" s="56"/>
      <c r="AC1097" s="15"/>
    </row>
    <row r="1098" spans="3:29" ht="12.75">
      <c r="C1098" s="23"/>
      <c r="I1098" s="23"/>
      <c r="L1098" s="56"/>
      <c r="M1098" s="56"/>
      <c r="N1098" s="56"/>
      <c r="O1098" s="56"/>
      <c r="P1098" s="56"/>
      <c r="Q1098" s="56"/>
      <c r="R1098" s="56"/>
      <c r="S1098" s="56"/>
      <c r="T1098" s="56"/>
      <c r="U1098" s="56"/>
      <c r="V1098" s="56"/>
      <c r="W1098" s="56"/>
      <c r="X1098" s="56"/>
      <c r="Y1098" s="56"/>
      <c r="Z1098" s="56"/>
      <c r="AA1098" s="56"/>
      <c r="AB1098" s="56"/>
      <c r="AC1098" s="15"/>
    </row>
    <row r="1099" spans="3:29" ht="12.75">
      <c r="C1099" s="23"/>
      <c r="I1099" s="23"/>
      <c r="L1099" s="56"/>
      <c r="M1099" s="56"/>
      <c r="N1099" s="56"/>
      <c r="O1099" s="56"/>
      <c r="P1099" s="56"/>
      <c r="Q1099" s="56"/>
      <c r="R1099" s="56"/>
      <c r="S1099" s="56"/>
      <c r="T1099" s="56"/>
      <c r="U1099" s="56"/>
      <c r="V1099" s="56"/>
      <c r="W1099" s="56"/>
      <c r="X1099" s="56"/>
      <c r="Y1099" s="56"/>
      <c r="Z1099" s="56"/>
      <c r="AA1099" s="56"/>
      <c r="AB1099" s="56"/>
      <c r="AC1099" s="15"/>
    </row>
    <row r="1100" spans="3:29" ht="12.75">
      <c r="C1100" s="23"/>
      <c r="I1100" s="23"/>
      <c r="L1100" s="56"/>
      <c r="M1100" s="56"/>
      <c r="N1100" s="56"/>
      <c r="O1100" s="56"/>
      <c r="P1100" s="56"/>
      <c r="Q1100" s="56"/>
      <c r="R1100" s="56"/>
      <c r="S1100" s="56"/>
      <c r="T1100" s="56"/>
      <c r="U1100" s="56"/>
      <c r="V1100" s="56"/>
      <c r="W1100" s="56"/>
      <c r="X1100" s="56"/>
      <c r="Y1100" s="56"/>
      <c r="Z1100" s="56"/>
      <c r="AA1100" s="56"/>
      <c r="AB1100" s="56"/>
      <c r="AC1100" s="15"/>
    </row>
    <row r="1101" spans="3:29" ht="12.75">
      <c r="C1101" s="23"/>
      <c r="I1101" s="23"/>
      <c r="L1101" s="56"/>
      <c r="M1101" s="56"/>
      <c r="N1101" s="56"/>
      <c r="O1101" s="56"/>
      <c r="P1101" s="56"/>
      <c r="Q1101" s="56"/>
      <c r="R1101" s="56"/>
      <c r="S1101" s="56"/>
      <c r="T1101" s="56"/>
      <c r="U1101" s="56"/>
      <c r="V1101" s="56"/>
      <c r="W1101" s="56"/>
      <c r="X1101" s="56"/>
      <c r="Y1101" s="56"/>
      <c r="Z1101" s="56"/>
      <c r="AA1101" s="56"/>
      <c r="AB1101" s="56"/>
      <c r="AC1101" s="15"/>
    </row>
    <row r="1102" spans="3:29" ht="12.75">
      <c r="C1102" s="23"/>
      <c r="I1102" s="23"/>
      <c r="L1102" s="56"/>
      <c r="M1102" s="56"/>
      <c r="N1102" s="56"/>
      <c r="O1102" s="56"/>
      <c r="P1102" s="56"/>
      <c r="Q1102" s="56"/>
      <c r="R1102" s="56"/>
      <c r="S1102" s="56"/>
      <c r="T1102" s="56"/>
      <c r="U1102" s="56"/>
      <c r="V1102" s="56"/>
      <c r="W1102" s="56"/>
      <c r="X1102" s="56"/>
      <c r="Y1102" s="56"/>
      <c r="Z1102" s="56"/>
      <c r="AA1102" s="56"/>
      <c r="AB1102" s="56"/>
      <c r="AC1102" s="15"/>
    </row>
    <row r="1103" spans="3:29" ht="12.75">
      <c r="C1103" s="23"/>
      <c r="I1103" s="23"/>
      <c r="L1103" s="56"/>
      <c r="M1103" s="56"/>
      <c r="N1103" s="56"/>
      <c r="O1103" s="56"/>
      <c r="P1103" s="56"/>
      <c r="Q1103" s="56"/>
      <c r="R1103" s="56"/>
      <c r="S1103" s="56"/>
      <c r="T1103" s="56"/>
      <c r="U1103" s="56"/>
      <c r="V1103" s="56"/>
      <c r="W1103" s="56"/>
      <c r="X1103" s="56"/>
      <c r="Y1103" s="56"/>
      <c r="Z1103" s="56"/>
      <c r="AA1103" s="56"/>
      <c r="AB1103" s="56"/>
      <c r="AC1103" s="15"/>
    </row>
    <row r="1104" spans="3:29" ht="12.75">
      <c r="C1104" s="23"/>
      <c r="I1104" s="23"/>
      <c r="L1104" s="56"/>
      <c r="M1104" s="56"/>
      <c r="N1104" s="56"/>
      <c r="O1104" s="56"/>
      <c r="P1104" s="56"/>
      <c r="Q1104" s="56"/>
      <c r="R1104" s="56"/>
      <c r="S1104" s="56"/>
      <c r="T1104" s="56"/>
      <c r="U1104" s="56"/>
      <c r="V1104" s="56"/>
      <c r="W1104" s="56"/>
      <c r="X1104" s="56"/>
      <c r="Y1104" s="56"/>
      <c r="Z1104" s="56"/>
      <c r="AA1104" s="56"/>
      <c r="AB1104" s="56"/>
      <c r="AC1104" s="15"/>
    </row>
    <row r="1105" spans="3:29" ht="12.75">
      <c r="C1105" s="23"/>
      <c r="I1105" s="23"/>
      <c r="L1105" s="56"/>
      <c r="M1105" s="56"/>
      <c r="N1105" s="56"/>
      <c r="O1105" s="56"/>
      <c r="P1105" s="56"/>
      <c r="Q1105" s="56"/>
      <c r="R1105" s="56"/>
      <c r="S1105" s="56"/>
      <c r="T1105" s="56"/>
      <c r="U1105" s="56"/>
      <c r="V1105" s="56"/>
      <c r="W1105" s="56"/>
      <c r="X1105" s="56"/>
      <c r="Y1105" s="56"/>
      <c r="Z1105" s="56"/>
      <c r="AA1105" s="56"/>
      <c r="AB1105" s="56"/>
      <c r="AC1105" s="15"/>
    </row>
    <row r="1106" spans="3:29" ht="12.75">
      <c r="C1106" s="23"/>
      <c r="I1106" s="23"/>
      <c r="L1106" s="56"/>
      <c r="M1106" s="56"/>
      <c r="N1106" s="56"/>
      <c r="O1106" s="56"/>
      <c r="P1106" s="56"/>
      <c r="Q1106" s="56"/>
      <c r="R1106" s="56"/>
      <c r="S1106" s="56"/>
      <c r="T1106" s="56"/>
      <c r="U1106" s="56"/>
      <c r="V1106" s="56"/>
      <c r="W1106" s="56"/>
      <c r="X1106" s="56"/>
      <c r="Y1106" s="56"/>
      <c r="Z1106" s="56"/>
      <c r="AA1106" s="56"/>
      <c r="AB1106" s="56"/>
      <c r="AC1106" s="15"/>
    </row>
    <row r="1107" spans="3:29" ht="12.75">
      <c r="C1107" s="23"/>
      <c r="I1107" s="23"/>
      <c r="L1107" s="56"/>
      <c r="M1107" s="56"/>
      <c r="N1107" s="56"/>
      <c r="O1107" s="56"/>
      <c r="P1107" s="56"/>
      <c r="Q1107" s="56"/>
      <c r="R1107" s="56"/>
      <c r="S1107" s="56"/>
      <c r="T1107" s="56"/>
      <c r="U1107" s="56"/>
      <c r="V1107" s="56"/>
      <c r="W1107" s="56"/>
      <c r="X1107" s="56"/>
      <c r="Y1107" s="56"/>
      <c r="Z1107" s="56"/>
      <c r="AA1107" s="56"/>
      <c r="AB1107" s="56"/>
      <c r="AC1107" s="15"/>
    </row>
    <row r="1108" spans="3:29" ht="12.75">
      <c r="C1108" s="23"/>
      <c r="I1108" s="23"/>
      <c r="L1108" s="56"/>
      <c r="M1108" s="56"/>
      <c r="N1108" s="56"/>
      <c r="O1108" s="56"/>
      <c r="P1108" s="56"/>
      <c r="Q1108" s="56"/>
      <c r="R1108" s="56"/>
      <c r="S1108" s="56"/>
      <c r="T1108" s="56"/>
      <c r="U1108" s="56"/>
      <c r="V1108" s="56"/>
      <c r="W1108" s="56"/>
      <c r="X1108" s="56"/>
      <c r="Y1108" s="56"/>
      <c r="Z1108" s="56"/>
      <c r="AA1108" s="56"/>
      <c r="AB1108" s="56"/>
      <c r="AC1108" s="15"/>
    </row>
    <row r="1109" spans="3:29" ht="12.75">
      <c r="C1109" s="23"/>
      <c r="I1109" s="23"/>
      <c r="L1109" s="56"/>
      <c r="M1109" s="56"/>
      <c r="N1109" s="56"/>
      <c r="O1109" s="56"/>
      <c r="P1109" s="56"/>
      <c r="Q1109" s="56"/>
      <c r="R1109" s="56"/>
      <c r="S1109" s="56"/>
      <c r="T1109" s="56"/>
      <c r="U1109" s="56"/>
      <c r="V1109" s="56"/>
      <c r="W1109" s="56"/>
      <c r="X1109" s="56"/>
      <c r="Y1109" s="56"/>
      <c r="Z1109" s="56"/>
      <c r="AA1109" s="56"/>
      <c r="AB1109" s="56"/>
      <c r="AC1109" s="15"/>
    </row>
    <row r="1110" spans="3:29" ht="12.75">
      <c r="C1110" s="23"/>
      <c r="I1110" s="23"/>
      <c r="L1110" s="56"/>
      <c r="M1110" s="56"/>
      <c r="N1110" s="56"/>
      <c r="O1110" s="56"/>
      <c r="P1110" s="56"/>
      <c r="Q1110" s="56"/>
      <c r="R1110" s="56"/>
      <c r="S1110" s="56"/>
      <c r="T1110" s="56"/>
      <c r="U1110" s="56"/>
      <c r="V1110" s="56"/>
      <c r="W1110" s="56"/>
      <c r="X1110" s="56"/>
      <c r="Y1110" s="56"/>
      <c r="Z1110" s="56"/>
      <c r="AA1110" s="56"/>
      <c r="AB1110" s="56"/>
      <c r="AC1110" s="15"/>
    </row>
    <row r="1111" spans="3:29" ht="12.75">
      <c r="C1111" s="23"/>
      <c r="I1111" s="23"/>
      <c r="L1111" s="56"/>
      <c r="M1111" s="56"/>
      <c r="N1111" s="56"/>
      <c r="O1111" s="56"/>
      <c r="P1111" s="56"/>
      <c r="Q1111" s="56"/>
      <c r="R1111" s="56"/>
      <c r="S1111" s="56"/>
      <c r="T1111" s="56"/>
      <c r="U1111" s="56"/>
      <c r="V1111" s="56"/>
      <c r="W1111" s="56"/>
      <c r="X1111" s="56"/>
      <c r="Y1111" s="56"/>
      <c r="Z1111" s="56"/>
      <c r="AA1111" s="56"/>
      <c r="AB1111" s="56"/>
      <c r="AC1111" s="15"/>
    </row>
    <row r="1112" spans="3:29" ht="12.75">
      <c r="C1112" s="23"/>
      <c r="I1112" s="23"/>
      <c r="L1112" s="56"/>
      <c r="M1112" s="56"/>
      <c r="N1112" s="56"/>
      <c r="O1112" s="56"/>
      <c r="P1112" s="56"/>
      <c r="Q1112" s="56"/>
      <c r="R1112" s="56"/>
      <c r="S1112" s="56"/>
      <c r="T1112" s="56"/>
      <c r="U1112" s="56"/>
      <c r="V1112" s="56"/>
      <c r="W1112" s="56"/>
      <c r="X1112" s="56"/>
      <c r="Y1112" s="56"/>
      <c r="Z1112" s="56"/>
      <c r="AA1112" s="56"/>
      <c r="AB1112" s="56"/>
      <c r="AC1112" s="15"/>
    </row>
    <row r="1113" spans="3:29" ht="12.75">
      <c r="C1113" s="23"/>
      <c r="I1113" s="23"/>
      <c r="L1113" s="56"/>
      <c r="M1113" s="56"/>
      <c r="N1113" s="56"/>
      <c r="O1113" s="56"/>
      <c r="P1113" s="56"/>
      <c r="Q1113" s="56"/>
      <c r="R1113" s="56"/>
      <c r="S1113" s="56"/>
      <c r="T1113" s="56"/>
      <c r="U1113" s="56"/>
      <c r="V1113" s="56"/>
      <c r="W1113" s="56"/>
      <c r="X1113" s="56"/>
      <c r="Y1113" s="56"/>
      <c r="Z1113" s="56"/>
      <c r="AA1113" s="56"/>
      <c r="AB1113" s="56"/>
      <c r="AC1113" s="15"/>
    </row>
    <row r="1114" spans="3:29" ht="12.75">
      <c r="C1114" s="23"/>
      <c r="I1114" s="23"/>
      <c r="L1114" s="56"/>
      <c r="M1114" s="56"/>
      <c r="N1114" s="56"/>
      <c r="O1114" s="56"/>
      <c r="P1114" s="56"/>
      <c r="Q1114" s="56"/>
      <c r="R1114" s="56"/>
      <c r="S1114" s="56"/>
      <c r="T1114" s="56"/>
      <c r="U1114" s="56"/>
      <c r="V1114" s="56"/>
      <c r="W1114" s="56"/>
      <c r="X1114" s="56"/>
      <c r="Y1114" s="56"/>
      <c r="Z1114" s="56"/>
      <c r="AA1114" s="56"/>
      <c r="AB1114" s="56"/>
      <c r="AC1114" s="15"/>
    </row>
    <row r="1115" spans="3:29" ht="12.75">
      <c r="C1115" s="23"/>
      <c r="I1115" s="23"/>
      <c r="L1115" s="56"/>
      <c r="M1115" s="56"/>
      <c r="N1115" s="56"/>
      <c r="O1115" s="56"/>
      <c r="P1115" s="56"/>
      <c r="Q1115" s="56"/>
      <c r="R1115" s="56"/>
      <c r="S1115" s="56"/>
      <c r="T1115" s="56"/>
      <c r="U1115" s="56"/>
      <c r="V1115" s="56"/>
      <c r="W1115" s="56"/>
      <c r="X1115" s="56"/>
      <c r="Y1115" s="56"/>
      <c r="Z1115" s="56"/>
      <c r="AA1115" s="56"/>
      <c r="AB1115" s="56"/>
      <c r="AC1115" s="15"/>
    </row>
    <row r="1116" spans="3:29" ht="12.75">
      <c r="C1116" s="23"/>
      <c r="I1116" s="23"/>
      <c r="L1116" s="56"/>
      <c r="M1116" s="56"/>
      <c r="N1116" s="56"/>
      <c r="O1116" s="56"/>
      <c r="P1116" s="56"/>
      <c r="Q1116" s="56"/>
      <c r="R1116" s="56"/>
      <c r="S1116" s="56"/>
      <c r="T1116" s="56"/>
      <c r="U1116" s="56"/>
      <c r="V1116" s="56"/>
      <c r="W1116" s="56"/>
      <c r="X1116" s="56"/>
      <c r="Y1116" s="56"/>
      <c r="Z1116" s="56"/>
      <c r="AA1116" s="56"/>
      <c r="AB1116" s="56"/>
      <c r="AC1116" s="15"/>
    </row>
    <row r="1117" spans="3:29" ht="12.75">
      <c r="C1117" s="23"/>
      <c r="I1117" s="23"/>
      <c r="L1117" s="56"/>
      <c r="M1117" s="56"/>
      <c r="N1117" s="56"/>
      <c r="O1117" s="56"/>
      <c r="P1117" s="56"/>
      <c r="Q1117" s="56"/>
      <c r="R1117" s="56"/>
      <c r="S1117" s="56"/>
      <c r="T1117" s="56"/>
      <c r="U1117" s="56"/>
      <c r="V1117" s="56"/>
      <c r="W1117" s="56"/>
      <c r="X1117" s="56"/>
      <c r="Y1117" s="56"/>
      <c r="Z1117" s="56"/>
      <c r="AA1117" s="56"/>
      <c r="AB1117" s="56"/>
      <c r="AC1117" s="15"/>
    </row>
    <row r="1118" spans="3:29" ht="12.75">
      <c r="C1118" s="23"/>
      <c r="I1118" s="23"/>
      <c r="L1118" s="56"/>
      <c r="M1118" s="56"/>
      <c r="N1118" s="56"/>
      <c r="O1118" s="56"/>
      <c r="P1118" s="56"/>
      <c r="Q1118" s="56"/>
      <c r="R1118" s="56"/>
      <c r="S1118" s="56"/>
      <c r="T1118" s="56"/>
      <c r="U1118" s="56"/>
      <c r="V1118" s="56"/>
      <c r="W1118" s="56"/>
      <c r="X1118" s="56"/>
      <c r="Y1118" s="56"/>
      <c r="Z1118" s="56"/>
      <c r="AA1118" s="56"/>
      <c r="AB1118" s="56"/>
      <c r="AC1118" s="15"/>
    </row>
    <row r="1119" spans="3:29" ht="12.75">
      <c r="C1119" s="23"/>
      <c r="I1119" s="23"/>
      <c r="L1119" s="56"/>
      <c r="M1119" s="56"/>
      <c r="N1119" s="56"/>
      <c r="O1119" s="56"/>
      <c r="P1119" s="56"/>
      <c r="Q1119" s="56"/>
      <c r="R1119" s="56"/>
      <c r="S1119" s="56"/>
      <c r="T1119" s="56"/>
      <c r="U1119" s="56"/>
      <c r="V1119" s="56"/>
      <c r="W1119" s="56"/>
      <c r="X1119" s="56"/>
      <c r="Y1119" s="56"/>
      <c r="Z1119" s="56"/>
      <c r="AA1119" s="56"/>
      <c r="AB1119" s="56"/>
      <c r="AC1119" s="15"/>
    </row>
    <row r="1120" spans="3:29" ht="12.75">
      <c r="C1120" s="23"/>
      <c r="I1120" s="23"/>
      <c r="L1120" s="56"/>
      <c r="M1120" s="56"/>
      <c r="N1120" s="56"/>
      <c r="O1120" s="56"/>
      <c r="P1120" s="56"/>
      <c r="Q1120" s="56"/>
      <c r="R1120" s="56"/>
      <c r="S1120" s="56"/>
      <c r="T1120" s="56"/>
      <c r="U1120" s="56"/>
      <c r="V1120" s="56"/>
      <c r="W1120" s="56"/>
      <c r="X1120" s="56"/>
      <c r="Y1120" s="56"/>
      <c r="Z1120" s="56"/>
      <c r="AA1120" s="56"/>
      <c r="AB1120" s="56"/>
      <c r="AC1120" s="15"/>
    </row>
    <row r="1121" spans="3:29" ht="12.75">
      <c r="C1121" s="23"/>
      <c r="I1121" s="23"/>
      <c r="L1121" s="56"/>
      <c r="M1121" s="56"/>
      <c r="N1121" s="56"/>
      <c r="O1121" s="56"/>
      <c r="P1121" s="56"/>
      <c r="Q1121" s="56"/>
      <c r="R1121" s="56"/>
      <c r="S1121" s="56"/>
      <c r="T1121" s="56"/>
      <c r="U1121" s="56"/>
      <c r="V1121" s="56"/>
      <c r="W1121" s="56"/>
      <c r="X1121" s="56"/>
      <c r="Y1121" s="56"/>
      <c r="Z1121" s="56"/>
      <c r="AA1121" s="56"/>
      <c r="AB1121" s="56"/>
      <c r="AC1121" s="15"/>
    </row>
    <row r="1122" spans="3:29" ht="12.75">
      <c r="C1122" s="23"/>
      <c r="I1122" s="23"/>
      <c r="L1122" s="56"/>
      <c r="M1122" s="56"/>
      <c r="N1122" s="56"/>
      <c r="O1122" s="56"/>
      <c r="P1122" s="56"/>
      <c r="Q1122" s="56"/>
      <c r="R1122" s="56"/>
      <c r="S1122" s="56"/>
      <c r="T1122" s="56"/>
      <c r="U1122" s="56"/>
      <c r="V1122" s="56"/>
      <c r="W1122" s="56"/>
      <c r="X1122" s="56"/>
      <c r="Y1122" s="56"/>
      <c r="Z1122" s="56"/>
      <c r="AA1122" s="56"/>
      <c r="AB1122" s="56"/>
      <c r="AC1122" s="15"/>
    </row>
    <row r="1123" spans="3:29" ht="12.75">
      <c r="C1123" s="23"/>
      <c r="I1123" s="23"/>
      <c r="L1123" s="56"/>
      <c r="M1123" s="56"/>
      <c r="N1123" s="56"/>
      <c r="O1123" s="56"/>
      <c r="P1123" s="56"/>
      <c r="Q1123" s="56"/>
      <c r="R1123" s="56"/>
      <c r="S1123" s="56"/>
      <c r="T1123" s="56"/>
      <c r="U1123" s="56"/>
      <c r="V1123" s="56"/>
      <c r="W1123" s="56"/>
      <c r="X1123" s="56"/>
      <c r="Y1123" s="56"/>
      <c r="Z1123" s="56"/>
      <c r="AA1123" s="56"/>
      <c r="AB1123" s="56"/>
      <c r="AC1123" s="15"/>
    </row>
    <row r="1124" spans="3:29" ht="12.75">
      <c r="C1124" s="23"/>
      <c r="I1124" s="23"/>
      <c r="L1124" s="56"/>
      <c r="M1124" s="56"/>
      <c r="N1124" s="56"/>
      <c r="O1124" s="56"/>
      <c r="P1124" s="56"/>
      <c r="Q1124" s="56"/>
      <c r="R1124" s="56"/>
      <c r="S1124" s="56"/>
      <c r="T1124" s="56"/>
      <c r="U1124" s="56"/>
      <c r="V1124" s="56"/>
      <c r="W1124" s="56"/>
      <c r="X1124" s="56"/>
      <c r="Y1124" s="56"/>
      <c r="Z1124" s="56"/>
      <c r="AA1124" s="56"/>
      <c r="AB1124" s="56"/>
      <c r="AC1124" s="15"/>
    </row>
    <row r="1125" spans="3:29" ht="12.75">
      <c r="C1125" s="23"/>
      <c r="I1125" s="23"/>
      <c r="L1125" s="56"/>
      <c r="M1125" s="56"/>
      <c r="N1125" s="56"/>
      <c r="O1125" s="56"/>
      <c r="P1125" s="56"/>
      <c r="Q1125" s="56"/>
      <c r="R1125" s="56"/>
      <c r="S1125" s="56"/>
      <c r="T1125" s="56"/>
      <c r="U1125" s="56"/>
      <c r="V1125" s="56"/>
      <c r="W1125" s="56"/>
      <c r="X1125" s="56"/>
      <c r="Y1125" s="56"/>
      <c r="Z1125" s="56"/>
      <c r="AA1125" s="56"/>
      <c r="AB1125" s="56"/>
      <c r="AC1125" s="15"/>
    </row>
    <row r="1126" spans="3:29" ht="12.75">
      <c r="C1126" s="23"/>
      <c r="I1126" s="23"/>
      <c r="L1126" s="56"/>
      <c r="M1126" s="56"/>
      <c r="N1126" s="56"/>
      <c r="O1126" s="56"/>
      <c r="P1126" s="56"/>
      <c r="Q1126" s="56"/>
      <c r="R1126" s="56"/>
      <c r="S1126" s="56"/>
      <c r="T1126" s="56"/>
      <c r="U1126" s="56"/>
      <c r="V1126" s="56"/>
      <c r="W1126" s="56"/>
      <c r="X1126" s="56"/>
      <c r="Y1126" s="56"/>
      <c r="Z1126" s="56"/>
      <c r="AA1126" s="56"/>
      <c r="AB1126" s="56"/>
      <c r="AC1126" s="15"/>
    </row>
    <row r="1127" spans="3:29" ht="12.75">
      <c r="C1127" s="23"/>
      <c r="I1127" s="23"/>
      <c r="L1127" s="56"/>
      <c r="M1127" s="56"/>
      <c r="N1127" s="56"/>
      <c r="O1127" s="56"/>
      <c r="P1127" s="56"/>
      <c r="Q1127" s="56"/>
      <c r="R1127" s="56"/>
      <c r="S1127" s="56"/>
      <c r="T1127" s="56"/>
      <c r="U1127" s="56"/>
      <c r="V1127" s="56"/>
      <c r="W1127" s="56"/>
      <c r="X1127" s="56"/>
      <c r="Y1127" s="56"/>
      <c r="Z1127" s="56"/>
      <c r="AA1127" s="56"/>
      <c r="AB1127" s="56"/>
      <c r="AC1127" s="15"/>
    </row>
    <row r="1128" spans="3:29" ht="12.75">
      <c r="C1128" s="23"/>
      <c r="I1128" s="23"/>
      <c r="L1128" s="56"/>
      <c r="M1128" s="56"/>
      <c r="N1128" s="56"/>
      <c r="O1128" s="56"/>
      <c r="P1128" s="56"/>
      <c r="Q1128" s="56"/>
      <c r="R1128" s="56"/>
      <c r="S1128" s="56"/>
      <c r="T1128" s="56"/>
      <c r="U1128" s="56"/>
      <c r="V1128" s="56"/>
      <c r="W1128" s="56"/>
      <c r="X1128" s="56"/>
      <c r="Y1128" s="56"/>
      <c r="Z1128" s="56"/>
      <c r="AA1128" s="56"/>
      <c r="AB1128" s="56"/>
      <c r="AC1128" s="15"/>
    </row>
    <row r="1129" spans="3:29" ht="12.75">
      <c r="C1129" s="23"/>
      <c r="I1129" s="23"/>
      <c r="L1129" s="56"/>
      <c r="M1129" s="56"/>
      <c r="N1129" s="56"/>
      <c r="O1129" s="56"/>
      <c r="P1129" s="56"/>
      <c r="Q1129" s="56"/>
      <c r="R1129" s="56"/>
      <c r="S1129" s="56"/>
      <c r="T1129" s="56"/>
      <c r="U1129" s="56"/>
      <c r="V1129" s="56"/>
      <c r="W1129" s="56"/>
      <c r="X1129" s="56"/>
      <c r="Y1129" s="56"/>
      <c r="Z1129" s="56"/>
      <c r="AA1129" s="56"/>
      <c r="AB1129" s="56"/>
      <c r="AC1129" s="15"/>
    </row>
    <row r="1130" spans="3:29" ht="12.75">
      <c r="C1130" s="23"/>
      <c r="I1130" s="23"/>
      <c r="L1130" s="56"/>
      <c r="M1130" s="56"/>
      <c r="N1130" s="56"/>
      <c r="O1130" s="56"/>
      <c r="P1130" s="56"/>
      <c r="Q1130" s="56"/>
      <c r="R1130" s="56"/>
      <c r="S1130" s="56"/>
      <c r="T1130" s="56"/>
      <c r="U1130" s="56"/>
      <c r="V1130" s="56"/>
      <c r="W1130" s="56"/>
      <c r="X1130" s="56"/>
      <c r="Y1130" s="56"/>
      <c r="Z1130" s="56"/>
      <c r="AA1130" s="56"/>
      <c r="AB1130" s="56"/>
      <c r="AC1130" s="15"/>
    </row>
    <row r="1131" spans="3:29" ht="12.75">
      <c r="C1131" s="23"/>
      <c r="I1131" s="23"/>
      <c r="L1131" s="56"/>
      <c r="M1131" s="56"/>
      <c r="N1131" s="56"/>
      <c r="O1131" s="56"/>
      <c r="P1131" s="56"/>
      <c r="Q1131" s="56"/>
      <c r="R1131" s="56"/>
      <c r="S1131" s="56"/>
      <c r="T1131" s="56"/>
      <c r="U1131" s="56"/>
      <c r="V1131" s="56"/>
      <c r="W1131" s="56"/>
      <c r="X1131" s="56"/>
      <c r="Y1131" s="56"/>
      <c r="Z1131" s="56"/>
      <c r="AA1131" s="56"/>
      <c r="AB1131" s="56"/>
      <c r="AC1131" s="15"/>
    </row>
    <row r="1132" spans="3:29" ht="12.75">
      <c r="C1132" s="23"/>
      <c r="I1132" s="23"/>
      <c r="L1132" s="56"/>
      <c r="M1132" s="56"/>
      <c r="N1132" s="56"/>
      <c r="O1132" s="56"/>
      <c r="P1132" s="56"/>
      <c r="Q1132" s="56"/>
      <c r="R1132" s="56"/>
      <c r="S1132" s="56"/>
      <c r="T1132" s="56"/>
      <c r="U1132" s="56"/>
      <c r="V1132" s="56"/>
      <c r="W1132" s="56"/>
      <c r="X1132" s="56"/>
      <c r="Y1132" s="56"/>
      <c r="Z1132" s="56"/>
      <c r="AA1132" s="56"/>
      <c r="AB1132" s="56"/>
      <c r="AC1132" s="15"/>
    </row>
    <row r="1133" spans="3:29" ht="12.75">
      <c r="C1133" s="23"/>
      <c r="I1133" s="23"/>
      <c r="L1133" s="56"/>
      <c r="M1133" s="56"/>
      <c r="N1133" s="56"/>
      <c r="O1133" s="56"/>
      <c r="P1133" s="56"/>
      <c r="Q1133" s="56"/>
      <c r="R1133" s="56"/>
      <c r="S1133" s="56"/>
      <c r="T1133" s="56"/>
      <c r="U1133" s="56"/>
      <c r="V1133" s="56"/>
      <c r="W1133" s="56"/>
      <c r="X1133" s="56"/>
      <c r="Y1133" s="56"/>
      <c r="Z1133" s="56"/>
      <c r="AA1133" s="56"/>
      <c r="AB1133" s="56"/>
      <c r="AC1133" s="15"/>
    </row>
    <row r="1134" spans="3:29" ht="12.75">
      <c r="C1134" s="23"/>
      <c r="I1134" s="23"/>
      <c r="L1134" s="56"/>
      <c r="M1134" s="56"/>
      <c r="N1134" s="56"/>
      <c r="O1134" s="56"/>
      <c r="P1134" s="56"/>
      <c r="Q1134" s="56"/>
      <c r="R1134" s="56"/>
      <c r="S1134" s="56"/>
      <c r="T1134" s="56"/>
      <c r="U1134" s="56"/>
      <c r="V1134" s="56"/>
      <c r="W1134" s="56"/>
      <c r="X1134" s="56"/>
      <c r="Y1134" s="56"/>
      <c r="Z1134" s="56"/>
      <c r="AA1134" s="56"/>
      <c r="AB1134" s="56"/>
      <c r="AC1134" s="15"/>
    </row>
    <row r="1135" spans="3:29" ht="12.75">
      <c r="C1135" s="23"/>
      <c r="I1135" s="23"/>
      <c r="L1135" s="56"/>
      <c r="M1135" s="56"/>
      <c r="N1135" s="56"/>
      <c r="O1135" s="56"/>
      <c r="P1135" s="56"/>
      <c r="Q1135" s="56"/>
      <c r="R1135" s="56"/>
      <c r="S1135" s="56"/>
      <c r="T1135" s="56"/>
      <c r="U1135" s="56"/>
      <c r="V1135" s="56"/>
      <c r="W1135" s="56"/>
      <c r="X1135" s="56"/>
      <c r="Y1135" s="56"/>
      <c r="Z1135" s="56"/>
      <c r="AA1135" s="56"/>
      <c r="AB1135" s="56"/>
      <c r="AC1135" s="15"/>
    </row>
    <row r="1136" spans="3:29" ht="12.75">
      <c r="C1136" s="23"/>
      <c r="I1136" s="23"/>
      <c r="L1136" s="56"/>
      <c r="M1136" s="56"/>
      <c r="N1136" s="56"/>
      <c r="O1136" s="56"/>
      <c r="P1136" s="56"/>
      <c r="Q1136" s="56"/>
      <c r="R1136" s="56"/>
      <c r="S1136" s="56"/>
      <c r="T1136" s="56"/>
      <c r="U1136" s="56"/>
      <c r="V1136" s="56"/>
      <c r="W1136" s="56"/>
      <c r="X1136" s="56"/>
      <c r="Y1136" s="56"/>
      <c r="Z1136" s="56"/>
      <c r="AA1136" s="56"/>
      <c r="AB1136" s="56"/>
      <c r="AC1136" s="15"/>
    </row>
    <row r="1137" spans="3:29" ht="12.75">
      <c r="C1137" s="23"/>
      <c r="I1137" s="23"/>
      <c r="L1137" s="56"/>
      <c r="M1137" s="56"/>
      <c r="N1137" s="56"/>
      <c r="O1137" s="56"/>
      <c r="P1137" s="56"/>
      <c r="Q1137" s="56"/>
      <c r="R1137" s="56"/>
      <c r="S1137" s="56"/>
      <c r="T1137" s="56"/>
      <c r="U1137" s="56"/>
      <c r="V1137" s="56"/>
      <c r="W1137" s="56"/>
      <c r="X1137" s="56"/>
      <c r="Y1137" s="56"/>
      <c r="Z1137" s="56"/>
      <c r="AA1137" s="56"/>
      <c r="AB1137" s="56"/>
      <c r="AC1137" s="15"/>
    </row>
    <row r="1138" spans="3:29" ht="12.75">
      <c r="C1138" s="23"/>
      <c r="I1138" s="23"/>
      <c r="L1138" s="56"/>
      <c r="M1138" s="56"/>
      <c r="N1138" s="56"/>
      <c r="O1138" s="56"/>
      <c r="P1138" s="56"/>
      <c r="Q1138" s="56"/>
      <c r="R1138" s="56"/>
      <c r="S1138" s="56"/>
      <c r="T1138" s="56"/>
      <c r="U1138" s="56"/>
      <c r="V1138" s="56"/>
      <c r="W1138" s="56"/>
      <c r="X1138" s="56"/>
      <c r="Y1138" s="56"/>
      <c r="Z1138" s="56"/>
      <c r="AA1138" s="56"/>
      <c r="AB1138" s="56"/>
      <c r="AC1138" s="15"/>
    </row>
    <row r="1139" spans="3:29" ht="12.75">
      <c r="C1139" s="23"/>
      <c r="I1139" s="23"/>
      <c r="L1139" s="56"/>
      <c r="M1139" s="56"/>
      <c r="N1139" s="56"/>
      <c r="O1139" s="56"/>
      <c r="P1139" s="56"/>
      <c r="Q1139" s="56"/>
      <c r="R1139" s="56"/>
      <c r="S1139" s="56"/>
      <c r="T1139" s="56"/>
      <c r="U1139" s="56"/>
      <c r="V1139" s="56"/>
      <c r="W1139" s="56"/>
      <c r="X1139" s="56"/>
      <c r="Y1139" s="56"/>
      <c r="Z1139" s="56"/>
      <c r="AA1139" s="56"/>
      <c r="AB1139" s="56"/>
      <c r="AC1139" s="15"/>
    </row>
    <row r="1140" spans="3:29" ht="12.75">
      <c r="C1140" s="23"/>
      <c r="I1140" s="23"/>
      <c r="L1140" s="56"/>
      <c r="M1140" s="56"/>
      <c r="N1140" s="56"/>
      <c r="O1140" s="56"/>
      <c r="P1140" s="56"/>
      <c r="Q1140" s="56"/>
      <c r="R1140" s="56"/>
      <c r="S1140" s="56"/>
      <c r="T1140" s="56"/>
      <c r="U1140" s="56"/>
      <c r="V1140" s="56"/>
      <c r="W1140" s="56"/>
      <c r="X1140" s="56"/>
      <c r="Y1140" s="56"/>
      <c r="Z1140" s="56"/>
      <c r="AA1140" s="56"/>
      <c r="AB1140" s="56"/>
      <c r="AC1140" s="15"/>
    </row>
    <row r="1141" spans="3:29" ht="12.75">
      <c r="C1141" s="23"/>
      <c r="I1141" s="23"/>
      <c r="L1141" s="56"/>
      <c r="M1141" s="56"/>
      <c r="N1141" s="56"/>
      <c r="O1141" s="56"/>
      <c r="P1141" s="56"/>
      <c r="Q1141" s="56"/>
      <c r="R1141" s="56"/>
      <c r="S1141" s="56"/>
      <c r="T1141" s="56"/>
      <c r="U1141" s="56"/>
      <c r="V1141" s="56"/>
      <c r="W1141" s="56"/>
      <c r="X1141" s="56"/>
      <c r="Y1141" s="56"/>
      <c r="Z1141" s="56"/>
      <c r="AA1141" s="56"/>
      <c r="AB1141" s="56"/>
      <c r="AC1141" s="15"/>
    </row>
    <row r="1142" spans="3:29" ht="12.75">
      <c r="C1142" s="23"/>
      <c r="I1142" s="23"/>
      <c r="L1142" s="56"/>
      <c r="M1142" s="56"/>
      <c r="N1142" s="56"/>
      <c r="O1142" s="56"/>
      <c r="P1142" s="56"/>
      <c r="Q1142" s="56"/>
      <c r="R1142" s="56"/>
      <c r="S1142" s="56"/>
      <c r="T1142" s="56"/>
      <c r="U1142" s="56"/>
      <c r="V1142" s="56"/>
      <c r="W1142" s="56"/>
      <c r="X1142" s="56"/>
      <c r="Y1142" s="56"/>
      <c r="Z1142" s="56"/>
      <c r="AA1142" s="56"/>
      <c r="AB1142" s="56"/>
      <c r="AC1142" s="15"/>
    </row>
    <row r="1143" spans="3:29" ht="12.75">
      <c r="C1143" s="23"/>
      <c r="I1143" s="23"/>
      <c r="L1143" s="56"/>
      <c r="M1143" s="56"/>
      <c r="N1143" s="56"/>
      <c r="O1143" s="56"/>
      <c r="P1143" s="56"/>
      <c r="Q1143" s="56"/>
      <c r="R1143" s="56"/>
      <c r="S1143" s="56"/>
      <c r="T1143" s="56"/>
      <c r="U1143" s="56"/>
      <c r="V1143" s="56"/>
      <c r="W1143" s="56"/>
      <c r="X1143" s="56"/>
      <c r="Y1143" s="56"/>
      <c r="Z1143" s="56"/>
      <c r="AA1143" s="56"/>
      <c r="AB1143" s="56"/>
      <c r="AC1143" s="15"/>
    </row>
    <row r="1144" spans="3:29" ht="12.75">
      <c r="C1144" s="23"/>
      <c r="I1144" s="23"/>
      <c r="L1144" s="56"/>
      <c r="M1144" s="56"/>
      <c r="N1144" s="56"/>
      <c r="O1144" s="56"/>
      <c r="P1144" s="56"/>
      <c r="Q1144" s="56"/>
      <c r="R1144" s="56"/>
      <c r="S1144" s="56"/>
      <c r="T1144" s="56"/>
      <c r="U1144" s="56"/>
      <c r="V1144" s="56"/>
      <c r="W1144" s="56"/>
      <c r="X1144" s="56"/>
      <c r="Y1144" s="56"/>
      <c r="Z1144" s="56"/>
      <c r="AA1144" s="56"/>
      <c r="AB1144" s="56"/>
      <c r="AC1144" s="15"/>
    </row>
    <row r="1145" spans="3:29" ht="12.75">
      <c r="C1145" s="23"/>
      <c r="I1145" s="23"/>
      <c r="L1145" s="56"/>
      <c r="M1145" s="56"/>
      <c r="N1145" s="56"/>
      <c r="O1145" s="56"/>
      <c r="P1145" s="56"/>
      <c r="Q1145" s="56"/>
      <c r="R1145" s="56"/>
      <c r="S1145" s="56"/>
      <c r="T1145" s="56"/>
      <c r="U1145" s="56"/>
      <c r="V1145" s="56"/>
      <c r="W1145" s="56"/>
      <c r="X1145" s="56"/>
      <c r="Y1145" s="56"/>
      <c r="Z1145" s="56"/>
      <c r="AA1145" s="56"/>
      <c r="AB1145" s="56"/>
      <c r="AC1145" s="15"/>
    </row>
    <row r="1146" spans="3:29" ht="12.75">
      <c r="C1146" s="23"/>
      <c r="I1146" s="23"/>
      <c r="L1146" s="56"/>
      <c r="M1146" s="56"/>
      <c r="N1146" s="56"/>
      <c r="O1146" s="56"/>
      <c r="P1146" s="56"/>
      <c r="Q1146" s="56"/>
      <c r="R1146" s="56"/>
      <c r="S1146" s="56"/>
      <c r="T1146" s="56"/>
      <c r="U1146" s="56"/>
      <c r="V1146" s="56"/>
      <c r="W1146" s="56"/>
      <c r="X1146" s="56"/>
      <c r="Y1146" s="56"/>
      <c r="Z1146" s="56"/>
      <c r="AA1146" s="56"/>
      <c r="AB1146" s="56"/>
      <c r="AC1146" s="15"/>
    </row>
    <row r="1147" spans="3:29" ht="12.75">
      <c r="C1147" s="23"/>
      <c r="I1147" s="23"/>
      <c r="L1147" s="56"/>
      <c r="M1147" s="56"/>
      <c r="N1147" s="56"/>
      <c r="O1147" s="56"/>
      <c r="P1147" s="56"/>
      <c r="Q1147" s="56"/>
      <c r="R1147" s="56"/>
      <c r="S1147" s="56"/>
      <c r="T1147" s="56"/>
      <c r="U1147" s="56"/>
      <c r="V1147" s="56"/>
      <c r="W1147" s="56"/>
      <c r="X1147" s="56"/>
      <c r="Y1147" s="56"/>
      <c r="Z1147" s="56"/>
      <c r="AA1147" s="56"/>
      <c r="AB1147" s="56"/>
      <c r="AC1147" s="15"/>
    </row>
    <row r="1148" spans="3:29" ht="12.75">
      <c r="C1148" s="23"/>
      <c r="I1148" s="23"/>
      <c r="L1148" s="56"/>
      <c r="M1148" s="56"/>
      <c r="N1148" s="56"/>
      <c r="O1148" s="56"/>
      <c r="P1148" s="56"/>
      <c r="Q1148" s="56"/>
      <c r="R1148" s="56"/>
      <c r="S1148" s="56"/>
      <c r="T1148" s="56"/>
      <c r="U1148" s="56"/>
      <c r="V1148" s="56"/>
      <c r="W1148" s="56"/>
      <c r="X1148" s="56"/>
      <c r="Y1148" s="56"/>
      <c r="Z1148" s="56"/>
      <c r="AA1148" s="56"/>
      <c r="AB1148" s="56"/>
      <c r="AC1148" s="15"/>
    </row>
    <row r="1149" spans="3:29" ht="12.75">
      <c r="C1149" s="23"/>
      <c r="I1149" s="23"/>
      <c r="L1149" s="56"/>
      <c r="M1149" s="56"/>
      <c r="N1149" s="56"/>
      <c r="O1149" s="56"/>
      <c r="P1149" s="56"/>
      <c r="Q1149" s="56"/>
      <c r="R1149" s="56"/>
      <c r="S1149" s="56"/>
      <c r="T1149" s="56"/>
      <c r="U1149" s="56"/>
      <c r="V1149" s="56"/>
      <c r="W1149" s="56"/>
      <c r="X1149" s="56"/>
      <c r="Y1149" s="56"/>
      <c r="Z1149" s="56"/>
      <c r="AA1149" s="56"/>
      <c r="AB1149" s="56"/>
      <c r="AC1149" s="15"/>
    </row>
    <row r="1150" spans="3:29" ht="12.75">
      <c r="C1150" s="23"/>
      <c r="I1150" s="23"/>
      <c r="L1150" s="56"/>
      <c r="M1150" s="56"/>
      <c r="N1150" s="56"/>
      <c r="O1150" s="56"/>
      <c r="P1150" s="56"/>
      <c r="Q1150" s="56"/>
      <c r="R1150" s="56"/>
      <c r="S1150" s="56"/>
      <c r="T1150" s="56"/>
      <c r="U1150" s="56"/>
      <c r="V1150" s="56"/>
      <c r="W1150" s="56"/>
      <c r="X1150" s="56"/>
      <c r="Y1150" s="56"/>
      <c r="Z1150" s="56"/>
      <c r="AA1150" s="56"/>
      <c r="AB1150" s="56"/>
      <c r="AC1150" s="15"/>
    </row>
    <row r="1151" spans="3:29" ht="12.75">
      <c r="C1151" s="23"/>
      <c r="I1151" s="23"/>
      <c r="L1151" s="56"/>
      <c r="M1151" s="56"/>
      <c r="N1151" s="56"/>
      <c r="O1151" s="56"/>
      <c r="P1151" s="56"/>
      <c r="Q1151" s="56"/>
      <c r="R1151" s="56"/>
      <c r="S1151" s="56"/>
      <c r="T1151" s="56"/>
      <c r="U1151" s="56"/>
      <c r="V1151" s="56"/>
      <c r="W1151" s="56"/>
      <c r="X1151" s="56"/>
      <c r="Y1151" s="56"/>
      <c r="Z1151" s="56"/>
      <c r="AA1151" s="56"/>
      <c r="AB1151" s="56"/>
      <c r="AC1151" s="15"/>
    </row>
    <row r="1152" spans="3:29" ht="12.75">
      <c r="C1152" s="23"/>
      <c r="I1152" s="23"/>
      <c r="L1152" s="56"/>
      <c r="M1152" s="56"/>
      <c r="N1152" s="56"/>
      <c r="O1152" s="56"/>
      <c r="P1152" s="56"/>
      <c r="Q1152" s="56"/>
      <c r="R1152" s="56"/>
      <c r="S1152" s="56"/>
      <c r="T1152" s="56"/>
      <c r="U1152" s="56"/>
      <c r="V1152" s="56"/>
      <c r="W1152" s="56"/>
      <c r="X1152" s="56"/>
      <c r="Y1152" s="56"/>
      <c r="Z1152" s="56"/>
      <c r="AA1152" s="56"/>
      <c r="AB1152" s="56"/>
      <c r="AC1152" s="15"/>
    </row>
    <row r="1153" spans="3:29" ht="12.75">
      <c r="C1153" s="23"/>
      <c r="I1153" s="23"/>
      <c r="L1153" s="56"/>
      <c r="M1153" s="56"/>
      <c r="N1153" s="56"/>
      <c r="O1153" s="56"/>
      <c r="P1153" s="56"/>
      <c r="Q1153" s="56"/>
      <c r="R1153" s="56"/>
      <c r="S1153" s="56"/>
      <c r="T1153" s="56"/>
      <c r="U1153" s="56"/>
      <c r="V1153" s="56"/>
      <c r="W1153" s="56"/>
      <c r="X1153" s="56"/>
      <c r="Y1153" s="56"/>
      <c r="Z1153" s="56"/>
      <c r="AA1153" s="56"/>
      <c r="AB1153" s="56"/>
      <c r="AC1153" s="15"/>
    </row>
    <row r="1154" spans="3:29" ht="12.75">
      <c r="C1154" s="23"/>
      <c r="I1154" s="23"/>
      <c r="L1154" s="56"/>
      <c r="M1154" s="56"/>
      <c r="N1154" s="56"/>
      <c r="O1154" s="56"/>
      <c r="P1154" s="56"/>
      <c r="Q1154" s="56"/>
      <c r="R1154" s="56"/>
      <c r="S1154" s="56"/>
      <c r="T1154" s="56"/>
      <c r="U1154" s="56"/>
      <c r="V1154" s="56"/>
      <c r="W1154" s="56"/>
      <c r="X1154" s="56"/>
      <c r="Y1154" s="56"/>
      <c r="Z1154" s="56"/>
      <c r="AA1154" s="56"/>
      <c r="AB1154" s="56"/>
      <c r="AC1154" s="15"/>
    </row>
    <row r="1155" spans="3:29" ht="12.75">
      <c r="C1155" s="23"/>
      <c r="I1155" s="23"/>
      <c r="L1155" s="56"/>
      <c r="M1155" s="56"/>
      <c r="N1155" s="56"/>
      <c r="O1155" s="56"/>
      <c r="P1155" s="56"/>
      <c r="Q1155" s="56"/>
      <c r="R1155" s="56"/>
      <c r="S1155" s="56"/>
      <c r="T1155" s="56"/>
      <c r="U1155" s="56"/>
      <c r="V1155" s="56"/>
      <c r="W1155" s="56"/>
      <c r="X1155" s="56"/>
      <c r="Y1155" s="56"/>
      <c r="Z1155" s="56"/>
      <c r="AA1155" s="56"/>
      <c r="AB1155" s="56"/>
      <c r="AC1155" s="15"/>
    </row>
    <row r="1156" spans="3:29" ht="12.75">
      <c r="C1156" s="23"/>
      <c r="I1156" s="23"/>
      <c r="L1156" s="56"/>
      <c r="M1156" s="56"/>
      <c r="N1156" s="56"/>
      <c r="O1156" s="56"/>
      <c r="P1156" s="56"/>
      <c r="Q1156" s="56"/>
      <c r="R1156" s="56"/>
      <c r="S1156" s="56"/>
      <c r="T1156" s="56"/>
      <c r="U1156" s="56"/>
      <c r="V1156" s="56"/>
      <c r="W1156" s="56"/>
      <c r="X1156" s="56"/>
      <c r="Y1156" s="56"/>
      <c r="Z1156" s="56"/>
      <c r="AA1156" s="56"/>
      <c r="AB1156" s="56"/>
      <c r="AC1156" s="15"/>
    </row>
    <row r="1157" spans="3:29" ht="12.75">
      <c r="C1157" s="23"/>
      <c r="I1157" s="23"/>
      <c r="L1157" s="56"/>
      <c r="M1157" s="56"/>
      <c r="N1157" s="56"/>
      <c r="O1157" s="56"/>
      <c r="P1157" s="56"/>
      <c r="Q1157" s="56"/>
      <c r="R1157" s="56"/>
      <c r="S1157" s="56"/>
      <c r="T1157" s="56"/>
      <c r="U1157" s="56"/>
      <c r="V1157" s="56"/>
      <c r="W1157" s="56"/>
      <c r="X1157" s="56"/>
      <c r="Y1157" s="56"/>
      <c r="Z1157" s="56"/>
      <c r="AA1157" s="56"/>
      <c r="AB1157" s="56"/>
      <c r="AC1157" s="15"/>
    </row>
    <row r="1158" spans="3:29" ht="12.75">
      <c r="C1158" s="23"/>
      <c r="I1158" s="23"/>
      <c r="L1158" s="56"/>
      <c r="M1158" s="56"/>
      <c r="N1158" s="56"/>
      <c r="O1158" s="56"/>
      <c r="P1158" s="56"/>
      <c r="Q1158" s="56"/>
      <c r="R1158" s="56"/>
      <c r="S1158" s="56"/>
      <c r="T1158" s="56"/>
      <c r="U1158" s="56"/>
      <c r="V1158" s="56"/>
      <c r="W1158" s="56"/>
      <c r="X1158" s="56"/>
      <c r="Y1158" s="56"/>
      <c r="Z1158" s="56"/>
      <c r="AA1158" s="56"/>
      <c r="AB1158" s="56"/>
      <c r="AC1158" s="15"/>
    </row>
    <row r="1159" spans="3:29" ht="12.75">
      <c r="C1159" s="23"/>
      <c r="I1159" s="23"/>
      <c r="L1159" s="56"/>
      <c r="M1159" s="56"/>
      <c r="N1159" s="56"/>
      <c r="O1159" s="56"/>
      <c r="P1159" s="56"/>
      <c r="Q1159" s="56"/>
      <c r="R1159" s="56"/>
      <c r="S1159" s="56"/>
      <c r="T1159" s="56"/>
      <c r="U1159" s="56"/>
      <c r="V1159" s="56"/>
      <c r="W1159" s="56"/>
      <c r="X1159" s="56"/>
      <c r="Y1159" s="56"/>
      <c r="Z1159" s="56"/>
      <c r="AA1159" s="56"/>
      <c r="AB1159" s="56"/>
      <c r="AC1159" s="15"/>
    </row>
    <row r="1160" spans="3:29" ht="12.75">
      <c r="C1160" s="23"/>
      <c r="I1160" s="23"/>
      <c r="L1160" s="56"/>
      <c r="M1160" s="56"/>
      <c r="N1160" s="56"/>
      <c r="O1160" s="56"/>
      <c r="P1160" s="56"/>
      <c r="Q1160" s="56"/>
      <c r="R1160" s="56"/>
      <c r="S1160" s="56"/>
      <c r="T1160" s="56"/>
      <c r="U1160" s="56"/>
      <c r="V1160" s="56"/>
      <c r="W1160" s="56"/>
      <c r="X1160" s="56"/>
      <c r="Y1160" s="56"/>
      <c r="Z1160" s="56"/>
      <c r="AA1160" s="56"/>
      <c r="AB1160" s="56"/>
      <c r="AC1160" s="15"/>
    </row>
    <row r="1161" spans="3:29" ht="12.75">
      <c r="C1161" s="23"/>
      <c r="I1161" s="23"/>
      <c r="L1161" s="56"/>
      <c r="M1161" s="56"/>
      <c r="N1161" s="56"/>
      <c r="O1161" s="56"/>
      <c r="P1161" s="56"/>
      <c r="Q1161" s="56"/>
      <c r="R1161" s="56"/>
      <c r="S1161" s="56"/>
      <c r="T1161" s="56"/>
      <c r="U1161" s="56"/>
      <c r="V1161" s="56"/>
      <c r="W1161" s="56"/>
      <c r="X1161" s="56"/>
      <c r="Y1161" s="56"/>
      <c r="Z1161" s="56"/>
      <c r="AA1161" s="56"/>
      <c r="AB1161" s="56"/>
      <c r="AC1161" s="15"/>
    </row>
    <row r="1162" spans="3:29" ht="12.75">
      <c r="C1162" s="23"/>
      <c r="I1162" s="23"/>
      <c r="L1162" s="56"/>
      <c r="M1162" s="56"/>
      <c r="N1162" s="56"/>
      <c r="O1162" s="56"/>
      <c r="P1162" s="56"/>
      <c r="Q1162" s="56"/>
      <c r="R1162" s="56"/>
      <c r="S1162" s="56"/>
      <c r="T1162" s="56"/>
      <c r="U1162" s="56"/>
      <c r="V1162" s="56"/>
      <c r="W1162" s="56"/>
      <c r="X1162" s="56"/>
      <c r="Y1162" s="56"/>
      <c r="Z1162" s="56"/>
      <c r="AA1162" s="56"/>
      <c r="AB1162" s="56"/>
      <c r="AC1162" s="15"/>
    </row>
    <row r="1163" spans="3:29" ht="12.75">
      <c r="C1163" s="23"/>
      <c r="I1163" s="23"/>
      <c r="L1163" s="56"/>
      <c r="M1163" s="56"/>
      <c r="N1163" s="56"/>
      <c r="O1163" s="56"/>
      <c r="P1163" s="56"/>
      <c r="Q1163" s="56"/>
      <c r="R1163" s="56"/>
      <c r="S1163" s="56"/>
      <c r="T1163" s="56"/>
      <c r="U1163" s="56"/>
      <c r="V1163" s="56"/>
      <c r="W1163" s="56"/>
      <c r="X1163" s="56"/>
      <c r="Y1163" s="56"/>
      <c r="Z1163" s="56"/>
      <c r="AA1163" s="56"/>
      <c r="AB1163" s="56"/>
      <c r="AC1163" s="15"/>
    </row>
    <row r="1164" spans="3:29" ht="12.75">
      <c r="C1164" s="23"/>
      <c r="I1164" s="23"/>
      <c r="L1164" s="56"/>
      <c r="M1164" s="56"/>
      <c r="N1164" s="56"/>
      <c r="O1164" s="56"/>
      <c r="P1164" s="56"/>
      <c r="Q1164" s="56"/>
      <c r="R1164" s="56"/>
      <c r="S1164" s="56"/>
      <c r="T1164" s="56"/>
      <c r="U1164" s="56"/>
      <c r="V1164" s="56"/>
      <c r="W1164" s="56"/>
      <c r="X1164" s="56"/>
      <c r="Y1164" s="56"/>
      <c r="Z1164" s="56"/>
      <c r="AA1164" s="56"/>
      <c r="AB1164" s="56"/>
      <c r="AC1164" s="15"/>
    </row>
    <row r="1165" spans="3:29" ht="12.75">
      <c r="C1165" s="23"/>
      <c r="I1165" s="23"/>
      <c r="L1165" s="56"/>
      <c r="M1165" s="56"/>
      <c r="N1165" s="56"/>
      <c r="O1165" s="56"/>
      <c r="P1165" s="56"/>
      <c r="Q1165" s="56"/>
      <c r="R1165" s="56"/>
      <c r="S1165" s="56"/>
      <c r="T1165" s="56"/>
      <c r="U1165" s="56"/>
      <c r="V1165" s="56"/>
      <c r="W1165" s="56"/>
      <c r="X1165" s="56"/>
      <c r="Y1165" s="56"/>
      <c r="Z1165" s="56"/>
      <c r="AA1165" s="56"/>
      <c r="AB1165" s="56"/>
      <c r="AC1165" s="15"/>
    </row>
    <row r="1166" spans="3:29" ht="12.75">
      <c r="C1166" s="23"/>
      <c r="I1166" s="23"/>
      <c r="L1166" s="56"/>
      <c r="M1166" s="56"/>
      <c r="N1166" s="56"/>
      <c r="O1166" s="56"/>
      <c r="P1166" s="56"/>
      <c r="Q1166" s="56"/>
      <c r="R1166" s="56"/>
      <c r="S1166" s="56"/>
      <c r="T1166" s="56"/>
      <c r="U1166" s="56"/>
      <c r="V1166" s="56"/>
      <c r="W1166" s="56"/>
      <c r="X1166" s="56"/>
      <c r="Y1166" s="56"/>
      <c r="Z1166" s="56"/>
      <c r="AA1166" s="56"/>
      <c r="AB1166" s="56"/>
      <c r="AC1166" s="15"/>
    </row>
    <row r="1167" spans="3:29" ht="12.75">
      <c r="C1167" s="23"/>
      <c r="I1167" s="23"/>
      <c r="L1167" s="56"/>
      <c r="M1167" s="56"/>
      <c r="N1167" s="56"/>
      <c r="O1167" s="56"/>
      <c r="P1167" s="56"/>
      <c r="Q1167" s="56"/>
      <c r="R1167" s="56"/>
      <c r="S1167" s="56"/>
      <c r="T1167" s="56"/>
      <c r="U1167" s="56"/>
      <c r="V1167" s="56"/>
      <c r="W1167" s="56"/>
      <c r="X1167" s="56"/>
      <c r="Y1167" s="56"/>
      <c r="Z1167" s="56"/>
      <c r="AA1167" s="56"/>
      <c r="AB1167" s="56"/>
      <c r="AC1167" s="15"/>
    </row>
    <row r="1168" spans="3:29" ht="12.75">
      <c r="C1168" s="23"/>
      <c r="I1168" s="23"/>
      <c r="L1168" s="56"/>
      <c r="M1168" s="56"/>
      <c r="N1168" s="56"/>
      <c r="O1168" s="56"/>
      <c r="P1168" s="56"/>
      <c r="Q1168" s="56"/>
      <c r="R1168" s="56"/>
      <c r="S1168" s="56"/>
      <c r="T1168" s="56"/>
      <c r="U1168" s="56"/>
      <c r="V1168" s="56"/>
      <c r="W1168" s="56"/>
      <c r="X1168" s="56"/>
      <c r="Y1168" s="56"/>
      <c r="Z1168" s="56"/>
      <c r="AA1168" s="56"/>
      <c r="AB1168" s="56"/>
      <c r="AC1168" s="15"/>
    </row>
    <row r="1169" spans="3:29" ht="12.75">
      <c r="C1169" s="23"/>
      <c r="I1169" s="23"/>
      <c r="L1169" s="56"/>
      <c r="M1169" s="56"/>
      <c r="N1169" s="56"/>
      <c r="O1169" s="56"/>
      <c r="P1169" s="56"/>
      <c r="Q1169" s="56"/>
      <c r="R1169" s="56"/>
      <c r="S1169" s="56"/>
      <c r="T1169" s="56"/>
      <c r="U1169" s="56"/>
      <c r="V1169" s="56"/>
      <c r="W1169" s="56"/>
      <c r="X1169" s="56"/>
      <c r="Y1169" s="56"/>
      <c r="Z1169" s="56"/>
      <c r="AA1169" s="56"/>
      <c r="AB1169" s="56"/>
      <c r="AC1169" s="15"/>
    </row>
    <row r="1170" spans="3:29" ht="12.75">
      <c r="C1170" s="23"/>
      <c r="I1170" s="23"/>
      <c r="L1170" s="56"/>
      <c r="M1170" s="56"/>
      <c r="N1170" s="56"/>
      <c r="O1170" s="56"/>
      <c r="P1170" s="56"/>
      <c r="Q1170" s="56"/>
      <c r="R1170" s="56"/>
      <c r="S1170" s="56"/>
      <c r="T1170" s="56"/>
      <c r="U1170" s="56"/>
      <c r="V1170" s="56"/>
      <c r="W1170" s="56"/>
      <c r="X1170" s="56"/>
      <c r="Y1170" s="56"/>
      <c r="Z1170" s="56"/>
      <c r="AA1170" s="56"/>
      <c r="AB1170" s="56"/>
      <c r="AC1170" s="15"/>
    </row>
    <row r="1171" spans="3:29" ht="12.75">
      <c r="C1171" s="23"/>
      <c r="I1171" s="23"/>
      <c r="L1171" s="56"/>
      <c r="M1171" s="56"/>
      <c r="N1171" s="56"/>
      <c r="O1171" s="56"/>
      <c r="P1171" s="56"/>
      <c r="Q1171" s="56"/>
      <c r="R1171" s="56"/>
      <c r="S1171" s="56"/>
      <c r="T1171" s="56"/>
      <c r="U1171" s="56"/>
      <c r="V1171" s="56"/>
      <c r="W1171" s="56"/>
      <c r="X1171" s="56"/>
      <c r="Y1171" s="56"/>
      <c r="Z1171" s="56"/>
      <c r="AA1171" s="56"/>
      <c r="AB1171" s="56"/>
      <c r="AC1171" s="15"/>
    </row>
    <row r="1172" spans="3:29" ht="12.75">
      <c r="C1172" s="23"/>
      <c r="I1172" s="23"/>
      <c r="L1172" s="56"/>
      <c r="M1172" s="56"/>
      <c r="N1172" s="56"/>
      <c r="O1172" s="56"/>
      <c r="P1172" s="56"/>
      <c r="Q1172" s="56"/>
      <c r="R1172" s="56"/>
      <c r="S1172" s="56"/>
      <c r="T1172" s="56"/>
      <c r="U1172" s="56"/>
      <c r="V1172" s="56"/>
      <c r="W1172" s="56"/>
      <c r="X1172" s="56"/>
      <c r="Y1172" s="56"/>
      <c r="Z1172" s="56"/>
      <c r="AA1172" s="56"/>
      <c r="AB1172" s="56"/>
      <c r="AC1172" s="15"/>
    </row>
    <row r="1173" spans="3:29" ht="12.75">
      <c r="C1173" s="23"/>
      <c r="I1173" s="23"/>
      <c r="L1173" s="56"/>
      <c r="M1173" s="56"/>
      <c r="N1173" s="56"/>
      <c r="O1173" s="56"/>
      <c r="P1173" s="56"/>
      <c r="Q1173" s="56"/>
      <c r="R1173" s="56"/>
      <c r="S1173" s="56"/>
      <c r="T1173" s="56"/>
      <c r="U1173" s="56"/>
      <c r="V1173" s="56"/>
      <c r="W1173" s="56"/>
      <c r="X1173" s="56"/>
      <c r="Y1173" s="56"/>
      <c r="Z1173" s="56"/>
      <c r="AA1173" s="56"/>
      <c r="AB1173" s="56"/>
      <c r="AC1173" s="15"/>
    </row>
    <row r="1174" spans="3:29" ht="12.75">
      <c r="C1174" s="23"/>
      <c r="I1174" s="23"/>
      <c r="L1174" s="56"/>
      <c r="M1174" s="56"/>
      <c r="N1174" s="56"/>
      <c r="O1174" s="56"/>
      <c r="P1174" s="56"/>
      <c r="Q1174" s="56"/>
      <c r="R1174" s="56"/>
      <c r="S1174" s="56"/>
      <c r="T1174" s="56"/>
      <c r="U1174" s="56"/>
      <c r="V1174" s="56"/>
      <c r="W1174" s="56"/>
      <c r="X1174" s="56"/>
      <c r="Y1174" s="56"/>
      <c r="Z1174" s="56"/>
      <c r="AA1174" s="56"/>
      <c r="AB1174" s="56"/>
      <c r="AC1174" s="15"/>
    </row>
    <row r="1175" spans="3:29" ht="12.75">
      <c r="C1175" s="23"/>
      <c r="I1175" s="23"/>
      <c r="L1175" s="56"/>
      <c r="M1175" s="56"/>
      <c r="N1175" s="56"/>
      <c r="O1175" s="56"/>
      <c r="P1175" s="56"/>
      <c r="Q1175" s="56"/>
      <c r="R1175" s="56"/>
      <c r="S1175" s="56"/>
      <c r="T1175" s="56"/>
      <c r="U1175" s="56"/>
      <c r="V1175" s="56"/>
      <c r="W1175" s="56"/>
      <c r="X1175" s="56"/>
      <c r="Y1175" s="56"/>
      <c r="Z1175" s="56"/>
      <c r="AA1175" s="56"/>
      <c r="AB1175" s="56"/>
      <c r="AC1175" s="15"/>
    </row>
    <row r="1176" spans="3:29" ht="12.75">
      <c r="C1176" s="23"/>
      <c r="I1176" s="23"/>
      <c r="L1176" s="56"/>
      <c r="M1176" s="56"/>
      <c r="N1176" s="56"/>
      <c r="O1176" s="56"/>
      <c r="P1176" s="56"/>
      <c r="Q1176" s="56"/>
      <c r="R1176" s="56"/>
      <c r="S1176" s="56"/>
      <c r="T1176" s="56"/>
      <c r="U1176" s="56"/>
      <c r="V1176" s="56"/>
      <c r="W1176" s="56"/>
      <c r="X1176" s="56"/>
      <c r="Y1176" s="56"/>
      <c r="Z1176" s="56"/>
      <c r="AA1176" s="56"/>
      <c r="AB1176" s="56"/>
      <c r="AC1176" s="15"/>
    </row>
    <row r="1177" spans="3:29" ht="12.75">
      <c r="C1177" s="23"/>
      <c r="I1177" s="23"/>
      <c r="L1177" s="56"/>
      <c r="M1177" s="56"/>
      <c r="N1177" s="56"/>
      <c r="O1177" s="56"/>
      <c r="P1177" s="56"/>
      <c r="Q1177" s="56"/>
      <c r="R1177" s="56"/>
      <c r="S1177" s="56"/>
      <c r="T1177" s="56"/>
      <c r="U1177" s="56"/>
      <c r="V1177" s="56"/>
      <c r="W1177" s="56"/>
      <c r="X1177" s="56"/>
      <c r="Y1177" s="56"/>
      <c r="Z1177" s="56"/>
      <c r="AA1177" s="56"/>
      <c r="AB1177" s="56"/>
      <c r="AC1177" s="15"/>
    </row>
    <row r="1178" spans="3:29" ht="12.75">
      <c r="C1178" s="23"/>
      <c r="I1178" s="23"/>
      <c r="L1178" s="56"/>
      <c r="M1178" s="56"/>
      <c r="N1178" s="56"/>
      <c r="O1178" s="56"/>
      <c r="P1178" s="56"/>
      <c r="Q1178" s="56"/>
      <c r="R1178" s="56"/>
      <c r="S1178" s="56"/>
      <c r="T1178" s="56"/>
      <c r="U1178" s="56"/>
      <c r="V1178" s="56"/>
      <c r="W1178" s="56"/>
      <c r="X1178" s="56"/>
      <c r="Y1178" s="56"/>
      <c r="Z1178" s="56"/>
      <c r="AA1178" s="56"/>
      <c r="AB1178" s="56"/>
      <c r="AC1178" s="15"/>
    </row>
    <row r="1179" spans="3:29" ht="12.75">
      <c r="C1179" s="23"/>
      <c r="I1179" s="23"/>
      <c r="L1179" s="56"/>
      <c r="M1179" s="56"/>
      <c r="N1179" s="56"/>
      <c r="O1179" s="56"/>
      <c r="P1179" s="56"/>
      <c r="Q1179" s="56"/>
      <c r="R1179" s="56"/>
      <c r="S1179" s="56"/>
      <c r="T1179" s="56"/>
      <c r="U1179" s="56"/>
      <c r="V1179" s="56"/>
      <c r="W1179" s="56"/>
      <c r="X1179" s="56"/>
      <c r="Y1179" s="56"/>
      <c r="Z1179" s="56"/>
      <c r="AA1179" s="56"/>
      <c r="AB1179" s="56"/>
      <c r="AC1179" s="15"/>
    </row>
    <row r="1180" spans="3:29" ht="12.75">
      <c r="C1180" s="23"/>
      <c r="I1180" s="23"/>
      <c r="L1180" s="56"/>
      <c r="M1180" s="56"/>
      <c r="N1180" s="56"/>
      <c r="O1180" s="56"/>
      <c r="P1180" s="56"/>
      <c r="Q1180" s="56"/>
      <c r="R1180" s="56"/>
      <c r="S1180" s="56"/>
      <c r="T1180" s="56"/>
      <c r="U1180" s="56"/>
      <c r="V1180" s="56"/>
      <c r="W1180" s="56"/>
      <c r="X1180" s="56"/>
      <c r="Y1180" s="56"/>
      <c r="Z1180" s="56"/>
      <c r="AA1180" s="56"/>
      <c r="AB1180" s="56"/>
      <c r="AC1180" s="15"/>
    </row>
    <row r="1181" spans="3:29" ht="12.75">
      <c r="C1181" s="23"/>
      <c r="I1181" s="23"/>
      <c r="L1181" s="56"/>
      <c r="M1181" s="56"/>
      <c r="N1181" s="56"/>
      <c r="O1181" s="56"/>
      <c r="P1181" s="56"/>
      <c r="Q1181" s="56"/>
      <c r="R1181" s="56"/>
      <c r="S1181" s="56"/>
      <c r="T1181" s="56"/>
      <c r="U1181" s="56"/>
      <c r="V1181" s="56"/>
      <c r="W1181" s="56"/>
      <c r="X1181" s="56"/>
      <c r="Y1181" s="56"/>
      <c r="Z1181" s="56"/>
      <c r="AA1181" s="56"/>
      <c r="AB1181" s="56"/>
      <c r="AC1181" s="15"/>
    </row>
    <row r="1182" spans="3:29" ht="12.75">
      <c r="C1182" s="23"/>
      <c r="I1182" s="23"/>
      <c r="L1182" s="56"/>
      <c r="M1182" s="56"/>
      <c r="N1182" s="56"/>
      <c r="O1182" s="56"/>
      <c r="P1182" s="56"/>
      <c r="Q1182" s="56"/>
      <c r="R1182" s="56"/>
      <c r="S1182" s="56"/>
      <c r="T1182" s="56"/>
      <c r="U1182" s="56"/>
      <c r="V1182" s="56"/>
      <c r="W1182" s="56"/>
      <c r="X1182" s="56"/>
      <c r="Y1182" s="56"/>
      <c r="Z1182" s="56"/>
      <c r="AA1182" s="56"/>
      <c r="AB1182" s="56"/>
      <c r="AC1182" s="15"/>
    </row>
    <row r="1183" spans="3:29" ht="12.75">
      <c r="C1183" s="23"/>
      <c r="I1183" s="23"/>
      <c r="L1183" s="56"/>
      <c r="M1183" s="56"/>
      <c r="N1183" s="56"/>
      <c r="O1183" s="56"/>
      <c r="P1183" s="56"/>
      <c r="Q1183" s="56"/>
      <c r="R1183" s="56"/>
      <c r="S1183" s="56"/>
      <c r="T1183" s="56"/>
      <c r="U1183" s="56"/>
      <c r="V1183" s="56"/>
      <c r="W1183" s="56"/>
      <c r="X1183" s="56"/>
      <c r="Y1183" s="56"/>
      <c r="Z1183" s="56"/>
      <c r="AA1183" s="56"/>
      <c r="AB1183" s="56"/>
      <c r="AC1183" s="15"/>
    </row>
    <row r="1184" spans="3:29" ht="12.75">
      <c r="C1184" s="23"/>
      <c r="I1184" s="23"/>
      <c r="L1184" s="56"/>
      <c r="M1184" s="56"/>
      <c r="N1184" s="56"/>
      <c r="O1184" s="56"/>
      <c r="P1184" s="56"/>
      <c r="Q1184" s="56"/>
      <c r="R1184" s="56"/>
      <c r="S1184" s="56"/>
      <c r="T1184" s="56"/>
      <c r="U1184" s="56"/>
      <c r="V1184" s="56"/>
      <c r="W1184" s="56"/>
      <c r="X1184" s="56"/>
      <c r="Y1184" s="56"/>
      <c r="Z1184" s="56"/>
      <c r="AA1184" s="56"/>
      <c r="AB1184" s="56"/>
      <c r="AC1184" s="15"/>
    </row>
    <row r="1185" spans="3:29" ht="12.75">
      <c r="C1185" s="23"/>
      <c r="I1185" s="23"/>
      <c r="L1185" s="56"/>
      <c r="M1185" s="56"/>
      <c r="N1185" s="56"/>
      <c r="O1185" s="56"/>
      <c r="P1185" s="56"/>
      <c r="Q1185" s="56"/>
      <c r="R1185" s="56"/>
      <c r="S1185" s="56"/>
      <c r="T1185" s="56"/>
      <c r="U1185" s="56"/>
      <c r="V1185" s="56"/>
      <c r="W1185" s="56"/>
      <c r="X1185" s="56"/>
      <c r="Y1185" s="56"/>
      <c r="Z1185" s="56"/>
      <c r="AA1185" s="56"/>
      <c r="AB1185" s="56"/>
      <c r="AC1185" s="15"/>
    </row>
    <row r="1186" spans="3:29" ht="12.75">
      <c r="C1186" s="23"/>
      <c r="I1186" s="23"/>
      <c r="L1186" s="56"/>
      <c r="M1186" s="56"/>
      <c r="N1186" s="56"/>
      <c r="O1186" s="56"/>
      <c r="P1186" s="56"/>
      <c r="Q1186" s="56"/>
      <c r="R1186" s="56"/>
      <c r="S1186" s="56"/>
      <c r="T1186" s="56"/>
      <c r="U1186" s="56"/>
      <c r="V1186" s="56"/>
      <c r="W1186" s="56"/>
      <c r="X1186" s="56"/>
      <c r="Y1186" s="56"/>
      <c r="Z1186" s="56"/>
      <c r="AA1186" s="56"/>
      <c r="AB1186" s="56"/>
      <c r="AC1186" s="15"/>
    </row>
    <row r="1187" spans="3:29" ht="12.75">
      <c r="C1187" s="23"/>
      <c r="I1187" s="23"/>
      <c r="L1187" s="56"/>
      <c r="M1187" s="56"/>
      <c r="N1187" s="56"/>
      <c r="O1187" s="56"/>
      <c r="P1187" s="56"/>
      <c r="Q1187" s="56"/>
      <c r="R1187" s="56"/>
      <c r="S1187" s="56"/>
      <c r="T1187" s="56"/>
      <c r="U1187" s="56"/>
      <c r="V1187" s="56"/>
      <c r="W1187" s="56"/>
      <c r="X1187" s="56"/>
      <c r="Y1187" s="56"/>
      <c r="Z1187" s="56"/>
      <c r="AA1187" s="56"/>
      <c r="AB1187" s="56"/>
      <c r="AC1187" s="15"/>
    </row>
    <row r="1188" spans="3:29" ht="12.75">
      <c r="C1188" s="23"/>
      <c r="I1188" s="23"/>
      <c r="L1188" s="56"/>
      <c r="M1188" s="56"/>
      <c r="N1188" s="56"/>
      <c r="O1188" s="56"/>
      <c r="P1188" s="56"/>
      <c r="Q1188" s="56"/>
      <c r="R1188" s="56"/>
      <c r="S1188" s="56"/>
      <c r="T1188" s="56"/>
      <c r="U1188" s="56"/>
      <c r="V1188" s="56"/>
      <c r="W1188" s="56"/>
      <c r="X1188" s="56"/>
      <c r="Y1188" s="56"/>
      <c r="Z1188" s="56"/>
      <c r="AA1188" s="56"/>
      <c r="AB1188" s="56"/>
      <c r="AC1188" s="15"/>
    </row>
    <row r="1189" spans="3:29" ht="12.75">
      <c r="C1189" s="23"/>
      <c r="I1189" s="23"/>
      <c r="L1189" s="56"/>
      <c r="M1189" s="56"/>
      <c r="N1189" s="56"/>
      <c r="O1189" s="56"/>
      <c r="P1189" s="56"/>
      <c r="Q1189" s="56"/>
      <c r="R1189" s="56"/>
      <c r="S1189" s="56"/>
      <c r="T1189" s="56"/>
      <c r="U1189" s="56"/>
      <c r="V1189" s="56"/>
      <c r="W1189" s="56"/>
      <c r="X1189" s="56"/>
      <c r="Y1189" s="56"/>
      <c r="Z1189" s="56"/>
      <c r="AA1189" s="56"/>
      <c r="AB1189" s="56"/>
      <c r="AC1189" s="15"/>
    </row>
    <row r="1190" spans="3:29" ht="12.75">
      <c r="C1190" s="23"/>
      <c r="I1190" s="23"/>
      <c r="L1190" s="56"/>
      <c r="M1190" s="56"/>
      <c r="N1190" s="56"/>
      <c r="O1190" s="56"/>
      <c r="P1190" s="56"/>
      <c r="Q1190" s="56"/>
      <c r="R1190" s="56"/>
      <c r="S1190" s="56"/>
      <c r="T1190" s="56"/>
      <c r="U1190" s="56"/>
      <c r="V1190" s="56"/>
      <c r="W1190" s="56"/>
      <c r="X1190" s="56"/>
      <c r="Y1190" s="56"/>
      <c r="Z1190" s="56"/>
      <c r="AA1190" s="56"/>
      <c r="AB1190" s="56"/>
      <c r="AC1190" s="15"/>
    </row>
    <row r="1191" spans="3:29" ht="12.75">
      <c r="C1191" s="23"/>
      <c r="I1191" s="23"/>
      <c r="L1191" s="56"/>
      <c r="M1191" s="56"/>
      <c r="N1191" s="56"/>
      <c r="O1191" s="56"/>
      <c r="P1191" s="56"/>
      <c r="Q1191" s="56"/>
      <c r="R1191" s="56"/>
      <c r="S1191" s="56"/>
      <c r="T1191" s="56"/>
      <c r="U1191" s="56"/>
      <c r="V1191" s="56"/>
      <c r="W1191" s="56"/>
      <c r="X1191" s="56"/>
      <c r="Y1191" s="56"/>
      <c r="Z1191" s="56"/>
      <c r="AA1191" s="56"/>
      <c r="AB1191" s="56"/>
      <c r="AC1191" s="15"/>
    </row>
    <row r="1192" spans="3:29" ht="12.75">
      <c r="C1192" s="23"/>
      <c r="I1192" s="23"/>
      <c r="L1192" s="56"/>
      <c r="M1192" s="56"/>
      <c r="N1192" s="56"/>
      <c r="O1192" s="56"/>
      <c r="P1192" s="56"/>
      <c r="Q1192" s="56"/>
      <c r="R1192" s="56"/>
      <c r="S1192" s="56"/>
      <c r="T1192" s="56"/>
      <c r="U1192" s="56"/>
      <c r="V1192" s="56"/>
      <c r="W1192" s="56"/>
      <c r="X1192" s="56"/>
      <c r="Y1192" s="56"/>
      <c r="Z1192" s="56"/>
      <c r="AA1192" s="56"/>
      <c r="AB1192" s="56"/>
      <c r="AC1192" s="15"/>
    </row>
    <row r="1193" spans="3:29" ht="12.75">
      <c r="C1193" s="23"/>
      <c r="I1193" s="23"/>
      <c r="L1193" s="56"/>
      <c r="M1193" s="56"/>
      <c r="N1193" s="56"/>
      <c r="O1193" s="56"/>
      <c r="P1193" s="56"/>
      <c r="Q1193" s="56"/>
      <c r="R1193" s="56"/>
      <c r="S1193" s="56"/>
      <c r="T1193" s="56"/>
      <c r="U1193" s="56"/>
      <c r="V1193" s="56"/>
      <c r="W1193" s="56"/>
      <c r="X1193" s="56"/>
      <c r="Y1193" s="56"/>
      <c r="Z1193" s="56"/>
      <c r="AA1193" s="56"/>
      <c r="AB1193" s="56"/>
      <c r="AC1193" s="15"/>
    </row>
    <row r="1194" spans="3:29" ht="12.75">
      <c r="C1194" s="23"/>
      <c r="I1194" s="23"/>
      <c r="L1194" s="56"/>
      <c r="M1194" s="56"/>
      <c r="N1194" s="56"/>
      <c r="O1194" s="56"/>
      <c r="P1194" s="56"/>
      <c r="Q1194" s="56"/>
      <c r="R1194" s="56"/>
      <c r="S1194" s="56"/>
      <c r="T1194" s="56"/>
      <c r="U1194" s="56"/>
      <c r="V1194" s="56"/>
      <c r="W1194" s="56"/>
      <c r="X1194" s="56"/>
      <c r="Y1194" s="56"/>
      <c r="Z1194" s="56"/>
      <c r="AA1194" s="56"/>
      <c r="AB1194" s="56"/>
      <c r="AC1194" s="15"/>
    </row>
    <row r="1195" spans="3:29" ht="12.75">
      <c r="C1195" s="23"/>
      <c r="I1195" s="23"/>
      <c r="L1195" s="56"/>
      <c r="M1195" s="56"/>
      <c r="N1195" s="56"/>
      <c r="O1195" s="56"/>
      <c r="P1195" s="56"/>
      <c r="Q1195" s="56"/>
      <c r="R1195" s="56"/>
      <c r="S1195" s="56"/>
      <c r="T1195" s="56"/>
      <c r="U1195" s="56"/>
      <c r="V1195" s="56"/>
      <c r="W1195" s="56"/>
      <c r="X1195" s="56"/>
      <c r="Y1195" s="56"/>
      <c r="Z1195" s="56"/>
      <c r="AA1195" s="56"/>
      <c r="AB1195" s="56"/>
      <c r="AC1195" s="15"/>
    </row>
    <row r="1196" spans="3:29" ht="12.75">
      <c r="C1196" s="23"/>
      <c r="I1196" s="23"/>
      <c r="L1196" s="56"/>
      <c r="M1196" s="56"/>
      <c r="N1196" s="56"/>
      <c r="O1196" s="56"/>
      <c r="P1196" s="56"/>
      <c r="Q1196" s="56"/>
      <c r="R1196" s="56"/>
      <c r="S1196" s="56"/>
      <c r="T1196" s="56"/>
      <c r="U1196" s="56"/>
      <c r="V1196" s="56"/>
      <c r="W1196" s="56"/>
      <c r="X1196" s="56"/>
      <c r="Y1196" s="56"/>
      <c r="Z1196" s="56"/>
      <c r="AA1196" s="56"/>
      <c r="AB1196" s="56"/>
      <c r="AC1196" s="15"/>
    </row>
    <row r="1197" spans="3:29" ht="12.75">
      <c r="C1197" s="23"/>
      <c r="I1197" s="23"/>
      <c r="L1197" s="56"/>
      <c r="M1197" s="56"/>
      <c r="N1197" s="56"/>
      <c r="O1197" s="56"/>
      <c r="P1197" s="56"/>
      <c r="Q1197" s="56"/>
      <c r="R1197" s="56"/>
      <c r="S1197" s="56"/>
      <c r="T1197" s="56"/>
      <c r="U1197" s="56"/>
      <c r="V1197" s="56"/>
      <c r="W1197" s="56"/>
      <c r="X1197" s="56"/>
      <c r="Y1197" s="56"/>
      <c r="Z1197" s="56"/>
      <c r="AA1197" s="56"/>
      <c r="AB1197" s="56"/>
      <c r="AC1197" s="15"/>
    </row>
    <row r="1198" spans="3:29" ht="12.75">
      <c r="C1198" s="23"/>
      <c r="I1198" s="23"/>
      <c r="L1198" s="56"/>
      <c r="M1198" s="56"/>
      <c r="N1198" s="56"/>
      <c r="O1198" s="56"/>
      <c r="P1198" s="56"/>
      <c r="Q1198" s="56"/>
      <c r="R1198" s="56"/>
      <c r="S1198" s="56"/>
      <c r="T1198" s="56"/>
      <c r="U1198" s="56"/>
      <c r="V1198" s="56"/>
      <c r="W1198" s="56"/>
      <c r="X1198" s="56"/>
      <c r="Y1198" s="56"/>
      <c r="Z1198" s="56"/>
      <c r="AA1198" s="56"/>
      <c r="AB1198" s="56"/>
      <c r="AC1198" s="15"/>
    </row>
    <row r="1199" spans="3:29" ht="12.75">
      <c r="C1199" s="23"/>
      <c r="I1199" s="23"/>
      <c r="L1199" s="56"/>
      <c r="M1199" s="56"/>
      <c r="N1199" s="56"/>
      <c r="O1199" s="56"/>
      <c r="P1199" s="56"/>
      <c r="Q1199" s="56"/>
      <c r="R1199" s="56"/>
      <c r="S1199" s="56"/>
      <c r="T1199" s="56"/>
      <c r="U1199" s="56"/>
      <c r="V1199" s="56"/>
      <c r="W1199" s="56"/>
      <c r="X1199" s="56"/>
      <c r="Y1199" s="56"/>
      <c r="Z1199" s="56"/>
      <c r="AA1199" s="56"/>
      <c r="AB1199" s="56"/>
      <c r="AC1199" s="15"/>
    </row>
    <row r="1200" spans="3:29" ht="12.75">
      <c r="C1200" s="23"/>
      <c r="I1200" s="23"/>
      <c r="L1200" s="56"/>
      <c r="M1200" s="56"/>
      <c r="N1200" s="56"/>
      <c r="O1200" s="56"/>
      <c r="P1200" s="56"/>
      <c r="Q1200" s="56"/>
      <c r="R1200" s="56"/>
      <c r="S1200" s="56"/>
      <c r="T1200" s="56"/>
      <c r="U1200" s="56"/>
      <c r="V1200" s="56"/>
      <c r="W1200" s="56"/>
      <c r="X1200" s="56"/>
      <c r="Y1200" s="56"/>
      <c r="Z1200" s="56"/>
      <c r="AA1200" s="56"/>
      <c r="AB1200" s="56"/>
      <c r="AC1200" s="15"/>
    </row>
    <row r="1201" spans="3:29" ht="12.75">
      <c r="C1201" s="23"/>
      <c r="I1201" s="23"/>
      <c r="L1201" s="56"/>
      <c r="M1201" s="56"/>
      <c r="N1201" s="56"/>
      <c r="O1201" s="56"/>
      <c r="P1201" s="56"/>
      <c r="Q1201" s="56"/>
      <c r="R1201" s="56"/>
      <c r="S1201" s="56"/>
      <c r="T1201" s="56"/>
      <c r="U1201" s="56"/>
      <c r="V1201" s="56"/>
      <c r="W1201" s="56"/>
      <c r="X1201" s="56"/>
      <c r="Y1201" s="56"/>
      <c r="Z1201" s="56"/>
      <c r="AA1201" s="56"/>
      <c r="AB1201" s="56"/>
      <c r="AC1201" s="15"/>
    </row>
    <row r="1202" spans="3:29" ht="12.75">
      <c r="C1202" s="23"/>
      <c r="I1202" s="23"/>
      <c r="L1202" s="56"/>
      <c r="M1202" s="56"/>
      <c r="N1202" s="56"/>
      <c r="O1202" s="56"/>
      <c r="P1202" s="56"/>
      <c r="Q1202" s="56"/>
      <c r="R1202" s="56"/>
      <c r="S1202" s="56"/>
      <c r="T1202" s="56"/>
      <c r="U1202" s="56"/>
      <c r="V1202" s="56"/>
      <c r="W1202" s="56"/>
      <c r="X1202" s="56"/>
      <c r="Y1202" s="56"/>
      <c r="Z1202" s="56"/>
      <c r="AA1202" s="56"/>
      <c r="AB1202" s="56"/>
      <c r="AC1202" s="15"/>
    </row>
    <row r="1203" spans="3:29" ht="12.75">
      <c r="C1203" s="23"/>
      <c r="I1203" s="23"/>
      <c r="L1203" s="56"/>
      <c r="M1203" s="56"/>
      <c r="N1203" s="56"/>
      <c r="O1203" s="56"/>
      <c r="P1203" s="56"/>
      <c r="Q1203" s="56"/>
      <c r="R1203" s="56"/>
      <c r="S1203" s="56"/>
      <c r="T1203" s="56"/>
      <c r="U1203" s="56"/>
      <c r="V1203" s="56"/>
      <c r="W1203" s="56"/>
      <c r="X1203" s="56"/>
      <c r="Y1203" s="56"/>
      <c r="Z1203" s="56"/>
      <c r="AA1203" s="56"/>
      <c r="AB1203" s="56"/>
      <c r="AC1203" s="15"/>
    </row>
    <row r="1204" spans="3:29" ht="12.75">
      <c r="C1204" s="23"/>
      <c r="I1204" s="23"/>
      <c r="L1204" s="56"/>
      <c r="M1204" s="56"/>
      <c r="N1204" s="56"/>
      <c r="O1204" s="56"/>
      <c r="P1204" s="56"/>
      <c r="Q1204" s="56"/>
      <c r="R1204" s="56"/>
      <c r="S1204" s="56"/>
      <c r="T1204" s="56"/>
      <c r="U1204" s="56"/>
      <c r="V1204" s="56"/>
      <c r="W1204" s="56"/>
      <c r="X1204" s="56"/>
      <c r="Y1204" s="56"/>
      <c r="Z1204" s="56"/>
      <c r="AA1204" s="56"/>
      <c r="AB1204" s="56"/>
      <c r="AC1204" s="15"/>
    </row>
    <row r="1205" spans="3:29" ht="12.75">
      <c r="C1205" s="23"/>
      <c r="I1205" s="23"/>
      <c r="L1205" s="56"/>
      <c r="M1205" s="56"/>
      <c r="N1205" s="56"/>
      <c r="O1205" s="56"/>
      <c r="P1205" s="56"/>
      <c r="Q1205" s="56"/>
      <c r="R1205" s="56"/>
      <c r="S1205" s="56"/>
      <c r="T1205" s="56"/>
      <c r="U1205" s="56"/>
      <c r="V1205" s="56"/>
      <c r="W1205" s="56"/>
      <c r="X1205" s="56"/>
      <c r="Y1205" s="56"/>
      <c r="Z1205" s="56"/>
      <c r="AA1205" s="56"/>
      <c r="AB1205" s="56"/>
      <c r="AC1205" s="15"/>
    </row>
    <row r="1206" spans="3:29" ht="12.75">
      <c r="C1206" s="23"/>
      <c r="I1206" s="23"/>
      <c r="L1206" s="56"/>
      <c r="M1206" s="56"/>
      <c r="N1206" s="56"/>
      <c r="O1206" s="56"/>
      <c r="P1206" s="56"/>
      <c r="Q1206" s="56"/>
      <c r="R1206" s="56"/>
      <c r="S1206" s="56"/>
      <c r="T1206" s="56"/>
      <c r="U1206" s="56"/>
      <c r="V1206" s="56"/>
      <c r="W1206" s="56"/>
      <c r="X1206" s="56"/>
      <c r="Y1206" s="56"/>
      <c r="Z1206" s="56"/>
      <c r="AA1206" s="56"/>
      <c r="AB1206" s="56"/>
      <c r="AC1206" s="15"/>
    </row>
    <row r="1207" spans="3:29" ht="12.75">
      <c r="C1207" s="23"/>
      <c r="I1207" s="23"/>
      <c r="L1207" s="56"/>
      <c r="M1207" s="56"/>
      <c r="N1207" s="56"/>
      <c r="O1207" s="56"/>
      <c r="P1207" s="56"/>
      <c r="Q1207" s="56"/>
      <c r="R1207" s="56"/>
      <c r="S1207" s="56"/>
      <c r="T1207" s="56"/>
      <c r="U1207" s="56"/>
      <c r="V1207" s="56"/>
      <c r="W1207" s="56"/>
      <c r="X1207" s="56"/>
      <c r="Y1207" s="56"/>
      <c r="Z1207" s="56"/>
      <c r="AA1207" s="56"/>
      <c r="AB1207" s="56"/>
      <c r="AC1207" s="15"/>
    </row>
    <row r="1208" spans="3:29" ht="12.75">
      <c r="C1208" s="23"/>
      <c r="I1208" s="23"/>
      <c r="L1208" s="56"/>
      <c r="M1208" s="56"/>
      <c r="N1208" s="56"/>
      <c r="O1208" s="56"/>
      <c r="P1208" s="56"/>
      <c r="Q1208" s="56"/>
      <c r="R1208" s="56"/>
      <c r="S1208" s="56"/>
      <c r="T1208" s="56"/>
      <c r="U1208" s="56"/>
      <c r="V1208" s="56"/>
      <c r="W1208" s="56"/>
      <c r="X1208" s="56"/>
      <c r="Y1208" s="56"/>
      <c r="Z1208" s="56"/>
      <c r="AA1208" s="56"/>
      <c r="AB1208" s="56"/>
      <c r="AC1208" s="15"/>
    </row>
    <row r="1209" spans="3:29" ht="12.75">
      <c r="C1209" s="23"/>
      <c r="I1209" s="23"/>
      <c r="L1209" s="56"/>
      <c r="M1209" s="56"/>
      <c r="N1209" s="56"/>
      <c r="O1209" s="56"/>
      <c r="P1209" s="56"/>
      <c r="Q1209" s="56"/>
      <c r="R1209" s="56"/>
      <c r="S1209" s="56"/>
      <c r="T1209" s="56"/>
      <c r="U1209" s="56"/>
      <c r="V1209" s="56"/>
      <c r="W1209" s="56"/>
      <c r="X1209" s="56"/>
      <c r="Y1209" s="56"/>
      <c r="Z1209" s="56"/>
      <c r="AA1209" s="56"/>
      <c r="AB1209" s="56"/>
      <c r="AC1209" s="15"/>
    </row>
    <row r="1210" spans="3:29" ht="12.75">
      <c r="C1210" s="23"/>
      <c r="I1210" s="23"/>
      <c r="L1210" s="56"/>
      <c r="M1210" s="56"/>
      <c r="N1210" s="56"/>
      <c r="O1210" s="56"/>
      <c r="P1210" s="56"/>
      <c r="Q1210" s="56"/>
      <c r="R1210" s="56"/>
      <c r="S1210" s="56"/>
      <c r="T1210" s="56"/>
      <c r="U1210" s="56"/>
      <c r="V1210" s="56"/>
      <c r="W1210" s="56"/>
      <c r="X1210" s="56"/>
      <c r="Y1210" s="56"/>
      <c r="Z1210" s="56"/>
      <c r="AA1210" s="56"/>
      <c r="AB1210" s="56"/>
      <c r="AC1210" s="15"/>
    </row>
    <row r="1211" spans="3:29" ht="12.75">
      <c r="C1211" s="23"/>
      <c r="I1211" s="23"/>
      <c r="L1211" s="56"/>
      <c r="M1211" s="56"/>
      <c r="N1211" s="56"/>
      <c r="O1211" s="56"/>
      <c r="P1211" s="56"/>
      <c r="Q1211" s="56"/>
      <c r="R1211" s="56"/>
      <c r="S1211" s="56"/>
      <c r="T1211" s="56"/>
      <c r="U1211" s="56"/>
      <c r="V1211" s="56"/>
      <c r="W1211" s="56"/>
      <c r="X1211" s="56"/>
      <c r="Y1211" s="56"/>
      <c r="Z1211" s="56"/>
      <c r="AA1211" s="56"/>
      <c r="AB1211" s="56"/>
      <c r="AC1211" s="15"/>
    </row>
    <row r="1212" spans="3:29" ht="12.75">
      <c r="C1212" s="23"/>
      <c r="I1212" s="23"/>
      <c r="L1212" s="56"/>
      <c r="M1212" s="56"/>
      <c r="N1212" s="56"/>
      <c r="O1212" s="56"/>
      <c r="P1212" s="56"/>
      <c r="Q1212" s="56"/>
      <c r="R1212" s="56"/>
      <c r="S1212" s="56"/>
      <c r="T1212" s="56"/>
      <c r="U1212" s="56"/>
      <c r="V1212" s="56"/>
      <c r="W1212" s="56"/>
      <c r="X1212" s="56"/>
      <c r="Y1212" s="56"/>
      <c r="Z1212" s="56"/>
      <c r="AA1212" s="56"/>
      <c r="AB1212" s="56"/>
      <c r="AC1212" s="15"/>
    </row>
    <row r="1213" spans="3:29" ht="12.75">
      <c r="C1213" s="23"/>
      <c r="I1213" s="23"/>
      <c r="L1213" s="56"/>
      <c r="M1213" s="56"/>
      <c r="N1213" s="56"/>
      <c r="O1213" s="56"/>
      <c r="P1213" s="56"/>
      <c r="Q1213" s="56"/>
      <c r="R1213" s="56"/>
      <c r="S1213" s="56"/>
      <c r="T1213" s="56"/>
      <c r="U1213" s="56"/>
      <c r="V1213" s="56"/>
      <c r="W1213" s="56"/>
      <c r="X1213" s="56"/>
      <c r="Y1213" s="56"/>
      <c r="Z1213" s="56"/>
      <c r="AA1213" s="56"/>
      <c r="AB1213" s="56"/>
      <c r="AC1213" s="15"/>
    </row>
    <row r="1214" spans="3:29" ht="12.75">
      <c r="C1214" s="23"/>
      <c r="I1214" s="23"/>
      <c r="L1214" s="56"/>
      <c r="M1214" s="56"/>
      <c r="N1214" s="56"/>
      <c r="O1214" s="56"/>
      <c r="P1214" s="56"/>
      <c r="Q1214" s="56"/>
      <c r="R1214" s="56"/>
      <c r="S1214" s="56"/>
      <c r="T1214" s="56"/>
      <c r="U1214" s="56"/>
      <c r="V1214" s="56"/>
      <c r="W1214" s="56"/>
      <c r="X1214" s="56"/>
      <c r="Y1214" s="56"/>
      <c r="Z1214" s="56"/>
      <c r="AA1214" s="56"/>
      <c r="AB1214" s="56"/>
      <c r="AC1214" s="15"/>
    </row>
    <row r="1215" spans="3:29" ht="12.75">
      <c r="C1215" s="23"/>
      <c r="I1215" s="23"/>
      <c r="L1215" s="56"/>
      <c r="M1215" s="56"/>
      <c r="N1215" s="56"/>
      <c r="O1215" s="56"/>
      <c r="P1215" s="56"/>
      <c r="Q1215" s="56"/>
      <c r="R1215" s="56"/>
      <c r="S1215" s="56"/>
      <c r="T1215" s="56"/>
      <c r="U1215" s="56"/>
      <c r="V1215" s="56"/>
      <c r="W1215" s="56"/>
      <c r="X1215" s="56"/>
      <c r="Y1215" s="56"/>
      <c r="Z1215" s="56"/>
      <c r="AA1215" s="56"/>
      <c r="AB1215" s="56"/>
      <c r="AC1215" s="15"/>
    </row>
    <row r="1216" spans="3:29" ht="12.75">
      <c r="C1216" s="23"/>
      <c r="I1216" s="23"/>
      <c r="L1216" s="56"/>
      <c r="M1216" s="56"/>
      <c r="N1216" s="56"/>
      <c r="O1216" s="56"/>
      <c r="P1216" s="56"/>
      <c r="Q1216" s="56"/>
      <c r="R1216" s="56"/>
      <c r="S1216" s="56"/>
      <c r="T1216" s="56"/>
      <c r="U1216" s="56"/>
      <c r="V1216" s="56"/>
      <c r="W1216" s="56"/>
      <c r="X1216" s="56"/>
      <c r="Y1216" s="56"/>
      <c r="Z1216" s="56"/>
      <c r="AA1216" s="56"/>
      <c r="AB1216" s="56"/>
      <c r="AC1216" s="15"/>
    </row>
    <row r="1217" spans="3:29" ht="12.75">
      <c r="C1217" s="23"/>
      <c r="I1217" s="23"/>
      <c r="L1217" s="56"/>
      <c r="M1217" s="56"/>
      <c r="N1217" s="56"/>
      <c r="O1217" s="56"/>
      <c r="P1217" s="56"/>
      <c r="Q1217" s="56"/>
      <c r="R1217" s="56"/>
      <c r="S1217" s="56"/>
      <c r="T1217" s="56"/>
      <c r="U1217" s="56"/>
      <c r="V1217" s="56"/>
      <c r="W1217" s="56"/>
      <c r="X1217" s="56"/>
      <c r="Y1217" s="56"/>
      <c r="Z1217" s="56"/>
      <c r="AA1217" s="56"/>
      <c r="AB1217" s="56"/>
      <c r="AC1217" s="15"/>
    </row>
    <row r="1218" spans="3:29" ht="12.75">
      <c r="C1218" s="23"/>
      <c r="I1218" s="23"/>
      <c r="L1218" s="56"/>
      <c r="M1218" s="56"/>
      <c r="N1218" s="56"/>
      <c r="O1218" s="56"/>
      <c r="P1218" s="56"/>
      <c r="Q1218" s="56"/>
      <c r="R1218" s="56"/>
      <c r="S1218" s="56"/>
      <c r="T1218" s="56"/>
      <c r="U1218" s="56"/>
      <c r="V1218" s="56"/>
      <c r="W1218" s="56"/>
      <c r="X1218" s="56"/>
      <c r="Y1218" s="56"/>
      <c r="Z1218" s="56"/>
      <c r="AA1218" s="56"/>
      <c r="AB1218" s="56"/>
      <c r="AC1218" s="15"/>
    </row>
    <row r="1219" spans="3:29" ht="12.75">
      <c r="C1219" s="23"/>
      <c r="I1219" s="23"/>
      <c r="L1219" s="56"/>
      <c r="M1219" s="56"/>
      <c r="N1219" s="56"/>
      <c r="O1219" s="56"/>
      <c r="P1219" s="56"/>
      <c r="Q1219" s="56"/>
      <c r="R1219" s="56"/>
      <c r="S1219" s="56"/>
      <c r="T1219" s="56"/>
      <c r="U1219" s="56"/>
      <c r="V1219" s="56"/>
      <c r="W1219" s="56"/>
      <c r="X1219" s="56"/>
      <c r="Y1219" s="56"/>
      <c r="Z1219" s="56"/>
      <c r="AA1219" s="56"/>
      <c r="AB1219" s="56"/>
      <c r="AC1219" s="15"/>
    </row>
    <row r="1220" spans="3:29" ht="12.75">
      <c r="C1220" s="23"/>
      <c r="I1220" s="23"/>
      <c r="L1220" s="56"/>
      <c r="M1220" s="56"/>
      <c r="N1220" s="56"/>
      <c r="O1220" s="56"/>
      <c r="P1220" s="56"/>
      <c r="Q1220" s="56"/>
      <c r="R1220" s="56"/>
      <c r="S1220" s="56"/>
      <c r="T1220" s="56"/>
      <c r="U1220" s="56"/>
      <c r="V1220" s="56"/>
      <c r="W1220" s="56"/>
      <c r="X1220" s="56"/>
      <c r="Y1220" s="56"/>
      <c r="Z1220" s="56"/>
      <c r="AA1220" s="56"/>
      <c r="AB1220" s="56"/>
      <c r="AC1220" s="15"/>
    </row>
    <row r="1221" spans="3:29" ht="12.75">
      <c r="C1221" s="23"/>
      <c r="I1221" s="23"/>
      <c r="L1221" s="56"/>
      <c r="M1221" s="56"/>
      <c r="N1221" s="56"/>
      <c r="O1221" s="56"/>
      <c r="P1221" s="56"/>
      <c r="Q1221" s="56"/>
      <c r="R1221" s="56"/>
      <c r="S1221" s="56"/>
      <c r="T1221" s="56"/>
      <c r="U1221" s="56"/>
      <c r="V1221" s="56"/>
      <c r="W1221" s="56"/>
      <c r="X1221" s="56"/>
      <c r="Y1221" s="56"/>
      <c r="Z1221" s="56"/>
      <c r="AA1221" s="56"/>
      <c r="AB1221" s="56"/>
      <c r="AC1221" s="15"/>
    </row>
    <row r="1222" spans="3:29" ht="12.75">
      <c r="C1222" s="23"/>
      <c r="I1222" s="23"/>
      <c r="L1222" s="56"/>
      <c r="M1222" s="56"/>
      <c r="N1222" s="56"/>
      <c r="O1222" s="56"/>
      <c r="P1222" s="56"/>
      <c r="Q1222" s="56"/>
      <c r="R1222" s="56"/>
      <c r="S1222" s="56"/>
      <c r="T1222" s="56"/>
      <c r="U1222" s="56"/>
      <c r="V1222" s="56"/>
      <c r="W1222" s="56"/>
      <c r="X1222" s="56"/>
      <c r="Y1222" s="56"/>
      <c r="Z1222" s="56"/>
      <c r="AA1222" s="56"/>
      <c r="AB1222" s="56"/>
      <c r="AC1222" s="15"/>
    </row>
    <row r="1223" spans="3:29" ht="12.75">
      <c r="C1223" s="23"/>
      <c r="I1223" s="23"/>
      <c r="L1223" s="56"/>
      <c r="M1223" s="56"/>
      <c r="N1223" s="56"/>
      <c r="O1223" s="56"/>
      <c r="P1223" s="56"/>
      <c r="Q1223" s="56"/>
      <c r="R1223" s="56"/>
      <c r="S1223" s="56"/>
      <c r="T1223" s="56"/>
      <c r="U1223" s="56"/>
      <c r="V1223" s="56"/>
      <c r="W1223" s="56"/>
      <c r="X1223" s="56"/>
      <c r="Y1223" s="56"/>
      <c r="Z1223" s="56"/>
      <c r="AA1223" s="56"/>
      <c r="AB1223" s="56"/>
      <c r="AC1223" s="15"/>
    </row>
    <row r="1224" spans="3:29" ht="12.75">
      <c r="C1224" s="23"/>
      <c r="I1224" s="23"/>
      <c r="L1224" s="56"/>
      <c r="M1224" s="56"/>
      <c r="N1224" s="56"/>
      <c r="O1224" s="56"/>
      <c r="P1224" s="56"/>
      <c r="Q1224" s="56"/>
      <c r="R1224" s="56"/>
      <c r="S1224" s="56"/>
      <c r="T1224" s="56"/>
      <c r="U1224" s="56"/>
      <c r="V1224" s="56"/>
      <c r="W1224" s="56"/>
      <c r="X1224" s="56"/>
      <c r="Y1224" s="56"/>
      <c r="Z1224" s="56"/>
      <c r="AA1224" s="56"/>
      <c r="AB1224" s="56"/>
      <c r="AC1224" s="15"/>
    </row>
    <row r="1225" spans="3:29" ht="12.75">
      <c r="C1225" s="23"/>
      <c r="I1225" s="23"/>
      <c r="L1225" s="56"/>
      <c r="M1225" s="56"/>
      <c r="N1225" s="56"/>
      <c r="O1225" s="56"/>
      <c r="P1225" s="56"/>
      <c r="Q1225" s="56"/>
      <c r="R1225" s="56"/>
      <c r="S1225" s="56"/>
      <c r="T1225" s="56"/>
      <c r="U1225" s="56"/>
      <c r="V1225" s="56"/>
      <c r="W1225" s="56"/>
      <c r="X1225" s="56"/>
      <c r="Y1225" s="56"/>
      <c r="Z1225" s="56"/>
      <c r="AA1225" s="56"/>
      <c r="AB1225" s="56"/>
      <c r="AC1225" s="15"/>
    </row>
    <row r="1226" spans="3:29" ht="12.75">
      <c r="C1226" s="23"/>
      <c r="I1226" s="23"/>
      <c r="L1226" s="56"/>
      <c r="M1226" s="56"/>
      <c r="N1226" s="56"/>
      <c r="O1226" s="56"/>
      <c r="P1226" s="56"/>
      <c r="Q1226" s="56"/>
      <c r="R1226" s="56"/>
      <c r="S1226" s="56"/>
      <c r="T1226" s="56"/>
      <c r="U1226" s="56"/>
      <c r="V1226" s="56"/>
      <c r="W1226" s="56"/>
      <c r="X1226" s="56"/>
      <c r="Y1226" s="56"/>
      <c r="Z1226" s="56"/>
      <c r="AA1226" s="56"/>
      <c r="AB1226" s="56"/>
      <c r="AC1226" s="15"/>
    </row>
    <row r="1227" spans="3:29" ht="12.75">
      <c r="C1227" s="23"/>
      <c r="I1227" s="23"/>
      <c r="L1227" s="56"/>
      <c r="M1227" s="56"/>
      <c r="N1227" s="56"/>
      <c r="O1227" s="56"/>
      <c r="P1227" s="56"/>
      <c r="Q1227" s="56"/>
      <c r="R1227" s="56"/>
      <c r="S1227" s="56"/>
      <c r="T1227" s="56"/>
      <c r="U1227" s="56"/>
      <c r="V1227" s="56"/>
      <c r="W1227" s="56"/>
      <c r="X1227" s="56"/>
      <c r="Y1227" s="56"/>
      <c r="Z1227" s="56"/>
      <c r="AA1227" s="56"/>
      <c r="AB1227" s="56"/>
      <c r="AC1227" s="15"/>
    </row>
    <row r="1228" spans="3:29" ht="12.75">
      <c r="C1228" s="23"/>
      <c r="I1228" s="23"/>
      <c r="L1228" s="56"/>
      <c r="M1228" s="56"/>
      <c r="N1228" s="56"/>
      <c r="O1228" s="56"/>
      <c r="P1228" s="56"/>
      <c r="Q1228" s="56"/>
      <c r="R1228" s="56"/>
      <c r="S1228" s="56"/>
      <c r="T1228" s="56"/>
      <c r="U1228" s="56"/>
      <c r="V1228" s="56"/>
      <c r="W1228" s="56"/>
      <c r="X1228" s="56"/>
      <c r="Y1228" s="56"/>
      <c r="Z1228" s="56"/>
      <c r="AA1228" s="56"/>
      <c r="AB1228" s="56"/>
      <c r="AC1228" s="15"/>
    </row>
    <row r="1229" spans="3:29" ht="12.75">
      <c r="C1229" s="23"/>
      <c r="I1229" s="23"/>
      <c r="L1229" s="56"/>
      <c r="M1229" s="56"/>
      <c r="N1229" s="56"/>
      <c r="O1229" s="56"/>
      <c r="P1229" s="56"/>
      <c r="Q1229" s="56"/>
      <c r="R1229" s="56"/>
      <c r="S1229" s="56"/>
      <c r="T1229" s="56"/>
      <c r="U1229" s="56"/>
      <c r="V1229" s="56"/>
      <c r="W1229" s="56"/>
      <c r="X1229" s="56"/>
      <c r="Y1229" s="56"/>
      <c r="Z1229" s="56"/>
      <c r="AA1229" s="56"/>
      <c r="AB1229" s="56"/>
      <c r="AC1229" s="15"/>
    </row>
    <row r="1230" spans="3:29" ht="12.75">
      <c r="C1230" s="23"/>
      <c r="I1230" s="23"/>
      <c r="L1230" s="56"/>
      <c r="M1230" s="56"/>
      <c r="N1230" s="56"/>
      <c r="O1230" s="56"/>
      <c r="P1230" s="56"/>
      <c r="Q1230" s="56"/>
      <c r="R1230" s="56"/>
      <c r="S1230" s="56"/>
      <c r="T1230" s="56"/>
      <c r="U1230" s="56"/>
      <c r="V1230" s="56"/>
      <c r="W1230" s="56"/>
      <c r="X1230" s="56"/>
      <c r="Y1230" s="56"/>
      <c r="Z1230" s="56"/>
      <c r="AA1230" s="56"/>
      <c r="AB1230" s="56"/>
      <c r="AC1230" s="15"/>
    </row>
    <row r="1231" spans="3:29" ht="12.75">
      <c r="C1231" s="23"/>
      <c r="I1231" s="23"/>
      <c r="L1231" s="56"/>
      <c r="M1231" s="56"/>
      <c r="N1231" s="56"/>
      <c r="O1231" s="56"/>
      <c r="P1231" s="56"/>
      <c r="Q1231" s="56"/>
      <c r="R1231" s="56"/>
      <c r="S1231" s="56"/>
      <c r="T1231" s="56"/>
      <c r="U1231" s="56"/>
      <c r="V1231" s="56"/>
      <c r="W1231" s="56"/>
      <c r="X1231" s="56"/>
      <c r="Y1231" s="56"/>
      <c r="Z1231" s="56"/>
      <c r="AA1231" s="56"/>
      <c r="AB1231" s="56"/>
      <c r="AC1231" s="15"/>
    </row>
    <row r="1232" spans="3:29" ht="12.75">
      <c r="C1232" s="23"/>
      <c r="I1232" s="23"/>
      <c r="L1232" s="56"/>
      <c r="M1232" s="56"/>
      <c r="N1232" s="56"/>
      <c r="O1232" s="56"/>
      <c r="P1232" s="56"/>
      <c r="Q1232" s="56"/>
      <c r="R1232" s="56"/>
      <c r="S1232" s="56"/>
      <c r="T1232" s="56"/>
      <c r="U1232" s="56"/>
      <c r="V1232" s="56"/>
      <c r="W1232" s="56"/>
      <c r="X1232" s="56"/>
      <c r="Y1232" s="56"/>
      <c r="Z1232" s="56"/>
      <c r="AA1232" s="56"/>
      <c r="AB1232" s="56"/>
      <c r="AC1232" s="15"/>
    </row>
    <row r="1233" spans="3:29" ht="12.75">
      <c r="C1233" s="23"/>
      <c r="I1233" s="23"/>
      <c r="L1233" s="56"/>
      <c r="M1233" s="56"/>
      <c r="N1233" s="56"/>
      <c r="O1233" s="56"/>
      <c r="P1233" s="56"/>
      <c r="Q1233" s="56"/>
      <c r="R1233" s="56"/>
      <c r="S1233" s="56"/>
      <c r="T1233" s="56"/>
      <c r="U1233" s="56"/>
      <c r="V1233" s="56"/>
      <c r="W1233" s="56"/>
      <c r="X1233" s="56"/>
      <c r="Y1233" s="56"/>
      <c r="Z1233" s="56"/>
      <c r="AA1233" s="56"/>
      <c r="AB1233" s="56"/>
      <c r="AC1233" s="15"/>
    </row>
    <row r="1234" spans="3:29" ht="12.75">
      <c r="C1234" s="23"/>
      <c r="I1234" s="23"/>
      <c r="L1234" s="56"/>
      <c r="M1234" s="56"/>
      <c r="N1234" s="56"/>
      <c r="O1234" s="56"/>
      <c r="P1234" s="56"/>
      <c r="Q1234" s="56"/>
      <c r="R1234" s="56"/>
      <c r="S1234" s="56"/>
      <c r="T1234" s="56"/>
      <c r="U1234" s="56"/>
      <c r="V1234" s="56"/>
      <c r="W1234" s="56"/>
      <c r="X1234" s="56"/>
      <c r="Y1234" s="56"/>
      <c r="Z1234" s="56"/>
      <c r="AA1234" s="56"/>
      <c r="AB1234" s="56"/>
      <c r="AC1234" s="15"/>
    </row>
    <row r="1235" spans="3:29" ht="12.75">
      <c r="C1235" s="23"/>
      <c r="I1235" s="23"/>
      <c r="L1235" s="56"/>
      <c r="M1235" s="56"/>
      <c r="N1235" s="56"/>
      <c r="O1235" s="56"/>
      <c r="P1235" s="56"/>
      <c r="Q1235" s="56"/>
      <c r="R1235" s="56"/>
      <c r="S1235" s="56"/>
      <c r="T1235" s="56"/>
      <c r="U1235" s="56"/>
      <c r="V1235" s="56"/>
      <c r="W1235" s="56"/>
      <c r="X1235" s="56"/>
      <c r="Y1235" s="56"/>
      <c r="Z1235" s="56"/>
      <c r="AA1235" s="56"/>
      <c r="AB1235" s="56"/>
      <c r="AC1235" s="15"/>
    </row>
    <row r="1236" spans="3:29" ht="12.75">
      <c r="C1236" s="23"/>
      <c r="I1236" s="23"/>
      <c r="L1236" s="56"/>
      <c r="M1236" s="56"/>
      <c r="N1236" s="56"/>
      <c r="O1236" s="56"/>
      <c r="P1236" s="56"/>
      <c r="Q1236" s="56"/>
      <c r="R1236" s="56"/>
      <c r="S1236" s="56"/>
      <c r="T1236" s="56"/>
      <c r="U1236" s="56"/>
      <c r="V1236" s="56"/>
      <c r="W1236" s="56"/>
      <c r="X1236" s="56"/>
      <c r="Y1236" s="56"/>
      <c r="Z1236" s="56"/>
      <c r="AA1236" s="56"/>
      <c r="AB1236" s="56"/>
      <c r="AC1236" s="15"/>
    </row>
    <row r="1237" spans="3:29" ht="12.75">
      <c r="C1237" s="23"/>
      <c r="I1237" s="23"/>
      <c r="L1237" s="56"/>
      <c r="M1237" s="56"/>
      <c r="N1237" s="56"/>
      <c r="O1237" s="56"/>
      <c r="P1237" s="56"/>
      <c r="Q1237" s="56"/>
      <c r="R1237" s="56"/>
      <c r="S1237" s="56"/>
      <c r="T1237" s="56"/>
      <c r="U1237" s="56"/>
      <c r="V1237" s="56"/>
      <c r="W1237" s="56"/>
      <c r="X1237" s="56"/>
      <c r="Y1237" s="56"/>
      <c r="Z1237" s="56"/>
      <c r="AA1237" s="56"/>
      <c r="AB1237" s="56"/>
      <c r="AC1237" s="15"/>
    </row>
    <row r="1238" spans="3:29" ht="12.75">
      <c r="C1238" s="23"/>
      <c r="I1238" s="23"/>
      <c r="L1238" s="56"/>
      <c r="M1238" s="56"/>
      <c r="N1238" s="56"/>
      <c r="O1238" s="56"/>
      <c r="P1238" s="56"/>
      <c r="Q1238" s="56"/>
      <c r="R1238" s="56"/>
      <c r="S1238" s="56"/>
      <c r="T1238" s="56"/>
      <c r="U1238" s="56"/>
      <c r="V1238" s="56"/>
      <c r="W1238" s="56"/>
      <c r="X1238" s="56"/>
      <c r="Y1238" s="56"/>
      <c r="Z1238" s="56"/>
      <c r="AA1238" s="56"/>
      <c r="AB1238" s="56"/>
      <c r="AC1238" s="15"/>
    </row>
    <row r="1239" spans="3:29" ht="12.75">
      <c r="C1239" s="23"/>
      <c r="I1239" s="23"/>
      <c r="L1239" s="56"/>
      <c r="M1239" s="56"/>
      <c r="N1239" s="56"/>
      <c r="O1239" s="56"/>
      <c r="P1239" s="56"/>
      <c r="Q1239" s="56"/>
      <c r="R1239" s="56"/>
      <c r="S1239" s="56"/>
      <c r="T1239" s="56"/>
      <c r="U1239" s="56"/>
      <c r="V1239" s="56"/>
      <c r="W1239" s="56"/>
      <c r="X1239" s="56"/>
      <c r="Y1239" s="56"/>
      <c r="Z1239" s="56"/>
      <c r="AA1239" s="56"/>
      <c r="AB1239" s="56"/>
      <c r="AC1239" s="15"/>
    </row>
    <row r="1240" spans="3:29" ht="12.75">
      <c r="C1240" s="23"/>
      <c r="I1240" s="23"/>
      <c r="L1240" s="56"/>
      <c r="M1240" s="56"/>
      <c r="N1240" s="56"/>
      <c r="O1240" s="56"/>
      <c r="P1240" s="56"/>
      <c r="Q1240" s="56"/>
      <c r="R1240" s="56"/>
      <c r="S1240" s="56"/>
      <c r="T1240" s="56"/>
      <c r="U1240" s="56"/>
      <c r="V1240" s="56"/>
      <c r="W1240" s="56"/>
      <c r="X1240" s="56"/>
      <c r="Y1240" s="56"/>
      <c r="Z1240" s="56"/>
      <c r="AA1240" s="56"/>
      <c r="AB1240" s="56"/>
      <c r="AC1240" s="15"/>
    </row>
    <row r="1241" spans="3:29" ht="12.75">
      <c r="C1241" s="23"/>
      <c r="I1241" s="23"/>
      <c r="L1241" s="56"/>
      <c r="M1241" s="56"/>
      <c r="N1241" s="56"/>
      <c r="O1241" s="56"/>
      <c r="P1241" s="56"/>
      <c r="Q1241" s="56"/>
      <c r="R1241" s="56"/>
      <c r="S1241" s="56"/>
      <c r="T1241" s="56"/>
      <c r="U1241" s="56"/>
      <c r="V1241" s="56"/>
      <c r="W1241" s="56"/>
      <c r="X1241" s="56"/>
      <c r="Y1241" s="56"/>
      <c r="Z1241" s="56"/>
      <c r="AA1241" s="56"/>
      <c r="AB1241" s="56"/>
      <c r="AC1241" s="15"/>
    </row>
    <row r="1242" spans="3:29" ht="12.75">
      <c r="C1242" s="23"/>
      <c r="I1242" s="23"/>
      <c r="L1242" s="56"/>
      <c r="M1242" s="56"/>
      <c r="N1242" s="56"/>
      <c r="O1242" s="56"/>
      <c r="P1242" s="56"/>
      <c r="Q1242" s="56"/>
      <c r="R1242" s="56"/>
      <c r="S1242" s="56"/>
      <c r="T1242" s="56"/>
      <c r="U1242" s="56"/>
      <c r="V1242" s="56"/>
      <c r="W1242" s="56"/>
      <c r="X1242" s="56"/>
      <c r="Y1242" s="56"/>
      <c r="Z1242" s="56"/>
      <c r="AA1242" s="56"/>
      <c r="AB1242" s="56"/>
      <c r="AC1242" s="15"/>
    </row>
    <row r="1243" spans="3:29" ht="12.75">
      <c r="C1243" s="23"/>
      <c r="I1243" s="23"/>
      <c r="L1243" s="56"/>
      <c r="M1243" s="56"/>
      <c r="N1243" s="56"/>
      <c r="O1243" s="56"/>
      <c r="P1243" s="56"/>
      <c r="Q1243" s="56"/>
      <c r="R1243" s="56"/>
      <c r="S1243" s="56"/>
      <c r="T1243" s="56"/>
      <c r="U1243" s="56"/>
      <c r="V1243" s="56"/>
      <c r="W1243" s="56"/>
      <c r="X1243" s="56"/>
      <c r="Y1243" s="56"/>
      <c r="Z1243" s="56"/>
      <c r="AA1243" s="56"/>
      <c r="AB1243" s="56"/>
      <c r="AC1243" s="15"/>
    </row>
    <row r="1244" spans="3:29" ht="12.75">
      <c r="C1244" s="23"/>
      <c r="I1244" s="23"/>
      <c r="L1244" s="56"/>
      <c r="M1244" s="56"/>
      <c r="N1244" s="56"/>
      <c r="O1244" s="56"/>
      <c r="P1244" s="56"/>
      <c r="Q1244" s="56"/>
      <c r="R1244" s="56"/>
      <c r="S1244" s="56"/>
      <c r="T1244" s="56"/>
      <c r="U1244" s="56"/>
      <c r="V1244" s="56"/>
      <c r="W1244" s="56"/>
      <c r="X1244" s="56"/>
      <c r="Y1244" s="56"/>
      <c r="Z1244" s="56"/>
      <c r="AA1244" s="56"/>
      <c r="AB1244" s="56"/>
      <c r="AC1244" s="15"/>
    </row>
    <row r="1245" spans="3:29" ht="12.75">
      <c r="C1245" s="23"/>
      <c r="I1245" s="23"/>
      <c r="L1245" s="56"/>
      <c r="M1245" s="56"/>
      <c r="N1245" s="56"/>
      <c r="O1245" s="56"/>
      <c r="P1245" s="56"/>
      <c r="Q1245" s="56"/>
      <c r="R1245" s="56"/>
      <c r="S1245" s="56"/>
      <c r="T1245" s="56"/>
      <c r="U1245" s="56"/>
      <c r="V1245" s="56"/>
      <c r="W1245" s="56"/>
      <c r="X1245" s="56"/>
      <c r="Y1245" s="56"/>
      <c r="Z1245" s="56"/>
      <c r="AA1245" s="56"/>
      <c r="AB1245" s="56"/>
      <c r="AC1245" s="15"/>
    </row>
    <row r="1246" spans="3:29" ht="12.75">
      <c r="C1246" s="23"/>
      <c r="I1246" s="23"/>
      <c r="L1246" s="56"/>
      <c r="M1246" s="56"/>
      <c r="N1246" s="56"/>
      <c r="O1246" s="56"/>
      <c r="P1246" s="56"/>
      <c r="Q1246" s="56"/>
      <c r="R1246" s="56"/>
      <c r="S1246" s="56"/>
      <c r="T1246" s="56"/>
      <c r="U1246" s="56"/>
      <c r="V1246" s="56"/>
      <c r="W1246" s="56"/>
      <c r="X1246" s="56"/>
      <c r="Y1246" s="56"/>
      <c r="Z1246" s="56"/>
      <c r="AA1246" s="56"/>
      <c r="AB1246" s="56"/>
      <c r="AC1246" s="15"/>
    </row>
    <row r="1247" spans="3:29" ht="12.75">
      <c r="C1247" s="23"/>
      <c r="I1247" s="23"/>
      <c r="L1247" s="56"/>
      <c r="M1247" s="56"/>
      <c r="N1247" s="56"/>
      <c r="O1247" s="56"/>
      <c r="P1247" s="56"/>
      <c r="Q1247" s="56"/>
      <c r="R1247" s="56"/>
      <c r="S1247" s="56"/>
      <c r="T1247" s="56"/>
      <c r="U1247" s="56"/>
      <c r="V1247" s="56"/>
      <c r="W1247" s="56"/>
      <c r="X1247" s="56"/>
      <c r="Y1247" s="56"/>
      <c r="Z1247" s="56"/>
      <c r="AA1247" s="56"/>
      <c r="AB1247" s="56"/>
      <c r="AC1247" s="15"/>
    </row>
    <row r="1248" spans="3:29" ht="12.75">
      <c r="C1248" s="23"/>
      <c r="I1248" s="23"/>
      <c r="L1248" s="56"/>
      <c r="M1248" s="56"/>
      <c r="N1248" s="56"/>
      <c r="O1248" s="56"/>
      <c r="P1248" s="56"/>
      <c r="Q1248" s="56"/>
      <c r="R1248" s="56"/>
      <c r="S1248" s="56"/>
      <c r="T1248" s="56"/>
      <c r="U1248" s="56"/>
      <c r="V1248" s="56"/>
      <c r="W1248" s="56"/>
      <c r="X1248" s="56"/>
      <c r="Y1248" s="56"/>
      <c r="Z1248" s="56"/>
      <c r="AA1248" s="56"/>
      <c r="AB1248" s="56"/>
      <c r="AC1248" s="15"/>
    </row>
    <row r="1249" spans="3:29" ht="12.75">
      <c r="C1249" s="23"/>
      <c r="I1249" s="23"/>
      <c r="L1249" s="56"/>
      <c r="M1249" s="56"/>
      <c r="N1249" s="56"/>
      <c r="O1249" s="56"/>
      <c r="P1249" s="56"/>
      <c r="Q1249" s="56"/>
      <c r="R1249" s="56"/>
      <c r="S1249" s="56"/>
      <c r="T1249" s="56"/>
      <c r="U1249" s="56"/>
      <c r="V1249" s="56"/>
      <c r="W1249" s="56"/>
      <c r="X1249" s="56"/>
      <c r="Y1249" s="56"/>
      <c r="Z1249" s="56"/>
      <c r="AA1249" s="56"/>
      <c r="AB1249" s="56"/>
      <c r="AC1249" s="15"/>
    </row>
    <row r="1250" spans="3:29" ht="12.75">
      <c r="C1250" s="23"/>
      <c r="I1250" s="23"/>
      <c r="L1250" s="56"/>
      <c r="M1250" s="56"/>
      <c r="N1250" s="56"/>
      <c r="O1250" s="56"/>
      <c r="P1250" s="56"/>
      <c r="Q1250" s="56"/>
      <c r="R1250" s="56"/>
      <c r="S1250" s="56"/>
      <c r="T1250" s="56"/>
      <c r="U1250" s="56"/>
      <c r="V1250" s="56"/>
      <c r="W1250" s="56"/>
      <c r="X1250" s="56"/>
      <c r="Y1250" s="56"/>
      <c r="Z1250" s="56"/>
      <c r="AA1250" s="56"/>
      <c r="AB1250" s="56"/>
      <c r="AC1250" s="15"/>
    </row>
    <row r="1251" spans="3:29" ht="12.75">
      <c r="C1251" s="23"/>
      <c r="I1251" s="23"/>
      <c r="L1251" s="56"/>
      <c r="M1251" s="56"/>
      <c r="N1251" s="56"/>
      <c r="O1251" s="56"/>
      <c r="P1251" s="56"/>
      <c r="Q1251" s="56"/>
      <c r="R1251" s="56"/>
      <c r="S1251" s="56"/>
      <c r="T1251" s="56"/>
      <c r="U1251" s="56"/>
      <c r="V1251" s="56"/>
      <c r="W1251" s="56"/>
      <c r="X1251" s="56"/>
      <c r="Y1251" s="56"/>
      <c r="Z1251" s="56"/>
      <c r="AA1251" s="56"/>
      <c r="AB1251" s="56"/>
      <c r="AC1251" s="15"/>
    </row>
    <row r="1252" spans="3:29" ht="12.75">
      <c r="C1252" s="23"/>
      <c r="I1252" s="23"/>
      <c r="L1252" s="56"/>
      <c r="M1252" s="56"/>
      <c r="N1252" s="56"/>
      <c r="O1252" s="56"/>
      <c r="P1252" s="56"/>
      <c r="Q1252" s="56"/>
      <c r="R1252" s="56"/>
      <c r="S1252" s="56"/>
      <c r="T1252" s="56"/>
      <c r="U1252" s="56"/>
      <c r="V1252" s="56"/>
      <c r="W1252" s="56"/>
      <c r="X1252" s="56"/>
      <c r="Y1252" s="56"/>
      <c r="Z1252" s="56"/>
      <c r="AA1252" s="56"/>
      <c r="AB1252" s="56"/>
      <c r="AC1252" s="15"/>
    </row>
    <row r="1253" spans="3:29" ht="12.75">
      <c r="C1253" s="23"/>
      <c r="I1253" s="23"/>
      <c r="L1253" s="56"/>
      <c r="M1253" s="56"/>
      <c r="N1253" s="56"/>
      <c r="O1253" s="56"/>
      <c r="P1253" s="56"/>
      <c r="Q1253" s="56"/>
      <c r="R1253" s="56"/>
      <c r="S1253" s="56"/>
      <c r="T1253" s="56"/>
      <c r="U1253" s="56"/>
      <c r="V1253" s="56"/>
      <c r="W1253" s="56"/>
      <c r="X1253" s="56"/>
      <c r="Y1253" s="56"/>
      <c r="Z1253" s="56"/>
      <c r="AA1253" s="56"/>
      <c r="AB1253" s="56"/>
      <c r="AC1253" s="15"/>
    </row>
    <row r="1254" spans="3:29" ht="12.75">
      <c r="C1254" s="23"/>
      <c r="I1254" s="23"/>
      <c r="L1254" s="56"/>
      <c r="M1254" s="56"/>
      <c r="N1254" s="56"/>
      <c r="O1254" s="56"/>
      <c r="P1254" s="56"/>
      <c r="Q1254" s="56"/>
      <c r="R1254" s="56"/>
      <c r="S1254" s="56"/>
      <c r="T1254" s="56"/>
      <c r="U1254" s="56"/>
      <c r="V1254" s="56"/>
      <c r="W1254" s="56"/>
      <c r="X1254" s="56"/>
      <c r="Y1254" s="56"/>
      <c r="Z1254" s="56"/>
      <c r="AA1254" s="56"/>
      <c r="AB1254" s="56"/>
      <c r="AC1254" s="15"/>
    </row>
    <row r="1255" spans="3:29" ht="12.75">
      <c r="C1255" s="23"/>
      <c r="I1255" s="23"/>
      <c r="L1255" s="56"/>
      <c r="M1255" s="56"/>
      <c r="N1255" s="56"/>
      <c r="O1255" s="56"/>
      <c r="P1255" s="56"/>
      <c r="Q1255" s="56"/>
      <c r="R1255" s="56"/>
      <c r="S1255" s="56"/>
      <c r="T1255" s="56"/>
      <c r="U1255" s="56"/>
      <c r="V1255" s="56"/>
      <c r="W1255" s="56"/>
      <c r="X1255" s="56"/>
      <c r="Y1255" s="56"/>
      <c r="Z1255" s="56"/>
      <c r="AA1255" s="56"/>
      <c r="AB1255" s="56"/>
      <c r="AC1255" s="15"/>
    </row>
    <row r="1256" spans="3:29" ht="12.75">
      <c r="C1256" s="23"/>
      <c r="I1256" s="23"/>
      <c r="L1256" s="56"/>
      <c r="M1256" s="56"/>
      <c r="N1256" s="56"/>
      <c r="O1256" s="56"/>
      <c r="P1256" s="56"/>
      <c r="Q1256" s="56"/>
      <c r="R1256" s="56"/>
      <c r="S1256" s="56"/>
      <c r="T1256" s="56"/>
      <c r="U1256" s="56"/>
      <c r="V1256" s="56"/>
      <c r="W1256" s="56"/>
      <c r="X1256" s="56"/>
      <c r="Y1256" s="56"/>
      <c r="Z1256" s="56"/>
      <c r="AA1256" s="56"/>
      <c r="AB1256" s="56"/>
      <c r="AC1256" s="15"/>
    </row>
    <row r="1257" spans="3:29" ht="12.75">
      <c r="C1257" s="23"/>
      <c r="I1257" s="23"/>
      <c r="L1257" s="56"/>
      <c r="M1257" s="56"/>
      <c r="N1257" s="56"/>
      <c r="O1257" s="56"/>
      <c r="P1257" s="56"/>
      <c r="Q1257" s="56"/>
      <c r="R1257" s="56"/>
      <c r="S1257" s="56"/>
      <c r="T1257" s="56"/>
      <c r="U1257" s="56"/>
      <c r="V1257" s="56"/>
      <c r="W1257" s="56"/>
      <c r="X1257" s="56"/>
      <c r="Y1257" s="56"/>
      <c r="Z1257" s="56"/>
      <c r="AA1257" s="56"/>
      <c r="AB1257" s="56"/>
      <c r="AC1257" s="15"/>
    </row>
    <row r="1258" spans="3:29" ht="12.75">
      <c r="C1258" s="23"/>
      <c r="I1258" s="23"/>
      <c r="L1258" s="56"/>
      <c r="M1258" s="56"/>
      <c r="N1258" s="56"/>
      <c r="O1258" s="56"/>
      <c r="P1258" s="56"/>
      <c r="Q1258" s="56"/>
      <c r="R1258" s="56"/>
      <c r="S1258" s="56"/>
      <c r="T1258" s="56"/>
      <c r="U1258" s="56"/>
      <c r="V1258" s="56"/>
      <c r="W1258" s="56"/>
      <c r="X1258" s="56"/>
      <c r="Y1258" s="56"/>
      <c r="Z1258" s="56"/>
      <c r="AA1258" s="56"/>
      <c r="AB1258" s="56"/>
      <c r="AC1258" s="15"/>
    </row>
    <row r="1259" spans="3:29" ht="12.75">
      <c r="C1259" s="23"/>
      <c r="I1259" s="23"/>
      <c r="L1259" s="56"/>
      <c r="M1259" s="56"/>
      <c r="N1259" s="56"/>
      <c r="O1259" s="56"/>
      <c r="P1259" s="56"/>
      <c r="Q1259" s="56"/>
      <c r="R1259" s="56"/>
      <c r="S1259" s="56"/>
      <c r="T1259" s="56"/>
      <c r="U1259" s="56"/>
      <c r="V1259" s="56"/>
      <c r="W1259" s="56"/>
      <c r="X1259" s="56"/>
      <c r="Y1259" s="56"/>
      <c r="Z1259" s="56"/>
      <c r="AA1259" s="56"/>
      <c r="AB1259" s="56"/>
      <c r="AC1259" s="15"/>
    </row>
    <row r="1260" spans="3:29" ht="12.75">
      <c r="C1260" s="23"/>
      <c r="I1260" s="23"/>
      <c r="L1260" s="56"/>
      <c r="M1260" s="56"/>
      <c r="N1260" s="56"/>
      <c r="O1260" s="56"/>
      <c r="P1260" s="56"/>
      <c r="Q1260" s="56"/>
      <c r="R1260" s="56"/>
      <c r="S1260" s="56"/>
      <c r="T1260" s="56"/>
      <c r="U1260" s="56"/>
      <c r="V1260" s="56"/>
      <c r="W1260" s="56"/>
      <c r="X1260" s="56"/>
      <c r="Y1260" s="56"/>
      <c r="Z1260" s="56"/>
      <c r="AA1260" s="56"/>
      <c r="AB1260" s="56"/>
      <c r="AC1260" s="15"/>
    </row>
    <row r="1261" spans="3:29" ht="12.75">
      <c r="C1261" s="23"/>
      <c r="I1261" s="23"/>
      <c r="L1261" s="56"/>
      <c r="M1261" s="56"/>
      <c r="N1261" s="56"/>
      <c r="O1261" s="56"/>
      <c r="P1261" s="56"/>
      <c r="Q1261" s="56"/>
      <c r="R1261" s="56"/>
      <c r="S1261" s="56"/>
      <c r="T1261" s="56"/>
      <c r="U1261" s="56"/>
      <c r="V1261" s="56"/>
      <c r="W1261" s="56"/>
      <c r="X1261" s="56"/>
      <c r="Y1261" s="56"/>
      <c r="Z1261" s="56"/>
      <c r="AA1261" s="56"/>
      <c r="AB1261" s="56"/>
      <c r="AC1261" s="15"/>
    </row>
    <row r="1262" spans="3:29" ht="12.75">
      <c r="C1262" s="23"/>
      <c r="I1262" s="23"/>
      <c r="L1262" s="56"/>
      <c r="M1262" s="56"/>
      <c r="N1262" s="56"/>
      <c r="O1262" s="56"/>
      <c r="P1262" s="56"/>
      <c r="Q1262" s="56"/>
      <c r="R1262" s="56"/>
      <c r="S1262" s="56"/>
      <c r="T1262" s="56"/>
      <c r="U1262" s="56"/>
      <c r="V1262" s="56"/>
      <c r="W1262" s="56"/>
      <c r="X1262" s="56"/>
      <c r="Y1262" s="56"/>
      <c r="Z1262" s="56"/>
      <c r="AA1262" s="56"/>
      <c r="AB1262" s="56"/>
      <c r="AC1262" s="15"/>
    </row>
    <row r="1263" spans="3:29" ht="12.75">
      <c r="C1263" s="23"/>
      <c r="I1263" s="23"/>
      <c r="L1263" s="56"/>
      <c r="M1263" s="56"/>
      <c r="N1263" s="56"/>
      <c r="O1263" s="56"/>
      <c r="P1263" s="56"/>
      <c r="Q1263" s="56"/>
      <c r="R1263" s="56"/>
      <c r="S1263" s="56"/>
      <c r="T1263" s="56"/>
      <c r="U1263" s="56"/>
      <c r="V1263" s="56"/>
      <c r="W1263" s="56"/>
      <c r="X1263" s="56"/>
      <c r="Y1263" s="56"/>
      <c r="Z1263" s="56"/>
      <c r="AA1263" s="56"/>
      <c r="AB1263" s="56"/>
      <c r="AC1263" s="15"/>
    </row>
    <row r="1264" spans="3:29" ht="12.75">
      <c r="C1264" s="23"/>
      <c r="I1264" s="23"/>
      <c r="L1264" s="56"/>
      <c r="M1264" s="56"/>
      <c r="N1264" s="56"/>
      <c r="O1264" s="56"/>
      <c r="P1264" s="56"/>
      <c r="Q1264" s="56"/>
      <c r="R1264" s="56"/>
      <c r="S1264" s="56"/>
      <c r="T1264" s="56"/>
      <c r="U1264" s="56"/>
      <c r="V1264" s="56"/>
      <c r="W1264" s="56"/>
      <c r="X1264" s="56"/>
      <c r="Y1264" s="56"/>
      <c r="Z1264" s="56"/>
      <c r="AA1264" s="56"/>
      <c r="AB1264" s="56"/>
      <c r="AC1264" s="15"/>
    </row>
    <row r="1265" spans="3:29" ht="12.75">
      <c r="C1265" s="23"/>
      <c r="I1265" s="23"/>
      <c r="L1265" s="56"/>
      <c r="M1265" s="56"/>
      <c r="N1265" s="56"/>
      <c r="O1265" s="56"/>
      <c r="P1265" s="56"/>
      <c r="Q1265" s="56"/>
      <c r="R1265" s="56"/>
      <c r="S1265" s="56"/>
      <c r="T1265" s="56"/>
      <c r="U1265" s="56"/>
      <c r="V1265" s="56"/>
      <c r="W1265" s="56"/>
      <c r="X1265" s="56"/>
      <c r="Y1265" s="56"/>
      <c r="Z1265" s="56"/>
      <c r="AA1265" s="56"/>
      <c r="AB1265" s="56"/>
      <c r="AC1265" s="15"/>
    </row>
    <row r="1266" spans="3:29" ht="12.75">
      <c r="C1266" s="23"/>
      <c r="I1266" s="23"/>
      <c r="L1266" s="56"/>
      <c r="M1266" s="56"/>
      <c r="N1266" s="56"/>
      <c r="O1266" s="56"/>
      <c r="P1266" s="56"/>
      <c r="Q1266" s="56"/>
      <c r="R1266" s="56"/>
      <c r="S1266" s="56"/>
      <c r="T1266" s="56"/>
      <c r="U1266" s="56"/>
      <c r="V1266" s="56"/>
      <c r="W1266" s="56"/>
      <c r="X1266" s="56"/>
      <c r="Y1266" s="56"/>
      <c r="Z1266" s="56"/>
      <c r="AA1266" s="56"/>
      <c r="AB1266" s="56"/>
      <c r="AC1266" s="15"/>
    </row>
    <row r="1267" spans="3:29" ht="12.75">
      <c r="C1267" s="23"/>
      <c r="I1267" s="23"/>
      <c r="L1267" s="56"/>
      <c r="M1267" s="56"/>
      <c r="N1267" s="56"/>
      <c r="O1267" s="56"/>
      <c r="P1267" s="56"/>
      <c r="Q1267" s="56"/>
      <c r="R1267" s="56"/>
      <c r="S1267" s="56"/>
      <c r="T1267" s="56"/>
      <c r="U1267" s="56"/>
      <c r="V1267" s="56"/>
      <c r="W1267" s="56"/>
      <c r="X1267" s="56"/>
      <c r="Y1267" s="56"/>
      <c r="Z1267" s="56"/>
      <c r="AA1267" s="56"/>
      <c r="AB1267" s="56"/>
      <c r="AC1267" s="15"/>
    </row>
    <row r="1268" spans="3:29" ht="12.75">
      <c r="C1268" s="23"/>
      <c r="I1268" s="23"/>
      <c r="L1268" s="56"/>
      <c r="M1268" s="56"/>
      <c r="N1268" s="56"/>
      <c r="O1268" s="56"/>
      <c r="P1268" s="56"/>
      <c r="Q1268" s="56"/>
      <c r="R1268" s="56"/>
      <c r="S1268" s="56"/>
      <c r="T1268" s="56"/>
      <c r="U1268" s="56"/>
      <c r="V1268" s="56"/>
      <c r="W1268" s="56"/>
      <c r="X1268" s="56"/>
      <c r="Y1268" s="56"/>
      <c r="Z1268" s="56"/>
      <c r="AA1268" s="56"/>
      <c r="AB1268" s="56"/>
      <c r="AC1268" s="15"/>
    </row>
    <row r="1269" spans="3:29" ht="12.75">
      <c r="C1269" s="23"/>
      <c r="I1269" s="23"/>
      <c r="L1269" s="56"/>
      <c r="M1269" s="56"/>
      <c r="N1269" s="56"/>
      <c r="O1269" s="56"/>
      <c r="P1269" s="56"/>
      <c r="Q1269" s="56"/>
      <c r="R1269" s="56"/>
      <c r="S1269" s="56"/>
      <c r="T1269" s="56"/>
      <c r="U1269" s="56"/>
      <c r="V1269" s="56"/>
      <c r="W1269" s="56"/>
      <c r="X1269" s="56"/>
      <c r="Y1269" s="56"/>
      <c r="Z1269" s="56"/>
      <c r="AA1269" s="56"/>
      <c r="AB1269" s="56"/>
      <c r="AC1269" s="15"/>
    </row>
    <row r="1270" spans="3:29" ht="12.75">
      <c r="C1270" s="23"/>
      <c r="I1270" s="23"/>
      <c r="L1270" s="56"/>
      <c r="M1270" s="56"/>
      <c r="N1270" s="56"/>
      <c r="O1270" s="56"/>
      <c r="P1270" s="56"/>
      <c r="Q1270" s="56"/>
      <c r="R1270" s="56"/>
      <c r="S1270" s="56"/>
      <c r="T1270" s="56"/>
      <c r="U1270" s="56"/>
      <c r="V1270" s="56"/>
      <c r="W1270" s="56"/>
      <c r="X1270" s="56"/>
      <c r="Y1270" s="56"/>
      <c r="Z1270" s="56"/>
      <c r="AA1270" s="56"/>
      <c r="AB1270" s="56"/>
      <c r="AC1270" s="15"/>
    </row>
    <row r="1271" spans="3:29" ht="12.75">
      <c r="C1271" s="23"/>
      <c r="I1271" s="23"/>
      <c r="L1271" s="56"/>
      <c r="M1271" s="56"/>
      <c r="N1271" s="56"/>
      <c r="O1271" s="56"/>
      <c r="P1271" s="56"/>
      <c r="Q1271" s="56"/>
      <c r="R1271" s="56"/>
      <c r="S1271" s="56"/>
      <c r="T1271" s="56"/>
      <c r="U1271" s="56"/>
      <c r="V1271" s="56"/>
      <c r="W1271" s="56"/>
      <c r="X1271" s="56"/>
      <c r="Y1271" s="56"/>
      <c r="Z1271" s="56"/>
      <c r="AA1271" s="56"/>
      <c r="AB1271" s="56"/>
      <c r="AC1271" s="15"/>
    </row>
    <row r="1272" spans="3:29" ht="12.75">
      <c r="C1272" s="23"/>
      <c r="I1272" s="23"/>
      <c r="L1272" s="56"/>
      <c r="M1272" s="56"/>
      <c r="N1272" s="56"/>
      <c r="O1272" s="56"/>
      <c r="P1272" s="56"/>
      <c r="Q1272" s="56"/>
      <c r="R1272" s="56"/>
      <c r="S1272" s="56"/>
      <c r="T1272" s="56"/>
      <c r="U1272" s="56"/>
      <c r="V1272" s="56"/>
      <c r="W1272" s="56"/>
      <c r="X1272" s="56"/>
      <c r="Y1272" s="56"/>
      <c r="Z1272" s="56"/>
      <c r="AA1272" s="56"/>
      <c r="AB1272" s="56"/>
      <c r="AC1272" s="15"/>
    </row>
    <row r="1273" spans="3:29" ht="12.75">
      <c r="C1273" s="23"/>
      <c r="I1273" s="23"/>
      <c r="L1273" s="56"/>
      <c r="M1273" s="56"/>
      <c r="N1273" s="56"/>
      <c r="O1273" s="56"/>
      <c r="P1273" s="56"/>
      <c r="Q1273" s="56"/>
      <c r="R1273" s="56"/>
      <c r="S1273" s="56"/>
      <c r="T1273" s="56"/>
      <c r="U1273" s="56"/>
      <c r="V1273" s="56"/>
      <c r="W1273" s="56"/>
      <c r="X1273" s="56"/>
      <c r="Y1273" s="56"/>
      <c r="Z1273" s="56"/>
      <c r="AA1273" s="56"/>
      <c r="AB1273" s="56"/>
      <c r="AC1273" s="15"/>
    </row>
    <row r="1274" spans="3:29" ht="12.75">
      <c r="C1274" s="23"/>
      <c r="I1274" s="23"/>
      <c r="L1274" s="56"/>
      <c r="M1274" s="56"/>
      <c r="N1274" s="56"/>
      <c r="O1274" s="56"/>
      <c r="P1274" s="56"/>
      <c r="Q1274" s="56"/>
      <c r="R1274" s="56"/>
      <c r="S1274" s="56"/>
      <c r="T1274" s="56"/>
      <c r="U1274" s="56"/>
      <c r="V1274" s="56"/>
      <c r="W1274" s="56"/>
      <c r="X1274" s="56"/>
      <c r="Y1274" s="56"/>
      <c r="Z1274" s="56"/>
      <c r="AA1274" s="56"/>
      <c r="AB1274" s="56"/>
      <c r="AC1274" s="15"/>
    </row>
    <row r="1275" spans="3:29" ht="12.75">
      <c r="C1275" s="23"/>
      <c r="I1275" s="23"/>
      <c r="L1275" s="56"/>
      <c r="M1275" s="56"/>
      <c r="N1275" s="56"/>
      <c r="O1275" s="56"/>
      <c r="P1275" s="56"/>
      <c r="Q1275" s="56"/>
      <c r="R1275" s="56"/>
      <c r="S1275" s="56"/>
      <c r="T1275" s="56"/>
      <c r="U1275" s="56"/>
      <c r="V1275" s="56"/>
      <c r="W1275" s="56"/>
      <c r="X1275" s="56"/>
      <c r="Y1275" s="56"/>
      <c r="Z1275" s="56"/>
      <c r="AA1275" s="56"/>
      <c r="AB1275" s="56"/>
      <c r="AC1275" s="15"/>
    </row>
    <row r="1276" spans="3:29" ht="12.75">
      <c r="C1276" s="23"/>
      <c r="I1276" s="23"/>
      <c r="L1276" s="56"/>
      <c r="M1276" s="56"/>
      <c r="N1276" s="56"/>
      <c r="O1276" s="56"/>
      <c r="P1276" s="56"/>
      <c r="Q1276" s="56"/>
      <c r="R1276" s="56"/>
      <c r="S1276" s="56"/>
      <c r="T1276" s="56"/>
      <c r="U1276" s="56"/>
      <c r="V1276" s="56"/>
      <c r="W1276" s="56"/>
      <c r="X1276" s="56"/>
      <c r="Y1276" s="56"/>
      <c r="Z1276" s="56"/>
      <c r="AA1276" s="56"/>
      <c r="AB1276" s="56"/>
      <c r="AC1276" s="15"/>
    </row>
    <row r="1277" spans="3:29" ht="12.75">
      <c r="C1277" s="23"/>
      <c r="I1277" s="23"/>
      <c r="L1277" s="56"/>
      <c r="M1277" s="56"/>
      <c r="N1277" s="56"/>
      <c r="O1277" s="56"/>
      <c r="P1277" s="56"/>
      <c r="Q1277" s="56"/>
      <c r="R1277" s="56"/>
      <c r="S1277" s="56"/>
      <c r="T1277" s="56"/>
      <c r="U1277" s="56"/>
      <c r="V1277" s="56"/>
      <c r="W1277" s="56"/>
      <c r="X1277" s="56"/>
      <c r="Y1277" s="56"/>
      <c r="Z1277" s="56"/>
      <c r="AA1277" s="56"/>
      <c r="AB1277" s="56"/>
      <c r="AC1277" s="15"/>
    </row>
    <row r="1278" spans="3:29" ht="12.75">
      <c r="C1278" s="23"/>
      <c r="I1278" s="23"/>
      <c r="L1278" s="56"/>
      <c r="M1278" s="56"/>
      <c r="N1278" s="56"/>
      <c r="O1278" s="56"/>
      <c r="P1278" s="56"/>
      <c r="Q1278" s="56"/>
      <c r="R1278" s="56"/>
      <c r="S1278" s="56"/>
      <c r="T1278" s="56"/>
      <c r="U1278" s="56"/>
      <c r="V1278" s="56"/>
      <c r="W1278" s="56"/>
      <c r="X1278" s="56"/>
      <c r="Y1278" s="56"/>
      <c r="Z1278" s="56"/>
      <c r="AA1278" s="56"/>
      <c r="AB1278" s="56"/>
      <c r="AC1278" s="15"/>
    </row>
    <row r="1279" spans="3:29" ht="12.75">
      <c r="C1279" s="23"/>
      <c r="I1279" s="23"/>
      <c r="L1279" s="56"/>
      <c r="M1279" s="56"/>
      <c r="N1279" s="56"/>
      <c r="O1279" s="56"/>
      <c r="P1279" s="56"/>
      <c r="Q1279" s="56"/>
      <c r="R1279" s="56"/>
      <c r="S1279" s="56"/>
      <c r="T1279" s="56"/>
      <c r="U1279" s="56"/>
      <c r="V1279" s="56"/>
      <c r="W1279" s="56"/>
      <c r="X1279" s="56"/>
      <c r="Y1279" s="56"/>
      <c r="Z1279" s="56"/>
      <c r="AA1279" s="56"/>
      <c r="AB1279" s="56"/>
      <c r="AC1279" s="15"/>
    </row>
    <row r="1280" spans="3:29" ht="12.75">
      <c r="C1280" s="23"/>
      <c r="I1280" s="23"/>
      <c r="L1280" s="56"/>
      <c r="M1280" s="56"/>
      <c r="N1280" s="56"/>
      <c r="O1280" s="56"/>
      <c r="P1280" s="56"/>
      <c r="Q1280" s="56"/>
      <c r="R1280" s="56"/>
      <c r="S1280" s="56"/>
      <c r="T1280" s="56"/>
      <c r="U1280" s="56"/>
      <c r="V1280" s="56"/>
      <c r="W1280" s="56"/>
      <c r="X1280" s="56"/>
      <c r="Y1280" s="56"/>
      <c r="Z1280" s="56"/>
      <c r="AA1280" s="56"/>
      <c r="AB1280" s="56"/>
      <c r="AC1280" s="15"/>
    </row>
    <row r="1281" spans="3:29" ht="12.75">
      <c r="C1281" s="23"/>
      <c r="I1281" s="23"/>
      <c r="L1281" s="56"/>
      <c r="M1281" s="56"/>
      <c r="N1281" s="56"/>
      <c r="O1281" s="56"/>
      <c r="P1281" s="56"/>
      <c r="Q1281" s="56"/>
      <c r="R1281" s="56"/>
      <c r="S1281" s="56"/>
      <c r="T1281" s="56"/>
      <c r="U1281" s="56"/>
      <c r="V1281" s="56"/>
      <c r="W1281" s="56"/>
      <c r="X1281" s="56"/>
      <c r="Y1281" s="56"/>
      <c r="Z1281" s="56"/>
      <c r="AA1281" s="56"/>
      <c r="AB1281" s="56"/>
      <c r="AC1281" s="15"/>
    </row>
    <row r="1282" spans="3:29" ht="12.75">
      <c r="C1282" s="23"/>
      <c r="I1282" s="23"/>
      <c r="L1282" s="56"/>
      <c r="M1282" s="56"/>
      <c r="N1282" s="56"/>
      <c r="O1282" s="56"/>
      <c r="P1282" s="56"/>
      <c r="Q1282" s="56"/>
      <c r="R1282" s="56"/>
      <c r="S1282" s="56"/>
      <c r="T1282" s="56"/>
      <c r="U1282" s="56"/>
      <c r="V1282" s="56"/>
      <c r="W1282" s="56"/>
      <c r="X1282" s="56"/>
      <c r="Y1282" s="56"/>
      <c r="Z1282" s="56"/>
      <c r="AA1282" s="56"/>
      <c r="AB1282" s="56"/>
      <c r="AC1282" s="15"/>
    </row>
    <row r="1283" spans="3:29" ht="12.75">
      <c r="C1283" s="23"/>
      <c r="I1283" s="23"/>
      <c r="L1283" s="56"/>
      <c r="M1283" s="56"/>
      <c r="N1283" s="56"/>
      <c r="O1283" s="56"/>
      <c r="P1283" s="56"/>
      <c r="Q1283" s="56"/>
      <c r="R1283" s="56"/>
      <c r="S1283" s="56"/>
      <c r="T1283" s="56"/>
      <c r="U1283" s="56"/>
      <c r="V1283" s="56"/>
      <c r="W1283" s="56"/>
      <c r="X1283" s="56"/>
      <c r="Y1283" s="56"/>
      <c r="Z1283" s="56"/>
      <c r="AA1283" s="56"/>
      <c r="AB1283" s="56"/>
      <c r="AC1283" s="15"/>
    </row>
    <row r="1284" spans="3:29" ht="12.75">
      <c r="C1284" s="23"/>
      <c r="I1284" s="23"/>
      <c r="L1284" s="56"/>
      <c r="M1284" s="56"/>
      <c r="N1284" s="56"/>
      <c r="O1284" s="56"/>
      <c r="P1284" s="56"/>
      <c r="Q1284" s="56"/>
      <c r="R1284" s="56"/>
      <c r="S1284" s="56"/>
      <c r="T1284" s="56"/>
      <c r="U1284" s="56"/>
      <c r="V1284" s="56"/>
      <c r="W1284" s="56"/>
      <c r="X1284" s="56"/>
      <c r="Y1284" s="56"/>
      <c r="Z1284" s="56"/>
      <c r="AA1284" s="56"/>
      <c r="AB1284" s="56"/>
      <c r="AC1284" s="15"/>
    </row>
    <row r="1285" spans="3:29" ht="12.75">
      <c r="C1285" s="23"/>
      <c r="I1285" s="23"/>
      <c r="L1285" s="56"/>
      <c r="M1285" s="56"/>
      <c r="N1285" s="56"/>
      <c r="O1285" s="56"/>
      <c r="P1285" s="56"/>
      <c r="Q1285" s="56"/>
      <c r="R1285" s="56"/>
      <c r="S1285" s="56"/>
      <c r="T1285" s="56"/>
      <c r="U1285" s="56"/>
      <c r="V1285" s="56"/>
      <c r="W1285" s="56"/>
      <c r="X1285" s="56"/>
      <c r="Y1285" s="56"/>
      <c r="Z1285" s="56"/>
      <c r="AA1285" s="56"/>
      <c r="AB1285" s="56"/>
      <c r="AC1285" s="15"/>
    </row>
    <row r="1286" spans="3:29" ht="12.75">
      <c r="C1286" s="23"/>
      <c r="I1286" s="23"/>
      <c r="L1286" s="56"/>
      <c r="M1286" s="56"/>
      <c r="N1286" s="56"/>
      <c r="O1286" s="56"/>
      <c r="P1286" s="56"/>
      <c r="Q1286" s="56"/>
      <c r="R1286" s="56"/>
      <c r="S1286" s="56"/>
      <c r="T1286" s="56"/>
      <c r="U1286" s="56"/>
      <c r="V1286" s="56"/>
      <c r="W1286" s="56"/>
      <c r="X1286" s="56"/>
      <c r="Y1286" s="56"/>
      <c r="Z1286" s="56"/>
      <c r="AA1286" s="56"/>
      <c r="AB1286" s="56"/>
      <c r="AC1286" s="15"/>
    </row>
    <row r="1287" spans="3:29" ht="12.75">
      <c r="C1287" s="23"/>
      <c r="I1287" s="23"/>
      <c r="L1287" s="56"/>
      <c r="M1287" s="56"/>
      <c r="N1287" s="56"/>
      <c r="O1287" s="56"/>
      <c r="P1287" s="56"/>
      <c r="Q1287" s="56"/>
      <c r="R1287" s="56"/>
      <c r="S1287" s="56"/>
      <c r="T1287" s="56"/>
      <c r="U1287" s="56"/>
      <c r="V1287" s="56"/>
      <c r="W1287" s="56"/>
      <c r="X1287" s="56"/>
      <c r="Y1287" s="56"/>
      <c r="Z1287" s="56"/>
      <c r="AA1287" s="56"/>
      <c r="AB1287" s="56"/>
      <c r="AC1287" s="15"/>
    </row>
    <row r="1288" spans="3:29" ht="12.75">
      <c r="C1288" s="23"/>
      <c r="I1288" s="23"/>
      <c r="L1288" s="56"/>
      <c r="M1288" s="56"/>
      <c r="N1288" s="56"/>
      <c r="O1288" s="56"/>
      <c r="P1288" s="56"/>
      <c r="Q1288" s="56"/>
      <c r="R1288" s="56"/>
      <c r="S1288" s="56"/>
      <c r="T1288" s="56"/>
      <c r="U1288" s="56"/>
      <c r="V1288" s="56"/>
      <c r="W1288" s="56"/>
      <c r="X1288" s="56"/>
      <c r="Y1288" s="56"/>
      <c r="Z1288" s="56"/>
      <c r="AA1288" s="56"/>
      <c r="AB1288" s="56"/>
      <c r="AC1288" s="15"/>
    </row>
    <row r="1289" spans="3:29" ht="12.75">
      <c r="C1289" s="23"/>
      <c r="I1289" s="23"/>
      <c r="L1289" s="56"/>
      <c r="M1289" s="56"/>
      <c r="N1289" s="56"/>
      <c r="O1289" s="56"/>
      <c r="P1289" s="56"/>
      <c r="Q1289" s="56"/>
      <c r="R1289" s="56"/>
      <c r="S1289" s="56"/>
      <c r="T1289" s="56"/>
      <c r="U1289" s="56"/>
      <c r="V1289" s="56"/>
      <c r="W1289" s="56"/>
      <c r="X1289" s="56"/>
      <c r="Y1289" s="56"/>
      <c r="Z1289" s="56"/>
      <c r="AA1289" s="56"/>
      <c r="AB1289" s="56"/>
      <c r="AC1289" s="15"/>
    </row>
    <row r="1290" spans="3:29" ht="12.75">
      <c r="C1290" s="23"/>
      <c r="I1290" s="23"/>
      <c r="L1290" s="56"/>
      <c r="M1290" s="56"/>
      <c r="N1290" s="56"/>
      <c r="O1290" s="56"/>
      <c r="P1290" s="56"/>
      <c r="Q1290" s="56"/>
      <c r="R1290" s="56"/>
      <c r="S1290" s="56"/>
      <c r="T1290" s="56"/>
      <c r="U1290" s="56"/>
      <c r="V1290" s="56"/>
      <c r="W1290" s="56"/>
      <c r="X1290" s="56"/>
      <c r="Y1290" s="56"/>
      <c r="Z1290" s="56"/>
      <c r="AA1290" s="56"/>
      <c r="AB1290" s="56"/>
      <c r="AC1290" s="15"/>
    </row>
    <row r="1291" spans="3:29" ht="12.75">
      <c r="C1291" s="23"/>
      <c r="I1291" s="23"/>
      <c r="L1291" s="56"/>
      <c r="M1291" s="56"/>
      <c r="N1291" s="56"/>
      <c r="O1291" s="56"/>
      <c r="P1291" s="56"/>
      <c r="Q1291" s="56"/>
      <c r="R1291" s="56"/>
      <c r="S1291" s="56"/>
      <c r="T1291" s="56"/>
      <c r="U1291" s="56"/>
      <c r="V1291" s="56"/>
      <c r="W1291" s="56"/>
      <c r="X1291" s="56"/>
      <c r="Y1291" s="56"/>
      <c r="Z1291" s="56"/>
      <c r="AA1291" s="56"/>
      <c r="AB1291" s="56"/>
      <c r="AC1291" s="15"/>
    </row>
    <row r="1292" spans="3:29" ht="12.75">
      <c r="C1292" s="23"/>
      <c r="I1292" s="23"/>
      <c r="L1292" s="56"/>
      <c r="M1292" s="56"/>
      <c r="N1292" s="56"/>
      <c r="O1292" s="56"/>
      <c r="P1292" s="56"/>
      <c r="Q1292" s="56"/>
      <c r="R1292" s="56"/>
      <c r="S1292" s="56"/>
      <c r="T1292" s="56"/>
      <c r="U1292" s="56"/>
      <c r="V1292" s="56"/>
      <c r="W1292" s="56"/>
      <c r="X1292" s="56"/>
      <c r="Y1292" s="56"/>
      <c r="Z1292" s="56"/>
      <c r="AA1292" s="56"/>
      <c r="AB1292" s="56"/>
      <c r="AC1292" s="15"/>
    </row>
    <row r="1293" spans="3:29" ht="12.75">
      <c r="C1293" s="23"/>
      <c r="I1293" s="23"/>
      <c r="L1293" s="56"/>
      <c r="M1293" s="56"/>
      <c r="N1293" s="56"/>
      <c r="O1293" s="56"/>
      <c r="P1293" s="56"/>
      <c r="Q1293" s="56"/>
      <c r="R1293" s="56"/>
      <c r="S1293" s="56"/>
      <c r="T1293" s="56"/>
      <c r="U1293" s="56"/>
      <c r="V1293" s="56"/>
      <c r="W1293" s="56"/>
      <c r="X1293" s="56"/>
      <c r="Y1293" s="56"/>
      <c r="Z1293" s="56"/>
      <c r="AA1293" s="56"/>
      <c r="AB1293" s="56"/>
      <c r="AC1293" s="15"/>
    </row>
    <row r="1294" spans="3:29" ht="12.75">
      <c r="C1294" s="23"/>
      <c r="I1294" s="23"/>
      <c r="L1294" s="56"/>
      <c r="M1294" s="56"/>
      <c r="N1294" s="56"/>
      <c r="O1294" s="56"/>
      <c r="P1294" s="56"/>
      <c r="Q1294" s="56"/>
      <c r="R1294" s="56"/>
      <c r="S1294" s="56"/>
      <c r="T1294" s="56"/>
      <c r="U1294" s="56"/>
      <c r="V1294" s="56"/>
      <c r="W1294" s="56"/>
      <c r="X1294" s="56"/>
      <c r="Y1294" s="56"/>
      <c r="Z1294" s="56"/>
      <c r="AA1294" s="56"/>
      <c r="AB1294" s="56"/>
      <c r="AC1294" s="15"/>
    </row>
    <row r="1295" spans="3:29" ht="12.75">
      <c r="C1295" s="23"/>
      <c r="I1295" s="23"/>
      <c r="L1295" s="56"/>
      <c r="M1295" s="56"/>
      <c r="N1295" s="56"/>
      <c r="O1295" s="56"/>
      <c r="P1295" s="56"/>
      <c r="Q1295" s="56"/>
      <c r="R1295" s="56"/>
      <c r="S1295" s="56"/>
      <c r="T1295" s="56"/>
      <c r="U1295" s="56"/>
      <c r="V1295" s="56"/>
      <c r="W1295" s="56"/>
      <c r="X1295" s="56"/>
      <c r="Y1295" s="56"/>
      <c r="Z1295" s="56"/>
      <c r="AA1295" s="56"/>
      <c r="AB1295" s="56"/>
      <c r="AC1295" s="15"/>
    </row>
    <row r="1296" spans="3:29" ht="12.75">
      <c r="C1296" s="23"/>
      <c r="I1296" s="23"/>
      <c r="L1296" s="56"/>
      <c r="M1296" s="56"/>
      <c r="N1296" s="56"/>
      <c r="O1296" s="56"/>
      <c r="P1296" s="56"/>
      <c r="Q1296" s="56"/>
      <c r="R1296" s="56"/>
      <c r="S1296" s="56"/>
      <c r="T1296" s="56"/>
      <c r="U1296" s="56"/>
      <c r="V1296" s="56"/>
      <c r="W1296" s="56"/>
      <c r="X1296" s="56"/>
      <c r="Y1296" s="56"/>
      <c r="Z1296" s="56"/>
      <c r="AA1296" s="56"/>
      <c r="AB1296" s="56"/>
      <c r="AC1296" s="15"/>
    </row>
    <row r="1297" spans="3:29" ht="12.75">
      <c r="C1297" s="23"/>
      <c r="I1297" s="23"/>
      <c r="L1297" s="56"/>
      <c r="M1297" s="56"/>
      <c r="N1297" s="56"/>
      <c r="O1297" s="56"/>
      <c r="P1297" s="56"/>
      <c r="Q1297" s="56"/>
      <c r="R1297" s="56"/>
      <c r="S1297" s="56"/>
      <c r="T1297" s="56"/>
      <c r="U1297" s="56"/>
      <c r="V1297" s="56"/>
      <c r="W1297" s="56"/>
      <c r="X1297" s="56"/>
      <c r="Y1297" s="56"/>
      <c r="Z1297" s="56"/>
      <c r="AA1297" s="56"/>
      <c r="AB1297" s="56"/>
      <c r="AC1297" s="15"/>
    </row>
    <row r="1298" spans="3:29" ht="12.75">
      <c r="C1298" s="23"/>
      <c r="I1298" s="23"/>
      <c r="L1298" s="56"/>
      <c r="M1298" s="56"/>
      <c r="N1298" s="56"/>
      <c r="O1298" s="56"/>
      <c r="P1298" s="56"/>
      <c r="Q1298" s="56"/>
      <c r="R1298" s="56"/>
      <c r="S1298" s="56"/>
      <c r="T1298" s="56"/>
      <c r="U1298" s="56"/>
      <c r="V1298" s="56"/>
      <c r="W1298" s="56"/>
      <c r="X1298" s="56"/>
      <c r="Y1298" s="56"/>
      <c r="Z1298" s="56"/>
      <c r="AA1298" s="56"/>
      <c r="AB1298" s="56"/>
      <c r="AC1298" s="15"/>
    </row>
    <row r="1299" spans="3:29" ht="12.75">
      <c r="C1299" s="23"/>
      <c r="I1299" s="23"/>
      <c r="L1299" s="56"/>
      <c r="M1299" s="56"/>
      <c r="N1299" s="56"/>
      <c r="O1299" s="56"/>
      <c r="P1299" s="56"/>
      <c r="Q1299" s="56"/>
      <c r="R1299" s="56"/>
      <c r="S1299" s="56"/>
      <c r="T1299" s="56"/>
      <c r="U1299" s="56"/>
      <c r="V1299" s="56"/>
      <c r="W1299" s="56"/>
      <c r="X1299" s="56"/>
      <c r="Y1299" s="56"/>
      <c r="Z1299" s="56"/>
      <c r="AA1299" s="56"/>
      <c r="AB1299" s="56"/>
      <c r="AC1299" s="15"/>
    </row>
    <row r="1300" spans="3:29" ht="12.75">
      <c r="C1300" s="23"/>
      <c r="I1300" s="23"/>
      <c r="L1300" s="56"/>
      <c r="M1300" s="56"/>
      <c r="N1300" s="56"/>
      <c r="O1300" s="56"/>
      <c r="P1300" s="56"/>
      <c r="Q1300" s="56"/>
      <c r="R1300" s="56"/>
      <c r="S1300" s="56"/>
      <c r="T1300" s="56"/>
      <c r="U1300" s="56"/>
      <c r="V1300" s="56"/>
      <c r="W1300" s="56"/>
      <c r="X1300" s="56"/>
      <c r="Y1300" s="56"/>
      <c r="Z1300" s="56"/>
      <c r="AA1300" s="56"/>
      <c r="AB1300" s="56"/>
      <c r="AC1300" s="15"/>
    </row>
    <row r="1301" spans="3:29" ht="12.75">
      <c r="C1301" s="23"/>
      <c r="I1301" s="23"/>
      <c r="L1301" s="56"/>
      <c r="M1301" s="56"/>
      <c r="N1301" s="56"/>
      <c r="O1301" s="56"/>
      <c r="P1301" s="56"/>
      <c r="Q1301" s="56"/>
      <c r="R1301" s="56"/>
      <c r="S1301" s="56"/>
      <c r="T1301" s="56"/>
      <c r="U1301" s="56"/>
      <c r="V1301" s="56"/>
      <c r="W1301" s="56"/>
      <c r="X1301" s="56"/>
      <c r="Y1301" s="56"/>
      <c r="Z1301" s="56"/>
      <c r="AA1301" s="56"/>
      <c r="AB1301" s="56"/>
      <c r="AC1301" s="15"/>
    </row>
    <row r="1302" spans="3:29" ht="12.75">
      <c r="C1302" s="23"/>
      <c r="I1302" s="23"/>
      <c r="L1302" s="56"/>
      <c r="M1302" s="56"/>
      <c r="N1302" s="56"/>
      <c r="O1302" s="56"/>
      <c r="P1302" s="56"/>
      <c r="Q1302" s="56"/>
      <c r="R1302" s="56"/>
      <c r="S1302" s="56"/>
      <c r="T1302" s="56"/>
      <c r="U1302" s="56"/>
      <c r="V1302" s="56"/>
      <c r="W1302" s="56"/>
      <c r="X1302" s="56"/>
      <c r="Y1302" s="56"/>
      <c r="Z1302" s="56"/>
      <c r="AA1302" s="56"/>
      <c r="AB1302" s="56"/>
      <c r="AC1302" s="15"/>
    </row>
    <row r="1303" spans="3:29" ht="12.75">
      <c r="C1303" s="23"/>
      <c r="I1303" s="23"/>
      <c r="L1303" s="56"/>
      <c r="M1303" s="56"/>
      <c r="N1303" s="56"/>
      <c r="O1303" s="56"/>
      <c r="P1303" s="56"/>
      <c r="Q1303" s="56"/>
      <c r="R1303" s="56"/>
      <c r="S1303" s="56"/>
      <c r="T1303" s="56"/>
      <c r="U1303" s="56"/>
      <c r="V1303" s="56"/>
      <c r="W1303" s="56"/>
      <c r="X1303" s="56"/>
      <c r="Y1303" s="56"/>
      <c r="Z1303" s="56"/>
      <c r="AA1303" s="56"/>
      <c r="AB1303" s="56"/>
      <c r="AC1303" s="15"/>
    </row>
    <row r="1304" spans="3:29" ht="12.75">
      <c r="C1304" s="23"/>
      <c r="I1304" s="23"/>
      <c r="L1304" s="56"/>
      <c r="M1304" s="56"/>
      <c r="N1304" s="56"/>
      <c r="O1304" s="56"/>
      <c r="P1304" s="56"/>
      <c r="Q1304" s="56"/>
      <c r="R1304" s="56"/>
      <c r="S1304" s="56"/>
      <c r="T1304" s="56"/>
      <c r="U1304" s="56"/>
      <c r="V1304" s="56"/>
      <c r="W1304" s="56"/>
      <c r="X1304" s="56"/>
      <c r="Y1304" s="56"/>
      <c r="Z1304" s="56"/>
      <c r="AA1304" s="56"/>
      <c r="AB1304" s="56"/>
      <c r="AC1304" s="15"/>
    </row>
    <row r="1305" spans="3:29" ht="12.75">
      <c r="C1305" s="23"/>
      <c r="I1305" s="23"/>
      <c r="L1305" s="56"/>
      <c r="M1305" s="56"/>
      <c r="N1305" s="56"/>
      <c r="O1305" s="56"/>
      <c r="P1305" s="56"/>
      <c r="Q1305" s="56"/>
      <c r="R1305" s="56"/>
      <c r="S1305" s="56"/>
      <c r="T1305" s="56"/>
      <c r="U1305" s="56"/>
      <c r="V1305" s="56"/>
      <c r="W1305" s="56"/>
      <c r="X1305" s="56"/>
      <c r="Y1305" s="56"/>
      <c r="Z1305" s="56"/>
      <c r="AA1305" s="56"/>
      <c r="AB1305" s="56"/>
      <c r="AC1305" s="15"/>
    </row>
    <row r="1306" spans="3:29" ht="12.75">
      <c r="C1306" s="23"/>
      <c r="I1306" s="23"/>
      <c r="L1306" s="56"/>
      <c r="M1306" s="56"/>
      <c r="N1306" s="56"/>
      <c r="O1306" s="56"/>
      <c r="P1306" s="56"/>
      <c r="Q1306" s="56"/>
      <c r="R1306" s="56"/>
      <c r="S1306" s="56"/>
      <c r="T1306" s="56"/>
      <c r="U1306" s="56"/>
      <c r="V1306" s="56"/>
      <c r="W1306" s="56"/>
      <c r="X1306" s="56"/>
      <c r="Y1306" s="56"/>
      <c r="Z1306" s="56"/>
      <c r="AA1306" s="56"/>
      <c r="AB1306" s="56"/>
      <c r="AC1306" s="15"/>
    </row>
    <row r="1307" spans="3:29" ht="12.75">
      <c r="C1307" s="23"/>
      <c r="I1307" s="23"/>
      <c r="L1307" s="56"/>
      <c r="M1307" s="56"/>
      <c r="N1307" s="56"/>
      <c r="O1307" s="56"/>
      <c r="P1307" s="56"/>
      <c r="Q1307" s="56"/>
      <c r="R1307" s="56"/>
      <c r="S1307" s="56"/>
      <c r="T1307" s="56"/>
      <c r="U1307" s="56"/>
      <c r="V1307" s="56"/>
      <c r="W1307" s="56"/>
      <c r="X1307" s="56"/>
      <c r="Y1307" s="56"/>
      <c r="Z1307" s="56"/>
      <c r="AA1307" s="56"/>
      <c r="AB1307" s="56"/>
      <c r="AC1307" s="15"/>
    </row>
    <row r="1308" spans="3:29" ht="12.75">
      <c r="C1308" s="23"/>
      <c r="I1308" s="23"/>
      <c r="L1308" s="56"/>
      <c r="M1308" s="56"/>
      <c r="N1308" s="56"/>
      <c r="O1308" s="56"/>
      <c r="P1308" s="56"/>
      <c r="Q1308" s="56"/>
      <c r="R1308" s="56"/>
      <c r="S1308" s="56"/>
      <c r="T1308" s="56"/>
      <c r="U1308" s="56"/>
      <c r="V1308" s="56"/>
      <c r="W1308" s="56"/>
      <c r="X1308" s="56"/>
      <c r="Y1308" s="56"/>
      <c r="Z1308" s="56"/>
      <c r="AA1308" s="56"/>
      <c r="AB1308" s="56"/>
      <c r="AC1308" s="15"/>
    </row>
    <row r="1309" spans="3:29" ht="12.75">
      <c r="C1309" s="23"/>
      <c r="I1309" s="23"/>
      <c r="L1309" s="56"/>
      <c r="M1309" s="56"/>
      <c r="N1309" s="56"/>
      <c r="O1309" s="56"/>
      <c r="P1309" s="56"/>
      <c r="Q1309" s="56"/>
      <c r="R1309" s="56"/>
      <c r="S1309" s="56"/>
      <c r="T1309" s="56"/>
      <c r="U1309" s="56"/>
      <c r="V1309" s="56"/>
      <c r="W1309" s="56"/>
      <c r="X1309" s="56"/>
      <c r="Y1309" s="56"/>
      <c r="Z1309" s="56"/>
      <c r="AA1309" s="56"/>
      <c r="AB1309" s="56"/>
      <c r="AC1309" s="15"/>
    </row>
    <row r="1310" spans="3:29" ht="12.75">
      <c r="C1310" s="23"/>
      <c r="I1310" s="23"/>
      <c r="L1310" s="56"/>
      <c r="M1310" s="56"/>
      <c r="N1310" s="56"/>
      <c r="O1310" s="56"/>
      <c r="P1310" s="56"/>
      <c r="Q1310" s="56"/>
      <c r="R1310" s="56"/>
      <c r="S1310" s="56"/>
      <c r="T1310" s="56"/>
      <c r="U1310" s="56"/>
      <c r="V1310" s="56"/>
      <c r="W1310" s="56"/>
      <c r="X1310" s="56"/>
      <c r="Y1310" s="56"/>
      <c r="Z1310" s="56"/>
      <c r="AA1310" s="56"/>
      <c r="AB1310" s="56"/>
      <c r="AC1310" s="15"/>
    </row>
    <row r="1311" spans="3:29" ht="12.75">
      <c r="C1311" s="23"/>
      <c r="I1311" s="23"/>
      <c r="L1311" s="56"/>
      <c r="M1311" s="56"/>
      <c r="N1311" s="56"/>
      <c r="O1311" s="56"/>
      <c r="P1311" s="56"/>
      <c r="Q1311" s="56"/>
      <c r="R1311" s="56"/>
      <c r="S1311" s="56"/>
      <c r="T1311" s="56"/>
      <c r="U1311" s="56"/>
      <c r="V1311" s="56"/>
      <c r="W1311" s="56"/>
      <c r="X1311" s="56"/>
      <c r="Y1311" s="56"/>
      <c r="Z1311" s="56"/>
      <c r="AA1311" s="56"/>
      <c r="AB1311" s="56"/>
      <c r="AC1311" s="15"/>
    </row>
    <row r="1312" spans="3:29" ht="12.75">
      <c r="C1312" s="23"/>
      <c r="I1312" s="23"/>
      <c r="L1312" s="56"/>
      <c r="M1312" s="56"/>
      <c r="N1312" s="56"/>
      <c r="O1312" s="56"/>
      <c r="P1312" s="56"/>
      <c r="Q1312" s="56"/>
      <c r="R1312" s="56"/>
      <c r="S1312" s="56"/>
      <c r="T1312" s="56"/>
      <c r="U1312" s="56"/>
      <c r="V1312" s="56"/>
      <c r="W1312" s="56"/>
      <c r="X1312" s="56"/>
      <c r="Y1312" s="56"/>
      <c r="Z1312" s="56"/>
      <c r="AA1312" s="56"/>
      <c r="AB1312" s="56"/>
      <c r="AC1312" s="15"/>
    </row>
    <row r="1313" spans="3:29" ht="12.75">
      <c r="C1313" s="23"/>
      <c r="I1313" s="23"/>
      <c r="L1313" s="56"/>
      <c r="M1313" s="56"/>
      <c r="N1313" s="56"/>
      <c r="O1313" s="56"/>
      <c r="P1313" s="56"/>
      <c r="Q1313" s="56"/>
      <c r="R1313" s="56"/>
      <c r="S1313" s="56"/>
      <c r="T1313" s="56"/>
      <c r="U1313" s="56"/>
      <c r="V1313" s="56"/>
      <c r="W1313" s="56"/>
      <c r="X1313" s="56"/>
      <c r="Y1313" s="56"/>
      <c r="Z1313" s="56"/>
      <c r="AA1313" s="56"/>
      <c r="AB1313" s="56"/>
      <c r="AC1313" s="15"/>
    </row>
    <row r="1314" spans="3:29" ht="12.75">
      <c r="C1314" s="23"/>
      <c r="I1314" s="23"/>
      <c r="L1314" s="56"/>
      <c r="M1314" s="56"/>
      <c r="N1314" s="56"/>
      <c r="O1314" s="56"/>
      <c r="P1314" s="56"/>
      <c r="Q1314" s="56"/>
      <c r="R1314" s="56"/>
      <c r="S1314" s="56"/>
      <c r="T1314" s="56"/>
      <c r="U1314" s="56"/>
      <c r="V1314" s="56"/>
      <c r="W1314" s="56"/>
      <c r="X1314" s="56"/>
      <c r="Y1314" s="56"/>
      <c r="Z1314" s="56"/>
      <c r="AA1314" s="56"/>
      <c r="AB1314" s="56"/>
      <c r="AC1314" s="15"/>
    </row>
    <row r="1315" spans="3:29" ht="12.75">
      <c r="C1315" s="23"/>
      <c r="I1315" s="23"/>
      <c r="L1315" s="56"/>
      <c r="M1315" s="56"/>
      <c r="N1315" s="56"/>
      <c r="O1315" s="56"/>
      <c r="P1315" s="56"/>
      <c r="Q1315" s="56"/>
      <c r="R1315" s="56"/>
      <c r="S1315" s="56"/>
      <c r="T1315" s="56"/>
      <c r="U1315" s="56"/>
      <c r="V1315" s="56"/>
      <c r="W1315" s="56"/>
      <c r="X1315" s="56"/>
      <c r="Y1315" s="56"/>
      <c r="Z1315" s="56"/>
      <c r="AA1315" s="56"/>
      <c r="AB1315" s="56"/>
      <c r="AC1315" s="15"/>
    </row>
    <row r="1316" spans="3:29" ht="12.75">
      <c r="C1316" s="23"/>
      <c r="I1316" s="23"/>
      <c r="L1316" s="56"/>
      <c r="M1316" s="56"/>
      <c r="N1316" s="56"/>
      <c r="O1316" s="56"/>
      <c r="P1316" s="56"/>
      <c r="Q1316" s="56"/>
      <c r="R1316" s="56"/>
      <c r="S1316" s="56"/>
      <c r="T1316" s="56"/>
      <c r="U1316" s="56"/>
      <c r="V1316" s="56"/>
      <c r="W1316" s="56"/>
      <c r="X1316" s="56"/>
      <c r="Y1316" s="56"/>
      <c r="Z1316" s="56"/>
      <c r="AA1316" s="56"/>
      <c r="AB1316" s="56"/>
      <c r="AC1316" s="15"/>
    </row>
    <row r="1317" spans="3:29" ht="12.75">
      <c r="C1317" s="23"/>
      <c r="I1317" s="23"/>
      <c r="L1317" s="56"/>
      <c r="M1317" s="56"/>
      <c r="N1317" s="56"/>
      <c r="O1317" s="56"/>
      <c r="P1317" s="56"/>
      <c r="Q1317" s="56"/>
      <c r="R1317" s="56"/>
      <c r="S1317" s="56"/>
      <c r="T1317" s="56"/>
      <c r="U1317" s="56"/>
      <c r="V1317" s="56"/>
      <c r="W1317" s="56"/>
      <c r="X1317" s="56"/>
      <c r="Y1317" s="56"/>
      <c r="Z1317" s="56"/>
      <c r="AA1317" s="56"/>
      <c r="AB1317" s="56"/>
      <c r="AC1317" s="15"/>
    </row>
    <row r="1318" spans="3:29" ht="12.75">
      <c r="C1318" s="23"/>
      <c r="I1318" s="23"/>
      <c r="L1318" s="56"/>
      <c r="M1318" s="56"/>
      <c r="N1318" s="56"/>
      <c r="O1318" s="56"/>
      <c r="P1318" s="56"/>
      <c r="Q1318" s="56"/>
      <c r="R1318" s="56"/>
      <c r="S1318" s="56"/>
      <c r="T1318" s="56"/>
      <c r="U1318" s="56"/>
      <c r="V1318" s="56"/>
      <c r="W1318" s="56"/>
      <c r="X1318" s="56"/>
      <c r="Y1318" s="56"/>
      <c r="Z1318" s="56"/>
      <c r="AA1318" s="56"/>
      <c r="AB1318" s="56"/>
      <c r="AC1318" s="15"/>
    </row>
    <row r="1319" spans="3:29" ht="12.75">
      <c r="C1319" s="23"/>
      <c r="I1319" s="23"/>
      <c r="L1319" s="56"/>
      <c r="M1319" s="56"/>
      <c r="N1319" s="56"/>
      <c r="O1319" s="56"/>
      <c r="P1319" s="56"/>
      <c r="Q1319" s="56"/>
      <c r="R1319" s="56"/>
      <c r="S1319" s="56"/>
      <c r="T1319" s="56"/>
      <c r="U1319" s="56"/>
      <c r="V1319" s="56"/>
      <c r="W1319" s="56"/>
      <c r="X1319" s="56"/>
      <c r="Y1319" s="56"/>
      <c r="Z1319" s="56"/>
      <c r="AA1319" s="56"/>
      <c r="AB1319" s="56"/>
      <c r="AC1319" s="15"/>
    </row>
    <row r="1320" spans="3:29" ht="12.75">
      <c r="C1320" s="23"/>
      <c r="I1320" s="23"/>
      <c r="L1320" s="56"/>
      <c r="M1320" s="56"/>
      <c r="N1320" s="56"/>
      <c r="O1320" s="56"/>
      <c r="P1320" s="56"/>
      <c r="Q1320" s="56"/>
      <c r="R1320" s="56"/>
      <c r="S1320" s="56"/>
      <c r="T1320" s="56"/>
      <c r="U1320" s="56"/>
      <c r="V1320" s="56"/>
      <c r="W1320" s="56"/>
      <c r="X1320" s="56"/>
      <c r="Y1320" s="56"/>
      <c r="Z1320" s="56"/>
      <c r="AA1320" s="56"/>
      <c r="AB1320" s="56"/>
      <c r="AC1320" s="15"/>
    </row>
    <row r="1321" spans="3:29" ht="12.75">
      <c r="C1321" s="23"/>
      <c r="I1321" s="23"/>
      <c r="L1321" s="56"/>
      <c r="M1321" s="56"/>
      <c r="N1321" s="56"/>
      <c r="O1321" s="56"/>
      <c r="P1321" s="56"/>
      <c r="Q1321" s="56"/>
      <c r="R1321" s="56"/>
      <c r="S1321" s="56"/>
      <c r="T1321" s="56"/>
      <c r="U1321" s="56"/>
      <c r="V1321" s="56"/>
      <c r="W1321" s="56"/>
      <c r="X1321" s="56"/>
      <c r="Y1321" s="56"/>
      <c r="Z1321" s="56"/>
      <c r="AA1321" s="56"/>
      <c r="AB1321" s="56"/>
      <c r="AC1321" s="15"/>
    </row>
    <row r="1322" spans="3:29" ht="12.75">
      <c r="C1322" s="23"/>
      <c r="I1322" s="23"/>
      <c r="L1322" s="56"/>
      <c r="M1322" s="56"/>
      <c r="N1322" s="56"/>
      <c r="O1322" s="56"/>
      <c r="P1322" s="56"/>
      <c r="Q1322" s="56"/>
      <c r="R1322" s="56"/>
      <c r="S1322" s="56"/>
      <c r="T1322" s="56"/>
      <c r="U1322" s="56"/>
      <c r="V1322" s="56"/>
      <c r="W1322" s="56"/>
      <c r="X1322" s="56"/>
      <c r="Y1322" s="56"/>
      <c r="Z1322" s="56"/>
      <c r="AA1322" s="56"/>
      <c r="AB1322" s="56"/>
      <c r="AC1322" s="15"/>
    </row>
    <row r="1323" spans="3:29" ht="12.75">
      <c r="C1323" s="23"/>
      <c r="I1323" s="23"/>
      <c r="L1323" s="56"/>
      <c r="M1323" s="56"/>
      <c r="N1323" s="56"/>
      <c r="O1323" s="56"/>
      <c r="P1323" s="56"/>
      <c r="Q1323" s="56"/>
      <c r="R1323" s="56"/>
      <c r="S1323" s="56"/>
      <c r="T1323" s="56"/>
      <c r="U1323" s="56"/>
      <c r="V1323" s="56"/>
      <c r="W1323" s="56"/>
      <c r="X1323" s="56"/>
      <c r="Y1323" s="56"/>
      <c r="Z1323" s="56"/>
      <c r="AA1323" s="56"/>
      <c r="AB1323" s="56"/>
      <c r="AC1323" s="15"/>
    </row>
    <row r="1324" spans="3:29" ht="12.75">
      <c r="C1324" s="23"/>
      <c r="I1324" s="23"/>
      <c r="L1324" s="56"/>
      <c r="M1324" s="56"/>
      <c r="N1324" s="56"/>
      <c r="O1324" s="56"/>
      <c r="P1324" s="56"/>
      <c r="Q1324" s="56"/>
      <c r="R1324" s="56"/>
      <c r="S1324" s="56"/>
      <c r="T1324" s="56"/>
      <c r="U1324" s="56"/>
      <c r="V1324" s="56"/>
      <c r="W1324" s="56"/>
      <c r="X1324" s="56"/>
      <c r="Y1324" s="56"/>
      <c r="Z1324" s="56"/>
      <c r="AA1324" s="56"/>
      <c r="AB1324" s="56"/>
      <c r="AC1324" s="15"/>
    </row>
    <row r="1325" spans="3:29" ht="12.75">
      <c r="C1325" s="23"/>
      <c r="I1325" s="23"/>
      <c r="L1325" s="56"/>
      <c r="M1325" s="56"/>
      <c r="N1325" s="56"/>
      <c r="O1325" s="56"/>
      <c r="P1325" s="56"/>
      <c r="Q1325" s="56"/>
      <c r="R1325" s="56"/>
      <c r="S1325" s="56"/>
      <c r="T1325" s="56"/>
      <c r="U1325" s="56"/>
      <c r="V1325" s="56"/>
      <c r="W1325" s="56"/>
      <c r="X1325" s="56"/>
      <c r="Y1325" s="56"/>
      <c r="Z1325" s="56"/>
      <c r="AA1325" s="56"/>
      <c r="AB1325" s="56"/>
      <c r="AC1325" s="15"/>
    </row>
    <row r="1326" spans="3:29" ht="12.75">
      <c r="C1326" s="23"/>
      <c r="I1326" s="23"/>
      <c r="L1326" s="56"/>
      <c r="M1326" s="56"/>
      <c r="N1326" s="56"/>
      <c r="O1326" s="56"/>
      <c r="P1326" s="56"/>
      <c r="Q1326" s="56"/>
      <c r="R1326" s="56"/>
      <c r="S1326" s="56"/>
      <c r="T1326" s="56"/>
      <c r="U1326" s="56"/>
      <c r="V1326" s="56"/>
      <c r="W1326" s="56"/>
      <c r="X1326" s="56"/>
      <c r="Y1326" s="56"/>
      <c r="Z1326" s="56"/>
      <c r="AA1326" s="56"/>
      <c r="AB1326" s="56"/>
      <c r="AC1326" s="15"/>
    </row>
    <row r="1327" spans="3:29" ht="12.75">
      <c r="C1327" s="23"/>
      <c r="I1327" s="23"/>
      <c r="L1327" s="56"/>
      <c r="M1327" s="56"/>
      <c r="N1327" s="56"/>
      <c r="O1327" s="56"/>
      <c r="P1327" s="56"/>
      <c r="Q1327" s="56"/>
      <c r="R1327" s="56"/>
      <c r="S1327" s="56"/>
      <c r="T1327" s="56"/>
      <c r="U1327" s="56"/>
      <c r="V1327" s="56"/>
      <c r="W1327" s="56"/>
      <c r="X1327" s="56"/>
      <c r="Y1327" s="56"/>
      <c r="Z1327" s="56"/>
      <c r="AA1327" s="56"/>
      <c r="AB1327" s="56"/>
      <c r="AC1327" s="15"/>
    </row>
    <row r="1328" spans="3:29" ht="12.75">
      <c r="C1328" s="23"/>
      <c r="I1328" s="23"/>
      <c r="L1328" s="56"/>
      <c r="M1328" s="56"/>
      <c r="N1328" s="56"/>
      <c r="O1328" s="56"/>
      <c r="P1328" s="56"/>
      <c r="Q1328" s="56"/>
      <c r="R1328" s="56"/>
      <c r="S1328" s="56"/>
      <c r="T1328" s="56"/>
      <c r="U1328" s="56"/>
      <c r="V1328" s="56"/>
      <c r="W1328" s="56"/>
      <c r="X1328" s="56"/>
      <c r="Y1328" s="56"/>
      <c r="Z1328" s="56"/>
      <c r="AA1328" s="56"/>
      <c r="AB1328" s="56"/>
      <c r="AC1328" s="15"/>
    </row>
    <row r="1329" spans="3:29" ht="12.75">
      <c r="C1329" s="23"/>
      <c r="I1329" s="23"/>
      <c r="L1329" s="56"/>
      <c r="M1329" s="56"/>
      <c r="N1329" s="56"/>
      <c r="O1329" s="56"/>
      <c r="P1329" s="56"/>
      <c r="Q1329" s="56"/>
      <c r="R1329" s="56"/>
      <c r="S1329" s="56"/>
      <c r="T1329" s="56"/>
      <c r="U1329" s="56"/>
      <c r="V1329" s="56"/>
      <c r="W1329" s="56"/>
      <c r="X1329" s="56"/>
      <c r="Y1329" s="56"/>
      <c r="Z1329" s="56"/>
      <c r="AA1329" s="56"/>
      <c r="AB1329" s="56"/>
      <c r="AC1329" s="15"/>
    </row>
    <row r="1330" spans="3:29" ht="12.75">
      <c r="C1330" s="23"/>
      <c r="I1330" s="23"/>
      <c r="L1330" s="56"/>
      <c r="M1330" s="56"/>
      <c r="N1330" s="56"/>
      <c r="O1330" s="56"/>
      <c r="P1330" s="56"/>
      <c r="Q1330" s="56"/>
      <c r="R1330" s="56"/>
      <c r="S1330" s="56"/>
      <c r="T1330" s="56"/>
      <c r="U1330" s="56"/>
      <c r="V1330" s="56"/>
      <c r="W1330" s="56"/>
      <c r="X1330" s="56"/>
      <c r="Y1330" s="56"/>
      <c r="Z1330" s="56"/>
      <c r="AA1330" s="56"/>
      <c r="AB1330" s="56"/>
      <c r="AC1330" s="15"/>
    </row>
    <row r="1331" spans="3:29" ht="12.75">
      <c r="C1331" s="23"/>
      <c r="I1331" s="23"/>
      <c r="L1331" s="56"/>
      <c r="M1331" s="56"/>
      <c r="N1331" s="56"/>
      <c r="O1331" s="56"/>
      <c r="P1331" s="56"/>
      <c r="Q1331" s="56"/>
      <c r="R1331" s="56"/>
      <c r="S1331" s="56"/>
      <c r="T1331" s="56"/>
      <c r="U1331" s="56"/>
      <c r="V1331" s="56"/>
      <c r="W1331" s="56"/>
      <c r="X1331" s="56"/>
      <c r="Y1331" s="56"/>
      <c r="Z1331" s="56"/>
      <c r="AA1331" s="56"/>
      <c r="AB1331" s="56"/>
      <c r="AC1331" s="15"/>
    </row>
    <row r="1332" spans="3:29" ht="12.75">
      <c r="C1332" s="23"/>
      <c r="I1332" s="23"/>
      <c r="L1332" s="56"/>
      <c r="M1332" s="56"/>
      <c r="N1332" s="56"/>
      <c r="O1332" s="56"/>
      <c r="P1332" s="56"/>
      <c r="Q1332" s="56"/>
      <c r="R1332" s="56"/>
      <c r="S1332" s="56"/>
      <c r="T1332" s="56"/>
      <c r="U1332" s="56"/>
      <c r="V1332" s="56"/>
      <c r="W1332" s="56"/>
      <c r="X1332" s="56"/>
      <c r="Y1332" s="56"/>
      <c r="Z1332" s="56"/>
      <c r="AA1332" s="56"/>
      <c r="AB1332" s="56"/>
      <c r="AC1332" s="15"/>
    </row>
    <row r="1333" spans="3:29" ht="12.75">
      <c r="C1333" s="23"/>
      <c r="I1333" s="23"/>
      <c r="L1333" s="56"/>
      <c r="M1333" s="56"/>
      <c r="N1333" s="56"/>
      <c r="O1333" s="56"/>
      <c r="P1333" s="56"/>
      <c r="Q1333" s="56"/>
      <c r="R1333" s="56"/>
      <c r="S1333" s="56"/>
      <c r="T1333" s="56"/>
      <c r="U1333" s="56"/>
      <c r="V1333" s="56"/>
      <c r="W1333" s="56"/>
      <c r="X1333" s="56"/>
      <c r="Y1333" s="56"/>
      <c r="Z1333" s="56"/>
      <c r="AA1333" s="56"/>
      <c r="AB1333" s="56"/>
      <c r="AC1333" s="15"/>
    </row>
    <row r="1334" spans="3:29" ht="12.75">
      <c r="C1334" s="23"/>
      <c r="I1334" s="23"/>
      <c r="L1334" s="56"/>
      <c r="M1334" s="56"/>
      <c r="N1334" s="56"/>
      <c r="O1334" s="56"/>
      <c r="P1334" s="56"/>
      <c r="Q1334" s="56"/>
      <c r="R1334" s="56"/>
      <c r="S1334" s="56"/>
      <c r="T1334" s="56"/>
      <c r="U1334" s="56"/>
      <c r="V1334" s="56"/>
      <c r="W1334" s="56"/>
      <c r="X1334" s="56"/>
      <c r="Y1334" s="56"/>
      <c r="Z1334" s="56"/>
      <c r="AA1334" s="56"/>
      <c r="AB1334" s="56"/>
      <c r="AC1334" s="15"/>
    </row>
    <row r="1335" spans="3:29" ht="12.75">
      <c r="C1335" s="23"/>
      <c r="I1335" s="23"/>
      <c r="L1335" s="56"/>
      <c r="M1335" s="56"/>
      <c r="N1335" s="56"/>
      <c r="O1335" s="56"/>
      <c r="P1335" s="56"/>
      <c r="Q1335" s="56"/>
      <c r="R1335" s="56"/>
      <c r="S1335" s="56"/>
      <c r="T1335" s="56"/>
      <c r="U1335" s="56"/>
      <c r="V1335" s="56"/>
      <c r="W1335" s="56"/>
      <c r="X1335" s="56"/>
      <c r="Y1335" s="56"/>
      <c r="Z1335" s="56"/>
      <c r="AA1335" s="56"/>
      <c r="AB1335" s="56"/>
      <c r="AC1335" s="15"/>
    </row>
    <row r="1336" spans="3:29" ht="12.75">
      <c r="C1336" s="23"/>
      <c r="I1336" s="23"/>
      <c r="L1336" s="56"/>
      <c r="M1336" s="56"/>
      <c r="N1336" s="56"/>
      <c r="O1336" s="56"/>
      <c r="P1336" s="56"/>
      <c r="Q1336" s="56"/>
      <c r="R1336" s="56"/>
      <c r="S1336" s="56"/>
      <c r="T1336" s="56"/>
      <c r="U1336" s="56"/>
      <c r="V1336" s="56"/>
      <c r="W1336" s="56"/>
      <c r="X1336" s="56"/>
      <c r="Y1336" s="56"/>
      <c r="Z1336" s="56"/>
      <c r="AA1336" s="56"/>
      <c r="AB1336" s="56"/>
      <c r="AC1336" s="15"/>
    </row>
    <row r="1337" spans="3:29" ht="12.75">
      <c r="C1337" s="23"/>
      <c r="I1337" s="23"/>
      <c r="L1337" s="56"/>
      <c r="M1337" s="56"/>
      <c r="N1337" s="56"/>
      <c r="O1337" s="56"/>
      <c r="P1337" s="56"/>
      <c r="Q1337" s="56"/>
      <c r="R1337" s="56"/>
      <c r="S1337" s="56"/>
      <c r="T1337" s="56"/>
      <c r="U1337" s="56"/>
      <c r="V1337" s="56"/>
      <c r="W1337" s="56"/>
      <c r="X1337" s="56"/>
      <c r="Y1337" s="56"/>
      <c r="Z1337" s="56"/>
      <c r="AA1337" s="56"/>
      <c r="AB1337" s="56"/>
      <c r="AC1337" s="15"/>
    </row>
    <row r="1338" spans="3:29" ht="12.75">
      <c r="C1338" s="23"/>
      <c r="I1338" s="23"/>
      <c r="L1338" s="56"/>
      <c r="M1338" s="56"/>
      <c r="N1338" s="56"/>
      <c r="O1338" s="56"/>
      <c r="P1338" s="56"/>
      <c r="Q1338" s="56"/>
      <c r="R1338" s="56"/>
      <c r="S1338" s="56"/>
      <c r="T1338" s="56"/>
      <c r="U1338" s="56"/>
      <c r="V1338" s="56"/>
      <c r="W1338" s="56"/>
      <c r="X1338" s="56"/>
      <c r="Y1338" s="56"/>
      <c r="Z1338" s="56"/>
      <c r="AA1338" s="56"/>
      <c r="AB1338" s="56"/>
      <c r="AC1338" s="15"/>
    </row>
    <row r="1339" spans="3:29" ht="12.75">
      <c r="C1339" s="23"/>
      <c r="I1339" s="23"/>
      <c r="L1339" s="56"/>
      <c r="M1339" s="56"/>
      <c r="N1339" s="56"/>
      <c r="O1339" s="56"/>
      <c r="P1339" s="56"/>
      <c r="Q1339" s="56"/>
      <c r="R1339" s="56"/>
      <c r="S1339" s="56"/>
      <c r="T1339" s="56"/>
      <c r="U1339" s="56"/>
      <c r="V1339" s="56"/>
      <c r="W1339" s="56"/>
      <c r="X1339" s="56"/>
      <c r="Y1339" s="56"/>
      <c r="Z1339" s="56"/>
      <c r="AA1339" s="56"/>
      <c r="AB1339" s="56"/>
      <c r="AC1339" s="15"/>
    </row>
    <row r="1340" spans="3:29" ht="12.75">
      <c r="C1340" s="23"/>
      <c r="I1340" s="23"/>
      <c r="L1340" s="56"/>
      <c r="M1340" s="56"/>
      <c r="N1340" s="56"/>
      <c r="O1340" s="56"/>
      <c r="P1340" s="56"/>
      <c r="Q1340" s="56"/>
      <c r="R1340" s="56"/>
      <c r="S1340" s="56"/>
      <c r="T1340" s="56"/>
      <c r="U1340" s="56"/>
      <c r="V1340" s="56"/>
      <c r="W1340" s="56"/>
      <c r="X1340" s="56"/>
      <c r="Y1340" s="56"/>
      <c r="Z1340" s="56"/>
      <c r="AA1340" s="56"/>
      <c r="AB1340" s="56"/>
      <c r="AC1340" s="15"/>
    </row>
    <row r="1341" spans="3:29" ht="12.75">
      <c r="C1341" s="23"/>
      <c r="I1341" s="23"/>
      <c r="L1341" s="56"/>
      <c r="M1341" s="56"/>
      <c r="N1341" s="56"/>
      <c r="O1341" s="56"/>
      <c r="P1341" s="56"/>
      <c r="Q1341" s="56"/>
      <c r="R1341" s="56"/>
      <c r="S1341" s="56"/>
      <c r="T1341" s="56"/>
      <c r="U1341" s="56"/>
      <c r="V1341" s="56"/>
      <c r="W1341" s="56"/>
      <c r="X1341" s="56"/>
      <c r="Y1341" s="56"/>
      <c r="Z1341" s="56"/>
      <c r="AA1341" s="56"/>
      <c r="AB1341" s="56"/>
      <c r="AC1341" s="15"/>
    </row>
    <row r="1342" spans="3:29" ht="12.75">
      <c r="C1342" s="23"/>
      <c r="I1342" s="23"/>
      <c r="L1342" s="56"/>
      <c r="M1342" s="56"/>
      <c r="N1342" s="56"/>
      <c r="O1342" s="56"/>
      <c r="P1342" s="56"/>
      <c r="Q1342" s="56"/>
      <c r="R1342" s="56"/>
      <c r="S1342" s="56"/>
      <c r="T1342" s="56"/>
      <c r="U1342" s="56"/>
      <c r="V1342" s="56"/>
      <c r="W1342" s="56"/>
      <c r="X1342" s="56"/>
      <c r="Y1342" s="56"/>
      <c r="Z1342" s="56"/>
      <c r="AA1342" s="56"/>
      <c r="AB1342" s="56"/>
      <c r="AC1342" s="15"/>
    </row>
    <row r="1343" spans="3:29" ht="12.75">
      <c r="C1343" s="23"/>
      <c r="I1343" s="23"/>
      <c r="L1343" s="56"/>
      <c r="M1343" s="56"/>
      <c r="N1343" s="56"/>
      <c r="O1343" s="56"/>
      <c r="P1343" s="56"/>
      <c r="Q1343" s="56"/>
      <c r="R1343" s="56"/>
      <c r="S1343" s="56"/>
      <c r="T1343" s="56"/>
      <c r="U1343" s="56"/>
      <c r="V1343" s="56"/>
      <c r="W1343" s="56"/>
      <c r="X1343" s="56"/>
      <c r="Y1343" s="56"/>
      <c r="Z1343" s="56"/>
      <c r="AA1343" s="56"/>
      <c r="AB1343" s="56"/>
      <c r="AC1343" s="15"/>
    </row>
    <row r="1344" spans="3:29" ht="12.75">
      <c r="C1344" s="23"/>
      <c r="I1344" s="23"/>
      <c r="L1344" s="56"/>
      <c r="M1344" s="56"/>
      <c r="N1344" s="56"/>
      <c r="O1344" s="56"/>
      <c r="P1344" s="56"/>
      <c r="Q1344" s="56"/>
      <c r="R1344" s="56"/>
      <c r="S1344" s="56"/>
      <c r="T1344" s="56"/>
      <c r="U1344" s="56"/>
      <c r="V1344" s="56"/>
      <c r="W1344" s="56"/>
      <c r="X1344" s="56"/>
      <c r="Y1344" s="56"/>
      <c r="Z1344" s="56"/>
      <c r="AA1344" s="56"/>
      <c r="AB1344" s="56"/>
      <c r="AC1344" s="15"/>
    </row>
    <row r="1345" spans="3:29" ht="12.75">
      <c r="C1345" s="23"/>
      <c r="I1345" s="23"/>
      <c r="L1345" s="56"/>
      <c r="M1345" s="56"/>
      <c r="N1345" s="56"/>
      <c r="O1345" s="56"/>
      <c r="P1345" s="56"/>
      <c r="Q1345" s="56"/>
      <c r="R1345" s="56"/>
      <c r="S1345" s="56"/>
      <c r="T1345" s="56"/>
      <c r="U1345" s="56"/>
      <c r="V1345" s="56"/>
      <c r="W1345" s="56"/>
      <c r="X1345" s="56"/>
      <c r="Y1345" s="56"/>
      <c r="Z1345" s="56"/>
      <c r="AA1345" s="56"/>
      <c r="AB1345" s="56"/>
      <c r="AC1345" s="15"/>
    </row>
    <row r="1346" spans="3:29" ht="12.75">
      <c r="C1346" s="23"/>
      <c r="I1346" s="23"/>
      <c r="L1346" s="56"/>
      <c r="M1346" s="56"/>
      <c r="N1346" s="56"/>
      <c r="O1346" s="56"/>
      <c r="P1346" s="56"/>
      <c r="Q1346" s="56"/>
      <c r="R1346" s="56"/>
      <c r="S1346" s="56"/>
      <c r="T1346" s="56"/>
      <c r="U1346" s="56"/>
      <c r="V1346" s="56"/>
      <c r="W1346" s="56"/>
      <c r="X1346" s="56"/>
      <c r="Y1346" s="56"/>
      <c r="Z1346" s="56"/>
      <c r="AA1346" s="56"/>
      <c r="AB1346" s="56"/>
      <c r="AC1346" s="15"/>
    </row>
    <row r="1347" spans="3:29" ht="12.75">
      <c r="C1347" s="23"/>
      <c r="I1347" s="23"/>
      <c r="L1347" s="56"/>
      <c r="M1347" s="56"/>
      <c r="N1347" s="56"/>
      <c r="O1347" s="56"/>
      <c r="P1347" s="56"/>
      <c r="Q1347" s="56"/>
      <c r="R1347" s="56"/>
      <c r="S1347" s="56"/>
      <c r="T1347" s="56"/>
      <c r="U1347" s="56"/>
      <c r="V1347" s="56"/>
      <c r="W1347" s="56"/>
      <c r="X1347" s="56"/>
      <c r="Y1347" s="56"/>
      <c r="Z1347" s="56"/>
      <c r="AA1347" s="56"/>
      <c r="AB1347" s="56"/>
      <c r="AC1347" s="15"/>
    </row>
    <row r="1348" spans="3:29" ht="12.75">
      <c r="C1348" s="23"/>
      <c r="I1348" s="23"/>
      <c r="L1348" s="56"/>
      <c r="M1348" s="56"/>
      <c r="N1348" s="56"/>
      <c r="O1348" s="56"/>
      <c r="P1348" s="56"/>
      <c r="Q1348" s="56"/>
      <c r="R1348" s="56"/>
      <c r="S1348" s="56"/>
      <c r="T1348" s="56"/>
      <c r="U1348" s="56"/>
      <c r="V1348" s="56"/>
      <c r="W1348" s="56"/>
      <c r="X1348" s="56"/>
      <c r="Y1348" s="56"/>
      <c r="Z1348" s="56"/>
      <c r="AA1348" s="56"/>
      <c r="AB1348" s="56"/>
      <c r="AC1348" s="15"/>
    </row>
    <row r="1349" spans="3:29" ht="12.75">
      <c r="C1349" s="23"/>
      <c r="I1349" s="23"/>
      <c r="L1349" s="56"/>
      <c r="M1349" s="56"/>
      <c r="N1349" s="56"/>
      <c r="O1349" s="56"/>
      <c r="P1349" s="56"/>
      <c r="Q1349" s="56"/>
      <c r="R1349" s="56"/>
      <c r="S1349" s="56"/>
      <c r="T1349" s="56"/>
      <c r="U1349" s="56"/>
      <c r="V1349" s="56"/>
      <c r="W1349" s="56"/>
      <c r="X1349" s="56"/>
      <c r="Y1349" s="56"/>
      <c r="Z1349" s="56"/>
      <c r="AA1349" s="56"/>
      <c r="AB1349" s="56"/>
      <c r="AC1349" s="15"/>
    </row>
    <row r="1350" spans="3:29" ht="12.75">
      <c r="C1350" s="23"/>
      <c r="I1350" s="23"/>
      <c r="L1350" s="56"/>
      <c r="M1350" s="56"/>
      <c r="N1350" s="56"/>
      <c r="O1350" s="56"/>
      <c r="P1350" s="56"/>
      <c r="Q1350" s="56"/>
      <c r="R1350" s="56"/>
      <c r="S1350" s="56"/>
      <c r="T1350" s="56"/>
      <c r="U1350" s="56"/>
      <c r="V1350" s="56"/>
      <c r="W1350" s="56"/>
      <c r="X1350" s="56"/>
      <c r="Y1350" s="56"/>
      <c r="Z1350" s="56"/>
      <c r="AA1350" s="56"/>
      <c r="AB1350" s="56"/>
      <c r="AC1350" s="15"/>
    </row>
    <row r="1351" spans="3:29" ht="12.75">
      <c r="C1351" s="23"/>
      <c r="I1351" s="23"/>
      <c r="L1351" s="56"/>
      <c r="M1351" s="56"/>
      <c r="N1351" s="56"/>
      <c r="O1351" s="56"/>
      <c r="P1351" s="56"/>
      <c r="Q1351" s="56"/>
      <c r="R1351" s="56"/>
      <c r="S1351" s="56"/>
      <c r="T1351" s="56"/>
      <c r="U1351" s="56"/>
      <c r="V1351" s="56"/>
      <c r="W1351" s="56"/>
      <c r="X1351" s="56"/>
      <c r="Y1351" s="56"/>
      <c r="Z1351" s="56"/>
      <c r="AA1351" s="56"/>
      <c r="AB1351" s="56"/>
      <c r="AC1351" s="15"/>
    </row>
    <row r="1352" spans="3:29" ht="12.75">
      <c r="C1352" s="23"/>
      <c r="I1352" s="23"/>
      <c r="L1352" s="56"/>
      <c r="M1352" s="56"/>
      <c r="N1352" s="56"/>
      <c r="O1352" s="56"/>
      <c r="P1352" s="56"/>
      <c r="Q1352" s="56"/>
      <c r="R1352" s="56"/>
      <c r="S1352" s="56"/>
      <c r="T1352" s="56"/>
      <c r="U1352" s="56"/>
      <c r="V1352" s="56"/>
      <c r="W1352" s="56"/>
      <c r="X1352" s="56"/>
      <c r="Y1352" s="56"/>
      <c r="Z1352" s="56"/>
      <c r="AA1352" s="56"/>
      <c r="AB1352" s="56"/>
      <c r="AC1352" s="15"/>
    </row>
    <row r="1353" spans="3:29" ht="12.75">
      <c r="C1353" s="23"/>
      <c r="I1353" s="23"/>
      <c r="L1353" s="56"/>
      <c r="M1353" s="56"/>
      <c r="N1353" s="56"/>
      <c r="O1353" s="56"/>
      <c r="P1353" s="56"/>
      <c r="Q1353" s="56"/>
      <c r="R1353" s="56"/>
      <c r="S1353" s="56"/>
      <c r="T1353" s="56"/>
      <c r="U1353" s="56"/>
      <c r="V1353" s="56"/>
      <c r="W1353" s="56"/>
      <c r="X1353" s="56"/>
      <c r="Y1353" s="56"/>
      <c r="Z1353" s="56"/>
      <c r="AA1353" s="56"/>
      <c r="AB1353" s="56"/>
      <c r="AC1353" s="15"/>
    </row>
    <row r="1354" spans="3:29" ht="12.75">
      <c r="C1354" s="23"/>
      <c r="I1354" s="23"/>
      <c r="L1354" s="56"/>
      <c r="M1354" s="56"/>
      <c r="N1354" s="56"/>
      <c r="O1354" s="56"/>
      <c r="P1354" s="56"/>
      <c r="Q1354" s="56"/>
      <c r="R1354" s="56"/>
      <c r="S1354" s="56"/>
      <c r="T1354" s="56"/>
      <c r="U1354" s="56"/>
      <c r="V1354" s="56"/>
      <c r="W1354" s="56"/>
      <c r="X1354" s="56"/>
      <c r="Y1354" s="56"/>
      <c r="Z1354" s="56"/>
      <c r="AA1354" s="56"/>
      <c r="AB1354" s="56"/>
      <c r="AC1354" s="15"/>
    </row>
    <row r="1355" spans="3:29" ht="12.75">
      <c r="C1355" s="23"/>
      <c r="I1355" s="23"/>
      <c r="L1355" s="56"/>
      <c r="M1355" s="56"/>
      <c r="N1355" s="56"/>
      <c r="O1355" s="56"/>
      <c r="P1355" s="56"/>
      <c r="Q1355" s="56"/>
      <c r="R1355" s="56"/>
      <c r="S1355" s="56"/>
      <c r="T1355" s="56"/>
      <c r="U1355" s="56"/>
      <c r="V1355" s="56"/>
      <c r="W1355" s="56"/>
      <c r="X1355" s="56"/>
      <c r="Y1355" s="56"/>
      <c r="Z1355" s="56"/>
      <c r="AA1355" s="56"/>
      <c r="AB1355" s="56"/>
      <c r="AC1355" s="15"/>
    </row>
    <row r="1356" spans="3:29" ht="12.75">
      <c r="C1356" s="23"/>
      <c r="I1356" s="23"/>
      <c r="L1356" s="56"/>
      <c r="M1356" s="56"/>
      <c r="N1356" s="56"/>
      <c r="O1356" s="56"/>
      <c r="P1356" s="56"/>
      <c r="Q1356" s="56"/>
      <c r="R1356" s="56"/>
      <c r="S1356" s="56"/>
      <c r="T1356" s="56"/>
      <c r="U1356" s="56"/>
      <c r="V1356" s="56"/>
      <c r="W1356" s="56"/>
      <c r="X1356" s="56"/>
      <c r="Y1356" s="56"/>
      <c r="Z1356" s="56"/>
      <c r="AA1356" s="56"/>
      <c r="AB1356" s="56"/>
      <c r="AC1356" s="15"/>
    </row>
    <row r="1357" spans="3:29" ht="12.75">
      <c r="C1357" s="23"/>
      <c r="I1357" s="23"/>
      <c r="L1357" s="56"/>
      <c r="M1357" s="56"/>
      <c r="N1357" s="56"/>
      <c r="O1357" s="56"/>
      <c r="P1357" s="56"/>
      <c r="Q1357" s="56"/>
      <c r="R1357" s="56"/>
      <c r="S1357" s="56"/>
      <c r="T1357" s="56"/>
      <c r="U1357" s="56"/>
      <c r="V1357" s="56"/>
      <c r="W1357" s="56"/>
      <c r="X1357" s="56"/>
      <c r="Y1357" s="56"/>
      <c r="Z1357" s="56"/>
      <c r="AA1357" s="56"/>
      <c r="AB1357" s="56"/>
      <c r="AC1357" s="15"/>
    </row>
    <row r="1358" spans="3:29" ht="12.75">
      <c r="C1358" s="23"/>
      <c r="I1358" s="23"/>
      <c r="L1358" s="56"/>
      <c r="M1358" s="56"/>
      <c r="N1358" s="56"/>
      <c r="O1358" s="56"/>
      <c r="P1358" s="56"/>
      <c r="Q1358" s="56"/>
      <c r="R1358" s="56"/>
      <c r="S1358" s="56"/>
      <c r="T1358" s="56"/>
      <c r="U1358" s="56"/>
      <c r="V1358" s="56"/>
      <c r="W1358" s="56"/>
      <c r="X1358" s="56"/>
      <c r="Y1358" s="56"/>
      <c r="Z1358" s="56"/>
      <c r="AA1358" s="56"/>
      <c r="AB1358" s="56"/>
      <c r="AC1358" s="15"/>
    </row>
    <row r="1359" spans="3:29" ht="12.75">
      <c r="C1359" s="23"/>
      <c r="I1359" s="23"/>
      <c r="L1359" s="56"/>
      <c r="M1359" s="56"/>
      <c r="N1359" s="56"/>
      <c r="O1359" s="56"/>
      <c r="P1359" s="56"/>
      <c r="Q1359" s="56"/>
      <c r="R1359" s="56"/>
      <c r="S1359" s="56"/>
      <c r="T1359" s="56"/>
      <c r="U1359" s="56"/>
      <c r="V1359" s="56"/>
      <c r="W1359" s="56"/>
      <c r="X1359" s="56"/>
      <c r="Y1359" s="56"/>
      <c r="Z1359" s="56"/>
      <c r="AA1359" s="56"/>
      <c r="AB1359" s="56"/>
      <c r="AC1359" s="15"/>
    </row>
    <row r="1360" spans="3:29" ht="12.75">
      <c r="C1360" s="23"/>
      <c r="I1360" s="23"/>
      <c r="L1360" s="56"/>
      <c r="M1360" s="56"/>
      <c r="N1360" s="56"/>
      <c r="O1360" s="56"/>
      <c r="P1360" s="56"/>
      <c r="Q1360" s="56"/>
      <c r="R1360" s="56"/>
      <c r="S1360" s="56"/>
      <c r="T1360" s="56"/>
      <c r="U1360" s="56"/>
      <c r="V1360" s="56"/>
      <c r="W1360" s="56"/>
      <c r="X1360" s="56"/>
      <c r="Y1360" s="56"/>
      <c r="Z1360" s="56"/>
      <c r="AA1360" s="56"/>
      <c r="AB1360" s="56"/>
      <c r="AC1360" s="15"/>
    </row>
    <row r="1361" spans="3:29" ht="12.75">
      <c r="C1361" s="23"/>
      <c r="I1361" s="23"/>
      <c r="L1361" s="56"/>
      <c r="M1361" s="56"/>
      <c r="N1361" s="56"/>
      <c r="O1361" s="56"/>
      <c r="P1361" s="56"/>
      <c r="Q1361" s="56"/>
      <c r="R1361" s="56"/>
      <c r="S1361" s="56"/>
      <c r="T1361" s="56"/>
      <c r="U1361" s="56"/>
      <c r="V1361" s="56"/>
      <c r="W1361" s="56"/>
      <c r="X1361" s="56"/>
      <c r="Y1361" s="56"/>
      <c r="Z1361" s="56"/>
      <c r="AA1361" s="56"/>
      <c r="AB1361" s="56"/>
      <c r="AC1361" s="15"/>
    </row>
    <row r="1362" spans="3:29" ht="12.75">
      <c r="C1362" s="23"/>
      <c r="I1362" s="23"/>
      <c r="L1362" s="56"/>
      <c r="M1362" s="56"/>
      <c r="N1362" s="56"/>
      <c r="O1362" s="56"/>
      <c r="P1362" s="56"/>
      <c r="Q1362" s="56"/>
      <c r="R1362" s="56"/>
      <c r="S1362" s="56"/>
      <c r="T1362" s="56"/>
      <c r="U1362" s="56"/>
      <c r="V1362" s="56"/>
      <c r="W1362" s="56"/>
      <c r="X1362" s="56"/>
      <c r="Y1362" s="56"/>
      <c r="Z1362" s="56"/>
      <c r="AA1362" s="56"/>
      <c r="AB1362" s="56"/>
      <c r="AC1362" s="15"/>
    </row>
    <row r="1363" spans="3:29" ht="12.75">
      <c r="C1363" s="23"/>
      <c r="I1363" s="23"/>
      <c r="L1363" s="56"/>
      <c r="M1363" s="56"/>
      <c r="N1363" s="56"/>
      <c r="O1363" s="56"/>
      <c r="P1363" s="56"/>
      <c r="Q1363" s="56"/>
      <c r="R1363" s="56"/>
      <c r="S1363" s="56"/>
      <c r="T1363" s="56"/>
      <c r="U1363" s="56"/>
      <c r="V1363" s="56"/>
      <c r="W1363" s="56"/>
      <c r="X1363" s="56"/>
      <c r="Y1363" s="56"/>
      <c r="Z1363" s="56"/>
      <c r="AA1363" s="56"/>
      <c r="AB1363" s="56"/>
      <c r="AC1363" s="15"/>
    </row>
    <row r="1364" spans="3:29" ht="12.75">
      <c r="C1364" s="23"/>
      <c r="I1364" s="23"/>
      <c r="L1364" s="56"/>
      <c r="M1364" s="56"/>
      <c r="N1364" s="56"/>
      <c r="O1364" s="56"/>
      <c r="P1364" s="56"/>
      <c r="Q1364" s="56"/>
      <c r="R1364" s="56"/>
      <c r="S1364" s="56"/>
      <c r="T1364" s="56"/>
      <c r="U1364" s="56"/>
      <c r="V1364" s="56"/>
      <c r="W1364" s="56"/>
      <c r="X1364" s="56"/>
      <c r="Y1364" s="56"/>
      <c r="Z1364" s="56"/>
      <c r="AA1364" s="56"/>
      <c r="AB1364" s="56"/>
      <c r="AC1364" s="15"/>
    </row>
    <row r="1365" spans="3:29" ht="12.75">
      <c r="C1365" s="23"/>
      <c r="I1365" s="23"/>
      <c r="L1365" s="56"/>
      <c r="M1365" s="56"/>
      <c r="N1365" s="56"/>
      <c r="O1365" s="56"/>
      <c r="P1365" s="56"/>
      <c r="Q1365" s="56"/>
      <c r="R1365" s="56"/>
      <c r="S1365" s="56"/>
      <c r="T1365" s="56"/>
      <c r="U1365" s="56"/>
      <c r="V1365" s="56"/>
      <c r="W1365" s="56"/>
      <c r="X1365" s="56"/>
      <c r="Y1365" s="56"/>
      <c r="Z1365" s="56"/>
      <c r="AA1365" s="56"/>
      <c r="AB1365" s="56"/>
      <c r="AC1365" s="15"/>
    </row>
    <row r="1366" spans="3:29" ht="12.75">
      <c r="C1366" s="23"/>
      <c r="I1366" s="23"/>
      <c r="L1366" s="56"/>
      <c r="M1366" s="56"/>
      <c r="N1366" s="56"/>
      <c r="O1366" s="56"/>
      <c r="P1366" s="56"/>
      <c r="Q1366" s="56"/>
      <c r="R1366" s="56"/>
      <c r="S1366" s="56"/>
      <c r="T1366" s="56"/>
      <c r="U1366" s="56"/>
      <c r="V1366" s="56"/>
      <c r="W1366" s="56"/>
      <c r="X1366" s="56"/>
      <c r="Y1366" s="56"/>
      <c r="Z1366" s="56"/>
      <c r="AA1366" s="56"/>
      <c r="AB1366" s="56"/>
      <c r="AC1366" s="15"/>
    </row>
    <row r="1367" spans="3:29" ht="12.75">
      <c r="C1367" s="23"/>
      <c r="I1367" s="23"/>
      <c r="L1367" s="56"/>
      <c r="M1367" s="56"/>
      <c r="N1367" s="56"/>
      <c r="O1367" s="56"/>
      <c r="P1367" s="56"/>
      <c r="Q1367" s="56"/>
      <c r="R1367" s="56"/>
      <c r="S1367" s="56"/>
      <c r="T1367" s="56"/>
      <c r="U1367" s="56"/>
      <c r="V1367" s="56"/>
      <c r="W1367" s="56"/>
      <c r="X1367" s="56"/>
      <c r="Y1367" s="56"/>
      <c r="Z1367" s="56"/>
      <c r="AA1367" s="56"/>
      <c r="AB1367" s="56"/>
      <c r="AC1367" s="15"/>
    </row>
    <row r="1368" spans="3:29" ht="12.75">
      <c r="C1368" s="23"/>
      <c r="I1368" s="23"/>
      <c r="L1368" s="56"/>
      <c r="M1368" s="56"/>
      <c r="N1368" s="56"/>
      <c r="O1368" s="56"/>
      <c r="P1368" s="56"/>
      <c r="Q1368" s="56"/>
      <c r="R1368" s="56"/>
      <c r="S1368" s="56"/>
      <c r="T1368" s="56"/>
      <c r="U1368" s="56"/>
      <c r="V1368" s="56"/>
      <c r="W1368" s="56"/>
      <c r="X1368" s="56"/>
      <c r="Y1368" s="56"/>
      <c r="Z1368" s="56"/>
      <c r="AA1368" s="56"/>
      <c r="AB1368" s="56"/>
      <c r="AC1368" s="15"/>
    </row>
    <row r="1369" spans="3:29" ht="12.75">
      <c r="C1369" s="23"/>
      <c r="I1369" s="23"/>
      <c r="L1369" s="56"/>
      <c r="M1369" s="56"/>
      <c r="N1369" s="56"/>
      <c r="O1369" s="56"/>
      <c r="P1369" s="56"/>
      <c r="Q1369" s="56"/>
      <c r="R1369" s="56"/>
      <c r="S1369" s="56"/>
      <c r="T1369" s="56"/>
      <c r="U1369" s="56"/>
      <c r="V1369" s="56"/>
      <c r="W1369" s="56"/>
      <c r="X1369" s="56"/>
      <c r="Y1369" s="56"/>
      <c r="Z1369" s="56"/>
      <c r="AA1369" s="56"/>
      <c r="AB1369" s="56"/>
      <c r="AC1369" s="15"/>
    </row>
    <row r="1370" spans="3:29" ht="12.75">
      <c r="C1370" s="23"/>
      <c r="I1370" s="23"/>
      <c r="L1370" s="56"/>
      <c r="M1370" s="56"/>
      <c r="N1370" s="56"/>
      <c r="O1370" s="56"/>
      <c r="P1370" s="56"/>
      <c r="Q1370" s="56"/>
      <c r="R1370" s="56"/>
      <c r="S1370" s="56"/>
      <c r="T1370" s="56"/>
      <c r="U1370" s="56"/>
      <c r="V1370" s="56"/>
      <c r="W1370" s="56"/>
      <c r="X1370" s="56"/>
      <c r="Y1370" s="56"/>
      <c r="Z1370" s="56"/>
      <c r="AA1370" s="56"/>
      <c r="AB1370" s="56"/>
      <c r="AC1370" s="15"/>
    </row>
    <row r="1371" spans="3:29" ht="12.75">
      <c r="C1371" s="23"/>
      <c r="I1371" s="23"/>
      <c r="L1371" s="56"/>
      <c r="M1371" s="56"/>
      <c r="N1371" s="56"/>
      <c r="O1371" s="56"/>
      <c r="P1371" s="56"/>
      <c r="Q1371" s="56"/>
      <c r="R1371" s="56"/>
      <c r="S1371" s="56"/>
      <c r="T1371" s="56"/>
      <c r="U1371" s="56"/>
      <c r="V1371" s="56"/>
      <c r="W1371" s="56"/>
      <c r="X1371" s="56"/>
      <c r="Y1371" s="56"/>
      <c r="Z1371" s="56"/>
      <c r="AA1371" s="56"/>
      <c r="AB1371" s="56"/>
      <c r="AC1371" s="15"/>
    </row>
    <row r="1372" spans="3:29" ht="12.75">
      <c r="C1372" s="23"/>
      <c r="I1372" s="23"/>
      <c r="L1372" s="56"/>
      <c r="M1372" s="56"/>
      <c r="N1372" s="56"/>
      <c r="O1372" s="56"/>
      <c r="P1372" s="56"/>
      <c r="Q1372" s="56"/>
      <c r="R1372" s="56"/>
      <c r="S1372" s="56"/>
      <c r="T1372" s="56"/>
      <c r="U1372" s="56"/>
      <c r="V1372" s="56"/>
      <c r="W1372" s="56"/>
      <c r="X1372" s="56"/>
      <c r="Y1372" s="56"/>
      <c r="Z1372" s="56"/>
      <c r="AA1372" s="56"/>
      <c r="AB1372" s="56"/>
      <c r="AC1372" s="15"/>
    </row>
    <row r="1373" spans="3:29" ht="12.75">
      <c r="C1373" s="23"/>
      <c r="I1373" s="23"/>
      <c r="L1373" s="56"/>
      <c r="M1373" s="56"/>
      <c r="N1373" s="56"/>
      <c r="O1373" s="56"/>
      <c r="P1373" s="56"/>
      <c r="Q1373" s="56"/>
      <c r="R1373" s="56"/>
      <c r="S1373" s="56"/>
      <c r="T1373" s="56"/>
      <c r="U1373" s="56"/>
      <c r="V1373" s="56"/>
      <c r="W1373" s="56"/>
      <c r="X1373" s="56"/>
      <c r="Y1373" s="56"/>
      <c r="Z1373" s="56"/>
      <c r="AA1373" s="56"/>
      <c r="AB1373" s="56"/>
      <c r="AC1373" s="15"/>
    </row>
    <row r="1374" spans="3:29" ht="12.75">
      <c r="C1374" s="23"/>
      <c r="I1374" s="23"/>
      <c r="L1374" s="56"/>
      <c r="M1374" s="56"/>
      <c r="N1374" s="56"/>
      <c r="O1374" s="56"/>
      <c r="P1374" s="56"/>
      <c r="Q1374" s="56"/>
      <c r="R1374" s="56"/>
      <c r="S1374" s="56"/>
      <c r="T1374" s="56"/>
      <c r="U1374" s="56"/>
      <c r="V1374" s="56"/>
      <c r="W1374" s="56"/>
      <c r="X1374" s="56"/>
      <c r="Y1374" s="56"/>
      <c r="Z1374" s="56"/>
      <c r="AA1374" s="56"/>
      <c r="AB1374" s="56"/>
      <c r="AC1374" s="15"/>
    </row>
    <row r="1375" spans="3:29" ht="12.75">
      <c r="C1375" s="23"/>
      <c r="I1375" s="23"/>
      <c r="L1375" s="56"/>
      <c r="M1375" s="56"/>
      <c r="N1375" s="56"/>
      <c r="O1375" s="56"/>
      <c r="P1375" s="56"/>
      <c r="Q1375" s="56"/>
      <c r="R1375" s="56"/>
      <c r="S1375" s="56"/>
      <c r="T1375" s="56"/>
      <c r="U1375" s="56"/>
      <c r="V1375" s="56"/>
      <c r="W1375" s="56"/>
      <c r="X1375" s="56"/>
      <c r="Y1375" s="56"/>
      <c r="Z1375" s="56"/>
      <c r="AA1375" s="56"/>
      <c r="AB1375" s="56"/>
      <c r="AC1375" s="15"/>
    </row>
    <row r="1376" spans="3:29" ht="12.75">
      <c r="C1376" s="23"/>
      <c r="I1376" s="23"/>
      <c r="L1376" s="56"/>
      <c r="M1376" s="56"/>
      <c r="N1376" s="56"/>
      <c r="O1376" s="56"/>
      <c r="P1376" s="56"/>
      <c r="Q1376" s="56"/>
      <c r="R1376" s="56"/>
      <c r="S1376" s="56"/>
      <c r="T1376" s="56"/>
      <c r="U1376" s="56"/>
      <c r="V1376" s="56"/>
      <c r="W1376" s="56"/>
      <c r="X1376" s="56"/>
      <c r="Y1376" s="56"/>
      <c r="Z1376" s="56"/>
      <c r="AA1376" s="56"/>
      <c r="AB1376" s="56"/>
      <c r="AC1376" s="15"/>
    </row>
    <row r="1377" spans="3:29" ht="12.75">
      <c r="C1377" s="23"/>
      <c r="I1377" s="23"/>
      <c r="L1377" s="56"/>
      <c r="M1377" s="56"/>
      <c r="N1377" s="56"/>
      <c r="O1377" s="56"/>
      <c r="P1377" s="56"/>
      <c r="Q1377" s="56"/>
      <c r="R1377" s="56"/>
      <c r="S1377" s="56"/>
      <c r="T1377" s="56"/>
      <c r="U1377" s="56"/>
      <c r="V1377" s="56"/>
      <c r="W1377" s="56"/>
      <c r="X1377" s="56"/>
      <c r="Y1377" s="56"/>
      <c r="Z1377" s="56"/>
      <c r="AA1377" s="56"/>
      <c r="AB1377" s="56"/>
      <c r="AC1377" s="15"/>
    </row>
    <row r="1378" spans="3:29" ht="12.75">
      <c r="C1378" s="23"/>
      <c r="I1378" s="23"/>
      <c r="L1378" s="56"/>
      <c r="M1378" s="56"/>
      <c r="N1378" s="56"/>
      <c r="O1378" s="56"/>
      <c r="P1378" s="56"/>
      <c r="Q1378" s="56"/>
      <c r="R1378" s="56"/>
      <c r="S1378" s="56"/>
      <c r="T1378" s="56"/>
      <c r="U1378" s="56"/>
      <c r="V1378" s="56"/>
      <c r="W1378" s="56"/>
      <c r="X1378" s="56"/>
      <c r="Y1378" s="56"/>
      <c r="Z1378" s="56"/>
      <c r="AA1378" s="56"/>
      <c r="AB1378" s="56"/>
      <c r="AC1378" s="15"/>
    </row>
    <row r="1379" spans="3:29" ht="12.75">
      <c r="C1379" s="23"/>
      <c r="I1379" s="23"/>
      <c r="L1379" s="56"/>
      <c r="M1379" s="56"/>
      <c r="N1379" s="56"/>
      <c r="O1379" s="56"/>
      <c r="P1379" s="56"/>
      <c r="Q1379" s="56"/>
      <c r="R1379" s="56"/>
      <c r="S1379" s="56"/>
      <c r="T1379" s="56"/>
      <c r="U1379" s="56"/>
      <c r="V1379" s="56"/>
      <c r="W1379" s="56"/>
      <c r="X1379" s="56"/>
      <c r="Y1379" s="56"/>
      <c r="Z1379" s="56"/>
      <c r="AA1379" s="56"/>
      <c r="AB1379" s="56"/>
      <c r="AC1379" s="15"/>
    </row>
    <row r="1380" spans="3:29" ht="12.75">
      <c r="C1380" s="23"/>
      <c r="I1380" s="23"/>
      <c r="L1380" s="56"/>
      <c r="M1380" s="56"/>
      <c r="N1380" s="56"/>
      <c r="O1380" s="56"/>
      <c r="P1380" s="56"/>
      <c r="Q1380" s="56"/>
      <c r="R1380" s="56"/>
      <c r="S1380" s="56"/>
      <c r="T1380" s="56"/>
      <c r="U1380" s="56"/>
      <c r="V1380" s="56"/>
      <c r="W1380" s="56"/>
      <c r="X1380" s="56"/>
      <c r="Y1380" s="56"/>
      <c r="Z1380" s="56"/>
      <c r="AA1380" s="56"/>
      <c r="AB1380" s="56"/>
      <c r="AC1380" s="15"/>
    </row>
    <row r="1381" spans="3:29" ht="12.75">
      <c r="C1381" s="23"/>
      <c r="I1381" s="23"/>
      <c r="L1381" s="56"/>
      <c r="M1381" s="56"/>
      <c r="N1381" s="56"/>
      <c r="O1381" s="56"/>
      <c r="P1381" s="56"/>
      <c r="Q1381" s="56"/>
      <c r="R1381" s="56"/>
      <c r="S1381" s="56"/>
      <c r="T1381" s="56"/>
      <c r="U1381" s="56"/>
      <c r="V1381" s="56"/>
      <c r="W1381" s="56"/>
      <c r="X1381" s="56"/>
      <c r="Y1381" s="56"/>
      <c r="Z1381" s="56"/>
      <c r="AA1381" s="56"/>
      <c r="AB1381" s="56"/>
      <c r="AC1381" s="15"/>
    </row>
    <row r="1382" spans="3:29" ht="12.75">
      <c r="C1382" s="23"/>
      <c r="I1382" s="23"/>
      <c r="L1382" s="56"/>
      <c r="M1382" s="56"/>
      <c r="N1382" s="56"/>
      <c r="O1382" s="56"/>
      <c r="P1382" s="56"/>
      <c r="Q1382" s="56"/>
      <c r="R1382" s="56"/>
      <c r="S1382" s="56"/>
      <c r="T1382" s="56"/>
      <c r="U1382" s="56"/>
      <c r="V1382" s="56"/>
      <c r="W1382" s="56"/>
      <c r="X1382" s="56"/>
      <c r="Y1382" s="56"/>
      <c r="Z1382" s="56"/>
      <c r="AA1382" s="56"/>
      <c r="AB1382" s="56"/>
      <c r="AC1382" s="15"/>
    </row>
    <row r="1383" spans="3:29" ht="12.75">
      <c r="C1383" s="23"/>
      <c r="I1383" s="23"/>
      <c r="L1383" s="56"/>
      <c r="M1383" s="56"/>
      <c r="N1383" s="56"/>
      <c r="O1383" s="56"/>
      <c r="P1383" s="56"/>
      <c r="Q1383" s="56"/>
      <c r="R1383" s="56"/>
      <c r="S1383" s="56"/>
      <c r="T1383" s="56"/>
      <c r="U1383" s="56"/>
      <c r="V1383" s="56"/>
      <c r="W1383" s="56"/>
      <c r="X1383" s="56"/>
      <c r="Y1383" s="56"/>
      <c r="Z1383" s="56"/>
      <c r="AA1383" s="56"/>
      <c r="AB1383" s="56"/>
      <c r="AC1383" s="15"/>
    </row>
    <row r="1384" spans="3:29" ht="12.75">
      <c r="C1384" s="23"/>
      <c r="I1384" s="23"/>
      <c r="L1384" s="56"/>
      <c r="M1384" s="56"/>
      <c r="N1384" s="56"/>
      <c r="O1384" s="56"/>
      <c r="P1384" s="56"/>
      <c r="Q1384" s="56"/>
      <c r="R1384" s="56"/>
      <c r="S1384" s="56"/>
      <c r="T1384" s="56"/>
      <c r="U1384" s="56"/>
      <c r="V1384" s="56"/>
      <c r="W1384" s="56"/>
      <c r="X1384" s="56"/>
      <c r="Y1384" s="56"/>
      <c r="Z1384" s="56"/>
      <c r="AA1384" s="56"/>
      <c r="AB1384" s="56"/>
      <c r="AC1384" s="15"/>
    </row>
    <row r="1385" spans="3:29" ht="12.75">
      <c r="C1385" s="23"/>
      <c r="I1385" s="23"/>
      <c r="L1385" s="56"/>
      <c r="M1385" s="56"/>
      <c r="N1385" s="56"/>
      <c r="O1385" s="56"/>
      <c r="P1385" s="56"/>
      <c r="Q1385" s="56"/>
      <c r="R1385" s="56"/>
      <c r="S1385" s="56"/>
      <c r="T1385" s="56"/>
      <c r="U1385" s="56"/>
      <c r="V1385" s="56"/>
      <c r="W1385" s="56"/>
      <c r="X1385" s="56"/>
      <c r="Y1385" s="56"/>
      <c r="Z1385" s="56"/>
      <c r="AA1385" s="56"/>
      <c r="AB1385" s="56"/>
      <c r="AC1385" s="15"/>
    </row>
    <row r="1386" spans="3:29" ht="12.75">
      <c r="C1386" s="23"/>
      <c r="I1386" s="23"/>
      <c r="L1386" s="56"/>
      <c r="M1386" s="56"/>
      <c r="N1386" s="56"/>
      <c r="O1386" s="56"/>
      <c r="P1386" s="56"/>
      <c r="Q1386" s="56"/>
      <c r="R1386" s="56"/>
      <c r="S1386" s="56"/>
      <c r="T1386" s="56"/>
      <c r="U1386" s="56"/>
      <c r="V1386" s="56"/>
      <c r="W1386" s="56"/>
      <c r="X1386" s="56"/>
      <c r="Y1386" s="56"/>
      <c r="Z1386" s="56"/>
      <c r="AA1386" s="56"/>
      <c r="AB1386" s="56"/>
      <c r="AC1386" s="15"/>
    </row>
    <row r="1387" spans="3:29" ht="12.75">
      <c r="C1387" s="23"/>
      <c r="I1387" s="23"/>
      <c r="L1387" s="56"/>
      <c r="M1387" s="56"/>
      <c r="N1387" s="56"/>
      <c r="O1387" s="56"/>
      <c r="P1387" s="56"/>
      <c r="Q1387" s="56"/>
      <c r="R1387" s="56"/>
      <c r="S1387" s="56"/>
      <c r="T1387" s="56"/>
      <c r="U1387" s="56"/>
      <c r="V1387" s="56"/>
      <c r="W1387" s="56"/>
      <c r="X1387" s="56"/>
      <c r="Y1387" s="56"/>
      <c r="Z1387" s="56"/>
      <c r="AA1387" s="56"/>
      <c r="AB1387" s="56"/>
      <c r="AC1387" s="15"/>
    </row>
    <row r="1388" spans="3:29" ht="12.75">
      <c r="C1388" s="23"/>
      <c r="I1388" s="23"/>
      <c r="L1388" s="56"/>
      <c r="M1388" s="56"/>
      <c r="N1388" s="56"/>
      <c r="O1388" s="56"/>
      <c r="P1388" s="56"/>
      <c r="Q1388" s="56"/>
      <c r="R1388" s="56"/>
      <c r="S1388" s="56"/>
      <c r="T1388" s="56"/>
      <c r="U1388" s="56"/>
      <c r="V1388" s="56"/>
      <c r="W1388" s="56"/>
      <c r="X1388" s="56"/>
      <c r="Y1388" s="56"/>
      <c r="Z1388" s="56"/>
      <c r="AA1388" s="56"/>
      <c r="AB1388" s="56"/>
      <c r="AC1388" s="15"/>
    </row>
    <row r="1389" spans="3:29" ht="12.75">
      <c r="C1389" s="23"/>
      <c r="I1389" s="23"/>
      <c r="L1389" s="56"/>
      <c r="M1389" s="56"/>
      <c r="N1389" s="56"/>
      <c r="O1389" s="56"/>
      <c r="P1389" s="56"/>
      <c r="Q1389" s="56"/>
      <c r="R1389" s="56"/>
      <c r="S1389" s="56"/>
      <c r="T1389" s="56"/>
      <c r="U1389" s="56"/>
      <c r="V1389" s="56"/>
      <c r="W1389" s="56"/>
      <c r="X1389" s="56"/>
      <c r="Y1389" s="56"/>
      <c r="Z1389" s="56"/>
      <c r="AA1389" s="56"/>
      <c r="AB1389" s="56"/>
      <c r="AC1389" s="15"/>
    </row>
    <row r="1390" spans="3:29" ht="12.75">
      <c r="C1390" s="23"/>
      <c r="I1390" s="23"/>
      <c r="L1390" s="56"/>
      <c r="M1390" s="56"/>
      <c r="N1390" s="56"/>
      <c r="O1390" s="56"/>
      <c r="P1390" s="56"/>
      <c r="Q1390" s="56"/>
      <c r="R1390" s="56"/>
      <c r="S1390" s="56"/>
      <c r="T1390" s="56"/>
      <c r="U1390" s="56"/>
      <c r="V1390" s="56"/>
      <c r="W1390" s="56"/>
      <c r="X1390" s="56"/>
      <c r="Y1390" s="56"/>
      <c r="Z1390" s="56"/>
      <c r="AA1390" s="56"/>
      <c r="AB1390" s="56"/>
      <c r="AC1390" s="15"/>
    </row>
    <row r="1391" spans="3:29" ht="12.75">
      <c r="C1391" s="23"/>
      <c r="I1391" s="23"/>
      <c r="L1391" s="56"/>
      <c r="M1391" s="56"/>
      <c r="N1391" s="56"/>
      <c r="O1391" s="56"/>
      <c r="P1391" s="56"/>
      <c r="Q1391" s="56"/>
      <c r="R1391" s="56"/>
      <c r="S1391" s="56"/>
      <c r="T1391" s="56"/>
      <c r="U1391" s="56"/>
      <c r="V1391" s="56"/>
      <c r="W1391" s="56"/>
      <c r="X1391" s="56"/>
      <c r="Y1391" s="56"/>
      <c r="Z1391" s="56"/>
      <c r="AA1391" s="56"/>
      <c r="AB1391" s="56"/>
      <c r="AC1391" s="15"/>
    </row>
    <row r="1392" spans="3:29" ht="12.75">
      <c r="C1392" s="23"/>
      <c r="I1392" s="23"/>
      <c r="L1392" s="56"/>
      <c r="M1392" s="56"/>
      <c r="N1392" s="56"/>
      <c r="O1392" s="56"/>
      <c r="P1392" s="56"/>
      <c r="Q1392" s="56"/>
      <c r="R1392" s="56"/>
      <c r="S1392" s="56"/>
      <c r="T1392" s="56"/>
      <c r="U1392" s="56"/>
      <c r="V1392" s="56"/>
      <c r="W1392" s="56"/>
      <c r="X1392" s="56"/>
      <c r="Y1392" s="56"/>
      <c r="Z1392" s="56"/>
      <c r="AA1392" s="56"/>
      <c r="AB1392" s="56"/>
      <c r="AC1392" s="15"/>
    </row>
    <row r="1393" spans="3:29" ht="12.75">
      <c r="C1393" s="23"/>
      <c r="I1393" s="23"/>
      <c r="L1393" s="56"/>
      <c r="M1393" s="56"/>
      <c r="N1393" s="56"/>
      <c r="O1393" s="56"/>
      <c r="P1393" s="56"/>
      <c r="Q1393" s="56"/>
      <c r="R1393" s="56"/>
      <c r="S1393" s="56"/>
      <c r="T1393" s="56"/>
      <c r="U1393" s="56"/>
      <c r="V1393" s="56"/>
      <c r="W1393" s="56"/>
      <c r="X1393" s="56"/>
      <c r="Y1393" s="56"/>
      <c r="Z1393" s="56"/>
      <c r="AA1393" s="56"/>
      <c r="AB1393" s="56"/>
      <c r="AC1393" s="15"/>
    </row>
    <row r="1394" spans="3:29" ht="12.75">
      <c r="C1394" s="23"/>
      <c r="I1394" s="23"/>
      <c r="L1394" s="56"/>
      <c r="M1394" s="56"/>
      <c r="N1394" s="56"/>
      <c r="O1394" s="56"/>
      <c r="P1394" s="56"/>
      <c r="Q1394" s="56"/>
      <c r="R1394" s="56"/>
      <c r="S1394" s="56"/>
      <c r="T1394" s="56"/>
      <c r="U1394" s="56"/>
      <c r="V1394" s="56"/>
      <c r="W1394" s="56"/>
      <c r="X1394" s="56"/>
      <c r="Y1394" s="56"/>
      <c r="Z1394" s="56"/>
      <c r="AA1394" s="56"/>
      <c r="AB1394" s="56"/>
      <c r="AC1394" s="15"/>
    </row>
    <row r="1395" spans="3:29" ht="12.75">
      <c r="C1395" s="23"/>
      <c r="I1395" s="23"/>
      <c r="L1395" s="56"/>
      <c r="M1395" s="56"/>
      <c r="N1395" s="56"/>
      <c r="O1395" s="56"/>
      <c r="P1395" s="56"/>
      <c r="Q1395" s="56"/>
      <c r="R1395" s="56"/>
      <c r="S1395" s="56"/>
      <c r="T1395" s="56"/>
      <c r="U1395" s="56"/>
      <c r="V1395" s="56"/>
      <c r="W1395" s="56"/>
      <c r="X1395" s="56"/>
      <c r="Y1395" s="56"/>
      <c r="Z1395" s="56"/>
      <c r="AA1395" s="56"/>
      <c r="AB1395" s="56"/>
      <c r="AC1395" s="15"/>
    </row>
    <row r="1396" spans="3:29" ht="12.75">
      <c r="C1396" s="23"/>
      <c r="I1396" s="23"/>
      <c r="L1396" s="56"/>
      <c r="M1396" s="56"/>
      <c r="N1396" s="56"/>
      <c r="O1396" s="56"/>
      <c r="P1396" s="56"/>
      <c r="Q1396" s="56"/>
      <c r="R1396" s="56"/>
      <c r="S1396" s="56"/>
      <c r="T1396" s="56"/>
      <c r="U1396" s="56"/>
      <c r="V1396" s="56"/>
      <c r="W1396" s="56"/>
      <c r="X1396" s="56"/>
      <c r="Y1396" s="56"/>
      <c r="Z1396" s="56"/>
      <c r="AA1396" s="56"/>
      <c r="AB1396" s="56"/>
      <c r="AC1396" s="15"/>
    </row>
    <row r="1397" spans="3:29" ht="12.75">
      <c r="C1397" s="23"/>
      <c r="I1397" s="23"/>
      <c r="L1397" s="56"/>
      <c r="M1397" s="56"/>
      <c r="N1397" s="56"/>
      <c r="O1397" s="56"/>
      <c r="P1397" s="56"/>
      <c r="Q1397" s="56"/>
      <c r="R1397" s="56"/>
      <c r="S1397" s="56"/>
      <c r="T1397" s="56"/>
      <c r="U1397" s="56"/>
      <c r="V1397" s="56"/>
      <c r="W1397" s="56"/>
      <c r="X1397" s="56"/>
      <c r="Y1397" s="56"/>
      <c r="Z1397" s="56"/>
      <c r="AA1397" s="56"/>
      <c r="AB1397" s="56"/>
      <c r="AC1397" s="15"/>
    </row>
    <row r="1398" spans="3:29" ht="12.75">
      <c r="C1398" s="23"/>
      <c r="I1398" s="23"/>
      <c r="L1398" s="56"/>
      <c r="M1398" s="56"/>
      <c r="N1398" s="56"/>
      <c r="O1398" s="56"/>
      <c r="P1398" s="56"/>
      <c r="Q1398" s="56"/>
      <c r="R1398" s="56"/>
      <c r="S1398" s="56"/>
      <c r="T1398" s="56"/>
      <c r="U1398" s="56"/>
      <c r="V1398" s="56"/>
      <c r="W1398" s="56"/>
      <c r="X1398" s="56"/>
      <c r="Y1398" s="56"/>
      <c r="Z1398" s="56"/>
      <c r="AA1398" s="56"/>
      <c r="AB1398" s="56"/>
      <c r="AC1398" s="15"/>
    </row>
    <row r="1399" spans="3:29" ht="12.75">
      <c r="C1399" s="23"/>
      <c r="I1399" s="23"/>
      <c r="L1399" s="56"/>
      <c r="M1399" s="56"/>
      <c r="N1399" s="56"/>
      <c r="O1399" s="56"/>
      <c r="P1399" s="56"/>
      <c r="Q1399" s="56"/>
      <c r="R1399" s="56"/>
      <c r="S1399" s="56"/>
      <c r="T1399" s="56"/>
      <c r="U1399" s="56"/>
      <c r="V1399" s="56"/>
      <c r="W1399" s="56"/>
      <c r="X1399" s="56"/>
      <c r="Y1399" s="56"/>
      <c r="Z1399" s="56"/>
      <c r="AA1399" s="56"/>
      <c r="AB1399" s="56"/>
      <c r="AC1399" s="15"/>
    </row>
    <row r="1400" spans="3:29" ht="12.75">
      <c r="C1400" s="23"/>
      <c r="I1400" s="23"/>
      <c r="L1400" s="56"/>
      <c r="M1400" s="56"/>
      <c r="N1400" s="56"/>
      <c r="O1400" s="56"/>
      <c r="P1400" s="56"/>
      <c r="Q1400" s="56"/>
      <c r="R1400" s="56"/>
      <c r="S1400" s="56"/>
      <c r="T1400" s="56"/>
      <c r="U1400" s="56"/>
      <c r="V1400" s="56"/>
      <c r="W1400" s="56"/>
      <c r="X1400" s="56"/>
      <c r="Y1400" s="56"/>
      <c r="Z1400" s="56"/>
      <c r="AA1400" s="56"/>
      <c r="AB1400" s="56"/>
      <c r="AC1400" s="15"/>
    </row>
    <row r="1401" spans="3:29" ht="12.75">
      <c r="C1401" s="23"/>
      <c r="I1401" s="23"/>
      <c r="L1401" s="56"/>
      <c r="M1401" s="56"/>
      <c r="N1401" s="56"/>
      <c r="O1401" s="56"/>
      <c r="P1401" s="56"/>
      <c r="Q1401" s="56"/>
      <c r="R1401" s="56"/>
      <c r="S1401" s="56"/>
      <c r="T1401" s="56"/>
      <c r="U1401" s="56"/>
      <c r="V1401" s="56"/>
      <c r="W1401" s="56"/>
      <c r="X1401" s="56"/>
      <c r="Y1401" s="56"/>
      <c r="Z1401" s="56"/>
      <c r="AA1401" s="56"/>
      <c r="AB1401" s="56"/>
      <c r="AC1401" s="15"/>
    </row>
    <row r="1402" spans="3:29" ht="12.75">
      <c r="C1402" s="23"/>
      <c r="I1402" s="23"/>
      <c r="L1402" s="56"/>
      <c r="M1402" s="56"/>
      <c r="N1402" s="56"/>
      <c r="O1402" s="56"/>
      <c r="P1402" s="56"/>
      <c r="Q1402" s="56"/>
      <c r="R1402" s="56"/>
      <c r="S1402" s="56"/>
      <c r="T1402" s="56"/>
      <c r="U1402" s="56"/>
      <c r="V1402" s="56"/>
      <c r="W1402" s="56"/>
      <c r="X1402" s="56"/>
      <c r="Y1402" s="56"/>
      <c r="Z1402" s="56"/>
      <c r="AA1402" s="56"/>
      <c r="AB1402" s="56"/>
      <c r="AC1402" s="15"/>
    </row>
    <row r="1403" spans="3:29" ht="12.75">
      <c r="C1403" s="23"/>
      <c r="I1403" s="23"/>
      <c r="L1403" s="56"/>
      <c r="M1403" s="56"/>
      <c r="N1403" s="56"/>
      <c r="O1403" s="56"/>
      <c r="P1403" s="56"/>
      <c r="Q1403" s="56"/>
      <c r="R1403" s="56"/>
      <c r="S1403" s="56"/>
      <c r="T1403" s="56"/>
      <c r="U1403" s="56"/>
      <c r="V1403" s="56"/>
      <c r="W1403" s="56"/>
      <c r="X1403" s="56"/>
      <c r="Y1403" s="56"/>
      <c r="Z1403" s="56"/>
      <c r="AA1403" s="56"/>
      <c r="AB1403" s="56"/>
      <c r="AC1403" s="15"/>
    </row>
    <row r="1404" spans="3:29" ht="12.75">
      <c r="C1404" s="23"/>
      <c r="I1404" s="23"/>
      <c r="L1404" s="56"/>
      <c r="M1404" s="56"/>
      <c r="N1404" s="56"/>
      <c r="O1404" s="56"/>
      <c r="P1404" s="56"/>
      <c r="Q1404" s="56"/>
      <c r="R1404" s="56"/>
      <c r="S1404" s="56"/>
      <c r="T1404" s="56"/>
      <c r="U1404" s="56"/>
      <c r="V1404" s="56"/>
      <c r="W1404" s="56"/>
      <c r="X1404" s="56"/>
      <c r="Y1404" s="56"/>
      <c r="Z1404" s="56"/>
      <c r="AA1404" s="56"/>
      <c r="AB1404" s="56"/>
      <c r="AC1404" s="15"/>
    </row>
    <row r="1405" spans="3:29" ht="12.75">
      <c r="C1405" s="23"/>
      <c r="I1405" s="23"/>
      <c r="L1405" s="56"/>
      <c r="M1405" s="56"/>
      <c r="N1405" s="56"/>
      <c r="O1405" s="56"/>
      <c r="P1405" s="56"/>
      <c r="Q1405" s="56"/>
      <c r="R1405" s="56"/>
      <c r="S1405" s="56"/>
      <c r="T1405" s="56"/>
      <c r="U1405" s="56"/>
      <c r="V1405" s="56"/>
      <c r="W1405" s="56"/>
      <c r="X1405" s="56"/>
      <c r="Y1405" s="56"/>
      <c r="Z1405" s="56"/>
      <c r="AA1405" s="56"/>
      <c r="AB1405" s="56"/>
      <c r="AC1405" s="15"/>
    </row>
    <row r="1406" spans="3:29" ht="12.75">
      <c r="C1406" s="23"/>
      <c r="I1406" s="23"/>
      <c r="L1406" s="56"/>
      <c r="M1406" s="56"/>
      <c r="N1406" s="56"/>
      <c r="O1406" s="56"/>
      <c r="P1406" s="56"/>
      <c r="Q1406" s="56"/>
      <c r="R1406" s="56"/>
      <c r="S1406" s="56"/>
      <c r="T1406" s="56"/>
      <c r="U1406" s="56"/>
      <c r="V1406" s="56"/>
      <c r="W1406" s="56"/>
      <c r="X1406" s="56"/>
      <c r="Y1406" s="56"/>
      <c r="Z1406" s="56"/>
      <c r="AA1406" s="56"/>
      <c r="AB1406" s="56"/>
      <c r="AC1406" s="15"/>
    </row>
    <row r="1407" spans="3:29" ht="12.75">
      <c r="C1407" s="23"/>
      <c r="I1407" s="23"/>
      <c r="L1407" s="56"/>
      <c r="M1407" s="56"/>
      <c r="N1407" s="56"/>
      <c r="O1407" s="56"/>
      <c r="P1407" s="56"/>
      <c r="Q1407" s="56"/>
      <c r="R1407" s="56"/>
      <c r="S1407" s="56"/>
      <c r="T1407" s="56"/>
      <c r="U1407" s="56"/>
      <c r="V1407" s="56"/>
      <c r="W1407" s="56"/>
      <c r="X1407" s="56"/>
      <c r="Y1407" s="56"/>
      <c r="Z1407" s="56"/>
      <c r="AA1407" s="56"/>
      <c r="AB1407" s="56"/>
      <c r="AC1407" s="15"/>
    </row>
    <row r="1408" spans="3:29" ht="12.75">
      <c r="C1408" s="23"/>
      <c r="I1408" s="23"/>
      <c r="L1408" s="56"/>
      <c r="M1408" s="56"/>
      <c r="N1408" s="56"/>
      <c r="O1408" s="56"/>
      <c r="P1408" s="56"/>
      <c r="Q1408" s="56"/>
      <c r="R1408" s="56"/>
      <c r="S1408" s="56"/>
      <c r="T1408" s="56"/>
      <c r="U1408" s="56"/>
      <c r="V1408" s="56"/>
      <c r="W1408" s="56"/>
      <c r="X1408" s="56"/>
      <c r="Y1408" s="56"/>
      <c r="Z1408" s="56"/>
      <c r="AA1408" s="56"/>
      <c r="AB1408" s="56"/>
      <c r="AC1408" s="15"/>
    </row>
    <row r="1409" spans="3:29" ht="12.75">
      <c r="C1409" s="23"/>
      <c r="I1409" s="23"/>
      <c r="L1409" s="56"/>
      <c r="M1409" s="56"/>
      <c r="N1409" s="56"/>
      <c r="O1409" s="56"/>
      <c r="P1409" s="56"/>
      <c r="Q1409" s="56"/>
      <c r="R1409" s="56"/>
      <c r="S1409" s="56"/>
      <c r="T1409" s="56"/>
      <c r="U1409" s="56"/>
      <c r="V1409" s="56"/>
      <c r="W1409" s="56"/>
      <c r="X1409" s="56"/>
      <c r="Y1409" s="56"/>
      <c r="Z1409" s="56"/>
      <c r="AA1409" s="56"/>
      <c r="AB1409" s="56"/>
      <c r="AC1409" s="15"/>
    </row>
    <row r="1410" spans="3:29" ht="12.75">
      <c r="C1410" s="23"/>
      <c r="I1410" s="23"/>
      <c r="L1410" s="56"/>
      <c r="M1410" s="56"/>
      <c r="N1410" s="56"/>
      <c r="O1410" s="56"/>
      <c r="P1410" s="56"/>
      <c r="Q1410" s="56"/>
      <c r="R1410" s="56"/>
      <c r="S1410" s="56"/>
      <c r="T1410" s="56"/>
      <c r="U1410" s="56"/>
      <c r="V1410" s="56"/>
      <c r="W1410" s="56"/>
      <c r="X1410" s="56"/>
      <c r="Y1410" s="56"/>
      <c r="Z1410" s="56"/>
      <c r="AA1410" s="56"/>
      <c r="AB1410" s="56"/>
      <c r="AC1410" s="15"/>
    </row>
    <row r="1411" spans="3:29" ht="12.75">
      <c r="C1411" s="23"/>
      <c r="I1411" s="23"/>
      <c r="L1411" s="56"/>
      <c r="M1411" s="56"/>
      <c r="N1411" s="56"/>
      <c r="O1411" s="56"/>
      <c r="P1411" s="56"/>
      <c r="Q1411" s="56"/>
      <c r="R1411" s="56"/>
      <c r="S1411" s="56"/>
      <c r="T1411" s="56"/>
      <c r="U1411" s="56"/>
      <c r="V1411" s="56"/>
      <c r="W1411" s="56"/>
      <c r="X1411" s="56"/>
      <c r="Y1411" s="56"/>
      <c r="Z1411" s="56"/>
      <c r="AA1411" s="56"/>
      <c r="AB1411" s="56"/>
      <c r="AC1411" s="15"/>
    </row>
    <row r="1412" spans="3:29" ht="12.75">
      <c r="C1412" s="23"/>
      <c r="I1412" s="23"/>
      <c r="L1412" s="56"/>
      <c r="M1412" s="56"/>
      <c r="N1412" s="56"/>
      <c r="O1412" s="56"/>
      <c r="P1412" s="56"/>
      <c r="Q1412" s="56"/>
      <c r="R1412" s="56"/>
      <c r="S1412" s="56"/>
      <c r="T1412" s="56"/>
      <c r="U1412" s="56"/>
      <c r="V1412" s="56"/>
      <c r="W1412" s="56"/>
      <c r="X1412" s="56"/>
      <c r="Y1412" s="56"/>
      <c r="Z1412" s="56"/>
      <c r="AA1412" s="56"/>
      <c r="AB1412" s="56"/>
      <c r="AC1412" s="15"/>
    </row>
    <row r="1413" spans="3:29" ht="12.75">
      <c r="C1413" s="23"/>
      <c r="I1413" s="23"/>
      <c r="L1413" s="56"/>
      <c r="M1413" s="56"/>
      <c r="N1413" s="56"/>
      <c r="O1413" s="56"/>
      <c r="P1413" s="56"/>
      <c r="Q1413" s="56"/>
      <c r="R1413" s="56"/>
      <c r="S1413" s="56"/>
      <c r="T1413" s="56"/>
      <c r="U1413" s="56"/>
      <c r="V1413" s="56"/>
      <c r="W1413" s="56"/>
      <c r="X1413" s="56"/>
      <c r="Y1413" s="56"/>
      <c r="Z1413" s="56"/>
      <c r="AA1413" s="56"/>
      <c r="AB1413" s="56"/>
      <c r="AC1413" s="15"/>
    </row>
    <row r="1414" spans="3:29" ht="12.75">
      <c r="C1414" s="23"/>
      <c r="I1414" s="23"/>
      <c r="L1414" s="56"/>
      <c r="M1414" s="56"/>
      <c r="N1414" s="56"/>
      <c r="O1414" s="56"/>
      <c r="P1414" s="56"/>
      <c r="Q1414" s="56"/>
      <c r="R1414" s="56"/>
      <c r="S1414" s="56"/>
      <c r="T1414" s="56"/>
      <c r="U1414" s="56"/>
      <c r="V1414" s="56"/>
      <c r="W1414" s="56"/>
      <c r="X1414" s="56"/>
      <c r="Y1414" s="56"/>
      <c r="Z1414" s="56"/>
      <c r="AA1414" s="56"/>
      <c r="AB1414" s="56"/>
      <c r="AC1414" s="15"/>
    </row>
    <row r="1415" spans="3:29" ht="12.75">
      <c r="C1415" s="23"/>
      <c r="I1415" s="23"/>
      <c r="L1415" s="56"/>
      <c r="M1415" s="56"/>
      <c r="N1415" s="56"/>
      <c r="O1415" s="56"/>
      <c r="P1415" s="56"/>
      <c r="Q1415" s="56"/>
      <c r="R1415" s="56"/>
      <c r="S1415" s="56"/>
      <c r="T1415" s="56"/>
      <c r="U1415" s="56"/>
      <c r="V1415" s="56"/>
      <c r="W1415" s="56"/>
      <c r="X1415" s="56"/>
      <c r="Y1415" s="56"/>
      <c r="Z1415" s="56"/>
      <c r="AA1415" s="56"/>
      <c r="AB1415" s="56"/>
      <c r="AC1415" s="15"/>
    </row>
    <row r="1416" spans="3:29" ht="12.75">
      <c r="C1416" s="23"/>
      <c r="I1416" s="23"/>
      <c r="L1416" s="56"/>
      <c r="M1416" s="56"/>
      <c r="N1416" s="56"/>
      <c r="O1416" s="56"/>
      <c r="P1416" s="56"/>
      <c r="Q1416" s="56"/>
      <c r="R1416" s="56"/>
      <c r="S1416" s="56"/>
      <c r="T1416" s="56"/>
      <c r="U1416" s="56"/>
      <c r="V1416" s="56"/>
      <c r="W1416" s="56"/>
      <c r="X1416" s="56"/>
      <c r="Y1416" s="56"/>
      <c r="Z1416" s="56"/>
      <c r="AA1416" s="56"/>
      <c r="AB1416" s="56"/>
      <c r="AC1416" s="15"/>
    </row>
    <row r="1417" spans="3:29" ht="12.75">
      <c r="C1417" s="23"/>
      <c r="I1417" s="23"/>
      <c r="L1417" s="56"/>
      <c r="M1417" s="56"/>
      <c r="N1417" s="56"/>
      <c r="O1417" s="56"/>
      <c r="P1417" s="56"/>
      <c r="Q1417" s="56"/>
      <c r="R1417" s="56"/>
      <c r="S1417" s="56"/>
      <c r="T1417" s="56"/>
      <c r="U1417" s="56"/>
      <c r="V1417" s="56"/>
      <c r="W1417" s="56"/>
      <c r="X1417" s="56"/>
      <c r="Y1417" s="56"/>
      <c r="Z1417" s="56"/>
      <c r="AA1417" s="56"/>
      <c r="AB1417" s="56"/>
      <c r="AC1417" s="15"/>
    </row>
    <row r="1418" spans="3:29" ht="12.75">
      <c r="C1418" s="23"/>
      <c r="I1418" s="23"/>
      <c r="L1418" s="56"/>
      <c r="M1418" s="56"/>
      <c r="N1418" s="56"/>
      <c r="O1418" s="56"/>
      <c r="P1418" s="56"/>
      <c r="Q1418" s="56"/>
      <c r="R1418" s="56"/>
      <c r="S1418" s="56"/>
      <c r="T1418" s="56"/>
      <c r="U1418" s="56"/>
      <c r="V1418" s="56"/>
      <c r="W1418" s="56"/>
      <c r="X1418" s="56"/>
      <c r="Y1418" s="56"/>
      <c r="Z1418" s="56"/>
      <c r="AA1418" s="56"/>
      <c r="AB1418" s="56"/>
      <c r="AC1418" s="15"/>
    </row>
    <row r="1419" spans="3:29" ht="12.75">
      <c r="C1419" s="23"/>
      <c r="I1419" s="23"/>
      <c r="L1419" s="56"/>
      <c r="M1419" s="56"/>
      <c r="N1419" s="56"/>
      <c r="O1419" s="56"/>
      <c r="P1419" s="56"/>
      <c r="Q1419" s="56"/>
      <c r="R1419" s="56"/>
      <c r="S1419" s="56"/>
      <c r="T1419" s="56"/>
      <c r="U1419" s="56"/>
      <c r="V1419" s="56"/>
      <c r="W1419" s="56"/>
      <c r="X1419" s="56"/>
      <c r="Y1419" s="56"/>
      <c r="Z1419" s="56"/>
      <c r="AA1419" s="56"/>
      <c r="AB1419" s="56"/>
      <c r="AC1419" s="15"/>
    </row>
    <row r="1420" spans="3:29" ht="12.75">
      <c r="C1420" s="23"/>
      <c r="I1420" s="23"/>
      <c r="L1420" s="56"/>
      <c r="M1420" s="56"/>
      <c r="N1420" s="56"/>
      <c r="O1420" s="56"/>
      <c r="P1420" s="56"/>
      <c r="Q1420" s="56"/>
      <c r="R1420" s="56"/>
      <c r="S1420" s="56"/>
      <c r="T1420" s="56"/>
      <c r="U1420" s="56"/>
      <c r="V1420" s="56"/>
      <c r="W1420" s="56"/>
      <c r="X1420" s="56"/>
      <c r="Y1420" s="56"/>
      <c r="Z1420" s="56"/>
      <c r="AA1420" s="56"/>
      <c r="AB1420" s="56"/>
      <c r="AC1420" s="15"/>
    </row>
    <row r="1421" spans="3:29" ht="12.75">
      <c r="C1421" s="23"/>
      <c r="I1421" s="23"/>
      <c r="L1421" s="56"/>
      <c r="M1421" s="56"/>
      <c r="N1421" s="56"/>
      <c r="O1421" s="56"/>
      <c r="P1421" s="56"/>
      <c r="Q1421" s="56"/>
      <c r="R1421" s="56"/>
      <c r="S1421" s="56"/>
      <c r="T1421" s="56"/>
      <c r="U1421" s="56"/>
      <c r="V1421" s="56"/>
      <c r="W1421" s="56"/>
      <c r="X1421" s="56"/>
      <c r="Y1421" s="56"/>
      <c r="Z1421" s="56"/>
      <c r="AA1421" s="56"/>
      <c r="AB1421" s="56"/>
      <c r="AC1421" s="15"/>
    </row>
    <row r="1422" spans="3:29" ht="12.75">
      <c r="C1422" s="23"/>
      <c r="I1422" s="23"/>
      <c r="L1422" s="56"/>
      <c r="M1422" s="56"/>
      <c r="N1422" s="56"/>
      <c r="O1422" s="56"/>
      <c r="P1422" s="56"/>
      <c r="Q1422" s="56"/>
      <c r="R1422" s="56"/>
      <c r="S1422" s="56"/>
      <c r="T1422" s="56"/>
      <c r="U1422" s="56"/>
      <c r="V1422" s="56"/>
      <c r="W1422" s="56"/>
      <c r="X1422" s="56"/>
      <c r="Y1422" s="56"/>
      <c r="Z1422" s="56"/>
      <c r="AA1422" s="56"/>
      <c r="AB1422" s="56"/>
      <c r="AC1422" s="15"/>
    </row>
    <row r="1423" spans="3:29" ht="12.75">
      <c r="C1423" s="23"/>
      <c r="I1423" s="23"/>
      <c r="L1423" s="56"/>
      <c r="M1423" s="56"/>
      <c r="N1423" s="56"/>
      <c r="O1423" s="56"/>
      <c r="P1423" s="56"/>
      <c r="Q1423" s="56"/>
      <c r="R1423" s="56"/>
      <c r="S1423" s="56"/>
      <c r="T1423" s="56"/>
      <c r="U1423" s="56"/>
      <c r="V1423" s="56"/>
      <c r="W1423" s="56"/>
      <c r="X1423" s="56"/>
      <c r="Y1423" s="56"/>
      <c r="Z1423" s="56"/>
      <c r="AA1423" s="56"/>
      <c r="AB1423" s="56"/>
      <c r="AC1423" s="15"/>
    </row>
    <row r="1424" spans="3:29" ht="12.75">
      <c r="C1424" s="23"/>
      <c r="I1424" s="23"/>
      <c r="L1424" s="56"/>
      <c r="M1424" s="56"/>
      <c r="N1424" s="56"/>
      <c r="O1424" s="56"/>
      <c r="P1424" s="56"/>
      <c r="Q1424" s="56"/>
      <c r="R1424" s="56"/>
      <c r="S1424" s="56"/>
      <c r="T1424" s="56"/>
      <c r="U1424" s="56"/>
      <c r="V1424" s="56"/>
      <c r="W1424" s="56"/>
      <c r="X1424" s="56"/>
      <c r="Y1424" s="56"/>
      <c r="Z1424" s="56"/>
      <c r="AA1424" s="56"/>
      <c r="AB1424" s="56"/>
      <c r="AC1424" s="15"/>
    </row>
    <row r="1425" spans="3:29" ht="12.75">
      <c r="C1425" s="23"/>
      <c r="I1425" s="23"/>
      <c r="L1425" s="56"/>
      <c r="M1425" s="56"/>
      <c r="N1425" s="56"/>
      <c r="O1425" s="56"/>
      <c r="P1425" s="56"/>
      <c r="Q1425" s="56"/>
      <c r="R1425" s="56"/>
      <c r="S1425" s="56"/>
      <c r="T1425" s="56"/>
      <c r="U1425" s="56"/>
      <c r="V1425" s="56"/>
      <c r="W1425" s="56"/>
      <c r="X1425" s="56"/>
      <c r="Y1425" s="56"/>
      <c r="Z1425" s="56"/>
      <c r="AA1425" s="56"/>
      <c r="AB1425" s="56"/>
      <c r="AC1425" s="15"/>
    </row>
    <row r="1426" spans="3:29" ht="12.75">
      <c r="C1426" s="23"/>
      <c r="I1426" s="23"/>
      <c r="L1426" s="56"/>
      <c r="M1426" s="56"/>
      <c r="N1426" s="56"/>
      <c r="O1426" s="56"/>
      <c r="P1426" s="56"/>
      <c r="Q1426" s="56"/>
      <c r="R1426" s="56"/>
      <c r="S1426" s="56"/>
      <c r="T1426" s="56"/>
      <c r="U1426" s="56"/>
      <c r="V1426" s="56"/>
      <c r="W1426" s="56"/>
      <c r="X1426" s="56"/>
      <c r="Y1426" s="56"/>
      <c r="Z1426" s="56"/>
      <c r="AA1426" s="56"/>
      <c r="AB1426" s="56"/>
      <c r="AC1426" s="15"/>
    </row>
    <row r="1427" spans="3:29" ht="12.75">
      <c r="C1427" s="23"/>
      <c r="I1427" s="23"/>
      <c r="L1427" s="56"/>
      <c r="M1427" s="56"/>
      <c r="N1427" s="56"/>
      <c r="O1427" s="56"/>
      <c r="P1427" s="56"/>
      <c r="Q1427" s="56"/>
      <c r="R1427" s="56"/>
      <c r="S1427" s="56"/>
      <c r="T1427" s="56"/>
      <c r="U1427" s="56"/>
      <c r="V1427" s="56"/>
      <c r="W1427" s="56"/>
      <c r="X1427" s="56"/>
      <c r="Y1427" s="56"/>
      <c r="Z1427" s="56"/>
      <c r="AA1427" s="56"/>
      <c r="AB1427" s="56"/>
      <c r="AC1427" s="15"/>
    </row>
    <row r="1428" spans="3:29" ht="12.75">
      <c r="C1428" s="23"/>
      <c r="I1428" s="23"/>
      <c r="L1428" s="56"/>
      <c r="M1428" s="56"/>
      <c r="N1428" s="56"/>
      <c r="O1428" s="56"/>
      <c r="P1428" s="56"/>
      <c r="Q1428" s="56"/>
      <c r="R1428" s="56"/>
      <c r="S1428" s="56"/>
      <c r="T1428" s="56"/>
      <c r="U1428" s="56"/>
      <c r="V1428" s="56"/>
      <c r="W1428" s="56"/>
      <c r="X1428" s="56"/>
      <c r="Y1428" s="56"/>
      <c r="Z1428" s="56"/>
      <c r="AA1428" s="56"/>
      <c r="AB1428" s="56"/>
      <c r="AC1428" s="15"/>
    </row>
    <row r="1429" spans="3:29" ht="12.75">
      <c r="C1429" s="23"/>
      <c r="I1429" s="23"/>
      <c r="L1429" s="56"/>
      <c r="M1429" s="56"/>
      <c r="N1429" s="56"/>
      <c r="O1429" s="56"/>
      <c r="P1429" s="56"/>
      <c r="Q1429" s="56"/>
      <c r="R1429" s="56"/>
      <c r="S1429" s="56"/>
      <c r="T1429" s="56"/>
      <c r="U1429" s="56"/>
      <c r="V1429" s="56"/>
      <c r="W1429" s="56"/>
      <c r="X1429" s="56"/>
      <c r="Y1429" s="56"/>
      <c r="Z1429" s="56"/>
      <c r="AA1429" s="56"/>
      <c r="AB1429" s="56"/>
      <c r="AC1429" s="15"/>
    </row>
    <row r="1430" spans="3:29" ht="12.75">
      <c r="C1430" s="23"/>
      <c r="I1430" s="23"/>
      <c r="L1430" s="56"/>
      <c r="M1430" s="56"/>
      <c r="N1430" s="56"/>
      <c r="O1430" s="56"/>
      <c r="P1430" s="56"/>
      <c r="Q1430" s="56"/>
      <c r="R1430" s="56"/>
      <c r="S1430" s="56"/>
      <c r="T1430" s="56"/>
      <c r="U1430" s="56"/>
      <c r="V1430" s="56"/>
      <c r="W1430" s="56"/>
      <c r="X1430" s="56"/>
      <c r="Y1430" s="56"/>
      <c r="Z1430" s="56"/>
      <c r="AA1430" s="56"/>
      <c r="AB1430" s="56"/>
      <c r="AC1430" s="15"/>
    </row>
    <row r="1431" spans="3:29" ht="12.75">
      <c r="C1431" s="23"/>
      <c r="I1431" s="23"/>
      <c r="L1431" s="56"/>
      <c r="M1431" s="56"/>
      <c r="N1431" s="56"/>
      <c r="O1431" s="56"/>
      <c r="P1431" s="56"/>
      <c r="Q1431" s="56"/>
      <c r="R1431" s="56"/>
      <c r="S1431" s="56"/>
      <c r="T1431" s="56"/>
      <c r="U1431" s="56"/>
      <c r="V1431" s="56"/>
      <c r="W1431" s="56"/>
      <c r="X1431" s="56"/>
      <c r="Y1431" s="56"/>
      <c r="Z1431" s="56"/>
      <c r="AA1431" s="56"/>
      <c r="AB1431" s="56"/>
      <c r="AC1431" s="15"/>
    </row>
    <row r="1432" spans="3:29" ht="12.75">
      <c r="C1432" s="23"/>
      <c r="I1432" s="23"/>
      <c r="L1432" s="56"/>
      <c r="M1432" s="56"/>
      <c r="N1432" s="56"/>
      <c r="O1432" s="56"/>
      <c r="P1432" s="56"/>
      <c r="Q1432" s="56"/>
      <c r="R1432" s="56"/>
      <c r="S1432" s="56"/>
      <c r="T1432" s="56"/>
      <c r="U1432" s="56"/>
      <c r="V1432" s="56"/>
      <c r="W1432" s="56"/>
      <c r="X1432" s="56"/>
      <c r="Y1432" s="56"/>
      <c r="Z1432" s="56"/>
      <c r="AA1432" s="56"/>
      <c r="AB1432" s="56"/>
      <c r="AC1432" s="15"/>
    </row>
    <row r="1433" spans="3:29" ht="12.75">
      <c r="C1433" s="23"/>
      <c r="I1433" s="23"/>
      <c r="L1433" s="56"/>
      <c r="M1433" s="56"/>
      <c r="N1433" s="56"/>
      <c r="O1433" s="56"/>
      <c r="P1433" s="56"/>
      <c r="Q1433" s="56"/>
      <c r="R1433" s="56"/>
      <c r="S1433" s="56"/>
      <c r="T1433" s="56"/>
      <c r="U1433" s="56"/>
      <c r="V1433" s="56"/>
      <c r="W1433" s="56"/>
      <c r="X1433" s="56"/>
      <c r="Y1433" s="56"/>
      <c r="Z1433" s="56"/>
      <c r="AA1433" s="56"/>
      <c r="AB1433" s="56"/>
      <c r="AC1433" s="15"/>
    </row>
    <row r="1434" spans="3:29" ht="12.75">
      <c r="C1434" s="23"/>
      <c r="I1434" s="23"/>
      <c r="L1434" s="56"/>
      <c r="M1434" s="56"/>
      <c r="N1434" s="56"/>
      <c r="O1434" s="56"/>
      <c r="P1434" s="56"/>
      <c r="Q1434" s="56"/>
      <c r="R1434" s="56"/>
      <c r="S1434" s="56"/>
      <c r="T1434" s="56"/>
      <c r="U1434" s="56"/>
      <c r="V1434" s="56"/>
      <c r="W1434" s="56"/>
      <c r="X1434" s="56"/>
      <c r="Y1434" s="56"/>
      <c r="Z1434" s="56"/>
      <c r="AA1434" s="56"/>
      <c r="AB1434" s="56"/>
      <c r="AC1434" s="15"/>
    </row>
    <row r="1435" spans="3:29" ht="12.75">
      <c r="C1435" s="23"/>
      <c r="I1435" s="23"/>
      <c r="L1435" s="56"/>
      <c r="M1435" s="56"/>
      <c r="N1435" s="56"/>
      <c r="O1435" s="56"/>
      <c r="P1435" s="56"/>
      <c r="Q1435" s="56"/>
      <c r="R1435" s="56"/>
      <c r="S1435" s="56"/>
      <c r="T1435" s="56"/>
      <c r="U1435" s="56"/>
      <c r="V1435" s="56"/>
      <c r="W1435" s="56"/>
      <c r="X1435" s="56"/>
      <c r="Y1435" s="56"/>
      <c r="Z1435" s="56"/>
      <c r="AA1435" s="56"/>
      <c r="AB1435" s="56"/>
      <c r="AC1435" s="15"/>
    </row>
    <row r="1436" spans="3:29" ht="12.75">
      <c r="C1436" s="23"/>
      <c r="I1436" s="23"/>
      <c r="L1436" s="56"/>
      <c r="M1436" s="56"/>
      <c r="N1436" s="56"/>
      <c r="O1436" s="56"/>
      <c r="P1436" s="56"/>
      <c r="Q1436" s="56"/>
      <c r="R1436" s="56"/>
      <c r="S1436" s="56"/>
      <c r="T1436" s="56"/>
      <c r="U1436" s="56"/>
      <c r="V1436" s="56"/>
      <c r="W1436" s="56"/>
      <c r="X1436" s="56"/>
      <c r="Y1436" s="56"/>
      <c r="Z1436" s="56"/>
      <c r="AA1436" s="56"/>
      <c r="AB1436" s="56"/>
      <c r="AC1436" s="15"/>
    </row>
    <row r="1437" spans="3:29" ht="12.75">
      <c r="C1437" s="23"/>
      <c r="I1437" s="23"/>
      <c r="L1437" s="56"/>
      <c r="M1437" s="56"/>
      <c r="N1437" s="56"/>
      <c r="O1437" s="56"/>
      <c r="P1437" s="56"/>
      <c r="Q1437" s="56"/>
      <c r="R1437" s="56"/>
      <c r="S1437" s="56"/>
      <c r="T1437" s="56"/>
      <c r="U1437" s="56"/>
      <c r="V1437" s="56"/>
      <c r="W1437" s="56"/>
      <c r="X1437" s="56"/>
      <c r="Y1437" s="56"/>
      <c r="Z1437" s="56"/>
      <c r="AA1437" s="56"/>
      <c r="AB1437" s="56"/>
      <c r="AC1437" s="15"/>
    </row>
    <row r="1438" spans="3:29" ht="12.75">
      <c r="C1438" s="23"/>
      <c r="I1438" s="23"/>
      <c r="L1438" s="56"/>
      <c r="M1438" s="56"/>
      <c r="N1438" s="56"/>
      <c r="O1438" s="56"/>
      <c r="P1438" s="56"/>
      <c r="Q1438" s="56"/>
      <c r="R1438" s="56"/>
      <c r="S1438" s="56"/>
      <c r="T1438" s="56"/>
      <c r="U1438" s="56"/>
      <c r="V1438" s="56"/>
      <c r="W1438" s="56"/>
      <c r="X1438" s="56"/>
      <c r="Y1438" s="56"/>
      <c r="Z1438" s="56"/>
      <c r="AA1438" s="56"/>
      <c r="AB1438" s="56"/>
      <c r="AC1438" s="15"/>
    </row>
    <row r="1439" spans="3:29" ht="12.75">
      <c r="C1439" s="23"/>
      <c r="I1439" s="23"/>
      <c r="L1439" s="56"/>
      <c r="M1439" s="56"/>
      <c r="N1439" s="56"/>
      <c r="O1439" s="56"/>
      <c r="P1439" s="56"/>
      <c r="Q1439" s="56"/>
      <c r="R1439" s="56"/>
      <c r="S1439" s="56"/>
      <c r="T1439" s="56"/>
      <c r="U1439" s="56"/>
      <c r="V1439" s="56"/>
      <c r="W1439" s="56"/>
      <c r="X1439" s="56"/>
      <c r="Y1439" s="56"/>
      <c r="Z1439" s="56"/>
      <c r="AA1439" s="56"/>
      <c r="AB1439" s="56"/>
      <c r="AC1439" s="15"/>
    </row>
    <row r="1440" spans="3:29" ht="12.75">
      <c r="C1440" s="23"/>
      <c r="I1440" s="23"/>
      <c r="L1440" s="56"/>
      <c r="M1440" s="56"/>
      <c r="N1440" s="56"/>
      <c r="O1440" s="56"/>
      <c r="P1440" s="56"/>
      <c r="Q1440" s="56"/>
      <c r="R1440" s="56"/>
      <c r="S1440" s="56"/>
      <c r="T1440" s="56"/>
      <c r="U1440" s="56"/>
      <c r="V1440" s="56"/>
      <c r="W1440" s="56"/>
      <c r="X1440" s="56"/>
      <c r="Y1440" s="56"/>
      <c r="Z1440" s="56"/>
      <c r="AA1440" s="56"/>
      <c r="AB1440" s="56"/>
      <c r="AC1440" s="15"/>
    </row>
    <row r="1441" spans="3:29" ht="12.75">
      <c r="C1441" s="23"/>
      <c r="I1441" s="23"/>
      <c r="L1441" s="56"/>
      <c r="M1441" s="56"/>
      <c r="N1441" s="56"/>
      <c r="O1441" s="56"/>
      <c r="P1441" s="56"/>
      <c r="Q1441" s="56"/>
      <c r="R1441" s="56"/>
      <c r="S1441" s="56"/>
      <c r="T1441" s="56"/>
      <c r="U1441" s="56"/>
      <c r="V1441" s="56"/>
      <c r="W1441" s="56"/>
      <c r="X1441" s="56"/>
      <c r="Y1441" s="56"/>
      <c r="Z1441" s="56"/>
      <c r="AA1441" s="56"/>
      <c r="AB1441" s="56"/>
      <c r="AC1441" s="15"/>
    </row>
    <row r="1442" spans="3:29" ht="12.75">
      <c r="C1442" s="23"/>
      <c r="I1442" s="23"/>
      <c r="L1442" s="56"/>
      <c r="M1442" s="56"/>
      <c r="N1442" s="56"/>
      <c r="O1442" s="56"/>
      <c r="P1442" s="56"/>
      <c r="Q1442" s="56"/>
      <c r="R1442" s="56"/>
      <c r="S1442" s="56"/>
      <c r="T1442" s="56"/>
      <c r="U1442" s="56"/>
      <c r="V1442" s="56"/>
      <c r="W1442" s="56"/>
      <c r="X1442" s="56"/>
      <c r="Y1442" s="56"/>
      <c r="Z1442" s="56"/>
      <c r="AA1442" s="56"/>
      <c r="AB1442" s="56"/>
      <c r="AC1442" s="15"/>
    </row>
    <row r="1443" spans="3:29" ht="12.75">
      <c r="C1443" s="23"/>
      <c r="I1443" s="23"/>
      <c r="L1443" s="56"/>
      <c r="M1443" s="56"/>
      <c r="N1443" s="56"/>
      <c r="O1443" s="56"/>
      <c r="P1443" s="56"/>
      <c r="Q1443" s="56"/>
      <c r="R1443" s="56"/>
      <c r="S1443" s="56"/>
      <c r="T1443" s="56"/>
      <c r="U1443" s="56"/>
      <c r="V1443" s="56"/>
      <c r="W1443" s="56"/>
      <c r="X1443" s="56"/>
      <c r="Y1443" s="56"/>
      <c r="Z1443" s="56"/>
      <c r="AA1443" s="56"/>
      <c r="AB1443" s="56"/>
      <c r="AC1443" s="15"/>
    </row>
    <row r="1444" spans="3:29" ht="12.75">
      <c r="C1444" s="23"/>
      <c r="I1444" s="23"/>
      <c r="L1444" s="56"/>
      <c r="M1444" s="56"/>
      <c r="N1444" s="56"/>
      <c r="O1444" s="56"/>
      <c r="P1444" s="56"/>
      <c r="Q1444" s="56"/>
      <c r="R1444" s="56"/>
      <c r="S1444" s="56"/>
      <c r="T1444" s="56"/>
      <c r="U1444" s="56"/>
      <c r="V1444" s="56"/>
      <c r="W1444" s="56"/>
      <c r="X1444" s="56"/>
      <c r="Y1444" s="56"/>
      <c r="Z1444" s="56"/>
      <c r="AA1444" s="56"/>
      <c r="AB1444" s="56"/>
      <c r="AC1444" s="15"/>
    </row>
    <row r="1445" spans="3:29" ht="12.75">
      <c r="C1445" s="23"/>
      <c r="I1445" s="23"/>
      <c r="L1445" s="56"/>
      <c r="M1445" s="56"/>
      <c r="N1445" s="56"/>
      <c r="O1445" s="56"/>
      <c r="P1445" s="56"/>
      <c r="Q1445" s="56"/>
      <c r="R1445" s="56"/>
      <c r="S1445" s="56"/>
      <c r="T1445" s="56"/>
      <c r="U1445" s="56"/>
      <c r="V1445" s="56"/>
      <c r="W1445" s="56"/>
      <c r="X1445" s="56"/>
      <c r="Y1445" s="56"/>
      <c r="Z1445" s="56"/>
      <c r="AA1445" s="56"/>
      <c r="AB1445" s="56"/>
      <c r="AC1445" s="15"/>
    </row>
    <row r="1446" spans="3:29" ht="12.75">
      <c r="C1446" s="23"/>
      <c r="I1446" s="23"/>
      <c r="L1446" s="56"/>
      <c r="M1446" s="56"/>
      <c r="N1446" s="56"/>
      <c r="O1446" s="56"/>
      <c r="P1446" s="56"/>
      <c r="Q1446" s="56"/>
      <c r="R1446" s="56"/>
      <c r="S1446" s="56"/>
      <c r="T1446" s="56"/>
      <c r="U1446" s="56"/>
      <c r="V1446" s="56"/>
      <c r="W1446" s="56"/>
      <c r="X1446" s="56"/>
      <c r="Y1446" s="56"/>
      <c r="Z1446" s="56"/>
      <c r="AA1446" s="56"/>
      <c r="AB1446" s="56"/>
      <c r="AC1446" s="15"/>
    </row>
    <row r="1447" spans="3:29" ht="12.75">
      <c r="C1447" s="23"/>
      <c r="I1447" s="23"/>
      <c r="L1447" s="56"/>
      <c r="M1447" s="56"/>
      <c r="N1447" s="56"/>
      <c r="O1447" s="56"/>
      <c r="P1447" s="56"/>
      <c r="Q1447" s="56"/>
      <c r="R1447" s="56"/>
      <c r="S1447" s="56"/>
      <c r="T1447" s="56"/>
      <c r="U1447" s="56"/>
      <c r="V1447" s="56"/>
      <c r="W1447" s="56"/>
      <c r="X1447" s="56"/>
      <c r="Y1447" s="56"/>
      <c r="Z1447" s="56"/>
      <c r="AA1447" s="56"/>
      <c r="AB1447" s="56"/>
      <c r="AC1447" s="15"/>
    </row>
    <row r="1448" spans="3:29" ht="12.75">
      <c r="C1448" s="23"/>
      <c r="I1448" s="23"/>
      <c r="L1448" s="56"/>
      <c r="M1448" s="56"/>
      <c r="N1448" s="56"/>
      <c r="O1448" s="56"/>
      <c r="P1448" s="56"/>
      <c r="Q1448" s="56"/>
      <c r="R1448" s="56"/>
      <c r="S1448" s="56"/>
      <c r="T1448" s="56"/>
      <c r="U1448" s="56"/>
      <c r="V1448" s="56"/>
      <c r="W1448" s="56"/>
      <c r="X1448" s="56"/>
      <c r="Y1448" s="56"/>
      <c r="Z1448" s="56"/>
      <c r="AA1448" s="56"/>
      <c r="AB1448" s="56"/>
      <c r="AC1448" s="15"/>
    </row>
    <row r="1449" spans="3:29" ht="12.75">
      <c r="C1449" s="23"/>
      <c r="I1449" s="23"/>
      <c r="L1449" s="56"/>
      <c r="M1449" s="56"/>
      <c r="N1449" s="56"/>
      <c r="O1449" s="56"/>
      <c r="P1449" s="56"/>
      <c r="Q1449" s="56"/>
      <c r="R1449" s="56"/>
      <c r="S1449" s="56"/>
      <c r="T1449" s="56"/>
      <c r="U1449" s="56"/>
      <c r="V1449" s="56"/>
      <c r="W1449" s="56"/>
      <c r="X1449" s="56"/>
      <c r="Y1449" s="56"/>
      <c r="Z1449" s="56"/>
      <c r="AA1449" s="56"/>
      <c r="AB1449" s="56"/>
      <c r="AC1449" s="15"/>
    </row>
    <row r="1450" spans="3:29" ht="12.75">
      <c r="C1450" s="23"/>
      <c r="I1450" s="23"/>
      <c r="L1450" s="56"/>
      <c r="M1450" s="56"/>
      <c r="N1450" s="56"/>
      <c r="O1450" s="56"/>
      <c r="P1450" s="56"/>
      <c r="Q1450" s="56"/>
      <c r="R1450" s="56"/>
      <c r="S1450" s="56"/>
      <c r="T1450" s="56"/>
      <c r="U1450" s="56"/>
      <c r="V1450" s="56"/>
      <c r="W1450" s="56"/>
      <c r="X1450" s="56"/>
      <c r="Y1450" s="56"/>
      <c r="Z1450" s="56"/>
      <c r="AA1450" s="56"/>
      <c r="AB1450" s="56"/>
      <c r="AC1450" s="15"/>
    </row>
    <row r="1451" spans="3:29" ht="12.75">
      <c r="C1451" s="23"/>
      <c r="I1451" s="23"/>
      <c r="L1451" s="56"/>
      <c r="M1451" s="56"/>
      <c r="N1451" s="56"/>
      <c r="O1451" s="56"/>
      <c r="P1451" s="56"/>
      <c r="Q1451" s="56"/>
      <c r="R1451" s="56"/>
      <c r="S1451" s="56"/>
      <c r="T1451" s="56"/>
      <c r="U1451" s="56"/>
      <c r="V1451" s="56"/>
      <c r="W1451" s="56"/>
      <c r="X1451" s="56"/>
      <c r="Y1451" s="56"/>
      <c r="Z1451" s="56"/>
      <c r="AA1451" s="56"/>
      <c r="AB1451" s="56"/>
      <c r="AC1451" s="15"/>
    </row>
    <row r="1452" spans="3:29" ht="12.75">
      <c r="C1452" s="23"/>
      <c r="I1452" s="23"/>
      <c r="L1452" s="56"/>
      <c r="M1452" s="56"/>
      <c r="N1452" s="56"/>
      <c r="O1452" s="56"/>
      <c r="P1452" s="56"/>
      <c r="Q1452" s="56"/>
      <c r="R1452" s="56"/>
      <c r="S1452" s="56"/>
      <c r="T1452" s="56"/>
      <c r="U1452" s="56"/>
      <c r="V1452" s="56"/>
      <c r="W1452" s="56"/>
      <c r="X1452" s="56"/>
      <c r="Y1452" s="56"/>
      <c r="Z1452" s="56"/>
      <c r="AA1452" s="56"/>
      <c r="AB1452" s="56"/>
      <c r="AC1452" s="15"/>
    </row>
    <row r="1453" spans="3:29" ht="12.75">
      <c r="C1453" s="23"/>
      <c r="I1453" s="23"/>
      <c r="L1453" s="56"/>
      <c r="M1453" s="56"/>
      <c r="N1453" s="56"/>
      <c r="O1453" s="56"/>
      <c r="P1453" s="56"/>
      <c r="Q1453" s="56"/>
      <c r="R1453" s="56"/>
      <c r="S1453" s="56"/>
      <c r="T1453" s="56"/>
      <c r="U1453" s="56"/>
      <c r="V1453" s="56"/>
      <c r="W1453" s="56"/>
      <c r="X1453" s="56"/>
      <c r="Y1453" s="56"/>
      <c r="Z1453" s="56"/>
      <c r="AA1453" s="56"/>
      <c r="AB1453" s="56"/>
      <c r="AC1453" s="15"/>
    </row>
    <row r="1454" spans="3:29" ht="12.75">
      <c r="C1454" s="23"/>
      <c r="I1454" s="23"/>
      <c r="L1454" s="56"/>
      <c r="M1454" s="56"/>
      <c r="N1454" s="56"/>
      <c r="O1454" s="56"/>
      <c r="P1454" s="56"/>
      <c r="Q1454" s="56"/>
      <c r="R1454" s="56"/>
      <c r="S1454" s="56"/>
      <c r="T1454" s="56"/>
      <c r="U1454" s="56"/>
      <c r="V1454" s="56"/>
      <c r="W1454" s="56"/>
      <c r="X1454" s="56"/>
      <c r="Y1454" s="56"/>
      <c r="Z1454" s="56"/>
      <c r="AA1454" s="56"/>
      <c r="AB1454" s="56"/>
      <c r="AC1454" s="15"/>
    </row>
    <row r="1455" spans="3:29" ht="12.75">
      <c r="C1455" s="23"/>
      <c r="I1455" s="23"/>
      <c r="L1455" s="56"/>
      <c r="M1455" s="56"/>
      <c r="N1455" s="56"/>
      <c r="O1455" s="56"/>
      <c r="P1455" s="56"/>
      <c r="Q1455" s="56"/>
      <c r="R1455" s="56"/>
      <c r="S1455" s="56"/>
      <c r="T1455" s="56"/>
      <c r="U1455" s="56"/>
      <c r="V1455" s="56"/>
      <c r="W1455" s="56"/>
      <c r="X1455" s="56"/>
      <c r="Y1455" s="56"/>
      <c r="Z1455" s="56"/>
      <c r="AA1455" s="56"/>
      <c r="AB1455" s="56"/>
      <c r="AC1455" s="15"/>
    </row>
    <row r="1456" spans="3:29" ht="12.75">
      <c r="C1456" s="23"/>
      <c r="I1456" s="23"/>
      <c r="L1456" s="56"/>
      <c r="M1456" s="56"/>
      <c r="N1456" s="56"/>
      <c r="O1456" s="56"/>
      <c r="P1456" s="56"/>
      <c r="Q1456" s="56"/>
      <c r="R1456" s="56"/>
      <c r="S1456" s="56"/>
      <c r="T1456" s="56"/>
      <c r="U1456" s="56"/>
      <c r="V1456" s="56"/>
      <c r="W1456" s="56"/>
      <c r="X1456" s="56"/>
      <c r="Y1456" s="56"/>
      <c r="Z1456" s="56"/>
      <c r="AA1456" s="56"/>
      <c r="AB1456" s="56"/>
      <c r="AC1456" s="15"/>
    </row>
    <row r="1457" spans="3:29" ht="12.75">
      <c r="C1457" s="23"/>
      <c r="I1457" s="23"/>
      <c r="L1457" s="56"/>
      <c r="M1457" s="56"/>
      <c r="N1457" s="56"/>
      <c r="O1457" s="56"/>
      <c r="P1457" s="56"/>
      <c r="Q1457" s="56"/>
      <c r="R1457" s="56"/>
      <c r="S1457" s="56"/>
      <c r="T1457" s="56"/>
      <c r="U1457" s="56"/>
      <c r="V1457" s="56"/>
      <c r="W1457" s="56"/>
      <c r="X1457" s="56"/>
      <c r="Y1457" s="56"/>
      <c r="Z1457" s="56"/>
      <c r="AA1457" s="56"/>
      <c r="AB1457" s="56"/>
      <c r="AC1457" s="15"/>
    </row>
    <row r="1458" spans="3:29" ht="12.75">
      <c r="C1458" s="23"/>
      <c r="I1458" s="23"/>
      <c r="L1458" s="56"/>
      <c r="M1458" s="56"/>
      <c r="N1458" s="56"/>
      <c r="O1458" s="56"/>
      <c r="P1458" s="56"/>
      <c r="Q1458" s="56"/>
      <c r="R1458" s="56"/>
      <c r="S1458" s="56"/>
      <c r="T1458" s="56"/>
      <c r="U1458" s="56"/>
      <c r="V1458" s="56"/>
      <c r="W1458" s="56"/>
      <c r="X1458" s="56"/>
      <c r="Y1458" s="56"/>
      <c r="Z1458" s="56"/>
      <c r="AA1458" s="56"/>
      <c r="AB1458" s="56"/>
      <c r="AC1458" s="15"/>
    </row>
    <row r="1459" spans="3:29" ht="12.75">
      <c r="C1459" s="23"/>
      <c r="I1459" s="23"/>
      <c r="L1459" s="56"/>
      <c r="M1459" s="56"/>
      <c r="N1459" s="56"/>
      <c r="O1459" s="56"/>
      <c r="P1459" s="56"/>
      <c r="Q1459" s="56"/>
      <c r="R1459" s="56"/>
      <c r="S1459" s="56"/>
      <c r="T1459" s="56"/>
      <c r="U1459" s="56"/>
      <c r="V1459" s="56"/>
      <c r="W1459" s="56"/>
      <c r="X1459" s="56"/>
      <c r="Y1459" s="56"/>
      <c r="Z1459" s="56"/>
      <c r="AA1459" s="56"/>
      <c r="AB1459" s="56"/>
      <c r="AC1459" s="15"/>
    </row>
    <row r="1460" spans="3:29" ht="12.75">
      <c r="C1460" s="23"/>
      <c r="I1460" s="23"/>
      <c r="L1460" s="56"/>
      <c r="M1460" s="56"/>
      <c r="N1460" s="56"/>
      <c r="O1460" s="56"/>
      <c r="P1460" s="56"/>
      <c r="Q1460" s="56"/>
      <c r="R1460" s="56"/>
      <c r="S1460" s="56"/>
      <c r="T1460" s="56"/>
      <c r="U1460" s="56"/>
      <c r="V1460" s="56"/>
      <c r="W1460" s="56"/>
      <c r="X1460" s="56"/>
      <c r="Y1460" s="56"/>
      <c r="Z1460" s="56"/>
      <c r="AA1460" s="56"/>
      <c r="AB1460" s="56"/>
      <c r="AC1460" s="15"/>
    </row>
    <row r="1461" spans="3:29" ht="12.75">
      <c r="C1461" s="23"/>
      <c r="I1461" s="23"/>
      <c r="L1461" s="56"/>
      <c r="M1461" s="56"/>
      <c r="N1461" s="56"/>
      <c r="O1461" s="56"/>
      <c r="P1461" s="56"/>
      <c r="Q1461" s="56"/>
      <c r="R1461" s="56"/>
      <c r="S1461" s="56"/>
      <c r="T1461" s="56"/>
      <c r="U1461" s="56"/>
      <c r="V1461" s="56"/>
      <c r="W1461" s="56"/>
      <c r="X1461" s="56"/>
      <c r="Y1461" s="56"/>
      <c r="Z1461" s="56"/>
      <c r="AA1461" s="56"/>
      <c r="AB1461" s="56"/>
      <c r="AC1461" s="15"/>
    </row>
    <row r="1462" spans="3:29" ht="12.75">
      <c r="C1462" s="23"/>
      <c r="I1462" s="23"/>
      <c r="L1462" s="56"/>
      <c r="M1462" s="56"/>
      <c r="N1462" s="56"/>
      <c r="O1462" s="56"/>
      <c r="P1462" s="56"/>
      <c r="Q1462" s="56"/>
      <c r="R1462" s="56"/>
      <c r="S1462" s="56"/>
      <c r="T1462" s="56"/>
      <c r="U1462" s="56"/>
      <c r="V1462" s="56"/>
      <c r="W1462" s="56"/>
      <c r="X1462" s="56"/>
      <c r="Y1462" s="56"/>
      <c r="Z1462" s="56"/>
      <c r="AA1462" s="56"/>
      <c r="AB1462" s="56"/>
      <c r="AC1462" s="15"/>
    </row>
    <row r="1463" spans="3:29" ht="12.75">
      <c r="C1463" s="23"/>
      <c r="I1463" s="23"/>
      <c r="L1463" s="56"/>
      <c r="M1463" s="56"/>
      <c r="N1463" s="56"/>
      <c r="O1463" s="56"/>
      <c r="P1463" s="56"/>
      <c r="Q1463" s="56"/>
      <c r="R1463" s="56"/>
      <c r="S1463" s="56"/>
      <c r="T1463" s="56"/>
      <c r="U1463" s="56"/>
      <c r="V1463" s="56"/>
      <c r="W1463" s="56"/>
      <c r="X1463" s="56"/>
      <c r="Y1463" s="56"/>
      <c r="Z1463" s="56"/>
      <c r="AA1463" s="56"/>
      <c r="AB1463" s="56"/>
      <c r="AC1463" s="15"/>
    </row>
    <row r="1464" spans="3:29" ht="12.75">
      <c r="C1464" s="23"/>
      <c r="I1464" s="23"/>
      <c r="L1464" s="56"/>
      <c r="M1464" s="56"/>
      <c r="N1464" s="56"/>
      <c r="O1464" s="56"/>
      <c r="P1464" s="56"/>
      <c r="Q1464" s="56"/>
      <c r="R1464" s="56"/>
      <c r="S1464" s="56"/>
      <c r="T1464" s="56"/>
      <c r="U1464" s="56"/>
      <c r="V1464" s="56"/>
      <c r="W1464" s="56"/>
      <c r="X1464" s="56"/>
      <c r="Y1464" s="56"/>
      <c r="Z1464" s="56"/>
      <c r="AA1464" s="56"/>
      <c r="AB1464" s="56"/>
      <c r="AC1464" s="15"/>
    </row>
    <row r="1465" spans="3:29" ht="12.75">
      <c r="C1465" s="23"/>
      <c r="I1465" s="23"/>
      <c r="L1465" s="56"/>
      <c r="M1465" s="56"/>
      <c r="N1465" s="56"/>
      <c r="O1465" s="56"/>
      <c r="P1465" s="56"/>
      <c r="Q1465" s="56"/>
      <c r="R1465" s="56"/>
      <c r="S1465" s="56"/>
      <c r="T1465" s="56"/>
      <c r="U1465" s="56"/>
      <c r="V1465" s="56"/>
      <c r="W1465" s="56"/>
      <c r="X1465" s="56"/>
      <c r="Y1465" s="56"/>
      <c r="Z1465" s="56"/>
      <c r="AA1465" s="56"/>
      <c r="AB1465" s="56"/>
      <c r="AC1465" s="15"/>
    </row>
    <row r="1466" spans="3:29" ht="12.75">
      <c r="C1466" s="23"/>
      <c r="I1466" s="23"/>
      <c r="L1466" s="56"/>
      <c r="M1466" s="56"/>
      <c r="N1466" s="56"/>
      <c r="O1466" s="56"/>
      <c r="P1466" s="56"/>
      <c r="Q1466" s="56"/>
      <c r="R1466" s="56"/>
      <c r="S1466" s="56"/>
      <c r="T1466" s="56"/>
      <c r="U1466" s="56"/>
      <c r="V1466" s="56"/>
      <c r="W1466" s="56"/>
      <c r="X1466" s="56"/>
      <c r="Y1466" s="56"/>
      <c r="Z1466" s="56"/>
      <c r="AA1466" s="56"/>
      <c r="AB1466" s="56"/>
      <c r="AC1466" s="15"/>
    </row>
    <row r="1467" spans="3:29" ht="12.75">
      <c r="C1467" s="23"/>
      <c r="I1467" s="23"/>
      <c r="L1467" s="56"/>
      <c r="M1467" s="56"/>
      <c r="N1467" s="56"/>
      <c r="O1467" s="56"/>
      <c r="P1467" s="56"/>
      <c r="Q1467" s="56"/>
      <c r="R1467" s="56"/>
      <c r="S1467" s="56"/>
      <c r="T1467" s="56"/>
      <c r="U1467" s="56"/>
      <c r="V1467" s="56"/>
      <c r="W1467" s="56"/>
      <c r="X1467" s="56"/>
      <c r="Y1467" s="56"/>
      <c r="Z1467" s="56"/>
      <c r="AA1467" s="56"/>
      <c r="AB1467" s="56"/>
      <c r="AC1467" s="15"/>
    </row>
    <row r="1468" spans="3:29" ht="12.75">
      <c r="C1468" s="23"/>
      <c r="I1468" s="23"/>
      <c r="L1468" s="56"/>
      <c r="M1468" s="56"/>
      <c r="N1468" s="56"/>
      <c r="O1468" s="56"/>
      <c r="P1468" s="56"/>
      <c r="Q1468" s="56"/>
      <c r="R1468" s="56"/>
      <c r="S1468" s="56"/>
      <c r="T1468" s="56"/>
      <c r="U1468" s="56"/>
      <c r="V1468" s="56"/>
      <c r="W1468" s="56"/>
      <c r="X1468" s="56"/>
      <c r="Y1468" s="56"/>
      <c r="Z1468" s="56"/>
      <c r="AA1468" s="56"/>
      <c r="AB1468" s="56"/>
      <c r="AC1468" s="15"/>
    </row>
    <row r="1469" spans="3:29" ht="12.75">
      <c r="C1469" s="23"/>
      <c r="I1469" s="23"/>
      <c r="L1469" s="56"/>
      <c r="M1469" s="56"/>
      <c r="N1469" s="56"/>
      <c r="O1469" s="56"/>
      <c r="P1469" s="56"/>
      <c r="Q1469" s="56"/>
      <c r="R1469" s="56"/>
      <c r="S1469" s="56"/>
      <c r="T1469" s="56"/>
      <c r="U1469" s="56"/>
      <c r="V1469" s="56"/>
      <c r="W1469" s="56"/>
      <c r="X1469" s="56"/>
      <c r="Y1469" s="56"/>
      <c r="Z1469" s="56"/>
      <c r="AA1469" s="56"/>
      <c r="AB1469" s="56"/>
      <c r="AC1469" s="15"/>
    </row>
    <row r="1470" spans="3:29" ht="12.75">
      <c r="C1470" s="23"/>
      <c r="I1470" s="23"/>
      <c r="L1470" s="56"/>
      <c r="M1470" s="56"/>
      <c r="N1470" s="56"/>
      <c r="O1470" s="56"/>
      <c r="P1470" s="56"/>
      <c r="Q1470" s="56"/>
      <c r="R1470" s="56"/>
      <c r="S1470" s="56"/>
      <c r="T1470" s="56"/>
      <c r="U1470" s="56"/>
      <c r="V1470" s="56"/>
      <c r="W1470" s="56"/>
      <c r="X1470" s="56"/>
      <c r="Y1470" s="56"/>
      <c r="Z1470" s="56"/>
      <c r="AA1470" s="56"/>
      <c r="AB1470" s="56"/>
      <c r="AC1470" s="15"/>
    </row>
    <row r="1471" spans="3:29" ht="12.75">
      <c r="C1471" s="23"/>
      <c r="I1471" s="23"/>
      <c r="L1471" s="56"/>
      <c r="M1471" s="56"/>
      <c r="N1471" s="56"/>
      <c r="O1471" s="56"/>
      <c r="P1471" s="56"/>
      <c r="Q1471" s="56"/>
      <c r="R1471" s="56"/>
      <c r="S1471" s="56"/>
      <c r="T1471" s="56"/>
      <c r="U1471" s="56"/>
      <c r="V1471" s="56"/>
      <c r="W1471" s="56"/>
      <c r="X1471" s="56"/>
      <c r="Y1471" s="56"/>
      <c r="Z1471" s="56"/>
      <c r="AA1471" s="56"/>
      <c r="AB1471" s="56"/>
      <c r="AC1471" s="15"/>
    </row>
    <row r="1472" spans="3:29" ht="12.75">
      <c r="C1472" s="23"/>
      <c r="I1472" s="23"/>
      <c r="L1472" s="56"/>
      <c r="M1472" s="56"/>
      <c r="N1472" s="56"/>
      <c r="O1472" s="56"/>
      <c r="P1472" s="56"/>
      <c r="Q1472" s="56"/>
      <c r="R1472" s="56"/>
      <c r="S1472" s="56"/>
      <c r="T1472" s="56"/>
      <c r="U1472" s="56"/>
      <c r="V1472" s="56"/>
      <c r="W1472" s="56"/>
      <c r="X1472" s="56"/>
      <c r="Y1472" s="56"/>
      <c r="Z1472" s="56"/>
      <c r="AA1472" s="56"/>
      <c r="AB1472" s="56"/>
      <c r="AC1472" s="15"/>
    </row>
    <row r="1473" spans="3:29" ht="12.75">
      <c r="C1473" s="23"/>
      <c r="I1473" s="23"/>
      <c r="L1473" s="56"/>
      <c r="M1473" s="56"/>
      <c r="N1473" s="56"/>
      <c r="O1473" s="56"/>
      <c r="P1473" s="56"/>
      <c r="Q1473" s="56"/>
      <c r="R1473" s="56"/>
      <c r="S1473" s="56"/>
      <c r="T1473" s="56"/>
      <c r="U1473" s="56"/>
      <c r="V1473" s="56"/>
      <c r="W1473" s="56"/>
      <c r="X1473" s="56"/>
      <c r="Y1473" s="56"/>
      <c r="Z1473" s="56"/>
      <c r="AA1473" s="56"/>
      <c r="AB1473" s="56"/>
      <c r="AC1473" s="15"/>
    </row>
    <row r="1474" spans="3:29" ht="12.75">
      <c r="C1474" s="23"/>
      <c r="I1474" s="23"/>
      <c r="L1474" s="56"/>
      <c r="M1474" s="56"/>
      <c r="N1474" s="56"/>
      <c r="O1474" s="56"/>
      <c r="P1474" s="56"/>
      <c r="Q1474" s="56"/>
      <c r="R1474" s="56"/>
      <c r="S1474" s="56"/>
      <c r="T1474" s="56"/>
      <c r="U1474" s="56"/>
      <c r="V1474" s="56"/>
      <c r="W1474" s="56"/>
      <c r="X1474" s="56"/>
      <c r="Y1474" s="56"/>
      <c r="Z1474" s="56"/>
      <c r="AA1474" s="56"/>
      <c r="AB1474" s="56"/>
      <c r="AC1474" s="15"/>
    </row>
    <row r="1475" spans="3:29" ht="12.75">
      <c r="C1475" s="23"/>
      <c r="I1475" s="23"/>
      <c r="L1475" s="56"/>
      <c r="M1475" s="56"/>
      <c r="N1475" s="56"/>
      <c r="O1475" s="56"/>
      <c r="P1475" s="56"/>
      <c r="Q1475" s="56"/>
      <c r="R1475" s="56"/>
      <c r="S1475" s="56"/>
      <c r="T1475" s="56"/>
      <c r="U1475" s="56"/>
      <c r="V1475" s="56"/>
      <c r="W1475" s="56"/>
      <c r="X1475" s="56"/>
      <c r="Y1475" s="56"/>
      <c r="Z1475" s="56"/>
      <c r="AA1475" s="56"/>
      <c r="AB1475" s="56"/>
      <c r="AC1475" s="15"/>
    </row>
    <row r="1476" spans="3:29" ht="12.75">
      <c r="C1476" s="23"/>
      <c r="I1476" s="23"/>
      <c r="L1476" s="56"/>
      <c r="M1476" s="56"/>
      <c r="N1476" s="56"/>
      <c r="O1476" s="56"/>
      <c r="P1476" s="56"/>
      <c r="Q1476" s="56"/>
      <c r="R1476" s="56"/>
      <c r="S1476" s="56"/>
      <c r="T1476" s="56"/>
      <c r="U1476" s="56"/>
      <c r="V1476" s="56"/>
      <c r="W1476" s="56"/>
      <c r="X1476" s="56"/>
      <c r="Y1476" s="56"/>
      <c r="Z1476" s="56"/>
      <c r="AA1476" s="56"/>
      <c r="AB1476" s="56"/>
      <c r="AC1476" s="15"/>
    </row>
    <row r="1477" spans="3:29" ht="12.75">
      <c r="C1477" s="23"/>
      <c r="I1477" s="23"/>
      <c r="L1477" s="56"/>
      <c r="M1477" s="56"/>
      <c r="N1477" s="56"/>
      <c r="O1477" s="56"/>
      <c r="P1477" s="56"/>
      <c r="Q1477" s="56"/>
      <c r="R1477" s="56"/>
      <c r="S1477" s="56"/>
      <c r="T1477" s="56"/>
      <c r="U1477" s="56"/>
      <c r="V1477" s="56"/>
      <c r="W1477" s="56"/>
      <c r="X1477" s="56"/>
      <c r="Y1477" s="56"/>
      <c r="Z1477" s="56"/>
      <c r="AA1477" s="56"/>
      <c r="AB1477" s="56"/>
      <c r="AC1477" s="15"/>
    </row>
    <row r="1478" spans="3:29" ht="12.75">
      <c r="C1478" s="23"/>
      <c r="I1478" s="23"/>
      <c r="L1478" s="56"/>
      <c r="M1478" s="56"/>
      <c r="N1478" s="56"/>
      <c r="O1478" s="56"/>
      <c r="P1478" s="56"/>
      <c r="Q1478" s="56"/>
      <c r="R1478" s="56"/>
      <c r="S1478" s="56"/>
      <c r="T1478" s="56"/>
      <c r="U1478" s="56"/>
      <c r="V1478" s="56"/>
      <c r="W1478" s="56"/>
      <c r="X1478" s="56"/>
      <c r="Y1478" s="56"/>
      <c r="Z1478" s="56"/>
      <c r="AA1478" s="56"/>
      <c r="AB1478" s="56"/>
      <c r="AC1478" s="15"/>
    </row>
    <row r="1479" spans="3:29" ht="12.75">
      <c r="C1479" s="23"/>
      <c r="I1479" s="23"/>
      <c r="L1479" s="56"/>
      <c r="M1479" s="56"/>
      <c r="N1479" s="56"/>
      <c r="O1479" s="56"/>
      <c r="P1479" s="56"/>
      <c r="Q1479" s="56"/>
      <c r="R1479" s="56"/>
      <c r="S1479" s="56"/>
      <c r="T1479" s="56"/>
      <c r="U1479" s="56"/>
      <c r="V1479" s="56"/>
      <c r="W1479" s="56"/>
      <c r="X1479" s="56"/>
      <c r="Y1479" s="56"/>
      <c r="Z1479" s="56"/>
      <c r="AA1479" s="56"/>
      <c r="AB1479" s="56"/>
      <c r="AC1479" s="15"/>
    </row>
    <row r="1480" spans="3:29" ht="12.75">
      <c r="C1480" s="23"/>
      <c r="I1480" s="23"/>
      <c r="L1480" s="56"/>
      <c r="M1480" s="56"/>
      <c r="N1480" s="56"/>
      <c r="O1480" s="56"/>
      <c r="P1480" s="56"/>
      <c r="Q1480" s="56"/>
      <c r="R1480" s="56"/>
      <c r="S1480" s="56"/>
      <c r="T1480" s="56"/>
      <c r="U1480" s="56"/>
      <c r="V1480" s="56"/>
      <c r="W1480" s="56"/>
      <c r="X1480" s="56"/>
      <c r="Y1480" s="56"/>
      <c r="Z1480" s="56"/>
      <c r="AA1480" s="56"/>
      <c r="AB1480" s="56"/>
      <c r="AC1480" s="15"/>
    </row>
    <row r="1481" spans="3:29" ht="12.75">
      <c r="C1481" s="23"/>
      <c r="I1481" s="23"/>
      <c r="L1481" s="56"/>
      <c r="M1481" s="56"/>
      <c r="N1481" s="56"/>
      <c r="O1481" s="56"/>
      <c r="P1481" s="56"/>
      <c r="Q1481" s="56"/>
      <c r="R1481" s="56"/>
      <c r="S1481" s="56"/>
      <c r="T1481" s="56"/>
      <c r="U1481" s="56"/>
      <c r="V1481" s="56"/>
      <c r="W1481" s="56"/>
      <c r="X1481" s="56"/>
      <c r="Y1481" s="56"/>
      <c r="Z1481" s="56"/>
      <c r="AA1481" s="56"/>
      <c r="AB1481" s="56"/>
      <c r="AC1481" s="15"/>
    </row>
    <row r="1482" spans="3:29" ht="12.75">
      <c r="C1482" s="23"/>
      <c r="I1482" s="23"/>
      <c r="L1482" s="56"/>
      <c r="M1482" s="56"/>
      <c r="N1482" s="56"/>
      <c r="O1482" s="56"/>
      <c r="P1482" s="56"/>
      <c r="Q1482" s="56"/>
      <c r="R1482" s="56"/>
      <c r="S1482" s="56"/>
      <c r="T1482" s="56"/>
      <c r="U1482" s="56"/>
      <c r="V1482" s="56"/>
      <c r="W1482" s="56"/>
      <c r="X1482" s="56"/>
      <c r="Y1482" s="56"/>
      <c r="Z1482" s="56"/>
      <c r="AA1482" s="56"/>
      <c r="AB1482" s="56"/>
      <c r="AC1482" s="15"/>
    </row>
    <row r="1483" spans="3:29" ht="12.75">
      <c r="C1483" s="23"/>
      <c r="I1483" s="23"/>
      <c r="L1483" s="56"/>
      <c r="M1483" s="56"/>
      <c r="N1483" s="56"/>
      <c r="O1483" s="56"/>
      <c r="P1483" s="56"/>
      <c r="Q1483" s="56"/>
      <c r="R1483" s="56"/>
      <c r="S1483" s="56"/>
      <c r="T1483" s="56"/>
      <c r="U1483" s="56"/>
      <c r="V1483" s="56"/>
      <c r="W1483" s="56"/>
      <c r="X1483" s="56"/>
      <c r="Y1483" s="56"/>
      <c r="Z1483" s="56"/>
      <c r="AA1483" s="56"/>
      <c r="AB1483" s="56"/>
      <c r="AC1483" s="15"/>
    </row>
    <row r="1484" spans="3:29" ht="12.75">
      <c r="C1484" s="23"/>
      <c r="I1484" s="23"/>
      <c r="L1484" s="56"/>
      <c r="M1484" s="56"/>
      <c r="N1484" s="56"/>
      <c r="O1484" s="56"/>
      <c r="P1484" s="56"/>
      <c r="Q1484" s="56"/>
      <c r="R1484" s="56"/>
      <c r="S1484" s="56"/>
      <c r="T1484" s="56"/>
      <c r="U1484" s="56"/>
      <c r="V1484" s="56"/>
      <c r="W1484" s="56"/>
      <c r="X1484" s="56"/>
      <c r="Y1484" s="56"/>
      <c r="Z1484" s="56"/>
      <c r="AA1484" s="56"/>
      <c r="AB1484" s="56"/>
      <c r="AC1484" s="15"/>
    </row>
    <row r="1485" spans="3:29" ht="12.75">
      <c r="C1485" s="23"/>
      <c r="I1485" s="23"/>
      <c r="L1485" s="56"/>
      <c r="M1485" s="56"/>
      <c r="N1485" s="56"/>
      <c r="O1485" s="56"/>
      <c r="P1485" s="56"/>
      <c r="Q1485" s="56"/>
      <c r="R1485" s="56"/>
      <c r="S1485" s="56"/>
      <c r="T1485" s="56"/>
      <c r="U1485" s="56"/>
      <c r="V1485" s="56"/>
      <c r="W1485" s="56"/>
      <c r="X1485" s="56"/>
      <c r="Y1485" s="56"/>
      <c r="Z1485" s="56"/>
      <c r="AA1485" s="56"/>
      <c r="AB1485" s="56"/>
      <c r="AC1485" s="15"/>
    </row>
    <row r="1486" spans="3:29" ht="12.75">
      <c r="C1486" s="23"/>
      <c r="I1486" s="23"/>
      <c r="L1486" s="56"/>
      <c r="M1486" s="56"/>
      <c r="N1486" s="56"/>
      <c r="O1486" s="56"/>
      <c r="P1486" s="56"/>
      <c r="Q1486" s="56"/>
      <c r="R1486" s="56"/>
      <c r="S1486" s="56"/>
      <c r="T1486" s="56"/>
      <c r="U1486" s="56"/>
      <c r="V1486" s="56"/>
      <c r="W1486" s="56"/>
      <c r="X1486" s="56"/>
      <c r="Y1486" s="56"/>
      <c r="Z1486" s="56"/>
      <c r="AA1486" s="56"/>
      <c r="AB1486" s="56"/>
      <c r="AC1486" s="15"/>
    </row>
    <row r="1487" spans="3:29" ht="12.75">
      <c r="C1487" s="23"/>
      <c r="I1487" s="23"/>
      <c r="L1487" s="56"/>
      <c r="M1487" s="56"/>
      <c r="N1487" s="56"/>
      <c r="O1487" s="56"/>
      <c r="P1487" s="56"/>
      <c r="Q1487" s="56"/>
      <c r="R1487" s="56"/>
      <c r="S1487" s="56"/>
      <c r="T1487" s="56"/>
      <c r="U1487" s="56"/>
      <c r="V1487" s="56"/>
      <c r="W1487" s="56"/>
      <c r="X1487" s="56"/>
      <c r="Y1487" s="56"/>
      <c r="Z1487" s="56"/>
      <c r="AA1487" s="56"/>
      <c r="AB1487" s="56"/>
      <c r="AC1487" s="15"/>
    </row>
    <row r="1488" spans="3:29" ht="12.75">
      <c r="C1488" s="23"/>
      <c r="I1488" s="23"/>
      <c r="L1488" s="56"/>
      <c r="M1488" s="56"/>
      <c r="N1488" s="56"/>
      <c r="O1488" s="56"/>
      <c r="P1488" s="56"/>
      <c r="Q1488" s="56"/>
      <c r="R1488" s="56"/>
      <c r="S1488" s="56"/>
      <c r="T1488" s="56"/>
      <c r="U1488" s="56"/>
      <c r="V1488" s="56"/>
      <c r="W1488" s="56"/>
      <c r="X1488" s="56"/>
      <c r="Y1488" s="56"/>
      <c r="Z1488" s="56"/>
      <c r="AA1488" s="56"/>
      <c r="AB1488" s="56"/>
      <c r="AC1488" s="15"/>
    </row>
    <row r="1489" spans="3:29" ht="12.75">
      <c r="C1489" s="23"/>
      <c r="I1489" s="23"/>
      <c r="L1489" s="56"/>
      <c r="M1489" s="56"/>
      <c r="N1489" s="56"/>
      <c r="O1489" s="56"/>
      <c r="P1489" s="56"/>
      <c r="Q1489" s="56"/>
      <c r="R1489" s="56"/>
      <c r="S1489" s="56"/>
      <c r="T1489" s="56"/>
      <c r="U1489" s="56"/>
      <c r="V1489" s="56"/>
      <c r="W1489" s="56"/>
      <c r="X1489" s="56"/>
      <c r="Y1489" s="56"/>
      <c r="Z1489" s="56"/>
      <c r="AA1489" s="56"/>
      <c r="AB1489" s="56"/>
      <c r="AC1489" s="15"/>
    </row>
    <row r="1490" spans="3:29" ht="12.75">
      <c r="C1490" s="23"/>
      <c r="I1490" s="23"/>
      <c r="L1490" s="56"/>
      <c r="M1490" s="56"/>
      <c r="N1490" s="56"/>
      <c r="O1490" s="56"/>
      <c r="P1490" s="56"/>
      <c r="Q1490" s="56"/>
      <c r="R1490" s="56"/>
      <c r="S1490" s="56"/>
      <c r="T1490" s="56"/>
      <c r="U1490" s="56"/>
      <c r="V1490" s="56"/>
      <c r="W1490" s="56"/>
      <c r="X1490" s="56"/>
      <c r="Y1490" s="56"/>
      <c r="Z1490" s="56"/>
      <c r="AA1490" s="56"/>
      <c r="AB1490" s="56"/>
      <c r="AC1490" s="15"/>
    </row>
    <row r="1491" spans="3:29" ht="12.75">
      <c r="C1491" s="23"/>
      <c r="I1491" s="23"/>
      <c r="L1491" s="56"/>
      <c r="M1491" s="56"/>
      <c r="N1491" s="56"/>
      <c r="O1491" s="56"/>
      <c r="P1491" s="56"/>
      <c r="Q1491" s="56"/>
      <c r="R1491" s="56"/>
      <c r="S1491" s="56"/>
      <c r="T1491" s="56"/>
      <c r="U1491" s="56"/>
      <c r="V1491" s="56"/>
      <c r="W1491" s="56"/>
      <c r="X1491" s="56"/>
      <c r="Y1491" s="56"/>
      <c r="Z1491" s="56"/>
      <c r="AA1491" s="56"/>
      <c r="AB1491" s="56"/>
      <c r="AC1491" s="15"/>
    </row>
    <row r="1492" spans="3:29" ht="12.75">
      <c r="C1492" s="23"/>
      <c r="I1492" s="23"/>
      <c r="L1492" s="56"/>
      <c r="M1492" s="56"/>
      <c r="N1492" s="56"/>
      <c r="O1492" s="56"/>
      <c r="P1492" s="56"/>
      <c r="Q1492" s="56"/>
      <c r="R1492" s="56"/>
      <c r="S1492" s="56"/>
      <c r="T1492" s="56"/>
      <c r="U1492" s="56"/>
      <c r="V1492" s="56"/>
      <c r="W1492" s="56"/>
      <c r="X1492" s="56"/>
      <c r="Y1492" s="56"/>
      <c r="Z1492" s="56"/>
      <c r="AA1492" s="56"/>
      <c r="AB1492" s="56"/>
      <c r="AC1492" s="15"/>
    </row>
    <row r="1493" spans="3:29" ht="12.75">
      <c r="C1493" s="23"/>
      <c r="I1493" s="23"/>
      <c r="L1493" s="56"/>
      <c r="M1493" s="56"/>
      <c r="N1493" s="56"/>
      <c r="O1493" s="56"/>
      <c r="P1493" s="56"/>
      <c r="Q1493" s="56"/>
      <c r="R1493" s="56"/>
      <c r="S1493" s="56"/>
      <c r="T1493" s="56"/>
      <c r="U1493" s="56"/>
      <c r="V1493" s="56"/>
      <c r="W1493" s="56"/>
      <c r="X1493" s="56"/>
      <c r="Y1493" s="56"/>
      <c r="Z1493" s="56"/>
      <c r="AA1493" s="56"/>
      <c r="AB1493" s="56"/>
      <c r="AC1493" s="15"/>
    </row>
    <row r="1494" spans="3:29" ht="12.75">
      <c r="C1494" s="23"/>
      <c r="I1494" s="23"/>
      <c r="L1494" s="56"/>
      <c r="M1494" s="56"/>
      <c r="N1494" s="56"/>
      <c r="O1494" s="56"/>
      <c r="P1494" s="56"/>
      <c r="Q1494" s="56"/>
      <c r="R1494" s="56"/>
      <c r="S1494" s="56"/>
      <c r="T1494" s="56"/>
      <c r="U1494" s="56"/>
      <c r="V1494" s="56"/>
      <c r="W1494" s="56"/>
      <c r="X1494" s="56"/>
      <c r="Y1494" s="56"/>
      <c r="Z1494" s="56"/>
      <c r="AA1494" s="56"/>
      <c r="AB1494" s="56"/>
      <c r="AC1494" s="15"/>
    </row>
    <row r="1495" spans="3:29" ht="12.75">
      <c r="C1495" s="23"/>
      <c r="I1495" s="23"/>
      <c r="L1495" s="56"/>
      <c r="M1495" s="56"/>
      <c r="N1495" s="56"/>
      <c r="O1495" s="56"/>
      <c r="P1495" s="56"/>
      <c r="Q1495" s="56"/>
      <c r="R1495" s="56"/>
      <c r="S1495" s="56"/>
      <c r="T1495" s="56"/>
      <c r="U1495" s="56"/>
      <c r="V1495" s="56"/>
      <c r="W1495" s="56"/>
      <c r="X1495" s="56"/>
      <c r="Y1495" s="56"/>
      <c r="Z1495" s="56"/>
      <c r="AA1495" s="56"/>
      <c r="AB1495" s="56"/>
      <c r="AC1495" s="15"/>
    </row>
    <row r="1496" spans="3:29" ht="12.75">
      <c r="C1496" s="23"/>
      <c r="I1496" s="23"/>
      <c r="L1496" s="56"/>
      <c r="M1496" s="56"/>
      <c r="N1496" s="56"/>
      <c r="O1496" s="56"/>
      <c r="P1496" s="56"/>
      <c r="Q1496" s="56"/>
      <c r="R1496" s="56"/>
      <c r="S1496" s="56"/>
      <c r="T1496" s="56"/>
      <c r="U1496" s="56"/>
      <c r="V1496" s="56"/>
      <c r="W1496" s="56"/>
      <c r="X1496" s="56"/>
      <c r="Y1496" s="56"/>
      <c r="Z1496" s="56"/>
      <c r="AA1496" s="56"/>
      <c r="AB1496" s="56"/>
      <c r="AC1496" s="15"/>
    </row>
    <row r="1497" spans="3:29" ht="12.75">
      <c r="C1497" s="23"/>
      <c r="I1497" s="23"/>
      <c r="L1497" s="56"/>
      <c r="M1497" s="56"/>
      <c r="N1497" s="56"/>
      <c r="O1497" s="56"/>
      <c r="P1497" s="56"/>
      <c r="Q1497" s="56"/>
      <c r="R1497" s="56"/>
      <c r="S1497" s="56"/>
      <c r="T1497" s="56"/>
      <c r="U1497" s="56"/>
      <c r="V1497" s="56"/>
      <c r="W1497" s="56"/>
      <c r="X1497" s="56"/>
      <c r="Y1497" s="56"/>
      <c r="Z1497" s="56"/>
      <c r="AA1497" s="56"/>
      <c r="AB1497" s="56"/>
      <c r="AC1497" s="15"/>
    </row>
    <row r="1498" spans="3:29" ht="12.75">
      <c r="C1498" s="23"/>
      <c r="I1498" s="23"/>
      <c r="L1498" s="56"/>
      <c r="M1498" s="56"/>
      <c r="N1498" s="56"/>
      <c r="O1498" s="56"/>
      <c r="P1498" s="56"/>
      <c r="Q1498" s="56"/>
      <c r="R1498" s="56"/>
      <c r="S1498" s="56"/>
      <c r="T1498" s="56"/>
      <c r="U1498" s="56"/>
      <c r="V1498" s="56"/>
      <c r="W1498" s="56"/>
      <c r="X1498" s="56"/>
      <c r="Y1498" s="56"/>
      <c r="Z1498" s="56"/>
      <c r="AA1498" s="56"/>
      <c r="AB1498" s="56"/>
      <c r="AC1498" s="15"/>
    </row>
    <row r="1499" spans="3:29" ht="12.75">
      <c r="C1499" s="23"/>
      <c r="I1499" s="23"/>
      <c r="L1499" s="56"/>
      <c r="M1499" s="56"/>
      <c r="N1499" s="56"/>
      <c r="O1499" s="56"/>
      <c r="P1499" s="56"/>
      <c r="Q1499" s="56"/>
      <c r="R1499" s="56"/>
      <c r="S1499" s="56"/>
      <c r="T1499" s="56"/>
      <c r="U1499" s="56"/>
      <c r="V1499" s="56"/>
      <c r="W1499" s="56"/>
      <c r="X1499" s="56"/>
      <c r="Y1499" s="56"/>
      <c r="Z1499" s="56"/>
      <c r="AA1499" s="56"/>
      <c r="AB1499" s="56"/>
      <c r="AC1499" s="15"/>
    </row>
    <row r="1500" spans="3:29" ht="12.75">
      <c r="C1500" s="23"/>
      <c r="I1500" s="23"/>
      <c r="L1500" s="56"/>
      <c r="M1500" s="56"/>
      <c r="N1500" s="56"/>
      <c r="O1500" s="56"/>
      <c r="P1500" s="56"/>
      <c r="Q1500" s="56"/>
      <c r="R1500" s="56"/>
      <c r="S1500" s="56"/>
      <c r="T1500" s="56"/>
      <c r="U1500" s="56"/>
      <c r="V1500" s="56"/>
      <c r="W1500" s="56"/>
      <c r="X1500" s="56"/>
      <c r="Y1500" s="56"/>
      <c r="Z1500" s="56"/>
      <c r="AA1500" s="56"/>
      <c r="AB1500" s="56"/>
      <c r="AC1500" s="15"/>
    </row>
    <row r="1501" spans="3:29" ht="12.75">
      <c r="C1501" s="23"/>
      <c r="I1501" s="23"/>
      <c r="L1501" s="56"/>
      <c r="M1501" s="56"/>
      <c r="N1501" s="56"/>
      <c r="O1501" s="56"/>
      <c r="P1501" s="56"/>
      <c r="Q1501" s="56"/>
      <c r="R1501" s="56"/>
      <c r="S1501" s="56"/>
      <c r="T1501" s="56"/>
      <c r="U1501" s="56"/>
      <c r="V1501" s="56"/>
      <c r="W1501" s="56"/>
      <c r="X1501" s="56"/>
      <c r="Y1501" s="56"/>
      <c r="Z1501" s="56"/>
      <c r="AA1501" s="56"/>
      <c r="AB1501" s="56"/>
      <c r="AC1501" s="15"/>
    </row>
    <row r="1502" spans="3:29" ht="12.75">
      <c r="C1502" s="23"/>
      <c r="I1502" s="23"/>
      <c r="L1502" s="56"/>
      <c r="M1502" s="56"/>
      <c r="N1502" s="56"/>
      <c r="O1502" s="56"/>
      <c r="P1502" s="56"/>
      <c r="Q1502" s="56"/>
      <c r="R1502" s="56"/>
      <c r="S1502" s="56"/>
      <c r="T1502" s="56"/>
      <c r="U1502" s="56"/>
      <c r="V1502" s="56"/>
      <c r="W1502" s="56"/>
      <c r="X1502" s="56"/>
      <c r="Y1502" s="56"/>
      <c r="Z1502" s="56"/>
      <c r="AA1502" s="56"/>
      <c r="AB1502" s="56"/>
      <c r="AC1502" s="15"/>
    </row>
    <row r="1503" spans="3:29" ht="12.75">
      <c r="C1503" s="23"/>
      <c r="I1503" s="23"/>
      <c r="L1503" s="56"/>
      <c r="M1503" s="56"/>
      <c r="N1503" s="56"/>
      <c r="O1503" s="56"/>
      <c r="P1503" s="56"/>
      <c r="Q1503" s="56"/>
      <c r="R1503" s="56"/>
      <c r="S1503" s="56"/>
      <c r="T1503" s="56"/>
      <c r="U1503" s="56"/>
      <c r="V1503" s="56"/>
      <c r="W1503" s="56"/>
      <c r="X1503" s="56"/>
      <c r="Y1503" s="56"/>
      <c r="Z1503" s="56"/>
      <c r="AA1503" s="56"/>
      <c r="AB1503" s="56"/>
      <c r="AC1503" s="15"/>
    </row>
  </sheetData>
  <mergeCells count="48">
    <mergeCell ref="Y28:Y29"/>
    <mergeCell ref="Z28:Z29"/>
    <mergeCell ref="AA28:AA29"/>
    <mergeCell ref="AB28:AB29"/>
    <mergeCell ref="J23:J25"/>
    <mergeCell ref="J27:J29"/>
    <mergeCell ref="K28:K29"/>
    <mergeCell ref="L28:L29"/>
    <mergeCell ref="M28:M29"/>
    <mergeCell ref="N28:N29"/>
    <mergeCell ref="O28:O29"/>
    <mergeCell ref="D21:E21"/>
    <mergeCell ref="F21:G21"/>
    <mergeCell ref="F11:H11"/>
    <mergeCell ref="D14:H14"/>
    <mergeCell ref="J14:J21"/>
    <mergeCell ref="D15:E15"/>
    <mergeCell ref="D16:H16"/>
    <mergeCell ref="D17:E17"/>
    <mergeCell ref="F17:G17"/>
    <mergeCell ref="D18:E18"/>
    <mergeCell ref="F18:G18"/>
    <mergeCell ref="D19:H19"/>
    <mergeCell ref="D20:E20"/>
    <mergeCell ref="F20:G20"/>
    <mergeCell ref="BC1:BD1"/>
    <mergeCell ref="A2:B2"/>
    <mergeCell ref="D1:H1"/>
    <mergeCell ref="D2:H2"/>
    <mergeCell ref="G3:H3"/>
    <mergeCell ref="J3:J12"/>
    <mergeCell ref="G4:H4"/>
    <mergeCell ref="F5:H5"/>
    <mergeCell ref="D8:H8"/>
    <mergeCell ref="A1:B1"/>
    <mergeCell ref="J1:AB1"/>
    <mergeCell ref="AE1:AN1"/>
    <mergeCell ref="AP1:AW1"/>
    <mergeCell ref="AY1:BA1"/>
    <mergeCell ref="W28:W29"/>
    <mergeCell ref="X28:X29"/>
    <mergeCell ref="P28:P29"/>
    <mergeCell ref="Q28:Q29"/>
    <mergeCell ref="R28:R29"/>
    <mergeCell ref="S28:S29"/>
    <mergeCell ref="T28:T29"/>
    <mergeCell ref="U28:U29"/>
    <mergeCell ref="V28:V29"/>
  </mergeCells>
  <conditionalFormatting sqref="B7">
    <cfRule type="colorScale" priority="1">
      <colorScale>
        <cfvo type="percent" val="0"/>
        <cfvo type="percent" val="50"/>
        <cfvo type="percent" val="100"/>
        <color rgb="FFE06666"/>
        <color rgb="FFFFD666"/>
        <color rgb="FF57BB8A"/>
      </colorScale>
    </cfRule>
  </conditionalFormatting>
  <conditionalFormatting sqref="D16:H16">
    <cfRule type="expression" dxfId="1" priority="2">
      <formula>IF(F18=0,"",1)</formula>
    </cfRule>
  </conditionalFormatting>
  <conditionalFormatting sqref="D19:H19">
    <cfRule type="expression" dxfId="0" priority="3">
      <formula>IF(F21=0,"",1)</formula>
    </cfRule>
  </conditionalFormatting>
  <dataValidations count="1">
    <dataValidation type="list" allowBlank="1" showErrorMessage="1" sqref="A2" xr:uid="{00000000-0002-0000-0200-000000000000}">
      <formula1>"Practice,Qualifications,All"</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200-000001000000}">
          <x14:formula1>
            <xm:f>'TEAM NAME AND NUMBER'!$D$2:$D1503</xm:f>
          </x14:formula1>
          <xm:sqref>A1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80000"/>
    <outlinePr summaryBelow="0" summaryRight="0"/>
  </sheetPr>
  <dimension ref="A1:V1003"/>
  <sheetViews>
    <sheetView workbookViewId="0"/>
  </sheetViews>
  <sheetFormatPr defaultColWidth="12.5703125" defaultRowHeight="15.75" customHeight="1"/>
  <cols>
    <col min="1" max="1" width="9.42578125" customWidth="1"/>
    <col min="2" max="2" width="6.28515625" customWidth="1"/>
    <col min="3" max="3" width="7" customWidth="1"/>
    <col min="4" max="4" width="5.85546875" customWidth="1"/>
    <col min="5" max="5" width="15.140625" customWidth="1"/>
    <col min="6" max="6" width="11.28515625" customWidth="1"/>
    <col min="7" max="7" width="15.140625" customWidth="1"/>
    <col min="8" max="8" width="11.28515625" customWidth="1"/>
    <col min="9" max="9" width="15.140625" customWidth="1"/>
    <col min="10" max="10" width="11.28515625" customWidth="1"/>
    <col min="11" max="11" width="15.140625" customWidth="1"/>
    <col min="12" max="12" width="11.28515625" customWidth="1"/>
    <col min="13" max="13" width="4.28515625" customWidth="1"/>
  </cols>
  <sheetData>
    <row r="1" spans="1:22" ht="18" customHeight="1">
      <c r="A1" s="188" t="s">
        <v>87</v>
      </c>
      <c r="B1" s="189">
        <v>2491</v>
      </c>
      <c r="C1" s="157"/>
      <c r="D1" s="49"/>
      <c r="E1" s="57" t="s">
        <v>88</v>
      </c>
      <c r="F1" s="58">
        <f>B1</f>
        <v>2491</v>
      </c>
      <c r="G1" s="59" t="s">
        <v>89</v>
      </c>
      <c r="H1" s="60">
        <f>B3</f>
        <v>1816</v>
      </c>
      <c r="I1" s="61" t="s">
        <v>90</v>
      </c>
      <c r="J1" s="62">
        <f>B5</f>
        <v>3061</v>
      </c>
      <c r="K1" s="63" t="s">
        <v>91</v>
      </c>
      <c r="L1" s="64">
        <f>B7</f>
        <v>111</v>
      </c>
      <c r="M1" s="15"/>
      <c r="N1" s="65"/>
      <c r="O1" s="65"/>
      <c r="P1" s="65"/>
      <c r="Q1" s="65"/>
      <c r="R1" s="65"/>
      <c r="S1" s="65"/>
      <c r="T1" s="65"/>
      <c r="U1" s="65"/>
      <c r="V1" s="65"/>
    </row>
    <row r="2" spans="1:22" ht="18" customHeight="1">
      <c r="A2" s="157"/>
      <c r="B2" s="157"/>
      <c r="C2" s="157"/>
      <c r="D2" s="66"/>
      <c r="E2" s="176" t="s">
        <v>92</v>
      </c>
      <c r="F2" s="166"/>
      <c r="G2" s="166"/>
      <c r="H2" s="166"/>
      <c r="I2" s="166"/>
      <c r="J2" s="166"/>
      <c r="K2" s="166"/>
      <c r="L2" s="159"/>
      <c r="M2" s="15"/>
      <c r="N2" s="65"/>
      <c r="O2" s="65"/>
      <c r="P2" s="65"/>
      <c r="Q2" s="65"/>
      <c r="R2" s="65"/>
      <c r="S2" s="65"/>
      <c r="T2" s="65"/>
      <c r="U2" s="65"/>
      <c r="V2" s="65"/>
    </row>
    <row r="3" spans="1:22" ht="18" customHeight="1">
      <c r="A3" s="188" t="s">
        <v>93</v>
      </c>
      <c r="B3" s="189">
        <v>1816</v>
      </c>
      <c r="C3" s="157"/>
      <c r="D3" s="194" t="s">
        <v>37</v>
      </c>
      <c r="E3" s="67" t="s">
        <v>60</v>
      </c>
      <c r="F3" s="68">
        <f ca="1">IFERROR(AVERAGEIF('MATCH CALCS'!$D:$D,F$1,'MATCH CALCS'!$L:$L),"-")</f>
        <v>0.5</v>
      </c>
      <c r="G3" s="69" t="s">
        <v>60</v>
      </c>
      <c r="H3" s="68" t="str">
        <f ca="1">IFERROR(AVERAGEIF('MATCH CALCS'!$D:$D,H$1,'MATCH CALCS'!$L:$L),"-")</f>
        <v>-</v>
      </c>
      <c r="I3" s="67" t="s">
        <v>60</v>
      </c>
      <c r="J3" s="68" t="str">
        <f ca="1">IFERROR(AVERAGEIF('MATCH CALCS'!$D:$D,J$1,'MATCH CALCS'!$L:$L),"-")</f>
        <v>-</v>
      </c>
      <c r="K3" s="69" t="s">
        <v>60</v>
      </c>
      <c r="L3" s="70" t="str">
        <f ca="1">IFERROR(AVERAGEIF('MATCH CALCS'!$D:$D,L$1,'MATCH CALCS'!$L:$L),"-")</f>
        <v>-</v>
      </c>
      <c r="M3" s="15"/>
      <c r="N3" s="65"/>
      <c r="O3" s="65"/>
      <c r="P3" s="65"/>
      <c r="Q3" s="65"/>
      <c r="R3" s="65"/>
      <c r="S3" s="65"/>
      <c r="T3" s="65"/>
      <c r="U3" s="65"/>
      <c r="V3" s="65"/>
    </row>
    <row r="4" spans="1:22" ht="18" customHeight="1">
      <c r="A4" s="157"/>
      <c r="B4" s="157"/>
      <c r="C4" s="157"/>
      <c r="D4" s="191"/>
      <c r="E4" s="71" t="s">
        <v>62</v>
      </c>
      <c r="F4" s="72">
        <f ca="1">IFERROR(AVERAGEIF('MATCH CALCS'!$D:$D,F$1,'MATCH CALCS'!$M:$M),"-")</f>
        <v>0</v>
      </c>
      <c r="G4" s="73" t="s">
        <v>62</v>
      </c>
      <c r="H4" s="72" t="str">
        <f ca="1">IFERROR(AVERAGEIF('MATCH CALCS'!$D:$D,H$1,'MATCH CALCS'!$M:$M),"-")</f>
        <v>-</v>
      </c>
      <c r="I4" s="71" t="s">
        <v>62</v>
      </c>
      <c r="J4" s="72" t="str">
        <f ca="1">IFERROR(AVERAGEIF('MATCH CALCS'!$D:$D,J$1,'MATCH CALCS'!$M:$M),"-")</f>
        <v>-</v>
      </c>
      <c r="K4" s="73" t="s">
        <v>62</v>
      </c>
      <c r="L4" s="74" t="str">
        <f ca="1">IFERROR(AVERAGEIF('MATCH CALCS'!$D:$D,L$1,'MATCH CALCS'!$M:$M),"-")</f>
        <v>-</v>
      </c>
      <c r="M4" s="15"/>
      <c r="N4" s="65"/>
      <c r="O4" s="65"/>
      <c r="P4" s="65"/>
      <c r="Q4" s="65"/>
      <c r="R4" s="65"/>
      <c r="S4" s="65"/>
      <c r="T4" s="65"/>
      <c r="U4" s="65"/>
      <c r="V4" s="65"/>
    </row>
    <row r="5" spans="1:22" ht="18" customHeight="1">
      <c r="A5" s="188" t="s">
        <v>94</v>
      </c>
      <c r="B5" s="189">
        <v>3061</v>
      </c>
      <c r="C5" s="157"/>
      <c r="D5" s="191"/>
      <c r="E5" s="67" t="s">
        <v>64</v>
      </c>
      <c r="F5" s="68">
        <f ca="1">IFERROR(AVERAGEIF('MATCH CALCS'!$D:$D,F$1,'MATCH CALCS'!$N:$N),"-")</f>
        <v>0</v>
      </c>
      <c r="G5" s="69" t="s">
        <v>64</v>
      </c>
      <c r="H5" s="68" t="str">
        <f ca="1">IFERROR(AVERAGEIF('MATCH CALCS'!$D:$D,H$1,'MATCH CALCS'!$N:$N),"-")</f>
        <v>-</v>
      </c>
      <c r="I5" s="67" t="s">
        <v>64</v>
      </c>
      <c r="J5" s="68" t="str">
        <f ca="1">IFERROR(AVERAGEIF('MATCH CALCS'!$D:$D,J$1,'MATCH CALCS'!$N:$N),"-")</f>
        <v>-</v>
      </c>
      <c r="K5" s="69" t="s">
        <v>64</v>
      </c>
      <c r="L5" s="74" t="str">
        <f ca="1">IFERROR(AVERAGEIF('MATCH CALCS'!$D:$D,L$1,'MATCH CALCS'!$N:$N),"-")</f>
        <v>-</v>
      </c>
      <c r="M5" s="15"/>
      <c r="N5" s="65"/>
      <c r="O5" s="65"/>
      <c r="P5" s="65"/>
      <c r="Q5" s="65"/>
      <c r="R5" s="65"/>
      <c r="S5" s="65"/>
      <c r="T5" s="65"/>
      <c r="U5" s="65"/>
      <c r="V5" s="65"/>
    </row>
    <row r="6" spans="1:22" ht="18" customHeight="1">
      <c r="A6" s="157"/>
      <c r="B6" s="157"/>
      <c r="C6" s="157"/>
      <c r="D6" s="192"/>
      <c r="E6" s="75" t="s">
        <v>68</v>
      </c>
      <c r="F6" s="76">
        <f ca="1">IFERROR(AVERAGEIF('MATCH CALCS'!$D:$D,F$1,'MATCH CALCS'!$O:$O),"-")</f>
        <v>0</v>
      </c>
      <c r="G6" s="77" t="s">
        <v>68</v>
      </c>
      <c r="H6" s="76" t="str">
        <f ca="1">IFERROR(AVERAGEIF('MATCH CALCS'!$D:$D,H$1,'MATCH CALCS'!$O:$O),"-")</f>
        <v>-</v>
      </c>
      <c r="I6" s="75" t="s">
        <v>68</v>
      </c>
      <c r="J6" s="76" t="str">
        <f ca="1">IFERROR(AVERAGEIF('MATCH CALCS'!$D:$D,J$1,'MATCH CALCS'!$O:$O),"-")</f>
        <v>-</v>
      </c>
      <c r="K6" s="77" t="s">
        <v>68</v>
      </c>
      <c r="L6" s="78" t="str">
        <f ca="1">IFERROR(AVERAGEIF('MATCH CALCS'!$D:$D,L$1,'MATCH CALCS'!$O:$O),"-")</f>
        <v>-</v>
      </c>
      <c r="M6" s="15"/>
      <c r="N6" s="65"/>
      <c r="O6" s="65"/>
      <c r="P6" s="65"/>
      <c r="Q6" s="65"/>
      <c r="R6" s="65"/>
      <c r="S6" s="65"/>
      <c r="T6" s="65"/>
      <c r="U6" s="65"/>
      <c r="V6" s="65"/>
    </row>
    <row r="7" spans="1:22" ht="18" customHeight="1">
      <c r="A7" s="188" t="s">
        <v>95</v>
      </c>
      <c r="B7" s="189">
        <v>111</v>
      </c>
      <c r="C7" s="157"/>
      <c r="D7" s="190" t="s">
        <v>25</v>
      </c>
      <c r="E7" s="67" t="s">
        <v>60</v>
      </c>
      <c r="F7" s="68">
        <f ca="1">IFERROR(AVERAGEIF('MATCH CALCS'!$D:$D,F$1,'MATCH CALCS'!$AE:$AE),"-")</f>
        <v>1.5</v>
      </c>
      <c r="G7" s="69" t="s">
        <v>60</v>
      </c>
      <c r="H7" s="68" t="str">
        <f ca="1">IFERROR(AVERAGEIF('MATCH CALCS'!$D:$D,H$1,'MATCH CALCS'!$AE:$AE),"-")</f>
        <v>-</v>
      </c>
      <c r="I7" s="67" t="s">
        <v>60</v>
      </c>
      <c r="J7" s="68" t="str">
        <f ca="1">IFERROR(AVERAGEIF('MATCH CALCS'!$D:$D,J$1,'MATCH CALCS'!$AE:$AE),"-")</f>
        <v>-</v>
      </c>
      <c r="K7" s="69" t="s">
        <v>60</v>
      </c>
      <c r="L7" s="68" t="str">
        <f ca="1">IFERROR(AVERAGEIF('MATCH CALCS'!$D:$D,L$1,'MATCH CALCS'!$AE:$AE),"-")</f>
        <v>-</v>
      </c>
      <c r="M7" s="15"/>
      <c r="N7" s="65"/>
      <c r="O7" s="65"/>
      <c r="P7" s="65"/>
      <c r="Q7" s="65"/>
      <c r="R7" s="65"/>
      <c r="S7" s="65"/>
      <c r="T7" s="65"/>
      <c r="U7" s="65"/>
      <c r="V7" s="65"/>
    </row>
    <row r="8" spans="1:22" ht="18" customHeight="1">
      <c r="A8" s="157"/>
      <c r="B8" s="157"/>
      <c r="C8" s="157"/>
      <c r="D8" s="191"/>
      <c r="E8" s="71" t="s">
        <v>62</v>
      </c>
      <c r="F8" s="72">
        <f ca="1">IFERROR(AVERAGEIF('MATCH CALCS'!$D:$D,F$1,'MATCH CALCS'!$AF:$AF),"-")</f>
        <v>1.5</v>
      </c>
      <c r="G8" s="73" t="s">
        <v>62</v>
      </c>
      <c r="H8" s="72" t="str">
        <f ca="1">IFERROR(AVERAGEIF('MATCH CALCS'!$D:$D,H$1,'MATCH CALCS'!$AF:$AF),"-")</f>
        <v>-</v>
      </c>
      <c r="I8" s="71" t="s">
        <v>62</v>
      </c>
      <c r="J8" s="72" t="str">
        <f ca="1">IFERROR(AVERAGEIF('MATCH CALCS'!$D:$D,J$1,'MATCH CALCS'!$AF:$AF),"-")</f>
        <v>-</v>
      </c>
      <c r="K8" s="73" t="s">
        <v>62</v>
      </c>
      <c r="L8" s="72" t="str">
        <f ca="1">IFERROR(AVERAGEIF('MATCH CALCS'!$D:$D,L$1,'MATCH CALCS'!$AF:$AF),"-")</f>
        <v>-</v>
      </c>
      <c r="M8" s="15"/>
      <c r="N8" s="65"/>
      <c r="O8" s="65"/>
      <c r="P8" s="65"/>
      <c r="Q8" s="65"/>
      <c r="R8" s="65"/>
      <c r="S8" s="65"/>
      <c r="T8" s="65"/>
      <c r="U8" s="65"/>
      <c r="V8" s="65"/>
    </row>
    <row r="9" spans="1:22" ht="18" customHeight="1">
      <c r="D9" s="191"/>
      <c r="E9" s="67" t="s">
        <v>64</v>
      </c>
      <c r="F9" s="68">
        <f ca="1">IFERROR(AVERAGEIF('MATCH CALCS'!$D:$D,F$1,'MATCH CALCS'!$AG:$AG),"-")</f>
        <v>1</v>
      </c>
      <c r="G9" s="69" t="s">
        <v>64</v>
      </c>
      <c r="H9" s="68" t="str">
        <f ca="1">IFERROR(AVERAGEIF('MATCH CALCS'!$D:$D,H$1,'MATCH CALCS'!$AG:$AG),"-")</f>
        <v>-</v>
      </c>
      <c r="I9" s="67" t="s">
        <v>64</v>
      </c>
      <c r="J9" s="68" t="str">
        <f ca="1">IFERROR(AVERAGEIF('MATCH CALCS'!$D:$D,J$1,'MATCH CALCS'!$AG:$AG),"-")</f>
        <v>-</v>
      </c>
      <c r="K9" s="69" t="s">
        <v>64</v>
      </c>
      <c r="L9" s="68" t="str">
        <f ca="1">IFERROR(AVERAGEIF('MATCH CALCS'!$D:$D,L$1,'MATCH CALCS'!$AG:$AG),"-")</f>
        <v>-</v>
      </c>
      <c r="M9" s="15"/>
      <c r="N9" s="65"/>
      <c r="O9" s="65"/>
      <c r="P9" s="65"/>
      <c r="Q9" s="65"/>
      <c r="R9" s="65"/>
      <c r="S9" s="65"/>
      <c r="T9" s="65"/>
      <c r="U9" s="65"/>
      <c r="V9" s="65"/>
    </row>
    <row r="10" spans="1:22" ht="18" customHeight="1">
      <c r="D10" s="192"/>
      <c r="E10" s="75" t="s">
        <v>68</v>
      </c>
      <c r="F10" s="76">
        <f ca="1">IFERROR(AVERAGEIF('MATCH CALCS'!$D:$D,F$1,'MATCH CALCS'!$AH:$AH),"-")</f>
        <v>1</v>
      </c>
      <c r="G10" s="77" t="s">
        <v>68</v>
      </c>
      <c r="H10" s="76" t="str">
        <f ca="1">IFERROR(AVERAGEIF('MATCH CALCS'!$D:$D,H$1,'MATCH CALCS'!$AH:$AH),"-")</f>
        <v>-</v>
      </c>
      <c r="I10" s="75" t="s">
        <v>68</v>
      </c>
      <c r="J10" s="76" t="str">
        <f ca="1">IFERROR(AVERAGEIF('MATCH CALCS'!$D:$D,J$1,'MATCH CALCS'!$AH:$AH),"-")</f>
        <v>-</v>
      </c>
      <c r="K10" s="77" t="s">
        <v>68</v>
      </c>
      <c r="L10" s="76" t="str">
        <f ca="1">IFERROR(AVERAGEIF('MATCH CALCS'!$D:$D,L$1,'MATCH CALCS'!$AH:$AH),"-")</f>
        <v>-</v>
      </c>
      <c r="M10" s="15"/>
      <c r="N10" s="65"/>
      <c r="O10" s="65"/>
      <c r="P10" s="65"/>
      <c r="Q10" s="65"/>
      <c r="R10" s="65"/>
      <c r="S10" s="65"/>
      <c r="T10" s="65"/>
      <c r="U10" s="65"/>
      <c r="V10" s="65"/>
    </row>
    <row r="11" spans="1:22" ht="18" customHeight="1">
      <c r="E11" s="193" t="s">
        <v>63</v>
      </c>
      <c r="F11" s="166"/>
      <c r="G11" s="166"/>
      <c r="H11" s="166"/>
      <c r="I11" s="166"/>
      <c r="J11" s="166"/>
      <c r="K11" s="166"/>
      <c r="L11" s="159"/>
      <c r="M11" s="15"/>
      <c r="N11" s="65"/>
      <c r="O11" s="65"/>
      <c r="P11" s="65"/>
      <c r="Q11" s="65"/>
      <c r="R11" s="65"/>
      <c r="S11" s="65"/>
      <c r="T11" s="65"/>
      <c r="U11" s="65"/>
      <c r="V11" s="65"/>
    </row>
    <row r="12" spans="1:22" ht="18" customHeight="1">
      <c r="E12" s="79" t="s">
        <v>96</v>
      </c>
      <c r="F12" s="31">
        <f ca="1">IFERROR(AVERAGEIF('MATCH CALCS'!$D:$D,F$1,'MATCH CALCS'!$R:$R)+AVERAGEIF('MATCH CALCS'!$D:$D,F$1,'MATCH CALCS'!$W:$W),"-")</f>
        <v>0</v>
      </c>
      <c r="G12" s="80" t="s">
        <v>96</v>
      </c>
      <c r="H12" s="31" t="str">
        <f ca="1">IFERROR(AVERAGEIF('MATCH CALCS'!$D:$D,H$1,'MATCH CALCS'!$R:$R)+AVERAGEIF('MATCH CALCS'!$D:$D,H$1,'MATCH CALCS'!$W:$W),"-")</f>
        <v>-</v>
      </c>
      <c r="I12" s="79" t="s">
        <v>96</v>
      </c>
      <c r="J12" s="31" t="str">
        <f ca="1">IFERROR(AVERAGEIF('MATCH CALCS'!$D:$D,J$1,'MATCH CALCS'!$R:$R)+AVERAGEIF('MATCH CALCS'!$D:$D,J$1,'MATCH CALCS'!$W:$W),"-")</f>
        <v>-</v>
      </c>
      <c r="K12" s="80" t="s">
        <v>96</v>
      </c>
      <c r="L12" s="31" t="str">
        <f ca="1">IFERROR(AVERAGEIF('MATCH CALCS'!$D:$D,L$1,'MATCH CALCS'!$R:$R)+AVERAGEIF('MATCH CALCS'!$D:$D,L$1,'MATCH CALCS'!$W:$W),"-")</f>
        <v>-</v>
      </c>
      <c r="M12" s="15"/>
      <c r="N12" s="65"/>
      <c r="O12" s="65"/>
      <c r="P12" s="65"/>
      <c r="Q12" s="65"/>
      <c r="R12" s="65"/>
      <c r="S12" s="65"/>
      <c r="T12" s="65"/>
      <c r="U12" s="65"/>
      <c r="V12" s="65"/>
    </row>
    <row r="13" spans="1:22" ht="18" customHeight="1">
      <c r="E13" s="81" t="s">
        <v>66</v>
      </c>
      <c r="F13" s="31">
        <f ca="1">IFERROR(AVERAGEIF('MATCH CALCS'!$D:$D,F$1,'MATCH CALCS'!$S:$S)+AVERAGEIF('MATCH CALCS'!$D:$D,F$1,'MATCH CALCS'!$X:$X),"-")</f>
        <v>1</v>
      </c>
      <c r="G13" s="82" t="s">
        <v>66</v>
      </c>
      <c r="H13" s="31" t="str">
        <f ca="1">IFERROR(AVERAGEIF('MATCH CALCS'!$D:$D,H$1,'MATCH CALCS'!$S:$S)+AVERAGEIF('MATCH CALCS'!$D:$D,H$1,'MATCH CALCS'!$X:$X),"-")</f>
        <v>-</v>
      </c>
      <c r="I13" s="81" t="s">
        <v>66</v>
      </c>
      <c r="J13" s="31" t="str">
        <f ca="1">IFERROR(AVERAGEIF('MATCH CALCS'!$D:$D,J$1,'MATCH CALCS'!$S:$S)+AVERAGEIF('MATCH CALCS'!$D:$D,J$1,'MATCH CALCS'!$X:$X),"-")</f>
        <v>-</v>
      </c>
      <c r="K13" s="82" t="s">
        <v>66</v>
      </c>
      <c r="L13" s="31" t="str">
        <f ca="1">IFERROR(AVERAGEIF('MATCH CALCS'!$D:$D,L$1,'MATCH CALCS'!$S:$S)+AVERAGEIF('MATCH CALCS'!$D:$D,L$1,'MATCH CALCS'!$X:$X),"-")</f>
        <v>-</v>
      </c>
      <c r="M13" s="15"/>
      <c r="N13" s="65"/>
      <c r="O13" s="65"/>
      <c r="P13" s="65"/>
      <c r="Q13" s="65"/>
      <c r="R13" s="65"/>
      <c r="S13" s="65"/>
      <c r="T13" s="65"/>
      <c r="U13" s="65"/>
      <c r="V13" s="65"/>
    </row>
    <row r="14" spans="1:22" ht="18" customHeight="1">
      <c r="D14" s="83"/>
      <c r="E14" s="79" t="s">
        <v>97</v>
      </c>
      <c r="F14" s="31">
        <f ca="1">IFERROR(__xludf.DUMMYFUNCTION("AVERAGE(FILTER('MATCH CALCS'!$BC3:$BC1003,'MATCH CALCS'!$D3:$D1003=F1),FILTER('MATCH CALCS'!$BF3:$BF1003,'MATCH CALCS'!$D3:$D1003=F1))"),1)</f>
        <v>1</v>
      </c>
      <c r="G14" s="80" t="s">
        <v>97</v>
      </c>
      <c r="H14" s="31" t="str">
        <f ca="1">IFERROR(__xludf.DUMMYFUNCTION("AVERAGE(FILTER('MATCH CALCS'!$BC3:$BC1003,'MATCH CALCS'!$D3:$D1003=H1),FILTER('MATCH CALCS'!$BF3:$BF1003,'MATCH CALCS'!$D3:$D1003=H1))"),"#N/A")</f>
        <v>#N/A</v>
      </c>
      <c r="I14" s="79" t="s">
        <v>97</v>
      </c>
      <c r="J14" s="31" t="str">
        <f ca="1">IFERROR(__xludf.DUMMYFUNCTION("AVERAGE(FILTER('MATCH CALCS'!$BC3:$BC1003,'MATCH CALCS'!$D3:$D1003=J1),FILTER('MATCH CALCS'!$BF3:$BF1003,'MATCH CALCS'!$D3:$D1003=J1))"),"#N/A")</f>
        <v>#N/A</v>
      </c>
      <c r="K14" s="80" t="s">
        <v>97</v>
      </c>
      <c r="L14" s="31" t="str">
        <f ca="1">IFERROR(__xludf.DUMMYFUNCTION("AVERAGE(FILTER('MATCH CALCS'!$BC3:$BC1003,'MATCH CALCS'!$D3:$D1003=L1),FILTER('MATCH CALCS'!$BF3:$BF1003,'MATCH CALCS'!$D3:$D1003=L1))"),"#N/A")</f>
        <v>#N/A</v>
      </c>
      <c r="M14" s="15"/>
      <c r="N14" s="65"/>
      <c r="O14" s="65"/>
      <c r="P14" s="65"/>
      <c r="Q14" s="65"/>
      <c r="R14" s="65"/>
      <c r="S14" s="65"/>
      <c r="T14" s="65"/>
      <c r="U14" s="65"/>
      <c r="V14" s="65"/>
    </row>
    <row r="15" spans="1:22" ht="18" customHeight="1">
      <c r="D15" s="83"/>
      <c r="E15" s="193" t="s">
        <v>75</v>
      </c>
      <c r="F15" s="166"/>
      <c r="G15" s="166"/>
      <c r="H15" s="166"/>
      <c r="I15" s="166"/>
      <c r="J15" s="166"/>
      <c r="K15" s="166"/>
      <c r="L15" s="159"/>
      <c r="M15" s="15"/>
      <c r="N15" s="65"/>
      <c r="O15" s="65"/>
      <c r="P15" s="65"/>
      <c r="Q15" s="65"/>
      <c r="R15" s="65"/>
      <c r="S15" s="65"/>
      <c r="T15" s="65"/>
      <c r="U15" s="65"/>
      <c r="V15" s="65"/>
    </row>
    <row r="16" spans="1:22" ht="18" customHeight="1">
      <c r="D16" s="83"/>
      <c r="E16" s="79" t="s">
        <v>98</v>
      </c>
      <c r="F16" s="72" t="str">
        <f ca="1">IFERROR(__xludf.DUMMYFUNCTION("INDEX(FILTER('MATCH CALCS'!$AT:$AT,'MATCH CALCS'!$D:$D=F1), MATCH(MAX(COUNTIF(FILTER('MATCH CALCS'!$AT:$AT,'MATCH CALCS'!$D:$D=F1),FILTER('MATCH CALCS'!$AT:$AT,'MATCH CALCS'!$D:$D=F1))), COUNTIF(FILTER('MATCH CALCS'!$AT:$AT,'MATCH CALCS'!$D:$D=F1),FILTER("&amp;"'MATCH CALCS'!$AT:$AT,'MATCH CALCS'!$D:$D=F1)), 0))"),"Dc")</f>
        <v>Dc</v>
      </c>
      <c r="G16" s="79" t="s">
        <v>98</v>
      </c>
      <c r="H16" s="72" t="str">
        <f ca="1">IFERROR(__xludf.DUMMYFUNCTION("INDEX(FILTER('MATCH CALCS'!$AT:$AT,'MATCH CALCS'!$D:$D=H1), MATCH(MAX(COUNTIF(FILTER('MATCH CALCS'!$AT:$AT,'MATCH CALCS'!$D:$D=H1),FILTER('MATCH CALCS'!$AT:$AT,'MATCH CALCS'!$D:$D=H1))), COUNTIF(FILTER('MATCH CALCS'!$AT:$AT,'MATCH CALCS'!$D:$D=H1),FILTER("&amp;"'MATCH CALCS'!$AT:$AT,'MATCH CALCS'!$D:$D=H1)), 0))"),"#N/A")</f>
        <v>#N/A</v>
      </c>
      <c r="I16" s="79" t="s">
        <v>98</v>
      </c>
      <c r="J16" s="72" t="str">
        <f ca="1">IFERROR(__xludf.DUMMYFUNCTION("INDEX(FILTER('MATCH CALCS'!$AT:$AT,'MATCH CALCS'!$D:$D=J1), MATCH(MAX(COUNTIF(FILTER('MATCH CALCS'!$AT:$AT,'MATCH CALCS'!$D:$D=J1),FILTER('MATCH CALCS'!$AT:$AT,'MATCH CALCS'!$D:$D=J1))), COUNTIF(FILTER('MATCH CALCS'!$AT:$AT,'MATCH CALCS'!$D:$D=J1),FILTER("&amp;"'MATCH CALCS'!$AT:$AT,'MATCH CALCS'!$D:$D=J1)), 0))"),"#N/A")</f>
        <v>#N/A</v>
      </c>
      <c r="K16" s="79" t="s">
        <v>98</v>
      </c>
      <c r="L16" s="72" t="str">
        <f ca="1">IFERROR(__xludf.DUMMYFUNCTION("INDEX(FILTER('MATCH CALCS'!$AT:$AT,'MATCH CALCS'!$D:$D=L1), MATCH(MAX(COUNTIF(FILTER('MATCH CALCS'!$AT:$AT,'MATCH CALCS'!$D:$D=L1),FILTER('MATCH CALCS'!$AT:$AT,'MATCH CALCS'!$D:$D=L1))), COUNTIF(FILTER('MATCH CALCS'!$AT:$AT,'MATCH CALCS'!$D:$D=L1),FILTER("&amp;"'MATCH CALCS'!$AT:$AT,'MATCH CALCS'!$D:$D=L1)), 0))"),"#N/A")</f>
        <v>#N/A</v>
      </c>
      <c r="M16" s="15"/>
      <c r="N16" s="65"/>
      <c r="O16" s="65"/>
      <c r="P16" s="65"/>
      <c r="Q16" s="65"/>
      <c r="R16" s="65"/>
      <c r="S16" s="65"/>
      <c r="T16" s="65"/>
      <c r="U16" s="65"/>
      <c r="V16" s="65"/>
    </row>
    <row r="17" spans="5:22" ht="18" customHeight="1">
      <c r="E17" s="81" t="s">
        <v>99</v>
      </c>
      <c r="F17" s="84">
        <f ca="1">IFERROR((COUNTIFS('MATCH CALCS'!$AN$3:$AN1003,("=Dc"),'MATCH CALCS'!$D$3:$D1003, F$1)+COUNTIFS('MATCH CALCS'!$AN$3:$AN1003,("=Sc"),'MATCH CALCS'!$D$3:$D1003, F$1))/(COUNTIFS('MATCH CALCS'!$AK$3:$AK1003,("=Dc"),'MATCH CALCS'!$D$3:$D1003, F$1)+COUNTIFS('MATCH CALCS'!$AK$3:$AK1003,("=Sc"),'MATCH CALCS'!$D$3:$D1003, $A17)),"-")</f>
        <v>1</v>
      </c>
      <c r="G17" s="82" t="s">
        <v>99</v>
      </c>
      <c r="H17" s="84" t="str">
        <f ca="1">IFERROR((COUNTIFS('MATCH CALCS'!$AN$3:$AN1003,("=Dc"),'MATCH CALCS'!$D$3:$D1003, H$1)+COUNTIFS('MATCH CALCS'!$AN$3:$AN1003,("=Sc"),'MATCH CALCS'!$D$3:$D1003, H$1))/(COUNTIFS('MATCH CALCS'!$AK$3:$AK1003,("=Dc"),'MATCH CALCS'!$D$3:$D1003, H$1)+COUNTIFS('MATCH CALCS'!$AK$3:$AK1003,("=Sc"),'MATCH CALCS'!$D$3:$D1003, $A17)),"-")</f>
        <v>-</v>
      </c>
      <c r="I17" s="81" t="s">
        <v>99</v>
      </c>
      <c r="J17" s="84" t="str">
        <f ca="1">IFERROR((COUNTIFS('MATCH CALCS'!$AN$3:$AN1003,("=Dc"),'MATCH CALCS'!$D$3:$D1003, J$1)+COUNTIFS('MATCH CALCS'!$AN$3:$AN1003,("=Sc"),'MATCH CALCS'!$D$3:$D1003, J$1))/(COUNTIFS('MATCH CALCS'!$AK$3:$AK1003,("=Dc"),'MATCH CALCS'!$D$3:$D1003, J$1)+COUNTIFS('MATCH CALCS'!$AK$3:$AK1003,("=Sc"),'MATCH CALCS'!$D$3:$D1003, $A17)),"-")</f>
        <v>-</v>
      </c>
      <c r="K17" s="82" t="s">
        <v>99</v>
      </c>
      <c r="L17" s="84" t="str">
        <f ca="1">IFERROR((COUNTIFS('MATCH CALCS'!$AN$3:$AN1003,("=Dc"),'MATCH CALCS'!$D$3:$D1003, L$1)+COUNTIFS('MATCH CALCS'!$AN$3:$AN1003,("=Sc"),'MATCH CALCS'!$D$3:$D1003, L$1))/(COUNTIFS('MATCH CALCS'!$AK$3:$AK1003,("=Dc"),'MATCH CALCS'!$D$3:$D1003, L$1)+COUNTIFS('MATCH CALCS'!$AK$3:$AK1003,("=Sc"),'MATCH CALCS'!$D$3:$D1003, $A17)),"-")</f>
        <v>-</v>
      </c>
      <c r="M17" s="15"/>
      <c r="N17" s="65"/>
      <c r="O17" s="65"/>
      <c r="P17" s="65"/>
      <c r="Q17" s="65"/>
      <c r="R17" s="65"/>
      <c r="S17" s="65"/>
      <c r="T17" s="65"/>
      <c r="U17" s="65"/>
      <c r="V17" s="65"/>
    </row>
    <row r="18" spans="5:22" ht="18" customHeight="1">
      <c r="E18" s="85" t="s">
        <v>100</v>
      </c>
      <c r="F18" s="86">
        <f ca="1">IFERROR((COUNTIFS('MATCH CALCS'!$AK$3:$AK1003,("=Dc"),'MATCH CALCS'!$D$3:$D1003, F$1)+COUNTIFS('MATCH CALCS'!$AK$3:$AK1003,("=Sc"),'MATCH CALCS'!$D$3:$D1003, $A18)),"-")</f>
        <v>2</v>
      </c>
      <c r="G18" s="87" t="s">
        <v>100</v>
      </c>
      <c r="H18" s="86">
        <f ca="1">IFERROR((COUNTIFS('MATCH CALCS'!$AK$3:$AK1003,("=Dc"),'MATCH CALCS'!$D$3:$D1003, H$1)+COUNTIFS('MATCH CALCS'!$AK$3:$AK1003,("=Sc"),'MATCH CALCS'!$D$3:$D1003, $A18)),"-")</f>
        <v>0</v>
      </c>
      <c r="I18" s="85" t="s">
        <v>100</v>
      </c>
      <c r="J18" s="86">
        <f ca="1">IFERROR((COUNTIFS('MATCH CALCS'!$AK$3:$AK1003,("=Dc"),'MATCH CALCS'!$D$3:$D1003, J$1)+COUNTIFS('MATCH CALCS'!$AK$3:$AK1003,("=Sc"),'MATCH CALCS'!$D$3:$D1003, $A18)),"-")</f>
        <v>0</v>
      </c>
      <c r="K18" s="87" t="s">
        <v>100</v>
      </c>
      <c r="L18" s="86">
        <f ca="1">IFERROR((COUNTIFS('MATCH CALCS'!$AK$3:$AK1003,("=Dc"),'MATCH CALCS'!$D$3:$D1003, L$1)+COUNTIFS('MATCH CALCS'!$AK$3:$AK1003,("=Sc"),'MATCH CALCS'!$D$3:$D1003, $A18)),"-")</f>
        <v>0</v>
      </c>
      <c r="M18" s="15"/>
      <c r="N18" s="65"/>
      <c r="O18" s="65"/>
      <c r="P18" s="65"/>
      <c r="Q18" s="65"/>
      <c r="R18" s="65"/>
      <c r="S18" s="65"/>
      <c r="T18" s="65"/>
      <c r="U18" s="65"/>
      <c r="V18" s="65"/>
    </row>
    <row r="19" spans="5:22" ht="15">
      <c r="E19" s="193" t="s">
        <v>101</v>
      </c>
      <c r="F19" s="166"/>
      <c r="G19" s="166"/>
      <c r="H19" s="166"/>
      <c r="I19" s="166"/>
      <c r="J19" s="166"/>
      <c r="K19" s="166"/>
      <c r="L19" s="159"/>
      <c r="M19" s="15"/>
      <c r="N19" s="65"/>
      <c r="O19" s="65"/>
      <c r="P19" s="65"/>
      <c r="Q19" s="65"/>
      <c r="R19" s="65"/>
      <c r="S19" s="65"/>
      <c r="T19" s="65"/>
      <c r="U19" s="65"/>
      <c r="V19" s="65"/>
    </row>
    <row r="20" spans="5:22" ht="38.25">
      <c r="E20" s="88" t="s">
        <v>102</v>
      </c>
      <c r="F20" s="89">
        <f ca="1">IFERROR(SUMIF('MATCH CALCS'!$D$3:$D1003,F$1,'MATCH CALCS'!$BJ$3:$BJ1003),"-")</f>
        <v>0</v>
      </c>
      <c r="G20" s="88" t="s">
        <v>102</v>
      </c>
      <c r="H20" s="89">
        <f ca="1">IFERROR(SUMIF('MATCH CALCS'!$D$3:$D1003,H$1,'MATCH CALCS'!$BJ$3:$BJ1003),"-")</f>
        <v>0</v>
      </c>
      <c r="I20" s="88" t="s">
        <v>102</v>
      </c>
      <c r="J20" s="89">
        <f ca="1">IFERROR(SUMIF('MATCH CALCS'!$D$3:$D1003,J$1,'MATCH CALCS'!$BJ$3:$BJ1003),"-")</f>
        <v>0</v>
      </c>
      <c r="K20" s="88" t="s">
        <v>102</v>
      </c>
      <c r="L20" s="89">
        <f ca="1">IFERROR(SUMIF('MATCH CALCS'!$D$3:$D1003,L$1,'MATCH CALCS'!$BJ$3:$BJ1003),"-")</f>
        <v>0</v>
      </c>
      <c r="M20" s="15"/>
      <c r="N20" s="65"/>
      <c r="O20" s="65"/>
      <c r="P20" s="65"/>
      <c r="Q20" s="65"/>
      <c r="R20" s="65"/>
      <c r="S20" s="65"/>
      <c r="T20" s="65"/>
      <c r="U20" s="65"/>
      <c r="V20" s="65"/>
    </row>
    <row r="21" spans="5:22" ht="12.75">
      <c r="E21" s="90" t="s">
        <v>103</v>
      </c>
      <c r="F21" s="91" t="str">
        <f ca="1">IFERROR(AVERAGEIFS('MATCH CALCS'!$AP$3:$AP1003,'MATCH CALCS'!$D$3:$D1003,F$1),"-")</f>
        <v>-</v>
      </c>
      <c r="G21" s="90" t="s">
        <v>103</v>
      </c>
      <c r="H21" s="91" t="str">
        <f ca="1">IFERROR(AVERAGEIFS('MATCH CALCS'!$AP$3:$AP1003,'MATCH CALCS'!$D$3:$D1003,H$1),"-")</f>
        <v>-</v>
      </c>
      <c r="I21" s="90" t="s">
        <v>103</v>
      </c>
      <c r="J21" s="91" t="str">
        <f ca="1">IFERROR(AVERAGEIFS('MATCH CALCS'!$AP$3:$AP1003,'MATCH CALCS'!$D$3:$D1003,J$1),"-")</f>
        <v>-</v>
      </c>
      <c r="K21" s="90" t="s">
        <v>103</v>
      </c>
      <c r="L21" s="91" t="str">
        <f ca="1">IFERROR(AVERAGEIFS('MATCH CALCS'!$AP$3:$AP1003,'MATCH CALCS'!$D$3:$D1003,L$1),"-")</f>
        <v>-</v>
      </c>
      <c r="M21" s="15"/>
    </row>
    <row r="22" spans="5:22" ht="12.75">
      <c r="M22" s="15"/>
    </row>
    <row r="23" spans="5:22" ht="12.75">
      <c r="M23" s="15"/>
    </row>
    <row r="24" spans="5:22" ht="12.75">
      <c r="M24" s="15"/>
    </row>
    <row r="25" spans="5:22" ht="12.75">
      <c r="M25" s="15"/>
    </row>
    <row r="26" spans="5:22" ht="12.75">
      <c r="M26" s="15"/>
    </row>
    <row r="27" spans="5:22" ht="12.75">
      <c r="M27" s="15"/>
    </row>
    <row r="28" spans="5:22" ht="12.75">
      <c r="M28" s="15"/>
    </row>
    <row r="29" spans="5:22" ht="12.75">
      <c r="M29" s="15"/>
    </row>
    <row r="30" spans="5:22" ht="12.75">
      <c r="M30" s="15"/>
    </row>
    <row r="31" spans="5:22" ht="12.75">
      <c r="M31" s="15"/>
    </row>
    <row r="32" spans="5:22" ht="12.75">
      <c r="M32" s="15"/>
    </row>
    <row r="33" spans="13:13" ht="12.75">
      <c r="M33" s="15"/>
    </row>
    <row r="34" spans="13:13" ht="12.75">
      <c r="M34" s="15"/>
    </row>
    <row r="35" spans="13:13" ht="12.75">
      <c r="M35" s="15"/>
    </row>
    <row r="36" spans="13:13" ht="12.75">
      <c r="M36" s="15"/>
    </row>
    <row r="37" spans="13:13" ht="12.75">
      <c r="M37" s="15"/>
    </row>
    <row r="38" spans="13:13" ht="12.75">
      <c r="M38" s="15"/>
    </row>
    <row r="39" spans="13:13" ht="12.75">
      <c r="M39" s="15"/>
    </row>
    <row r="40" spans="13:13" ht="12.75">
      <c r="M40" s="15"/>
    </row>
    <row r="41" spans="13:13" ht="12.75">
      <c r="M41" s="15"/>
    </row>
    <row r="42" spans="13:13" ht="12.75">
      <c r="M42" s="15"/>
    </row>
    <row r="43" spans="13:13" ht="12.75">
      <c r="M43" s="15"/>
    </row>
    <row r="44" spans="13:13" ht="12.75">
      <c r="M44" s="15"/>
    </row>
    <row r="45" spans="13:13" ht="12.75">
      <c r="M45" s="15"/>
    </row>
    <row r="46" spans="13:13" ht="12.75">
      <c r="M46" s="15"/>
    </row>
    <row r="47" spans="13:13" ht="12.75">
      <c r="M47" s="15"/>
    </row>
    <row r="48" spans="13:13" ht="12.75">
      <c r="M48" s="15"/>
    </row>
    <row r="49" spans="13:13" ht="12.75">
      <c r="M49" s="15"/>
    </row>
    <row r="50" spans="13:13" ht="12.75">
      <c r="M50" s="15"/>
    </row>
    <row r="51" spans="13:13" ht="12.75">
      <c r="M51" s="15"/>
    </row>
    <row r="52" spans="13:13" ht="12.75">
      <c r="M52" s="15"/>
    </row>
    <row r="53" spans="13:13" ht="12.75">
      <c r="M53" s="15"/>
    </row>
    <row r="54" spans="13:13" ht="12.75">
      <c r="M54" s="15"/>
    </row>
    <row r="55" spans="13:13" ht="12.75">
      <c r="M55" s="15"/>
    </row>
    <row r="56" spans="13:13" ht="12.75">
      <c r="M56" s="15"/>
    </row>
    <row r="57" spans="13:13" ht="12.75">
      <c r="M57" s="15"/>
    </row>
    <row r="58" spans="13:13" ht="12.75">
      <c r="M58" s="15"/>
    </row>
    <row r="59" spans="13:13" ht="12.75">
      <c r="M59" s="15"/>
    </row>
    <row r="60" spans="13:13" ht="12.75">
      <c r="M60" s="15"/>
    </row>
    <row r="61" spans="13:13" ht="12.75">
      <c r="M61" s="15"/>
    </row>
    <row r="62" spans="13:13" ht="12.75">
      <c r="M62" s="15"/>
    </row>
    <row r="63" spans="13:13" ht="12.75">
      <c r="M63" s="15"/>
    </row>
    <row r="64" spans="13:13" ht="12.75">
      <c r="M64" s="15"/>
    </row>
    <row r="65" spans="13:13" ht="12.75">
      <c r="M65" s="15"/>
    </row>
    <row r="66" spans="13:13" ht="12.75">
      <c r="M66" s="15"/>
    </row>
    <row r="67" spans="13:13" ht="12.75">
      <c r="M67" s="15"/>
    </row>
    <row r="68" spans="13:13" ht="12.75">
      <c r="M68" s="15"/>
    </row>
    <row r="69" spans="13:13" ht="12.75">
      <c r="M69" s="15"/>
    </row>
    <row r="70" spans="13:13" ht="12.75">
      <c r="M70" s="15"/>
    </row>
    <row r="71" spans="13:13" ht="12.75">
      <c r="M71" s="15"/>
    </row>
    <row r="72" spans="13:13" ht="12.75">
      <c r="M72" s="15"/>
    </row>
    <row r="73" spans="13:13" ht="12.75">
      <c r="M73" s="15"/>
    </row>
    <row r="74" spans="13:13" ht="12.75">
      <c r="M74" s="15"/>
    </row>
    <row r="75" spans="13:13" ht="12.75">
      <c r="M75" s="15"/>
    </row>
    <row r="76" spans="13:13" ht="12.75">
      <c r="M76" s="15"/>
    </row>
    <row r="77" spans="13:13" ht="12.75">
      <c r="M77" s="15"/>
    </row>
    <row r="78" spans="13:13" ht="12.75">
      <c r="M78" s="15"/>
    </row>
    <row r="79" spans="13:13" ht="12.75">
      <c r="M79" s="15"/>
    </row>
    <row r="80" spans="13:13" ht="12.75">
      <c r="M80" s="15"/>
    </row>
    <row r="81" spans="13:13" ht="12.75">
      <c r="M81" s="15"/>
    </row>
    <row r="82" spans="13:13" ht="12.75">
      <c r="M82" s="15"/>
    </row>
    <row r="83" spans="13:13" ht="12.75">
      <c r="M83" s="15"/>
    </row>
    <row r="84" spans="13:13" ht="12.75">
      <c r="M84" s="15"/>
    </row>
    <row r="85" spans="13:13" ht="12.75">
      <c r="M85" s="15"/>
    </row>
    <row r="86" spans="13:13" ht="12.75">
      <c r="M86" s="15"/>
    </row>
    <row r="87" spans="13:13" ht="12.75">
      <c r="M87" s="15"/>
    </row>
    <row r="88" spans="13:13" ht="12.75">
      <c r="M88" s="15"/>
    </row>
    <row r="89" spans="13:13" ht="12.75">
      <c r="M89" s="15"/>
    </row>
    <row r="90" spans="13:13" ht="12.75">
      <c r="M90" s="15"/>
    </row>
    <row r="91" spans="13:13" ht="12.75">
      <c r="M91" s="15"/>
    </row>
    <row r="92" spans="13:13" ht="12.75">
      <c r="M92" s="15"/>
    </row>
    <row r="93" spans="13:13" ht="12.75">
      <c r="M93" s="15"/>
    </row>
    <row r="94" spans="13:13" ht="12.75">
      <c r="M94" s="15"/>
    </row>
    <row r="95" spans="13:13" ht="12.75">
      <c r="M95" s="15"/>
    </row>
    <row r="96" spans="13:13" ht="12.75">
      <c r="M96" s="15"/>
    </row>
    <row r="97" spans="13:13" ht="12.75">
      <c r="M97" s="15"/>
    </row>
    <row r="98" spans="13:13" ht="12.75">
      <c r="M98" s="15"/>
    </row>
    <row r="99" spans="13:13" ht="12.75">
      <c r="M99" s="15"/>
    </row>
    <row r="100" spans="13:13" ht="12.75">
      <c r="M100" s="15"/>
    </row>
    <row r="101" spans="13:13" ht="12.75">
      <c r="M101" s="15"/>
    </row>
    <row r="102" spans="13:13" ht="12.75">
      <c r="M102" s="15"/>
    </row>
    <row r="103" spans="13:13" ht="12.75">
      <c r="M103" s="15"/>
    </row>
    <row r="104" spans="13:13" ht="12.75">
      <c r="M104" s="15"/>
    </row>
    <row r="105" spans="13:13" ht="12.75">
      <c r="M105" s="15"/>
    </row>
    <row r="106" spans="13:13" ht="12.75">
      <c r="M106" s="15"/>
    </row>
    <row r="107" spans="13:13" ht="12.75">
      <c r="M107" s="15"/>
    </row>
    <row r="108" spans="13:13" ht="12.75">
      <c r="M108" s="15"/>
    </row>
    <row r="109" spans="13:13" ht="12.75">
      <c r="M109" s="15"/>
    </row>
    <row r="110" spans="13:13" ht="12.75">
      <c r="M110" s="15"/>
    </row>
    <row r="111" spans="13:13" ht="12.75">
      <c r="M111" s="15"/>
    </row>
    <row r="112" spans="13:13" ht="12.75">
      <c r="M112" s="15"/>
    </row>
    <row r="113" spans="13:13" ht="12.75">
      <c r="M113" s="15"/>
    </row>
    <row r="114" spans="13:13" ht="12.75">
      <c r="M114" s="15"/>
    </row>
    <row r="115" spans="13:13" ht="12.75">
      <c r="M115" s="15"/>
    </row>
    <row r="116" spans="13:13" ht="12.75">
      <c r="M116" s="15"/>
    </row>
    <row r="117" spans="13:13" ht="12.75">
      <c r="M117" s="15"/>
    </row>
    <row r="118" spans="13:13" ht="12.75">
      <c r="M118" s="15"/>
    </row>
    <row r="119" spans="13:13" ht="12.75">
      <c r="M119" s="15"/>
    </row>
    <row r="120" spans="13:13" ht="12.75">
      <c r="M120" s="15"/>
    </row>
    <row r="121" spans="13:13" ht="12.75">
      <c r="M121" s="15"/>
    </row>
    <row r="122" spans="13:13" ht="12.75">
      <c r="M122" s="15"/>
    </row>
    <row r="123" spans="13:13" ht="12.75">
      <c r="M123" s="15"/>
    </row>
    <row r="124" spans="13:13" ht="12.75">
      <c r="M124" s="15"/>
    </row>
    <row r="125" spans="13:13" ht="12.75">
      <c r="M125" s="15"/>
    </row>
    <row r="126" spans="13:13" ht="12.75">
      <c r="M126" s="15"/>
    </row>
    <row r="127" spans="13:13" ht="12.75">
      <c r="M127" s="15"/>
    </row>
    <row r="128" spans="13:13" ht="12.75">
      <c r="M128" s="15"/>
    </row>
    <row r="129" spans="13:13" ht="12.75">
      <c r="M129" s="15"/>
    </row>
    <row r="130" spans="13:13" ht="12.75">
      <c r="M130" s="15"/>
    </row>
    <row r="131" spans="13:13" ht="12.75">
      <c r="M131" s="15"/>
    </row>
    <row r="132" spans="13:13" ht="12.75">
      <c r="M132" s="15"/>
    </row>
    <row r="133" spans="13:13" ht="12.75">
      <c r="M133" s="15"/>
    </row>
    <row r="134" spans="13:13" ht="12.75">
      <c r="M134" s="15"/>
    </row>
    <row r="135" spans="13:13" ht="12.75">
      <c r="M135" s="15"/>
    </row>
    <row r="136" spans="13:13" ht="12.75">
      <c r="M136" s="15"/>
    </row>
    <row r="137" spans="13:13" ht="12.75">
      <c r="M137" s="15"/>
    </row>
    <row r="138" spans="13:13" ht="12.75">
      <c r="M138" s="15"/>
    </row>
    <row r="139" spans="13:13" ht="12.75">
      <c r="M139" s="15"/>
    </row>
    <row r="140" spans="13:13" ht="12.75">
      <c r="M140" s="15"/>
    </row>
    <row r="141" spans="13:13" ht="12.75">
      <c r="M141" s="15"/>
    </row>
    <row r="142" spans="13:13" ht="12.75">
      <c r="M142" s="15"/>
    </row>
    <row r="143" spans="13:13" ht="12.75">
      <c r="M143" s="15"/>
    </row>
    <row r="144" spans="13:13" ht="12.75">
      <c r="M144" s="15"/>
    </row>
    <row r="145" spans="13:13" ht="12.75">
      <c r="M145" s="15"/>
    </row>
    <row r="146" spans="13:13" ht="12.75">
      <c r="M146" s="15"/>
    </row>
    <row r="147" spans="13:13" ht="12.75">
      <c r="M147" s="15"/>
    </row>
    <row r="148" spans="13:13" ht="12.75">
      <c r="M148" s="15"/>
    </row>
    <row r="149" spans="13:13" ht="12.75">
      <c r="M149" s="15"/>
    </row>
    <row r="150" spans="13:13" ht="12.75">
      <c r="M150" s="15"/>
    </row>
    <row r="151" spans="13:13" ht="12.75">
      <c r="M151" s="15"/>
    </row>
    <row r="152" spans="13:13" ht="12.75">
      <c r="M152" s="15"/>
    </row>
    <row r="153" spans="13:13" ht="12.75">
      <c r="M153" s="15"/>
    </row>
    <row r="154" spans="13:13" ht="12.75">
      <c r="M154" s="15"/>
    </row>
    <row r="155" spans="13:13" ht="12.75">
      <c r="M155" s="15"/>
    </row>
    <row r="156" spans="13:13" ht="12.75">
      <c r="M156" s="15"/>
    </row>
    <row r="157" spans="13:13" ht="12.75">
      <c r="M157" s="15"/>
    </row>
    <row r="158" spans="13:13" ht="12.75">
      <c r="M158" s="15"/>
    </row>
    <row r="159" spans="13:13" ht="12.75">
      <c r="M159" s="15"/>
    </row>
    <row r="160" spans="13:13" ht="12.75">
      <c r="M160" s="15"/>
    </row>
    <row r="161" spans="13:13" ht="12.75">
      <c r="M161" s="15"/>
    </row>
    <row r="162" spans="13:13" ht="12.75">
      <c r="M162" s="15"/>
    </row>
    <row r="163" spans="13:13" ht="12.75">
      <c r="M163" s="15"/>
    </row>
    <row r="164" spans="13:13" ht="12.75">
      <c r="M164" s="15"/>
    </row>
    <row r="165" spans="13:13" ht="12.75">
      <c r="M165" s="15"/>
    </row>
    <row r="166" spans="13:13" ht="12.75">
      <c r="M166" s="15"/>
    </row>
    <row r="167" spans="13:13" ht="12.75">
      <c r="M167" s="15"/>
    </row>
    <row r="168" spans="13:13" ht="12.75">
      <c r="M168" s="15"/>
    </row>
    <row r="169" spans="13:13" ht="12.75">
      <c r="M169" s="15"/>
    </row>
    <row r="170" spans="13:13" ht="12.75">
      <c r="M170" s="15"/>
    </row>
    <row r="171" spans="13:13" ht="12.75">
      <c r="M171" s="15"/>
    </row>
    <row r="172" spans="13:13" ht="12.75">
      <c r="M172" s="15"/>
    </row>
    <row r="173" spans="13:13" ht="12.75">
      <c r="M173" s="15"/>
    </row>
    <row r="174" spans="13:13" ht="12.75">
      <c r="M174" s="15"/>
    </row>
    <row r="175" spans="13:13" ht="12.75">
      <c r="M175" s="15"/>
    </row>
    <row r="176" spans="13:13" ht="12.75">
      <c r="M176" s="15"/>
    </row>
    <row r="177" spans="13:13" ht="12.75">
      <c r="M177" s="15"/>
    </row>
    <row r="178" spans="13:13" ht="12.75">
      <c r="M178" s="15"/>
    </row>
    <row r="179" spans="13:13" ht="12.75">
      <c r="M179" s="15"/>
    </row>
    <row r="180" spans="13:13" ht="12.75">
      <c r="M180" s="15"/>
    </row>
    <row r="181" spans="13:13" ht="12.75">
      <c r="M181" s="15"/>
    </row>
    <row r="182" spans="13:13" ht="12.75">
      <c r="M182" s="15"/>
    </row>
    <row r="183" spans="13:13" ht="12.75">
      <c r="M183" s="15"/>
    </row>
    <row r="184" spans="13:13" ht="12.75">
      <c r="M184" s="15"/>
    </row>
    <row r="185" spans="13:13" ht="12.75">
      <c r="M185" s="15"/>
    </row>
    <row r="186" spans="13:13" ht="12.75">
      <c r="M186" s="15"/>
    </row>
    <row r="187" spans="13:13" ht="12.75">
      <c r="M187" s="15"/>
    </row>
    <row r="188" spans="13:13" ht="12.75">
      <c r="M188" s="15"/>
    </row>
    <row r="189" spans="13:13" ht="12.75">
      <c r="M189" s="15"/>
    </row>
    <row r="190" spans="13:13" ht="12.75">
      <c r="M190" s="15"/>
    </row>
    <row r="191" spans="13:13" ht="12.75">
      <c r="M191" s="15"/>
    </row>
    <row r="192" spans="13:13" ht="12.75">
      <c r="M192" s="15"/>
    </row>
    <row r="193" spans="13:13" ht="12.75">
      <c r="M193" s="15"/>
    </row>
    <row r="194" spans="13:13" ht="12.75">
      <c r="M194" s="15"/>
    </row>
    <row r="195" spans="13:13" ht="12.75">
      <c r="M195" s="15"/>
    </row>
    <row r="196" spans="13:13" ht="12.75">
      <c r="M196" s="15"/>
    </row>
    <row r="197" spans="13:13" ht="12.75">
      <c r="M197" s="15"/>
    </row>
    <row r="198" spans="13:13" ht="12.75">
      <c r="M198" s="15"/>
    </row>
    <row r="199" spans="13:13" ht="12.75">
      <c r="M199" s="15"/>
    </row>
    <row r="200" spans="13:13" ht="12.75">
      <c r="M200" s="15"/>
    </row>
    <row r="201" spans="13:13" ht="12.75">
      <c r="M201" s="15"/>
    </row>
    <row r="202" spans="13:13" ht="12.75">
      <c r="M202" s="15"/>
    </row>
    <row r="203" spans="13:13" ht="12.75">
      <c r="M203" s="15"/>
    </row>
    <row r="204" spans="13:13" ht="12.75">
      <c r="M204" s="15"/>
    </row>
    <row r="205" spans="13:13" ht="12.75">
      <c r="M205" s="15"/>
    </row>
    <row r="206" spans="13:13" ht="12.75">
      <c r="M206" s="15"/>
    </row>
    <row r="207" spans="13:13" ht="12.75">
      <c r="M207" s="15"/>
    </row>
    <row r="208" spans="13:13" ht="12.75">
      <c r="M208" s="15"/>
    </row>
    <row r="209" spans="13:13" ht="12.75">
      <c r="M209" s="15"/>
    </row>
    <row r="210" spans="13:13" ht="12.75">
      <c r="M210" s="15"/>
    </row>
    <row r="211" spans="13:13" ht="12.75">
      <c r="M211" s="15"/>
    </row>
    <row r="212" spans="13:13" ht="12.75">
      <c r="M212" s="15"/>
    </row>
    <row r="213" spans="13:13" ht="12.75">
      <c r="M213" s="15"/>
    </row>
    <row r="214" spans="13:13" ht="12.75">
      <c r="M214" s="15"/>
    </row>
    <row r="215" spans="13:13" ht="12.75">
      <c r="M215" s="15"/>
    </row>
    <row r="216" spans="13:13" ht="12.75">
      <c r="M216" s="15"/>
    </row>
    <row r="217" spans="13:13" ht="12.75">
      <c r="M217" s="15"/>
    </row>
    <row r="218" spans="13:13" ht="12.75">
      <c r="M218" s="15"/>
    </row>
    <row r="219" spans="13:13" ht="12.75">
      <c r="M219" s="15"/>
    </row>
    <row r="220" spans="13:13" ht="12.75">
      <c r="M220" s="15"/>
    </row>
    <row r="221" spans="13:13" ht="12.75">
      <c r="M221" s="15"/>
    </row>
    <row r="222" spans="13:13" ht="12.75">
      <c r="M222" s="15"/>
    </row>
    <row r="223" spans="13:13" ht="12.75">
      <c r="M223" s="15"/>
    </row>
    <row r="224" spans="13:13" ht="12.75">
      <c r="M224" s="15"/>
    </row>
    <row r="225" spans="13:13" ht="12.75">
      <c r="M225" s="15"/>
    </row>
    <row r="226" spans="13:13" ht="12.75">
      <c r="M226" s="15"/>
    </row>
    <row r="227" spans="13:13" ht="12.75">
      <c r="M227" s="15"/>
    </row>
    <row r="228" spans="13:13" ht="12.75">
      <c r="M228" s="15"/>
    </row>
    <row r="229" spans="13:13" ht="12.75">
      <c r="M229" s="15"/>
    </row>
    <row r="230" spans="13:13" ht="12.75">
      <c r="M230" s="15"/>
    </row>
    <row r="231" spans="13:13" ht="12.75">
      <c r="M231" s="15"/>
    </row>
    <row r="232" spans="13:13" ht="12.75">
      <c r="M232" s="15"/>
    </row>
    <row r="233" spans="13:13" ht="12.75">
      <c r="M233" s="15"/>
    </row>
    <row r="234" spans="13:13" ht="12.75">
      <c r="M234" s="15"/>
    </row>
    <row r="235" spans="13:13" ht="12.75">
      <c r="M235" s="15"/>
    </row>
    <row r="236" spans="13:13" ht="12.75">
      <c r="M236" s="15"/>
    </row>
    <row r="237" spans="13:13" ht="12.75">
      <c r="M237" s="15"/>
    </row>
    <row r="238" spans="13:13" ht="12.75">
      <c r="M238" s="15"/>
    </row>
    <row r="239" spans="13:13" ht="12.75">
      <c r="M239" s="15"/>
    </row>
    <row r="240" spans="13:13" ht="12.75">
      <c r="M240" s="15"/>
    </row>
    <row r="241" spans="13:13" ht="12.75">
      <c r="M241" s="15"/>
    </row>
    <row r="242" spans="13:13" ht="12.75">
      <c r="M242" s="15"/>
    </row>
    <row r="243" spans="13:13" ht="12.75">
      <c r="M243" s="15"/>
    </row>
    <row r="244" spans="13:13" ht="12.75">
      <c r="M244" s="15"/>
    </row>
    <row r="245" spans="13:13" ht="12.75">
      <c r="M245" s="15"/>
    </row>
    <row r="246" spans="13:13" ht="12.75">
      <c r="M246" s="15"/>
    </row>
    <row r="247" spans="13:13" ht="12.75">
      <c r="M247" s="15"/>
    </row>
    <row r="248" spans="13:13" ht="12.75">
      <c r="M248" s="15"/>
    </row>
    <row r="249" spans="13:13" ht="12.75">
      <c r="M249" s="15"/>
    </row>
    <row r="250" spans="13:13" ht="12.75">
      <c r="M250" s="15"/>
    </row>
    <row r="251" spans="13:13" ht="12.75">
      <c r="M251" s="15"/>
    </row>
    <row r="252" spans="13:13" ht="12.75">
      <c r="M252" s="15"/>
    </row>
    <row r="253" spans="13:13" ht="12.75">
      <c r="M253" s="15"/>
    </row>
    <row r="254" spans="13:13" ht="12.75">
      <c r="M254" s="15"/>
    </row>
    <row r="255" spans="13:13" ht="12.75">
      <c r="M255" s="15"/>
    </row>
    <row r="256" spans="13:13" ht="12.75">
      <c r="M256" s="15"/>
    </row>
    <row r="257" spans="13:13" ht="12.75">
      <c r="M257" s="15"/>
    </row>
    <row r="258" spans="13:13" ht="12.75">
      <c r="M258" s="15"/>
    </row>
    <row r="259" spans="13:13" ht="12.75">
      <c r="M259" s="15"/>
    </row>
    <row r="260" spans="13:13" ht="12.75">
      <c r="M260" s="15"/>
    </row>
    <row r="261" spans="13:13" ht="12.75">
      <c r="M261" s="15"/>
    </row>
    <row r="262" spans="13:13" ht="12.75">
      <c r="M262" s="15"/>
    </row>
    <row r="263" spans="13:13" ht="12.75">
      <c r="M263" s="15"/>
    </row>
    <row r="264" spans="13:13" ht="12.75">
      <c r="M264" s="15"/>
    </row>
    <row r="265" spans="13:13" ht="12.75">
      <c r="M265" s="15"/>
    </row>
    <row r="266" spans="13:13" ht="12.75">
      <c r="M266" s="15"/>
    </row>
    <row r="267" spans="13:13" ht="12.75">
      <c r="M267" s="15"/>
    </row>
    <row r="268" spans="13:13" ht="12.75">
      <c r="M268" s="15"/>
    </row>
    <row r="269" spans="13:13" ht="12.75">
      <c r="M269" s="15"/>
    </row>
    <row r="270" spans="13:13" ht="12.75">
      <c r="M270" s="15"/>
    </row>
    <row r="271" spans="13:13" ht="12.75">
      <c r="M271" s="15"/>
    </row>
    <row r="272" spans="13:13" ht="12.75">
      <c r="M272" s="15"/>
    </row>
    <row r="273" spans="13:13" ht="12.75">
      <c r="M273" s="15"/>
    </row>
    <row r="274" spans="13:13" ht="12.75">
      <c r="M274" s="15"/>
    </row>
    <row r="275" spans="13:13" ht="12.75">
      <c r="M275" s="15"/>
    </row>
    <row r="276" spans="13:13" ht="12.75">
      <c r="M276" s="15"/>
    </row>
    <row r="277" spans="13:13" ht="12.75">
      <c r="M277" s="15"/>
    </row>
    <row r="278" spans="13:13" ht="12.75">
      <c r="M278" s="15"/>
    </row>
    <row r="279" spans="13:13" ht="12.75">
      <c r="M279" s="15"/>
    </row>
    <row r="280" spans="13:13" ht="12.75">
      <c r="M280" s="15"/>
    </row>
    <row r="281" spans="13:13" ht="12.75">
      <c r="M281" s="15"/>
    </row>
    <row r="282" spans="13:13" ht="12.75">
      <c r="M282" s="15"/>
    </row>
    <row r="283" spans="13:13" ht="12.75">
      <c r="M283" s="15"/>
    </row>
    <row r="284" spans="13:13" ht="12.75">
      <c r="M284" s="15"/>
    </row>
    <row r="285" spans="13:13" ht="12.75">
      <c r="M285" s="15"/>
    </row>
    <row r="286" spans="13:13" ht="12.75">
      <c r="M286" s="15"/>
    </row>
    <row r="287" spans="13:13" ht="12.75">
      <c r="M287" s="15"/>
    </row>
    <row r="288" spans="13:13" ht="12.75">
      <c r="M288" s="15"/>
    </row>
    <row r="289" spans="13:13" ht="12.75">
      <c r="M289" s="15"/>
    </row>
    <row r="290" spans="13:13" ht="12.75">
      <c r="M290" s="15"/>
    </row>
    <row r="291" spans="13:13" ht="12.75">
      <c r="M291" s="15"/>
    </row>
    <row r="292" spans="13:13" ht="12.75">
      <c r="M292" s="15"/>
    </row>
    <row r="293" spans="13:13" ht="12.75">
      <c r="M293" s="15"/>
    </row>
    <row r="294" spans="13:13" ht="12.75">
      <c r="M294" s="15"/>
    </row>
    <row r="295" spans="13:13" ht="12.75">
      <c r="M295" s="15"/>
    </row>
    <row r="296" spans="13:13" ht="12.75">
      <c r="M296" s="15"/>
    </row>
    <row r="297" spans="13:13" ht="12.75">
      <c r="M297" s="15"/>
    </row>
    <row r="298" spans="13:13" ht="12.75">
      <c r="M298" s="15"/>
    </row>
    <row r="299" spans="13:13" ht="12.75">
      <c r="M299" s="15"/>
    </row>
    <row r="300" spans="13:13" ht="12.75">
      <c r="M300" s="15"/>
    </row>
    <row r="301" spans="13:13" ht="12.75">
      <c r="M301" s="15"/>
    </row>
    <row r="302" spans="13:13" ht="12.75">
      <c r="M302" s="15"/>
    </row>
    <row r="303" spans="13:13" ht="12.75">
      <c r="M303" s="15"/>
    </row>
    <row r="304" spans="13:13" ht="12.75">
      <c r="M304" s="15"/>
    </row>
    <row r="305" spans="13:13" ht="12.75">
      <c r="M305" s="15"/>
    </row>
    <row r="306" spans="13:13" ht="12.75">
      <c r="M306" s="15"/>
    </row>
    <row r="307" spans="13:13" ht="12.75">
      <c r="M307" s="15"/>
    </row>
    <row r="308" spans="13:13" ht="12.75">
      <c r="M308" s="15"/>
    </row>
    <row r="309" spans="13:13" ht="12.75">
      <c r="M309" s="15"/>
    </row>
    <row r="310" spans="13:13" ht="12.75">
      <c r="M310" s="15"/>
    </row>
    <row r="311" spans="13:13" ht="12.75">
      <c r="M311" s="15"/>
    </row>
    <row r="312" spans="13:13" ht="12.75">
      <c r="M312" s="15"/>
    </row>
    <row r="313" spans="13:13" ht="12.75">
      <c r="M313" s="15"/>
    </row>
    <row r="314" spans="13:13" ht="12.75">
      <c r="M314" s="15"/>
    </row>
    <row r="315" spans="13:13" ht="12.75">
      <c r="M315" s="15"/>
    </row>
    <row r="316" spans="13:13" ht="12.75">
      <c r="M316" s="15"/>
    </row>
    <row r="317" spans="13:13" ht="12.75">
      <c r="M317" s="15"/>
    </row>
    <row r="318" spans="13:13" ht="12.75">
      <c r="M318" s="15"/>
    </row>
    <row r="319" spans="13:13" ht="12.75">
      <c r="M319" s="15"/>
    </row>
    <row r="320" spans="13:13" ht="12.75">
      <c r="M320" s="15"/>
    </row>
    <row r="321" spans="13:13" ht="12.75">
      <c r="M321" s="15"/>
    </row>
    <row r="322" spans="13:13" ht="12.75">
      <c r="M322" s="15"/>
    </row>
    <row r="323" spans="13:13" ht="12.75">
      <c r="M323" s="15"/>
    </row>
    <row r="324" spans="13:13" ht="12.75">
      <c r="M324" s="15"/>
    </row>
    <row r="325" spans="13:13" ht="12.75">
      <c r="M325" s="15"/>
    </row>
    <row r="326" spans="13:13" ht="12.75">
      <c r="M326" s="15"/>
    </row>
    <row r="327" spans="13:13" ht="12.75">
      <c r="M327" s="15"/>
    </row>
    <row r="328" spans="13:13" ht="12.75">
      <c r="M328" s="15"/>
    </row>
    <row r="329" spans="13:13" ht="12.75">
      <c r="M329" s="15"/>
    </row>
    <row r="330" spans="13:13" ht="12.75">
      <c r="M330" s="15"/>
    </row>
    <row r="331" spans="13:13" ht="12.75">
      <c r="M331" s="15"/>
    </row>
    <row r="332" spans="13:13" ht="12.75">
      <c r="M332" s="15"/>
    </row>
    <row r="333" spans="13:13" ht="12.75">
      <c r="M333" s="15"/>
    </row>
    <row r="334" spans="13:13" ht="12.75">
      <c r="M334" s="15"/>
    </row>
    <row r="335" spans="13:13" ht="12.75">
      <c r="M335" s="15"/>
    </row>
    <row r="336" spans="13:13" ht="12.75">
      <c r="M336" s="15"/>
    </row>
    <row r="337" spans="13:13" ht="12.75">
      <c r="M337" s="15"/>
    </row>
    <row r="338" spans="13:13" ht="12.75">
      <c r="M338" s="15"/>
    </row>
    <row r="339" spans="13:13" ht="12.75">
      <c r="M339" s="15"/>
    </row>
    <row r="340" spans="13:13" ht="12.75">
      <c r="M340" s="15"/>
    </row>
    <row r="341" spans="13:13" ht="12.75">
      <c r="M341" s="15"/>
    </row>
    <row r="342" spans="13:13" ht="12.75">
      <c r="M342" s="15"/>
    </row>
    <row r="343" spans="13:13" ht="12.75">
      <c r="M343" s="15"/>
    </row>
    <row r="344" spans="13:13" ht="12.75">
      <c r="M344" s="15"/>
    </row>
    <row r="345" spans="13:13" ht="12.75">
      <c r="M345" s="15"/>
    </row>
    <row r="346" spans="13:13" ht="12.75">
      <c r="M346" s="15"/>
    </row>
    <row r="347" spans="13:13" ht="12.75">
      <c r="M347" s="15"/>
    </row>
    <row r="348" spans="13:13" ht="12.75">
      <c r="M348" s="15"/>
    </row>
    <row r="349" spans="13:13" ht="12.75">
      <c r="M349" s="15"/>
    </row>
    <row r="350" spans="13:13" ht="12.75">
      <c r="M350" s="15"/>
    </row>
    <row r="351" spans="13:13" ht="12.75">
      <c r="M351" s="15"/>
    </row>
    <row r="352" spans="13:13" ht="12.75">
      <c r="M352" s="15"/>
    </row>
    <row r="353" spans="13:13" ht="12.75">
      <c r="M353" s="15"/>
    </row>
    <row r="354" spans="13:13" ht="12.75">
      <c r="M354" s="15"/>
    </row>
    <row r="355" spans="13:13" ht="12.75">
      <c r="M355" s="15"/>
    </row>
    <row r="356" spans="13:13" ht="12.75">
      <c r="M356" s="15"/>
    </row>
    <row r="357" spans="13:13" ht="12.75">
      <c r="M357" s="15"/>
    </row>
    <row r="358" spans="13:13" ht="12.75">
      <c r="M358" s="15"/>
    </row>
    <row r="359" spans="13:13" ht="12.75">
      <c r="M359" s="15"/>
    </row>
    <row r="360" spans="13:13" ht="12.75">
      <c r="M360" s="15"/>
    </row>
    <row r="361" spans="13:13" ht="12.75">
      <c r="M361" s="15"/>
    </row>
    <row r="362" spans="13:13" ht="12.75">
      <c r="M362" s="15"/>
    </row>
    <row r="363" spans="13:13" ht="12.75">
      <c r="M363" s="15"/>
    </row>
    <row r="364" spans="13:13" ht="12.75">
      <c r="M364" s="15"/>
    </row>
    <row r="365" spans="13:13" ht="12.75">
      <c r="M365" s="15"/>
    </row>
    <row r="366" spans="13:13" ht="12.75">
      <c r="M366" s="15"/>
    </row>
    <row r="367" spans="13:13" ht="12.75">
      <c r="M367" s="15"/>
    </row>
    <row r="368" spans="13:13" ht="12.75">
      <c r="M368" s="15"/>
    </row>
    <row r="369" spans="13:13" ht="12.75">
      <c r="M369" s="15"/>
    </row>
    <row r="370" spans="13:13" ht="12.75">
      <c r="M370" s="15"/>
    </row>
    <row r="371" spans="13:13" ht="12.75">
      <c r="M371" s="15"/>
    </row>
    <row r="372" spans="13:13" ht="12.75">
      <c r="M372" s="15"/>
    </row>
    <row r="373" spans="13:13" ht="12.75">
      <c r="M373" s="15"/>
    </row>
    <row r="374" spans="13:13" ht="12.75">
      <c r="M374" s="15"/>
    </row>
    <row r="375" spans="13:13" ht="12.75">
      <c r="M375" s="15"/>
    </row>
    <row r="376" spans="13:13" ht="12.75">
      <c r="M376" s="15"/>
    </row>
    <row r="377" spans="13:13" ht="12.75">
      <c r="M377" s="15"/>
    </row>
    <row r="378" spans="13:13" ht="12.75">
      <c r="M378" s="15"/>
    </row>
    <row r="379" spans="13:13" ht="12.75">
      <c r="M379" s="15"/>
    </row>
    <row r="380" spans="13:13" ht="12.75">
      <c r="M380" s="15"/>
    </row>
    <row r="381" spans="13:13" ht="12.75">
      <c r="M381" s="15"/>
    </row>
    <row r="382" spans="13:13" ht="12.75">
      <c r="M382" s="15"/>
    </row>
    <row r="383" spans="13:13" ht="12.75">
      <c r="M383" s="15"/>
    </row>
    <row r="384" spans="13:13" ht="12.75">
      <c r="M384" s="15"/>
    </row>
    <row r="385" spans="13:13" ht="12.75">
      <c r="M385" s="15"/>
    </row>
    <row r="386" spans="13:13" ht="12.75">
      <c r="M386" s="15"/>
    </row>
    <row r="387" spans="13:13" ht="12.75">
      <c r="M387" s="15"/>
    </row>
    <row r="388" spans="13:13" ht="12.75">
      <c r="M388" s="15"/>
    </row>
    <row r="389" spans="13:13" ht="12.75">
      <c r="M389" s="15"/>
    </row>
    <row r="390" spans="13:13" ht="12.75">
      <c r="M390" s="15"/>
    </row>
    <row r="391" spans="13:13" ht="12.75">
      <c r="M391" s="15"/>
    </row>
    <row r="392" spans="13:13" ht="12.75">
      <c r="M392" s="15"/>
    </row>
    <row r="393" spans="13:13" ht="12.75">
      <c r="M393" s="15"/>
    </row>
    <row r="394" spans="13:13" ht="12.75">
      <c r="M394" s="15"/>
    </row>
    <row r="395" spans="13:13" ht="12.75">
      <c r="M395" s="15"/>
    </row>
    <row r="396" spans="13:13" ht="12.75">
      <c r="M396" s="15"/>
    </row>
    <row r="397" spans="13:13" ht="12.75">
      <c r="M397" s="15"/>
    </row>
    <row r="398" spans="13:13" ht="12.75">
      <c r="M398" s="15"/>
    </row>
    <row r="399" spans="13:13" ht="12.75">
      <c r="M399" s="15"/>
    </row>
    <row r="400" spans="13:13" ht="12.75">
      <c r="M400" s="15"/>
    </row>
    <row r="401" spans="13:13" ht="12.75">
      <c r="M401" s="15"/>
    </row>
    <row r="402" spans="13:13" ht="12.75">
      <c r="M402" s="15"/>
    </row>
    <row r="403" spans="13:13" ht="12.75">
      <c r="M403" s="15"/>
    </row>
    <row r="404" spans="13:13" ht="12.75">
      <c r="M404" s="15"/>
    </row>
    <row r="405" spans="13:13" ht="12.75">
      <c r="M405" s="15"/>
    </row>
    <row r="406" spans="13:13" ht="12.75">
      <c r="M406" s="15"/>
    </row>
    <row r="407" spans="13:13" ht="12.75">
      <c r="M407" s="15"/>
    </row>
    <row r="408" spans="13:13" ht="12.75">
      <c r="M408" s="15"/>
    </row>
    <row r="409" spans="13:13" ht="12.75">
      <c r="M409" s="15"/>
    </row>
    <row r="410" spans="13:13" ht="12.75">
      <c r="M410" s="15"/>
    </row>
    <row r="411" spans="13:13" ht="12.75">
      <c r="M411" s="15"/>
    </row>
    <row r="412" spans="13:13" ht="12.75">
      <c r="M412" s="15"/>
    </row>
    <row r="413" spans="13:13" ht="12.75">
      <c r="M413" s="15"/>
    </row>
    <row r="414" spans="13:13" ht="12.75">
      <c r="M414" s="15"/>
    </row>
    <row r="415" spans="13:13" ht="12.75">
      <c r="M415" s="15"/>
    </row>
    <row r="416" spans="13:13" ht="12.75">
      <c r="M416" s="15"/>
    </row>
    <row r="417" spans="13:13" ht="12.75">
      <c r="M417" s="15"/>
    </row>
    <row r="418" spans="13:13" ht="12.75">
      <c r="M418" s="15"/>
    </row>
    <row r="419" spans="13:13" ht="12.75">
      <c r="M419" s="15"/>
    </row>
    <row r="420" spans="13:13" ht="12.75">
      <c r="M420" s="15"/>
    </row>
    <row r="421" spans="13:13" ht="12.75">
      <c r="M421" s="15"/>
    </row>
    <row r="422" spans="13:13" ht="12.75">
      <c r="M422" s="15"/>
    </row>
    <row r="423" spans="13:13" ht="12.75">
      <c r="M423" s="15"/>
    </row>
    <row r="424" spans="13:13" ht="12.75">
      <c r="M424" s="15"/>
    </row>
    <row r="425" spans="13:13" ht="12.75">
      <c r="M425" s="15"/>
    </row>
    <row r="426" spans="13:13" ht="12.75">
      <c r="M426" s="15"/>
    </row>
    <row r="427" spans="13:13" ht="12.75">
      <c r="M427" s="15"/>
    </row>
    <row r="428" spans="13:13" ht="12.75">
      <c r="M428" s="15"/>
    </row>
    <row r="429" spans="13:13" ht="12.75">
      <c r="M429" s="15"/>
    </row>
    <row r="430" spans="13:13" ht="12.75">
      <c r="M430" s="15"/>
    </row>
    <row r="431" spans="13:13" ht="12.75">
      <c r="M431" s="15"/>
    </row>
    <row r="432" spans="13:13" ht="12.75">
      <c r="M432" s="15"/>
    </row>
    <row r="433" spans="13:13" ht="12.75">
      <c r="M433" s="15"/>
    </row>
    <row r="434" spans="13:13" ht="12.75">
      <c r="M434" s="15"/>
    </row>
    <row r="435" spans="13:13" ht="12.75">
      <c r="M435" s="15"/>
    </row>
    <row r="436" spans="13:13" ht="12.75">
      <c r="M436" s="15"/>
    </row>
    <row r="437" spans="13:13" ht="12.75">
      <c r="M437" s="15"/>
    </row>
    <row r="438" spans="13:13" ht="12.75">
      <c r="M438" s="15"/>
    </row>
    <row r="439" spans="13:13" ht="12.75">
      <c r="M439" s="15"/>
    </row>
    <row r="440" spans="13:13" ht="12.75">
      <c r="M440" s="15"/>
    </row>
    <row r="441" spans="13:13" ht="12.75">
      <c r="M441" s="15"/>
    </row>
    <row r="442" spans="13:13" ht="12.75">
      <c r="M442" s="15"/>
    </row>
    <row r="443" spans="13:13" ht="12.75">
      <c r="M443" s="15"/>
    </row>
    <row r="444" spans="13:13" ht="12.75">
      <c r="M444" s="15"/>
    </row>
    <row r="445" spans="13:13" ht="12.75">
      <c r="M445" s="15"/>
    </row>
    <row r="446" spans="13:13" ht="12.75">
      <c r="M446" s="15"/>
    </row>
    <row r="447" spans="13:13" ht="12.75">
      <c r="M447" s="15"/>
    </row>
    <row r="448" spans="13:13" ht="12.75">
      <c r="M448" s="15"/>
    </row>
    <row r="449" spans="13:13" ht="12.75">
      <c r="M449" s="15"/>
    </row>
    <row r="450" spans="13:13" ht="12.75">
      <c r="M450" s="15"/>
    </row>
    <row r="451" spans="13:13" ht="12.75">
      <c r="M451" s="15"/>
    </row>
    <row r="452" spans="13:13" ht="12.75">
      <c r="M452" s="15"/>
    </row>
    <row r="453" spans="13:13" ht="12.75">
      <c r="M453" s="15"/>
    </row>
    <row r="454" spans="13:13" ht="12.75">
      <c r="M454" s="15"/>
    </row>
    <row r="455" spans="13:13" ht="12.75">
      <c r="M455" s="15"/>
    </row>
    <row r="456" spans="13:13" ht="12.75">
      <c r="M456" s="15"/>
    </row>
    <row r="457" spans="13:13" ht="12.75">
      <c r="M457" s="15"/>
    </row>
    <row r="458" spans="13:13" ht="12.75">
      <c r="M458" s="15"/>
    </row>
    <row r="459" spans="13:13" ht="12.75">
      <c r="M459" s="15"/>
    </row>
    <row r="460" spans="13:13" ht="12.75">
      <c r="M460" s="15"/>
    </row>
    <row r="461" spans="13:13" ht="12.75">
      <c r="M461" s="15"/>
    </row>
    <row r="462" spans="13:13" ht="12.75">
      <c r="M462" s="15"/>
    </row>
    <row r="463" spans="13:13" ht="12.75">
      <c r="M463" s="15"/>
    </row>
    <row r="464" spans="13:13" ht="12.75">
      <c r="M464" s="15"/>
    </row>
    <row r="465" spans="13:13" ht="12.75">
      <c r="M465" s="15"/>
    </row>
    <row r="466" spans="13:13" ht="12.75">
      <c r="M466" s="15"/>
    </row>
    <row r="467" spans="13:13" ht="12.75">
      <c r="M467" s="15"/>
    </row>
    <row r="468" spans="13:13" ht="12.75">
      <c r="M468" s="15"/>
    </row>
    <row r="469" spans="13:13" ht="12.75">
      <c r="M469" s="15"/>
    </row>
    <row r="470" spans="13:13" ht="12.75">
      <c r="M470" s="15"/>
    </row>
    <row r="471" spans="13:13" ht="12.75">
      <c r="M471" s="15"/>
    </row>
    <row r="472" spans="13:13" ht="12.75">
      <c r="M472" s="15"/>
    </row>
    <row r="473" spans="13:13" ht="12.75">
      <c r="M473" s="15"/>
    </row>
    <row r="474" spans="13:13" ht="12.75">
      <c r="M474" s="15"/>
    </row>
    <row r="475" spans="13:13" ht="12.75">
      <c r="M475" s="15"/>
    </row>
    <row r="476" spans="13:13" ht="12.75">
      <c r="M476" s="15"/>
    </row>
    <row r="477" spans="13:13" ht="12.75">
      <c r="M477" s="15"/>
    </row>
    <row r="478" spans="13:13" ht="12.75">
      <c r="M478" s="15"/>
    </row>
    <row r="479" spans="13:13" ht="12.75">
      <c r="M479" s="15"/>
    </row>
    <row r="480" spans="13:13" ht="12.75">
      <c r="M480" s="15"/>
    </row>
    <row r="481" spans="13:13" ht="12.75">
      <c r="M481" s="15"/>
    </row>
    <row r="482" spans="13:13" ht="12.75">
      <c r="M482" s="15"/>
    </row>
    <row r="483" spans="13:13" ht="12.75">
      <c r="M483" s="15"/>
    </row>
    <row r="484" spans="13:13" ht="12.75">
      <c r="M484" s="15"/>
    </row>
    <row r="485" spans="13:13" ht="12.75">
      <c r="M485" s="15"/>
    </row>
    <row r="486" spans="13:13" ht="12.75">
      <c r="M486" s="15"/>
    </row>
    <row r="487" spans="13:13" ht="12.75">
      <c r="M487" s="15"/>
    </row>
    <row r="488" spans="13:13" ht="12.75">
      <c r="M488" s="15"/>
    </row>
    <row r="489" spans="13:13" ht="12.75">
      <c r="M489" s="15"/>
    </row>
    <row r="490" spans="13:13" ht="12.75">
      <c r="M490" s="15"/>
    </row>
    <row r="491" spans="13:13" ht="12.75">
      <c r="M491" s="15"/>
    </row>
    <row r="492" spans="13:13" ht="12.75">
      <c r="M492" s="15"/>
    </row>
    <row r="493" spans="13:13" ht="12.75">
      <c r="M493" s="15"/>
    </row>
    <row r="494" spans="13:13" ht="12.75">
      <c r="M494" s="15"/>
    </row>
    <row r="495" spans="13:13" ht="12.75">
      <c r="M495" s="15"/>
    </row>
    <row r="496" spans="13:13" ht="12.75">
      <c r="M496" s="15"/>
    </row>
    <row r="497" spans="13:13" ht="12.75">
      <c r="M497" s="15"/>
    </row>
    <row r="498" spans="13:13" ht="12.75">
      <c r="M498" s="15"/>
    </row>
    <row r="499" spans="13:13" ht="12.75">
      <c r="M499" s="15"/>
    </row>
    <row r="500" spans="13:13" ht="12.75">
      <c r="M500" s="15"/>
    </row>
    <row r="501" spans="13:13" ht="12.75">
      <c r="M501" s="15"/>
    </row>
    <row r="502" spans="13:13" ht="12.75">
      <c r="M502" s="15"/>
    </row>
    <row r="503" spans="13:13" ht="12.75">
      <c r="M503" s="15"/>
    </row>
    <row r="504" spans="13:13" ht="12.75">
      <c r="M504" s="15"/>
    </row>
    <row r="505" spans="13:13" ht="12.75">
      <c r="M505" s="15"/>
    </row>
    <row r="506" spans="13:13" ht="12.75">
      <c r="M506" s="15"/>
    </row>
    <row r="507" spans="13:13" ht="12.75">
      <c r="M507" s="15"/>
    </row>
    <row r="508" spans="13:13" ht="12.75">
      <c r="M508" s="15"/>
    </row>
    <row r="509" spans="13:13" ht="12.75">
      <c r="M509" s="15"/>
    </row>
    <row r="510" spans="13:13" ht="12.75">
      <c r="M510" s="15"/>
    </row>
    <row r="511" spans="13:13" ht="12.75">
      <c r="M511" s="15"/>
    </row>
    <row r="512" spans="13:13" ht="12.75">
      <c r="M512" s="15"/>
    </row>
    <row r="513" spans="13:13" ht="12.75">
      <c r="M513" s="15"/>
    </row>
    <row r="514" spans="13:13" ht="12.75">
      <c r="M514" s="15"/>
    </row>
    <row r="515" spans="13:13" ht="12.75">
      <c r="M515" s="15"/>
    </row>
    <row r="516" spans="13:13" ht="12.75">
      <c r="M516" s="15"/>
    </row>
    <row r="517" spans="13:13" ht="12.75">
      <c r="M517" s="15"/>
    </row>
    <row r="518" spans="13:13" ht="12.75">
      <c r="M518" s="15"/>
    </row>
    <row r="519" spans="13:13" ht="12.75">
      <c r="M519" s="15"/>
    </row>
    <row r="520" spans="13:13" ht="12.75">
      <c r="M520" s="15"/>
    </row>
    <row r="521" spans="13:13" ht="12.75">
      <c r="M521" s="15"/>
    </row>
    <row r="522" spans="13:13" ht="12.75">
      <c r="M522" s="15"/>
    </row>
    <row r="523" spans="13:13" ht="12.75">
      <c r="M523" s="15"/>
    </row>
    <row r="524" spans="13:13" ht="12.75">
      <c r="M524" s="15"/>
    </row>
    <row r="525" spans="13:13" ht="12.75">
      <c r="M525" s="15"/>
    </row>
    <row r="526" spans="13:13" ht="12.75">
      <c r="M526" s="15"/>
    </row>
    <row r="527" spans="13:13" ht="12.75">
      <c r="M527" s="15"/>
    </row>
    <row r="528" spans="13:13" ht="12.75">
      <c r="M528" s="15"/>
    </row>
    <row r="529" spans="13:13" ht="12.75">
      <c r="M529" s="15"/>
    </row>
    <row r="530" spans="13:13" ht="12.75">
      <c r="M530" s="15"/>
    </row>
    <row r="531" spans="13:13" ht="12.75">
      <c r="M531" s="15"/>
    </row>
    <row r="532" spans="13:13" ht="12.75">
      <c r="M532" s="15"/>
    </row>
    <row r="533" spans="13:13" ht="12.75">
      <c r="M533" s="15"/>
    </row>
    <row r="534" spans="13:13" ht="12.75">
      <c r="M534" s="15"/>
    </row>
    <row r="535" spans="13:13" ht="12.75">
      <c r="M535" s="15"/>
    </row>
    <row r="536" spans="13:13" ht="12.75">
      <c r="M536" s="15"/>
    </row>
    <row r="537" spans="13:13" ht="12.75">
      <c r="M537" s="15"/>
    </row>
    <row r="538" spans="13:13" ht="12.75">
      <c r="M538" s="15"/>
    </row>
    <row r="539" spans="13:13" ht="12.75">
      <c r="M539" s="15"/>
    </row>
    <row r="540" spans="13:13" ht="12.75">
      <c r="M540" s="15"/>
    </row>
    <row r="541" spans="13:13" ht="12.75">
      <c r="M541" s="15"/>
    </row>
    <row r="542" spans="13:13" ht="12.75">
      <c r="M542" s="15"/>
    </row>
    <row r="543" spans="13:13" ht="12.75">
      <c r="M543" s="15"/>
    </row>
    <row r="544" spans="13:13" ht="12.75">
      <c r="M544" s="15"/>
    </row>
    <row r="545" spans="13:13" ht="12.75">
      <c r="M545" s="15"/>
    </row>
    <row r="546" spans="13:13" ht="12.75">
      <c r="M546" s="15"/>
    </row>
    <row r="547" spans="13:13" ht="12.75">
      <c r="M547" s="15"/>
    </row>
    <row r="548" spans="13:13" ht="12.75">
      <c r="M548" s="15"/>
    </row>
    <row r="549" spans="13:13" ht="12.75">
      <c r="M549" s="15"/>
    </row>
    <row r="550" spans="13:13" ht="12.75">
      <c r="M550" s="15"/>
    </row>
    <row r="551" spans="13:13" ht="12.75">
      <c r="M551" s="15"/>
    </row>
    <row r="552" spans="13:13" ht="12.75">
      <c r="M552" s="15"/>
    </row>
    <row r="553" spans="13:13" ht="12.75">
      <c r="M553" s="15"/>
    </row>
    <row r="554" spans="13:13" ht="12.75">
      <c r="M554" s="15"/>
    </row>
    <row r="555" spans="13:13" ht="12.75">
      <c r="M555" s="15"/>
    </row>
    <row r="556" spans="13:13" ht="12.75">
      <c r="M556" s="15"/>
    </row>
    <row r="557" spans="13:13" ht="12.75">
      <c r="M557" s="15"/>
    </row>
    <row r="558" spans="13:13" ht="12.75">
      <c r="M558" s="15"/>
    </row>
    <row r="559" spans="13:13" ht="12.75">
      <c r="M559" s="15"/>
    </row>
    <row r="560" spans="13:13" ht="12.75">
      <c r="M560" s="15"/>
    </row>
    <row r="561" spans="13:13" ht="12.75">
      <c r="M561" s="15"/>
    </row>
    <row r="562" spans="13:13" ht="12.75">
      <c r="M562" s="15"/>
    </row>
    <row r="563" spans="13:13" ht="12.75">
      <c r="M563" s="15"/>
    </row>
    <row r="564" spans="13:13" ht="12.75">
      <c r="M564" s="15"/>
    </row>
    <row r="565" spans="13:13" ht="12.75">
      <c r="M565" s="15"/>
    </row>
    <row r="566" spans="13:13" ht="12.75">
      <c r="M566" s="15"/>
    </row>
    <row r="567" spans="13:13" ht="12.75">
      <c r="M567" s="15"/>
    </row>
    <row r="568" spans="13:13" ht="12.75">
      <c r="M568" s="15"/>
    </row>
    <row r="569" spans="13:13" ht="12.75">
      <c r="M569" s="15"/>
    </row>
    <row r="570" spans="13:13" ht="12.75">
      <c r="M570" s="15"/>
    </row>
    <row r="571" spans="13:13" ht="12.75">
      <c r="M571" s="15"/>
    </row>
    <row r="572" spans="13:13" ht="12.75">
      <c r="M572" s="15"/>
    </row>
    <row r="573" spans="13:13" ht="12.75">
      <c r="M573" s="15"/>
    </row>
    <row r="574" spans="13:13" ht="12.75">
      <c r="M574" s="15"/>
    </row>
    <row r="575" spans="13:13" ht="12.75">
      <c r="M575" s="15"/>
    </row>
    <row r="576" spans="13:13" ht="12.75">
      <c r="M576" s="15"/>
    </row>
    <row r="577" spans="13:13" ht="12.75">
      <c r="M577" s="15"/>
    </row>
    <row r="578" spans="13:13" ht="12.75">
      <c r="M578" s="15"/>
    </row>
    <row r="579" spans="13:13" ht="12.75">
      <c r="M579" s="15"/>
    </row>
    <row r="580" spans="13:13" ht="12.75">
      <c r="M580" s="15"/>
    </row>
    <row r="581" spans="13:13" ht="12.75">
      <c r="M581" s="15"/>
    </row>
    <row r="582" spans="13:13" ht="12.75">
      <c r="M582" s="15"/>
    </row>
    <row r="583" spans="13:13" ht="12.75">
      <c r="M583" s="15"/>
    </row>
    <row r="584" spans="13:13" ht="12.75">
      <c r="M584" s="15"/>
    </row>
    <row r="585" spans="13:13" ht="12.75">
      <c r="M585" s="15"/>
    </row>
    <row r="586" spans="13:13" ht="12.75">
      <c r="M586" s="15"/>
    </row>
    <row r="587" spans="13:13" ht="12.75">
      <c r="M587" s="15"/>
    </row>
    <row r="588" spans="13:13" ht="12.75">
      <c r="M588" s="15"/>
    </row>
    <row r="589" spans="13:13" ht="12.75">
      <c r="M589" s="15"/>
    </row>
    <row r="590" spans="13:13" ht="12.75">
      <c r="M590" s="15"/>
    </row>
    <row r="591" spans="13:13" ht="12.75">
      <c r="M591" s="15"/>
    </row>
    <row r="592" spans="13:13" ht="12.75">
      <c r="M592" s="15"/>
    </row>
    <row r="593" spans="13:13" ht="12.75">
      <c r="M593" s="15"/>
    </row>
    <row r="594" spans="13:13" ht="12.75">
      <c r="M594" s="15"/>
    </row>
    <row r="595" spans="13:13" ht="12.75">
      <c r="M595" s="15"/>
    </row>
    <row r="596" spans="13:13" ht="12.75">
      <c r="M596" s="15"/>
    </row>
    <row r="597" spans="13:13" ht="12.75">
      <c r="M597" s="15"/>
    </row>
    <row r="598" spans="13:13" ht="12.75">
      <c r="M598" s="15"/>
    </row>
    <row r="599" spans="13:13" ht="12.75">
      <c r="M599" s="15"/>
    </row>
    <row r="600" spans="13:13" ht="12.75">
      <c r="M600" s="15"/>
    </row>
    <row r="601" spans="13:13" ht="12.75">
      <c r="M601" s="15"/>
    </row>
    <row r="602" spans="13:13" ht="12.75">
      <c r="M602" s="15"/>
    </row>
    <row r="603" spans="13:13" ht="12.75">
      <c r="M603" s="15"/>
    </row>
    <row r="604" spans="13:13" ht="12.75">
      <c r="M604" s="15"/>
    </row>
    <row r="605" spans="13:13" ht="12.75">
      <c r="M605" s="15"/>
    </row>
    <row r="606" spans="13:13" ht="12.75">
      <c r="M606" s="15"/>
    </row>
    <row r="607" spans="13:13" ht="12.75">
      <c r="M607" s="15"/>
    </row>
    <row r="608" spans="13:13" ht="12.75">
      <c r="M608" s="15"/>
    </row>
    <row r="609" spans="13:13" ht="12.75">
      <c r="M609" s="15"/>
    </row>
    <row r="610" spans="13:13" ht="12.75">
      <c r="M610" s="15"/>
    </row>
    <row r="611" spans="13:13" ht="12.75">
      <c r="M611" s="15"/>
    </row>
    <row r="612" spans="13:13" ht="12.75">
      <c r="M612" s="15"/>
    </row>
    <row r="613" spans="13:13" ht="12.75">
      <c r="M613" s="15"/>
    </row>
    <row r="614" spans="13:13" ht="12.75">
      <c r="M614" s="15"/>
    </row>
    <row r="615" spans="13:13" ht="12.75">
      <c r="M615" s="15"/>
    </row>
    <row r="616" spans="13:13" ht="12.75">
      <c r="M616" s="15"/>
    </row>
    <row r="617" spans="13:13" ht="12.75">
      <c r="M617" s="15"/>
    </row>
    <row r="618" spans="13:13" ht="12.75">
      <c r="M618" s="15"/>
    </row>
    <row r="619" spans="13:13" ht="12.75">
      <c r="M619" s="15"/>
    </row>
    <row r="620" spans="13:13" ht="12.75">
      <c r="M620" s="15"/>
    </row>
    <row r="621" spans="13:13" ht="12.75">
      <c r="M621" s="15"/>
    </row>
    <row r="622" spans="13:13" ht="12.75">
      <c r="M622" s="15"/>
    </row>
    <row r="623" spans="13:13" ht="12.75">
      <c r="M623" s="15"/>
    </row>
    <row r="624" spans="13:13" ht="12.75">
      <c r="M624" s="15"/>
    </row>
    <row r="625" spans="13:13" ht="12.75">
      <c r="M625" s="15"/>
    </row>
    <row r="626" spans="13:13" ht="12.75">
      <c r="M626" s="15"/>
    </row>
    <row r="627" spans="13:13" ht="12.75">
      <c r="M627" s="15"/>
    </row>
    <row r="628" spans="13:13" ht="12.75">
      <c r="M628" s="15"/>
    </row>
    <row r="629" spans="13:13" ht="12.75">
      <c r="M629" s="15"/>
    </row>
    <row r="630" spans="13:13" ht="12.75">
      <c r="M630" s="15"/>
    </row>
    <row r="631" spans="13:13" ht="12.75">
      <c r="M631" s="15"/>
    </row>
    <row r="632" spans="13:13" ht="12.75">
      <c r="M632" s="15"/>
    </row>
    <row r="633" spans="13:13" ht="12.75">
      <c r="M633" s="15"/>
    </row>
    <row r="634" spans="13:13" ht="12.75">
      <c r="M634" s="15"/>
    </row>
    <row r="635" spans="13:13" ht="12.75">
      <c r="M635" s="15"/>
    </row>
    <row r="636" spans="13:13" ht="12.75">
      <c r="M636" s="15"/>
    </row>
    <row r="637" spans="13:13" ht="12.75">
      <c r="M637" s="15"/>
    </row>
    <row r="638" spans="13:13" ht="12.75">
      <c r="M638" s="15"/>
    </row>
    <row r="639" spans="13:13" ht="12.75">
      <c r="M639" s="15"/>
    </row>
    <row r="640" spans="13:13" ht="12.75">
      <c r="M640" s="15"/>
    </row>
    <row r="641" spans="13:13" ht="12.75">
      <c r="M641" s="15"/>
    </row>
    <row r="642" spans="13:13" ht="12.75">
      <c r="M642" s="15"/>
    </row>
    <row r="643" spans="13:13" ht="12.75">
      <c r="M643" s="15"/>
    </row>
    <row r="644" spans="13:13" ht="12.75">
      <c r="M644" s="15"/>
    </row>
    <row r="645" spans="13:13" ht="12.75">
      <c r="M645" s="15"/>
    </row>
    <row r="646" spans="13:13" ht="12.75">
      <c r="M646" s="15"/>
    </row>
    <row r="647" spans="13:13" ht="12.75">
      <c r="M647" s="15"/>
    </row>
    <row r="648" spans="13:13" ht="12.75">
      <c r="M648" s="15"/>
    </row>
    <row r="649" spans="13:13" ht="12.75">
      <c r="M649" s="15"/>
    </row>
    <row r="650" spans="13:13" ht="12.75">
      <c r="M650" s="15"/>
    </row>
    <row r="651" spans="13:13" ht="12.75">
      <c r="M651" s="15"/>
    </row>
    <row r="652" spans="13:13" ht="12.75">
      <c r="M652" s="15"/>
    </row>
    <row r="653" spans="13:13" ht="12.75">
      <c r="M653" s="15"/>
    </row>
    <row r="654" spans="13:13" ht="12.75">
      <c r="M654" s="15"/>
    </row>
    <row r="655" spans="13:13" ht="12.75">
      <c r="M655" s="15"/>
    </row>
    <row r="656" spans="13:13" ht="12.75">
      <c r="M656" s="15"/>
    </row>
    <row r="657" spans="13:13" ht="12.75">
      <c r="M657" s="15"/>
    </row>
    <row r="658" spans="13:13" ht="12.75">
      <c r="M658" s="15"/>
    </row>
    <row r="659" spans="13:13" ht="12.75">
      <c r="M659" s="15"/>
    </row>
    <row r="660" spans="13:13" ht="12.75">
      <c r="M660" s="15"/>
    </row>
    <row r="661" spans="13:13" ht="12.75">
      <c r="M661" s="15"/>
    </row>
    <row r="662" spans="13:13" ht="12.75">
      <c r="M662" s="15"/>
    </row>
    <row r="663" spans="13:13" ht="12.75">
      <c r="M663" s="15"/>
    </row>
    <row r="664" spans="13:13" ht="12.75">
      <c r="M664" s="15"/>
    </row>
    <row r="665" spans="13:13" ht="12.75">
      <c r="M665" s="15"/>
    </row>
    <row r="666" spans="13:13" ht="12.75">
      <c r="M666" s="15"/>
    </row>
    <row r="667" spans="13:13" ht="12.75">
      <c r="M667" s="15"/>
    </row>
    <row r="668" spans="13:13" ht="12.75">
      <c r="M668" s="15"/>
    </row>
    <row r="669" spans="13:13" ht="12.75">
      <c r="M669" s="15"/>
    </row>
    <row r="670" spans="13:13" ht="12.75">
      <c r="M670" s="15"/>
    </row>
    <row r="671" spans="13:13" ht="12.75">
      <c r="M671" s="15"/>
    </row>
    <row r="672" spans="13:13" ht="12.75">
      <c r="M672" s="15"/>
    </row>
    <row r="673" spans="13:13" ht="12.75">
      <c r="M673" s="15"/>
    </row>
    <row r="674" spans="13:13" ht="12.75">
      <c r="M674" s="15"/>
    </row>
    <row r="675" spans="13:13" ht="12.75">
      <c r="M675" s="15"/>
    </row>
    <row r="676" spans="13:13" ht="12.75">
      <c r="M676" s="15"/>
    </row>
    <row r="677" spans="13:13" ht="12.75">
      <c r="M677" s="15"/>
    </row>
    <row r="678" spans="13:13" ht="12.75">
      <c r="M678" s="15"/>
    </row>
    <row r="679" spans="13:13" ht="12.75">
      <c r="M679" s="15"/>
    </row>
    <row r="680" spans="13:13" ht="12.75">
      <c r="M680" s="15"/>
    </row>
    <row r="681" spans="13:13" ht="12.75">
      <c r="M681" s="15"/>
    </row>
    <row r="682" spans="13:13" ht="12.75">
      <c r="M682" s="15"/>
    </row>
    <row r="683" spans="13:13" ht="12.75">
      <c r="M683" s="15"/>
    </row>
    <row r="684" spans="13:13" ht="12.75">
      <c r="M684" s="15"/>
    </row>
    <row r="685" spans="13:13" ht="12.75">
      <c r="M685" s="15"/>
    </row>
    <row r="686" spans="13:13" ht="12.75">
      <c r="M686" s="15"/>
    </row>
    <row r="687" spans="13:13" ht="12.75">
      <c r="M687" s="15"/>
    </row>
    <row r="688" spans="13:13" ht="12.75">
      <c r="M688" s="15"/>
    </row>
    <row r="689" spans="13:13" ht="12.75">
      <c r="M689" s="15"/>
    </row>
    <row r="690" spans="13:13" ht="12.75">
      <c r="M690" s="15"/>
    </row>
    <row r="691" spans="13:13" ht="12.75">
      <c r="M691" s="15"/>
    </row>
    <row r="692" spans="13:13" ht="12.75">
      <c r="M692" s="15"/>
    </row>
    <row r="693" spans="13:13" ht="12.75">
      <c r="M693" s="15"/>
    </row>
    <row r="694" spans="13:13" ht="12.75">
      <c r="M694" s="15"/>
    </row>
    <row r="695" spans="13:13" ht="12.75">
      <c r="M695" s="15"/>
    </row>
    <row r="696" spans="13:13" ht="12.75">
      <c r="M696" s="15"/>
    </row>
    <row r="697" spans="13:13" ht="12.75">
      <c r="M697" s="15"/>
    </row>
    <row r="698" spans="13:13" ht="12.75">
      <c r="M698" s="15"/>
    </row>
    <row r="699" spans="13:13" ht="12.75">
      <c r="M699" s="15"/>
    </row>
    <row r="700" spans="13:13" ht="12.75">
      <c r="M700" s="15"/>
    </row>
    <row r="701" spans="13:13" ht="12.75">
      <c r="M701" s="15"/>
    </row>
    <row r="702" spans="13:13" ht="12.75">
      <c r="M702" s="15"/>
    </row>
    <row r="703" spans="13:13" ht="12.75">
      <c r="M703" s="15"/>
    </row>
    <row r="704" spans="13:13" ht="12.75">
      <c r="M704" s="15"/>
    </row>
    <row r="705" spans="13:13" ht="12.75">
      <c r="M705" s="15"/>
    </row>
    <row r="706" spans="13:13" ht="12.75">
      <c r="M706" s="15"/>
    </row>
    <row r="707" spans="13:13" ht="12.75">
      <c r="M707" s="15"/>
    </row>
    <row r="708" spans="13:13" ht="12.75">
      <c r="M708" s="15"/>
    </row>
    <row r="709" spans="13:13" ht="12.75">
      <c r="M709" s="15"/>
    </row>
    <row r="710" spans="13:13" ht="12.75">
      <c r="M710" s="15"/>
    </row>
    <row r="711" spans="13:13" ht="12.75">
      <c r="M711" s="15"/>
    </row>
    <row r="712" spans="13:13" ht="12.75">
      <c r="M712" s="15"/>
    </row>
    <row r="713" spans="13:13" ht="12.75">
      <c r="M713" s="15"/>
    </row>
    <row r="714" spans="13:13" ht="12.75">
      <c r="M714" s="15"/>
    </row>
    <row r="715" spans="13:13" ht="12.75">
      <c r="M715" s="15"/>
    </row>
    <row r="716" spans="13:13" ht="12.75">
      <c r="M716" s="15"/>
    </row>
    <row r="717" spans="13:13" ht="12.75">
      <c r="M717" s="15"/>
    </row>
    <row r="718" spans="13:13" ht="12.75">
      <c r="M718" s="15"/>
    </row>
    <row r="719" spans="13:13" ht="12.75">
      <c r="M719" s="15"/>
    </row>
    <row r="720" spans="13:13" ht="12.75">
      <c r="M720" s="15"/>
    </row>
    <row r="721" spans="13:13" ht="12.75">
      <c r="M721" s="15"/>
    </row>
    <row r="722" spans="13:13" ht="12.75">
      <c r="M722" s="15"/>
    </row>
    <row r="723" spans="13:13" ht="12.75">
      <c r="M723" s="15"/>
    </row>
    <row r="724" spans="13:13" ht="12.75">
      <c r="M724" s="15"/>
    </row>
    <row r="725" spans="13:13" ht="12.75">
      <c r="M725" s="15"/>
    </row>
    <row r="726" spans="13:13" ht="12.75">
      <c r="M726" s="15"/>
    </row>
    <row r="727" spans="13:13" ht="12.75">
      <c r="M727" s="15"/>
    </row>
    <row r="728" spans="13:13" ht="12.75">
      <c r="M728" s="15"/>
    </row>
    <row r="729" spans="13:13" ht="12.75">
      <c r="M729" s="15"/>
    </row>
    <row r="730" spans="13:13" ht="12.75">
      <c r="M730" s="15"/>
    </row>
    <row r="731" spans="13:13" ht="12.75">
      <c r="M731" s="15"/>
    </row>
    <row r="732" spans="13:13" ht="12.75">
      <c r="M732" s="15"/>
    </row>
    <row r="733" spans="13:13" ht="12.75">
      <c r="M733" s="15"/>
    </row>
    <row r="734" spans="13:13" ht="12.75">
      <c r="M734" s="15"/>
    </row>
    <row r="735" spans="13:13" ht="12.75">
      <c r="M735" s="15"/>
    </row>
    <row r="736" spans="13:13" ht="12.75">
      <c r="M736" s="15"/>
    </row>
    <row r="737" spans="13:13" ht="12.75">
      <c r="M737" s="15"/>
    </row>
    <row r="738" spans="13:13" ht="12.75">
      <c r="M738" s="15"/>
    </row>
    <row r="739" spans="13:13" ht="12.75">
      <c r="M739" s="15"/>
    </row>
    <row r="740" spans="13:13" ht="12.75">
      <c r="M740" s="15"/>
    </row>
    <row r="741" spans="13:13" ht="12.75">
      <c r="M741" s="15"/>
    </row>
    <row r="742" spans="13:13" ht="12.75">
      <c r="M742" s="15"/>
    </row>
    <row r="743" spans="13:13" ht="12.75">
      <c r="M743" s="15"/>
    </row>
    <row r="744" spans="13:13" ht="12.75">
      <c r="M744" s="15"/>
    </row>
    <row r="745" spans="13:13" ht="12.75">
      <c r="M745" s="15"/>
    </row>
    <row r="746" spans="13:13" ht="12.75">
      <c r="M746" s="15"/>
    </row>
    <row r="747" spans="13:13" ht="12.75">
      <c r="M747" s="15"/>
    </row>
    <row r="748" spans="13:13" ht="12.75">
      <c r="M748" s="15"/>
    </row>
    <row r="749" spans="13:13" ht="12.75">
      <c r="M749" s="15"/>
    </row>
    <row r="750" spans="13:13" ht="12.75">
      <c r="M750" s="15"/>
    </row>
    <row r="751" spans="13:13" ht="12.75">
      <c r="M751" s="15"/>
    </row>
    <row r="752" spans="13:13" ht="12.75">
      <c r="M752" s="15"/>
    </row>
    <row r="753" spans="13:13" ht="12.75">
      <c r="M753" s="15"/>
    </row>
    <row r="754" spans="13:13" ht="12.75">
      <c r="M754" s="15"/>
    </row>
    <row r="755" spans="13:13" ht="12.75">
      <c r="M755" s="15"/>
    </row>
    <row r="756" spans="13:13" ht="12.75">
      <c r="M756" s="15"/>
    </row>
    <row r="757" spans="13:13" ht="12.75">
      <c r="M757" s="15"/>
    </row>
    <row r="758" spans="13:13" ht="12.75">
      <c r="M758" s="15"/>
    </row>
    <row r="759" spans="13:13" ht="12.75">
      <c r="M759" s="15"/>
    </row>
    <row r="760" spans="13:13" ht="12.75">
      <c r="M760" s="15"/>
    </row>
    <row r="761" spans="13:13" ht="12.75">
      <c r="M761" s="15"/>
    </row>
    <row r="762" spans="13:13" ht="12.75">
      <c r="M762" s="15"/>
    </row>
    <row r="763" spans="13:13" ht="12.75">
      <c r="M763" s="15"/>
    </row>
    <row r="764" spans="13:13" ht="12.75">
      <c r="M764" s="15"/>
    </row>
    <row r="765" spans="13:13" ht="12.75">
      <c r="M765" s="15"/>
    </row>
    <row r="766" spans="13:13" ht="12.75">
      <c r="M766" s="15"/>
    </row>
    <row r="767" spans="13:13" ht="12.75">
      <c r="M767" s="15"/>
    </row>
    <row r="768" spans="13:13" ht="12.75">
      <c r="M768" s="15"/>
    </row>
    <row r="769" spans="13:13" ht="12.75">
      <c r="M769" s="15"/>
    </row>
    <row r="770" spans="13:13" ht="12.75">
      <c r="M770" s="15"/>
    </row>
    <row r="771" spans="13:13" ht="12.75">
      <c r="M771" s="15"/>
    </row>
    <row r="772" spans="13:13" ht="12.75">
      <c r="M772" s="15"/>
    </row>
    <row r="773" spans="13:13" ht="12.75">
      <c r="M773" s="15"/>
    </row>
    <row r="774" spans="13:13" ht="12.75">
      <c r="M774" s="15"/>
    </row>
    <row r="775" spans="13:13" ht="12.75">
      <c r="M775" s="15"/>
    </row>
    <row r="776" spans="13:13" ht="12.75">
      <c r="M776" s="15"/>
    </row>
    <row r="777" spans="13:13" ht="12.75">
      <c r="M777" s="15"/>
    </row>
    <row r="778" spans="13:13" ht="12.75">
      <c r="M778" s="15"/>
    </row>
    <row r="779" spans="13:13" ht="12.75">
      <c r="M779" s="15"/>
    </row>
    <row r="780" spans="13:13" ht="12.75">
      <c r="M780" s="15"/>
    </row>
    <row r="781" spans="13:13" ht="12.75">
      <c r="M781" s="15"/>
    </row>
    <row r="782" spans="13:13" ht="12.75">
      <c r="M782" s="15"/>
    </row>
    <row r="783" spans="13:13" ht="12.75">
      <c r="M783" s="15"/>
    </row>
    <row r="784" spans="13:13" ht="12.75">
      <c r="M784" s="15"/>
    </row>
    <row r="785" spans="13:13" ht="12.75">
      <c r="M785" s="15"/>
    </row>
    <row r="786" spans="13:13" ht="12.75">
      <c r="M786" s="15"/>
    </row>
    <row r="787" spans="13:13" ht="12.75">
      <c r="M787" s="15"/>
    </row>
    <row r="788" spans="13:13" ht="12.75">
      <c r="M788" s="15"/>
    </row>
    <row r="789" spans="13:13" ht="12.75">
      <c r="M789" s="15"/>
    </row>
    <row r="790" spans="13:13" ht="12.75">
      <c r="M790" s="15"/>
    </row>
    <row r="791" spans="13:13" ht="12.75">
      <c r="M791" s="15"/>
    </row>
    <row r="792" spans="13:13" ht="12.75">
      <c r="M792" s="15"/>
    </row>
    <row r="793" spans="13:13" ht="12.75">
      <c r="M793" s="15"/>
    </row>
    <row r="794" spans="13:13" ht="12.75">
      <c r="M794" s="15"/>
    </row>
    <row r="795" spans="13:13" ht="12.75">
      <c r="M795" s="15"/>
    </row>
    <row r="796" spans="13:13" ht="12.75">
      <c r="M796" s="15"/>
    </row>
    <row r="797" spans="13:13" ht="12.75">
      <c r="M797" s="15"/>
    </row>
    <row r="798" spans="13:13" ht="12.75">
      <c r="M798" s="15"/>
    </row>
    <row r="799" spans="13:13" ht="12.75">
      <c r="M799" s="15"/>
    </row>
    <row r="800" spans="13:13" ht="12.75">
      <c r="M800" s="15"/>
    </row>
    <row r="801" spans="13:13" ht="12.75">
      <c r="M801" s="15"/>
    </row>
    <row r="802" spans="13:13" ht="12.75">
      <c r="M802" s="15"/>
    </row>
    <row r="803" spans="13:13" ht="12.75">
      <c r="M803" s="15"/>
    </row>
    <row r="804" spans="13:13" ht="12.75">
      <c r="M804" s="15"/>
    </row>
    <row r="805" spans="13:13" ht="12.75">
      <c r="M805" s="15"/>
    </row>
    <row r="806" spans="13:13" ht="12.75">
      <c r="M806" s="15"/>
    </row>
    <row r="807" spans="13:13" ht="12.75">
      <c r="M807" s="15"/>
    </row>
    <row r="808" spans="13:13" ht="12.75">
      <c r="M808" s="15"/>
    </row>
    <row r="809" spans="13:13" ht="12.75">
      <c r="M809" s="15"/>
    </row>
    <row r="810" spans="13:13" ht="12.75">
      <c r="M810" s="15"/>
    </row>
    <row r="811" spans="13:13" ht="12.75">
      <c r="M811" s="15"/>
    </row>
    <row r="812" spans="13:13" ht="12.75">
      <c r="M812" s="15"/>
    </row>
    <row r="813" spans="13:13" ht="12.75">
      <c r="M813" s="15"/>
    </row>
    <row r="814" spans="13:13" ht="12.75">
      <c r="M814" s="15"/>
    </row>
    <row r="815" spans="13:13" ht="12.75">
      <c r="M815" s="15"/>
    </row>
    <row r="816" spans="13:13" ht="12.75">
      <c r="M816" s="15"/>
    </row>
    <row r="817" spans="13:13" ht="12.75">
      <c r="M817" s="15"/>
    </row>
    <row r="818" spans="13:13" ht="12.75">
      <c r="M818" s="15"/>
    </row>
    <row r="819" spans="13:13" ht="12.75">
      <c r="M819" s="15"/>
    </row>
    <row r="820" spans="13:13" ht="12.75">
      <c r="M820" s="15"/>
    </row>
    <row r="821" spans="13:13" ht="12.75">
      <c r="M821" s="15"/>
    </row>
    <row r="822" spans="13:13" ht="12.75">
      <c r="M822" s="15"/>
    </row>
    <row r="823" spans="13:13" ht="12.75">
      <c r="M823" s="15"/>
    </row>
    <row r="824" spans="13:13" ht="12.75">
      <c r="M824" s="15"/>
    </row>
    <row r="825" spans="13:13" ht="12.75">
      <c r="M825" s="15"/>
    </row>
    <row r="826" spans="13:13" ht="12.75">
      <c r="M826" s="15"/>
    </row>
    <row r="827" spans="13:13" ht="12.75">
      <c r="M827" s="15"/>
    </row>
    <row r="828" spans="13:13" ht="12.75">
      <c r="M828" s="15"/>
    </row>
    <row r="829" spans="13:13" ht="12.75">
      <c r="M829" s="15"/>
    </row>
    <row r="830" spans="13:13" ht="12.75">
      <c r="M830" s="15"/>
    </row>
    <row r="831" spans="13:13" ht="12.75">
      <c r="M831" s="15"/>
    </row>
    <row r="832" spans="13:13" ht="12.75">
      <c r="M832" s="15"/>
    </row>
    <row r="833" spans="13:13" ht="12.75">
      <c r="M833" s="15"/>
    </row>
    <row r="834" spans="13:13" ht="12.75">
      <c r="M834" s="15"/>
    </row>
    <row r="835" spans="13:13" ht="12.75">
      <c r="M835" s="15"/>
    </row>
    <row r="836" spans="13:13" ht="12.75">
      <c r="M836" s="15"/>
    </row>
    <row r="837" spans="13:13" ht="12.75">
      <c r="M837" s="15"/>
    </row>
    <row r="838" spans="13:13" ht="12.75">
      <c r="M838" s="15"/>
    </row>
    <row r="839" spans="13:13" ht="12.75">
      <c r="M839" s="15"/>
    </row>
    <row r="840" spans="13:13" ht="12.75">
      <c r="M840" s="15"/>
    </row>
    <row r="841" spans="13:13" ht="12.75">
      <c r="M841" s="15"/>
    </row>
    <row r="842" spans="13:13" ht="12.75">
      <c r="M842" s="15"/>
    </row>
    <row r="843" spans="13:13" ht="12.75">
      <c r="M843" s="15"/>
    </row>
    <row r="844" spans="13:13" ht="12.75">
      <c r="M844" s="15"/>
    </row>
    <row r="845" spans="13:13" ht="12.75">
      <c r="M845" s="15"/>
    </row>
    <row r="846" spans="13:13" ht="12.75">
      <c r="M846" s="15"/>
    </row>
    <row r="847" spans="13:13" ht="12.75">
      <c r="M847" s="15"/>
    </row>
    <row r="848" spans="13:13" ht="12.75">
      <c r="M848" s="15"/>
    </row>
    <row r="849" spans="13:13" ht="12.75">
      <c r="M849" s="15"/>
    </row>
    <row r="850" spans="13:13" ht="12.75">
      <c r="M850" s="15"/>
    </row>
    <row r="851" spans="13:13" ht="12.75">
      <c r="M851" s="15"/>
    </row>
    <row r="852" spans="13:13" ht="12.75">
      <c r="M852" s="15"/>
    </row>
    <row r="853" spans="13:13" ht="12.75">
      <c r="M853" s="15"/>
    </row>
    <row r="854" spans="13:13" ht="12.75">
      <c r="M854" s="15"/>
    </row>
    <row r="855" spans="13:13" ht="12.75">
      <c r="M855" s="15"/>
    </row>
    <row r="856" spans="13:13" ht="12.75">
      <c r="M856" s="15"/>
    </row>
    <row r="857" spans="13:13" ht="12.75">
      <c r="M857" s="15"/>
    </row>
    <row r="858" spans="13:13" ht="12.75">
      <c r="M858" s="15"/>
    </row>
    <row r="859" spans="13:13" ht="12.75">
      <c r="M859" s="15"/>
    </row>
    <row r="860" spans="13:13" ht="12.75">
      <c r="M860" s="15"/>
    </row>
    <row r="861" spans="13:13" ht="12.75">
      <c r="M861" s="15"/>
    </row>
    <row r="862" spans="13:13" ht="12.75">
      <c r="M862" s="15"/>
    </row>
    <row r="863" spans="13:13" ht="12.75">
      <c r="M863" s="15"/>
    </row>
    <row r="864" spans="13:13" ht="12.75">
      <c r="M864" s="15"/>
    </row>
    <row r="865" spans="13:13" ht="12.75">
      <c r="M865" s="15"/>
    </row>
    <row r="866" spans="13:13" ht="12.75">
      <c r="M866" s="15"/>
    </row>
    <row r="867" spans="13:13" ht="12.75">
      <c r="M867" s="15"/>
    </row>
    <row r="868" spans="13:13" ht="12.75">
      <c r="M868" s="15"/>
    </row>
    <row r="869" spans="13:13" ht="12.75">
      <c r="M869" s="15"/>
    </row>
    <row r="870" spans="13:13" ht="12.75">
      <c r="M870" s="15"/>
    </row>
    <row r="871" spans="13:13" ht="12.75">
      <c r="M871" s="15"/>
    </row>
    <row r="872" spans="13:13" ht="12.75">
      <c r="M872" s="15"/>
    </row>
    <row r="873" spans="13:13" ht="12.75">
      <c r="M873" s="15"/>
    </row>
    <row r="874" spans="13:13" ht="12.75">
      <c r="M874" s="15"/>
    </row>
    <row r="875" spans="13:13" ht="12.75">
      <c r="M875" s="15"/>
    </row>
    <row r="876" spans="13:13" ht="12.75">
      <c r="M876" s="15"/>
    </row>
    <row r="877" spans="13:13" ht="12.75">
      <c r="M877" s="15"/>
    </row>
    <row r="878" spans="13:13" ht="12.75">
      <c r="M878" s="15"/>
    </row>
    <row r="879" spans="13:13" ht="12.75">
      <c r="M879" s="15"/>
    </row>
    <row r="880" spans="13:13" ht="12.75">
      <c r="M880" s="15"/>
    </row>
    <row r="881" spans="13:13" ht="12.75">
      <c r="M881" s="15"/>
    </row>
    <row r="882" spans="13:13" ht="12.75">
      <c r="M882" s="15"/>
    </row>
    <row r="883" spans="13:13" ht="12.75">
      <c r="M883" s="15"/>
    </row>
    <row r="884" spans="13:13" ht="12.75">
      <c r="M884" s="15"/>
    </row>
    <row r="885" spans="13:13" ht="12.75">
      <c r="M885" s="15"/>
    </row>
    <row r="886" spans="13:13" ht="12.75">
      <c r="M886" s="15"/>
    </row>
    <row r="887" spans="13:13" ht="12.75">
      <c r="M887" s="15"/>
    </row>
    <row r="888" spans="13:13" ht="12.75">
      <c r="M888" s="15"/>
    </row>
    <row r="889" spans="13:13" ht="12.75">
      <c r="M889" s="15"/>
    </row>
    <row r="890" spans="13:13" ht="12.75">
      <c r="M890" s="15"/>
    </row>
    <row r="891" spans="13:13" ht="12.75">
      <c r="M891" s="15"/>
    </row>
    <row r="892" spans="13:13" ht="12.75">
      <c r="M892" s="15"/>
    </row>
    <row r="893" spans="13:13" ht="12.75">
      <c r="M893" s="15"/>
    </row>
    <row r="894" spans="13:13" ht="12.75">
      <c r="M894" s="15"/>
    </row>
    <row r="895" spans="13:13" ht="12.75">
      <c r="M895" s="15"/>
    </row>
    <row r="896" spans="13:13" ht="12.75">
      <c r="M896" s="15"/>
    </row>
    <row r="897" spans="13:13" ht="12.75">
      <c r="M897" s="15"/>
    </row>
    <row r="898" spans="13:13" ht="12.75">
      <c r="M898" s="15"/>
    </row>
    <row r="899" spans="13:13" ht="12.75">
      <c r="M899" s="15"/>
    </row>
    <row r="900" spans="13:13" ht="12.75">
      <c r="M900" s="15"/>
    </row>
    <row r="901" spans="13:13" ht="12.75">
      <c r="M901" s="15"/>
    </row>
    <row r="902" spans="13:13" ht="12.75">
      <c r="M902" s="15"/>
    </row>
    <row r="903" spans="13:13" ht="12.75">
      <c r="M903" s="15"/>
    </row>
    <row r="904" spans="13:13" ht="12.75">
      <c r="M904" s="15"/>
    </row>
    <row r="905" spans="13:13" ht="12.75">
      <c r="M905" s="15"/>
    </row>
    <row r="906" spans="13:13" ht="12.75">
      <c r="M906" s="15"/>
    </row>
    <row r="907" spans="13:13" ht="12.75">
      <c r="M907" s="15"/>
    </row>
    <row r="908" spans="13:13" ht="12.75">
      <c r="M908" s="15"/>
    </row>
    <row r="909" spans="13:13" ht="12.75">
      <c r="M909" s="15"/>
    </row>
    <row r="910" spans="13:13" ht="12.75">
      <c r="M910" s="15"/>
    </row>
    <row r="911" spans="13:13" ht="12.75">
      <c r="M911" s="15"/>
    </row>
    <row r="912" spans="13:13" ht="12.75">
      <c r="M912" s="15"/>
    </row>
    <row r="913" spans="13:13" ht="12.75">
      <c r="M913" s="15"/>
    </row>
    <row r="914" spans="13:13" ht="12.75">
      <c r="M914" s="15"/>
    </row>
    <row r="915" spans="13:13" ht="12.75">
      <c r="M915" s="15"/>
    </row>
    <row r="916" spans="13:13" ht="12.75">
      <c r="M916" s="15"/>
    </row>
    <row r="917" spans="13:13" ht="12.75">
      <c r="M917" s="15"/>
    </row>
    <row r="918" spans="13:13" ht="12.75">
      <c r="M918" s="15"/>
    </row>
    <row r="919" spans="13:13" ht="12.75">
      <c r="M919" s="15"/>
    </row>
    <row r="920" spans="13:13" ht="12.75">
      <c r="M920" s="15"/>
    </row>
    <row r="921" spans="13:13" ht="12.75">
      <c r="M921" s="15"/>
    </row>
    <row r="922" spans="13:13" ht="12.75">
      <c r="M922" s="15"/>
    </row>
    <row r="923" spans="13:13" ht="12.75">
      <c r="M923" s="15"/>
    </row>
    <row r="924" spans="13:13" ht="12.75">
      <c r="M924" s="15"/>
    </row>
    <row r="925" spans="13:13" ht="12.75">
      <c r="M925" s="15"/>
    </row>
    <row r="926" spans="13:13" ht="12.75">
      <c r="M926" s="15"/>
    </row>
    <row r="927" spans="13:13" ht="12.75">
      <c r="M927" s="15"/>
    </row>
    <row r="928" spans="13:13" ht="12.75">
      <c r="M928" s="15"/>
    </row>
    <row r="929" spans="13:13" ht="12.75">
      <c r="M929" s="15"/>
    </row>
    <row r="930" spans="13:13" ht="12.75">
      <c r="M930" s="15"/>
    </row>
    <row r="931" spans="13:13" ht="12.75">
      <c r="M931" s="15"/>
    </row>
    <row r="932" spans="13:13" ht="12.75">
      <c r="M932" s="15"/>
    </row>
    <row r="933" spans="13:13" ht="12.75">
      <c r="M933" s="15"/>
    </row>
    <row r="934" spans="13:13" ht="12.75">
      <c r="M934" s="15"/>
    </row>
    <row r="935" spans="13:13" ht="12.75">
      <c r="M935" s="15"/>
    </row>
    <row r="936" spans="13:13" ht="12.75">
      <c r="M936" s="15"/>
    </row>
    <row r="937" spans="13:13" ht="12.75">
      <c r="M937" s="15"/>
    </row>
    <row r="938" spans="13:13" ht="12.75">
      <c r="M938" s="15"/>
    </row>
    <row r="939" spans="13:13" ht="12.75">
      <c r="M939" s="15"/>
    </row>
    <row r="940" spans="13:13" ht="12.75">
      <c r="M940" s="15"/>
    </row>
    <row r="941" spans="13:13" ht="12.75">
      <c r="M941" s="15"/>
    </row>
    <row r="942" spans="13:13" ht="12.75">
      <c r="M942" s="15"/>
    </row>
    <row r="943" spans="13:13" ht="12.75">
      <c r="M943" s="15"/>
    </row>
    <row r="944" spans="13:13" ht="12.75">
      <c r="M944" s="15"/>
    </row>
    <row r="945" spans="13:13" ht="12.75">
      <c r="M945" s="15"/>
    </row>
    <row r="946" spans="13:13" ht="12.75">
      <c r="M946" s="15"/>
    </row>
    <row r="947" spans="13:13" ht="12.75">
      <c r="M947" s="15"/>
    </row>
    <row r="948" spans="13:13" ht="12.75">
      <c r="M948" s="15"/>
    </row>
    <row r="949" spans="13:13" ht="12.75">
      <c r="M949" s="15"/>
    </row>
    <row r="950" spans="13:13" ht="12.75">
      <c r="M950" s="15"/>
    </row>
    <row r="951" spans="13:13" ht="12.75">
      <c r="M951" s="15"/>
    </row>
    <row r="952" spans="13:13" ht="12.75">
      <c r="M952" s="15"/>
    </row>
    <row r="953" spans="13:13" ht="12.75">
      <c r="M953" s="15"/>
    </row>
    <row r="954" spans="13:13" ht="12.75">
      <c r="M954" s="15"/>
    </row>
    <row r="955" spans="13:13" ht="12.75">
      <c r="M955" s="15"/>
    </row>
    <row r="956" spans="13:13" ht="12.75">
      <c r="M956" s="15"/>
    </row>
    <row r="957" spans="13:13" ht="12.75">
      <c r="M957" s="15"/>
    </row>
    <row r="958" spans="13:13" ht="12.75">
      <c r="M958" s="15"/>
    </row>
    <row r="959" spans="13:13" ht="12.75">
      <c r="M959" s="15"/>
    </row>
    <row r="960" spans="13:13" ht="12.75">
      <c r="M960" s="15"/>
    </row>
    <row r="961" spans="13:13" ht="12.75">
      <c r="M961" s="15"/>
    </row>
    <row r="962" spans="13:13" ht="12.75">
      <c r="M962" s="15"/>
    </row>
    <row r="963" spans="13:13" ht="12.75">
      <c r="M963" s="15"/>
    </row>
    <row r="964" spans="13:13" ht="12.75">
      <c r="M964" s="15"/>
    </row>
    <row r="965" spans="13:13" ht="12.75">
      <c r="M965" s="15"/>
    </row>
    <row r="966" spans="13:13" ht="12.75">
      <c r="M966" s="15"/>
    </row>
    <row r="967" spans="13:13" ht="12.75">
      <c r="M967" s="15"/>
    </row>
    <row r="968" spans="13:13" ht="12.75">
      <c r="M968" s="15"/>
    </row>
    <row r="969" spans="13:13" ht="12.75">
      <c r="M969" s="15"/>
    </row>
    <row r="970" spans="13:13" ht="12.75">
      <c r="M970" s="15"/>
    </row>
    <row r="971" spans="13:13" ht="12.75">
      <c r="M971" s="15"/>
    </row>
    <row r="972" spans="13:13" ht="12.75">
      <c r="M972" s="15"/>
    </row>
    <row r="973" spans="13:13" ht="12.75">
      <c r="M973" s="15"/>
    </row>
    <row r="974" spans="13:13" ht="12.75">
      <c r="M974" s="15"/>
    </row>
    <row r="975" spans="13:13" ht="12.75">
      <c r="M975" s="15"/>
    </row>
    <row r="976" spans="13:13" ht="12.75">
      <c r="M976" s="15"/>
    </row>
    <row r="977" spans="13:13" ht="12.75">
      <c r="M977" s="15"/>
    </row>
    <row r="978" spans="13:13" ht="12.75">
      <c r="M978" s="15"/>
    </row>
    <row r="979" spans="13:13" ht="12.75">
      <c r="M979" s="15"/>
    </row>
    <row r="980" spans="13:13" ht="12.75">
      <c r="M980" s="15"/>
    </row>
    <row r="981" spans="13:13" ht="12.75">
      <c r="M981" s="15"/>
    </row>
    <row r="982" spans="13:13" ht="12.75">
      <c r="M982" s="15"/>
    </row>
    <row r="983" spans="13:13" ht="12.75">
      <c r="M983" s="15"/>
    </row>
    <row r="984" spans="13:13" ht="12.75">
      <c r="M984" s="15"/>
    </row>
    <row r="985" spans="13:13" ht="12.75">
      <c r="M985" s="15"/>
    </row>
    <row r="986" spans="13:13" ht="12.75">
      <c r="M986" s="15"/>
    </row>
    <row r="987" spans="13:13" ht="12.75">
      <c r="M987" s="15"/>
    </row>
    <row r="988" spans="13:13" ht="12.75">
      <c r="M988" s="15"/>
    </row>
    <row r="989" spans="13:13" ht="12.75">
      <c r="M989" s="15"/>
    </row>
    <row r="990" spans="13:13" ht="12.75">
      <c r="M990" s="15"/>
    </row>
    <row r="991" spans="13:13" ht="12.75">
      <c r="M991" s="15"/>
    </row>
    <row r="992" spans="13:13" ht="12.75">
      <c r="M992" s="15"/>
    </row>
    <row r="993" spans="13:13" ht="12.75">
      <c r="M993" s="15"/>
    </row>
    <row r="994" spans="13:13" ht="12.75">
      <c r="M994" s="15"/>
    </row>
    <row r="995" spans="13:13" ht="12.75">
      <c r="M995" s="15"/>
    </row>
    <row r="996" spans="13:13" ht="12.75">
      <c r="M996" s="15"/>
    </row>
    <row r="997" spans="13:13" ht="12.75">
      <c r="M997" s="15"/>
    </row>
    <row r="998" spans="13:13" ht="12.75">
      <c r="M998" s="15"/>
    </row>
    <row r="999" spans="13:13" ht="12.75">
      <c r="M999" s="15"/>
    </row>
    <row r="1000" spans="13:13" ht="12.75">
      <c r="M1000" s="15"/>
    </row>
    <row r="1001" spans="13:13" ht="12.75">
      <c r="M1001" s="15"/>
    </row>
    <row r="1002" spans="13:13" ht="12.75">
      <c r="M1002" s="15"/>
    </row>
    <row r="1003" spans="13:13" ht="12.75">
      <c r="M1003" s="15"/>
    </row>
  </sheetData>
  <mergeCells count="14">
    <mergeCell ref="E15:L15"/>
    <mergeCell ref="E19:L19"/>
    <mergeCell ref="A1:A2"/>
    <mergeCell ref="B1:C2"/>
    <mergeCell ref="E2:L2"/>
    <mergeCell ref="A3:A4"/>
    <mergeCell ref="B3:C4"/>
    <mergeCell ref="D3:D6"/>
    <mergeCell ref="B5:C6"/>
    <mergeCell ref="A5:A6"/>
    <mergeCell ref="A7:A8"/>
    <mergeCell ref="B7:C8"/>
    <mergeCell ref="D7:D10"/>
    <mergeCell ref="E11:L11"/>
  </mergeCells>
  <conditionalFormatting sqref="H3 F3 J3 L3">
    <cfRule type="colorScale" priority="1">
      <colorScale>
        <cfvo type="formula" val="0"/>
        <cfvo type="max"/>
        <color rgb="FFEA9999"/>
        <color rgb="FF57BB8A"/>
      </colorScale>
    </cfRule>
  </conditionalFormatting>
  <conditionalFormatting sqref="F4 H4 J4 L4">
    <cfRule type="colorScale" priority="2">
      <colorScale>
        <cfvo type="formula" val="0"/>
        <cfvo type="max"/>
        <color rgb="FFEA9999"/>
        <color rgb="FF57BB8A"/>
      </colorScale>
    </cfRule>
  </conditionalFormatting>
  <conditionalFormatting sqref="F5 H5 J5 L5">
    <cfRule type="colorScale" priority="3">
      <colorScale>
        <cfvo type="formula" val="0"/>
        <cfvo type="max"/>
        <color rgb="FFEA9999"/>
        <color rgb="FF57BB8A"/>
      </colorScale>
    </cfRule>
  </conditionalFormatting>
  <conditionalFormatting sqref="F6 H6 J6 L6">
    <cfRule type="colorScale" priority="4">
      <colorScale>
        <cfvo type="formula" val="0"/>
        <cfvo type="max"/>
        <color rgb="FFEA9999"/>
        <color rgb="FF57BB8A"/>
      </colorScale>
    </cfRule>
  </conditionalFormatting>
  <conditionalFormatting sqref="F7 H7 J7 L7">
    <cfRule type="colorScale" priority="5">
      <colorScale>
        <cfvo type="formula" val="0"/>
        <cfvo type="max"/>
        <color rgb="FFEA9999"/>
        <color rgb="FF57BB8A"/>
      </colorScale>
    </cfRule>
  </conditionalFormatting>
  <conditionalFormatting sqref="H8 F8 J8 L8">
    <cfRule type="colorScale" priority="6">
      <colorScale>
        <cfvo type="formula" val="0"/>
        <cfvo type="max"/>
        <color rgb="FFEA9999"/>
        <color rgb="FF57BB8A"/>
      </colorScale>
    </cfRule>
  </conditionalFormatting>
  <conditionalFormatting sqref="F9 H9 J9 L9">
    <cfRule type="colorScale" priority="7">
      <colorScale>
        <cfvo type="formula" val="0"/>
        <cfvo type="max"/>
        <color rgb="FFEA9999"/>
        <color rgb="FF57BB8A"/>
      </colorScale>
    </cfRule>
  </conditionalFormatting>
  <conditionalFormatting sqref="F10 H10 J10 L10">
    <cfRule type="colorScale" priority="8">
      <colorScale>
        <cfvo type="formula" val="0"/>
        <cfvo type="max"/>
        <color rgb="FFEA9999"/>
        <color rgb="FF57BB8A"/>
      </colorScale>
    </cfRule>
  </conditionalFormatting>
  <conditionalFormatting sqref="H12 F12 J12 L12">
    <cfRule type="colorScale" priority="15">
      <colorScale>
        <cfvo type="formula" val="0"/>
        <cfvo type="max"/>
        <color rgb="FFE67C73"/>
        <color rgb="FF57BB8A"/>
      </colorScale>
    </cfRule>
  </conditionalFormatting>
  <conditionalFormatting sqref="H13 F13 J13 L13">
    <cfRule type="colorScale" priority="9">
      <colorScale>
        <cfvo type="formula" val="0"/>
        <cfvo type="max"/>
        <color rgb="FFEA9999"/>
        <color rgb="FF57BB8A"/>
      </colorScale>
    </cfRule>
  </conditionalFormatting>
  <conditionalFormatting sqref="H14 F14 J14 L14">
    <cfRule type="colorScale" priority="10">
      <colorScale>
        <cfvo type="formula" val="0"/>
        <cfvo type="max"/>
        <color rgb="FFEA9999"/>
        <color rgb="FF57BB8A"/>
      </colorScale>
    </cfRule>
  </conditionalFormatting>
  <conditionalFormatting sqref="H17 F17 J17 L17">
    <cfRule type="colorScale" priority="11">
      <colorScale>
        <cfvo type="formula" val="0"/>
        <cfvo type="max"/>
        <color rgb="FFEA9999"/>
        <color rgb="FF57BB8A"/>
      </colorScale>
    </cfRule>
  </conditionalFormatting>
  <conditionalFormatting sqref="H18 F18 J18 L18">
    <cfRule type="colorScale" priority="12">
      <colorScale>
        <cfvo type="formula" val="0"/>
        <cfvo type="max"/>
        <color rgb="FFEA9999"/>
        <color rgb="FF57BB8A"/>
      </colorScale>
    </cfRule>
  </conditionalFormatting>
  <conditionalFormatting sqref="H20 F20 J20 L20">
    <cfRule type="colorScale" priority="13">
      <colorScale>
        <cfvo type="formula" val="0"/>
        <cfvo type="max"/>
        <color rgb="FFEA9999"/>
        <color rgb="FF57BB8A"/>
      </colorScale>
    </cfRule>
  </conditionalFormatting>
  <conditionalFormatting sqref="H21 F21 J21 L21">
    <cfRule type="colorScale" priority="14">
      <colorScale>
        <cfvo type="formula" val="0"/>
        <cfvo type="max"/>
        <color rgb="FFEA9999"/>
        <color rgb="FF57BB8A"/>
      </colorScale>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300-000000000000}">
          <x14:formula1>
            <xm:f>'TEAM NAME AND NUMBER'!$D$2:$D1003</xm:f>
          </x14:formula1>
          <xm:sqref>B1 B3 B5 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FF"/>
    <outlinePr summaryBelow="0" summaryRight="0"/>
  </sheetPr>
  <dimension ref="A1:BC1000"/>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2.5703125" defaultRowHeight="15.75" customHeight="1"/>
  <cols>
    <col min="1" max="1" width="11.42578125" customWidth="1"/>
    <col min="2" max="2" width="19.42578125" customWidth="1"/>
    <col min="3" max="3" width="4.85546875" customWidth="1"/>
    <col min="4" max="4" width="3.140625" customWidth="1"/>
    <col min="5" max="5" width="13.85546875" customWidth="1"/>
    <col min="6" max="6" width="8.42578125" customWidth="1"/>
    <col min="7" max="7" width="10.140625" customWidth="1"/>
    <col min="8" max="8" width="11.140625" customWidth="1"/>
    <col min="9" max="9" width="10.42578125" customWidth="1"/>
    <col min="10" max="11" width="11.140625" customWidth="1"/>
    <col min="12" max="12" width="16.42578125" customWidth="1"/>
    <col min="13" max="13" width="14.42578125" customWidth="1"/>
    <col min="14" max="14" width="12.85546875" customWidth="1"/>
    <col min="15" max="15" width="21" customWidth="1"/>
    <col min="16" max="16" width="11.28515625" customWidth="1"/>
    <col min="17" max="17" width="12" customWidth="1"/>
    <col min="18" max="18" width="8.42578125" customWidth="1"/>
    <col min="19" max="20" width="9.7109375" customWidth="1"/>
    <col min="21" max="21" width="16.42578125" customWidth="1"/>
    <col min="22" max="22" width="14" customWidth="1"/>
    <col min="23" max="23" width="9.7109375" customWidth="1"/>
    <col min="24" max="24" width="17.28515625" customWidth="1"/>
    <col min="25" max="25" width="17" customWidth="1"/>
    <col min="26" max="26" width="19.85546875" customWidth="1"/>
    <col min="27" max="28" width="19.7109375" customWidth="1"/>
    <col min="29" max="29" width="20.140625" customWidth="1"/>
    <col min="30" max="55" width="13.42578125" customWidth="1"/>
  </cols>
  <sheetData>
    <row r="1" spans="1:55" ht="31.5" customHeight="1">
      <c r="A1" s="195" t="s">
        <v>0</v>
      </c>
      <c r="B1" s="166"/>
      <c r="C1" s="159"/>
      <c r="D1" s="15"/>
      <c r="E1" s="92" t="s">
        <v>51</v>
      </c>
      <c r="F1" s="196" t="s">
        <v>37</v>
      </c>
      <c r="G1" s="166"/>
      <c r="H1" s="166"/>
      <c r="I1" s="166"/>
      <c r="J1" s="166"/>
      <c r="K1" s="166"/>
      <c r="L1" s="166"/>
      <c r="M1" s="166"/>
      <c r="N1" s="166"/>
      <c r="O1" s="159"/>
      <c r="P1" s="197" t="s">
        <v>25</v>
      </c>
      <c r="Q1" s="166"/>
      <c r="R1" s="166"/>
      <c r="S1" s="166"/>
      <c r="T1" s="166"/>
      <c r="U1" s="166"/>
      <c r="V1" s="166"/>
      <c r="W1" s="166"/>
      <c r="X1" s="166"/>
      <c r="Y1" s="166"/>
      <c r="Z1" s="166"/>
      <c r="AA1" s="198" t="s">
        <v>38</v>
      </c>
      <c r="AB1" s="166"/>
      <c r="AC1" s="166"/>
      <c r="AD1" s="56"/>
      <c r="AE1" s="56"/>
      <c r="AF1" s="56"/>
      <c r="AG1" s="56"/>
      <c r="AH1" s="56"/>
      <c r="AI1" s="56"/>
      <c r="AJ1" s="56"/>
      <c r="AK1" s="56"/>
      <c r="AL1" s="56"/>
      <c r="AM1" s="56"/>
      <c r="AN1" s="56"/>
      <c r="AO1" s="56"/>
      <c r="AP1" s="56"/>
      <c r="AQ1" s="56"/>
      <c r="AR1" s="56"/>
      <c r="AS1" s="56"/>
      <c r="AT1" s="56"/>
      <c r="AU1" s="56"/>
      <c r="AV1" s="56"/>
      <c r="AW1" s="56"/>
      <c r="AX1" s="56"/>
      <c r="AY1" s="56"/>
      <c r="AZ1" s="56"/>
      <c r="BA1" s="56"/>
      <c r="BB1" s="56"/>
      <c r="BC1" s="56"/>
    </row>
    <row r="2" spans="1:55" ht="25.5">
      <c r="A2" s="93" t="s">
        <v>104</v>
      </c>
      <c r="B2" s="93" t="s">
        <v>105</v>
      </c>
      <c r="C2" s="93" t="s">
        <v>106</v>
      </c>
      <c r="D2" s="94"/>
      <c r="E2" s="95" t="s">
        <v>33</v>
      </c>
      <c r="F2" s="96" t="s">
        <v>54</v>
      </c>
      <c r="G2" s="97" t="s">
        <v>107</v>
      </c>
      <c r="H2" s="98" t="s">
        <v>108</v>
      </c>
      <c r="I2" s="98" t="s">
        <v>109</v>
      </c>
      <c r="J2" s="98" t="s">
        <v>110</v>
      </c>
      <c r="K2" s="98" t="s">
        <v>111</v>
      </c>
      <c r="L2" s="99" t="s">
        <v>112</v>
      </c>
      <c r="M2" s="100" t="s">
        <v>113</v>
      </c>
      <c r="N2" s="101" t="s">
        <v>114</v>
      </c>
      <c r="O2" s="102" t="s">
        <v>115</v>
      </c>
      <c r="P2" s="103" t="s">
        <v>107</v>
      </c>
      <c r="Q2" s="104" t="s">
        <v>108</v>
      </c>
      <c r="R2" s="105" t="s">
        <v>109</v>
      </c>
      <c r="S2" s="106" t="s">
        <v>110</v>
      </c>
      <c r="T2" s="106" t="s">
        <v>111</v>
      </c>
      <c r="U2" s="105" t="s">
        <v>112</v>
      </c>
      <c r="V2" s="105" t="s">
        <v>113</v>
      </c>
      <c r="W2" s="105" t="s">
        <v>114</v>
      </c>
      <c r="X2" s="105" t="s">
        <v>115</v>
      </c>
      <c r="Y2" s="107" t="s">
        <v>116</v>
      </c>
      <c r="Z2" s="107" t="s">
        <v>117</v>
      </c>
      <c r="AA2" s="108" t="s">
        <v>118</v>
      </c>
      <c r="AB2" s="108" t="s">
        <v>119</v>
      </c>
      <c r="AC2" s="109" t="s">
        <v>120</v>
      </c>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row>
    <row r="3" spans="1:55" ht="12.75">
      <c r="A3" s="30">
        <f ca="1">IFERROR(__xludf.DUMMYFUNCTION("QUERY('TEAM NAME AND NUMBER'!D2:E1000)"),2181)</f>
        <v>2181</v>
      </c>
      <c r="B3" s="6" t="str">
        <f ca="1">IFERROR(__xludf.DUMMYFUNCTION("""COMPUTED_VALUE"""),"GEARS")</f>
        <v>GEARS</v>
      </c>
      <c r="C3" s="30" t="str">
        <f ca="1">IFERROR(__xludf.DUMMYFUNCTION("FILTER('TEAM RANKING'!$A:$A,'TEAM RANKING'!$K:$K=$A3)"),"#N/A")</f>
        <v>#N/A</v>
      </c>
      <c r="D3" s="15"/>
      <c r="E3" s="110">
        <f ca="1">IFERROR((IF($A$1="All", COUNTIF('MATCH CALCS'!$D:$D,$A3), (COUNTIFS('MATCH CALCS'!D:D, $A3, 'MATCH CALCS'!$A:$A,$A$1)))),"-")</f>
        <v>2</v>
      </c>
      <c r="F3" s="111">
        <f ca="1">IFERROR(IF($A$1="All",SUMIF('MATCH CALCS'!$D:$D,$A3,'MATCH CALCS'!$AW:$AW)/$E3,(SUMIFS('MATCH CALCS'!$AW:$AW, 'MATCH CALCS'!$D:$D, $A3, 'MATCH CALCS'!$A:$A, $A$1)/$E3)),"-")</f>
        <v>1</v>
      </c>
      <c r="G3" s="112">
        <f ca="1">IFERROR(IF($A$1="All",SUMIF('MATCH CALCS'!$D:$D,$A3,'MATCH CALCS'!O:O)/$E3,(SUMIFS('MATCH CALCS'!O:O, 'MATCH CALCS'!$D:$D, $A3, 'MATCH CALCS'!$A:$A, $A$1)/$E3)),"-")</f>
        <v>0</v>
      </c>
      <c r="H3" s="112">
        <f ca="1">IFERROR(IF($A$1="All",SUMIF('MATCH CALCS'!$D:$D,$A3,'MATCH CALCS'!N:N)/$E3,(SUMIFS('MATCH CALCS'!N:N, 'MATCH CALCS'!$D:$D, $A3, 'MATCH CALCS'!$A:$A, $A$1)/$E3)),"-")</f>
        <v>0</v>
      </c>
      <c r="I3" s="112">
        <f ca="1">IFERROR(IF($A$1="All",SUMIF('MATCH CALCS'!$D:$D,$A3,'MATCH CALCS'!M:M)/$E3,(SUMIFS('MATCH CALCS'!M:M, 'MATCH CALCS'!$D:$D, $A3, 'MATCH CALCS'!$A:$A, $A$1)/$E3)),"-")</f>
        <v>0</v>
      </c>
      <c r="J3" s="112">
        <f ca="1">IFERROR(IF($A$1="All",SUMIF('MATCH CALCS'!$D:$D,$A3,'MATCH CALCS'!L:L)/$E3,(SUMIFS('MATCH CALCS'!L:L, 'MATCH CALCS'!$D:$D, $A3, 'MATCH CALCS'!$A:$A, $A$1)/$E3)),"-")</f>
        <v>0.5</v>
      </c>
      <c r="K3" s="112">
        <f t="shared" ref="K3:K54" ca="1" si="0">SUM($G3:$J3)</f>
        <v>0.5</v>
      </c>
      <c r="L3" s="13">
        <f ca="1">IF($A$1="All",AVERAGEIF('MATCH CALCS'!$D$3:$D1000,$A3,'MATCH CALCS'!$AZ$3:$AZ1000),AVERAGEIFS('MATCH CALCS'!$AZ$3:$AZ1000,'MATCH CALCS'!$D$3:$D1000,$A3,'MATCH CALCS'!$A$3:$A1000,$A$1))</f>
        <v>1</v>
      </c>
      <c r="M3" s="112">
        <f ca="1">IF($A$1="All",AVERAGEIF('MATCH CALCS'!$D:$D,$A3,'MATCH CALCS'!R:R),(SUMIFS('MATCH CALCS'!R$3:R1000, 'MATCH CALCS'!$D$3:$D1000, $A3, 'MATCH CALCS'!A$3:A1000, $A$1)/$E3))</f>
        <v>0</v>
      </c>
      <c r="N3" s="112">
        <f ca="1">IFERROR(IF($A$1="All",SUMIF('MATCH CALCS'!$D:$D,$A3,'MATCH CALCS'!S:S)/$E3,(SUMIFS('MATCH CALCS'!S:S, 'MATCH CALCS'!$D:$D, $A3, 'MATCH CALCS'!A:A, $A$1)/$E3)),"-")</f>
        <v>0</v>
      </c>
      <c r="O3" s="113" t="e">
        <f ca="1">IF($A$1="All",AVERAGEIF('MATCH CALCS'!$D$3:$D1000,$A3,'MATCH CALCS'!$BC$3:$BC1000),AVERAGEIFS('MATCH CALCS'!$BC$3:$BC1000,'MATCH CALCS'!$D$3:$D1000,$A3,'MATCH CALCS'!$A$3:$A1000,$A$1))</f>
        <v>#DIV/0!</v>
      </c>
      <c r="P3" s="112">
        <f ca="1">IFERROR(IF($A$1="All",SUMIF('MATCH CALCS'!$D:$D,$A3,'MATCH CALCS'!AH:AH)/$E3,(SUMIFS('MATCH CALCS'!AH:AH, 'MATCH CALCS'!$D:$D, $A3, 'MATCH CALCS'!$A:$A, $A$1)/$E3)),"-")</f>
        <v>0</v>
      </c>
      <c r="Q3" s="112">
        <f ca="1">IFERROR(IF($A$1="All",SUMIF('MATCH CALCS'!$D:$D,$A3,'MATCH CALCS'!AG:AG)/$E3,(SUMIFS('MATCH CALCS'!AG:AG, 'MATCH CALCS'!$D:$D, $A3, 'MATCH CALCS'!$A:$A, $A$1)/$E3)),"-")</f>
        <v>0</v>
      </c>
      <c r="R3" s="112">
        <f ca="1">IFERROR(IF($A$1="All",SUMIF('MATCH CALCS'!$D:$D,$A3,'MATCH CALCS'!AF:AF)/$E3,(SUMIFS('MATCH CALCS'!AF:AF, 'MATCH CALCS'!$D:$D, $A3, 'MATCH CALCS'!$A:$A, $A$1)/$E3)),"-")</f>
        <v>0</v>
      </c>
      <c r="S3" s="112">
        <f ca="1">IFERROR(IF($A$1="All",SUMIF('MATCH CALCS'!$D:$D,$A3,'MATCH CALCS'!$AE:$AE)/$E3,(SUMIFS('MATCH CALCS'!$AE:$AE, 'MATCH CALCS'!$D:$D, $A3, 'MATCH CALCS'!$A:$A, $A$1)/$E3)),"-")</f>
        <v>0.5</v>
      </c>
      <c r="T3" s="112">
        <f t="shared" ref="T3:T54" ca="1" si="1">SUM($P3:$S3)</f>
        <v>0.5</v>
      </c>
      <c r="U3" s="13">
        <f ca="1">IF($A$1="All",AVERAGEIF('MATCH CALCS'!$D$3:$D1000,$A3,'MATCH CALCS'!$BI$3:$BI1000),AVERAGEIFS('MATCH CALCS'!$BI$3:$BI1000,'MATCH CALCS'!$D$3:$D1000,$A3,'MATCH CALCS'!$A$3:$A1000,$A$1))</f>
        <v>0.33333333333333331</v>
      </c>
      <c r="V3" s="112">
        <f ca="1">IFERROR(IF($A$1="All",SUMIF('MATCH CALCS'!$D:$D,$A3,'MATCH CALCS'!W:W)/$E3,(SUMIFS('MATCH CALCS'!W:W, 'MATCH CALCS'!$D:$D, $A3, 'MATCH CALCS'!$A:$A, $A$1)/$E3)),"-")</f>
        <v>0.5</v>
      </c>
      <c r="W3" s="112">
        <f ca="1">IFERROR(IF($A$1="All",SUMIF('MATCH CALCS'!$D:$D,$A3,'MATCH CALCS'!X:X)/$E3,(SUMIFS('MATCH CALCS'!X:X, 'MATCH CALCS'!$D:$D, $A3, 'MATCH CALCS'!$A:$A, $A$1)/$E3)),"-")</f>
        <v>0</v>
      </c>
      <c r="X3" s="114">
        <f ca="1">IF($A$1="All",AVERAGEIF('MATCH CALCS'!$D$3:$D1000,$A3,'MATCH CALCS'!$BF$3:$BF1000),AVERAGEIFS('MATCH CALCS'!$BF$3:$BF1000,'MATCH CALCS'!$D$3:$D1000, $A3, 'MATCH CALCS'!$A$3:$A1000, $A$1))</f>
        <v>0</v>
      </c>
      <c r="Y3" s="115">
        <f ca="1">IF($A$1="All",SUMIF('MATCH CALCS'!$D$3:$D1000,$A3,'MATCH CALCS'!$BJ$3:$BJ1000),SUMIFS('MATCH CALCS'!$BJ$3:$BJ1000,'MATCH CALCS'!$D$3:$D1000, $A3, 'MATCH CALCS'!$A$3:$A1000, $A$1))</f>
        <v>0</v>
      </c>
      <c r="Z3" s="116" t="str">
        <f ca="1">IFERROR(__xludf.DUMMYFUNCTION("IFERROR(IF($A$1=""All"",AVERAGE(FILTER('MATCH CALCS'!$BR$3:$BR1000, 'MATCH CALCS'!$D$3:$D1000=$A3)),AVERAGE(FILTER('MATCH CALCS'!$BR$3:$BR1000, 'MATCH CALCS'!$D$3:$D1000=$A3,'MATCH CALCS'!$A$3:$A1000=$A$1))),""No Data"")"),"No Data")</f>
        <v>No Data</v>
      </c>
      <c r="AA3" s="117" t="str">
        <f ca="1">IFERROR(__xludf.DUMMYFUNCTION("IFERROR(IF($A$1=""All"",IF(COUNTIF(FILTER('MATCH CALCS'!$AT$3:$AT1000,'MATCH CALCS'!$D$3:$D1000=$A3), ""Dc"")&gt;0, IF(COUNTIF(FILTER('MATCH CALCS'!$AT$3:$AT1000,'MATCH CALCS'!$D$3:$D1000=$A3), ""Sc"")&gt;0, ""Mixed"", ""Deep""), IF(COUNTIF(FILTER('MATCH CALCS'"&amp;"!$AT$3:$AT1000,'MATCH CALCS'!$D$3:$D1000=$A3), ""Sc"")&gt;0, ""Shallow"",""None"")),IF(COUNTIF(FILTER('MATCH CALCS'!$AT$3:$AT1000,'MATCH CALCS'!$D$3:$D1000=$A3,'MATCH CALCS'!$A$3:$A1000=$A$1), ""Dc"")&gt;0, IF(COUNTIF(FILTER('MATCH CALCS'!$AT$3:$AT1000,'MATCH C"&amp;"ALCS'!$D$3:$D1000=$A3,'MATCH CALCS'!$A$3:$A1000=$A$1), ""Sc"")&gt;0, ""Mixed"", ""Deep""), IF(COUNTIF(FILTER('MATCH CALCS'!$AT$3:$AT1000,'MATCH CALCS'!$D$3:$D1000=$A3,'MATCH CALCS'!$A$3:$A1000=$A$1), ""Sc"")&gt;0, ""Shallow"",""None""))))"),"Deep")</f>
        <v>Deep</v>
      </c>
      <c r="AB3" s="9">
        <f ca="1">IFERROR(IF($A$1="All",(COUNTIFS('MATCH CALCS'!$AT$3:$AT1000,("=Dc"),'MATCH CALCS'!$D$3:$D1000, $A3)+COUNTIFS('MATCH CALCS'!$AT$3:$AT1000,("=Sc"),'MATCH CALCS'!$D$3:$D1000, $A3))/(COUNTIFS('MATCH CALCS'!$AK$3:$AK1000,("=Dc"),'MATCH CALCS'!$D$3:$D1000, $A3)+COUNTIFS('MATCH CALCS'!$AK$3:$AK1000,("=Sc"),'MATCH CALCS'!$D$3:$D1000, $A3)),(COUNTIFS('MATCH CALCS'!$AT$3:$AT1000,("=Dc"),'MATCH CALCS'!$D$3:$D1000, $A3,'MATCH CALCS'!$A$3:$A1000,$A$1)+COUNTIFS('MATCH CALCS'!$AT$3:$AT1000,("=Sc"),'MATCH CALCS'!$D$3:$D1000, $A3,'MATCH CALCS'!$A$3:$A1000,$A$1))/(COUNTIFS('MATCH CALCS'!$AK$3:$AK1000,("=Dc"),'MATCH CALCS'!$D$3:$D1000, $A3,'MATCH CALCS'!$A$3:$A1000,$A$1)+COUNTIFS('MATCH CALCS'!$AK$3:$AK1000,("=Sc"),'MATCH CALCS'!$D$3:$D1000, $A3,'MATCH CALCS'!$A$3:$A1000,$A$1))),"-")</f>
        <v>1</v>
      </c>
      <c r="AC3" s="25">
        <f ca="1">IFERROR(IF($A$1="All",COUNTIFS('MATCH CALCS'!$AT$3:$AT1000,("=Dc"),'MATCH CALCS'!$D$3:$D1000, $A3)+COUNTIFS('MATCH CALCS'!$AT$3:$AT1000,("=Sc"),'MATCH CALCS'!$D$3:$D1000, $A3),COUNTIFS('MATCH CALCS'!$AT$3:$AT1000,("=Dc"),'MATCH CALCS'!$D$3:$D1000, $A3,'MATCH CALCS'!$A$3:$A1000, $A$1)+COUNTIFS('MATCH CALCS'!$AT$3:$AT1000,("=Sc"),'MATCH CALCS'!$D$3:$D1000, $A3,'MATCH CALCS'!$A$3:$A1000, $A$1)),"-")</f>
        <v>1</v>
      </c>
    </row>
    <row r="4" spans="1:55" ht="12.75">
      <c r="A4" s="30">
        <f ca="1">IFERROR(__xludf.DUMMYFUNCTION("""COMPUTED_VALUE"""),2207)</f>
        <v>2207</v>
      </c>
      <c r="B4" s="6" t="str">
        <f ca="1">IFERROR(__xludf.DUMMYFUNCTION("""COMPUTED_VALUE"""),"Bright Bears")</f>
        <v>Bright Bears</v>
      </c>
      <c r="C4" s="30" t="str">
        <f ca="1">IFERROR(__xludf.DUMMYFUNCTION("FILTER('TEAM RANKING'!$A:$A,'TEAM RANKING'!$K:$K=$A4)"),"#N/A")</f>
        <v>#N/A</v>
      </c>
      <c r="D4" s="15"/>
      <c r="E4" s="110">
        <f ca="1">IFERROR((IF($A$1="All", COUNTIF('MATCH CALCS'!$D:$D,$A4), (COUNTIFS('MATCH CALCS'!D:D, $A4, 'MATCH CALCS'!$A:$A,$A$1)))),"-")</f>
        <v>3</v>
      </c>
      <c r="F4" s="111">
        <f ca="1">IFERROR(IF($A$1="All",SUMIF('MATCH CALCS'!$D:$D,$A4,'MATCH CALCS'!$AW:$AW)/$E4,(SUMIFS('MATCH CALCS'!$AW:$AW, 'MATCH CALCS'!$D:$D, $A4, 'MATCH CALCS'!$A:$A, $A$1)/$E4)),"-")</f>
        <v>1</v>
      </c>
      <c r="G4" s="112">
        <f ca="1">IFERROR(IF($A$1="All",SUMIF('MATCH CALCS'!$D:$D,$A4,'MATCH CALCS'!O:O)/$E4,(SUMIFS('MATCH CALCS'!O:O, 'MATCH CALCS'!$D:$D, $A4, 'MATCH CALCS'!$A:$A, $A$1)/$E4)),"-")</f>
        <v>0</v>
      </c>
      <c r="H4" s="112">
        <f ca="1">IFERROR(IF($A$1="All",SUMIF('MATCH CALCS'!$D:$D,$A4,'MATCH CALCS'!N:N)/$E4,(SUMIFS('MATCH CALCS'!N:N, 'MATCH CALCS'!$D:$D, $A4, 'MATCH CALCS'!$A:$A, $A$1)/$E4)),"-")</f>
        <v>0</v>
      </c>
      <c r="I4" s="112">
        <f ca="1">IFERROR(IF($A$1="All",SUMIF('MATCH CALCS'!$D:$D,$A4,'MATCH CALCS'!M:M)/$E4,(SUMIFS('MATCH CALCS'!M:M, 'MATCH CALCS'!$D:$D, $A4, 'MATCH CALCS'!$A:$A, $A$1)/$E4)),"-")</f>
        <v>0</v>
      </c>
      <c r="J4" s="112">
        <f ca="1">IFERROR(IF($A$1="All",SUMIF('MATCH CALCS'!$D:$D,$A4,'MATCH CALCS'!L:L)/$E4,(SUMIFS('MATCH CALCS'!L:L, 'MATCH CALCS'!$D:$D, $A4, 'MATCH CALCS'!$A:$A, $A$1)/$E4)),"-")</f>
        <v>0</v>
      </c>
      <c r="K4" s="112">
        <f t="shared" ca="1" si="0"/>
        <v>0</v>
      </c>
      <c r="L4" s="13">
        <f ca="1">IF($A$1="All",AVERAGEIF('MATCH CALCS'!$D$3:$D1000,$A4,'MATCH CALCS'!$AZ$3:$AZ1000),AVERAGEIFS('MATCH CALCS'!$AZ$3:$AZ1000,'MATCH CALCS'!$D$3:$D1000,$A4,'MATCH CALCS'!$A$3:$A1000,$A$1))</f>
        <v>0</v>
      </c>
      <c r="M4" s="112">
        <f ca="1">IF($A$1="All",AVERAGEIF('MATCH CALCS'!$D:$D,$A4,'MATCH CALCS'!R:R),(SUMIFS('MATCH CALCS'!R$3:R1000, 'MATCH CALCS'!$D$3:$D1000, $A4, 'MATCH CALCS'!A$3:A1000, $A$1)/$E4))</f>
        <v>0</v>
      </c>
      <c r="N4" s="112">
        <f ca="1">IFERROR(IF($A$1="All",SUMIF('MATCH CALCS'!$D:$D,$A4,'MATCH CALCS'!S:S)/$E4,(SUMIFS('MATCH CALCS'!S:S, 'MATCH CALCS'!$D:$D, $A4, 'MATCH CALCS'!A:A, $A$1)/$E4)),"-")</f>
        <v>0</v>
      </c>
      <c r="O4" s="113" t="e">
        <f ca="1">IF($A$1="All",AVERAGEIF('MATCH CALCS'!$D$3:$D1000,$A4,'MATCH CALCS'!$BC$3:$BC1000),AVERAGEIFS('MATCH CALCS'!$BC$3:$BC1000,'MATCH CALCS'!$D$3:$D1000,$A4,'MATCH CALCS'!$A$3:$A1000,$A$1))</f>
        <v>#DIV/0!</v>
      </c>
      <c r="P4" s="112">
        <f ca="1">IFERROR(IF($A$1="All",SUMIF('MATCH CALCS'!$D:$D,$A4,'MATCH CALCS'!AH:AH)/$E4,(SUMIFS('MATCH CALCS'!AH:AH, 'MATCH CALCS'!$D:$D, $A4, 'MATCH CALCS'!$A:$A, $A$1)/$E4)),"-")</f>
        <v>0</v>
      </c>
      <c r="Q4" s="112">
        <f ca="1">IFERROR(IF($A$1="All",SUMIF('MATCH CALCS'!$D:$D,$A4,'MATCH CALCS'!AG:AG)/$E4,(SUMIFS('MATCH CALCS'!AG:AG, 'MATCH CALCS'!$D:$D, $A4, 'MATCH CALCS'!$A:$A, $A$1)/$E4)),"-")</f>
        <v>0</v>
      </c>
      <c r="R4" s="112">
        <f ca="1">IFERROR(IF($A$1="All",SUMIF('MATCH CALCS'!$D:$D,$A4,'MATCH CALCS'!AF:AF)/$E4,(SUMIFS('MATCH CALCS'!AF:AF, 'MATCH CALCS'!$D:$D, $A4, 'MATCH CALCS'!$A:$A, $A$1)/$E4)),"-")</f>
        <v>0</v>
      </c>
      <c r="S4" s="112">
        <f ca="1">IFERROR(IF($A$1="All",SUMIF('MATCH CALCS'!$D:$D,$A4,'MATCH CALCS'!$AE:$AE)/$E4,(SUMIFS('MATCH CALCS'!$AE:$AE, 'MATCH CALCS'!$D:$D, $A4, 'MATCH CALCS'!$A:$A, $A$1)/$E4)),"-")</f>
        <v>0</v>
      </c>
      <c r="T4" s="112">
        <f t="shared" ca="1" si="1"/>
        <v>0</v>
      </c>
      <c r="U4" s="13">
        <f ca="1">IF($A$1="All",AVERAGEIF('MATCH CALCS'!$D$3:$D1000,$A4,'MATCH CALCS'!$BI$3:$BI1000),AVERAGEIFS('MATCH CALCS'!$BI$3:$BI1000,'MATCH CALCS'!$D$3:$D1000,$A4,'MATCH CALCS'!$A$3:$A1000,$A$1))</f>
        <v>0</v>
      </c>
      <c r="V4" s="112">
        <f ca="1">IFERROR(IF($A$1="All",SUMIF('MATCH CALCS'!$D:$D,$A4,'MATCH CALCS'!W:W)/$E4,(SUMIFS('MATCH CALCS'!W:W, 'MATCH CALCS'!$D:$D, $A4, 'MATCH CALCS'!$A:$A, $A$1)/$E4)),"-")</f>
        <v>0.33333333333333331</v>
      </c>
      <c r="W4" s="112">
        <f ca="1">IFERROR(IF($A$1="All",SUMIF('MATCH CALCS'!$D:$D,$A4,'MATCH CALCS'!X:X)/$E4,(SUMIFS('MATCH CALCS'!X:X, 'MATCH CALCS'!$D:$D, $A4, 'MATCH CALCS'!$A:$A, $A$1)/$E4)),"-")</f>
        <v>0</v>
      </c>
      <c r="X4" s="114">
        <f ca="1">IF($A$1="All",AVERAGEIF('MATCH CALCS'!$D$3:$D1000,$A4,'MATCH CALCS'!$BF$3:$BF1000),AVERAGEIFS('MATCH CALCS'!$BF$3:$BF1000,'MATCH CALCS'!$D$3:$D1000, $A4, 'MATCH CALCS'!$A$3:$A1000, $A$1))</f>
        <v>0</v>
      </c>
      <c r="Y4" s="115">
        <f ca="1">IF($A$1="All",SUMIF('MATCH CALCS'!$D$3:$D1000,$A4,'MATCH CALCS'!$BJ$3:$BJ1000),SUMIFS('MATCH CALCS'!$BJ$3:$BJ1000,'MATCH CALCS'!$D$3:$D1000, $A4, 'MATCH CALCS'!$A$3:$A1000, $A$1))</f>
        <v>1</v>
      </c>
      <c r="Z4" s="116" t="str">
        <f ca="1">IFERROR(__xludf.DUMMYFUNCTION("IFERROR(IF($A$1=""All"",AVERAGE(FILTER('MATCH CALCS'!$BR$3:$BR1000, 'MATCH CALCS'!$D$3:$D1000=$A4)),AVERAGE(FILTER('MATCH CALCS'!$BR$3:$BR1000, 'MATCH CALCS'!$D$3:$D1000=$A4,'MATCH CALCS'!$A$3:$A1000=$A$1))),""No Data"")"),"No Data")</f>
        <v>No Data</v>
      </c>
      <c r="AA4" s="117" t="str">
        <f ca="1">IFERROR(__xludf.DUMMYFUNCTION("IFERROR(IF($A$1=""All"",IF(COUNTIF(FILTER('MATCH CALCS'!$AT$3:$AT1000,'MATCH CALCS'!$D$3:$D1000=$A4), ""Dc"")&gt;0, IF(COUNTIF(FILTER('MATCH CALCS'!$AT$3:$AT1000,'MATCH CALCS'!$D$3:$D1000=$A4), ""Sc"")&gt;0, ""Mixed"", ""Deep""), IF(COUNTIF(FILTER('MATCH CALCS'"&amp;"!$AT$3:$AT1000,'MATCH CALCS'!$D$3:$D1000=$A4), ""Sc"")&gt;0, ""Shallow"",""None"")),IF(COUNTIF(FILTER('MATCH CALCS'!$AT$3:$AT1000,'MATCH CALCS'!$D$3:$D1000=$A4,'MATCH CALCS'!$A$3:$A1000=$A$1), ""Dc"")&gt;0, IF(COUNTIF(FILTER('MATCH CALCS'!$AT$3:$AT1000,'MATCH C"&amp;"ALCS'!$D$3:$D1000=$A4,'MATCH CALCS'!$A$3:$A1000=$A$1), ""Sc"")&gt;0, ""Mixed"", ""Deep""), IF(COUNTIF(FILTER('MATCH CALCS'!$AT$3:$AT1000,'MATCH CALCS'!$D$3:$D1000=$A4,'MATCH CALCS'!$A$3:$A1000=$A$1), ""Sc"")&gt;0, ""Shallow"",""None""))))"),"None")</f>
        <v>None</v>
      </c>
      <c r="AB4" s="9">
        <f ca="1">IFERROR(IF($A$1="All",(COUNTIFS('MATCH CALCS'!$AT$3:$AT1000,("=Dc"),'MATCH CALCS'!$D$3:$D1000, $A4)+COUNTIFS('MATCH CALCS'!$AT$3:$AT1000,("=Sc"),'MATCH CALCS'!$D$3:$D1000, $A4))/(COUNTIFS('MATCH CALCS'!$AK$3:$AK1000,("=Dc"),'MATCH CALCS'!$D$3:$D1000, $A4)+COUNTIFS('MATCH CALCS'!$AK$3:$AK1000,("=Sc"),'MATCH CALCS'!$D$3:$D1000, $A4)),(COUNTIFS('MATCH CALCS'!$AT$3:$AT1000,("=Dc"),'MATCH CALCS'!$D$3:$D1000, $A4,'MATCH CALCS'!$A$3:$A1000,$A$1)+COUNTIFS('MATCH CALCS'!$AT$3:$AT1000,("=Sc"),'MATCH CALCS'!$D$3:$D1000, $A4,'MATCH CALCS'!$A$3:$A1000,$A$1))/(COUNTIFS('MATCH CALCS'!$AK$3:$AK1000,("=Dc"),'MATCH CALCS'!$D$3:$D1000, $A4,'MATCH CALCS'!$A$3:$A1000,$A$1)+COUNTIFS('MATCH CALCS'!$AK$3:$AK1000,("=Sc"),'MATCH CALCS'!$D$3:$D1000, $A4,'MATCH CALCS'!$A$3:$A1000,$A$1))),"-")</f>
        <v>0</v>
      </c>
      <c r="AC4" s="25">
        <f ca="1">IFERROR(IF($A$1="All",COUNTIFS('MATCH CALCS'!$AT$3:$AT1000,("=Dc"),'MATCH CALCS'!$D$3:$D1000, $A4)+COUNTIFS('MATCH CALCS'!$AT$3:$AT1000,("=Sc"),'MATCH CALCS'!$D$3:$D1000, $A4),COUNTIFS('MATCH CALCS'!$AT$3:$AT1000,("=Dc"),'MATCH CALCS'!$D$3:$D1000, $A4,'MATCH CALCS'!$A$3:$A1000, $A$1)+COUNTIFS('MATCH CALCS'!$AT$3:$AT1000,("=Sc"),'MATCH CALCS'!$D$3:$D1000, $A4,'MATCH CALCS'!$A$3:$A1000, $A$1)),"-")</f>
        <v>0</v>
      </c>
    </row>
    <row r="5" spans="1:55" ht="12.75">
      <c r="A5" s="30">
        <f ca="1">IFERROR(__xludf.DUMMYFUNCTION("""COMPUTED_VALUE"""),2220)</f>
        <v>2220</v>
      </c>
      <c r="B5" s="6" t="str">
        <f ca="1">IFERROR(__xludf.DUMMYFUNCTION("""COMPUTED_VALUE"""),"Blue Twilight")</f>
        <v>Blue Twilight</v>
      </c>
      <c r="C5" s="30" t="str">
        <f ca="1">IFERROR(__xludf.DUMMYFUNCTION("FILTER('TEAM RANKING'!$A:$A,'TEAM RANKING'!$K:$K=$A5)"),"#N/A")</f>
        <v>#N/A</v>
      </c>
      <c r="D5" s="15"/>
      <c r="E5" s="110">
        <f ca="1">IFERROR((IF($A$1="All", COUNTIF('MATCH CALCS'!$D:$D,$A5), (COUNTIFS('MATCH CALCS'!D:D, $A5, 'MATCH CALCS'!$A:$A,$A$1)))),"-")</f>
        <v>3</v>
      </c>
      <c r="F5" s="111">
        <f ca="1">IFERROR(IF($A$1="All",SUMIF('MATCH CALCS'!$D:$D,$A5,'MATCH CALCS'!$AW:$AW)/$E5,(SUMIFS('MATCH CALCS'!$AW:$AW, 'MATCH CALCS'!$D:$D, $A5, 'MATCH CALCS'!$A:$A, $A$1)/$E5)),"-")</f>
        <v>1</v>
      </c>
      <c r="G5" s="112">
        <f ca="1">IFERROR(IF($A$1="All",SUMIF('MATCH CALCS'!$D:$D,$A5,'MATCH CALCS'!O:O)/$E5,(SUMIFS('MATCH CALCS'!O:O, 'MATCH CALCS'!$D:$D, $A5, 'MATCH CALCS'!$A:$A, $A$1)/$E5)),"-")</f>
        <v>0</v>
      </c>
      <c r="H5" s="112">
        <f ca="1">IFERROR(IF($A$1="All",SUMIF('MATCH CALCS'!$D:$D,$A5,'MATCH CALCS'!N:N)/$E5,(SUMIFS('MATCH CALCS'!N:N, 'MATCH CALCS'!$D:$D, $A5, 'MATCH CALCS'!$A:$A, $A$1)/$E5)),"-")</f>
        <v>0</v>
      </c>
      <c r="I5" s="112">
        <f ca="1">IFERROR(IF($A$1="All",SUMIF('MATCH CALCS'!$D:$D,$A5,'MATCH CALCS'!M:M)/$E5,(SUMIFS('MATCH CALCS'!M:M, 'MATCH CALCS'!$D:$D, $A5, 'MATCH CALCS'!$A:$A, $A$1)/$E5)),"-")</f>
        <v>0</v>
      </c>
      <c r="J5" s="112">
        <f ca="1">IFERROR(IF($A$1="All",SUMIF('MATCH CALCS'!$D:$D,$A5,'MATCH CALCS'!L:L)/$E5,(SUMIFS('MATCH CALCS'!L:L, 'MATCH CALCS'!$D:$D, $A5, 'MATCH CALCS'!$A:$A, $A$1)/$E5)),"-")</f>
        <v>3</v>
      </c>
      <c r="K5" s="112">
        <f t="shared" ca="1" si="0"/>
        <v>3</v>
      </c>
      <c r="L5" s="13">
        <f ca="1">IF($A$1="All",AVERAGEIF('MATCH CALCS'!$D$3:$D1000,$A5,'MATCH CALCS'!$AZ$3:$AZ1000),AVERAGEIFS('MATCH CALCS'!$AZ$3:$AZ1000,'MATCH CALCS'!$D$3:$D1000,$A5,'MATCH CALCS'!$A$3:$A1000,$A$1))</f>
        <v>0.93333333333333324</v>
      </c>
      <c r="M5" s="112">
        <f ca="1">IF($A$1="All",AVERAGEIF('MATCH CALCS'!$D:$D,$A5,'MATCH CALCS'!R:R),(SUMIFS('MATCH CALCS'!R$3:R1000, 'MATCH CALCS'!$D$3:$D1000, $A5, 'MATCH CALCS'!A$3:A1000, $A$1)/$E5))</f>
        <v>0</v>
      </c>
      <c r="N5" s="112">
        <f ca="1">IFERROR(IF($A$1="All",SUMIF('MATCH CALCS'!$D:$D,$A5,'MATCH CALCS'!S:S)/$E5,(SUMIFS('MATCH CALCS'!S:S, 'MATCH CALCS'!$D:$D, $A5, 'MATCH CALCS'!A:A, $A$1)/$E5)),"-")</f>
        <v>0</v>
      </c>
      <c r="O5" s="113" t="e">
        <f ca="1">IF($A$1="All",AVERAGEIF('MATCH CALCS'!$D$3:$D1000,$A5,'MATCH CALCS'!$BC$3:$BC1000),AVERAGEIFS('MATCH CALCS'!$BC$3:$BC1000,'MATCH CALCS'!$D$3:$D1000,$A5,'MATCH CALCS'!$A$3:$A1000,$A$1))</f>
        <v>#DIV/0!</v>
      </c>
      <c r="P5" s="112">
        <f ca="1">IFERROR(IF($A$1="All",SUMIF('MATCH CALCS'!$D:$D,$A5,'MATCH CALCS'!AH:AH)/$E5,(SUMIFS('MATCH CALCS'!AH:AH, 'MATCH CALCS'!$D:$D, $A5, 'MATCH CALCS'!$A:$A, $A$1)/$E5)),"-")</f>
        <v>0</v>
      </c>
      <c r="Q5" s="112">
        <f ca="1">IFERROR(IF($A$1="All",SUMIF('MATCH CALCS'!$D:$D,$A5,'MATCH CALCS'!AG:AG)/$E5,(SUMIFS('MATCH CALCS'!AG:AG, 'MATCH CALCS'!$D:$D, $A5, 'MATCH CALCS'!$A:$A, $A$1)/$E5)),"-")</f>
        <v>4.333333333333333</v>
      </c>
      <c r="R5" s="112">
        <f ca="1">IFERROR(IF($A$1="All",SUMIF('MATCH CALCS'!$D:$D,$A5,'MATCH CALCS'!AF:AF)/$E5,(SUMIFS('MATCH CALCS'!AF:AF, 'MATCH CALCS'!$D:$D, $A5, 'MATCH CALCS'!$A:$A, $A$1)/$E5)),"-")</f>
        <v>5</v>
      </c>
      <c r="S5" s="112">
        <f ca="1">IFERROR(IF($A$1="All",SUMIF('MATCH CALCS'!$D:$D,$A5,'MATCH CALCS'!$AE:$AE)/$E5,(SUMIFS('MATCH CALCS'!$AE:$AE, 'MATCH CALCS'!$D:$D, $A5, 'MATCH CALCS'!$A:$A, $A$1)/$E5)),"-")</f>
        <v>2</v>
      </c>
      <c r="T5" s="112">
        <f t="shared" ca="1" si="1"/>
        <v>11.333333333333332</v>
      </c>
      <c r="U5" s="13">
        <f ca="1">IF($A$1="All",AVERAGEIF('MATCH CALCS'!$D$3:$D1000,$A5,'MATCH CALCS'!$BI$3:$BI1000),AVERAGEIFS('MATCH CALCS'!$BI$3:$BI1000,'MATCH CALCS'!$D$3:$D1000,$A5,'MATCH CALCS'!$A$3:$A1000,$A$1))</f>
        <v>0.8928571428571429</v>
      </c>
      <c r="V5" s="112">
        <f ca="1">IFERROR(IF($A$1="All",SUMIF('MATCH CALCS'!$D:$D,$A5,'MATCH CALCS'!W:W)/$E5,(SUMIFS('MATCH CALCS'!W:W, 'MATCH CALCS'!$D:$D, $A5, 'MATCH CALCS'!$A:$A, $A$1)/$E5)),"-")</f>
        <v>0</v>
      </c>
      <c r="W5" s="112">
        <f ca="1">IFERROR(IF($A$1="All",SUMIF('MATCH CALCS'!$D:$D,$A5,'MATCH CALCS'!X:X)/$E5,(SUMIFS('MATCH CALCS'!X:X, 'MATCH CALCS'!$D:$D, $A5, 'MATCH CALCS'!$A:$A, $A$1)/$E5)),"-")</f>
        <v>0.66666666666666663</v>
      </c>
      <c r="X5" s="114">
        <f ca="1">IF($A$1="All",AVERAGEIF('MATCH CALCS'!$D$3:$D1000,$A5,'MATCH CALCS'!$BF$3:$BF1000),AVERAGEIFS('MATCH CALCS'!$BF$3:$BF1000,'MATCH CALCS'!$D$3:$D1000, $A5, 'MATCH CALCS'!$A$3:$A1000, $A$1))</f>
        <v>1</v>
      </c>
      <c r="Y5" s="115">
        <f ca="1">IF($A$1="All",SUMIF('MATCH CALCS'!$D$3:$D1000,$A5,'MATCH CALCS'!$BJ$3:$BJ1000),SUMIFS('MATCH CALCS'!$BJ$3:$BJ1000,'MATCH CALCS'!$D$3:$D1000, $A5, 'MATCH CALCS'!$A$3:$A1000, $A$1))</f>
        <v>0</v>
      </c>
      <c r="Z5" s="116" t="str">
        <f ca="1">IFERROR(__xludf.DUMMYFUNCTION("IFERROR(IF($A$1=""All"",AVERAGE(FILTER('MATCH CALCS'!$BR$3:$BR1000, 'MATCH CALCS'!$D$3:$D1000=$A5)),AVERAGE(FILTER('MATCH CALCS'!$BR$3:$BR1000, 'MATCH CALCS'!$D$3:$D1000=$A5,'MATCH CALCS'!$A$3:$A1000=$A$1))),""No Data"")"),"No Data")</f>
        <v>No Data</v>
      </c>
      <c r="AA5" s="117" t="str">
        <f ca="1">IFERROR(__xludf.DUMMYFUNCTION("IFERROR(IF($A$1=""All"",IF(COUNTIF(FILTER('MATCH CALCS'!$AT$3:$AT1000,'MATCH CALCS'!$D$3:$D1000=$A5), ""Dc"")&gt;0, IF(COUNTIF(FILTER('MATCH CALCS'!$AT$3:$AT1000,'MATCH CALCS'!$D$3:$D1000=$A5), ""Sc"")&gt;0, ""Mixed"", ""Deep""), IF(COUNTIF(FILTER('MATCH CALCS'"&amp;"!$AT$3:$AT1000,'MATCH CALCS'!$D$3:$D1000=$A5), ""Sc"")&gt;0, ""Shallow"",""None"")),IF(COUNTIF(FILTER('MATCH CALCS'!$AT$3:$AT1000,'MATCH CALCS'!$D$3:$D1000=$A5,'MATCH CALCS'!$A$3:$A1000=$A$1), ""Dc"")&gt;0, IF(COUNTIF(FILTER('MATCH CALCS'!$AT$3:$AT1000,'MATCH C"&amp;"ALCS'!$D$3:$D1000=$A5,'MATCH CALCS'!$A$3:$A1000=$A$1), ""Sc"")&gt;0, ""Mixed"", ""Deep""), IF(COUNTIF(FILTER('MATCH CALCS'!$AT$3:$AT1000,'MATCH CALCS'!$D$3:$D1000=$A5,'MATCH CALCS'!$A$3:$A1000=$A$1), ""Sc"")&gt;0, ""Shallow"",""None""))))"),"None")</f>
        <v>None</v>
      </c>
      <c r="AB5" s="9">
        <f ca="1">IFERROR(IF($A$1="All",(COUNTIFS('MATCH CALCS'!$AT$3:$AT1000,("=Dc"),'MATCH CALCS'!$D$3:$D1000, $A5)+COUNTIFS('MATCH CALCS'!$AT$3:$AT1000,("=Sc"),'MATCH CALCS'!$D$3:$D1000, $A5))/(COUNTIFS('MATCH CALCS'!$AK$3:$AK1000,("=Dc"),'MATCH CALCS'!$D$3:$D1000, $A5)+COUNTIFS('MATCH CALCS'!$AK$3:$AK1000,("=Sc"),'MATCH CALCS'!$D$3:$D1000, $A5)),(COUNTIFS('MATCH CALCS'!$AT$3:$AT1000,("=Dc"),'MATCH CALCS'!$D$3:$D1000, $A5,'MATCH CALCS'!$A$3:$A1000,$A$1)+COUNTIFS('MATCH CALCS'!$AT$3:$AT1000,("=Sc"),'MATCH CALCS'!$D$3:$D1000, $A5,'MATCH CALCS'!$A$3:$A1000,$A$1))/(COUNTIFS('MATCH CALCS'!$AK$3:$AK1000,("=Dc"),'MATCH CALCS'!$D$3:$D1000, $A5,'MATCH CALCS'!$A$3:$A1000,$A$1)+COUNTIFS('MATCH CALCS'!$AK$3:$AK1000,("=Sc"),'MATCH CALCS'!$D$3:$D1000, $A5,'MATCH CALCS'!$A$3:$A1000,$A$1))),"-")</f>
        <v>0</v>
      </c>
      <c r="AC5" s="25">
        <f ca="1">IFERROR(IF($A$1="All",COUNTIFS('MATCH CALCS'!$AT$3:$AT1000,("=Dc"),'MATCH CALCS'!$D$3:$D1000, $A5)+COUNTIFS('MATCH CALCS'!$AT$3:$AT1000,("=Sc"),'MATCH CALCS'!$D$3:$D1000, $A5),COUNTIFS('MATCH CALCS'!$AT$3:$AT1000,("=Dc"),'MATCH CALCS'!$D$3:$D1000, $A5,'MATCH CALCS'!$A$3:$A1000, $A$1)+COUNTIFS('MATCH CALCS'!$AT$3:$AT1000,("=Sc"),'MATCH CALCS'!$D$3:$D1000, $A5,'MATCH CALCS'!$A$3:$A1000, $A$1)),"-")</f>
        <v>0</v>
      </c>
    </row>
    <row r="6" spans="1:55" ht="12.75">
      <c r="A6" s="30">
        <f ca="1">IFERROR(__xludf.DUMMYFUNCTION("""COMPUTED_VALUE"""),2227)</f>
        <v>2227</v>
      </c>
      <c r="B6" s="6" t="str">
        <f ca="1">IFERROR(__xludf.DUMMYFUNCTION("""COMPUTED_VALUE"""),"Tigers")</f>
        <v>Tigers</v>
      </c>
      <c r="C6" s="30" t="str">
        <f ca="1">IFERROR(__xludf.DUMMYFUNCTION("FILTER('TEAM RANKING'!$A:$A,'TEAM RANKING'!$K:$K=$A6)"),"#N/A")</f>
        <v>#N/A</v>
      </c>
      <c r="D6" s="15"/>
      <c r="E6" s="110">
        <f ca="1">IFERROR((IF($A$1="All", COUNTIF('MATCH CALCS'!$D:$D,$A6), (COUNTIFS('MATCH CALCS'!D:D, $A6, 'MATCH CALCS'!$A:$A,$A$1)))),"-")</f>
        <v>2</v>
      </c>
      <c r="F6" s="111">
        <f ca="1">IFERROR(IF($A$1="All",SUMIF('MATCH CALCS'!$D:$D,$A6,'MATCH CALCS'!$AW:$AW)/$E6,(SUMIFS('MATCH CALCS'!$AW:$AW, 'MATCH CALCS'!$D:$D, $A6, 'MATCH CALCS'!$A:$A, $A$1)/$E6)),"-")</f>
        <v>0.5</v>
      </c>
      <c r="G6" s="112">
        <f ca="1">IFERROR(IF($A$1="All",SUMIF('MATCH CALCS'!$D:$D,$A6,'MATCH CALCS'!O:O)/$E6,(SUMIFS('MATCH CALCS'!O:O, 'MATCH CALCS'!$D:$D, $A6, 'MATCH CALCS'!$A:$A, $A$1)/$E6)),"-")</f>
        <v>0.5</v>
      </c>
      <c r="H6" s="112">
        <f ca="1">IFERROR(IF($A$1="All",SUMIF('MATCH CALCS'!$D:$D,$A6,'MATCH CALCS'!N:N)/$E6,(SUMIFS('MATCH CALCS'!N:N, 'MATCH CALCS'!$D:$D, $A6, 'MATCH CALCS'!$A:$A, $A$1)/$E6)),"-")</f>
        <v>0</v>
      </c>
      <c r="I6" s="112">
        <f ca="1">IFERROR(IF($A$1="All",SUMIF('MATCH CALCS'!$D:$D,$A6,'MATCH CALCS'!M:M)/$E6,(SUMIFS('MATCH CALCS'!M:M, 'MATCH CALCS'!$D:$D, $A6, 'MATCH CALCS'!$A:$A, $A$1)/$E6)),"-")</f>
        <v>0</v>
      </c>
      <c r="J6" s="112">
        <f ca="1">IFERROR(IF($A$1="All",SUMIF('MATCH CALCS'!$D:$D,$A6,'MATCH CALCS'!L:L)/$E6,(SUMIFS('MATCH CALCS'!L:L, 'MATCH CALCS'!$D:$D, $A6, 'MATCH CALCS'!$A:$A, $A$1)/$E6)),"-")</f>
        <v>0</v>
      </c>
      <c r="K6" s="112">
        <f t="shared" ca="1" si="0"/>
        <v>0.5</v>
      </c>
      <c r="L6" s="13">
        <f ca="1">IF($A$1="All",AVERAGEIF('MATCH CALCS'!$D$3:$D1000,$A6,'MATCH CALCS'!$AZ$3:$AZ1000),AVERAGEIFS('MATCH CALCS'!$AZ$3:$AZ1000,'MATCH CALCS'!$D$3:$D1000,$A6,'MATCH CALCS'!$A$3:$A1000,$A$1))</f>
        <v>0.5</v>
      </c>
      <c r="M6" s="112">
        <f ca="1">IF($A$1="All",AVERAGEIF('MATCH CALCS'!$D:$D,$A6,'MATCH CALCS'!R:R),(SUMIFS('MATCH CALCS'!R$3:R1000, 'MATCH CALCS'!$D$3:$D1000, $A6, 'MATCH CALCS'!A$3:A1000, $A$1)/$E6))</f>
        <v>0</v>
      </c>
      <c r="N6" s="112">
        <f ca="1">IFERROR(IF($A$1="All",SUMIF('MATCH CALCS'!$D:$D,$A6,'MATCH CALCS'!S:S)/$E6,(SUMIFS('MATCH CALCS'!S:S, 'MATCH CALCS'!$D:$D, $A6, 'MATCH CALCS'!A:A, $A$1)/$E6)),"-")</f>
        <v>0</v>
      </c>
      <c r="O6" s="113" t="e">
        <f ca="1">IF($A$1="All",AVERAGEIF('MATCH CALCS'!$D$3:$D1000,$A6,'MATCH CALCS'!$BC$3:$BC1000),AVERAGEIFS('MATCH CALCS'!$BC$3:$BC1000,'MATCH CALCS'!$D$3:$D1000,$A6,'MATCH CALCS'!$A$3:$A1000,$A$1))</f>
        <v>#DIV/0!</v>
      </c>
      <c r="P6" s="112">
        <f ca="1">IFERROR(IF($A$1="All",SUMIF('MATCH CALCS'!$D:$D,$A6,'MATCH CALCS'!AH:AH)/$E6,(SUMIFS('MATCH CALCS'!AH:AH, 'MATCH CALCS'!$D:$D, $A6, 'MATCH CALCS'!$A:$A, $A$1)/$E6)),"-")</f>
        <v>0</v>
      </c>
      <c r="Q6" s="112">
        <f ca="1">IFERROR(IF($A$1="All",SUMIF('MATCH CALCS'!$D:$D,$A6,'MATCH CALCS'!AG:AG)/$E6,(SUMIFS('MATCH CALCS'!AG:AG, 'MATCH CALCS'!$D:$D, $A6, 'MATCH CALCS'!$A:$A, $A$1)/$E6)),"-")</f>
        <v>0</v>
      </c>
      <c r="R6" s="112">
        <f ca="1">IFERROR(IF($A$1="All",SUMIF('MATCH CALCS'!$D:$D,$A6,'MATCH CALCS'!AF:AF)/$E6,(SUMIFS('MATCH CALCS'!AF:AF, 'MATCH CALCS'!$D:$D, $A6, 'MATCH CALCS'!$A:$A, $A$1)/$E6)),"-")</f>
        <v>0</v>
      </c>
      <c r="S6" s="112">
        <f ca="1">IFERROR(IF($A$1="All",SUMIF('MATCH CALCS'!$D:$D,$A6,'MATCH CALCS'!$AE:$AE)/$E6,(SUMIFS('MATCH CALCS'!$AE:$AE, 'MATCH CALCS'!$D:$D, $A6, 'MATCH CALCS'!$A:$A, $A$1)/$E6)),"-")</f>
        <v>0.5</v>
      </c>
      <c r="T6" s="112">
        <f t="shared" ca="1" si="1"/>
        <v>0.5</v>
      </c>
      <c r="U6" s="13">
        <f ca="1">IF($A$1="All",AVERAGEIF('MATCH CALCS'!$D$3:$D1000,$A6,'MATCH CALCS'!$BI$3:$BI1000),AVERAGEIFS('MATCH CALCS'!$BI$3:$BI1000,'MATCH CALCS'!$D$3:$D1000,$A6,'MATCH CALCS'!$A$3:$A1000,$A$1))</f>
        <v>0.25</v>
      </c>
      <c r="V6" s="112">
        <f ca="1">IFERROR(IF($A$1="All",SUMIF('MATCH CALCS'!$D:$D,$A6,'MATCH CALCS'!W:W)/$E6,(SUMIFS('MATCH CALCS'!W:W, 'MATCH CALCS'!$D:$D, $A6, 'MATCH CALCS'!$A:$A, $A$1)/$E6)),"-")</f>
        <v>0</v>
      </c>
      <c r="W6" s="112">
        <f ca="1">IFERROR(IF($A$1="All",SUMIF('MATCH CALCS'!$D:$D,$A6,'MATCH CALCS'!X:X)/$E6,(SUMIFS('MATCH CALCS'!X:X, 'MATCH CALCS'!$D:$D, $A6, 'MATCH CALCS'!$A:$A, $A$1)/$E6)),"-")</f>
        <v>0</v>
      </c>
      <c r="X6" s="114" t="e">
        <f ca="1">IF($A$1="All",AVERAGEIF('MATCH CALCS'!$D$3:$D1000,$A6,'MATCH CALCS'!$BF$3:$BF1000),AVERAGEIFS('MATCH CALCS'!$BF$3:$BF1000,'MATCH CALCS'!$D$3:$D1000, $A6, 'MATCH CALCS'!$A$3:$A1000, $A$1))</f>
        <v>#DIV/0!</v>
      </c>
      <c r="Y6" s="115">
        <f ca="1">IF($A$1="All",SUMIF('MATCH CALCS'!$D$3:$D1000,$A6,'MATCH CALCS'!$BJ$3:$BJ1000),SUMIFS('MATCH CALCS'!$BJ$3:$BJ1000,'MATCH CALCS'!$D$3:$D1000, $A6, 'MATCH CALCS'!$A$3:$A1000, $A$1))</f>
        <v>1</v>
      </c>
      <c r="Z6" s="116" t="str">
        <f ca="1">IFERROR(__xludf.DUMMYFUNCTION("IFERROR(IF($A$1=""All"",AVERAGE(FILTER('MATCH CALCS'!$BR$3:$BR1000, 'MATCH CALCS'!$D$3:$D1000=$A6)),AVERAGE(FILTER('MATCH CALCS'!$BR$3:$BR1000, 'MATCH CALCS'!$D$3:$D1000=$A6,'MATCH CALCS'!$A$3:$A1000=$A$1))),""No Data"")"),"No Data")</f>
        <v>No Data</v>
      </c>
      <c r="AA6" s="117" t="str">
        <f ca="1">IFERROR(__xludf.DUMMYFUNCTION("IFERROR(IF($A$1=""All"",IF(COUNTIF(FILTER('MATCH CALCS'!$AT$3:$AT1000,'MATCH CALCS'!$D$3:$D1000=$A6), ""Dc"")&gt;0, IF(COUNTIF(FILTER('MATCH CALCS'!$AT$3:$AT1000,'MATCH CALCS'!$D$3:$D1000=$A6), ""Sc"")&gt;0, ""Mixed"", ""Deep""), IF(COUNTIF(FILTER('MATCH CALCS'"&amp;"!$AT$3:$AT1000,'MATCH CALCS'!$D$3:$D1000=$A6), ""Sc"")&gt;0, ""Shallow"",""None"")),IF(COUNTIF(FILTER('MATCH CALCS'!$AT$3:$AT1000,'MATCH CALCS'!$D$3:$D1000=$A6,'MATCH CALCS'!$A$3:$A1000=$A$1), ""Dc"")&gt;0, IF(COUNTIF(FILTER('MATCH CALCS'!$AT$3:$AT1000,'MATCH C"&amp;"ALCS'!$D$3:$D1000=$A6,'MATCH CALCS'!$A$3:$A1000=$A$1), ""Sc"")&gt;0, ""Mixed"", ""Deep""), IF(COUNTIF(FILTER('MATCH CALCS'!$AT$3:$AT1000,'MATCH CALCS'!$D$3:$D1000=$A6,'MATCH CALCS'!$A$3:$A1000=$A$1), ""Sc"")&gt;0, ""Shallow"",""None""))))"),"None")</f>
        <v>None</v>
      </c>
      <c r="AB6" s="9">
        <f ca="1">IFERROR(IF($A$1="All",(COUNTIFS('MATCH CALCS'!$AT$3:$AT1000,("=Dc"),'MATCH CALCS'!$D$3:$D1000, $A6)+COUNTIFS('MATCH CALCS'!$AT$3:$AT1000,("=Sc"),'MATCH CALCS'!$D$3:$D1000, $A6))/(COUNTIFS('MATCH CALCS'!$AK$3:$AK1000,("=Dc"),'MATCH CALCS'!$D$3:$D1000, $A6)+COUNTIFS('MATCH CALCS'!$AK$3:$AK1000,("=Sc"),'MATCH CALCS'!$D$3:$D1000, $A6)),(COUNTIFS('MATCH CALCS'!$AT$3:$AT1000,("=Dc"),'MATCH CALCS'!$D$3:$D1000, $A6,'MATCH CALCS'!$A$3:$A1000,$A$1)+COUNTIFS('MATCH CALCS'!$AT$3:$AT1000,("=Sc"),'MATCH CALCS'!$D$3:$D1000, $A6,'MATCH CALCS'!$A$3:$A1000,$A$1))/(COUNTIFS('MATCH CALCS'!$AK$3:$AK1000,("=Dc"),'MATCH CALCS'!$D$3:$D1000, $A6,'MATCH CALCS'!$A$3:$A1000,$A$1)+COUNTIFS('MATCH CALCS'!$AK$3:$AK1000,("=Sc"),'MATCH CALCS'!$D$3:$D1000, $A6,'MATCH CALCS'!$A$3:$A1000,$A$1))),"-")</f>
        <v>0</v>
      </c>
      <c r="AC6" s="25">
        <f ca="1">IFERROR(IF($A$1="All",COUNTIFS('MATCH CALCS'!$AT$3:$AT1000,("=Dc"),'MATCH CALCS'!$D$3:$D1000, $A6)+COUNTIFS('MATCH CALCS'!$AT$3:$AT1000,("=Sc"),'MATCH CALCS'!$D$3:$D1000, $A6),COUNTIFS('MATCH CALCS'!$AT$3:$AT1000,("=Dc"),'MATCH CALCS'!$D$3:$D1000, $A6,'MATCH CALCS'!$A$3:$A1000, $A$1)+COUNTIFS('MATCH CALCS'!$AT$3:$AT1000,("=Sc"),'MATCH CALCS'!$D$3:$D1000, $A6,'MATCH CALCS'!$A$3:$A1000, $A$1)),"-")</f>
        <v>0</v>
      </c>
    </row>
    <row r="7" spans="1:55" ht="12.75">
      <c r="A7" s="30">
        <f ca="1">IFERROR(__xludf.DUMMYFUNCTION("""COMPUTED_VALUE"""),2264)</f>
        <v>2264</v>
      </c>
      <c r="B7" s="6" t="str">
        <f ca="1">IFERROR(__xludf.DUMMYFUNCTION("""COMPUTED_VALUE"""),"Trojan Robotics")</f>
        <v>Trojan Robotics</v>
      </c>
      <c r="C7" s="30" t="str">
        <f ca="1">IFERROR(__xludf.DUMMYFUNCTION("FILTER('TEAM RANKING'!$A:$A,'TEAM RANKING'!$K:$K=$A7)"),"#N/A")</f>
        <v>#N/A</v>
      </c>
      <c r="D7" s="15"/>
      <c r="E7" s="110">
        <f ca="1">IFERROR((IF($A$1="All", COUNTIF('MATCH CALCS'!$D:$D,$A7), (COUNTIFS('MATCH CALCS'!D:D, $A7, 'MATCH CALCS'!$A:$A,$A$1)))),"-")</f>
        <v>2</v>
      </c>
      <c r="F7" s="111">
        <f ca="1">IFERROR(IF($A$1="All",SUMIF('MATCH CALCS'!$D:$D,$A7,'MATCH CALCS'!$AW:$AW)/$E7,(SUMIFS('MATCH CALCS'!$AW:$AW, 'MATCH CALCS'!$D:$D, $A7, 'MATCH CALCS'!$A:$A, $A$1)/$E7)),"-")</f>
        <v>0</v>
      </c>
      <c r="G7" s="112">
        <f ca="1">IFERROR(IF($A$1="All",SUMIF('MATCH CALCS'!$D:$D,$A7,'MATCH CALCS'!O:O)/$E7,(SUMIFS('MATCH CALCS'!O:O, 'MATCH CALCS'!$D:$D, $A7, 'MATCH CALCS'!$A:$A, $A$1)/$E7)),"-")</f>
        <v>0</v>
      </c>
      <c r="H7" s="112">
        <f ca="1">IFERROR(IF($A$1="All",SUMIF('MATCH CALCS'!$D:$D,$A7,'MATCH CALCS'!N:N)/$E7,(SUMIFS('MATCH CALCS'!N:N, 'MATCH CALCS'!$D:$D, $A7, 'MATCH CALCS'!$A:$A, $A$1)/$E7)),"-")</f>
        <v>0</v>
      </c>
      <c r="I7" s="112">
        <f ca="1">IFERROR(IF($A$1="All",SUMIF('MATCH CALCS'!$D:$D,$A7,'MATCH CALCS'!M:M)/$E7,(SUMIFS('MATCH CALCS'!M:M, 'MATCH CALCS'!$D:$D, $A7, 'MATCH CALCS'!$A:$A, $A$1)/$E7)),"-")</f>
        <v>0</v>
      </c>
      <c r="J7" s="112">
        <f ca="1">IFERROR(IF($A$1="All",SUMIF('MATCH CALCS'!$D:$D,$A7,'MATCH CALCS'!L:L)/$E7,(SUMIFS('MATCH CALCS'!L:L, 'MATCH CALCS'!$D:$D, $A7, 'MATCH CALCS'!$A:$A, $A$1)/$E7)),"-")</f>
        <v>0</v>
      </c>
      <c r="K7" s="112">
        <f t="shared" ca="1" si="0"/>
        <v>0</v>
      </c>
      <c r="L7" s="13" t="e">
        <f ca="1">IF($A$1="All",AVERAGEIF('MATCH CALCS'!$D$3:$D1000,$A7,'MATCH CALCS'!$AZ$3:$AZ1000),AVERAGEIFS('MATCH CALCS'!$AZ$3:$AZ1000,'MATCH CALCS'!$D$3:$D1000,$A7,'MATCH CALCS'!$A$3:$A1000,$A$1))</f>
        <v>#DIV/0!</v>
      </c>
      <c r="M7" s="112">
        <f ca="1">IF($A$1="All",AVERAGEIF('MATCH CALCS'!$D:$D,$A7,'MATCH CALCS'!R:R),(SUMIFS('MATCH CALCS'!R$3:R1000, 'MATCH CALCS'!$D$3:$D1000, $A7, 'MATCH CALCS'!A$3:A1000, $A$1)/$E7))</f>
        <v>0</v>
      </c>
      <c r="N7" s="112">
        <f ca="1">IFERROR(IF($A$1="All",SUMIF('MATCH CALCS'!$D:$D,$A7,'MATCH CALCS'!S:S)/$E7,(SUMIFS('MATCH CALCS'!S:S, 'MATCH CALCS'!$D:$D, $A7, 'MATCH CALCS'!A:A, $A$1)/$E7)),"-")</f>
        <v>0</v>
      </c>
      <c r="O7" s="113" t="e">
        <f ca="1">IF($A$1="All",AVERAGEIF('MATCH CALCS'!$D$3:$D1000,$A7,'MATCH CALCS'!$BC$3:$BC1000),AVERAGEIFS('MATCH CALCS'!$BC$3:$BC1000,'MATCH CALCS'!$D$3:$D1000,$A7,'MATCH CALCS'!$A$3:$A1000,$A$1))</f>
        <v>#DIV/0!</v>
      </c>
      <c r="P7" s="112">
        <f ca="1">IFERROR(IF($A$1="All",SUMIF('MATCH CALCS'!$D:$D,$A7,'MATCH CALCS'!AH:AH)/$E7,(SUMIFS('MATCH CALCS'!AH:AH, 'MATCH CALCS'!$D:$D, $A7, 'MATCH CALCS'!$A:$A, $A$1)/$E7)),"-")</f>
        <v>0</v>
      </c>
      <c r="Q7" s="112">
        <f ca="1">IFERROR(IF($A$1="All",SUMIF('MATCH CALCS'!$D:$D,$A7,'MATCH CALCS'!AG:AG)/$E7,(SUMIFS('MATCH CALCS'!AG:AG, 'MATCH CALCS'!$D:$D, $A7, 'MATCH CALCS'!$A:$A, $A$1)/$E7)),"-")</f>
        <v>0</v>
      </c>
      <c r="R7" s="112">
        <f ca="1">IFERROR(IF($A$1="All",SUMIF('MATCH CALCS'!$D:$D,$A7,'MATCH CALCS'!AF:AF)/$E7,(SUMIFS('MATCH CALCS'!AF:AF, 'MATCH CALCS'!$D:$D, $A7, 'MATCH CALCS'!$A:$A, $A$1)/$E7)),"-")</f>
        <v>0.5</v>
      </c>
      <c r="S7" s="112">
        <f ca="1">IFERROR(IF($A$1="All",SUMIF('MATCH CALCS'!$D:$D,$A7,'MATCH CALCS'!$AE:$AE)/$E7,(SUMIFS('MATCH CALCS'!$AE:$AE, 'MATCH CALCS'!$D:$D, $A7, 'MATCH CALCS'!$A:$A, $A$1)/$E7)),"-")</f>
        <v>0.5</v>
      </c>
      <c r="T7" s="112">
        <f t="shared" ca="1" si="1"/>
        <v>1</v>
      </c>
      <c r="U7" s="13">
        <f ca="1">IF($A$1="All",AVERAGEIF('MATCH CALCS'!$D$3:$D1000,$A7,'MATCH CALCS'!$BI$3:$BI1000),AVERAGEIFS('MATCH CALCS'!$BI$3:$BI1000,'MATCH CALCS'!$D$3:$D1000,$A7,'MATCH CALCS'!$A$3:$A1000,$A$1))</f>
        <v>0.4</v>
      </c>
      <c r="V7" s="112">
        <f ca="1">IFERROR(IF($A$1="All",SUMIF('MATCH CALCS'!$D:$D,$A7,'MATCH CALCS'!W:W)/$E7,(SUMIFS('MATCH CALCS'!W:W, 'MATCH CALCS'!$D:$D, $A7, 'MATCH CALCS'!$A:$A, $A$1)/$E7)),"-")</f>
        <v>0</v>
      </c>
      <c r="W7" s="112">
        <f ca="1">IFERROR(IF($A$1="All",SUMIF('MATCH CALCS'!$D:$D,$A7,'MATCH CALCS'!X:X)/$E7,(SUMIFS('MATCH CALCS'!X:X, 'MATCH CALCS'!$D:$D, $A7, 'MATCH CALCS'!$A:$A, $A$1)/$E7)),"-")</f>
        <v>0</v>
      </c>
      <c r="X7" s="114" t="e">
        <f ca="1">IF($A$1="All",AVERAGEIF('MATCH CALCS'!$D$3:$D1000,$A7,'MATCH CALCS'!$BF$3:$BF1000),AVERAGEIFS('MATCH CALCS'!$BF$3:$BF1000,'MATCH CALCS'!$D$3:$D1000, $A7, 'MATCH CALCS'!$A$3:$A1000, $A$1))</f>
        <v>#DIV/0!</v>
      </c>
      <c r="Y7" s="115">
        <f ca="1">IF($A$1="All",SUMIF('MATCH CALCS'!$D$3:$D1000,$A7,'MATCH CALCS'!$BJ$3:$BJ1000),SUMIFS('MATCH CALCS'!$BJ$3:$BJ1000,'MATCH CALCS'!$D$3:$D1000, $A7, 'MATCH CALCS'!$A$3:$A1000, $A$1))</f>
        <v>0</v>
      </c>
      <c r="Z7" s="116" t="str">
        <f ca="1">IFERROR(__xludf.DUMMYFUNCTION("IFERROR(IF($A$1=""All"",AVERAGE(FILTER('MATCH CALCS'!$BR$3:$BR1000, 'MATCH CALCS'!$D$3:$D1000=$A7)),AVERAGE(FILTER('MATCH CALCS'!$BR$3:$BR1000, 'MATCH CALCS'!$D$3:$D1000=$A7,'MATCH CALCS'!$A$3:$A1000=$A$1))),""No Data"")"),"No Data")</f>
        <v>No Data</v>
      </c>
      <c r="AA7" s="117" t="str">
        <f ca="1">IFERROR(__xludf.DUMMYFUNCTION("IFERROR(IF($A$1=""All"",IF(COUNTIF(FILTER('MATCH CALCS'!$AT$3:$AT1000,'MATCH CALCS'!$D$3:$D1000=$A7), ""Dc"")&gt;0, IF(COUNTIF(FILTER('MATCH CALCS'!$AT$3:$AT1000,'MATCH CALCS'!$D$3:$D1000=$A7), ""Sc"")&gt;0, ""Mixed"", ""Deep""), IF(COUNTIF(FILTER('MATCH CALCS'"&amp;"!$AT$3:$AT1000,'MATCH CALCS'!$D$3:$D1000=$A7), ""Sc"")&gt;0, ""Shallow"",""None"")),IF(COUNTIF(FILTER('MATCH CALCS'!$AT$3:$AT1000,'MATCH CALCS'!$D$3:$D1000=$A7,'MATCH CALCS'!$A$3:$A1000=$A$1), ""Dc"")&gt;0, IF(COUNTIF(FILTER('MATCH CALCS'!$AT$3:$AT1000,'MATCH C"&amp;"ALCS'!$D$3:$D1000=$A7,'MATCH CALCS'!$A$3:$A1000=$A$1), ""Sc"")&gt;0, ""Mixed"", ""Deep""), IF(COUNTIF(FILTER('MATCH CALCS'!$AT$3:$AT1000,'MATCH CALCS'!$D$3:$D1000=$A7,'MATCH CALCS'!$A$3:$A1000=$A$1), ""Sc"")&gt;0, ""Shallow"",""None""))))"),"Deep")</f>
        <v>Deep</v>
      </c>
      <c r="AB7" s="9">
        <f ca="1">IFERROR(IF($A$1="All",(COUNTIFS('MATCH CALCS'!$AT$3:$AT1000,("=Dc"),'MATCH CALCS'!$D$3:$D1000, $A7)+COUNTIFS('MATCH CALCS'!$AT$3:$AT1000,("=Sc"),'MATCH CALCS'!$D$3:$D1000, $A7))/(COUNTIFS('MATCH CALCS'!$AK$3:$AK1000,("=Dc"),'MATCH CALCS'!$D$3:$D1000, $A7)+COUNTIFS('MATCH CALCS'!$AK$3:$AK1000,("=Sc"),'MATCH CALCS'!$D$3:$D1000, $A7)),(COUNTIFS('MATCH CALCS'!$AT$3:$AT1000,("=Dc"),'MATCH CALCS'!$D$3:$D1000, $A7,'MATCH CALCS'!$A$3:$A1000,$A$1)+COUNTIFS('MATCH CALCS'!$AT$3:$AT1000,("=Sc"),'MATCH CALCS'!$D$3:$D1000, $A7,'MATCH CALCS'!$A$3:$A1000,$A$1))/(COUNTIFS('MATCH CALCS'!$AK$3:$AK1000,("=Dc"),'MATCH CALCS'!$D$3:$D1000, $A7,'MATCH CALCS'!$A$3:$A1000,$A$1)+COUNTIFS('MATCH CALCS'!$AK$3:$AK1000,("=Sc"),'MATCH CALCS'!$D$3:$D1000, $A7,'MATCH CALCS'!$A$3:$A1000,$A$1))),"-")</f>
        <v>1</v>
      </c>
      <c r="AC7" s="25">
        <f ca="1">IFERROR(IF($A$1="All",COUNTIFS('MATCH CALCS'!$AT$3:$AT1000,("=Dc"),'MATCH CALCS'!$D$3:$D1000, $A7)+COUNTIFS('MATCH CALCS'!$AT$3:$AT1000,("=Sc"),'MATCH CALCS'!$D$3:$D1000, $A7),COUNTIFS('MATCH CALCS'!$AT$3:$AT1000,("=Dc"),'MATCH CALCS'!$D$3:$D1000, $A7,'MATCH CALCS'!$A$3:$A1000, $A$1)+COUNTIFS('MATCH CALCS'!$AT$3:$AT1000,("=Sc"),'MATCH CALCS'!$D$3:$D1000, $A7,'MATCH CALCS'!$A$3:$A1000, $A$1)),"-")</f>
        <v>1</v>
      </c>
    </row>
    <row r="8" spans="1:55" ht="12.75">
      <c r="A8" s="30">
        <f ca="1">IFERROR(__xludf.DUMMYFUNCTION("""COMPUTED_VALUE"""),2450)</f>
        <v>2450</v>
      </c>
      <c r="B8" s="6" t="str">
        <f ca="1">IFERROR(__xludf.DUMMYFUNCTION("""COMPUTED_VALUE"""),"Wind Chill")</f>
        <v>Wind Chill</v>
      </c>
      <c r="C8" s="30" t="str">
        <f ca="1">IFERROR(__xludf.DUMMYFUNCTION("FILTER('TEAM RANKING'!$A:$A,'TEAM RANKING'!$K:$K=$A8)"),"#N/A")</f>
        <v>#N/A</v>
      </c>
      <c r="D8" s="15"/>
      <c r="E8" s="110">
        <f ca="1">IFERROR((IF($A$1="All", COUNTIF('MATCH CALCS'!$D:$D,$A8), (COUNTIFS('MATCH CALCS'!D:D, $A8, 'MATCH CALCS'!$A:$A,$A$1)))),"-")</f>
        <v>4</v>
      </c>
      <c r="F8" s="111">
        <f ca="1">IFERROR(IF($A$1="All",SUMIF('MATCH CALCS'!$D:$D,$A8,'MATCH CALCS'!$AW:$AW)/$E8,(SUMIFS('MATCH CALCS'!$AW:$AW, 'MATCH CALCS'!$D:$D, $A8, 'MATCH CALCS'!$A:$A, $A$1)/$E8)),"-")</f>
        <v>0.5</v>
      </c>
      <c r="G8" s="112">
        <f ca="1">IFERROR(IF($A$1="All",SUMIF('MATCH CALCS'!$D:$D,$A8,'MATCH CALCS'!O:O)/$E8,(SUMIFS('MATCH CALCS'!O:O, 'MATCH CALCS'!$D:$D, $A8, 'MATCH CALCS'!$A:$A, $A$1)/$E8)),"-")</f>
        <v>0</v>
      </c>
      <c r="H8" s="112">
        <f ca="1">IFERROR(IF($A$1="All",SUMIF('MATCH CALCS'!$D:$D,$A8,'MATCH CALCS'!N:N)/$E8,(SUMIFS('MATCH CALCS'!N:N, 'MATCH CALCS'!$D:$D, $A8, 'MATCH CALCS'!$A:$A, $A$1)/$E8)),"-")</f>
        <v>0</v>
      </c>
      <c r="I8" s="112">
        <f ca="1">IFERROR(IF($A$1="All",SUMIF('MATCH CALCS'!$D:$D,$A8,'MATCH CALCS'!M:M)/$E8,(SUMIFS('MATCH CALCS'!M:M, 'MATCH CALCS'!$D:$D, $A8, 'MATCH CALCS'!$A:$A, $A$1)/$E8)),"-")</f>
        <v>0</v>
      </c>
      <c r="J8" s="112">
        <f ca="1">IFERROR(IF($A$1="All",SUMIF('MATCH CALCS'!$D:$D,$A8,'MATCH CALCS'!L:L)/$E8,(SUMIFS('MATCH CALCS'!L:L, 'MATCH CALCS'!$D:$D, $A8, 'MATCH CALCS'!$A:$A, $A$1)/$E8)),"-")</f>
        <v>0</v>
      </c>
      <c r="K8" s="112">
        <f t="shared" ca="1" si="0"/>
        <v>0</v>
      </c>
      <c r="L8" s="13" t="e">
        <f ca="1">IF($A$1="All",AVERAGEIF('MATCH CALCS'!$D$3:$D1000,$A8,'MATCH CALCS'!$AZ$3:$AZ1000),AVERAGEIFS('MATCH CALCS'!$AZ$3:$AZ1000,'MATCH CALCS'!$D$3:$D1000,$A8,'MATCH CALCS'!$A$3:$A1000,$A$1))</f>
        <v>#DIV/0!</v>
      </c>
      <c r="M8" s="112">
        <f ca="1">IF($A$1="All",AVERAGEIF('MATCH CALCS'!$D:$D,$A8,'MATCH CALCS'!R:R),(SUMIFS('MATCH CALCS'!R$3:R1000, 'MATCH CALCS'!$D$3:$D1000, $A8, 'MATCH CALCS'!A$3:A1000, $A$1)/$E8))</f>
        <v>0</v>
      </c>
      <c r="N8" s="112">
        <f ca="1">IFERROR(IF($A$1="All",SUMIF('MATCH CALCS'!$D:$D,$A8,'MATCH CALCS'!S:S)/$E8,(SUMIFS('MATCH CALCS'!S:S, 'MATCH CALCS'!$D:$D, $A8, 'MATCH CALCS'!A:A, $A$1)/$E8)),"-")</f>
        <v>0</v>
      </c>
      <c r="O8" s="113" t="e">
        <f ca="1">IF($A$1="All",AVERAGEIF('MATCH CALCS'!$D$3:$D1000,$A8,'MATCH CALCS'!$BC$3:$BC1000),AVERAGEIFS('MATCH CALCS'!$BC$3:$BC1000,'MATCH CALCS'!$D$3:$D1000,$A8,'MATCH CALCS'!$A$3:$A1000,$A$1))</f>
        <v>#DIV/0!</v>
      </c>
      <c r="P8" s="112">
        <f ca="1">IFERROR(IF($A$1="All",SUMIF('MATCH CALCS'!$D:$D,$A8,'MATCH CALCS'!AH:AH)/$E8,(SUMIFS('MATCH CALCS'!AH:AH, 'MATCH CALCS'!$D:$D, $A8, 'MATCH CALCS'!$A:$A, $A$1)/$E8)),"-")</f>
        <v>0.5</v>
      </c>
      <c r="Q8" s="112">
        <f ca="1">IFERROR(IF($A$1="All",SUMIF('MATCH CALCS'!$D:$D,$A8,'MATCH CALCS'!AG:AG)/$E8,(SUMIFS('MATCH CALCS'!AG:AG, 'MATCH CALCS'!$D:$D, $A8, 'MATCH CALCS'!$A:$A, $A$1)/$E8)),"-")</f>
        <v>1</v>
      </c>
      <c r="R8" s="112">
        <f ca="1">IFERROR(IF($A$1="All",SUMIF('MATCH CALCS'!$D:$D,$A8,'MATCH CALCS'!AF:AF)/$E8,(SUMIFS('MATCH CALCS'!AF:AF, 'MATCH CALCS'!$D:$D, $A8, 'MATCH CALCS'!$A:$A, $A$1)/$E8)),"-")</f>
        <v>2</v>
      </c>
      <c r="S8" s="112">
        <f ca="1">IFERROR(IF($A$1="All",SUMIF('MATCH CALCS'!$D:$D,$A8,'MATCH CALCS'!$AE:$AE)/$E8,(SUMIFS('MATCH CALCS'!$AE:$AE, 'MATCH CALCS'!$D:$D, $A8, 'MATCH CALCS'!$A:$A, $A$1)/$E8)),"-")</f>
        <v>0</v>
      </c>
      <c r="T8" s="112">
        <f t="shared" ca="1" si="1"/>
        <v>3.5</v>
      </c>
      <c r="U8" s="13">
        <f ca="1">IF($A$1="All",AVERAGEIF('MATCH CALCS'!$D$3:$D1000,$A8,'MATCH CALCS'!$BI$3:$BI1000),AVERAGEIFS('MATCH CALCS'!$BI$3:$BI1000,'MATCH CALCS'!$D$3:$D1000,$A8,'MATCH CALCS'!$A$3:$A1000,$A$1))</f>
        <v>0.5580357142857143</v>
      </c>
      <c r="V8" s="112">
        <f ca="1">IFERROR(IF($A$1="All",SUMIF('MATCH CALCS'!$D:$D,$A8,'MATCH CALCS'!W:W)/$E8,(SUMIFS('MATCH CALCS'!W:W, 'MATCH CALCS'!$D:$D, $A8, 'MATCH CALCS'!$A:$A, $A$1)/$E8)),"-")</f>
        <v>0</v>
      </c>
      <c r="W8" s="112">
        <f ca="1">IFERROR(IF($A$1="All",SUMIF('MATCH CALCS'!$D:$D,$A8,'MATCH CALCS'!X:X)/$E8,(SUMIFS('MATCH CALCS'!X:X, 'MATCH CALCS'!$D:$D, $A8, 'MATCH CALCS'!$A:$A, $A$1)/$E8)),"-")</f>
        <v>0</v>
      </c>
      <c r="X8" s="114" t="e">
        <f ca="1">IF($A$1="All",AVERAGEIF('MATCH CALCS'!$D$3:$D1000,$A8,'MATCH CALCS'!$BF$3:$BF1000),AVERAGEIFS('MATCH CALCS'!$BF$3:$BF1000,'MATCH CALCS'!$D$3:$D1000, $A8, 'MATCH CALCS'!$A$3:$A1000, $A$1))</f>
        <v>#DIV/0!</v>
      </c>
      <c r="Y8" s="115">
        <f ca="1">IF($A$1="All",SUMIF('MATCH CALCS'!$D$3:$D1000,$A8,'MATCH CALCS'!$BJ$3:$BJ1000),SUMIFS('MATCH CALCS'!$BJ$3:$BJ1000,'MATCH CALCS'!$D$3:$D1000, $A8, 'MATCH CALCS'!$A$3:$A1000, $A$1))</f>
        <v>0</v>
      </c>
      <c r="Z8" s="116" t="str">
        <f ca="1">IFERROR(__xludf.DUMMYFUNCTION("IFERROR(IF($A$1=""All"",AVERAGE(FILTER('MATCH CALCS'!$BR$3:$BR1000, 'MATCH CALCS'!$D$3:$D1000=$A8)),AVERAGE(FILTER('MATCH CALCS'!$BR$3:$BR1000, 'MATCH CALCS'!$D$3:$D1000=$A8,'MATCH CALCS'!$A$3:$A1000=$A$1))),""No Data"")"),"No Data")</f>
        <v>No Data</v>
      </c>
      <c r="AA8" s="117" t="str">
        <f ca="1">IFERROR(__xludf.DUMMYFUNCTION("IFERROR(IF($A$1=""All"",IF(COUNTIF(FILTER('MATCH CALCS'!$AT$3:$AT1000,'MATCH CALCS'!$D$3:$D1000=$A8), ""Dc"")&gt;0, IF(COUNTIF(FILTER('MATCH CALCS'!$AT$3:$AT1000,'MATCH CALCS'!$D$3:$D1000=$A8), ""Sc"")&gt;0, ""Mixed"", ""Deep""), IF(COUNTIF(FILTER('MATCH CALCS'"&amp;"!$AT$3:$AT1000,'MATCH CALCS'!$D$3:$D1000=$A8), ""Sc"")&gt;0, ""Shallow"",""None"")),IF(COUNTIF(FILTER('MATCH CALCS'!$AT$3:$AT1000,'MATCH CALCS'!$D$3:$D1000=$A8,'MATCH CALCS'!$A$3:$A1000=$A$1), ""Dc"")&gt;0, IF(COUNTIF(FILTER('MATCH CALCS'!$AT$3:$AT1000,'MATCH C"&amp;"ALCS'!$D$3:$D1000=$A8,'MATCH CALCS'!$A$3:$A1000=$A$1), ""Sc"")&gt;0, ""Mixed"", ""Deep""), IF(COUNTIF(FILTER('MATCH CALCS'!$AT$3:$AT1000,'MATCH CALCS'!$D$3:$D1000=$A8,'MATCH CALCS'!$A$3:$A1000=$A$1), ""Sc"")&gt;0, ""Shallow"",""None""))))"),"None")</f>
        <v>None</v>
      </c>
      <c r="AB8" s="9">
        <f ca="1">IFERROR(IF($A$1="All",(COUNTIFS('MATCH CALCS'!$AT$3:$AT1000,("=Dc"),'MATCH CALCS'!$D$3:$D1000, $A8)+COUNTIFS('MATCH CALCS'!$AT$3:$AT1000,("=Sc"),'MATCH CALCS'!$D$3:$D1000, $A8))/(COUNTIFS('MATCH CALCS'!$AK$3:$AK1000,("=Dc"),'MATCH CALCS'!$D$3:$D1000, $A8)+COUNTIFS('MATCH CALCS'!$AK$3:$AK1000,("=Sc"),'MATCH CALCS'!$D$3:$D1000, $A8)),(COUNTIFS('MATCH CALCS'!$AT$3:$AT1000,("=Dc"),'MATCH CALCS'!$D$3:$D1000, $A8,'MATCH CALCS'!$A$3:$A1000,$A$1)+COUNTIFS('MATCH CALCS'!$AT$3:$AT1000,("=Sc"),'MATCH CALCS'!$D$3:$D1000, $A8,'MATCH CALCS'!$A$3:$A1000,$A$1))/(COUNTIFS('MATCH CALCS'!$AK$3:$AK1000,("=Dc"),'MATCH CALCS'!$D$3:$D1000, $A8,'MATCH CALCS'!$A$3:$A1000,$A$1)+COUNTIFS('MATCH CALCS'!$AK$3:$AK1000,("=Sc"),'MATCH CALCS'!$D$3:$D1000, $A8,'MATCH CALCS'!$A$3:$A1000,$A$1))),"-")</f>
        <v>0</v>
      </c>
      <c r="AC8" s="25">
        <f ca="1">IFERROR(IF($A$1="All",COUNTIFS('MATCH CALCS'!$AT$3:$AT1000,("=Dc"),'MATCH CALCS'!$D$3:$D1000, $A8)+COUNTIFS('MATCH CALCS'!$AT$3:$AT1000,("=Sc"),'MATCH CALCS'!$D$3:$D1000, $A8),COUNTIFS('MATCH CALCS'!$AT$3:$AT1000,("=Dc"),'MATCH CALCS'!$D$3:$D1000, $A8,'MATCH CALCS'!$A$3:$A1000, $A$1)+COUNTIFS('MATCH CALCS'!$AT$3:$AT1000,("=Sc"),'MATCH CALCS'!$D$3:$D1000, $A8,'MATCH CALCS'!$A$3:$A1000, $A$1)),"-")</f>
        <v>0</v>
      </c>
    </row>
    <row r="9" spans="1:55" ht="12.75">
      <c r="A9" s="30">
        <f ca="1">IFERROR(__xludf.DUMMYFUNCTION("""COMPUTED_VALUE"""),2472)</f>
        <v>2472</v>
      </c>
      <c r="B9" s="6" t="str">
        <f ca="1">IFERROR(__xludf.DUMMYFUNCTION("""COMPUTED_VALUE"""),"Centurions")</f>
        <v>Centurions</v>
      </c>
      <c r="C9" s="30" t="str">
        <f ca="1">IFERROR(__xludf.DUMMYFUNCTION("FILTER('TEAM RANKING'!$A:$A,'TEAM RANKING'!$K:$K=$A9)"),"#N/A")</f>
        <v>#N/A</v>
      </c>
      <c r="D9" s="15"/>
      <c r="E9" s="110">
        <f ca="1">IFERROR((IF($A$1="All", COUNTIF('MATCH CALCS'!$D:$D,$A9), (COUNTIFS('MATCH CALCS'!D:D, $A9, 'MATCH CALCS'!$A:$A,$A$1)))),"-")</f>
        <v>3</v>
      </c>
      <c r="F9" s="111">
        <f ca="1">IFERROR(IF($A$1="All",SUMIF('MATCH CALCS'!$D:$D,$A9,'MATCH CALCS'!$AW:$AW)/$E9,(SUMIFS('MATCH CALCS'!$AW:$AW, 'MATCH CALCS'!$D:$D, $A9, 'MATCH CALCS'!$A:$A, $A$1)/$E9)),"-")</f>
        <v>0.66666666666666663</v>
      </c>
      <c r="G9" s="112">
        <f ca="1">IFERROR(IF($A$1="All",SUMIF('MATCH CALCS'!$D:$D,$A9,'MATCH CALCS'!O:O)/$E9,(SUMIFS('MATCH CALCS'!O:O, 'MATCH CALCS'!$D:$D, $A9, 'MATCH CALCS'!$A:$A, $A$1)/$E9)),"-")</f>
        <v>0</v>
      </c>
      <c r="H9" s="112">
        <f ca="1">IFERROR(IF($A$1="All",SUMIF('MATCH CALCS'!$D:$D,$A9,'MATCH CALCS'!N:N)/$E9,(SUMIFS('MATCH CALCS'!N:N, 'MATCH CALCS'!$D:$D, $A9, 'MATCH CALCS'!$A:$A, $A$1)/$E9)),"-")</f>
        <v>0</v>
      </c>
      <c r="I9" s="112">
        <f ca="1">IFERROR(IF($A$1="All",SUMIF('MATCH CALCS'!$D:$D,$A9,'MATCH CALCS'!M:M)/$E9,(SUMIFS('MATCH CALCS'!M:M, 'MATCH CALCS'!$D:$D, $A9, 'MATCH CALCS'!$A:$A, $A$1)/$E9)),"-")</f>
        <v>0</v>
      </c>
      <c r="J9" s="112">
        <f ca="1">IFERROR(IF($A$1="All",SUMIF('MATCH CALCS'!$D:$D,$A9,'MATCH CALCS'!L:L)/$E9,(SUMIFS('MATCH CALCS'!L:L, 'MATCH CALCS'!$D:$D, $A9, 'MATCH CALCS'!$A:$A, $A$1)/$E9)),"-")</f>
        <v>0.66666666666666663</v>
      </c>
      <c r="K9" s="112">
        <f t="shared" ca="1" si="0"/>
        <v>0.66666666666666663</v>
      </c>
      <c r="L9" s="13">
        <f ca="1">IF($A$1="All",AVERAGEIF('MATCH CALCS'!$D$3:$D1000,$A9,'MATCH CALCS'!$AZ$3:$AZ1000),AVERAGEIFS('MATCH CALCS'!$AZ$3:$AZ1000,'MATCH CALCS'!$D$3:$D1000,$A9,'MATCH CALCS'!$A$3:$A1000,$A$1))</f>
        <v>0.66666666666666663</v>
      </c>
      <c r="M9" s="112">
        <f ca="1">IF($A$1="All",AVERAGEIF('MATCH CALCS'!$D:$D,$A9,'MATCH CALCS'!R:R),(SUMIFS('MATCH CALCS'!R$3:R1000, 'MATCH CALCS'!$D$3:$D1000, $A9, 'MATCH CALCS'!A$3:A1000, $A$1)/$E9))</f>
        <v>0</v>
      </c>
      <c r="N9" s="112">
        <f ca="1">IFERROR(IF($A$1="All",SUMIF('MATCH CALCS'!$D:$D,$A9,'MATCH CALCS'!S:S)/$E9,(SUMIFS('MATCH CALCS'!S:S, 'MATCH CALCS'!$D:$D, $A9, 'MATCH CALCS'!A:A, $A$1)/$E9)),"-")</f>
        <v>0</v>
      </c>
      <c r="O9" s="113" t="e">
        <f ca="1">IF($A$1="All",AVERAGEIF('MATCH CALCS'!$D$3:$D1000,$A9,'MATCH CALCS'!$BC$3:$BC1000),AVERAGEIFS('MATCH CALCS'!$BC$3:$BC1000,'MATCH CALCS'!$D$3:$D1000,$A9,'MATCH CALCS'!$A$3:$A1000,$A$1))</f>
        <v>#DIV/0!</v>
      </c>
      <c r="P9" s="112">
        <f ca="1">IFERROR(IF($A$1="All",SUMIF('MATCH CALCS'!$D:$D,$A9,'MATCH CALCS'!AH:AH)/$E9,(SUMIFS('MATCH CALCS'!AH:AH, 'MATCH CALCS'!$D:$D, $A9, 'MATCH CALCS'!$A:$A, $A$1)/$E9)),"-")</f>
        <v>0.33333333333333331</v>
      </c>
      <c r="Q9" s="112">
        <f ca="1">IFERROR(IF($A$1="All",SUMIF('MATCH CALCS'!$D:$D,$A9,'MATCH CALCS'!AG:AG)/$E9,(SUMIFS('MATCH CALCS'!AG:AG, 'MATCH CALCS'!$D:$D, $A9, 'MATCH CALCS'!$A:$A, $A$1)/$E9)),"-")</f>
        <v>0.66666666666666663</v>
      </c>
      <c r="R9" s="112">
        <f ca="1">IFERROR(IF($A$1="All",SUMIF('MATCH CALCS'!$D:$D,$A9,'MATCH CALCS'!AF:AF)/$E9,(SUMIFS('MATCH CALCS'!AF:AF, 'MATCH CALCS'!$D:$D, $A9, 'MATCH CALCS'!$A:$A, $A$1)/$E9)),"-")</f>
        <v>1.6666666666666667</v>
      </c>
      <c r="S9" s="112">
        <f ca="1">IFERROR(IF($A$1="All",SUMIF('MATCH CALCS'!$D:$D,$A9,'MATCH CALCS'!$AE:$AE)/$E9,(SUMIFS('MATCH CALCS'!$AE:$AE, 'MATCH CALCS'!$D:$D, $A9, 'MATCH CALCS'!$A:$A, $A$1)/$E9)),"-")</f>
        <v>6.333333333333333</v>
      </c>
      <c r="T9" s="112">
        <f t="shared" ca="1" si="1"/>
        <v>9</v>
      </c>
      <c r="U9" s="13">
        <f ca="1">IF($A$1="All",AVERAGEIF('MATCH CALCS'!$D$3:$D1000,$A9,'MATCH CALCS'!$BI$3:$BI1000),AVERAGEIFS('MATCH CALCS'!$BI$3:$BI1000,'MATCH CALCS'!$D$3:$D1000,$A9,'MATCH CALCS'!$A$3:$A1000,$A$1))</f>
        <v>0.82735042735042741</v>
      </c>
      <c r="V9" s="112">
        <f ca="1">IFERROR(IF($A$1="All",SUMIF('MATCH CALCS'!$D:$D,$A9,'MATCH CALCS'!W:W)/$E9,(SUMIFS('MATCH CALCS'!W:W, 'MATCH CALCS'!$D:$D, $A9, 'MATCH CALCS'!$A:$A, $A$1)/$E9)),"-")</f>
        <v>1.3333333333333333</v>
      </c>
      <c r="W9" s="112">
        <f ca="1">IFERROR(IF($A$1="All",SUMIF('MATCH CALCS'!$D:$D,$A9,'MATCH CALCS'!X:X)/$E9,(SUMIFS('MATCH CALCS'!X:X, 'MATCH CALCS'!$D:$D, $A9, 'MATCH CALCS'!$A:$A, $A$1)/$E9)),"-")</f>
        <v>0</v>
      </c>
      <c r="X9" s="114" t="e">
        <f ca="1">IF($A$1="All",AVERAGEIF('MATCH CALCS'!$D$3:$D1000,$A9,'MATCH CALCS'!$BF$3:$BF1000),AVERAGEIFS('MATCH CALCS'!$BF$3:$BF1000,'MATCH CALCS'!$D$3:$D1000, $A9, 'MATCH CALCS'!$A$3:$A1000, $A$1))</f>
        <v>#DIV/0!</v>
      </c>
      <c r="Y9" s="115">
        <f ca="1">IF($A$1="All",SUMIF('MATCH CALCS'!$D$3:$D1000,$A9,'MATCH CALCS'!$BJ$3:$BJ1000),SUMIFS('MATCH CALCS'!$BJ$3:$BJ1000,'MATCH CALCS'!$D$3:$D1000, $A9, 'MATCH CALCS'!$A$3:$A1000, $A$1))</f>
        <v>0</v>
      </c>
      <c r="Z9" s="116" t="str">
        <f ca="1">IFERROR(__xludf.DUMMYFUNCTION("IFERROR(IF($A$1=""All"",AVERAGE(FILTER('MATCH CALCS'!$BR$3:$BR1000, 'MATCH CALCS'!$D$3:$D1000=$A9)),AVERAGE(FILTER('MATCH CALCS'!$BR$3:$BR1000, 'MATCH CALCS'!$D$3:$D1000=$A9,'MATCH CALCS'!$A$3:$A1000=$A$1))),""No Data"")"),"No Data")</f>
        <v>No Data</v>
      </c>
      <c r="AA9" s="117" t="str">
        <f ca="1">IFERROR(__xludf.DUMMYFUNCTION("IFERROR(IF($A$1=""All"",IF(COUNTIF(FILTER('MATCH CALCS'!$AT$3:$AT1000,'MATCH CALCS'!$D$3:$D1000=$A9), ""Dc"")&gt;0, IF(COUNTIF(FILTER('MATCH CALCS'!$AT$3:$AT1000,'MATCH CALCS'!$D$3:$D1000=$A9), ""Sc"")&gt;0, ""Mixed"", ""Deep""), IF(COUNTIF(FILTER('MATCH CALCS'"&amp;"!$AT$3:$AT1000,'MATCH CALCS'!$D$3:$D1000=$A9), ""Sc"")&gt;0, ""Shallow"",""None"")),IF(COUNTIF(FILTER('MATCH CALCS'!$AT$3:$AT1000,'MATCH CALCS'!$D$3:$D1000=$A9,'MATCH CALCS'!$A$3:$A1000=$A$1), ""Dc"")&gt;0, IF(COUNTIF(FILTER('MATCH CALCS'!$AT$3:$AT1000,'MATCH C"&amp;"ALCS'!$D$3:$D1000=$A9,'MATCH CALCS'!$A$3:$A1000=$A$1), ""Sc"")&gt;0, ""Mixed"", ""Deep""), IF(COUNTIF(FILTER('MATCH CALCS'!$AT$3:$AT1000,'MATCH CALCS'!$D$3:$D1000=$A9,'MATCH CALCS'!$A$3:$A1000=$A$1), ""Sc"")&gt;0, ""Shallow"",""None""))))"),"None")</f>
        <v>None</v>
      </c>
      <c r="AB9" s="9" t="str">
        <f ca="1">IFERROR(IF($A$1="All",(COUNTIFS('MATCH CALCS'!$AT$3:$AT1000,("=Dc"),'MATCH CALCS'!$D$3:$D1000, $A9)+COUNTIFS('MATCH CALCS'!$AT$3:$AT1000,("=Sc"),'MATCH CALCS'!$D$3:$D1000, $A9))/(COUNTIFS('MATCH CALCS'!$AK$3:$AK1000,("=Dc"),'MATCH CALCS'!$D$3:$D1000, $A9)+COUNTIFS('MATCH CALCS'!$AK$3:$AK1000,("=Sc"),'MATCH CALCS'!$D$3:$D1000, $A9)),(COUNTIFS('MATCH CALCS'!$AT$3:$AT1000,("=Dc"),'MATCH CALCS'!$D$3:$D1000, $A9,'MATCH CALCS'!$A$3:$A1000,$A$1)+COUNTIFS('MATCH CALCS'!$AT$3:$AT1000,("=Sc"),'MATCH CALCS'!$D$3:$D1000, $A9,'MATCH CALCS'!$A$3:$A1000,$A$1))/(COUNTIFS('MATCH CALCS'!$AK$3:$AK1000,("=Dc"),'MATCH CALCS'!$D$3:$D1000, $A9,'MATCH CALCS'!$A$3:$A1000,$A$1)+COUNTIFS('MATCH CALCS'!$AK$3:$AK1000,("=Sc"),'MATCH CALCS'!$D$3:$D1000, $A9,'MATCH CALCS'!$A$3:$A1000,$A$1))),"-")</f>
        <v>-</v>
      </c>
      <c r="AC9" s="25">
        <f ca="1">IFERROR(IF($A$1="All",COUNTIFS('MATCH CALCS'!$AT$3:$AT1000,("=Dc"),'MATCH CALCS'!$D$3:$D1000, $A9)+COUNTIFS('MATCH CALCS'!$AT$3:$AT1000,("=Sc"),'MATCH CALCS'!$D$3:$D1000, $A9),COUNTIFS('MATCH CALCS'!$AT$3:$AT1000,("=Dc"),'MATCH CALCS'!$D$3:$D1000, $A9,'MATCH CALCS'!$A$3:$A1000, $A$1)+COUNTIFS('MATCH CALCS'!$AT$3:$AT1000,("=Sc"),'MATCH CALCS'!$D$3:$D1000, $A9,'MATCH CALCS'!$A$3:$A1000, $A$1)),"-")</f>
        <v>0</v>
      </c>
    </row>
    <row r="10" spans="1:55" ht="12.75">
      <c r="A10" s="30">
        <f ca="1">IFERROR(__xludf.DUMMYFUNCTION("""COMPUTED_VALUE"""),2491)</f>
        <v>2491</v>
      </c>
      <c r="B10" s="6" t="str">
        <f ca="1">IFERROR(__xludf.DUMMYFUNCTION("""COMPUTED_VALUE"""),"NoMythic")</f>
        <v>NoMythic</v>
      </c>
      <c r="C10" s="30" t="str">
        <f ca="1">IFERROR(__xludf.DUMMYFUNCTION("FILTER('TEAM RANKING'!$A:$A,'TEAM RANKING'!$K:$K=$A10)"),"#N/A")</f>
        <v>#N/A</v>
      </c>
      <c r="D10" s="15"/>
      <c r="E10" s="110">
        <f ca="1">IFERROR((IF($A$1="All", COUNTIF('MATCH CALCS'!$D:$D,$A10), (COUNTIFS('MATCH CALCS'!D:D, $A10, 'MATCH CALCS'!$A:$A,$A$1)))),"-")</f>
        <v>2</v>
      </c>
      <c r="F10" s="111">
        <f ca="1">IFERROR(IF($A$1="All",SUMIF('MATCH CALCS'!$D:$D,$A10,'MATCH CALCS'!$AW:$AW)/$E10,(SUMIFS('MATCH CALCS'!$AW:$AW, 'MATCH CALCS'!$D:$D, $A10, 'MATCH CALCS'!$A:$A, $A$1)/$E10)),"-")</f>
        <v>1</v>
      </c>
      <c r="G10" s="112">
        <f ca="1">IFERROR(IF($A$1="All",SUMIF('MATCH CALCS'!$D:$D,$A10,'MATCH CALCS'!O:O)/$E10,(SUMIFS('MATCH CALCS'!O:O, 'MATCH CALCS'!$D:$D, $A10, 'MATCH CALCS'!$A:$A, $A$1)/$E10)),"-")</f>
        <v>0</v>
      </c>
      <c r="H10" s="112">
        <f ca="1">IFERROR(IF($A$1="All",SUMIF('MATCH CALCS'!$D:$D,$A10,'MATCH CALCS'!N:N)/$E10,(SUMIFS('MATCH CALCS'!N:N, 'MATCH CALCS'!$D:$D, $A10, 'MATCH CALCS'!$A:$A, $A$1)/$E10)),"-")</f>
        <v>0</v>
      </c>
      <c r="I10" s="112">
        <f ca="1">IFERROR(IF($A$1="All",SUMIF('MATCH CALCS'!$D:$D,$A10,'MATCH CALCS'!M:M)/$E10,(SUMIFS('MATCH CALCS'!M:M, 'MATCH CALCS'!$D:$D, $A10, 'MATCH CALCS'!$A:$A, $A$1)/$E10)),"-")</f>
        <v>0</v>
      </c>
      <c r="J10" s="112">
        <f ca="1">IFERROR(IF($A$1="All",SUMIF('MATCH CALCS'!$D:$D,$A10,'MATCH CALCS'!L:L)/$E10,(SUMIFS('MATCH CALCS'!L:L, 'MATCH CALCS'!$D:$D, $A10, 'MATCH CALCS'!$A:$A, $A$1)/$E10)),"-")</f>
        <v>0.5</v>
      </c>
      <c r="K10" s="112">
        <f t="shared" ca="1" si="0"/>
        <v>0.5</v>
      </c>
      <c r="L10" s="13">
        <f ca="1">IF($A$1="All",AVERAGEIF('MATCH CALCS'!$D$3:$D1000,$A10,'MATCH CALCS'!$AZ$3:$AZ1000),AVERAGEIFS('MATCH CALCS'!$AZ$3:$AZ1000,'MATCH CALCS'!$D$3:$D1000,$A10,'MATCH CALCS'!$A$3:$A1000,$A$1))</f>
        <v>0.33333333333333331</v>
      </c>
      <c r="M10" s="112">
        <f ca="1">IF($A$1="All",AVERAGEIF('MATCH CALCS'!$D:$D,$A10,'MATCH CALCS'!R:R),(SUMIFS('MATCH CALCS'!R$3:R1000, 'MATCH CALCS'!$D$3:$D1000, $A10, 'MATCH CALCS'!A$3:A1000, $A$1)/$E10))</f>
        <v>0</v>
      </c>
      <c r="N10" s="112">
        <f ca="1">IFERROR(IF($A$1="All",SUMIF('MATCH CALCS'!$D:$D,$A10,'MATCH CALCS'!S:S)/$E10,(SUMIFS('MATCH CALCS'!S:S, 'MATCH CALCS'!$D:$D, $A10, 'MATCH CALCS'!A:A, $A$1)/$E10)),"-")</f>
        <v>0</v>
      </c>
      <c r="O10" s="113" t="e">
        <f ca="1">IF($A$1="All",AVERAGEIF('MATCH CALCS'!$D$3:$D1000,$A10,'MATCH CALCS'!$BC$3:$BC1000),AVERAGEIFS('MATCH CALCS'!$BC$3:$BC1000,'MATCH CALCS'!$D$3:$D1000,$A10,'MATCH CALCS'!$A$3:$A1000,$A$1))</f>
        <v>#DIV/0!</v>
      </c>
      <c r="P10" s="112">
        <f ca="1">IFERROR(IF($A$1="All",SUMIF('MATCH CALCS'!$D:$D,$A10,'MATCH CALCS'!AH:AH)/$E10,(SUMIFS('MATCH CALCS'!AH:AH, 'MATCH CALCS'!$D:$D, $A10, 'MATCH CALCS'!$A:$A, $A$1)/$E10)),"-")</f>
        <v>1</v>
      </c>
      <c r="Q10" s="112">
        <f ca="1">IFERROR(IF($A$1="All",SUMIF('MATCH CALCS'!$D:$D,$A10,'MATCH CALCS'!AG:AG)/$E10,(SUMIFS('MATCH CALCS'!AG:AG, 'MATCH CALCS'!$D:$D, $A10, 'MATCH CALCS'!$A:$A, $A$1)/$E10)),"-")</f>
        <v>1</v>
      </c>
      <c r="R10" s="112">
        <f ca="1">IFERROR(IF($A$1="All",SUMIF('MATCH CALCS'!$D:$D,$A10,'MATCH CALCS'!AF:AF)/$E10,(SUMIFS('MATCH CALCS'!AF:AF, 'MATCH CALCS'!$D:$D, $A10, 'MATCH CALCS'!$A:$A, $A$1)/$E10)),"-")</f>
        <v>1.5</v>
      </c>
      <c r="S10" s="112">
        <f ca="1">IFERROR(IF($A$1="All",SUMIF('MATCH CALCS'!$D:$D,$A10,'MATCH CALCS'!$AE:$AE)/$E10,(SUMIFS('MATCH CALCS'!$AE:$AE, 'MATCH CALCS'!$D:$D, $A10, 'MATCH CALCS'!$A:$A, $A$1)/$E10)),"-")</f>
        <v>1.5</v>
      </c>
      <c r="T10" s="112">
        <f t="shared" ca="1" si="1"/>
        <v>5</v>
      </c>
      <c r="U10" s="13">
        <f ca="1">IF($A$1="All",AVERAGEIF('MATCH CALCS'!$D$3:$D1000,$A10,'MATCH CALCS'!$BI$3:$BI1000),AVERAGEIFS('MATCH CALCS'!$BI$3:$BI1000,'MATCH CALCS'!$D$3:$D1000,$A10,'MATCH CALCS'!$A$3:$A1000,$A$1))</f>
        <v>0.48611111111111116</v>
      </c>
      <c r="V10" s="112">
        <f ca="1">IFERROR(IF($A$1="All",SUMIF('MATCH CALCS'!$D:$D,$A10,'MATCH CALCS'!W:W)/$E10,(SUMIFS('MATCH CALCS'!W:W, 'MATCH CALCS'!$D:$D, $A10, 'MATCH CALCS'!$A:$A, $A$1)/$E10)),"-")</f>
        <v>0</v>
      </c>
      <c r="W10" s="112">
        <f ca="1">IFERROR(IF($A$1="All",SUMIF('MATCH CALCS'!$D:$D,$A10,'MATCH CALCS'!X:X)/$E10,(SUMIFS('MATCH CALCS'!X:X, 'MATCH CALCS'!$D:$D, $A10, 'MATCH CALCS'!$A:$A, $A$1)/$E10)),"-")</f>
        <v>1</v>
      </c>
      <c r="X10" s="114">
        <f ca="1">IF($A$1="All",AVERAGEIF('MATCH CALCS'!$D$3:$D1000,$A10,'MATCH CALCS'!$BF$3:$BF1000),AVERAGEIFS('MATCH CALCS'!$BF$3:$BF1000,'MATCH CALCS'!$D$3:$D1000, $A10, 'MATCH CALCS'!$A$3:$A1000, $A$1))</f>
        <v>1</v>
      </c>
      <c r="Y10" s="115">
        <f ca="1">IF($A$1="All",SUMIF('MATCH CALCS'!$D$3:$D1000,$A10,'MATCH CALCS'!$BJ$3:$BJ1000),SUMIFS('MATCH CALCS'!$BJ$3:$BJ1000,'MATCH CALCS'!$D$3:$D1000, $A10, 'MATCH CALCS'!$A$3:$A1000, $A$1))</f>
        <v>0</v>
      </c>
      <c r="Z10" s="116" t="str">
        <f ca="1">IFERROR(__xludf.DUMMYFUNCTION("IFERROR(IF($A$1=""All"",AVERAGE(FILTER('MATCH CALCS'!$BR$3:$BR1000, 'MATCH CALCS'!$D$3:$D1000=$A10)),AVERAGE(FILTER('MATCH CALCS'!$BR$3:$BR1000, 'MATCH CALCS'!$D$3:$D1000=$A10,'MATCH CALCS'!$A$3:$A1000=$A$1))),""No Data"")"),"No Data")</f>
        <v>No Data</v>
      </c>
      <c r="AA10" s="117" t="str">
        <f ca="1">IFERROR(__xludf.DUMMYFUNCTION("IFERROR(IF($A$1=""All"",IF(COUNTIF(FILTER('MATCH CALCS'!$AT$3:$AT1000,'MATCH CALCS'!$D$3:$D1000=$A10), ""Dc"")&gt;0, IF(COUNTIF(FILTER('MATCH CALCS'!$AT$3:$AT1000,'MATCH CALCS'!$D$3:$D1000=$A10), ""Sc"")&gt;0, ""Mixed"", ""Deep""), IF(COUNTIF(FILTER('MATCH CALC"&amp;"S'!$AT$3:$AT1000,'MATCH CALCS'!$D$3:$D1000=$A10), ""Sc"")&gt;0, ""Shallow"",""None"")),IF(COUNTIF(FILTER('MATCH CALCS'!$AT$3:$AT1000,'MATCH CALCS'!$D$3:$D1000=$A10,'MATCH CALCS'!$A$3:$A1000=$A$1), ""Dc"")&gt;0, IF(COUNTIF(FILTER('MATCH CALCS'!$AT$3:$AT1000,'MAT"&amp;"CH CALCS'!$D$3:$D1000=$A10,'MATCH CALCS'!$A$3:$A1000=$A$1), ""Sc"")&gt;0, ""Mixed"", ""Deep""), IF(COUNTIF(FILTER('MATCH CALCS'!$AT$3:$AT1000,'MATCH CALCS'!$D$3:$D1000=$A10,'MATCH CALCS'!$A$3:$A1000=$A$1), ""Sc"")&gt;0, ""Shallow"",""None""))))"),"Mixed")</f>
        <v>Mixed</v>
      </c>
      <c r="AB10" s="9">
        <f ca="1">IF($A$1="All",(COUNTIFS('MATCH CALCS'!$AT$3:$AT1000,("=Dc"),'MATCH CALCS'!$D$3:$D1000, $A10)+COUNTIFS('MATCH CALCS'!$AT$3:$AT1000,("=Sc"),'MATCH CALCS'!$D$3:$D1000, $A10))/(COUNTIFS('MATCH CALCS'!$AK$3:$AK1000,("=Dc"),'MATCH CALCS'!$D$3:$D1000, $A10)+COUNTIFS('MATCH CALCS'!$AK$3:$AK1000,("=Sc"),'MATCH CALCS'!$D$3:$D1000, $A10)),(COUNTIFS('MATCH CALCS'!$AT$3:$AT1000,("=Dc"),'MATCH CALCS'!$D$3:$D1000, $A10,'MATCH CALCS'!$A$3:$A1000,$A$1)+COUNTIFS('MATCH CALCS'!$AT$3:$AT1000,("=Sc"),'MATCH CALCS'!$D$3:$D1000, $A10,'MATCH CALCS'!$A$3:$A1000,$A$1))/(COUNTIFS('MATCH CALCS'!$AK$3:$AK1000,("=Dc"),'MATCH CALCS'!$D$3:$D1000, $A10,'MATCH CALCS'!$A$3:$A1000,$A$1)+COUNTIFS('MATCH CALCS'!$AK$3:$AK1000,("=Sc"),'MATCH CALCS'!$D$3:$D1000, $A10,'MATCH CALCS'!$A$3:$A1000,$A$1)))</f>
        <v>1</v>
      </c>
      <c r="AC10" s="25">
        <f ca="1">IFERROR(IF($A$1="All",COUNTIFS('MATCH CALCS'!$AT$3:$AT1000,("=Dc"),'MATCH CALCS'!$D$3:$D1000, $A10)+COUNTIFS('MATCH CALCS'!$AT$3:$AT1000,("=Sc"),'MATCH CALCS'!$D$3:$D1000, $A10),COUNTIFS('MATCH CALCS'!$AT$3:$AT1000,("=Dc"),'MATCH CALCS'!$D$3:$D1000, $A10,'MATCH CALCS'!$A$3:$A1000, $A$1)+COUNTIFS('MATCH CALCS'!$AT$3:$AT1000,("=Sc"),'MATCH CALCS'!$D$3:$D1000, $A10,'MATCH CALCS'!$A$3:$A1000, $A$1)),"-")</f>
        <v>2</v>
      </c>
    </row>
    <row r="11" spans="1:55" ht="12.75">
      <c r="A11" s="30">
        <f ca="1">IFERROR(__xludf.DUMMYFUNCTION("""COMPUTED_VALUE"""),2498)</f>
        <v>2498</v>
      </c>
      <c r="B11" s="6" t="str">
        <f ca="1">IFERROR(__xludf.DUMMYFUNCTION("""COMPUTED_VALUE"""),"BearBotics")</f>
        <v>BearBotics</v>
      </c>
      <c r="C11" s="30" t="str">
        <f ca="1">IFERROR(__xludf.DUMMYFUNCTION("FILTER('TEAM RANKING'!$A:$A,'TEAM RANKING'!$K:$K=$A11)"),"#N/A")</f>
        <v>#N/A</v>
      </c>
      <c r="D11" s="15"/>
      <c r="E11" s="110">
        <f ca="1">IFERROR((IF($A$1="All", COUNTIF('MATCH CALCS'!$D:$D,$A11), (COUNTIFS('MATCH CALCS'!D:D, $A11, 'MATCH CALCS'!$A:$A,$A$1)))),"-")</f>
        <v>2</v>
      </c>
      <c r="F11" s="111">
        <f ca="1">IFERROR(IF($A$1="All",SUMIF('MATCH CALCS'!$D:$D,$A11,'MATCH CALCS'!$AW:$AW)/$E11,(SUMIFS('MATCH CALCS'!$AW:$AW, 'MATCH CALCS'!$D:$D, $A11, 'MATCH CALCS'!$A:$A, $A$1)/$E11)),"-")</f>
        <v>0</v>
      </c>
      <c r="G11" s="112">
        <f ca="1">IFERROR(IF($A$1="All",SUMIF('MATCH CALCS'!$D:$D,$A11,'MATCH CALCS'!O:O)/$E11,(SUMIFS('MATCH CALCS'!O:O, 'MATCH CALCS'!$D:$D, $A11, 'MATCH CALCS'!$A:$A, $A$1)/$E11)),"-")</f>
        <v>0</v>
      </c>
      <c r="H11" s="112">
        <f ca="1">IFERROR(IF($A$1="All",SUMIF('MATCH CALCS'!$D:$D,$A11,'MATCH CALCS'!N:N)/$E11,(SUMIFS('MATCH CALCS'!N:N, 'MATCH CALCS'!$D:$D, $A11, 'MATCH CALCS'!$A:$A, $A$1)/$E11)),"-")</f>
        <v>0</v>
      </c>
      <c r="I11" s="112">
        <f ca="1">IFERROR(IF($A$1="All",SUMIF('MATCH CALCS'!$D:$D,$A11,'MATCH CALCS'!M:M)/$E11,(SUMIFS('MATCH CALCS'!M:M, 'MATCH CALCS'!$D:$D, $A11, 'MATCH CALCS'!$A:$A, $A$1)/$E11)),"-")</f>
        <v>0</v>
      </c>
      <c r="J11" s="112">
        <f ca="1">IFERROR(IF($A$1="All",SUMIF('MATCH CALCS'!$D:$D,$A11,'MATCH CALCS'!L:L)/$E11,(SUMIFS('MATCH CALCS'!L:L, 'MATCH CALCS'!$D:$D, $A11, 'MATCH CALCS'!$A:$A, $A$1)/$E11)),"-")</f>
        <v>0</v>
      </c>
      <c r="K11" s="112">
        <f t="shared" ca="1" si="0"/>
        <v>0</v>
      </c>
      <c r="L11" s="13" t="e">
        <f ca="1">IF($A$1="All",AVERAGEIF('MATCH CALCS'!$D$3:$D1000,$A11,'MATCH CALCS'!$AZ$3:$AZ1000),AVERAGEIFS('MATCH CALCS'!$AZ$3:$AZ1000,'MATCH CALCS'!$D$3:$D1000,$A11,'MATCH CALCS'!$A$3:$A1000,$A$1))</f>
        <v>#DIV/0!</v>
      </c>
      <c r="M11" s="112">
        <f ca="1">IF($A$1="All",AVERAGEIF('MATCH CALCS'!$D:$D,$A11,'MATCH CALCS'!R:R),(SUMIFS('MATCH CALCS'!R$3:R1000, 'MATCH CALCS'!$D$3:$D1000, $A11, 'MATCH CALCS'!A$3:A1000, $A$1)/$E11))</f>
        <v>0</v>
      </c>
      <c r="N11" s="112">
        <f ca="1">IFERROR(IF($A$1="All",SUMIF('MATCH CALCS'!$D:$D,$A11,'MATCH CALCS'!S:S)/$E11,(SUMIFS('MATCH CALCS'!S:S, 'MATCH CALCS'!$D:$D, $A11, 'MATCH CALCS'!A:A, $A$1)/$E11)),"-")</f>
        <v>0</v>
      </c>
      <c r="O11" s="113" t="e">
        <f ca="1">IF($A$1="All",AVERAGEIF('MATCH CALCS'!$D$3:$D1000,$A11,'MATCH CALCS'!$BC$3:$BC1000),AVERAGEIFS('MATCH CALCS'!$BC$3:$BC1000,'MATCH CALCS'!$D$3:$D1000,$A11,'MATCH CALCS'!$A$3:$A1000,$A$1))</f>
        <v>#DIV/0!</v>
      </c>
      <c r="P11" s="112">
        <f ca="1">IFERROR(IF($A$1="All",SUMIF('MATCH CALCS'!$D:$D,$A11,'MATCH CALCS'!AH:AH)/$E11,(SUMIFS('MATCH CALCS'!AH:AH, 'MATCH CALCS'!$D:$D, $A11, 'MATCH CALCS'!$A:$A, $A$1)/$E11)),"-")</f>
        <v>0</v>
      </c>
      <c r="Q11" s="112">
        <f ca="1">IFERROR(IF($A$1="All",SUMIF('MATCH CALCS'!$D:$D,$A11,'MATCH CALCS'!AG:AG)/$E11,(SUMIFS('MATCH CALCS'!AG:AG, 'MATCH CALCS'!$D:$D, $A11, 'MATCH CALCS'!$A:$A, $A$1)/$E11)),"-")</f>
        <v>0</v>
      </c>
      <c r="R11" s="112">
        <f ca="1">IFERROR(IF($A$1="All",SUMIF('MATCH CALCS'!$D:$D,$A11,'MATCH CALCS'!AF:AF)/$E11,(SUMIFS('MATCH CALCS'!AF:AF, 'MATCH CALCS'!$D:$D, $A11, 'MATCH CALCS'!$A:$A, $A$1)/$E11)),"-")</f>
        <v>0</v>
      </c>
      <c r="S11" s="112">
        <f ca="1">IFERROR(IF($A$1="All",SUMIF('MATCH CALCS'!$D:$D,$A11,'MATCH CALCS'!$AE:$AE)/$E11,(SUMIFS('MATCH CALCS'!$AE:$AE, 'MATCH CALCS'!$D:$D, $A11, 'MATCH CALCS'!$A:$A, $A$1)/$E11)),"-")</f>
        <v>0</v>
      </c>
      <c r="T11" s="112">
        <f t="shared" ca="1" si="1"/>
        <v>0</v>
      </c>
      <c r="U11" s="13">
        <f ca="1">IF($A$1="All",AVERAGEIF('MATCH CALCS'!$D$3:$D1000,$A11,'MATCH CALCS'!$BI$3:$BI1000),AVERAGEIFS('MATCH CALCS'!$BI$3:$BI1000,'MATCH CALCS'!$D$3:$D1000,$A11,'MATCH CALCS'!$A$3:$A1000,$A$1))</f>
        <v>0</v>
      </c>
      <c r="V11" s="112">
        <f ca="1">IFERROR(IF($A$1="All",SUMIF('MATCH CALCS'!$D:$D,$A11,'MATCH CALCS'!W:W)/$E11,(SUMIFS('MATCH CALCS'!W:W, 'MATCH CALCS'!$D:$D, $A11, 'MATCH CALCS'!$A:$A, $A$1)/$E11)),"-")</f>
        <v>0</v>
      </c>
      <c r="W11" s="112">
        <f ca="1">IFERROR(IF($A$1="All",SUMIF('MATCH CALCS'!$D:$D,$A11,'MATCH CALCS'!X:X)/$E11,(SUMIFS('MATCH CALCS'!X:X, 'MATCH CALCS'!$D:$D, $A11, 'MATCH CALCS'!$A:$A, $A$1)/$E11)),"-")</f>
        <v>0</v>
      </c>
      <c r="X11" s="114" t="e">
        <f ca="1">IF($A$1="All",AVERAGEIF('MATCH CALCS'!$D$3:$D1000,$A11,'MATCH CALCS'!$BF$3:$BF1000),AVERAGEIFS('MATCH CALCS'!$BF$3:$BF1000,'MATCH CALCS'!$D$3:$D1000, $A11, 'MATCH CALCS'!$A$3:$A1000, $A$1))</f>
        <v>#DIV/0!</v>
      </c>
      <c r="Y11" s="115">
        <f ca="1">IF($A$1="All",SUMIF('MATCH CALCS'!$D$3:$D1000,$A11,'MATCH CALCS'!$BJ$3:$BJ1000),SUMIFS('MATCH CALCS'!$BJ$3:$BJ1000,'MATCH CALCS'!$D$3:$D1000, $A11, 'MATCH CALCS'!$A$3:$A1000, $A$1))</f>
        <v>0</v>
      </c>
      <c r="Z11" s="116" t="str">
        <f ca="1">IFERROR(__xludf.DUMMYFUNCTION("IFERROR(IF($A$1=""All"",AVERAGE(FILTER('MATCH CALCS'!$BR$3:$BR1000, 'MATCH CALCS'!$D$3:$D1000=$A11)),AVERAGE(FILTER('MATCH CALCS'!$BR$3:$BR1000, 'MATCH CALCS'!$D$3:$D1000=$A11,'MATCH CALCS'!$A$3:$A1000=$A$1))),""No Data"")"),"No Data")</f>
        <v>No Data</v>
      </c>
      <c r="AA11" s="117" t="str">
        <f ca="1">IFERROR(__xludf.DUMMYFUNCTION("IFERROR(IF($A$1=""All"",IF(COUNTIF(FILTER('MATCH CALCS'!$AT$3:$AT1000,'MATCH CALCS'!$D$3:$D1000=$A11), ""Dc"")&gt;0, IF(COUNTIF(FILTER('MATCH CALCS'!$AT$3:$AT1000,'MATCH CALCS'!$D$3:$D1000=$A11), ""Sc"")&gt;0, ""Mixed"", ""Deep""), IF(COUNTIF(FILTER('MATCH CALC"&amp;"S'!$AT$3:$AT1000,'MATCH CALCS'!$D$3:$D1000=$A11), ""Sc"")&gt;0, ""Shallow"",""None"")),IF(COUNTIF(FILTER('MATCH CALCS'!$AT$3:$AT1000,'MATCH CALCS'!$D$3:$D1000=$A11,'MATCH CALCS'!$A$3:$A1000=$A$1), ""Dc"")&gt;0, IF(COUNTIF(FILTER('MATCH CALCS'!$AT$3:$AT1000,'MAT"&amp;"CH CALCS'!$D$3:$D1000=$A11,'MATCH CALCS'!$A$3:$A1000=$A$1), ""Sc"")&gt;0, ""Mixed"", ""Deep""), IF(COUNTIF(FILTER('MATCH CALCS'!$AT$3:$AT1000,'MATCH CALCS'!$D$3:$D1000=$A11,'MATCH CALCS'!$A$3:$A1000=$A$1), ""Sc"")&gt;0, ""Shallow"",""None""))))"),"None")</f>
        <v>None</v>
      </c>
      <c r="AB11" s="9" t="str">
        <f ca="1">IFERROR(IF($A$1="All",(COUNTIFS('MATCH CALCS'!$AT$3:$AT1000,("=Dc"),'MATCH CALCS'!$D$3:$D1000, $A11)+COUNTIFS('MATCH CALCS'!$AT$3:$AT1000,("=Sc"),'MATCH CALCS'!$D$3:$D1000, $A11))/(COUNTIFS('MATCH CALCS'!$AK$3:$AK1000,("=Dc"),'MATCH CALCS'!$D$3:$D1000, $A11)+COUNTIFS('MATCH CALCS'!$AK$3:$AK1000,("=Sc"),'MATCH CALCS'!$D$3:$D1000, $A11)),(COUNTIFS('MATCH CALCS'!$AT$3:$AT1000,("=Dc"),'MATCH CALCS'!$D$3:$D1000, $A11,'MATCH CALCS'!$A$3:$A1000,$A$1)+COUNTIFS('MATCH CALCS'!$AT$3:$AT1000,("=Sc"),'MATCH CALCS'!$D$3:$D1000, $A11,'MATCH CALCS'!$A$3:$A1000,$A$1))/(COUNTIFS('MATCH CALCS'!$AK$3:$AK1000,("=Dc"),'MATCH CALCS'!$D$3:$D1000, $A11,'MATCH CALCS'!$A$3:$A1000,$A$1)+COUNTIFS('MATCH CALCS'!$AK$3:$AK1000,("=Sc"),'MATCH CALCS'!$D$3:$D1000, $A11,'MATCH CALCS'!$A$3:$A1000,$A$1))),"-")</f>
        <v>-</v>
      </c>
      <c r="AC11" s="25">
        <f ca="1">IFERROR(IF($A$1="All",COUNTIFS('MATCH CALCS'!$AT$3:$AT1000,("=Dc"),'MATCH CALCS'!$D$3:$D1000, $A11)+COUNTIFS('MATCH CALCS'!$AT$3:$AT1000,("=Sc"),'MATCH CALCS'!$D$3:$D1000, $A11),COUNTIFS('MATCH CALCS'!$AT$3:$AT1000,("=Dc"),'MATCH CALCS'!$D$3:$D1000, $A11,'MATCH CALCS'!$A$3:$A1000, $A$1)+COUNTIFS('MATCH CALCS'!$AT$3:$AT1000,("=Sc"),'MATCH CALCS'!$D$3:$D1000, $A11,'MATCH CALCS'!$A$3:$A1000, $A$1)),"-")</f>
        <v>0</v>
      </c>
    </row>
    <row r="12" spans="1:55" ht="12.75">
      <c r="A12" s="30">
        <f ca="1">IFERROR(__xludf.DUMMYFUNCTION("""COMPUTED_VALUE"""),2502)</f>
        <v>2502</v>
      </c>
      <c r="B12" s="6" t="str">
        <f ca="1">IFERROR(__xludf.DUMMYFUNCTION("""COMPUTED_VALUE"""),"Talon Robotics")</f>
        <v>Talon Robotics</v>
      </c>
      <c r="C12" s="30" t="str">
        <f ca="1">IFERROR(__xludf.DUMMYFUNCTION("FILTER('TEAM RANKING'!$A:$A,'TEAM RANKING'!$K:$K=$A12)"),"#N/A")</f>
        <v>#N/A</v>
      </c>
      <c r="D12" s="15"/>
      <c r="E12" s="110">
        <f ca="1">IFERROR((IF($A$1="All", COUNTIF('MATCH CALCS'!$D:$D,$A12), (COUNTIFS('MATCH CALCS'!D:D, $A12, 'MATCH CALCS'!$A:$A,$A$1)))),"-")</f>
        <v>4</v>
      </c>
      <c r="F12" s="111">
        <f ca="1">IFERROR(IF($A$1="All",SUMIF('MATCH CALCS'!$D:$D,$A12,'MATCH CALCS'!$AW:$AW)/$E12,(SUMIFS('MATCH CALCS'!$AW:$AW, 'MATCH CALCS'!$D:$D, $A12, 'MATCH CALCS'!$A:$A, $A$1)/$E12)),"-")</f>
        <v>0.75</v>
      </c>
      <c r="G12" s="112">
        <f ca="1">IFERROR(IF($A$1="All",SUMIF('MATCH CALCS'!$D:$D,$A12,'MATCH CALCS'!O:O)/$E12,(SUMIFS('MATCH CALCS'!O:O, 'MATCH CALCS'!$D:$D, $A12, 'MATCH CALCS'!$A:$A, $A$1)/$E12)),"-")</f>
        <v>0</v>
      </c>
      <c r="H12" s="112">
        <f ca="1">IFERROR(IF($A$1="All",SUMIF('MATCH CALCS'!$D:$D,$A12,'MATCH CALCS'!N:N)/$E12,(SUMIFS('MATCH CALCS'!N:N, 'MATCH CALCS'!$D:$D, $A12, 'MATCH CALCS'!$A:$A, $A$1)/$E12)),"-")</f>
        <v>0</v>
      </c>
      <c r="I12" s="112">
        <f ca="1">IFERROR(IF($A$1="All",SUMIF('MATCH CALCS'!$D:$D,$A12,'MATCH CALCS'!M:M)/$E12,(SUMIFS('MATCH CALCS'!M:M, 'MATCH CALCS'!$D:$D, $A12, 'MATCH CALCS'!$A:$A, $A$1)/$E12)),"-")</f>
        <v>0</v>
      </c>
      <c r="J12" s="112">
        <f ca="1">IFERROR(IF($A$1="All",SUMIF('MATCH CALCS'!$D:$D,$A12,'MATCH CALCS'!L:L)/$E12,(SUMIFS('MATCH CALCS'!L:L, 'MATCH CALCS'!$D:$D, $A12, 'MATCH CALCS'!$A:$A, $A$1)/$E12)),"-")</f>
        <v>0</v>
      </c>
      <c r="K12" s="112">
        <f t="shared" ca="1" si="0"/>
        <v>0</v>
      </c>
      <c r="L12" s="13">
        <f ca="1">IF($A$1="All",AVERAGEIF('MATCH CALCS'!$D$3:$D1000,$A12,'MATCH CALCS'!$AZ$3:$AZ1000),AVERAGEIFS('MATCH CALCS'!$AZ$3:$AZ1000,'MATCH CALCS'!$D$3:$D1000,$A12,'MATCH CALCS'!$A$3:$A1000,$A$1))</f>
        <v>0</v>
      </c>
      <c r="M12" s="112">
        <f ca="1">IF($A$1="All",AVERAGEIF('MATCH CALCS'!$D:$D,$A12,'MATCH CALCS'!R:R),(SUMIFS('MATCH CALCS'!R$3:R1000, 'MATCH CALCS'!$D$3:$D1000, $A12, 'MATCH CALCS'!A$3:A1000, $A$1)/$E12))</f>
        <v>0</v>
      </c>
      <c r="N12" s="112">
        <f ca="1">IFERROR(IF($A$1="All",SUMIF('MATCH CALCS'!$D:$D,$A12,'MATCH CALCS'!S:S)/$E12,(SUMIFS('MATCH CALCS'!S:S, 'MATCH CALCS'!$D:$D, $A12, 'MATCH CALCS'!A:A, $A$1)/$E12)),"-")</f>
        <v>0</v>
      </c>
      <c r="O12" s="113" t="e">
        <f ca="1">IF($A$1="All",AVERAGEIF('MATCH CALCS'!$D$3:$D1000,$A12,'MATCH CALCS'!$BC$3:$BC1000),AVERAGEIFS('MATCH CALCS'!$BC$3:$BC1000,'MATCH CALCS'!$D$3:$D1000,$A12,'MATCH CALCS'!$A$3:$A1000,$A$1))</f>
        <v>#DIV/0!</v>
      </c>
      <c r="P12" s="112">
        <f ca="1">IFERROR(IF($A$1="All",SUMIF('MATCH CALCS'!$D:$D,$A12,'MATCH CALCS'!AH:AH)/$E12,(SUMIFS('MATCH CALCS'!AH:AH, 'MATCH CALCS'!$D:$D, $A12, 'MATCH CALCS'!$A:$A, $A$1)/$E12)),"-")</f>
        <v>0.25</v>
      </c>
      <c r="Q12" s="112">
        <f ca="1">IFERROR(IF($A$1="All",SUMIF('MATCH CALCS'!$D:$D,$A12,'MATCH CALCS'!AG:AG)/$E12,(SUMIFS('MATCH CALCS'!AG:AG, 'MATCH CALCS'!$D:$D, $A12, 'MATCH CALCS'!$A:$A, $A$1)/$E12)),"-")</f>
        <v>0.25</v>
      </c>
      <c r="R12" s="112">
        <f ca="1">IFERROR(IF($A$1="All",SUMIF('MATCH CALCS'!$D:$D,$A12,'MATCH CALCS'!AF:AF)/$E12,(SUMIFS('MATCH CALCS'!AF:AF, 'MATCH CALCS'!$D:$D, $A12, 'MATCH CALCS'!$A:$A, $A$1)/$E12)),"-")</f>
        <v>0.75</v>
      </c>
      <c r="S12" s="112">
        <f ca="1">IFERROR(IF($A$1="All",SUMIF('MATCH CALCS'!$D:$D,$A12,'MATCH CALCS'!$AE:$AE)/$E12,(SUMIFS('MATCH CALCS'!$AE:$AE, 'MATCH CALCS'!$D:$D, $A12, 'MATCH CALCS'!$A:$A, $A$1)/$E12)),"-")</f>
        <v>4.25</v>
      </c>
      <c r="T12" s="112">
        <f t="shared" ca="1" si="1"/>
        <v>5.5</v>
      </c>
      <c r="U12" s="13">
        <f ca="1">IF($A$1="All",AVERAGEIF('MATCH CALCS'!$D$3:$D1000,$A12,'MATCH CALCS'!$BI$3:$BI1000),AVERAGEIFS('MATCH CALCS'!$BI$3:$BI1000,'MATCH CALCS'!$D$3:$D1000,$A12,'MATCH CALCS'!$A$3:$A1000,$A$1))</f>
        <v>0.58149350649350651</v>
      </c>
      <c r="V12" s="112">
        <f ca="1">IFERROR(IF($A$1="All",SUMIF('MATCH CALCS'!$D:$D,$A12,'MATCH CALCS'!W:W)/$E12,(SUMIFS('MATCH CALCS'!W:W, 'MATCH CALCS'!$D:$D, $A12, 'MATCH CALCS'!$A:$A, $A$1)/$E12)),"-")</f>
        <v>0</v>
      </c>
      <c r="W12" s="112">
        <f ca="1">IFERROR(IF($A$1="All",SUMIF('MATCH CALCS'!$D:$D,$A12,'MATCH CALCS'!X:X)/$E12,(SUMIFS('MATCH CALCS'!X:X, 'MATCH CALCS'!$D:$D, $A12, 'MATCH CALCS'!$A:$A, $A$1)/$E12)),"-")</f>
        <v>0</v>
      </c>
      <c r="X12" s="114" t="e">
        <f ca="1">IF($A$1="All",AVERAGEIF('MATCH CALCS'!$D$3:$D1000,$A12,'MATCH CALCS'!$BF$3:$BF1000),AVERAGEIFS('MATCH CALCS'!$BF$3:$BF1000,'MATCH CALCS'!$D$3:$D1000, $A12, 'MATCH CALCS'!$A$3:$A1000, $A$1))</f>
        <v>#DIV/0!</v>
      </c>
      <c r="Y12" s="115">
        <f ca="1">IF($A$1="All",SUMIF('MATCH CALCS'!$D$3:$D1000,$A12,'MATCH CALCS'!$BJ$3:$BJ1000),SUMIFS('MATCH CALCS'!$BJ$3:$BJ1000,'MATCH CALCS'!$D$3:$D1000, $A12, 'MATCH CALCS'!$A$3:$A1000, $A$1))</f>
        <v>0</v>
      </c>
      <c r="Z12" s="116" t="str">
        <f ca="1">IFERROR(__xludf.DUMMYFUNCTION("IFERROR(IF($A$1=""All"",AVERAGE(FILTER('MATCH CALCS'!$BR$3:$BR1000, 'MATCH CALCS'!$D$3:$D1000=$A12)),AVERAGE(FILTER('MATCH CALCS'!$BR$3:$BR1000, 'MATCH CALCS'!$D$3:$D1000=$A12,'MATCH CALCS'!$A$3:$A1000=$A$1))),""No Data"")"),"No Data")</f>
        <v>No Data</v>
      </c>
      <c r="AA12" s="117" t="str">
        <f ca="1">IFERROR(__xludf.DUMMYFUNCTION("IFERROR(IF($A$1=""All"",IF(COUNTIF(FILTER('MATCH CALCS'!$AT$3:$AT1000,'MATCH CALCS'!$D$3:$D1000=$A12), ""Dc"")&gt;0, IF(COUNTIF(FILTER('MATCH CALCS'!$AT$3:$AT1000,'MATCH CALCS'!$D$3:$D1000=$A12), ""Sc"")&gt;0, ""Mixed"", ""Deep""), IF(COUNTIF(FILTER('MATCH CALC"&amp;"S'!$AT$3:$AT1000,'MATCH CALCS'!$D$3:$D1000=$A12), ""Sc"")&gt;0, ""Shallow"",""None"")),IF(COUNTIF(FILTER('MATCH CALCS'!$AT$3:$AT1000,'MATCH CALCS'!$D$3:$D1000=$A12,'MATCH CALCS'!$A$3:$A1000=$A$1), ""Dc"")&gt;0, IF(COUNTIF(FILTER('MATCH CALCS'!$AT$3:$AT1000,'MAT"&amp;"CH CALCS'!$D$3:$D1000=$A12,'MATCH CALCS'!$A$3:$A1000=$A$1), ""Sc"")&gt;0, ""Mixed"", ""Deep""), IF(COUNTIF(FILTER('MATCH CALCS'!$AT$3:$AT1000,'MATCH CALCS'!$D$3:$D1000=$A12,'MATCH CALCS'!$A$3:$A1000=$A$1), ""Sc"")&gt;0, ""Shallow"",""None""))))"),"Deep")</f>
        <v>Deep</v>
      </c>
      <c r="AB12" s="9">
        <f ca="1">IFERROR(IF($A$1="All",(COUNTIFS('MATCH CALCS'!$AT$3:$AT1000,("=Dc"),'MATCH CALCS'!$D$3:$D1000, $A12)+COUNTIFS('MATCH CALCS'!$AT$3:$AT1000,("=Sc"),'MATCH CALCS'!$D$3:$D1000, $A12))/(COUNTIFS('MATCH CALCS'!$AK$3:$AK1000,("=Dc"),'MATCH CALCS'!$D$3:$D1000, $A12)+COUNTIFS('MATCH CALCS'!$AK$3:$AK1000,("=Sc"),'MATCH CALCS'!$D$3:$D1000, $A12)),(COUNTIFS('MATCH CALCS'!$AT$3:$AT1000,("=Dc"),'MATCH CALCS'!$D$3:$D1000, $A12,'MATCH CALCS'!$A$3:$A1000,$A$1)+COUNTIFS('MATCH CALCS'!$AT$3:$AT1000,("=Sc"),'MATCH CALCS'!$D$3:$D1000, $A12,'MATCH CALCS'!$A$3:$A1000,$A$1))/(COUNTIFS('MATCH CALCS'!$AK$3:$AK1000,("=Dc"),'MATCH CALCS'!$D$3:$D1000, $A12,'MATCH CALCS'!$A$3:$A1000,$A$1)+COUNTIFS('MATCH CALCS'!$AK$3:$AK1000,("=Sc"),'MATCH CALCS'!$D$3:$D1000, $A12,'MATCH CALCS'!$A$3:$A1000,$A$1))),"-")</f>
        <v>0.25</v>
      </c>
      <c r="AC12" s="25">
        <f ca="1">IFERROR(IF($A$1="All",COUNTIFS('MATCH CALCS'!$AT$3:$AT1000,("=Dc"),'MATCH CALCS'!$D$3:$D1000, $A12)+COUNTIFS('MATCH CALCS'!$AT$3:$AT1000,("=Sc"),'MATCH CALCS'!$D$3:$D1000, $A12),COUNTIFS('MATCH CALCS'!$AT$3:$AT1000,("=Dc"),'MATCH CALCS'!$D$3:$D1000, $A12,'MATCH CALCS'!$A$3:$A1000, $A$1)+COUNTIFS('MATCH CALCS'!$AT$3:$AT1000,("=Sc"),'MATCH CALCS'!$D$3:$D1000, $A12,'MATCH CALCS'!$A$3:$A1000, $A$1)),"-")</f>
        <v>1</v>
      </c>
    </row>
    <row r="13" spans="1:55" ht="12.75">
      <c r="A13" s="30">
        <f ca="1">IFERROR(__xludf.DUMMYFUNCTION("""COMPUTED_VALUE"""),2511)</f>
        <v>2511</v>
      </c>
      <c r="B13" s="6" t="str">
        <f ca="1">IFERROR(__xludf.DUMMYFUNCTION("""COMPUTED_VALUE"""),"Cougars")</f>
        <v>Cougars</v>
      </c>
      <c r="C13" s="30" t="str">
        <f ca="1">IFERROR(__xludf.DUMMYFUNCTION("FILTER('TEAM RANKING'!$A:$A,'TEAM RANKING'!$K:$K=$A13)"),"#N/A")</f>
        <v>#N/A</v>
      </c>
      <c r="D13" s="15"/>
      <c r="E13" s="110">
        <f ca="1">IFERROR((IF($A$1="All", COUNTIF('MATCH CALCS'!$D:$D,$A13), (COUNTIFS('MATCH CALCS'!D:D, $A13, 'MATCH CALCS'!$A:$A,$A$1)))),"-")</f>
        <v>1</v>
      </c>
      <c r="F13" s="111">
        <f ca="1">IFERROR(IF($A$1="All",SUMIF('MATCH CALCS'!$D:$D,$A13,'MATCH CALCS'!$AW:$AW)/$E13,(SUMIFS('MATCH CALCS'!$AW:$AW, 'MATCH CALCS'!$D:$D, $A13, 'MATCH CALCS'!$A:$A, $A$1)/$E13)),"-")</f>
        <v>0</v>
      </c>
      <c r="G13" s="112">
        <f ca="1">IFERROR(IF($A$1="All",SUMIF('MATCH CALCS'!$D:$D,$A13,'MATCH CALCS'!O:O)/$E13,(SUMIFS('MATCH CALCS'!O:O, 'MATCH CALCS'!$D:$D, $A13, 'MATCH CALCS'!$A:$A, $A$1)/$E13)),"-")</f>
        <v>0</v>
      </c>
      <c r="H13" s="112">
        <f ca="1">IFERROR(IF($A$1="All",SUMIF('MATCH CALCS'!$D:$D,$A13,'MATCH CALCS'!N:N)/$E13,(SUMIFS('MATCH CALCS'!N:N, 'MATCH CALCS'!$D:$D, $A13, 'MATCH CALCS'!$A:$A, $A$1)/$E13)),"-")</f>
        <v>0</v>
      </c>
      <c r="I13" s="112">
        <f ca="1">IFERROR(IF($A$1="All",SUMIF('MATCH CALCS'!$D:$D,$A13,'MATCH CALCS'!M:M)/$E13,(SUMIFS('MATCH CALCS'!M:M, 'MATCH CALCS'!$D:$D, $A13, 'MATCH CALCS'!$A:$A, $A$1)/$E13)),"-")</f>
        <v>0</v>
      </c>
      <c r="J13" s="112">
        <f ca="1">IFERROR(IF($A$1="All",SUMIF('MATCH CALCS'!$D:$D,$A13,'MATCH CALCS'!L:L)/$E13,(SUMIFS('MATCH CALCS'!L:L, 'MATCH CALCS'!$D:$D, $A13, 'MATCH CALCS'!$A:$A, $A$1)/$E13)),"-")</f>
        <v>0</v>
      </c>
      <c r="K13" s="112">
        <f t="shared" ca="1" si="0"/>
        <v>0</v>
      </c>
      <c r="L13" s="13" t="e">
        <f ca="1">IF($A$1="All",AVERAGEIF('MATCH CALCS'!$D$3:$D1000,$A13,'MATCH CALCS'!$AZ$3:$AZ1000),AVERAGEIFS('MATCH CALCS'!$AZ$3:$AZ1000,'MATCH CALCS'!$D$3:$D1000,$A13,'MATCH CALCS'!$A$3:$A1000,$A$1))</f>
        <v>#DIV/0!</v>
      </c>
      <c r="M13" s="112">
        <f ca="1">IF($A$1="All",AVERAGEIF('MATCH CALCS'!$D:$D,$A13,'MATCH CALCS'!R:R),(SUMIFS('MATCH CALCS'!R$3:R1000, 'MATCH CALCS'!$D$3:$D1000, $A13, 'MATCH CALCS'!A$3:A1000, $A$1)/$E13))</f>
        <v>0</v>
      </c>
      <c r="N13" s="112">
        <f ca="1">IFERROR(IF($A$1="All",SUMIF('MATCH CALCS'!$D:$D,$A13,'MATCH CALCS'!S:S)/$E13,(SUMIFS('MATCH CALCS'!S:S, 'MATCH CALCS'!$D:$D, $A13, 'MATCH CALCS'!A:A, $A$1)/$E13)),"-")</f>
        <v>0</v>
      </c>
      <c r="O13" s="113" t="e">
        <f ca="1">IF($A$1="All",AVERAGEIF('MATCH CALCS'!$D$3:$D1000,$A13,'MATCH CALCS'!$BC$3:$BC1000),AVERAGEIFS('MATCH CALCS'!$BC$3:$BC1000,'MATCH CALCS'!$D$3:$D1000,$A13,'MATCH CALCS'!$A$3:$A1000,$A$1))</f>
        <v>#DIV/0!</v>
      </c>
      <c r="P13" s="112">
        <f ca="1">IFERROR(IF($A$1="All",SUMIF('MATCH CALCS'!$D:$D,$A13,'MATCH CALCS'!AH:AH)/$E13,(SUMIFS('MATCH CALCS'!AH:AH, 'MATCH CALCS'!$D:$D, $A13, 'MATCH CALCS'!$A:$A, $A$1)/$E13)),"-")</f>
        <v>0</v>
      </c>
      <c r="Q13" s="112">
        <f ca="1">IFERROR(IF($A$1="All",SUMIF('MATCH CALCS'!$D:$D,$A13,'MATCH CALCS'!AG:AG)/$E13,(SUMIFS('MATCH CALCS'!AG:AG, 'MATCH CALCS'!$D:$D, $A13, 'MATCH CALCS'!$A:$A, $A$1)/$E13)),"-")</f>
        <v>0</v>
      </c>
      <c r="R13" s="112">
        <f ca="1">IFERROR(IF($A$1="All",SUMIF('MATCH CALCS'!$D:$D,$A13,'MATCH CALCS'!AF:AF)/$E13,(SUMIFS('MATCH CALCS'!AF:AF, 'MATCH CALCS'!$D:$D, $A13, 'MATCH CALCS'!$A:$A, $A$1)/$E13)),"-")</f>
        <v>0</v>
      </c>
      <c r="S13" s="112">
        <f ca="1">IFERROR(IF($A$1="All",SUMIF('MATCH CALCS'!$D:$D,$A13,'MATCH CALCS'!$AE:$AE)/$E13,(SUMIFS('MATCH CALCS'!$AE:$AE, 'MATCH CALCS'!$D:$D, $A13, 'MATCH CALCS'!$A:$A, $A$1)/$E13)),"-")</f>
        <v>0</v>
      </c>
      <c r="T13" s="112">
        <f t="shared" ca="1" si="1"/>
        <v>0</v>
      </c>
      <c r="U13" s="13" t="e">
        <f ca="1">IF($A$1="All",AVERAGEIF('MATCH CALCS'!$D$3:$D1000,$A13,'MATCH CALCS'!$BI$3:$BI1000),AVERAGEIFS('MATCH CALCS'!$BI$3:$BI1000,'MATCH CALCS'!$D$3:$D1000,$A13,'MATCH CALCS'!$A$3:$A1000,$A$1))</f>
        <v>#DIV/0!</v>
      </c>
      <c r="V13" s="112">
        <f ca="1">IFERROR(IF($A$1="All",SUMIF('MATCH CALCS'!$D:$D,$A13,'MATCH CALCS'!W:W)/$E13,(SUMIFS('MATCH CALCS'!W:W, 'MATCH CALCS'!$D:$D, $A13, 'MATCH CALCS'!$A:$A, $A$1)/$E13)),"-")</f>
        <v>0</v>
      </c>
      <c r="W13" s="112">
        <f ca="1">IFERROR(IF($A$1="All",SUMIF('MATCH CALCS'!$D:$D,$A13,'MATCH CALCS'!X:X)/$E13,(SUMIFS('MATCH CALCS'!X:X, 'MATCH CALCS'!$D:$D, $A13, 'MATCH CALCS'!$A:$A, $A$1)/$E13)),"-")</f>
        <v>0</v>
      </c>
      <c r="X13" s="114" t="e">
        <f ca="1">IF($A$1="All",AVERAGEIF('MATCH CALCS'!$D$3:$D1000,$A13,'MATCH CALCS'!$BF$3:$BF1000),AVERAGEIFS('MATCH CALCS'!$BF$3:$BF1000,'MATCH CALCS'!$D$3:$D1000, $A13, 'MATCH CALCS'!$A$3:$A1000, $A$1))</f>
        <v>#DIV/0!</v>
      </c>
      <c r="Y13" s="115">
        <f ca="1">IF($A$1="All",SUMIF('MATCH CALCS'!$D$3:$D1000,$A13,'MATCH CALCS'!$BJ$3:$BJ1000),SUMIFS('MATCH CALCS'!$BJ$3:$BJ1000,'MATCH CALCS'!$D$3:$D1000, $A13, 'MATCH CALCS'!$A$3:$A1000, $A$1))</f>
        <v>0</v>
      </c>
      <c r="Z13" s="116" t="str">
        <f ca="1">IFERROR(__xludf.DUMMYFUNCTION("IFERROR(IF($A$1=""All"",AVERAGE(FILTER('MATCH CALCS'!$BR$3:$BR1000, 'MATCH CALCS'!$D$3:$D1000=$A13)),AVERAGE(FILTER('MATCH CALCS'!$BR$3:$BR1000, 'MATCH CALCS'!$D$3:$D1000=$A13,'MATCH CALCS'!$A$3:$A1000=$A$1))),""No Data"")"),"No Data")</f>
        <v>No Data</v>
      </c>
      <c r="AA13" s="117" t="str">
        <f ca="1">IFERROR(__xludf.DUMMYFUNCTION("IFERROR(IF($A$1=""All"",IF(COUNTIF(FILTER('MATCH CALCS'!$AT$3:$AT1000,'MATCH CALCS'!$D$3:$D1000=$A13), ""Dc"")&gt;0, IF(COUNTIF(FILTER('MATCH CALCS'!$AT$3:$AT1000,'MATCH CALCS'!$D$3:$D1000=$A13), ""Sc"")&gt;0, ""Mixed"", ""Deep""), IF(COUNTIF(FILTER('MATCH CALC"&amp;"S'!$AT$3:$AT1000,'MATCH CALCS'!$D$3:$D1000=$A13), ""Sc"")&gt;0, ""Shallow"",""None"")),IF(COUNTIF(FILTER('MATCH CALCS'!$AT$3:$AT1000,'MATCH CALCS'!$D$3:$D1000=$A13,'MATCH CALCS'!$A$3:$A1000=$A$1), ""Dc"")&gt;0, IF(COUNTIF(FILTER('MATCH CALCS'!$AT$3:$AT1000,'MAT"&amp;"CH CALCS'!$D$3:$D1000=$A13,'MATCH CALCS'!$A$3:$A1000=$A$1), ""Sc"")&gt;0, ""Mixed"", ""Deep""), IF(COUNTIF(FILTER('MATCH CALCS'!$AT$3:$AT1000,'MATCH CALCS'!$D$3:$D1000=$A13,'MATCH CALCS'!$A$3:$A1000=$A$1), ""Sc"")&gt;0, ""Shallow"",""None""))))"),"None")</f>
        <v>None</v>
      </c>
      <c r="AB13" s="9" t="str">
        <f ca="1">IFERROR(IF($A$1="All",(COUNTIFS('MATCH CALCS'!$AT$3:$AT1000,("=Dc"),'MATCH CALCS'!$D$3:$D1000, $A13)+COUNTIFS('MATCH CALCS'!$AT$3:$AT1000,("=Sc"),'MATCH CALCS'!$D$3:$D1000, $A13))/(COUNTIFS('MATCH CALCS'!$AK$3:$AK1000,("=Dc"),'MATCH CALCS'!$D$3:$D1000, $A13)+COUNTIFS('MATCH CALCS'!$AK$3:$AK1000,("=Sc"),'MATCH CALCS'!$D$3:$D1000, $A13)),(COUNTIFS('MATCH CALCS'!$AT$3:$AT1000,("=Dc"),'MATCH CALCS'!$D$3:$D1000, $A13,'MATCH CALCS'!$A$3:$A1000,$A$1)+COUNTIFS('MATCH CALCS'!$AT$3:$AT1000,("=Sc"),'MATCH CALCS'!$D$3:$D1000, $A13,'MATCH CALCS'!$A$3:$A1000,$A$1))/(COUNTIFS('MATCH CALCS'!$AK$3:$AK1000,("=Dc"),'MATCH CALCS'!$D$3:$D1000, $A13,'MATCH CALCS'!$A$3:$A1000,$A$1)+COUNTIFS('MATCH CALCS'!$AK$3:$AK1000,("=Sc"),'MATCH CALCS'!$D$3:$D1000, $A13,'MATCH CALCS'!$A$3:$A1000,$A$1))),"-")</f>
        <v>-</v>
      </c>
      <c r="AC13" s="25">
        <f ca="1">IFERROR(IF($A$1="All",COUNTIFS('MATCH CALCS'!$AT$3:$AT1000,("=Dc"),'MATCH CALCS'!$D$3:$D1000, $A13)+COUNTIFS('MATCH CALCS'!$AT$3:$AT1000,("=Sc"),'MATCH CALCS'!$D$3:$D1000, $A13),COUNTIFS('MATCH CALCS'!$AT$3:$AT1000,("=Dc"),'MATCH CALCS'!$D$3:$D1000, $A13,'MATCH CALCS'!$A$3:$A1000, $A$1)+COUNTIFS('MATCH CALCS'!$AT$3:$AT1000,("=Sc"),'MATCH CALCS'!$D$3:$D1000, $A13,'MATCH CALCS'!$A$3:$A1000, $A$1)),"-")</f>
        <v>0</v>
      </c>
    </row>
    <row r="14" spans="1:55" ht="12.75">
      <c r="A14" s="30">
        <f ca="1">IFERROR(__xludf.DUMMYFUNCTION("""COMPUTED_VALUE"""),2513)</f>
        <v>2513</v>
      </c>
      <c r="B14" s="6" t="str">
        <f ca="1">IFERROR(__xludf.DUMMYFUNCTION("""COMPUTED_VALUE"""),"T.E.R.T.O.L.A.")</f>
        <v>T.E.R.T.O.L.A.</v>
      </c>
      <c r="C14" s="30" t="str">
        <f ca="1">IFERROR(__xludf.DUMMYFUNCTION("FILTER('TEAM RANKING'!$A:$A,'TEAM RANKING'!$K:$K=$A14)"),"#N/A")</f>
        <v>#N/A</v>
      </c>
      <c r="D14" s="15"/>
      <c r="E14" s="110">
        <f ca="1">IFERROR((IF($A$1="All", COUNTIF('MATCH CALCS'!$D:$D,$A14), (COUNTIFS('MATCH CALCS'!D:D, $A14, 'MATCH CALCS'!$A:$A,$A$1)))),"-")</f>
        <v>1</v>
      </c>
      <c r="F14" s="111">
        <f ca="1">IFERROR(IF($A$1="All",SUMIF('MATCH CALCS'!$D:$D,$A14,'MATCH CALCS'!$AW:$AW)/$E14,(SUMIFS('MATCH CALCS'!$AW:$AW, 'MATCH CALCS'!$D:$D, $A14, 'MATCH CALCS'!$A:$A, $A$1)/$E14)),"-")</f>
        <v>0</v>
      </c>
      <c r="G14" s="112">
        <f ca="1">IFERROR(IF($A$1="All",SUMIF('MATCH CALCS'!$D:$D,$A14,'MATCH CALCS'!O:O)/$E14,(SUMIFS('MATCH CALCS'!O:O, 'MATCH CALCS'!$D:$D, $A14, 'MATCH CALCS'!$A:$A, $A$1)/$E14)),"-")</f>
        <v>0</v>
      </c>
      <c r="H14" s="112">
        <f ca="1">IFERROR(IF($A$1="All",SUMIF('MATCH CALCS'!$D:$D,$A14,'MATCH CALCS'!N:N)/$E14,(SUMIFS('MATCH CALCS'!N:N, 'MATCH CALCS'!$D:$D, $A14, 'MATCH CALCS'!$A:$A, $A$1)/$E14)),"-")</f>
        <v>0</v>
      </c>
      <c r="I14" s="112">
        <f ca="1">IFERROR(IF($A$1="All",SUMIF('MATCH CALCS'!$D:$D,$A14,'MATCH CALCS'!M:M)/$E14,(SUMIFS('MATCH CALCS'!M:M, 'MATCH CALCS'!$D:$D, $A14, 'MATCH CALCS'!$A:$A, $A$1)/$E14)),"-")</f>
        <v>0</v>
      </c>
      <c r="J14" s="112">
        <f ca="1">IFERROR(IF($A$1="All",SUMIF('MATCH CALCS'!$D:$D,$A14,'MATCH CALCS'!L:L)/$E14,(SUMIFS('MATCH CALCS'!L:L, 'MATCH CALCS'!$D:$D, $A14, 'MATCH CALCS'!$A:$A, $A$1)/$E14)),"-")</f>
        <v>0</v>
      </c>
      <c r="K14" s="112">
        <f t="shared" ca="1" si="0"/>
        <v>0</v>
      </c>
      <c r="L14" s="13">
        <f ca="1">IF($A$1="All",AVERAGEIF('MATCH CALCS'!$D$3:$D1000,$A14,'MATCH CALCS'!$AZ$3:$AZ1000),AVERAGEIFS('MATCH CALCS'!$AZ$3:$AZ1000,'MATCH CALCS'!$D$3:$D1000,$A14,'MATCH CALCS'!$A$3:$A1000,$A$1))</f>
        <v>0</v>
      </c>
      <c r="M14" s="112">
        <f ca="1">IF($A$1="All",AVERAGEIF('MATCH CALCS'!$D:$D,$A14,'MATCH CALCS'!R:R),(SUMIFS('MATCH CALCS'!R$3:R1000, 'MATCH CALCS'!$D$3:$D1000, $A14, 'MATCH CALCS'!A$3:A1000, $A$1)/$E14))</f>
        <v>0</v>
      </c>
      <c r="N14" s="112">
        <f ca="1">IFERROR(IF($A$1="All",SUMIF('MATCH CALCS'!$D:$D,$A14,'MATCH CALCS'!S:S)/$E14,(SUMIFS('MATCH CALCS'!S:S, 'MATCH CALCS'!$D:$D, $A14, 'MATCH CALCS'!A:A, $A$1)/$E14)),"-")</f>
        <v>0</v>
      </c>
      <c r="O14" s="113" t="e">
        <f ca="1">IF($A$1="All",AVERAGEIF('MATCH CALCS'!$D$3:$D1000,$A14,'MATCH CALCS'!$BC$3:$BC1000),AVERAGEIFS('MATCH CALCS'!$BC$3:$BC1000,'MATCH CALCS'!$D$3:$D1000,$A14,'MATCH CALCS'!$A$3:$A1000,$A$1))</f>
        <v>#DIV/0!</v>
      </c>
      <c r="P14" s="112">
        <f ca="1">IFERROR(IF($A$1="All",SUMIF('MATCH CALCS'!$D:$D,$A14,'MATCH CALCS'!AH:AH)/$E14,(SUMIFS('MATCH CALCS'!AH:AH, 'MATCH CALCS'!$D:$D, $A14, 'MATCH CALCS'!$A:$A, $A$1)/$E14)),"-")</f>
        <v>0</v>
      </c>
      <c r="Q14" s="112">
        <f ca="1">IFERROR(IF($A$1="All",SUMIF('MATCH CALCS'!$D:$D,$A14,'MATCH CALCS'!AG:AG)/$E14,(SUMIFS('MATCH CALCS'!AG:AG, 'MATCH CALCS'!$D:$D, $A14, 'MATCH CALCS'!$A:$A, $A$1)/$E14)),"-")</f>
        <v>0</v>
      </c>
      <c r="R14" s="112">
        <f ca="1">IFERROR(IF($A$1="All",SUMIF('MATCH CALCS'!$D:$D,$A14,'MATCH CALCS'!AF:AF)/$E14,(SUMIFS('MATCH CALCS'!AF:AF, 'MATCH CALCS'!$D:$D, $A14, 'MATCH CALCS'!$A:$A, $A$1)/$E14)),"-")</f>
        <v>2</v>
      </c>
      <c r="S14" s="112">
        <f ca="1">IFERROR(IF($A$1="All",SUMIF('MATCH CALCS'!$D:$D,$A14,'MATCH CALCS'!$AE:$AE)/$E14,(SUMIFS('MATCH CALCS'!$AE:$AE, 'MATCH CALCS'!$D:$D, $A14, 'MATCH CALCS'!$A:$A, $A$1)/$E14)),"-")</f>
        <v>6</v>
      </c>
      <c r="T14" s="112">
        <f t="shared" ca="1" si="1"/>
        <v>8</v>
      </c>
      <c r="U14" s="13">
        <f ca="1">IF($A$1="All",AVERAGEIF('MATCH CALCS'!$D$3:$D1000,$A14,'MATCH CALCS'!$BI$3:$BI1000),AVERAGEIFS('MATCH CALCS'!$BI$3:$BI1000,'MATCH CALCS'!$D$3:$D1000,$A14,'MATCH CALCS'!$A$3:$A1000,$A$1))</f>
        <v>1</v>
      </c>
      <c r="V14" s="112">
        <f ca="1">IFERROR(IF($A$1="All",SUMIF('MATCH CALCS'!$D:$D,$A14,'MATCH CALCS'!W:W)/$E14,(SUMIFS('MATCH CALCS'!W:W, 'MATCH CALCS'!$D:$D, $A14, 'MATCH CALCS'!$A:$A, $A$1)/$E14)),"-")</f>
        <v>0</v>
      </c>
      <c r="W14" s="112">
        <f ca="1">IFERROR(IF($A$1="All",SUMIF('MATCH CALCS'!$D:$D,$A14,'MATCH CALCS'!X:X)/$E14,(SUMIFS('MATCH CALCS'!X:X, 'MATCH CALCS'!$D:$D, $A14, 'MATCH CALCS'!$A:$A, $A$1)/$E14)),"-")</f>
        <v>0</v>
      </c>
      <c r="X14" s="114" t="e">
        <f ca="1">IF($A$1="All",AVERAGEIF('MATCH CALCS'!$D$3:$D1000,$A14,'MATCH CALCS'!$BF$3:$BF1000),AVERAGEIFS('MATCH CALCS'!$BF$3:$BF1000,'MATCH CALCS'!$D$3:$D1000, $A14, 'MATCH CALCS'!$A$3:$A1000, $A$1))</f>
        <v>#DIV/0!</v>
      </c>
      <c r="Y14" s="115">
        <f ca="1">IF($A$1="All",SUMIF('MATCH CALCS'!$D$3:$D1000,$A14,'MATCH CALCS'!$BJ$3:$BJ1000),SUMIFS('MATCH CALCS'!$BJ$3:$BJ1000,'MATCH CALCS'!$D$3:$D1000, $A14, 'MATCH CALCS'!$A$3:$A1000, $A$1))</f>
        <v>0</v>
      </c>
      <c r="Z14" s="116" t="str">
        <f ca="1">IFERROR(__xludf.DUMMYFUNCTION("IFERROR(IF($A$1=""All"",AVERAGE(FILTER('MATCH CALCS'!$BR$3:$BR1000, 'MATCH CALCS'!$D$3:$D1000=$A14)),AVERAGE(FILTER('MATCH CALCS'!$BR$3:$BR1000, 'MATCH CALCS'!$D$3:$D1000=$A14,'MATCH CALCS'!$A$3:$A1000=$A$1))),""No Data"")"),"No Data")</f>
        <v>No Data</v>
      </c>
      <c r="AA14" s="117" t="str">
        <f ca="1">IFERROR(__xludf.DUMMYFUNCTION("IFERROR(IF($A$1=""All"",IF(COUNTIF(FILTER('MATCH CALCS'!$AT$3:$AT1000,'MATCH CALCS'!$D$3:$D1000=$A14), ""Dc"")&gt;0, IF(COUNTIF(FILTER('MATCH CALCS'!$AT$3:$AT1000,'MATCH CALCS'!$D$3:$D1000=$A14), ""Sc"")&gt;0, ""Mixed"", ""Deep""), IF(COUNTIF(FILTER('MATCH CALC"&amp;"S'!$AT$3:$AT1000,'MATCH CALCS'!$D$3:$D1000=$A14), ""Sc"")&gt;0, ""Shallow"",""None"")),IF(COUNTIF(FILTER('MATCH CALCS'!$AT$3:$AT1000,'MATCH CALCS'!$D$3:$D1000=$A14,'MATCH CALCS'!$A$3:$A1000=$A$1), ""Dc"")&gt;0, IF(COUNTIF(FILTER('MATCH CALCS'!$AT$3:$AT1000,'MAT"&amp;"CH CALCS'!$D$3:$D1000=$A14,'MATCH CALCS'!$A$3:$A1000=$A$1), ""Sc"")&gt;0, ""Mixed"", ""Deep""), IF(COUNTIF(FILTER('MATCH CALCS'!$AT$3:$AT1000,'MATCH CALCS'!$D$3:$D1000=$A14,'MATCH CALCS'!$A$3:$A1000=$A$1), ""Sc"")&gt;0, ""Shallow"",""None""))))"),"None")</f>
        <v>None</v>
      </c>
      <c r="AB14" s="9">
        <f ca="1">IFERROR(IF($A$1="All",(COUNTIFS('MATCH CALCS'!$AT$3:$AT1000,("=Dc"),'MATCH CALCS'!$D$3:$D1000, $A14)+COUNTIFS('MATCH CALCS'!$AT$3:$AT1000,("=Sc"),'MATCH CALCS'!$D$3:$D1000, $A14))/(COUNTIFS('MATCH CALCS'!$AK$3:$AK1000,("=Dc"),'MATCH CALCS'!$D$3:$D1000, $A14)+COUNTIFS('MATCH CALCS'!$AK$3:$AK1000,("=Sc"),'MATCH CALCS'!$D$3:$D1000, $A14)),(COUNTIFS('MATCH CALCS'!$AT$3:$AT1000,("=Dc"),'MATCH CALCS'!$D$3:$D1000, $A14,'MATCH CALCS'!$A$3:$A1000,$A$1)+COUNTIFS('MATCH CALCS'!$AT$3:$AT1000,("=Sc"),'MATCH CALCS'!$D$3:$D1000, $A14,'MATCH CALCS'!$A$3:$A1000,$A$1))/(COUNTIFS('MATCH CALCS'!$AK$3:$AK1000,("=Dc"),'MATCH CALCS'!$D$3:$D1000, $A14,'MATCH CALCS'!$A$3:$A1000,$A$1)+COUNTIFS('MATCH CALCS'!$AK$3:$AK1000,("=Sc"),'MATCH CALCS'!$D$3:$D1000, $A14,'MATCH CALCS'!$A$3:$A1000,$A$1))),"-")</f>
        <v>0</v>
      </c>
      <c r="AC14" s="25">
        <f ca="1">IFERROR(IF($A$1="All",COUNTIFS('MATCH CALCS'!$AT$3:$AT1000,("=Dc"),'MATCH CALCS'!$D$3:$D1000, $A14)+COUNTIFS('MATCH CALCS'!$AT$3:$AT1000,("=Sc"),'MATCH CALCS'!$D$3:$D1000, $A14),COUNTIFS('MATCH CALCS'!$AT$3:$AT1000,("=Dc"),'MATCH CALCS'!$D$3:$D1000, $A14,'MATCH CALCS'!$A$3:$A1000, $A$1)+COUNTIFS('MATCH CALCS'!$AT$3:$AT1000,("=Sc"),'MATCH CALCS'!$D$3:$D1000, $A14,'MATCH CALCS'!$A$3:$A1000, $A$1)),"-")</f>
        <v>0</v>
      </c>
    </row>
    <row r="15" spans="1:55" ht="12.75">
      <c r="A15" s="30">
        <f ca="1">IFERROR(__xludf.DUMMYFUNCTION("""COMPUTED_VALUE"""),2538)</f>
        <v>2538</v>
      </c>
      <c r="B15" s="6" t="str">
        <f ca="1">IFERROR(__xludf.DUMMYFUNCTION("""COMPUTED_VALUE"""),"The Plaid Pillagers")</f>
        <v>The Plaid Pillagers</v>
      </c>
      <c r="C15" s="30" t="str">
        <f ca="1">IFERROR(__xludf.DUMMYFUNCTION("FILTER('TEAM RANKING'!$A:$A,'TEAM RANKING'!$K:$K=$A15)"),"#N/A")</f>
        <v>#N/A</v>
      </c>
      <c r="D15" s="15"/>
      <c r="E15" s="110">
        <f ca="1">IFERROR((IF($A$1="All", COUNTIF('MATCH CALCS'!$D:$D,$A15), (COUNTIFS('MATCH CALCS'!D:D, $A15, 'MATCH CALCS'!$A:$A,$A$1)))),"-")</f>
        <v>2</v>
      </c>
      <c r="F15" s="111">
        <f ca="1">IFERROR(IF($A$1="All",SUMIF('MATCH CALCS'!$D:$D,$A15,'MATCH CALCS'!$AW:$AW)/$E15,(SUMIFS('MATCH CALCS'!$AW:$AW, 'MATCH CALCS'!$D:$D, $A15, 'MATCH CALCS'!$A:$A, $A$1)/$E15)),"-")</f>
        <v>0</v>
      </c>
      <c r="G15" s="112">
        <f ca="1">IFERROR(IF($A$1="All",SUMIF('MATCH CALCS'!$D:$D,$A15,'MATCH CALCS'!O:O)/$E15,(SUMIFS('MATCH CALCS'!O:O, 'MATCH CALCS'!$D:$D, $A15, 'MATCH CALCS'!$A:$A, $A$1)/$E15)),"-")</f>
        <v>0</v>
      </c>
      <c r="H15" s="112">
        <f ca="1">IFERROR(IF($A$1="All",SUMIF('MATCH CALCS'!$D:$D,$A15,'MATCH CALCS'!N:N)/$E15,(SUMIFS('MATCH CALCS'!N:N, 'MATCH CALCS'!$D:$D, $A15, 'MATCH CALCS'!$A:$A, $A$1)/$E15)),"-")</f>
        <v>0</v>
      </c>
      <c r="I15" s="112">
        <f ca="1">IFERROR(IF($A$1="All",SUMIF('MATCH CALCS'!$D:$D,$A15,'MATCH CALCS'!M:M)/$E15,(SUMIFS('MATCH CALCS'!M:M, 'MATCH CALCS'!$D:$D, $A15, 'MATCH CALCS'!$A:$A, $A$1)/$E15)),"-")</f>
        <v>0</v>
      </c>
      <c r="J15" s="112">
        <f ca="1">IFERROR(IF($A$1="All",SUMIF('MATCH CALCS'!$D:$D,$A15,'MATCH CALCS'!L:L)/$E15,(SUMIFS('MATCH CALCS'!L:L, 'MATCH CALCS'!$D:$D, $A15, 'MATCH CALCS'!$A:$A, $A$1)/$E15)),"-")</f>
        <v>0</v>
      </c>
      <c r="K15" s="112">
        <f t="shared" ca="1" si="0"/>
        <v>0</v>
      </c>
      <c r="L15" s="13" t="e">
        <f ca="1">IF($A$1="All",AVERAGEIF('MATCH CALCS'!$D$3:$D1000,$A15,'MATCH CALCS'!$AZ$3:$AZ1000),AVERAGEIFS('MATCH CALCS'!$AZ$3:$AZ1000,'MATCH CALCS'!$D$3:$D1000,$A15,'MATCH CALCS'!$A$3:$A1000,$A$1))</f>
        <v>#DIV/0!</v>
      </c>
      <c r="M15" s="112">
        <f ca="1">IF($A$1="All",AVERAGEIF('MATCH CALCS'!$D:$D,$A15,'MATCH CALCS'!R:R),(SUMIFS('MATCH CALCS'!R$3:R1000, 'MATCH CALCS'!$D$3:$D1000, $A15, 'MATCH CALCS'!A$3:A1000, $A$1)/$E15))</f>
        <v>0</v>
      </c>
      <c r="N15" s="112">
        <f ca="1">IFERROR(IF($A$1="All",SUMIF('MATCH CALCS'!$D:$D,$A15,'MATCH CALCS'!S:S)/$E15,(SUMIFS('MATCH CALCS'!S:S, 'MATCH CALCS'!$D:$D, $A15, 'MATCH CALCS'!A:A, $A$1)/$E15)),"-")</f>
        <v>0</v>
      </c>
      <c r="O15" s="113" t="e">
        <f ca="1">IF($A$1="All",AVERAGEIF('MATCH CALCS'!$D$3:$D1000,$A15,'MATCH CALCS'!$BC$3:$BC1000),AVERAGEIFS('MATCH CALCS'!$BC$3:$BC1000,'MATCH CALCS'!$D$3:$D1000,$A15,'MATCH CALCS'!$A$3:$A1000,$A$1))</f>
        <v>#DIV/0!</v>
      </c>
      <c r="P15" s="112">
        <f ca="1">IFERROR(IF($A$1="All",SUMIF('MATCH CALCS'!$D:$D,$A15,'MATCH CALCS'!AH:AH)/$E15,(SUMIFS('MATCH CALCS'!AH:AH, 'MATCH CALCS'!$D:$D, $A15, 'MATCH CALCS'!$A:$A, $A$1)/$E15)),"-")</f>
        <v>1</v>
      </c>
      <c r="Q15" s="112">
        <f ca="1">IFERROR(IF($A$1="All",SUMIF('MATCH CALCS'!$D:$D,$A15,'MATCH CALCS'!AG:AG)/$E15,(SUMIFS('MATCH CALCS'!AG:AG, 'MATCH CALCS'!$D:$D, $A15, 'MATCH CALCS'!$A:$A, $A$1)/$E15)),"-")</f>
        <v>0</v>
      </c>
      <c r="R15" s="112">
        <f ca="1">IFERROR(IF($A$1="All",SUMIF('MATCH CALCS'!$D:$D,$A15,'MATCH CALCS'!AF:AF)/$E15,(SUMIFS('MATCH CALCS'!AF:AF, 'MATCH CALCS'!$D:$D, $A15, 'MATCH CALCS'!$A:$A, $A$1)/$E15)),"-")</f>
        <v>0</v>
      </c>
      <c r="S15" s="112">
        <f ca="1">IFERROR(IF($A$1="All",SUMIF('MATCH CALCS'!$D:$D,$A15,'MATCH CALCS'!$AE:$AE)/$E15,(SUMIFS('MATCH CALCS'!$AE:$AE, 'MATCH CALCS'!$D:$D, $A15, 'MATCH CALCS'!$A:$A, $A$1)/$E15)),"-")</f>
        <v>0</v>
      </c>
      <c r="T15" s="112">
        <f t="shared" ca="1" si="1"/>
        <v>1</v>
      </c>
      <c r="U15" s="13">
        <f ca="1">IF($A$1="All",AVERAGEIF('MATCH CALCS'!$D$3:$D1000,$A15,'MATCH CALCS'!$BI$3:$BI1000),AVERAGEIFS('MATCH CALCS'!$BI$3:$BI1000,'MATCH CALCS'!$D$3:$D1000,$A15,'MATCH CALCS'!$A$3:$A1000,$A$1))</f>
        <v>0.5</v>
      </c>
      <c r="V15" s="112">
        <f ca="1">IFERROR(IF($A$1="All",SUMIF('MATCH CALCS'!$D:$D,$A15,'MATCH CALCS'!W:W)/$E15,(SUMIFS('MATCH CALCS'!W:W, 'MATCH CALCS'!$D:$D, $A15, 'MATCH CALCS'!$A:$A, $A$1)/$E15)),"-")</f>
        <v>0</v>
      </c>
      <c r="W15" s="112">
        <f ca="1">IFERROR(IF($A$1="All",SUMIF('MATCH CALCS'!$D:$D,$A15,'MATCH CALCS'!X:X)/$E15,(SUMIFS('MATCH CALCS'!X:X, 'MATCH CALCS'!$D:$D, $A15, 'MATCH CALCS'!$A:$A, $A$1)/$E15)),"-")</f>
        <v>0</v>
      </c>
      <c r="X15" s="114" t="e">
        <f ca="1">IF($A$1="All",AVERAGEIF('MATCH CALCS'!$D$3:$D1000,$A15,'MATCH CALCS'!$BF$3:$BF1000),AVERAGEIFS('MATCH CALCS'!$BF$3:$BF1000,'MATCH CALCS'!$D$3:$D1000, $A15, 'MATCH CALCS'!$A$3:$A1000, $A$1))</f>
        <v>#DIV/0!</v>
      </c>
      <c r="Y15" s="115">
        <f ca="1">IF($A$1="All",SUMIF('MATCH CALCS'!$D$3:$D1000,$A15,'MATCH CALCS'!$BJ$3:$BJ1000),SUMIFS('MATCH CALCS'!$BJ$3:$BJ1000,'MATCH CALCS'!$D$3:$D1000, $A15, 'MATCH CALCS'!$A$3:$A1000, $A$1))</f>
        <v>0</v>
      </c>
      <c r="Z15" s="116" t="str">
        <f ca="1">IFERROR(__xludf.DUMMYFUNCTION("IFERROR(IF($A$1=""All"",AVERAGE(FILTER('MATCH CALCS'!$BR$3:$BR1000, 'MATCH CALCS'!$D$3:$D1000=$A15)),AVERAGE(FILTER('MATCH CALCS'!$BR$3:$BR1000, 'MATCH CALCS'!$D$3:$D1000=$A15,'MATCH CALCS'!$A$3:$A1000=$A$1))),""No Data"")"),"No Data")</f>
        <v>No Data</v>
      </c>
      <c r="AA15" s="117" t="str">
        <f ca="1">IFERROR(__xludf.DUMMYFUNCTION("IFERROR(IF($A$1=""All"",IF(COUNTIF(FILTER('MATCH CALCS'!$AT$3:$AT1000,'MATCH CALCS'!$D$3:$D1000=$A15), ""Dc"")&gt;0, IF(COUNTIF(FILTER('MATCH CALCS'!$AT$3:$AT1000,'MATCH CALCS'!$D$3:$D1000=$A15), ""Sc"")&gt;0, ""Mixed"", ""Deep""), IF(COUNTIF(FILTER('MATCH CALC"&amp;"S'!$AT$3:$AT1000,'MATCH CALCS'!$D$3:$D1000=$A15), ""Sc"")&gt;0, ""Shallow"",""None"")),IF(COUNTIF(FILTER('MATCH CALCS'!$AT$3:$AT1000,'MATCH CALCS'!$D$3:$D1000=$A15,'MATCH CALCS'!$A$3:$A1000=$A$1), ""Dc"")&gt;0, IF(COUNTIF(FILTER('MATCH CALCS'!$AT$3:$AT1000,'MAT"&amp;"CH CALCS'!$D$3:$D1000=$A15,'MATCH CALCS'!$A$3:$A1000=$A$1), ""Sc"")&gt;0, ""Mixed"", ""Deep""), IF(COUNTIF(FILTER('MATCH CALCS'!$AT$3:$AT1000,'MATCH CALCS'!$D$3:$D1000=$A15,'MATCH CALCS'!$A$3:$A1000=$A$1), ""Sc"")&gt;0, ""Shallow"",""None""))))"),"None")</f>
        <v>None</v>
      </c>
      <c r="AB15" s="9" t="str">
        <f ca="1">IFERROR(IF($A$1="All",(COUNTIFS('MATCH CALCS'!$AT$3:$AT1000,("=Dc"),'MATCH CALCS'!$D$3:$D1000, $A15)+COUNTIFS('MATCH CALCS'!$AT$3:$AT1000,("=Sc"),'MATCH CALCS'!$D$3:$D1000, $A15))/(COUNTIFS('MATCH CALCS'!$AK$3:$AK1000,("=Dc"),'MATCH CALCS'!$D$3:$D1000, $A15)+COUNTIFS('MATCH CALCS'!$AK$3:$AK1000,("=Sc"),'MATCH CALCS'!$D$3:$D1000, $A15)),(COUNTIFS('MATCH CALCS'!$AT$3:$AT1000,("=Dc"),'MATCH CALCS'!$D$3:$D1000, $A15,'MATCH CALCS'!$A$3:$A1000,$A$1)+COUNTIFS('MATCH CALCS'!$AT$3:$AT1000,("=Sc"),'MATCH CALCS'!$D$3:$D1000, $A15,'MATCH CALCS'!$A$3:$A1000,$A$1))/(COUNTIFS('MATCH CALCS'!$AK$3:$AK1000,("=Dc"),'MATCH CALCS'!$D$3:$D1000, $A15,'MATCH CALCS'!$A$3:$A1000,$A$1)+COUNTIFS('MATCH CALCS'!$AK$3:$AK1000,("=Sc"),'MATCH CALCS'!$D$3:$D1000, $A15,'MATCH CALCS'!$A$3:$A1000,$A$1))),"-")</f>
        <v>-</v>
      </c>
      <c r="AC15" s="25">
        <f ca="1">IFERROR(IF($A$1="All",COUNTIFS('MATCH CALCS'!$AT$3:$AT1000,("=Dc"),'MATCH CALCS'!$D$3:$D1000, $A15)+COUNTIFS('MATCH CALCS'!$AT$3:$AT1000,("=Sc"),'MATCH CALCS'!$D$3:$D1000, $A15),COUNTIFS('MATCH CALCS'!$AT$3:$AT1000,("=Dc"),'MATCH CALCS'!$D$3:$D1000, $A15,'MATCH CALCS'!$A$3:$A1000, $A$1)+COUNTIFS('MATCH CALCS'!$AT$3:$AT1000,("=Sc"),'MATCH CALCS'!$D$3:$D1000, $A15,'MATCH CALCS'!$A$3:$A1000, $A$1)),"-")</f>
        <v>0</v>
      </c>
    </row>
    <row r="16" spans="1:55" ht="12.75">
      <c r="A16" s="30">
        <f ca="1">IFERROR(__xludf.DUMMYFUNCTION("""COMPUTED_VALUE"""),2549)</f>
        <v>2549</v>
      </c>
      <c r="B16" s="6" t="str">
        <f ca="1">IFERROR(__xludf.DUMMYFUNCTION("""COMPUTED_VALUE"""),"Millerbots")</f>
        <v>Millerbots</v>
      </c>
      <c r="C16" s="30" t="str">
        <f ca="1">IFERROR(__xludf.DUMMYFUNCTION("FILTER('TEAM RANKING'!$A:$A,'TEAM RANKING'!$K:$K=$A16)"),"#N/A")</f>
        <v>#N/A</v>
      </c>
      <c r="D16" s="15"/>
      <c r="E16" s="110">
        <f ca="1">IFERROR((IF($A$1="All", COUNTIF('MATCH CALCS'!$D:$D,$A16), (COUNTIFS('MATCH CALCS'!D:D, $A16, 'MATCH CALCS'!$A:$A,$A$1)))),"-")</f>
        <v>1</v>
      </c>
      <c r="F16" s="111">
        <f ca="1">IFERROR(IF($A$1="All",SUMIF('MATCH CALCS'!$D:$D,$A16,'MATCH CALCS'!$AW:$AW)/$E16,(SUMIFS('MATCH CALCS'!$AW:$AW, 'MATCH CALCS'!$D:$D, $A16, 'MATCH CALCS'!$A:$A, $A$1)/$E16)),"-")</f>
        <v>0</v>
      </c>
      <c r="G16" s="112">
        <f ca="1">IFERROR(IF($A$1="All",SUMIF('MATCH CALCS'!$D:$D,$A16,'MATCH CALCS'!O:O)/$E16,(SUMIFS('MATCH CALCS'!O:O, 'MATCH CALCS'!$D:$D, $A16, 'MATCH CALCS'!$A:$A, $A$1)/$E16)),"-")</f>
        <v>0</v>
      </c>
      <c r="H16" s="112">
        <f ca="1">IFERROR(IF($A$1="All",SUMIF('MATCH CALCS'!$D:$D,$A16,'MATCH CALCS'!N:N)/$E16,(SUMIFS('MATCH CALCS'!N:N, 'MATCH CALCS'!$D:$D, $A16, 'MATCH CALCS'!$A:$A, $A$1)/$E16)),"-")</f>
        <v>0</v>
      </c>
      <c r="I16" s="112">
        <f ca="1">IFERROR(IF($A$1="All",SUMIF('MATCH CALCS'!$D:$D,$A16,'MATCH CALCS'!M:M)/$E16,(SUMIFS('MATCH CALCS'!M:M, 'MATCH CALCS'!$D:$D, $A16, 'MATCH CALCS'!$A:$A, $A$1)/$E16)),"-")</f>
        <v>0</v>
      </c>
      <c r="J16" s="112">
        <f ca="1">IFERROR(IF($A$1="All",SUMIF('MATCH CALCS'!$D:$D,$A16,'MATCH CALCS'!L:L)/$E16,(SUMIFS('MATCH CALCS'!L:L, 'MATCH CALCS'!$D:$D, $A16, 'MATCH CALCS'!$A:$A, $A$1)/$E16)),"-")</f>
        <v>0</v>
      </c>
      <c r="K16" s="112">
        <f t="shared" ca="1" si="0"/>
        <v>0</v>
      </c>
      <c r="L16" s="13" t="e">
        <f ca="1">IF($A$1="All",AVERAGEIF('MATCH CALCS'!$D$3:$D1000,$A16,'MATCH CALCS'!$AZ$3:$AZ1000),AVERAGEIFS('MATCH CALCS'!$AZ$3:$AZ1000,'MATCH CALCS'!$D$3:$D1000,$A16,'MATCH CALCS'!$A$3:$A1000,$A$1))</f>
        <v>#DIV/0!</v>
      </c>
      <c r="M16" s="112">
        <f ca="1">IF($A$1="All",AVERAGEIF('MATCH CALCS'!$D:$D,$A16,'MATCH CALCS'!R:R),(SUMIFS('MATCH CALCS'!R$3:R1000, 'MATCH CALCS'!$D$3:$D1000, $A16, 'MATCH CALCS'!A$3:A1000, $A$1)/$E16))</f>
        <v>0</v>
      </c>
      <c r="N16" s="112">
        <f ca="1">IFERROR(IF($A$1="All",SUMIF('MATCH CALCS'!$D:$D,$A16,'MATCH CALCS'!S:S)/$E16,(SUMIFS('MATCH CALCS'!S:S, 'MATCH CALCS'!$D:$D, $A16, 'MATCH CALCS'!A:A, $A$1)/$E16)),"-")</f>
        <v>0</v>
      </c>
      <c r="O16" s="113" t="e">
        <f ca="1">IF($A$1="All",AVERAGEIF('MATCH CALCS'!$D$3:$D1000,$A16,'MATCH CALCS'!$BC$3:$BC1000),AVERAGEIFS('MATCH CALCS'!$BC$3:$BC1000,'MATCH CALCS'!$D$3:$D1000,$A16,'MATCH CALCS'!$A$3:$A1000,$A$1))</f>
        <v>#DIV/0!</v>
      </c>
      <c r="P16" s="112">
        <f ca="1">IFERROR(IF($A$1="All",SUMIF('MATCH CALCS'!$D:$D,$A16,'MATCH CALCS'!AH:AH)/$E16,(SUMIFS('MATCH CALCS'!AH:AH, 'MATCH CALCS'!$D:$D, $A16, 'MATCH CALCS'!$A:$A, $A$1)/$E16)),"-")</f>
        <v>0</v>
      </c>
      <c r="Q16" s="112">
        <f ca="1">IFERROR(IF($A$1="All",SUMIF('MATCH CALCS'!$D:$D,$A16,'MATCH CALCS'!AG:AG)/$E16,(SUMIFS('MATCH CALCS'!AG:AG, 'MATCH CALCS'!$D:$D, $A16, 'MATCH CALCS'!$A:$A, $A$1)/$E16)),"-")</f>
        <v>0</v>
      </c>
      <c r="R16" s="112">
        <f ca="1">IFERROR(IF($A$1="All",SUMIF('MATCH CALCS'!$D:$D,$A16,'MATCH CALCS'!AF:AF)/$E16,(SUMIFS('MATCH CALCS'!AF:AF, 'MATCH CALCS'!$D:$D, $A16, 'MATCH CALCS'!$A:$A, $A$1)/$E16)),"-")</f>
        <v>0</v>
      </c>
      <c r="S16" s="112">
        <f ca="1">IFERROR(IF($A$1="All",SUMIF('MATCH CALCS'!$D:$D,$A16,'MATCH CALCS'!$AE:$AE)/$E16,(SUMIFS('MATCH CALCS'!$AE:$AE, 'MATCH CALCS'!$D:$D, $A16, 'MATCH CALCS'!$A:$A, $A$1)/$E16)),"-")</f>
        <v>0</v>
      </c>
      <c r="T16" s="112">
        <f t="shared" ca="1" si="1"/>
        <v>0</v>
      </c>
      <c r="U16" s="13" t="e">
        <f ca="1">IF($A$1="All",AVERAGEIF('MATCH CALCS'!$D$3:$D1000,$A16,'MATCH CALCS'!$BI$3:$BI1000),AVERAGEIFS('MATCH CALCS'!$BI$3:$BI1000,'MATCH CALCS'!$D$3:$D1000,$A16,'MATCH CALCS'!$A$3:$A1000,$A$1))</f>
        <v>#DIV/0!</v>
      </c>
      <c r="V16" s="112">
        <f ca="1">IFERROR(IF($A$1="All",SUMIF('MATCH CALCS'!$D:$D,$A16,'MATCH CALCS'!W:W)/$E16,(SUMIFS('MATCH CALCS'!W:W, 'MATCH CALCS'!$D:$D, $A16, 'MATCH CALCS'!$A:$A, $A$1)/$E16)),"-")</f>
        <v>0</v>
      </c>
      <c r="W16" s="112">
        <f ca="1">IFERROR(IF($A$1="All",SUMIF('MATCH CALCS'!$D:$D,$A16,'MATCH CALCS'!X:X)/$E16,(SUMIFS('MATCH CALCS'!X:X, 'MATCH CALCS'!$D:$D, $A16, 'MATCH CALCS'!$A:$A, $A$1)/$E16)),"-")</f>
        <v>0</v>
      </c>
      <c r="X16" s="114" t="e">
        <f ca="1">IF($A$1="All",AVERAGEIF('MATCH CALCS'!$D$3:$D1000,$A16,'MATCH CALCS'!$BF$3:$BF1000),AVERAGEIFS('MATCH CALCS'!$BF$3:$BF1000,'MATCH CALCS'!$D$3:$D1000, $A16, 'MATCH CALCS'!$A$3:$A1000, $A$1))</f>
        <v>#DIV/0!</v>
      </c>
      <c r="Y16" s="115">
        <f ca="1">IF($A$1="All",SUMIF('MATCH CALCS'!$D$3:$D1000,$A16,'MATCH CALCS'!$BJ$3:$BJ1000),SUMIFS('MATCH CALCS'!$BJ$3:$BJ1000,'MATCH CALCS'!$D$3:$D1000, $A16, 'MATCH CALCS'!$A$3:$A1000, $A$1))</f>
        <v>0</v>
      </c>
      <c r="Z16" s="116" t="str">
        <f ca="1">IFERROR(__xludf.DUMMYFUNCTION("IFERROR(IF($A$1=""All"",AVERAGE(FILTER('MATCH CALCS'!$BR$3:$BR1000, 'MATCH CALCS'!$D$3:$D1000=$A16)),AVERAGE(FILTER('MATCH CALCS'!$BR$3:$BR1000, 'MATCH CALCS'!$D$3:$D1000=$A16,'MATCH CALCS'!$A$3:$A1000=$A$1))),""No Data"")"),"No Data")</f>
        <v>No Data</v>
      </c>
      <c r="AA16" s="117" t="str">
        <f ca="1">IFERROR(__xludf.DUMMYFUNCTION("IFERROR(IF($A$1=""All"",IF(COUNTIF(FILTER('MATCH CALCS'!$AT$3:$AT1000,'MATCH CALCS'!$D$3:$D1000=$A16), ""Dc"")&gt;0, IF(COUNTIF(FILTER('MATCH CALCS'!$AT$3:$AT1000,'MATCH CALCS'!$D$3:$D1000=$A16), ""Sc"")&gt;0, ""Mixed"", ""Deep""), IF(COUNTIF(FILTER('MATCH CALC"&amp;"S'!$AT$3:$AT1000,'MATCH CALCS'!$D$3:$D1000=$A16), ""Sc"")&gt;0, ""Shallow"",""None"")),IF(COUNTIF(FILTER('MATCH CALCS'!$AT$3:$AT1000,'MATCH CALCS'!$D$3:$D1000=$A16,'MATCH CALCS'!$A$3:$A1000=$A$1), ""Dc"")&gt;0, IF(COUNTIF(FILTER('MATCH CALCS'!$AT$3:$AT1000,'MAT"&amp;"CH CALCS'!$D$3:$D1000=$A16,'MATCH CALCS'!$A$3:$A1000=$A$1), ""Sc"")&gt;0, ""Mixed"", ""Deep""), IF(COUNTIF(FILTER('MATCH CALCS'!$AT$3:$AT1000,'MATCH CALCS'!$D$3:$D1000=$A16,'MATCH CALCS'!$A$3:$A1000=$A$1), ""Sc"")&gt;0, ""Shallow"",""None""))))"),"None")</f>
        <v>None</v>
      </c>
      <c r="AB16" s="9" t="str">
        <f ca="1">IFERROR(IF($A$1="All",(COUNTIFS('MATCH CALCS'!$AT$3:$AT1000,("=Dc"),'MATCH CALCS'!$D$3:$D1000, $A16)+COUNTIFS('MATCH CALCS'!$AT$3:$AT1000,("=Sc"),'MATCH CALCS'!$D$3:$D1000, $A16))/(COUNTIFS('MATCH CALCS'!$AK$3:$AK1000,("=Dc"),'MATCH CALCS'!$D$3:$D1000, $A16)+COUNTIFS('MATCH CALCS'!$AK$3:$AK1000,("=Sc"),'MATCH CALCS'!$D$3:$D1000, $A16)),(COUNTIFS('MATCH CALCS'!$AT$3:$AT1000,("=Dc"),'MATCH CALCS'!$D$3:$D1000, $A16,'MATCH CALCS'!$A$3:$A1000,$A$1)+COUNTIFS('MATCH CALCS'!$AT$3:$AT1000,("=Sc"),'MATCH CALCS'!$D$3:$D1000, $A16,'MATCH CALCS'!$A$3:$A1000,$A$1))/(COUNTIFS('MATCH CALCS'!$AK$3:$AK1000,("=Dc"),'MATCH CALCS'!$D$3:$D1000, $A16,'MATCH CALCS'!$A$3:$A1000,$A$1)+COUNTIFS('MATCH CALCS'!$AK$3:$AK1000,("=Sc"),'MATCH CALCS'!$D$3:$D1000, $A16,'MATCH CALCS'!$A$3:$A1000,$A$1))),"-")</f>
        <v>-</v>
      </c>
      <c r="AC16" s="25">
        <f ca="1">IFERROR(IF($A$1="All",COUNTIFS('MATCH CALCS'!$AT$3:$AT1000,("=Dc"),'MATCH CALCS'!$D$3:$D1000, $A16)+COUNTIFS('MATCH CALCS'!$AT$3:$AT1000,("=Sc"),'MATCH CALCS'!$D$3:$D1000, $A16),COUNTIFS('MATCH CALCS'!$AT$3:$AT1000,("=Dc"),'MATCH CALCS'!$D$3:$D1000, $A16,'MATCH CALCS'!$A$3:$A1000, $A$1)+COUNTIFS('MATCH CALCS'!$AT$3:$AT1000,("=Sc"),'MATCH CALCS'!$D$3:$D1000, $A16,'MATCH CALCS'!$A$3:$A1000, $A$1)),"-")</f>
        <v>0</v>
      </c>
    </row>
    <row r="17" spans="1:29" ht="12.75">
      <c r="A17" s="30">
        <f ca="1">IFERROR(__xludf.DUMMYFUNCTION("""COMPUTED_VALUE"""),2667)</f>
        <v>2667</v>
      </c>
      <c r="B17" s="6" t="str">
        <f ca="1">IFERROR(__xludf.DUMMYFUNCTION("""COMPUTED_VALUE"""),"Knights of the Valley")</f>
        <v>Knights of the Valley</v>
      </c>
      <c r="C17" s="30" t="str">
        <f ca="1">IFERROR(__xludf.DUMMYFUNCTION("FILTER('TEAM RANKING'!$A:$A,'TEAM RANKING'!$K:$K=$A17)"),"#N/A")</f>
        <v>#N/A</v>
      </c>
      <c r="D17" s="15"/>
      <c r="E17" s="110">
        <f ca="1">IFERROR((IF($A$1="All", COUNTIF('MATCH CALCS'!$D:$D,$A17), (COUNTIFS('MATCH CALCS'!D:D, $A17, 'MATCH CALCS'!$A:$A,$A$1)))),"-")</f>
        <v>2</v>
      </c>
      <c r="F17" s="111">
        <f ca="1">IFERROR(IF($A$1="All",SUMIF('MATCH CALCS'!$D:$D,$A17,'MATCH CALCS'!$AW:$AW)/$E17,(SUMIFS('MATCH CALCS'!$AW:$AW, 'MATCH CALCS'!$D:$D, $A17, 'MATCH CALCS'!$A:$A, $A$1)/$E17)),"-")</f>
        <v>0</v>
      </c>
      <c r="G17" s="112">
        <f ca="1">IFERROR(IF($A$1="All",SUMIF('MATCH CALCS'!$D:$D,$A17,'MATCH CALCS'!O:O)/$E17,(SUMIFS('MATCH CALCS'!O:O, 'MATCH CALCS'!$D:$D, $A17, 'MATCH CALCS'!$A:$A, $A$1)/$E17)),"-")</f>
        <v>0</v>
      </c>
      <c r="H17" s="112">
        <f ca="1">IFERROR(IF($A$1="All",SUMIF('MATCH CALCS'!$D:$D,$A17,'MATCH CALCS'!N:N)/$E17,(SUMIFS('MATCH CALCS'!N:N, 'MATCH CALCS'!$D:$D, $A17, 'MATCH CALCS'!$A:$A, $A$1)/$E17)),"-")</f>
        <v>0</v>
      </c>
      <c r="I17" s="112">
        <f ca="1">IFERROR(IF($A$1="All",SUMIF('MATCH CALCS'!$D:$D,$A17,'MATCH CALCS'!M:M)/$E17,(SUMIFS('MATCH CALCS'!M:M, 'MATCH CALCS'!$D:$D, $A17, 'MATCH CALCS'!$A:$A, $A$1)/$E17)),"-")</f>
        <v>0</v>
      </c>
      <c r="J17" s="112">
        <f ca="1">IFERROR(IF($A$1="All",SUMIF('MATCH CALCS'!$D:$D,$A17,'MATCH CALCS'!L:L)/$E17,(SUMIFS('MATCH CALCS'!L:L, 'MATCH CALCS'!$D:$D, $A17, 'MATCH CALCS'!$A:$A, $A$1)/$E17)),"-")</f>
        <v>0</v>
      </c>
      <c r="K17" s="112">
        <f t="shared" ca="1" si="0"/>
        <v>0</v>
      </c>
      <c r="L17" s="13" t="e">
        <f ca="1">IF($A$1="All",AVERAGEIF('MATCH CALCS'!$D$3:$D1000,$A17,'MATCH CALCS'!$AZ$3:$AZ1000),AVERAGEIFS('MATCH CALCS'!$AZ$3:$AZ1000,'MATCH CALCS'!$D$3:$D1000,$A17,'MATCH CALCS'!$A$3:$A1000,$A$1))</f>
        <v>#DIV/0!</v>
      </c>
      <c r="M17" s="112">
        <f ca="1">IF($A$1="All",AVERAGEIF('MATCH CALCS'!$D:$D,$A17,'MATCH CALCS'!R:R),(SUMIFS('MATCH CALCS'!R$3:R1000, 'MATCH CALCS'!$D$3:$D1000, $A17, 'MATCH CALCS'!A$3:A1000, $A$1)/$E17))</f>
        <v>0</v>
      </c>
      <c r="N17" s="112">
        <f ca="1">IFERROR(IF($A$1="All",SUMIF('MATCH CALCS'!$D:$D,$A17,'MATCH CALCS'!S:S)/$E17,(SUMIFS('MATCH CALCS'!S:S, 'MATCH CALCS'!$D:$D, $A17, 'MATCH CALCS'!A:A, $A$1)/$E17)),"-")</f>
        <v>0</v>
      </c>
      <c r="O17" s="113" t="e">
        <f ca="1">IF($A$1="All",AVERAGEIF('MATCH CALCS'!$D$3:$D1000,$A17,'MATCH CALCS'!$BC$3:$BC1000),AVERAGEIFS('MATCH CALCS'!$BC$3:$BC1000,'MATCH CALCS'!$D$3:$D1000,$A17,'MATCH CALCS'!$A$3:$A1000,$A$1))</f>
        <v>#DIV/0!</v>
      </c>
      <c r="P17" s="112">
        <f ca="1">IFERROR(IF($A$1="All",SUMIF('MATCH CALCS'!$D:$D,$A17,'MATCH CALCS'!AH:AH)/$E17,(SUMIFS('MATCH CALCS'!AH:AH, 'MATCH CALCS'!$D:$D, $A17, 'MATCH CALCS'!$A:$A, $A$1)/$E17)),"-")</f>
        <v>0</v>
      </c>
      <c r="Q17" s="112">
        <f ca="1">IFERROR(IF($A$1="All",SUMIF('MATCH CALCS'!$D:$D,$A17,'MATCH CALCS'!AG:AG)/$E17,(SUMIFS('MATCH CALCS'!AG:AG, 'MATCH CALCS'!$D:$D, $A17, 'MATCH CALCS'!$A:$A, $A$1)/$E17)),"-")</f>
        <v>0</v>
      </c>
      <c r="R17" s="112">
        <f ca="1">IFERROR(IF($A$1="All",SUMIF('MATCH CALCS'!$D:$D,$A17,'MATCH CALCS'!AF:AF)/$E17,(SUMIFS('MATCH CALCS'!AF:AF, 'MATCH CALCS'!$D:$D, $A17, 'MATCH CALCS'!$A:$A, $A$1)/$E17)),"-")</f>
        <v>0</v>
      </c>
      <c r="S17" s="112">
        <f ca="1">IFERROR(IF($A$1="All",SUMIF('MATCH CALCS'!$D:$D,$A17,'MATCH CALCS'!$AE:$AE)/$E17,(SUMIFS('MATCH CALCS'!$AE:$AE, 'MATCH CALCS'!$D:$D, $A17, 'MATCH CALCS'!$A:$A, $A$1)/$E17)),"-")</f>
        <v>0</v>
      </c>
      <c r="T17" s="112">
        <f t="shared" ca="1" si="1"/>
        <v>0</v>
      </c>
      <c r="U17" s="13" t="e">
        <f ca="1">IF($A$1="All",AVERAGEIF('MATCH CALCS'!$D$3:$D1000,$A17,'MATCH CALCS'!$BI$3:$BI1000),AVERAGEIFS('MATCH CALCS'!$BI$3:$BI1000,'MATCH CALCS'!$D$3:$D1000,$A17,'MATCH CALCS'!$A$3:$A1000,$A$1))</f>
        <v>#DIV/0!</v>
      </c>
      <c r="V17" s="112">
        <f ca="1">IFERROR(IF($A$1="All",SUMIF('MATCH CALCS'!$D:$D,$A17,'MATCH CALCS'!W:W)/$E17,(SUMIFS('MATCH CALCS'!W:W, 'MATCH CALCS'!$D:$D, $A17, 'MATCH CALCS'!$A:$A, $A$1)/$E17)),"-")</f>
        <v>0.5</v>
      </c>
      <c r="W17" s="112">
        <f ca="1">IFERROR(IF($A$1="All",SUMIF('MATCH CALCS'!$D:$D,$A17,'MATCH CALCS'!X:X)/$E17,(SUMIFS('MATCH CALCS'!X:X, 'MATCH CALCS'!$D:$D, $A17, 'MATCH CALCS'!$A:$A, $A$1)/$E17)),"-")</f>
        <v>1</v>
      </c>
      <c r="X17" s="114">
        <f ca="1">IF($A$1="All",AVERAGEIF('MATCH CALCS'!$D$3:$D1000,$A17,'MATCH CALCS'!$BF$3:$BF1000),AVERAGEIFS('MATCH CALCS'!$BF$3:$BF1000,'MATCH CALCS'!$D$3:$D1000, $A17, 'MATCH CALCS'!$A$3:$A1000, $A$1))</f>
        <v>1</v>
      </c>
      <c r="Y17" s="115">
        <f ca="1">IF($A$1="All",SUMIF('MATCH CALCS'!$D$3:$D1000,$A17,'MATCH CALCS'!$BJ$3:$BJ1000),SUMIFS('MATCH CALCS'!$BJ$3:$BJ1000,'MATCH CALCS'!$D$3:$D1000, $A17, 'MATCH CALCS'!$A$3:$A1000, $A$1))</f>
        <v>1</v>
      </c>
      <c r="Z17" s="116" t="str">
        <f ca="1">IFERROR(__xludf.DUMMYFUNCTION("IFERROR(IF($A$1=""All"",AVERAGE(FILTER('MATCH CALCS'!$BR$3:$BR1000, 'MATCH CALCS'!$D$3:$D1000=$A17)),AVERAGE(FILTER('MATCH CALCS'!$BR$3:$BR1000, 'MATCH CALCS'!$D$3:$D1000=$A17,'MATCH CALCS'!$A$3:$A1000=$A$1))),""No Data"")"),"No Data")</f>
        <v>No Data</v>
      </c>
      <c r="AA17" s="117" t="str">
        <f ca="1">IFERROR(__xludf.DUMMYFUNCTION("IFERROR(IF($A$1=""All"",IF(COUNTIF(FILTER('MATCH CALCS'!$AT$3:$AT1000,'MATCH CALCS'!$D$3:$D1000=$A17), ""Dc"")&gt;0, IF(COUNTIF(FILTER('MATCH CALCS'!$AT$3:$AT1000,'MATCH CALCS'!$D$3:$D1000=$A17), ""Sc"")&gt;0, ""Mixed"", ""Deep""), IF(COUNTIF(FILTER('MATCH CALC"&amp;"S'!$AT$3:$AT1000,'MATCH CALCS'!$D$3:$D1000=$A17), ""Sc"")&gt;0, ""Shallow"",""None"")),IF(COUNTIF(FILTER('MATCH CALCS'!$AT$3:$AT1000,'MATCH CALCS'!$D$3:$D1000=$A17,'MATCH CALCS'!$A$3:$A1000=$A$1), ""Dc"")&gt;0, IF(COUNTIF(FILTER('MATCH CALCS'!$AT$3:$AT1000,'MAT"&amp;"CH CALCS'!$D$3:$D1000=$A17,'MATCH CALCS'!$A$3:$A1000=$A$1), ""Sc"")&gt;0, ""Mixed"", ""Deep""), IF(COUNTIF(FILTER('MATCH CALCS'!$AT$3:$AT1000,'MATCH CALCS'!$D$3:$D1000=$A17,'MATCH CALCS'!$A$3:$A1000=$A$1), ""Sc"")&gt;0, ""Shallow"",""None""))))"),"None")</f>
        <v>None</v>
      </c>
      <c r="AB17" s="9" t="str">
        <f ca="1">IFERROR(IF($A$1="All",(COUNTIFS('MATCH CALCS'!$AT$3:$AT1000,("=Dc"),'MATCH CALCS'!$D$3:$D1000, $A17)+COUNTIFS('MATCH CALCS'!$AT$3:$AT1000,("=Sc"),'MATCH CALCS'!$D$3:$D1000, $A17))/(COUNTIFS('MATCH CALCS'!$AK$3:$AK1000,("=Dc"),'MATCH CALCS'!$D$3:$D1000, $A17)+COUNTIFS('MATCH CALCS'!$AK$3:$AK1000,("=Sc"),'MATCH CALCS'!$D$3:$D1000, $A17)),(COUNTIFS('MATCH CALCS'!$AT$3:$AT1000,("=Dc"),'MATCH CALCS'!$D$3:$D1000, $A17,'MATCH CALCS'!$A$3:$A1000,$A$1)+COUNTIFS('MATCH CALCS'!$AT$3:$AT1000,("=Sc"),'MATCH CALCS'!$D$3:$D1000, $A17,'MATCH CALCS'!$A$3:$A1000,$A$1))/(COUNTIFS('MATCH CALCS'!$AK$3:$AK1000,("=Dc"),'MATCH CALCS'!$D$3:$D1000, $A17,'MATCH CALCS'!$A$3:$A1000,$A$1)+COUNTIFS('MATCH CALCS'!$AK$3:$AK1000,("=Sc"),'MATCH CALCS'!$D$3:$D1000, $A17,'MATCH CALCS'!$A$3:$A1000,$A$1))),"-")</f>
        <v>-</v>
      </c>
      <c r="AC17" s="25">
        <f ca="1">IFERROR(IF($A$1="All",COUNTIFS('MATCH CALCS'!$AT$3:$AT1000,("=Dc"),'MATCH CALCS'!$D$3:$D1000, $A17)+COUNTIFS('MATCH CALCS'!$AT$3:$AT1000,("=Sc"),'MATCH CALCS'!$D$3:$D1000, $A17),COUNTIFS('MATCH CALCS'!$AT$3:$AT1000,("=Dc"),'MATCH CALCS'!$D$3:$D1000, $A17,'MATCH CALCS'!$A$3:$A1000, $A$1)+COUNTIFS('MATCH CALCS'!$AT$3:$AT1000,("=Sc"),'MATCH CALCS'!$D$3:$D1000, $A17,'MATCH CALCS'!$A$3:$A1000, $A$1)),"-")</f>
        <v>0</v>
      </c>
    </row>
    <row r="18" spans="1:29" ht="12.75">
      <c r="A18" s="30">
        <f ca="1">IFERROR(__xludf.DUMMYFUNCTION("""COMPUTED_VALUE"""),2823)</f>
        <v>2823</v>
      </c>
      <c r="B18" s="6" t="str">
        <f ca="1">IFERROR(__xludf.DUMMYFUNCTION("""COMPUTED_VALUE"""),"The Automatons")</f>
        <v>The Automatons</v>
      </c>
      <c r="C18" s="30" t="str">
        <f ca="1">IFERROR(__xludf.DUMMYFUNCTION("FILTER('TEAM RANKING'!$A:$A,'TEAM RANKING'!$K:$K=$A18)"),"#N/A")</f>
        <v>#N/A</v>
      </c>
      <c r="D18" s="15"/>
      <c r="E18" s="110">
        <f ca="1">IFERROR((IF($A$1="All", COUNTIF('MATCH CALCS'!$D:$D,$A18), (COUNTIFS('MATCH CALCS'!D:D, $A18, 'MATCH CALCS'!$A:$A,$A$1)))),"-")</f>
        <v>3</v>
      </c>
      <c r="F18" s="111">
        <f ca="1">IFERROR(IF($A$1="All",SUMIF('MATCH CALCS'!$D:$D,$A18,'MATCH CALCS'!$AW:$AW)/$E18,(SUMIFS('MATCH CALCS'!$AW:$AW, 'MATCH CALCS'!$D:$D, $A18, 'MATCH CALCS'!$A:$A, $A$1)/$E18)),"-")</f>
        <v>1</v>
      </c>
      <c r="G18" s="112">
        <f ca="1">IFERROR(IF($A$1="All",SUMIF('MATCH CALCS'!$D:$D,$A18,'MATCH CALCS'!O:O)/$E18,(SUMIFS('MATCH CALCS'!O:O, 'MATCH CALCS'!$D:$D, $A18, 'MATCH CALCS'!$A:$A, $A$1)/$E18)),"-")</f>
        <v>0</v>
      </c>
      <c r="H18" s="112">
        <f ca="1">IFERROR(IF($A$1="All",SUMIF('MATCH CALCS'!$D:$D,$A18,'MATCH CALCS'!N:N)/$E18,(SUMIFS('MATCH CALCS'!N:N, 'MATCH CALCS'!$D:$D, $A18, 'MATCH CALCS'!$A:$A, $A$1)/$E18)),"-")</f>
        <v>0</v>
      </c>
      <c r="I18" s="112">
        <f ca="1">IFERROR(IF($A$1="All",SUMIF('MATCH CALCS'!$D:$D,$A18,'MATCH CALCS'!M:M)/$E18,(SUMIFS('MATCH CALCS'!M:M, 'MATCH CALCS'!$D:$D, $A18, 'MATCH CALCS'!$A:$A, $A$1)/$E18)),"-")</f>
        <v>0</v>
      </c>
      <c r="J18" s="112">
        <f ca="1">IFERROR(IF($A$1="All",SUMIF('MATCH CALCS'!$D:$D,$A18,'MATCH CALCS'!L:L)/$E18,(SUMIFS('MATCH CALCS'!L:L, 'MATCH CALCS'!$D:$D, $A18, 'MATCH CALCS'!$A:$A, $A$1)/$E18)),"-")</f>
        <v>1</v>
      </c>
      <c r="K18" s="112">
        <f t="shared" ca="1" si="0"/>
        <v>1</v>
      </c>
      <c r="L18" s="13">
        <f ca="1">IF($A$1="All",AVERAGEIF('MATCH CALCS'!$D$3:$D1000,$A18,'MATCH CALCS'!$AZ$3:$AZ1000),AVERAGEIFS('MATCH CALCS'!$AZ$3:$AZ1000,'MATCH CALCS'!$D$3:$D1000,$A18,'MATCH CALCS'!$A$3:$A1000,$A$1))</f>
        <v>0.5</v>
      </c>
      <c r="M18" s="112">
        <f ca="1">IF($A$1="All",AVERAGEIF('MATCH CALCS'!$D:$D,$A18,'MATCH CALCS'!R:R),(SUMIFS('MATCH CALCS'!R$3:R1000, 'MATCH CALCS'!$D$3:$D1000, $A18, 'MATCH CALCS'!A$3:A1000, $A$1)/$E18))</f>
        <v>0</v>
      </c>
      <c r="N18" s="112">
        <f ca="1">IFERROR(IF($A$1="All",SUMIF('MATCH CALCS'!$D:$D,$A18,'MATCH CALCS'!S:S)/$E18,(SUMIFS('MATCH CALCS'!S:S, 'MATCH CALCS'!$D:$D, $A18, 'MATCH CALCS'!A:A, $A$1)/$E18)),"-")</f>
        <v>0</v>
      </c>
      <c r="O18" s="113" t="e">
        <f ca="1">IF($A$1="All",AVERAGEIF('MATCH CALCS'!$D$3:$D1000,$A18,'MATCH CALCS'!$BC$3:$BC1000),AVERAGEIFS('MATCH CALCS'!$BC$3:$BC1000,'MATCH CALCS'!$D$3:$D1000,$A18,'MATCH CALCS'!$A$3:$A1000,$A$1))</f>
        <v>#DIV/0!</v>
      </c>
      <c r="P18" s="112">
        <f ca="1">IFERROR(IF($A$1="All",SUMIF('MATCH CALCS'!$D:$D,$A18,'MATCH CALCS'!AH:AH)/$E18,(SUMIFS('MATCH CALCS'!AH:AH, 'MATCH CALCS'!$D:$D, $A18, 'MATCH CALCS'!$A:$A, $A$1)/$E18)),"-")</f>
        <v>0</v>
      </c>
      <c r="Q18" s="112">
        <f ca="1">IFERROR(IF($A$1="All",SUMIF('MATCH CALCS'!$D:$D,$A18,'MATCH CALCS'!AG:AG)/$E18,(SUMIFS('MATCH CALCS'!AG:AG, 'MATCH CALCS'!$D:$D, $A18, 'MATCH CALCS'!$A:$A, $A$1)/$E18)),"-")</f>
        <v>1.6666666666666667</v>
      </c>
      <c r="R18" s="112">
        <f ca="1">IFERROR(IF($A$1="All",SUMIF('MATCH CALCS'!$D:$D,$A18,'MATCH CALCS'!AF:AF)/$E18,(SUMIFS('MATCH CALCS'!AF:AF, 'MATCH CALCS'!$D:$D, $A18, 'MATCH CALCS'!$A:$A, $A$1)/$E18)),"-")</f>
        <v>1.3333333333333333</v>
      </c>
      <c r="S18" s="112">
        <f ca="1">IFERROR(IF($A$1="All",SUMIF('MATCH CALCS'!$D:$D,$A18,'MATCH CALCS'!$AE:$AE)/$E18,(SUMIFS('MATCH CALCS'!$AE:$AE, 'MATCH CALCS'!$D:$D, $A18, 'MATCH CALCS'!$A:$A, $A$1)/$E18)),"-")</f>
        <v>3</v>
      </c>
      <c r="T18" s="112">
        <f t="shared" ca="1" si="1"/>
        <v>6</v>
      </c>
      <c r="U18" s="13">
        <f ca="1">IF($A$1="All",AVERAGEIF('MATCH CALCS'!$D$3:$D1000,$A18,'MATCH CALCS'!$BI$3:$BI1000),AVERAGEIFS('MATCH CALCS'!$BI$3:$BI1000,'MATCH CALCS'!$D$3:$D1000,$A18,'MATCH CALCS'!$A$3:$A1000,$A$1))</f>
        <v>0.64015151515151514</v>
      </c>
      <c r="V18" s="112">
        <f ca="1">IFERROR(IF($A$1="All",SUMIF('MATCH CALCS'!$D:$D,$A18,'MATCH CALCS'!W:W)/$E18,(SUMIFS('MATCH CALCS'!W:W, 'MATCH CALCS'!$D:$D, $A18, 'MATCH CALCS'!$A:$A, $A$1)/$E18)),"-")</f>
        <v>0</v>
      </c>
      <c r="W18" s="112">
        <f ca="1">IFERROR(IF($A$1="All",SUMIF('MATCH CALCS'!$D:$D,$A18,'MATCH CALCS'!X:X)/$E18,(SUMIFS('MATCH CALCS'!X:X, 'MATCH CALCS'!$D:$D, $A18, 'MATCH CALCS'!$A:$A, $A$1)/$E18)),"-")</f>
        <v>0</v>
      </c>
      <c r="X18" s="114" t="e">
        <f ca="1">IF($A$1="All",AVERAGEIF('MATCH CALCS'!$D$3:$D1000,$A18,'MATCH CALCS'!$BF$3:$BF1000),AVERAGEIFS('MATCH CALCS'!$BF$3:$BF1000,'MATCH CALCS'!$D$3:$D1000, $A18, 'MATCH CALCS'!$A$3:$A1000, $A$1))</f>
        <v>#DIV/0!</v>
      </c>
      <c r="Y18" s="115">
        <f ca="1">IF($A$1="All",SUMIF('MATCH CALCS'!$D$3:$D1000,$A18,'MATCH CALCS'!$BJ$3:$BJ1000),SUMIFS('MATCH CALCS'!$BJ$3:$BJ1000,'MATCH CALCS'!$D$3:$D1000, $A18, 'MATCH CALCS'!$A$3:$A1000, $A$1))</f>
        <v>0</v>
      </c>
      <c r="Z18" s="116" t="str">
        <f ca="1">IFERROR(__xludf.DUMMYFUNCTION("IFERROR(IF($A$1=""All"",AVERAGE(FILTER('MATCH CALCS'!$BR$3:$BR1000, 'MATCH CALCS'!$D$3:$D1000=$A18)),AVERAGE(FILTER('MATCH CALCS'!$BR$3:$BR1000, 'MATCH CALCS'!$D$3:$D1000=$A18,'MATCH CALCS'!$A$3:$A1000=$A$1))),""No Data"")"),"No Data")</f>
        <v>No Data</v>
      </c>
      <c r="AA18" s="117" t="str">
        <f ca="1">IFERROR(__xludf.DUMMYFUNCTION("IFERROR(IF($A$1=""All"",IF(COUNTIF(FILTER('MATCH CALCS'!$AT$3:$AT1000,'MATCH CALCS'!$D$3:$D1000=$A18), ""Dc"")&gt;0, IF(COUNTIF(FILTER('MATCH CALCS'!$AT$3:$AT1000,'MATCH CALCS'!$D$3:$D1000=$A18), ""Sc"")&gt;0, ""Mixed"", ""Deep""), IF(COUNTIF(FILTER('MATCH CALC"&amp;"S'!$AT$3:$AT1000,'MATCH CALCS'!$D$3:$D1000=$A18), ""Sc"")&gt;0, ""Shallow"",""None"")),IF(COUNTIF(FILTER('MATCH CALCS'!$AT$3:$AT1000,'MATCH CALCS'!$D$3:$D1000=$A18,'MATCH CALCS'!$A$3:$A1000=$A$1), ""Dc"")&gt;0, IF(COUNTIF(FILTER('MATCH CALCS'!$AT$3:$AT1000,'MAT"&amp;"CH CALCS'!$D$3:$D1000=$A18,'MATCH CALCS'!$A$3:$A1000=$A$1), ""Sc"")&gt;0, ""Mixed"", ""Deep""), IF(COUNTIF(FILTER('MATCH CALCS'!$AT$3:$AT1000,'MATCH CALCS'!$D$3:$D1000=$A18,'MATCH CALCS'!$A$3:$A1000=$A$1), ""Sc"")&gt;0, ""Shallow"",""None""))))"),"None")</f>
        <v>None</v>
      </c>
      <c r="AB18" s="9">
        <f ca="1">IFERROR(IF($A$1="All",(COUNTIFS('MATCH CALCS'!$AT$3:$AT1000,("=Dc"),'MATCH CALCS'!$D$3:$D1000, $A18)+COUNTIFS('MATCH CALCS'!$AT$3:$AT1000,("=Sc"),'MATCH CALCS'!$D$3:$D1000, $A18))/(COUNTIFS('MATCH CALCS'!$AK$3:$AK1000,("=Dc"),'MATCH CALCS'!$D$3:$D1000, $A18)+COUNTIFS('MATCH CALCS'!$AK$3:$AK1000,("=Sc"),'MATCH CALCS'!$D$3:$D1000, $A18)),(COUNTIFS('MATCH CALCS'!$AT$3:$AT1000,("=Dc"),'MATCH CALCS'!$D$3:$D1000, $A18,'MATCH CALCS'!$A$3:$A1000,$A$1)+COUNTIFS('MATCH CALCS'!$AT$3:$AT1000,("=Sc"),'MATCH CALCS'!$D$3:$D1000, $A18,'MATCH CALCS'!$A$3:$A1000,$A$1))/(COUNTIFS('MATCH CALCS'!$AK$3:$AK1000,("=Dc"),'MATCH CALCS'!$D$3:$D1000, $A18,'MATCH CALCS'!$A$3:$A1000,$A$1)+COUNTIFS('MATCH CALCS'!$AK$3:$AK1000,("=Sc"),'MATCH CALCS'!$D$3:$D1000, $A18,'MATCH CALCS'!$A$3:$A1000,$A$1))),"-")</f>
        <v>0</v>
      </c>
      <c r="AC18" s="25">
        <f ca="1">IFERROR(IF($A$1="All",COUNTIFS('MATCH CALCS'!$AT$3:$AT1000,("=Dc"),'MATCH CALCS'!$D$3:$D1000, $A18)+COUNTIFS('MATCH CALCS'!$AT$3:$AT1000,("=Sc"),'MATCH CALCS'!$D$3:$D1000, $A18),COUNTIFS('MATCH CALCS'!$AT$3:$AT1000,("=Dc"),'MATCH CALCS'!$D$3:$D1000, $A18,'MATCH CALCS'!$A$3:$A1000, $A$1)+COUNTIFS('MATCH CALCS'!$AT$3:$AT1000,("=Sc"),'MATCH CALCS'!$D$3:$D1000, $A18,'MATCH CALCS'!$A$3:$A1000, $A$1)),"-")</f>
        <v>0</v>
      </c>
    </row>
    <row r="19" spans="1:29" ht="12.75">
      <c r="A19" s="30">
        <f ca="1">IFERROR(__xludf.DUMMYFUNCTION("""COMPUTED_VALUE"""),2846)</f>
        <v>2846</v>
      </c>
      <c r="B19" s="6" t="str">
        <f ca="1">IFERROR(__xludf.DUMMYFUNCTION("""COMPUTED_VALUE"""),"FireBears")</f>
        <v>FireBears</v>
      </c>
      <c r="C19" s="30" t="str">
        <f ca="1">IFERROR(__xludf.DUMMYFUNCTION("FILTER('TEAM RANKING'!$A:$A,'TEAM RANKING'!$K:$K=$A19)"),"#N/A")</f>
        <v>#N/A</v>
      </c>
      <c r="D19" s="15"/>
      <c r="E19" s="110">
        <f ca="1">IFERROR((IF($A$1="All", COUNTIF('MATCH CALCS'!$D:$D,$A19), (COUNTIFS('MATCH CALCS'!D:D, $A19, 'MATCH CALCS'!$A:$A,$A$1)))),"-")</f>
        <v>1</v>
      </c>
      <c r="F19" s="111">
        <f ca="1">IFERROR(IF($A$1="All",SUMIF('MATCH CALCS'!$D:$D,$A19,'MATCH CALCS'!$AW:$AW)/$E19,(SUMIFS('MATCH CALCS'!$AW:$AW, 'MATCH CALCS'!$D:$D, $A19, 'MATCH CALCS'!$A:$A, $A$1)/$E19)),"-")</f>
        <v>1</v>
      </c>
      <c r="G19" s="112">
        <f ca="1">IFERROR(IF($A$1="All",SUMIF('MATCH CALCS'!$D:$D,$A19,'MATCH CALCS'!O:O)/$E19,(SUMIFS('MATCH CALCS'!O:O, 'MATCH CALCS'!$D:$D, $A19, 'MATCH CALCS'!$A:$A, $A$1)/$E19)),"-")</f>
        <v>0</v>
      </c>
      <c r="H19" s="112">
        <f ca="1">IFERROR(IF($A$1="All",SUMIF('MATCH CALCS'!$D:$D,$A19,'MATCH CALCS'!N:N)/$E19,(SUMIFS('MATCH CALCS'!N:N, 'MATCH CALCS'!$D:$D, $A19, 'MATCH CALCS'!$A:$A, $A$1)/$E19)),"-")</f>
        <v>0</v>
      </c>
      <c r="I19" s="112">
        <f ca="1">IFERROR(IF($A$1="All",SUMIF('MATCH CALCS'!$D:$D,$A19,'MATCH CALCS'!M:M)/$E19,(SUMIFS('MATCH CALCS'!M:M, 'MATCH CALCS'!$D:$D, $A19, 'MATCH CALCS'!$A:$A, $A$1)/$E19)),"-")</f>
        <v>0</v>
      </c>
      <c r="J19" s="112">
        <f ca="1">IFERROR(IF($A$1="All",SUMIF('MATCH CALCS'!$D:$D,$A19,'MATCH CALCS'!L:L)/$E19,(SUMIFS('MATCH CALCS'!L:L, 'MATCH CALCS'!$D:$D, $A19, 'MATCH CALCS'!$A:$A, $A$1)/$E19)),"-")</f>
        <v>0</v>
      </c>
      <c r="K19" s="112">
        <f t="shared" ca="1" si="0"/>
        <v>0</v>
      </c>
      <c r="L19" s="13">
        <f ca="1">IF($A$1="All",AVERAGEIF('MATCH CALCS'!$D$3:$D1000,$A22,'MATCH CALCS'!$AZ$3:$AZ1000),AVERAGEIFS('MATCH CALCS'!$AZ$3:$AZ1000,'MATCH CALCS'!$D$3:$D1000,$A22,'MATCH CALCS'!$A$3:$A1000,$A$1))</f>
        <v>1</v>
      </c>
      <c r="M19" s="112">
        <f ca="1">IF($A$1="All",AVERAGEIF('MATCH CALCS'!$D:$D,$A19,'MATCH CALCS'!R:R),(SUMIFS('MATCH CALCS'!R$3:R1000, 'MATCH CALCS'!$D$3:$D1000, $A19, 'MATCH CALCS'!A$3:A1000, $A$1)/$E19))</f>
        <v>0</v>
      </c>
      <c r="N19" s="112">
        <f ca="1">IFERROR(IF($A$1="All",SUMIF('MATCH CALCS'!$D:$D,$A19,'MATCH CALCS'!S:S)/$E19,(SUMIFS('MATCH CALCS'!S:S, 'MATCH CALCS'!$D:$D, $A19, 'MATCH CALCS'!A:A, $A$1)/$E19)),"-")</f>
        <v>0</v>
      </c>
      <c r="O19" s="113" t="e">
        <f ca="1">IF($A$1="All",AVERAGEIF('MATCH CALCS'!$D$3:$D1000,$A19,'MATCH CALCS'!$BC$3:$BC1000),AVERAGEIFS('MATCH CALCS'!$BC$3:$BC1000,'MATCH CALCS'!$D$3:$D1000,$A19,'MATCH CALCS'!$A$3:$A1000,$A$1))</f>
        <v>#DIV/0!</v>
      </c>
      <c r="P19" s="112">
        <f ca="1">IFERROR(IF($A$1="All",SUMIF('MATCH CALCS'!$D:$D,$A19,'MATCH CALCS'!AH:AH)/$E19,(SUMIFS('MATCH CALCS'!AH:AH, 'MATCH CALCS'!$D:$D, $A19, 'MATCH CALCS'!$A:$A, $A$1)/$E19)),"-")</f>
        <v>0</v>
      </c>
      <c r="Q19" s="112">
        <f ca="1">IFERROR(IF($A$1="All",SUMIF('MATCH CALCS'!$D:$D,$A19,'MATCH CALCS'!AG:AG)/$E19,(SUMIFS('MATCH CALCS'!AG:AG, 'MATCH CALCS'!$D:$D, $A19, 'MATCH CALCS'!$A:$A, $A$1)/$E19)),"-")</f>
        <v>0</v>
      </c>
      <c r="R19" s="112">
        <f ca="1">IFERROR(IF($A$1="All",SUMIF('MATCH CALCS'!$D:$D,$A19,'MATCH CALCS'!AF:AF)/$E19,(SUMIFS('MATCH CALCS'!AF:AF, 'MATCH CALCS'!$D:$D, $A19, 'MATCH CALCS'!$A:$A, $A$1)/$E19)),"-")</f>
        <v>0</v>
      </c>
      <c r="S19" s="112">
        <f ca="1">IFERROR(IF($A$1="All",SUMIF('MATCH CALCS'!$D:$D,$A19,'MATCH CALCS'!$AE:$AE)/$E19,(SUMIFS('MATCH CALCS'!$AE:$AE, 'MATCH CALCS'!$D:$D, $A19, 'MATCH CALCS'!$A:$A, $A$1)/$E19)),"-")</f>
        <v>0</v>
      </c>
      <c r="T19" s="112">
        <f t="shared" ca="1" si="1"/>
        <v>0</v>
      </c>
      <c r="U19" s="13">
        <f ca="1">IF($A$1="All",AVERAGEIF('MATCH CALCS'!$D$3:$D1000,$A19,'MATCH CALCS'!$BI$3:$BI1000),AVERAGEIFS('MATCH CALCS'!$BI$3:$BI1000,'MATCH CALCS'!$D$3:$D1000,$A19,'MATCH CALCS'!$A$3:$A1000,$A$1))</f>
        <v>0</v>
      </c>
      <c r="V19" s="112">
        <f ca="1">IFERROR(IF($A$1="All",SUMIF('MATCH CALCS'!$D:$D,$A19,'MATCH CALCS'!W:W)/$E19,(SUMIFS('MATCH CALCS'!W:W, 'MATCH CALCS'!$D:$D, $A19, 'MATCH CALCS'!$A:$A, $A$1)/$E19)),"-")</f>
        <v>0</v>
      </c>
      <c r="W19" s="112">
        <f ca="1">IFERROR(IF($A$1="All",SUMIF('MATCH CALCS'!$D:$D,$A19,'MATCH CALCS'!X:X)/$E19,(SUMIFS('MATCH CALCS'!X:X, 'MATCH CALCS'!$D:$D, $A19, 'MATCH CALCS'!$A:$A, $A$1)/$E19)),"-")</f>
        <v>0</v>
      </c>
      <c r="X19" s="114">
        <f ca="1">IF($A$1="All",AVERAGEIF('MATCH CALCS'!$D$3:$D1000,$A19,'MATCH CALCS'!$BF$3:$BF1000),AVERAGEIFS('MATCH CALCS'!$BF$3:$BF1000,'MATCH CALCS'!$D$3:$D1000, $A19, 'MATCH CALCS'!$A$3:$A1000, $A$1))</f>
        <v>0</v>
      </c>
      <c r="Y19" s="115">
        <f ca="1">IF($A$1="All",SUMIF('MATCH CALCS'!$D$3:$D1000,$A19,'MATCH CALCS'!$BJ$3:$BJ1000),SUMIFS('MATCH CALCS'!$BJ$3:$BJ1000,'MATCH CALCS'!$D$3:$D1000, $A19, 'MATCH CALCS'!$A$3:$A1000, $A$1))</f>
        <v>0</v>
      </c>
      <c r="Z19" s="116" t="str">
        <f ca="1">IFERROR(__xludf.DUMMYFUNCTION("IFERROR(IF($A$1=""All"",AVERAGE(FILTER('MATCH CALCS'!$BR$3:$BR1000, 'MATCH CALCS'!$D$3:$D1000=$A19)),AVERAGE(FILTER('MATCH CALCS'!$BR$3:$BR1000, 'MATCH CALCS'!$D$3:$D1000=$A19,'MATCH CALCS'!$A$3:$A1000=$A$1))),""No Data"")"),"No Data")</f>
        <v>No Data</v>
      </c>
      <c r="AA19" s="117" t="str">
        <f ca="1">IFERROR(__xludf.DUMMYFUNCTION("IFERROR(IF($A$1=""All"",IF(COUNTIF(FILTER('MATCH CALCS'!$AT$3:$AT1000,'MATCH CALCS'!$D$3:$D1000=$A19), ""Dc"")&gt;0, IF(COUNTIF(FILTER('MATCH CALCS'!$AT$3:$AT1000,'MATCH CALCS'!$D$3:$D1000=$A19), ""Sc"")&gt;0, ""Mixed"", ""Deep""), IF(COUNTIF(FILTER('MATCH CALC"&amp;"S'!$AT$3:$AT1000,'MATCH CALCS'!$D$3:$D1000=$A19), ""Sc"")&gt;0, ""Shallow"",""None"")),IF(COUNTIF(FILTER('MATCH CALCS'!$AT$3:$AT1000,'MATCH CALCS'!$D$3:$D1000=$A19,'MATCH CALCS'!$A$3:$A1000=$A$1), ""Dc"")&gt;0, IF(COUNTIF(FILTER('MATCH CALCS'!$AT$3:$AT1000,'MAT"&amp;"CH CALCS'!$D$3:$D1000=$A19,'MATCH CALCS'!$A$3:$A1000=$A$1), ""Sc"")&gt;0, ""Mixed"", ""Deep""), IF(COUNTIF(FILTER('MATCH CALCS'!$AT$3:$AT1000,'MATCH CALCS'!$D$3:$D1000=$A19,'MATCH CALCS'!$A$3:$A1000=$A$1), ""Sc"")&gt;0, ""Shallow"",""None""))))"),"None")</f>
        <v>None</v>
      </c>
      <c r="AB19" s="9">
        <f ca="1">IFERROR(IF($A$1="All",(COUNTIFS('MATCH CALCS'!$AT$3:$AT1000,("=Dc"),'MATCH CALCS'!$D$3:$D1000, $A19)+COUNTIFS('MATCH CALCS'!$AT$3:$AT1000,("=Sc"),'MATCH CALCS'!$D$3:$D1000, $A19))/(COUNTIFS('MATCH CALCS'!$AK$3:$AK1000,("=Dc"),'MATCH CALCS'!$D$3:$D1000, $A19)+COUNTIFS('MATCH CALCS'!$AK$3:$AK1000,("=Sc"),'MATCH CALCS'!$D$3:$D1000, $A19)),(COUNTIFS('MATCH CALCS'!$AT$3:$AT1000,("=Dc"),'MATCH CALCS'!$D$3:$D1000, $A19,'MATCH CALCS'!$A$3:$A1000,$A$1)+COUNTIFS('MATCH CALCS'!$AT$3:$AT1000,("=Sc"),'MATCH CALCS'!$D$3:$D1000, $A19,'MATCH CALCS'!$A$3:$A1000,$A$1))/(COUNTIFS('MATCH CALCS'!$AK$3:$AK1000,("=Dc"),'MATCH CALCS'!$D$3:$D1000, $A19,'MATCH CALCS'!$A$3:$A1000,$A$1)+COUNTIFS('MATCH CALCS'!$AK$3:$AK1000,("=Sc"),'MATCH CALCS'!$D$3:$D1000, $A19,'MATCH CALCS'!$A$3:$A1000,$A$1))),"-")</f>
        <v>0</v>
      </c>
      <c r="AC19" s="25">
        <f ca="1">IFERROR(IF($A$1="All",COUNTIFS('MATCH CALCS'!$AT$3:$AT1000,("=Dc"),'MATCH CALCS'!$D$3:$D1000, $A19)+COUNTIFS('MATCH CALCS'!$AT$3:$AT1000,("=Sc"),'MATCH CALCS'!$D$3:$D1000, $A19),COUNTIFS('MATCH CALCS'!$AT$3:$AT1000,("=Dc"),'MATCH CALCS'!$D$3:$D1000, $A19,'MATCH CALCS'!$A$3:$A1000, $A$1)+COUNTIFS('MATCH CALCS'!$AT$3:$AT1000,("=Sc"),'MATCH CALCS'!$D$3:$D1000, $A19,'MATCH CALCS'!$A$3:$A1000, $A$1)),"-")</f>
        <v>0</v>
      </c>
    </row>
    <row r="20" spans="1:29" ht="12.75">
      <c r="A20" s="30">
        <f ca="1">IFERROR(__xludf.DUMMYFUNCTION("""COMPUTED_VALUE"""),2847)</f>
        <v>2847</v>
      </c>
      <c r="B20" s="6" t="str">
        <f ca="1">IFERROR(__xludf.DUMMYFUNCTION("""COMPUTED_VALUE"""),"The MegaHertz")</f>
        <v>The MegaHertz</v>
      </c>
      <c r="C20" s="30" t="str">
        <f ca="1">IFERROR(__xludf.DUMMYFUNCTION("FILTER('TEAM RANKING'!$A:$A,'TEAM RANKING'!$K:$K=$A20)"),"#N/A")</f>
        <v>#N/A</v>
      </c>
      <c r="D20" s="15"/>
      <c r="E20" s="110">
        <f ca="1">IFERROR((IF($A$1="All", COUNTIF('MATCH CALCS'!$D:$D,$A20), (COUNTIFS('MATCH CALCS'!D:D, $A20, 'MATCH CALCS'!$A:$A,$A$1)))),"-")</f>
        <v>3</v>
      </c>
      <c r="F20" s="111">
        <f ca="1">IFERROR(IF($A$1="All",SUMIF('MATCH CALCS'!$D:$D,$A20,'MATCH CALCS'!$AW:$AW)/$E20,(SUMIFS('MATCH CALCS'!$AW:$AW, 'MATCH CALCS'!$D:$D, $A20, 'MATCH CALCS'!$A:$A, $A$1)/$E20)),"-")</f>
        <v>0.66666666666666663</v>
      </c>
      <c r="G20" s="112">
        <f ca="1">IFERROR(IF($A$1="All",SUMIF('MATCH CALCS'!$D:$D,$A20,'MATCH CALCS'!O:O)/$E20,(SUMIFS('MATCH CALCS'!O:O, 'MATCH CALCS'!$D:$D, $A20, 'MATCH CALCS'!$A:$A, $A$1)/$E20)),"-")</f>
        <v>0</v>
      </c>
      <c r="H20" s="112">
        <f ca="1">IFERROR(IF($A$1="All",SUMIF('MATCH CALCS'!$D:$D,$A20,'MATCH CALCS'!N:N)/$E20,(SUMIFS('MATCH CALCS'!N:N, 'MATCH CALCS'!$D:$D, $A20, 'MATCH CALCS'!$A:$A, $A$1)/$E20)),"-")</f>
        <v>0</v>
      </c>
      <c r="I20" s="112">
        <f ca="1">IFERROR(IF($A$1="All",SUMIF('MATCH CALCS'!$D:$D,$A20,'MATCH CALCS'!M:M)/$E20,(SUMIFS('MATCH CALCS'!M:M, 'MATCH CALCS'!$D:$D, $A20, 'MATCH CALCS'!$A:$A, $A$1)/$E20)),"-")</f>
        <v>0</v>
      </c>
      <c r="J20" s="112">
        <f ca="1">IFERROR(IF($A$1="All",SUMIF('MATCH CALCS'!$D:$D,$A20,'MATCH CALCS'!L:L)/$E20,(SUMIFS('MATCH CALCS'!L:L, 'MATCH CALCS'!$D:$D, $A20, 'MATCH CALCS'!$A:$A, $A$1)/$E20)),"-")</f>
        <v>0.33333333333333331</v>
      </c>
      <c r="K20" s="112">
        <f t="shared" ca="1" si="0"/>
        <v>0.33333333333333331</v>
      </c>
      <c r="L20" s="13">
        <f ca="1">IF($A$1="All",AVERAGEIF('MATCH CALCS'!$D$3:$D1000,$A20,'MATCH CALCS'!$AZ$3:$AZ1000),AVERAGEIFS('MATCH CALCS'!$AZ$3:$AZ1000,'MATCH CALCS'!$D$3:$D1000,$A20,'MATCH CALCS'!$A$3:$A1000,$A$1))</f>
        <v>0.16666666666666666</v>
      </c>
      <c r="M20" s="112">
        <f ca="1">IF($A$1="All",AVERAGEIF('MATCH CALCS'!$D:$D,$A20,'MATCH CALCS'!R:R),(SUMIFS('MATCH CALCS'!R$3:R1000, 'MATCH CALCS'!$D$3:$D1000, $A20, 'MATCH CALCS'!A$3:A1000, $A$1)/$E20))</f>
        <v>0</v>
      </c>
      <c r="N20" s="112">
        <f ca="1">IFERROR(IF($A$1="All",SUMIF('MATCH CALCS'!$D:$D,$A20,'MATCH CALCS'!S:S)/$E20,(SUMIFS('MATCH CALCS'!S:S, 'MATCH CALCS'!$D:$D, $A20, 'MATCH CALCS'!A:A, $A$1)/$E20)),"-")</f>
        <v>0</v>
      </c>
      <c r="O20" s="113" t="e">
        <f ca="1">IF($A$1="All",AVERAGEIF('MATCH CALCS'!$D$3:$D1000,$A20,'MATCH CALCS'!$BC$3:$BC1000),AVERAGEIFS('MATCH CALCS'!$BC$3:$BC1000,'MATCH CALCS'!$D$3:$D1000,$A20,'MATCH CALCS'!$A$3:$A1000,$A$1))</f>
        <v>#DIV/0!</v>
      </c>
      <c r="P20" s="112">
        <f ca="1">IFERROR(IF($A$1="All",SUMIF('MATCH CALCS'!$D:$D,$A20,'MATCH CALCS'!AH:AH)/$E20,(SUMIFS('MATCH CALCS'!AH:AH, 'MATCH CALCS'!$D:$D, $A20, 'MATCH CALCS'!$A:$A, $A$1)/$E20)),"-")</f>
        <v>0.66666666666666663</v>
      </c>
      <c r="Q20" s="112">
        <f ca="1">IFERROR(IF($A$1="All",SUMIF('MATCH CALCS'!$D:$D,$A20,'MATCH CALCS'!AG:AG)/$E20,(SUMIFS('MATCH CALCS'!AG:AG, 'MATCH CALCS'!$D:$D, $A20, 'MATCH CALCS'!$A:$A, $A$1)/$E20)),"-")</f>
        <v>2</v>
      </c>
      <c r="R20" s="112">
        <f ca="1">IFERROR(IF($A$1="All",SUMIF('MATCH CALCS'!$D:$D,$A20,'MATCH CALCS'!AF:AF)/$E20,(SUMIFS('MATCH CALCS'!AF:AF, 'MATCH CALCS'!$D:$D, $A20, 'MATCH CALCS'!$A:$A, $A$1)/$E20)),"-")</f>
        <v>2.3333333333333335</v>
      </c>
      <c r="S20" s="112">
        <f ca="1">IFERROR(IF($A$1="All",SUMIF('MATCH CALCS'!$D:$D,$A20,'MATCH CALCS'!$AE:$AE)/$E20,(SUMIFS('MATCH CALCS'!$AE:$AE, 'MATCH CALCS'!$D:$D, $A20, 'MATCH CALCS'!$A:$A, $A$1)/$E20)),"-")</f>
        <v>4.333333333333333</v>
      </c>
      <c r="T20" s="112">
        <f t="shared" ca="1" si="1"/>
        <v>9.3333333333333321</v>
      </c>
      <c r="U20" s="13">
        <f ca="1">IF($A$1="All",AVERAGEIF('MATCH CALCS'!$D$3:$D1000,$A20,'MATCH CALCS'!$BI$3:$BI1000),AVERAGEIFS('MATCH CALCS'!$BI$3:$BI1000,'MATCH CALCS'!$D$3:$D1000,$A20,'MATCH CALCS'!$A$3:$A1000,$A$1))</f>
        <v>0.75164835164835164</v>
      </c>
      <c r="V20" s="112">
        <f ca="1">IFERROR(IF($A$1="All",SUMIF('MATCH CALCS'!$D:$D,$A20,'MATCH CALCS'!W:W)/$E20,(SUMIFS('MATCH CALCS'!W:W, 'MATCH CALCS'!$D:$D, $A20, 'MATCH CALCS'!$A:$A, $A$1)/$E20)),"-")</f>
        <v>0.33333333333333331</v>
      </c>
      <c r="W20" s="112">
        <f ca="1">IFERROR(IF($A$1="All",SUMIF('MATCH CALCS'!$D:$D,$A20,'MATCH CALCS'!X:X)/$E20,(SUMIFS('MATCH CALCS'!X:X, 'MATCH CALCS'!$D:$D, $A20, 'MATCH CALCS'!$A:$A, $A$1)/$E20)),"-")</f>
        <v>0</v>
      </c>
      <c r="X20" s="114" t="e">
        <f ca="1">IF($A$1="All",AVERAGEIF('MATCH CALCS'!$D$3:$D1000,$A20,'MATCH CALCS'!$BF$3:$BF1000),AVERAGEIFS('MATCH CALCS'!$BF$3:$BF1000,'MATCH CALCS'!$D$3:$D1000, $A20, 'MATCH CALCS'!$A$3:$A1000, $A$1))</f>
        <v>#DIV/0!</v>
      </c>
      <c r="Y20" s="115">
        <f ca="1">IF($A$1="All",SUMIF('MATCH CALCS'!$D$3:$D1000,$A20,'MATCH CALCS'!$BJ$3:$BJ1000),SUMIFS('MATCH CALCS'!$BJ$3:$BJ1000,'MATCH CALCS'!$D$3:$D1000, $A20, 'MATCH CALCS'!$A$3:$A1000, $A$1))</f>
        <v>0</v>
      </c>
      <c r="Z20" s="116" t="str">
        <f ca="1">IFERROR(__xludf.DUMMYFUNCTION("IFERROR(IF($A$1=""All"",AVERAGE(FILTER('MATCH CALCS'!$BR$3:$BR1000, 'MATCH CALCS'!$D$3:$D1000=$A20)),AVERAGE(FILTER('MATCH CALCS'!$BR$3:$BR1000, 'MATCH CALCS'!$D$3:$D1000=$A20,'MATCH CALCS'!$A$3:$A1000=$A$1))),""No Data"")"),"No Data")</f>
        <v>No Data</v>
      </c>
      <c r="AA20" s="117" t="str">
        <f ca="1">IFERROR(__xludf.DUMMYFUNCTION("IFERROR(IF($A$1=""All"",IF(COUNTIF(FILTER('MATCH CALCS'!$AT$3:$AT1000,'MATCH CALCS'!$D$3:$D1000=$A20), ""Dc"")&gt;0, IF(COUNTIF(FILTER('MATCH CALCS'!$AT$3:$AT1000,'MATCH CALCS'!$D$3:$D1000=$A20), ""Sc"")&gt;0, ""Mixed"", ""Deep""), IF(COUNTIF(FILTER('MATCH CALC"&amp;"S'!$AT$3:$AT1000,'MATCH CALCS'!$D$3:$D1000=$A20), ""Sc"")&gt;0, ""Shallow"",""None"")),IF(COUNTIF(FILTER('MATCH CALCS'!$AT$3:$AT1000,'MATCH CALCS'!$D$3:$D1000=$A20,'MATCH CALCS'!$A$3:$A1000=$A$1), ""Dc"")&gt;0, IF(COUNTIF(FILTER('MATCH CALCS'!$AT$3:$AT1000,'MAT"&amp;"CH CALCS'!$D$3:$D1000=$A20,'MATCH CALCS'!$A$3:$A1000=$A$1), ""Sc"")&gt;0, ""Mixed"", ""Deep""), IF(COUNTIF(FILTER('MATCH CALCS'!$AT$3:$AT1000,'MATCH CALCS'!$D$3:$D1000=$A20,'MATCH CALCS'!$A$3:$A1000=$A$1), ""Sc"")&gt;0, ""Shallow"",""None""))))"),"None")</f>
        <v>None</v>
      </c>
      <c r="AB20" s="9">
        <f ca="1">IFERROR(IF($A$1="All",(COUNTIFS('MATCH CALCS'!$AT$3:$AT1000,("=Dc"),'MATCH CALCS'!$D$3:$D1000, $A20)+COUNTIFS('MATCH CALCS'!$AT$3:$AT1000,("=Sc"),'MATCH CALCS'!$D$3:$D1000, $A20))/(COUNTIFS('MATCH CALCS'!$AK$3:$AK1000,("=Dc"),'MATCH CALCS'!$D$3:$D1000, $A20)+COUNTIFS('MATCH CALCS'!$AK$3:$AK1000,("=Sc"),'MATCH CALCS'!$D$3:$D1000, $A20)),(COUNTIFS('MATCH CALCS'!$AT$3:$AT1000,("=Dc"),'MATCH CALCS'!$D$3:$D1000, $A20,'MATCH CALCS'!$A$3:$A1000,$A$1)+COUNTIFS('MATCH CALCS'!$AT$3:$AT1000,("=Sc"),'MATCH CALCS'!$D$3:$D1000, $A20,'MATCH CALCS'!$A$3:$A1000,$A$1))/(COUNTIFS('MATCH CALCS'!$AK$3:$AK1000,("=Dc"),'MATCH CALCS'!$D$3:$D1000, $A20,'MATCH CALCS'!$A$3:$A1000,$A$1)+COUNTIFS('MATCH CALCS'!$AK$3:$AK1000,("=Sc"),'MATCH CALCS'!$D$3:$D1000, $A20,'MATCH CALCS'!$A$3:$A1000,$A$1))),"-")</f>
        <v>0</v>
      </c>
      <c r="AC20" s="25">
        <f ca="1">IFERROR(IF($A$1="All",COUNTIFS('MATCH CALCS'!$AT$3:$AT1000,("=Dc"),'MATCH CALCS'!$D$3:$D1000, $A20)+COUNTIFS('MATCH CALCS'!$AT$3:$AT1000,("=Sc"),'MATCH CALCS'!$D$3:$D1000, $A20),COUNTIFS('MATCH CALCS'!$AT$3:$AT1000,("=Dc"),'MATCH CALCS'!$D$3:$D1000, $A20,'MATCH CALCS'!$A$3:$A1000, $A$1)+COUNTIFS('MATCH CALCS'!$AT$3:$AT1000,("=Sc"),'MATCH CALCS'!$D$3:$D1000, $A20,'MATCH CALCS'!$A$3:$A1000, $A$1)),"-")</f>
        <v>0</v>
      </c>
    </row>
    <row r="21" spans="1:29" ht="12.75">
      <c r="A21" s="30">
        <f ca="1">IFERROR(__xludf.DUMMYFUNCTION("""COMPUTED_VALUE"""),2855)</f>
        <v>2855</v>
      </c>
      <c r="B21" s="6" t="str">
        <f ca="1">IFERROR(__xludf.DUMMYFUNCTION("""COMPUTED_VALUE"""),"BEASTBOT")</f>
        <v>BEASTBOT</v>
      </c>
      <c r="C21" s="30" t="str">
        <f ca="1">IFERROR(__xludf.DUMMYFUNCTION("FILTER('TEAM RANKING'!$A:$A,'TEAM RANKING'!$K:$K=$A21)"),"#N/A")</f>
        <v>#N/A</v>
      </c>
      <c r="D21" s="15"/>
      <c r="E21" s="110">
        <f ca="1">IFERROR((IF($A$1="All", COUNTIF('MATCH CALCS'!$D:$D,$A21), (COUNTIFS('MATCH CALCS'!D:D, $A21, 'MATCH CALCS'!$A:$A,$A$1)))),"-")</f>
        <v>2</v>
      </c>
      <c r="F21" s="111">
        <f ca="1">IFERROR(IF($A$1="All",SUMIF('MATCH CALCS'!$D:$D,$A21,'MATCH CALCS'!$AW:$AW)/$E21,(SUMIFS('MATCH CALCS'!$AW:$AW, 'MATCH CALCS'!$D:$D, $A21, 'MATCH CALCS'!$A:$A, $A$1)/$E21)),"-")</f>
        <v>1</v>
      </c>
      <c r="G21" s="112">
        <f ca="1">IFERROR(IF($A$1="All",SUMIF('MATCH CALCS'!$D:$D,$A21,'MATCH CALCS'!O:O)/$E21,(SUMIFS('MATCH CALCS'!O:O, 'MATCH CALCS'!$D:$D, $A21, 'MATCH CALCS'!$A:$A, $A$1)/$E21)),"-")</f>
        <v>0</v>
      </c>
      <c r="H21" s="112">
        <f ca="1">IFERROR(IF($A$1="All",SUMIF('MATCH CALCS'!$D:$D,$A21,'MATCH CALCS'!N:N)/$E21,(SUMIFS('MATCH CALCS'!N:N, 'MATCH CALCS'!$D:$D, $A21, 'MATCH CALCS'!$A:$A, $A$1)/$E21)),"-")</f>
        <v>0</v>
      </c>
      <c r="I21" s="112">
        <f ca="1">IFERROR(IF($A$1="All",SUMIF('MATCH CALCS'!$D:$D,$A21,'MATCH CALCS'!M:M)/$E21,(SUMIFS('MATCH CALCS'!M:M, 'MATCH CALCS'!$D:$D, $A21, 'MATCH CALCS'!$A:$A, $A$1)/$E21)),"-")</f>
        <v>0</v>
      </c>
      <c r="J21" s="112">
        <f ca="1">IFERROR(IF($A$1="All",SUMIF('MATCH CALCS'!$D:$D,$A21,'MATCH CALCS'!L:L)/$E21,(SUMIFS('MATCH CALCS'!L:L, 'MATCH CALCS'!$D:$D, $A21, 'MATCH CALCS'!$A:$A, $A$1)/$E21)),"-")</f>
        <v>0</v>
      </c>
      <c r="K21" s="112">
        <f t="shared" ca="1" si="0"/>
        <v>0</v>
      </c>
      <c r="L21" s="13">
        <f ca="1">IF($A$1="All",AVERAGEIF('MATCH CALCS'!$D$3:$D1000,$A21,'MATCH CALCS'!$AZ$3:$AZ1000),AVERAGEIFS('MATCH CALCS'!$AZ$3:$AZ1000,'MATCH CALCS'!$D$3:$D1000,$A21,'MATCH CALCS'!$A$3:$A1000,$A$1))</f>
        <v>0</v>
      </c>
      <c r="M21" s="112">
        <f ca="1">IF($A$1="All",AVERAGEIF('MATCH CALCS'!$D:$D,$A21,'MATCH CALCS'!R:R),(SUMIFS('MATCH CALCS'!R$3:R1000, 'MATCH CALCS'!$D$3:$D1000, $A21, 'MATCH CALCS'!A$3:A1000, $A$1)/$E21))</f>
        <v>0</v>
      </c>
      <c r="N21" s="112">
        <f ca="1">IFERROR(IF($A$1="All",SUMIF('MATCH CALCS'!$D:$D,$A21,'MATCH CALCS'!S:S)/$E21,(SUMIFS('MATCH CALCS'!S:S, 'MATCH CALCS'!$D:$D, $A21, 'MATCH CALCS'!A:A, $A$1)/$E21)),"-")</f>
        <v>0</v>
      </c>
      <c r="O21" s="113" t="e">
        <f ca="1">IF($A$1="All",AVERAGEIF('MATCH CALCS'!$D$3:$D1000,$A21,'MATCH CALCS'!$BC$3:$BC1000),AVERAGEIFS('MATCH CALCS'!$BC$3:$BC1000,'MATCH CALCS'!$D$3:$D1000,$A21,'MATCH CALCS'!$A$3:$A1000,$A$1))</f>
        <v>#DIV/0!</v>
      </c>
      <c r="P21" s="112">
        <f ca="1">IFERROR(IF($A$1="All",SUMIF('MATCH CALCS'!$D:$D,$A21,'MATCH CALCS'!AH:AH)/$E21,(SUMIFS('MATCH CALCS'!AH:AH, 'MATCH CALCS'!$D:$D, $A21, 'MATCH CALCS'!$A:$A, $A$1)/$E21)),"-")</f>
        <v>0</v>
      </c>
      <c r="Q21" s="112">
        <f ca="1">IFERROR(IF($A$1="All",SUMIF('MATCH CALCS'!$D:$D,$A21,'MATCH CALCS'!AG:AG)/$E21,(SUMIFS('MATCH CALCS'!AG:AG, 'MATCH CALCS'!$D:$D, $A21, 'MATCH CALCS'!$A:$A, $A$1)/$E21)),"-")</f>
        <v>0</v>
      </c>
      <c r="R21" s="112">
        <f ca="1">IFERROR(IF($A$1="All",SUMIF('MATCH CALCS'!$D:$D,$A21,'MATCH CALCS'!AF:AF)/$E21,(SUMIFS('MATCH CALCS'!AF:AF, 'MATCH CALCS'!$D:$D, $A21, 'MATCH CALCS'!$A:$A, $A$1)/$E21)),"-")</f>
        <v>1.5</v>
      </c>
      <c r="S21" s="112">
        <f ca="1">IFERROR(IF($A$1="All",SUMIF('MATCH CALCS'!$D:$D,$A21,'MATCH CALCS'!$AE:$AE)/$E21,(SUMIFS('MATCH CALCS'!$AE:$AE, 'MATCH CALCS'!$D:$D, $A21, 'MATCH CALCS'!$A:$A, $A$1)/$E21)),"-")</f>
        <v>3</v>
      </c>
      <c r="T21" s="112">
        <f t="shared" ca="1" si="1"/>
        <v>4.5</v>
      </c>
      <c r="U21" s="13">
        <f ca="1">IF($A$1="All",AVERAGEIF('MATCH CALCS'!$D$3:$D1000,$A21,'MATCH CALCS'!$BI$3:$BI1000),AVERAGEIFS('MATCH CALCS'!$BI$3:$BI1000,'MATCH CALCS'!$D$3:$D1000,$A21,'MATCH CALCS'!$A$3:$A1000,$A$1))</f>
        <v>0.75</v>
      </c>
      <c r="V21" s="112">
        <f ca="1">IFERROR(IF($A$1="All",SUMIF('MATCH CALCS'!$D:$D,$A21,'MATCH CALCS'!W:W)/$E21,(SUMIFS('MATCH CALCS'!W:W, 'MATCH CALCS'!$D:$D, $A21, 'MATCH CALCS'!$A:$A, $A$1)/$E21)),"-")</f>
        <v>0</v>
      </c>
      <c r="W21" s="112">
        <f ca="1">IFERROR(IF($A$1="All",SUMIF('MATCH CALCS'!$D:$D,$A21,'MATCH CALCS'!X:X)/$E21,(SUMIFS('MATCH CALCS'!X:X, 'MATCH CALCS'!$D:$D, $A21, 'MATCH CALCS'!$A:$A, $A$1)/$E21)),"-")</f>
        <v>0</v>
      </c>
      <c r="X21" s="114" t="e">
        <f ca="1">IF($A$1="All",AVERAGEIF('MATCH CALCS'!$D$3:$D1000,$A21,'MATCH CALCS'!$BF$3:$BF1000),AVERAGEIFS('MATCH CALCS'!$BF$3:$BF1000,'MATCH CALCS'!$D$3:$D1000, $A21, 'MATCH CALCS'!$A$3:$A1000, $A$1))</f>
        <v>#DIV/0!</v>
      </c>
      <c r="Y21" s="115">
        <f ca="1">IF($A$1="All",SUMIF('MATCH CALCS'!$D$3:$D1000,$A21,'MATCH CALCS'!$BJ$3:$BJ1000),SUMIFS('MATCH CALCS'!$BJ$3:$BJ1000,'MATCH CALCS'!$D$3:$D1000, $A21, 'MATCH CALCS'!$A$3:$A1000, $A$1))</f>
        <v>0</v>
      </c>
      <c r="Z21" s="116" t="str">
        <f ca="1">IFERROR(__xludf.DUMMYFUNCTION("IFERROR(IF($A$1=""All"",AVERAGE(FILTER('MATCH CALCS'!$BR$3:$BR1000, 'MATCH CALCS'!$D$3:$D1000=$A21)),AVERAGE(FILTER('MATCH CALCS'!$BR$3:$BR1000, 'MATCH CALCS'!$D$3:$D1000=$A21,'MATCH CALCS'!$A$3:$A1000=$A$1))),""No Data"")"),"No Data")</f>
        <v>No Data</v>
      </c>
      <c r="AA21" s="117" t="str">
        <f ca="1">IFERROR(__xludf.DUMMYFUNCTION("IFERROR(IF($A$1=""All"",IF(COUNTIF(FILTER('MATCH CALCS'!$AT$3:$AT1000,'MATCH CALCS'!$D$3:$D1000=$A21), ""Dc"")&gt;0, IF(COUNTIF(FILTER('MATCH CALCS'!$AT$3:$AT1000,'MATCH CALCS'!$D$3:$D1000=$A21), ""Sc"")&gt;0, ""Mixed"", ""Deep""), IF(COUNTIF(FILTER('MATCH CALC"&amp;"S'!$AT$3:$AT1000,'MATCH CALCS'!$D$3:$D1000=$A21), ""Sc"")&gt;0, ""Shallow"",""None"")),IF(COUNTIF(FILTER('MATCH CALCS'!$AT$3:$AT1000,'MATCH CALCS'!$D$3:$D1000=$A21,'MATCH CALCS'!$A$3:$A1000=$A$1), ""Dc"")&gt;0, IF(COUNTIF(FILTER('MATCH CALCS'!$AT$3:$AT1000,'MAT"&amp;"CH CALCS'!$D$3:$D1000=$A21,'MATCH CALCS'!$A$3:$A1000=$A$1), ""Sc"")&gt;0, ""Mixed"", ""Deep""), IF(COUNTIF(FILTER('MATCH CALCS'!$AT$3:$AT1000,'MATCH CALCS'!$D$3:$D1000=$A21,'MATCH CALCS'!$A$3:$A1000=$A$1), ""Sc"")&gt;0, ""Shallow"",""None""))))"),"None")</f>
        <v>None</v>
      </c>
      <c r="AB21" s="9">
        <f ca="1">IFERROR(IF($A$1="All",(COUNTIFS('MATCH CALCS'!$AT$3:$AT1000,("=Dc"),'MATCH CALCS'!$D$3:$D1000, $A21)+COUNTIFS('MATCH CALCS'!$AT$3:$AT1000,("=Sc"),'MATCH CALCS'!$D$3:$D1000, $A21))/(COUNTIFS('MATCH CALCS'!$AK$3:$AK1000,("=Dc"),'MATCH CALCS'!$D$3:$D1000, $A21)+COUNTIFS('MATCH CALCS'!$AK$3:$AK1000,("=Sc"),'MATCH CALCS'!$D$3:$D1000, $A21)),(COUNTIFS('MATCH CALCS'!$AT$3:$AT1000,("=Dc"),'MATCH CALCS'!$D$3:$D1000, $A21,'MATCH CALCS'!$A$3:$A1000,$A$1)+COUNTIFS('MATCH CALCS'!$AT$3:$AT1000,("=Sc"),'MATCH CALCS'!$D$3:$D1000, $A21,'MATCH CALCS'!$A$3:$A1000,$A$1))/(COUNTIFS('MATCH CALCS'!$AK$3:$AK1000,("=Dc"),'MATCH CALCS'!$D$3:$D1000, $A21,'MATCH CALCS'!$A$3:$A1000,$A$1)+COUNTIFS('MATCH CALCS'!$AK$3:$AK1000,("=Sc"),'MATCH CALCS'!$D$3:$D1000, $A21,'MATCH CALCS'!$A$3:$A1000,$A$1))),"-")</f>
        <v>0</v>
      </c>
      <c r="AC21" s="25">
        <f ca="1">IFERROR(IF($A$1="All",COUNTIFS('MATCH CALCS'!$AT$3:$AT1000,("=Dc"),'MATCH CALCS'!$D$3:$D1000, $A21)+COUNTIFS('MATCH CALCS'!$AT$3:$AT1000,("=Sc"),'MATCH CALCS'!$D$3:$D1000, $A21),COUNTIFS('MATCH CALCS'!$AT$3:$AT1000,("=Dc"),'MATCH CALCS'!$D$3:$D1000, $A21,'MATCH CALCS'!$A$3:$A1000, $A$1)+COUNTIFS('MATCH CALCS'!$AT$3:$AT1000,("=Sc"),'MATCH CALCS'!$D$3:$D1000, $A21,'MATCH CALCS'!$A$3:$A1000, $A$1)),"-")</f>
        <v>0</v>
      </c>
    </row>
    <row r="22" spans="1:29" ht="12.75">
      <c r="A22" s="30">
        <f ca="1">IFERROR(__xludf.DUMMYFUNCTION("""COMPUTED_VALUE"""),3018)</f>
        <v>3018</v>
      </c>
      <c r="B22" s="6" t="str">
        <f ca="1">IFERROR(__xludf.DUMMYFUNCTION("""COMPUTED_VALUE"""),"Nordic Storm")</f>
        <v>Nordic Storm</v>
      </c>
      <c r="C22" s="30" t="str">
        <f ca="1">IFERROR(__xludf.DUMMYFUNCTION("FILTER('TEAM RANKING'!$A:$A,'TEAM RANKING'!$K:$K=$A22)"),"#N/A")</f>
        <v>#N/A</v>
      </c>
      <c r="D22" s="15"/>
      <c r="E22" s="110">
        <f ca="1">IFERROR((IF($A$1="All", COUNTIF('MATCH CALCS'!$D:$D,$A22), (COUNTIFS('MATCH CALCS'!D:D, $A22, 'MATCH CALCS'!$A:$A,$A$1)))),"-")</f>
        <v>2</v>
      </c>
      <c r="F22" s="111">
        <f ca="1">IFERROR(IF($A$1="All",SUMIF('MATCH CALCS'!$D:$D,$A22,'MATCH CALCS'!$AW:$AW)/$E22,(SUMIFS('MATCH CALCS'!$AW:$AW, 'MATCH CALCS'!$D:$D, $A22, 'MATCH CALCS'!$A:$A, $A$1)/$E22)),"-")</f>
        <v>0.5</v>
      </c>
      <c r="G22" s="112">
        <f ca="1">IFERROR(IF($A$1="All",SUMIF('MATCH CALCS'!$D:$D,$A22,'MATCH CALCS'!O:O)/$E22,(SUMIFS('MATCH CALCS'!O:O, 'MATCH CALCS'!$D:$D, $A22, 'MATCH CALCS'!$A:$A, $A$1)/$E22)),"-")</f>
        <v>0</v>
      </c>
      <c r="H22" s="112">
        <f ca="1">IFERROR(IF($A$1="All",SUMIF('MATCH CALCS'!$D:$D,$A22,'MATCH CALCS'!N:N)/$E22,(SUMIFS('MATCH CALCS'!N:N, 'MATCH CALCS'!$D:$D, $A22, 'MATCH CALCS'!$A:$A, $A$1)/$E22)),"-")</f>
        <v>0.5</v>
      </c>
      <c r="I22" s="112">
        <f ca="1">IFERROR(IF($A$1="All",SUMIF('MATCH CALCS'!$D:$D,$A22,'MATCH CALCS'!M:M)/$E22,(SUMIFS('MATCH CALCS'!M:M, 'MATCH CALCS'!$D:$D, $A22, 'MATCH CALCS'!$A:$A, $A$1)/$E22)),"-")</f>
        <v>0</v>
      </c>
      <c r="J22" s="112">
        <f ca="1">IFERROR(IF($A$1="All",SUMIF('MATCH CALCS'!$D:$D,$A22,'MATCH CALCS'!L:L)/$E22,(SUMIFS('MATCH CALCS'!L:L, 'MATCH CALCS'!$D:$D, $A22, 'MATCH CALCS'!$A:$A, $A$1)/$E22)),"-")</f>
        <v>0</v>
      </c>
      <c r="K22" s="112">
        <f t="shared" ca="1" si="0"/>
        <v>0.5</v>
      </c>
      <c r="M22" s="112">
        <f ca="1">IF($A$1="All",AVERAGEIF('MATCH CALCS'!$D:$D,$A22,'MATCH CALCS'!R:R),(SUMIFS('MATCH CALCS'!R$3:R1000, 'MATCH CALCS'!$D$3:$D1000, $A22, 'MATCH CALCS'!A$3:A1000, $A$1)/$E22))</f>
        <v>0</v>
      </c>
      <c r="N22" s="112">
        <f ca="1">IFERROR(IF($A$1="All",SUMIF('MATCH CALCS'!$D:$D,$A22,'MATCH CALCS'!S:S)/$E22,(SUMIFS('MATCH CALCS'!S:S, 'MATCH CALCS'!$D:$D, $A22, 'MATCH CALCS'!A:A, $A$1)/$E22)),"-")</f>
        <v>0</v>
      </c>
      <c r="O22" s="113" t="e">
        <f ca="1">IF($A$1="All",AVERAGEIF('MATCH CALCS'!$D$3:$D1000,$A22,'MATCH CALCS'!$BC$3:$BC1000),AVERAGEIFS('MATCH CALCS'!$BC$3:$BC1000,'MATCH CALCS'!$D$3:$D1000,$A22,'MATCH CALCS'!$A$3:$A1000,$A$1))</f>
        <v>#DIV/0!</v>
      </c>
      <c r="P22" s="112">
        <f ca="1">IFERROR(IF($A$1="All",SUMIF('MATCH CALCS'!$D:$D,$A22,'MATCH CALCS'!AH:AH)/$E22,(SUMIFS('MATCH CALCS'!AH:AH, 'MATCH CALCS'!$D:$D, $A22, 'MATCH CALCS'!$A:$A, $A$1)/$E22)),"-")</f>
        <v>0</v>
      </c>
      <c r="Q22" s="112">
        <f ca="1">IFERROR(IF($A$1="All",SUMIF('MATCH CALCS'!$D:$D,$A22,'MATCH CALCS'!AG:AG)/$E22,(SUMIFS('MATCH CALCS'!AG:AG, 'MATCH CALCS'!$D:$D, $A22, 'MATCH CALCS'!$A:$A, $A$1)/$E22)),"-")</f>
        <v>0</v>
      </c>
      <c r="R22" s="112">
        <f ca="1">IFERROR(IF($A$1="All",SUMIF('MATCH CALCS'!$D:$D,$A22,'MATCH CALCS'!AF:AF)/$E22,(SUMIFS('MATCH CALCS'!AF:AF, 'MATCH CALCS'!$D:$D, $A22, 'MATCH CALCS'!$A:$A, $A$1)/$E22)),"-")</f>
        <v>0.5</v>
      </c>
      <c r="S22" s="112">
        <f ca="1">IFERROR(IF($A$1="All",SUMIF('MATCH CALCS'!$D:$D,$A22,'MATCH CALCS'!$AE:$AE)/$E22,(SUMIFS('MATCH CALCS'!$AE:$AE, 'MATCH CALCS'!$D:$D, $A22, 'MATCH CALCS'!$A:$A, $A$1)/$E22)),"-")</f>
        <v>5</v>
      </c>
      <c r="T22" s="112">
        <f t="shared" ca="1" si="1"/>
        <v>5.5</v>
      </c>
      <c r="U22" s="13">
        <f ca="1">IF($A$1="All",AVERAGEIF('MATCH CALCS'!$D$3:$D1000,$A22,'MATCH CALCS'!$BI$3:$BI1000),AVERAGEIFS('MATCH CALCS'!$BI$3:$BI1000,'MATCH CALCS'!$D$3:$D1000,$A22,'MATCH CALCS'!$A$3:$A1000,$A$1))</f>
        <v>0.88888888888888884</v>
      </c>
      <c r="V22" s="112">
        <f ca="1">IFERROR(IF($A$1="All",SUMIF('MATCH CALCS'!$D:$D,$A22,'MATCH CALCS'!W:W)/$E22,(SUMIFS('MATCH CALCS'!W:W, 'MATCH CALCS'!$D:$D, $A22, 'MATCH CALCS'!$A:$A, $A$1)/$E22)),"-")</f>
        <v>0</v>
      </c>
      <c r="W22" s="112">
        <f ca="1">IFERROR(IF($A$1="All",SUMIF('MATCH CALCS'!$D:$D,$A22,'MATCH CALCS'!X:X)/$E22,(SUMIFS('MATCH CALCS'!X:X, 'MATCH CALCS'!$D:$D, $A22, 'MATCH CALCS'!$A:$A, $A$1)/$E22)),"-")</f>
        <v>0</v>
      </c>
      <c r="X22" s="114" t="e">
        <f ca="1">IF($A$1="All",AVERAGEIF('MATCH CALCS'!$D$3:$D1000,$A22,'MATCH CALCS'!$BF$3:$BF1000),AVERAGEIFS('MATCH CALCS'!$BF$3:$BF1000,'MATCH CALCS'!$D$3:$D1000, $A22, 'MATCH CALCS'!$A$3:$A1000, $A$1))</f>
        <v>#DIV/0!</v>
      </c>
      <c r="Y22" s="115">
        <f ca="1">IF($A$1="All",SUMIF('MATCH CALCS'!$D$3:$D1000,$A22,'MATCH CALCS'!$BJ$3:$BJ1000),SUMIFS('MATCH CALCS'!$BJ$3:$BJ1000,'MATCH CALCS'!$D$3:$D1000, $A22, 'MATCH CALCS'!$A$3:$A1000, $A$1))</f>
        <v>0</v>
      </c>
      <c r="Z22" s="116" t="str">
        <f ca="1">IFERROR(__xludf.DUMMYFUNCTION("IFERROR(IF($A$1=""All"",AVERAGE(FILTER('MATCH CALCS'!$BR$3:$BR1000, 'MATCH CALCS'!$D$3:$D1000=$A22)),AVERAGE(FILTER('MATCH CALCS'!$BR$3:$BR1000, 'MATCH CALCS'!$D$3:$D1000=$A22,'MATCH CALCS'!$A$3:$A1000=$A$1))),""No Data"")"),"No Data")</f>
        <v>No Data</v>
      </c>
      <c r="AA22" s="117" t="str">
        <f ca="1">IFERROR(__xludf.DUMMYFUNCTION("IFERROR(IF($A$1=""All"",IF(COUNTIF(FILTER('MATCH CALCS'!$AT$3:$AT1000,'MATCH CALCS'!$D$3:$D1000=$A22), ""Dc"")&gt;0, IF(COUNTIF(FILTER('MATCH CALCS'!$AT$3:$AT1000,'MATCH CALCS'!$D$3:$D1000=$A22), ""Sc"")&gt;0, ""Mixed"", ""Deep""), IF(COUNTIF(FILTER('MATCH CALC"&amp;"S'!$AT$3:$AT1000,'MATCH CALCS'!$D$3:$D1000=$A22), ""Sc"")&gt;0, ""Shallow"",""None"")),IF(COUNTIF(FILTER('MATCH CALCS'!$AT$3:$AT1000,'MATCH CALCS'!$D$3:$D1000=$A22,'MATCH CALCS'!$A$3:$A1000=$A$1), ""Dc"")&gt;0, IF(COUNTIF(FILTER('MATCH CALCS'!$AT$3:$AT1000,'MAT"&amp;"CH CALCS'!$D$3:$D1000=$A22,'MATCH CALCS'!$A$3:$A1000=$A$1), ""Sc"")&gt;0, ""Mixed"", ""Deep""), IF(COUNTIF(FILTER('MATCH CALCS'!$AT$3:$AT1000,'MATCH CALCS'!$D$3:$D1000=$A22,'MATCH CALCS'!$A$3:$A1000=$A$1), ""Sc"")&gt;0, ""Shallow"",""None""))))"),"None")</f>
        <v>None</v>
      </c>
      <c r="AB22" s="9">
        <f ca="1">IFERROR(IF($A$1="All",(COUNTIFS('MATCH CALCS'!$AT$3:$AT1000,("=Dc"),'MATCH CALCS'!$D$3:$D1000, $A22)+COUNTIFS('MATCH CALCS'!$AT$3:$AT1000,("=Sc"),'MATCH CALCS'!$D$3:$D1000, $A22))/(COUNTIFS('MATCH CALCS'!$AK$3:$AK1000,("=Dc"),'MATCH CALCS'!$D$3:$D1000, $A22)+COUNTIFS('MATCH CALCS'!$AK$3:$AK1000,("=Sc"),'MATCH CALCS'!$D$3:$D1000, $A22)),(COUNTIFS('MATCH CALCS'!$AT$3:$AT1000,("=Dc"),'MATCH CALCS'!$D$3:$D1000, $A22,'MATCH CALCS'!$A$3:$A1000,$A$1)+COUNTIFS('MATCH CALCS'!$AT$3:$AT1000,("=Sc"),'MATCH CALCS'!$D$3:$D1000, $A22,'MATCH CALCS'!$A$3:$A1000,$A$1))/(COUNTIFS('MATCH CALCS'!$AK$3:$AK1000,("=Dc"),'MATCH CALCS'!$D$3:$D1000, $A22,'MATCH CALCS'!$A$3:$A1000,$A$1)+COUNTIFS('MATCH CALCS'!$AK$3:$AK1000,("=Sc"),'MATCH CALCS'!$D$3:$D1000, $A22,'MATCH CALCS'!$A$3:$A1000,$A$1))),"-")</f>
        <v>0</v>
      </c>
      <c r="AC22" s="25">
        <f ca="1">IFERROR(IF($A$1="All",COUNTIFS('MATCH CALCS'!$AT$3:$AT1000,("=Dc"),'MATCH CALCS'!$D$3:$D1000, $A22)+COUNTIFS('MATCH CALCS'!$AT$3:$AT1000,("=Sc"),'MATCH CALCS'!$D$3:$D1000, $A22),COUNTIFS('MATCH CALCS'!$AT$3:$AT1000,("=Dc"),'MATCH CALCS'!$D$3:$D1000, $A22,'MATCH CALCS'!$A$3:$A1000, $A$1)+COUNTIFS('MATCH CALCS'!$AT$3:$AT1000,("=Sc"),'MATCH CALCS'!$D$3:$D1000, $A22,'MATCH CALCS'!$A$3:$A1000, $A$1)),"-")</f>
        <v>0</v>
      </c>
    </row>
    <row r="23" spans="1:29" ht="12.75">
      <c r="A23" s="30">
        <f ca="1">IFERROR(__xludf.DUMMYFUNCTION("""COMPUTED_VALUE"""),3038)</f>
        <v>3038</v>
      </c>
      <c r="B23" s="6" t="str">
        <f ca="1">IFERROR(__xludf.DUMMYFUNCTION("""COMPUTED_VALUE"""),"ICE")</f>
        <v>ICE</v>
      </c>
      <c r="C23" s="30" t="str">
        <f ca="1">IFERROR(__xludf.DUMMYFUNCTION("FILTER('TEAM RANKING'!$A:$A,'TEAM RANKING'!$K:$K=$A23)"),"#N/A")</f>
        <v>#N/A</v>
      </c>
      <c r="D23" s="15"/>
      <c r="E23" s="110">
        <f ca="1">IFERROR((IF($A$1="All", COUNTIF('MATCH CALCS'!$D:$D,$A23), (COUNTIFS('MATCH CALCS'!D:D, $A23, 'MATCH CALCS'!$A:$A,$A$1)))),"-")</f>
        <v>2</v>
      </c>
      <c r="F23" s="111">
        <f ca="1">IFERROR(IF($A$1="All",SUMIF('MATCH CALCS'!$D:$D,$A23,'MATCH CALCS'!$AW:$AW)/$E23,(SUMIFS('MATCH CALCS'!$AW:$AW, 'MATCH CALCS'!$D:$D, $A23, 'MATCH CALCS'!$A:$A, $A$1)/$E23)),"-")</f>
        <v>0</v>
      </c>
      <c r="G23" s="112">
        <f ca="1">IFERROR(IF($A$1="All",SUMIF('MATCH CALCS'!$D:$D,$A23,'MATCH CALCS'!O:O)/$E23,(SUMIFS('MATCH CALCS'!O:O, 'MATCH CALCS'!$D:$D, $A23, 'MATCH CALCS'!$A:$A, $A$1)/$E23)),"-")</f>
        <v>0</v>
      </c>
      <c r="H23" s="112">
        <f ca="1">IFERROR(IF($A$1="All",SUMIF('MATCH CALCS'!$D:$D,$A23,'MATCH CALCS'!N:N)/$E23,(SUMIFS('MATCH CALCS'!N:N, 'MATCH CALCS'!$D:$D, $A23, 'MATCH CALCS'!$A:$A, $A$1)/$E23)),"-")</f>
        <v>0</v>
      </c>
      <c r="I23" s="112">
        <f ca="1">IFERROR(IF($A$1="All",SUMIF('MATCH CALCS'!$D:$D,$A23,'MATCH CALCS'!M:M)/$E23,(SUMIFS('MATCH CALCS'!M:M, 'MATCH CALCS'!$D:$D, $A23, 'MATCH CALCS'!$A:$A, $A$1)/$E23)),"-")</f>
        <v>0</v>
      </c>
      <c r="J23" s="112">
        <f ca="1">IFERROR(IF($A$1="All",SUMIF('MATCH CALCS'!$D:$D,$A23,'MATCH CALCS'!L:L)/$E23,(SUMIFS('MATCH CALCS'!L:L, 'MATCH CALCS'!$D:$D, $A23, 'MATCH CALCS'!$A:$A, $A$1)/$E23)),"-")</f>
        <v>0</v>
      </c>
      <c r="K23" s="112">
        <f t="shared" ca="1" si="0"/>
        <v>0</v>
      </c>
      <c r="L23" s="13" t="e">
        <f ca="1">IF($A$1="All",AVERAGEIF('MATCH CALCS'!$D$3:$D1000,$A23,'MATCH CALCS'!$AZ$3:$AZ1000),AVERAGEIFS('MATCH CALCS'!$AZ$3:$AZ1000,'MATCH CALCS'!$D$3:$D1000,$A23,'MATCH CALCS'!$A$3:$A1000,$A$1))</f>
        <v>#DIV/0!</v>
      </c>
      <c r="M23" s="112">
        <f ca="1">IF($A$1="All",AVERAGEIF('MATCH CALCS'!$D:$D,$A23,'MATCH CALCS'!R:R),(SUMIFS('MATCH CALCS'!R$3:R1000, 'MATCH CALCS'!$D$3:$D1000, $A23, 'MATCH CALCS'!A$3:A1000, $A$1)/$E23))</f>
        <v>0</v>
      </c>
      <c r="N23" s="112">
        <f ca="1">IFERROR(IF($A$1="All",SUMIF('MATCH CALCS'!$D:$D,$A23,'MATCH CALCS'!S:S)/$E23,(SUMIFS('MATCH CALCS'!S:S, 'MATCH CALCS'!$D:$D, $A23, 'MATCH CALCS'!A:A, $A$1)/$E23)),"-")</f>
        <v>0</v>
      </c>
      <c r="O23" s="113" t="e">
        <f ca="1">IF($A$1="All",AVERAGEIF('MATCH CALCS'!$D$3:$D1000,$A23,'MATCH CALCS'!$BC$3:$BC1000),AVERAGEIFS('MATCH CALCS'!$BC$3:$BC1000,'MATCH CALCS'!$D$3:$D1000,$A23,'MATCH CALCS'!$A$3:$A1000,$A$1))</f>
        <v>#DIV/0!</v>
      </c>
      <c r="P23" s="112">
        <f ca="1">IFERROR(IF($A$1="All",SUMIF('MATCH CALCS'!$D:$D,$A23,'MATCH CALCS'!AH:AH)/$E23,(SUMIFS('MATCH CALCS'!AH:AH, 'MATCH CALCS'!$D:$D, $A23, 'MATCH CALCS'!$A:$A, $A$1)/$E23)),"-")</f>
        <v>1.5</v>
      </c>
      <c r="Q23" s="112">
        <f ca="1">IFERROR(IF($A$1="All",SUMIF('MATCH CALCS'!$D:$D,$A23,'MATCH CALCS'!AG:AG)/$E23,(SUMIFS('MATCH CALCS'!AG:AG, 'MATCH CALCS'!$D:$D, $A23, 'MATCH CALCS'!$A:$A, $A$1)/$E23)),"-")</f>
        <v>1.5</v>
      </c>
      <c r="R23" s="112">
        <f ca="1">IFERROR(IF($A$1="All",SUMIF('MATCH CALCS'!$D:$D,$A23,'MATCH CALCS'!AF:AF)/$E23,(SUMIFS('MATCH CALCS'!AF:AF, 'MATCH CALCS'!$D:$D, $A23, 'MATCH CALCS'!$A:$A, $A$1)/$E23)),"-")</f>
        <v>0</v>
      </c>
      <c r="S23" s="112">
        <f ca="1">IFERROR(IF($A$1="All",SUMIF('MATCH CALCS'!$D:$D,$A23,'MATCH CALCS'!$AE:$AE)/$E23,(SUMIFS('MATCH CALCS'!$AE:$AE, 'MATCH CALCS'!$D:$D, $A23, 'MATCH CALCS'!$A:$A, $A$1)/$E23)),"-")</f>
        <v>0</v>
      </c>
      <c r="T23" s="112">
        <f t="shared" ca="1" si="1"/>
        <v>3</v>
      </c>
      <c r="U23" s="13">
        <f ca="1">IF($A$1="All",AVERAGEIF('MATCH CALCS'!$D$3:$D1000,$A23,'MATCH CALCS'!$BI$3:$BI1000),AVERAGEIFS('MATCH CALCS'!$BI$3:$BI1000,'MATCH CALCS'!$D$3:$D1000,$A23,'MATCH CALCS'!$A$3:$A1000,$A$1))</f>
        <v>0.83333333333333326</v>
      </c>
      <c r="V23" s="112">
        <f ca="1">IFERROR(IF($A$1="All",SUMIF('MATCH CALCS'!$D:$D,$A23,'MATCH CALCS'!W:W)/$E23,(SUMIFS('MATCH CALCS'!W:W, 'MATCH CALCS'!$D:$D, $A23, 'MATCH CALCS'!$A:$A, $A$1)/$E23)),"-")</f>
        <v>0</v>
      </c>
      <c r="W23" s="112">
        <f ca="1">IFERROR(IF($A$1="All",SUMIF('MATCH CALCS'!$D:$D,$A23,'MATCH CALCS'!X:X)/$E23,(SUMIFS('MATCH CALCS'!X:X, 'MATCH CALCS'!$D:$D, $A23, 'MATCH CALCS'!$A:$A, $A$1)/$E23)),"-")</f>
        <v>0</v>
      </c>
      <c r="X23" s="114" t="e">
        <f ca="1">IF($A$1="All",AVERAGEIF('MATCH CALCS'!$D$3:$D1000,$A23,'MATCH CALCS'!$BF$3:$BF1000),AVERAGEIFS('MATCH CALCS'!$BF$3:$BF1000,'MATCH CALCS'!$D$3:$D1000, $A23, 'MATCH CALCS'!$A$3:$A1000, $A$1))</f>
        <v>#DIV/0!</v>
      </c>
      <c r="Y23" s="115">
        <f ca="1">IF($A$1="All",SUMIF('MATCH CALCS'!$D$3:$D1000,$A23,'MATCH CALCS'!$BJ$3:$BJ1000),SUMIFS('MATCH CALCS'!$BJ$3:$BJ1000,'MATCH CALCS'!$D$3:$D1000, $A23, 'MATCH CALCS'!$A$3:$A1000, $A$1))</f>
        <v>2</v>
      </c>
      <c r="Z23" s="116" t="str">
        <f ca="1">IFERROR(__xludf.DUMMYFUNCTION("IFERROR(IF($A$1=""All"",AVERAGE(FILTER('MATCH CALCS'!$BR$3:$BR1000, 'MATCH CALCS'!$D$3:$D1000=$A23)),AVERAGE(FILTER('MATCH CALCS'!$BR$3:$BR1000, 'MATCH CALCS'!$D$3:$D1000=$A23,'MATCH CALCS'!$A$3:$A1000=$A$1))),""No Data"")"),"No Data")</f>
        <v>No Data</v>
      </c>
      <c r="AA23" s="117" t="str">
        <f ca="1">IFERROR(__xludf.DUMMYFUNCTION("IFERROR(IF($A$1=""All"",IF(COUNTIF(FILTER('MATCH CALCS'!$AT$3:$AT1000,'MATCH CALCS'!$D$3:$D1000=$A23), ""Dc"")&gt;0, IF(COUNTIF(FILTER('MATCH CALCS'!$AT$3:$AT1000,'MATCH CALCS'!$D$3:$D1000=$A23), ""Sc"")&gt;0, ""Mixed"", ""Deep""), IF(COUNTIF(FILTER('MATCH CALC"&amp;"S'!$AT$3:$AT1000,'MATCH CALCS'!$D$3:$D1000=$A23), ""Sc"")&gt;0, ""Shallow"",""None"")),IF(COUNTIF(FILTER('MATCH CALCS'!$AT$3:$AT1000,'MATCH CALCS'!$D$3:$D1000=$A23,'MATCH CALCS'!$A$3:$A1000=$A$1), ""Dc"")&gt;0, IF(COUNTIF(FILTER('MATCH CALCS'!$AT$3:$AT1000,'MAT"&amp;"CH CALCS'!$D$3:$D1000=$A23,'MATCH CALCS'!$A$3:$A1000=$A$1), ""Sc"")&gt;0, ""Mixed"", ""Deep""), IF(COUNTIF(FILTER('MATCH CALCS'!$AT$3:$AT1000,'MATCH CALCS'!$D$3:$D1000=$A23,'MATCH CALCS'!$A$3:$A1000=$A$1), ""Sc"")&gt;0, ""Shallow"",""None""))))"),"None")</f>
        <v>None</v>
      </c>
      <c r="AB23" s="9">
        <f ca="1">IFERROR(IF($A$1="All",(COUNTIFS('MATCH CALCS'!$AT$3:$AT1000,("=Dc"),'MATCH CALCS'!$D$3:$D1000, $A23)+COUNTIFS('MATCH CALCS'!$AT$3:$AT1000,("=Sc"),'MATCH CALCS'!$D$3:$D1000, $A23))/(COUNTIFS('MATCH CALCS'!$AK$3:$AK1000,("=Dc"),'MATCH CALCS'!$D$3:$D1000, $A23)+COUNTIFS('MATCH CALCS'!$AK$3:$AK1000,("=Sc"),'MATCH CALCS'!$D$3:$D1000, $A23)),(COUNTIFS('MATCH CALCS'!$AT$3:$AT1000,("=Dc"),'MATCH CALCS'!$D$3:$D1000, $A23,'MATCH CALCS'!$A$3:$A1000,$A$1)+COUNTIFS('MATCH CALCS'!$AT$3:$AT1000,("=Sc"),'MATCH CALCS'!$D$3:$D1000, $A23,'MATCH CALCS'!$A$3:$A1000,$A$1))/(COUNTIFS('MATCH CALCS'!$AK$3:$AK1000,("=Dc"),'MATCH CALCS'!$D$3:$D1000, $A23,'MATCH CALCS'!$A$3:$A1000,$A$1)+COUNTIFS('MATCH CALCS'!$AK$3:$AK1000,("=Sc"),'MATCH CALCS'!$D$3:$D1000, $A23,'MATCH CALCS'!$A$3:$A1000,$A$1))),"-")</f>
        <v>0</v>
      </c>
      <c r="AC23" s="25">
        <f ca="1">IFERROR(IF($A$1="All",COUNTIFS('MATCH CALCS'!$AT$3:$AT1000,("=Dc"),'MATCH CALCS'!$D$3:$D1000, $A23)+COUNTIFS('MATCH CALCS'!$AT$3:$AT1000,("=Sc"),'MATCH CALCS'!$D$3:$D1000, $A23),COUNTIFS('MATCH CALCS'!$AT$3:$AT1000,("=Dc"),'MATCH CALCS'!$D$3:$D1000, $A23,'MATCH CALCS'!$A$3:$A1000, $A$1)+COUNTIFS('MATCH CALCS'!$AT$3:$AT1000,("=Sc"),'MATCH CALCS'!$D$3:$D1000, $A23,'MATCH CALCS'!$A$3:$A1000, $A$1)),"-")</f>
        <v>0</v>
      </c>
    </row>
    <row r="24" spans="1:29" ht="12.75">
      <c r="A24" s="30">
        <f ca="1">IFERROR(__xludf.DUMMYFUNCTION("""COMPUTED_VALUE"""),3082)</f>
        <v>3082</v>
      </c>
      <c r="B24" s="6" t="str">
        <f ca="1">IFERROR(__xludf.DUMMYFUNCTION("""COMPUTED_VALUE"""),"Chicken Bot Pie")</f>
        <v>Chicken Bot Pie</v>
      </c>
      <c r="C24" s="30" t="str">
        <f ca="1">IFERROR(__xludf.DUMMYFUNCTION("FILTER('TEAM RANKING'!$A:$A,'TEAM RANKING'!$K:$K=$A24)"),"#N/A")</f>
        <v>#N/A</v>
      </c>
      <c r="D24" s="15"/>
      <c r="E24" s="110">
        <f ca="1">IFERROR((IF($A$1="All", COUNTIF('MATCH CALCS'!$D:$D,$A24), (COUNTIFS('MATCH CALCS'!D:D, $A24, 'MATCH CALCS'!$A:$A,$A$1)))),"-")</f>
        <v>4</v>
      </c>
      <c r="F24" s="111">
        <f ca="1">IFERROR(IF($A$1="All",SUMIF('MATCH CALCS'!$D:$D,$A24,'MATCH CALCS'!$AW:$AW)/$E24,(SUMIFS('MATCH CALCS'!$AW:$AW, 'MATCH CALCS'!$D:$D, $A24, 'MATCH CALCS'!$A:$A, $A$1)/$E24)),"-")</f>
        <v>0.5</v>
      </c>
      <c r="G24" s="112">
        <f ca="1">IFERROR(IF($A$1="All",SUMIF('MATCH CALCS'!$D:$D,$A24,'MATCH CALCS'!O:O)/$E24,(SUMIFS('MATCH CALCS'!O:O, 'MATCH CALCS'!$D:$D, $A24, 'MATCH CALCS'!$A:$A, $A$1)/$E24)),"-")</f>
        <v>0</v>
      </c>
      <c r="H24" s="112">
        <f ca="1">IFERROR(IF($A$1="All",SUMIF('MATCH CALCS'!$D:$D,$A24,'MATCH CALCS'!N:N)/$E24,(SUMIFS('MATCH CALCS'!N:N, 'MATCH CALCS'!$D:$D, $A24, 'MATCH CALCS'!$A:$A, $A$1)/$E24)),"-")</f>
        <v>0</v>
      </c>
      <c r="I24" s="112">
        <f ca="1">IFERROR(IF($A$1="All",SUMIF('MATCH CALCS'!$D:$D,$A24,'MATCH CALCS'!M:M)/$E24,(SUMIFS('MATCH CALCS'!M:M, 'MATCH CALCS'!$D:$D, $A24, 'MATCH CALCS'!$A:$A, $A$1)/$E24)),"-")</f>
        <v>0</v>
      </c>
      <c r="J24" s="112">
        <f ca="1">IFERROR(IF($A$1="All",SUMIF('MATCH CALCS'!$D:$D,$A24,'MATCH CALCS'!L:L)/$E24,(SUMIFS('MATCH CALCS'!L:L, 'MATCH CALCS'!$D:$D, $A24, 'MATCH CALCS'!$A:$A, $A$1)/$E24)),"-")</f>
        <v>1.25</v>
      </c>
      <c r="K24" s="112">
        <f t="shared" ca="1" si="0"/>
        <v>1.25</v>
      </c>
      <c r="L24" s="13">
        <f ca="1">IF($A$1="All",AVERAGEIF('MATCH CALCS'!$D$3:$D1000,$A24,'MATCH CALCS'!$AZ$3:$AZ1000),AVERAGEIFS('MATCH CALCS'!$AZ$3:$AZ1000,'MATCH CALCS'!$D$3:$D1000,$A24,'MATCH CALCS'!$A$3:$A1000,$A$1))</f>
        <v>0.45833333333333331</v>
      </c>
      <c r="M24" s="112">
        <f ca="1">IF($A$1="All",AVERAGEIF('MATCH CALCS'!$D:$D,$A24,'MATCH CALCS'!R:R),(SUMIFS('MATCH CALCS'!R$3:R1000, 'MATCH CALCS'!$D$3:$D1000, $A24, 'MATCH CALCS'!A$3:A1000, $A$1)/$E24))</f>
        <v>0</v>
      </c>
      <c r="N24" s="112">
        <f ca="1">IFERROR(IF($A$1="All",SUMIF('MATCH CALCS'!$D:$D,$A24,'MATCH CALCS'!S:S)/$E24,(SUMIFS('MATCH CALCS'!S:S, 'MATCH CALCS'!$D:$D, $A24, 'MATCH CALCS'!A:A, $A$1)/$E24)),"-")</f>
        <v>0</v>
      </c>
      <c r="O24" s="113" t="e">
        <f ca="1">IF($A$1="All",AVERAGEIF('MATCH CALCS'!$D$3:$D1000,$A24,'MATCH CALCS'!$BC$3:$BC1000),AVERAGEIFS('MATCH CALCS'!$BC$3:$BC1000,'MATCH CALCS'!$D$3:$D1000,$A24,'MATCH CALCS'!$A$3:$A1000,$A$1))</f>
        <v>#DIV/0!</v>
      </c>
      <c r="P24" s="112">
        <f ca="1">IFERROR(IF($A$1="All",SUMIF('MATCH CALCS'!$D:$D,$A24,'MATCH CALCS'!AH:AH)/$E24,(SUMIFS('MATCH CALCS'!AH:AH, 'MATCH CALCS'!$D:$D, $A24, 'MATCH CALCS'!$A:$A, $A$1)/$E24)),"-")</f>
        <v>0.25</v>
      </c>
      <c r="Q24" s="112">
        <f ca="1">IFERROR(IF($A$1="All",SUMIF('MATCH CALCS'!$D:$D,$A24,'MATCH CALCS'!AG:AG)/$E24,(SUMIFS('MATCH CALCS'!AG:AG, 'MATCH CALCS'!$D:$D, $A24, 'MATCH CALCS'!$A:$A, $A$1)/$E24)),"-")</f>
        <v>0.75</v>
      </c>
      <c r="R24" s="112">
        <f ca="1">IFERROR(IF($A$1="All",SUMIF('MATCH CALCS'!$D:$D,$A24,'MATCH CALCS'!AF:AF)/$E24,(SUMIFS('MATCH CALCS'!AF:AF, 'MATCH CALCS'!$D:$D, $A24, 'MATCH CALCS'!$A:$A, $A$1)/$E24)),"-")</f>
        <v>1</v>
      </c>
      <c r="S24" s="112">
        <f ca="1">IFERROR(IF($A$1="All",SUMIF('MATCH CALCS'!$D:$D,$A24,'MATCH CALCS'!$AE:$AE)/$E24,(SUMIFS('MATCH CALCS'!$AE:$AE, 'MATCH CALCS'!$D:$D, $A24, 'MATCH CALCS'!$A:$A, $A$1)/$E24)),"-")</f>
        <v>3.75</v>
      </c>
      <c r="T24" s="112">
        <f t="shared" ca="1" si="1"/>
        <v>5.75</v>
      </c>
      <c r="U24" s="13">
        <f ca="1">IF($A$1="All",AVERAGEIF('MATCH CALCS'!$D$3:$D1000,$A24,'MATCH CALCS'!$BI$3:$BI1000),AVERAGEIFS('MATCH CALCS'!$BI$3:$BI1000,'MATCH CALCS'!$D$3:$D1000,$A24,'MATCH CALCS'!$A$3:$A1000,$A$1))</f>
        <v>0.80439560439560442</v>
      </c>
      <c r="V24" s="112">
        <f ca="1">IFERROR(IF($A$1="All",SUMIF('MATCH CALCS'!$D:$D,$A24,'MATCH CALCS'!W:W)/$E24,(SUMIFS('MATCH CALCS'!W:W, 'MATCH CALCS'!$D:$D, $A24, 'MATCH CALCS'!$A:$A, $A$1)/$E24)),"-")</f>
        <v>0</v>
      </c>
      <c r="W24" s="112">
        <f ca="1">IFERROR(IF($A$1="All",SUMIF('MATCH CALCS'!$D:$D,$A24,'MATCH CALCS'!X:X)/$E24,(SUMIFS('MATCH CALCS'!X:X, 'MATCH CALCS'!$D:$D, $A24, 'MATCH CALCS'!$A:$A, $A$1)/$E24)),"-")</f>
        <v>0</v>
      </c>
      <c r="X24" s="114" t="e">
        <f ca="1">IF($A$1="All",AVERAGEIF('MATCH CALCS'!$D$3:$D1000,$A24,'MATCH CALCS'!$BF$3:$BF1000),AVERAGEIFS('MATCH CALCS'!$BF$3:$BF1000,'MATCH CALCS'!$D$3:$D1000, $A24, 'MATCH CALCS'!$A$3:$A1000, $A$1))</f>
        <v>#DIV/0!</v>
      </c>
      <c r="Y24" s="115">
        <f ca="1">IF($A$1="All",SUMIF('MATCH CALCS'!$D$3:$D1000,$A24,'MATCH CALCS'!$BJ$3:$BJ1000),SUMIFS('MATCH CALCS'!$BJ$3:$BJ1000,'MATCH CALCS'!$D$3:$D1000, $A24, 'MATCH CALCS'!$A$3:$A1000, $A$1))</f>
        <v>3</v>
      </c>
      <c r="Z24" s="116" t="str">
        <f ca="1">IFERROR(__xludf.DUMMYFUNCTION("IFERROR(IF($A$1=""All"",AVERAGE(FILTER('MATCH CALCS'!$BR$3:$BR1000, 'MATCH CALCS'!$D$3:$D1000=$A24)),AVERAGE(FILTER('MATCH CALCS'!$BR$3:$BR1000, 'MATCH CALCS'!$D$3:$D1000=$A24,'MATCH CALCS'!$A$3:$A1000=$A$1))),""No Data"")"),"No Data")</f>
        <v>No Data</v>
      </c>
      <c r="AA24" s="117" t="str">
        <f ca="1">IFERROR(__xludf.DUMMYFUNCTION("IFERROR(IF($A$1=""All"",IF(COUNTIF(FILTER('MATCH CALCS'!$AT$3:$AT1000,'MATCH CALCS'!$D$3:$D1000=$A24), ""Dc"")&gt;0, IF(COUNTIF(FILTER('MATCH CALCS'!$AT$3:$AT1000,'MATCH CALCS'!$D$3:$D1000=$A24), ""Sc"")&gt;0, ""Mixed"", ""Deep""), IF(COUNTIF(FILTER('MATCH CALC"&amp;"S'!$AT$3:$AT1000,'MATCH CALCS'!$D$3:$D1000=$A24), ""Sc"")&gt;0, ""Shallow"",""None"")),IF(COUNTIF(FILTER('MATCH CALCS'!$AT$3:$AT1000,'MATCH CALCS'!$D$3:$D1000=$A24,'MATCH CALCS'!$A$3:$A1000=$A$1), ""Dc"")&gt;0, IF(COUNTIF(FILTER('MATCH CALCS'!$AT$3:$AT1000,'MAT"&amp;"CH CALCS'!$D$3:$D1000=$A24,'MATCH CALCS'!$A$3:$A1000=$A$1), ""Sc"")&gt;0, ""Mixed"", ""Deep""), IF(COUNTIF(FILTER('MATCH CALCS'!$AT$3:$AT1000,'MATCH CALCS'!$D$3:$D1000=$A24,'MATCH CALCS'!$A$3:$A1000=$A$1), ""Sc"")&gt;0, ""Shallow"",""None""))))"),"Shallow")</f>
        <v>Shallow</v>
      </c>
      <c r="AB24" s="9" t="str">
        <f ca="1">IFERROR(IF($A$1="All",(COUNTIFS('MATCH CALCS'!$AT$3:$AT1000,("=Dc"),'MATCH CALCS'!$D$3:$D1000, $A24)+COUNTIFS('MATCH CALCS'!$AT$3:$AT1000,("=Sc"),'MATCH CALCS'!$D$3:$D1000, $A24))/(COUNTIFS('MATCH CALCS'!$AK$3:$AK1000,("=Dc"),'MATCH CALCS'!$D$3:$D1000, $A24)+COUNTIFS('MATCH CALCS'!$AK$3:$AK1000,("=Sc"),'MATCH CALCS'!$D$3:$D1000, $A24)),(COUNTIFS('MATCH CALCS'!$AT$3:$AT1000,("=Dc"),'MATCH CALCS'!$D$3:$D1000, $A24,'MATCH CALCS'!$A$3:$A1000,$A$1)+COUNTIFS('MATCH CALCS'!$AT$3:$AT1000,("=Sc"),'MATCH CALCS'!$D$3:$D1000, $A24,'MATCH CALCS'!$A$3:$A1000,$A$1))/(COUNTIFS('MATCH CALCS'!$AK$3:$AK1000,("=Dc"),'MATCH CALCS'!$D$3:$D1000, $A24,'MATCH CALCS'!$A$3:$A1000,$A$1)+COUNTIFS('MATCH CALCS'!$AK$3:$AK1000,("=Sc"),'MATCH CALCS'!$D$3:$D1000, $A24,'MATCH CALCS'!$A$3:$A1000,$A$1))),"-")</f>
        <v>-</v>
      </c>
      <c r="AC24" s="25">
        <f ca="1">IFERROR(IF($A$1="All",COUNTIFS('MATCH CALCS'!$AT$3:$AT1000,("=Dc"),'MATCH CALCS'!$D$3:$D1000, $A24)+COUNTIFS('MATCH CALCS'!$AT$3:$AT1000,("=Sc"),'MATCH CALCS'!$D$3:$D1000, $A24),COUNTIFS('MATCH CALCS'!$AT$3:$AT1000,("=Dc"),'MATCH CALCS'!$D$3:$D1000, $A24,'MATCH CALCS'!$A$3:$A1000, $A$1)+COUNTIFS('MATCH CALCS'!$AT$3:$AT1000,("=Sc"),'MATCH CALCS'!$D$3:$D1000, $A24,'MATCH CALCS'!$A$3:$A1000, $A$1)),"-")</f>
        <v>1</v>
      </c>
    </row>
    <row r="25" spans="1:29" ht="12.75">
      <c r="A25" s="30">
        <f ca="1">IFERROR(__xludf.DUMMYFUNCTION("""COMPUTED_VALUE"""),3297)</f>
        <v>3297</v>
      </c>
      <c r="B25" s="6" t="str">
        <f ca="1">IFERROR(__xludf.DUMMYFUNCTION("""COMPUTED_VALUE"""),"Full Metal Jackets")</f>
        <v>Full Metal Jackets</v>
      </c>
      <c r="C25" s="30" t="str">
        <f ca="1">IFERROR(__xludf.DUMMYFUNCTION("FILTER('TEAM RANKING'!$A:$A,'TEAM RANKING'!$K:$K=$A25)"),"#N/A")</f>
        <v>#N/A</v>
      </c>
      <c r="D25" s="15"/>
      <c r="E25" s="110">
        <f ca="1">IFERROR((IF($A$1="All", COUNTIF('MATCH CALCS'!$D:$D,$A25), (COUNTIFS('MATCH CALCS'!D:D, $A25, 'MATCH CALCS'!$A:$A,$A$1)))),"-")</f>
        <v>4</v>
      </c>
      <c r="F25" s="111">
        <f ca="1">IFERROR(IF($A$1="All",SUMIF('MATCH CALCS'!$D:$D,$A25,'MATCH CALCS'!$AW:$AW)/$E25,(SUMIFS('MATCH CALCS'!$AW:$AW, 'MATCH CALCS'!$D:$D, $A25, 'MATCH CALCS'!$A:$A, $A$1)/$E25)),"-")</f>
        <v>0.75</v>
      </c>
      <c r="G25" s="112">
        <f ca="1">IFERROR(IF($A$1="All",SUMIF('MATCH CALCS'!$D:$D,$A25,'MATCH CALCS'!O:O)/$E25,(SUMIFS('MATCH CALCS'!O:O, 'MATCH CALCS'!$D:$D, $A25, 'MATCH CALCS'!$A:$A, $A$1)/$E25)),"-")</f>
        <v>0</v>
      </c>
      <c r="H25" s="112">
        <f ca="1">IFERROR(IF($A$1="All",SUMIF('MATCH CALCS'!$D:$D,$A25,'MATCH CALCS'!N:N)/$E25,(SUMIFS('MATCH CALCS'!N:N, 'MATCH CALCS'!$D:$D, $A25, 'MATCH CALCS'!$A:$A, $A$1)/$E25)),"-")</f>
        <v>0</v>
      </c>
      <c r="I25" s="112">
        <f ca="1">IFERROR(IF($A$1="All",SUMIF('MATCH CALCS'!$D:$D,$A25,'MATCH CALCS'!M:M)/$E25,(SUMIFS('MATCH CALCS'!M:M, 'MATCH CALCS'!$D:$D, $A25, 'MATCH CALCS'!$A:$A, $A$1)/$E25)),"-")</f>
        <v>0</v>
      </c>
      <c r="J25" s="112">
        <f ca="1">IFERROR(IF($A$1="All",SUMIF('MATCH CALCS'!$D:$D,$A25,'MATCH CALCS'!L:L)/$E25,(SUMIFS('MATCH CALCS'!L:L, 'MATCH CALCS'!$D:$D, $A25, 'MATCH CALCS'!$A:$A, $A$1)/$E25)),"-")</f>
        <v>1.25</v>
      </c>
      <c r="K25" s="112">
        <f t="shared" ca="1" si="0"/>
        <v>1.25</v>
      </c>
      <c r="L25" s="13">
        <f ca="1">IF($A$1="All",AVERAGEIF('MATCH CALCS'!$D$3:$D1000,$A25,'MATCH CALCS'!$AZ$3:$AZ1000),AVERAGEIFS('MATCH CALCS'!$AZ$3:$AZ1000,'MATCH CALCS'!$D$3:$D1000,$A25,'MATCH CALCS'!$A$3:$A1000,$A$1))</f>
        <v>0.875</v>
      </c>
      <c r="M25" s="112">
        <f ca="1">IF($A$1="All",AVERAGEIF('MATCH CALCS'!$D:$D,$A25,'MATCH CALCS'!R:R),(SUMIFS('MATCH CALCS'!R$3:R1000, 'MATCH CALCS'!$D$3:$D1000, $A25, 'MATCH CALCS'!A$3:A1000, $A$1)/$E25))</f>
        <v>0</v>
      </c>
      <c r="N25" s="112">
        <f ca="1">IFERROR(IF($A$1="All",SUMIF('MATCH CALCS'!$D:$D,$A25,'MATCH CALCS'!S:S)/$E25,(SUMIFS('MATCH CALCS'!S:S, 'MATCH CALCS'!$D:$D, $A25, 'MATCH CALCS'!A:A, $A$1)/$E25)),"-")</f>
        <v>0</v>
      </c>
      <c r="O25" s="113" t="e">
        <f ca="1">IF($A$1="All",AVERAGEIF('MATCH CALCS'!$D$3:$D1000,$A25,'MATCH CALCS'!$BC$3:$BC1000),AVERAGEIFS('MATCH CALCS'!$BC$3:$BC1000,'MATCH CALCS'!$D$3:$D1000,$A25,'MATCH CALCS'!$A$3:$A1000,$A$1))</f>
        <v>#DIV/0!</v>
      </c>
      <c r="P25" s="112">
        <f ca="1">IFERROR(IF($A$1="All",SUMIF('MATCH CALCS'!$D:$D,$A25,'MATCH CALCS'!AH:AH)/$E25,(SUMIFS('MATCH CALCS'!AH:AH, 'MATCH CALCS'!$D:$D, $A25, 'MATCH CALCS'!$A:$A, $A$1)/$E25)),"-")</f>
        <v>0.5</v>
      </c>
      <c r="Q25" s="112">
        <f ca="1">IFERROR(IF($A$1="All",SUMIF('MATCH CALCS'!$D:$D,$A25,'MATCH CALCS'!AG:AG)/$E25,(SUMIFS('MATCH CALCS'!AG:AG, 'MATCH CALCS'!$D:$D, $A25, 'MATCH CALCS'!$A:$A, $A$1)/$E25)),"-")</f>
        <v>0.25</v>
      </c>
      <c r="R25" s="112">
        <f ca="1">IFERROR(IF($A$1="All",SUMIF('MATCH CALCS'!$D:$D,$A25,'MATCH CALCS'!AF:AF)/$E25,(SUMIFS('MATCH CALCS'!AF:AF, 'MATCH CALCS'!$D:$D, $A25, 'MATCH CALCS'!$A:$A, $A$1)/$E25)),"-")</f>
        <v>0</v>
      </c>
      <c r="S25" s="112">
        <f ca="1">IFERROR(IF($A$1="All",SUMIF('MATCH CALCS'!$D:$D,$A25,'MATCH CALCS'!$AE:$AE)/$E25,(SUMIFS('MATCH CALCS'!$AE:$AE, 'MATCH CALCS'!$D:$D, $A25, 'MATCH CALCS'!$A:$A, $A$1)/$E25)),"-")</f>
        <v>3.25</v>
      </c>
      <c r="T25" s="112">
        <f t="shared" ca="1" si="1"/>
        <v>4</v>
      </c>
      <c r="U25" s="13">
        <f ca="1">IF($A$1="All",AVERAGEIF('MATCH CALCS'!$D$3:$D1000,$A25,'MATCH CALCS'!$BI$3:$BI1000),AVERAGEIFS('MATCH CALCS'!$BI$3:$BI1000,'MATCH CALCS'!$D$3:$D1000,$A25,'MATCH CALCS'!$A$3:$A1000,$A$1))</f>
        <v>0.79464285714285721</v>
      </c>
      <c r="V25" s="112">
        <f ca="1">IFERROR(IF($A$1="All",SUMIF('MATCH CALCS'!$D:$D,$A25,'MATCH CALCS'!W:W)/$E25,(SUMIFS('MATCH CALCS'!W:W, 'MATCH CALCS'!$D:$D, $A25, 'MATCH CALCS'!$A:$A, $A$1)/$E25)),"-")</f>
        <v>0.25</v>
      </c>
      <c r="W25" s="112">
        <f ca="1">IFERROR(IF($A$1="All",SUMIF('MATCH CALCS'!$D:$D,$A25,'MATCH CALCS'!X:X)/$E25,(SUMIFS('MATCH CALCS'!X:X, 'MATCH CALCS'!$D:$D, $A25, 'MATCH CALCS'!$A:$A, $A$1)/$E25)),"-")</f>
        <v>1</v>
      </c>
      <c r="X25" s="114">
        <f ca="1">IF($A$1="All",AVERAGEIF('MATCH CALCS'!$D$3:$D1000,$A25,'MATCH CALCS'!$BF$3:$BF1000),AVERAGEIFS('MATCH CALCS'!$BF$3:$BF1000,'MATCH CALCS'!$D$3:$D1000, $A25, 'MATCH CALCS'!$A$3:$A1000, $A$1))</f>
        <v>0.72222222222222221</v>
      </c>
      <c r="Y25" s="115">
        <f ca="1">IF($A$1="All",SUMIF('MATCH CALCS'!$D$3:$D1000,$A25,'MATCH CALCS'!$BJ$3:$BJ1000),SUMIFS('MATCH CALCS'!$BJ$3:$BJ1000,'MATCH CALCS'!$D$3:$D1000, $A25, 'MATCH CALCS'!$A$3:$A1000, $A$1))</f>
        <v>0</v>
      </c>
      <c r="Z25" s="116" t="str">
        <f ca="1">IFERROR(__xludf.DUMMYFUNCTION("IFERROR(IF($A$1=""All"",AVERAGE(FILTER('MATCH CALCS'!$BR$3:$BR1000, 'MATCH CALCS'!$D$3:$D1000=$A25)),AVERAGE(FILTER('MATCH CALCS'!$BR$3:$BR1000, 'MATCH CALCS'!$D$3:$D1000=$A25,'MATCH CALCS'!$A$3:$A1000=$A$1))),""No Data"")"),"No Data")</f>
        <v>No Data</v>
      </c>
      <c r="AA25" s="117" t="str">
        <f ca="1">IFERROR(__xludf.DUMMYFUNCTION("IFERROR(IF($A$1=""All"",IF(COUNTIF(FILTER('MATCH CALCS'!$AT$3:$AT1000,'MATCH CALCS'!$D$3:$D1000=$A25), ""Dc"")&gt;0, IF(COUNTIF(FILTER('MATCH CALCS'!$AT$3:$AT1000,'MATCH CALCS'!$D$3:$D1000=$A25), ""Sc"")&gt;0, ""Mixed"", ""Deep""), IF(COUNTIF(FILTER('MATCH CALC"&amp;"S'!$AT$3:$AT1000,'MATCH CALCS'!$D$3:$D1000=$A25), ""Sc"")&gt;0, ""Shallow"",""None"")),IF(COUNTIF(FILTER('MATCH CALCS'!$AT$3:$AT1000,'MATCH CALCS'!$D$3:$D1000=$A25,'MATCH CALCS'!$A$3:$A1000=$A$1), ""Dc"")&gt;0, IF(COUNTIF(FILTER('MATCH CALCS'!$AT$3:$AT1000,'MAT"&amp;"CH CALCS'!$D$3:$D1000=$A25,'MATCH CALCS'!$A$3:$A1000=$A$1), ""Sc"")&gt;0, ""Mixed"", ""Deep""), IF(COUNTIF(FILTER('MATCH CALCS'!$AT$3:$AT1000,'MATCH CALCS'!$D$3:$D1000=$A25,'MATCH CALCS'!$A$3:$A1000=$A$1), ""Sc"")&gt;0, ""Shallow"",""None""))))"),"Deep")</f>
        <v>Deep</v>
      </c>
      <c r="AB25" s="9">
        <f ca="1">IFERROR(IF($A$1="All",(COUNTIFS('MATCH CALCS'!$AT$3:$AT1000,("=Dc"),'MATCH CALCS'!$D$3:$D1000, $A25)+COUNTIFS('MATCH CALCS'!$AT$3:$AT1000,("=Sc"),'MATCH CALCS'!$D$3:$D1000, $A25))/(COUNTIFS('MATCH CALCS'!$AK$3:$AK1000,("=Dc"),'MATCH CALCS'!$D$3:$D1000, $A25)+COUNTIFS('MATCH CALCS'!$AK$3:$AK1000,("=Sc"),'MATCH CALCS'!$D$3:$D1000, $A25)),(COUNTIFS('MATCH CALCS'!$AT$3:$AT1000,("=Dc"),'MATCH CALCS'!$D$3:$D1000, $A25,'MATCH CALCS'!$A$3:$A1000,$A$1)+COUNTIFS('MATCH CALCS'!$AT$3:$AT1000,("=Sc"),'MATCH CALCS'!$D$3:$D1000, $A25,'MATCH CALCS'!$A$3:$A1000,$A$1))/(COUNTIFS('MATCH CALCS'!$AK$3:$AK1000,("=Dc"),'MATCH CALCS'!$D$3:$D1000, $A25,'MATCH CALCS'!$A$3:$A1000,$A$1)+COUNTIFS('MATCH CALCS'!$AK$3:$AK1000,("=Sc"),'MATCH CALCS'!$D$3:$D1000, $A25,'MATCH CALCS'!$A$3:$A1000,$A$1))),"-")</f>
        <v>1</v>
      </c>
      <c r="AC25" s="25">
        <f ca="1">IFERROR(IF($A$1="All",COUNTIFS('MATCH CALCS'!$AT$3:$AT1000,("=Dc"),'MATCH CALCS'!$D$3:$D1000, $A25)+COUNTIFS('MATCH CALCS'!$AT$3:$AT1000,("=Sc"),'MATCH CALCS'!$D$3:$D1000, $A25),COUNTIFS('MATCH CALCS'!$AT$3:$AT1000,("=Dc"),'MATCH CALCS'!$D$3:$D1000, $A25,'MATCH CALCS'!$A$3:$A1000, $A$1)+COUNTIFS('MATCH CALCS'!$AT$3:$AT1000,("=Sc"),'MATCH CALCS'!$D$3:$D1000, $A25,'MATCH CALCS'!$A$3:$A1000, $A$1)),"-")</f>
        <v>1</v>
      </c>
    </row>
    <row r="26" spans="1:29" ht="12.75">
      <c r="A26" s="30">
        <f ca="1">IFERROR(__xludf.DUMMYFUNCTION("""COMPUTED_VALUE"""),3454)</f>
        <v>3454</v>
      </c>
      <c r="B26" s="6" t="str">
        <f ca="1">IFERROR(__xludf.DUMMYFUNCTION("""COMPUTED_VALUE"""),"Z Bots")</f>
        <v>Z Bots</v>
      </c>
      <c r="C26" s="30" t="str">
        <f ca="1">IFERROR(__xludf.DUMMYFUNCTION("FILTER('TEAM RANKING'!$A:$A,'TEAM RANKING'!$K:$K=$A26)"),"#N/A")</f>
        <v>#N/A</v>
      </c>
      <c r="D26" s="15"/>
      <c r="E26" s="110">
        <f ca="1">IFERROR((IF($A$1="All", COUNTIF('MATCH CALCS'!$D:$D,$A26), (COUNTIFS('MATCH CALCS'!D:D, $A26, 'MATCH CALCS'!$A:$A,$A$1)))),"-")</f>
        <v>3</v>
      </c>
      <c r="F26" s="111">
        <f ca="1">IFERROR(IF($A$1="All",SUMIF('MATCH CALCS'!$D:$D,$A26,'MATCH CALCS'!$AW:$AW)/$E26,(SUMIFS('MATCH CALCS'!$AW:$AW, 'MATCH CALCS'!$D:$D, $A26, 'MATCH CALCS'!$A:$A, $A$1)/$E26)),"-")</f>
        <v>1</v>
      </c>
      <c r="G26" s="112">
        <f ca="1">IFERROR(IF($A$1="All",SUMIF('MATCH CALCS'!$D:$D,$A26,'MATCH CALCS'!O:O)/$E26,(SUMIFS('MATCH CALCS'!O:O, 'MATCH CALCS'!$D:$D, $A26, 'MATCH CALCS'!$A:$A, $A$1)/$E26)),"-")</f>
        <v>0.33333333333333331</v>
      </c>
      <c r="H26" s="112">
        <f ca="1">IFERROR(IF($A$1="All",SUMIF('MATCH CALCS'!$D:$D,$A26,'MATCH CALCS'!N:N)/$E26,(SUMIFS('MATCH CALCS'!N:N, 'MATCH CALCS'!$D:$D, $A26, 'MATCH CALCS'!$A:$A, $A$1)/$E26)),"-")</f>
        <v>0</v>
      </c>
      <c r="I26" s="112">
        <f ca="1">IFERROR(IF($A$1="All",SUMIF('MATCH CALCS'!$D:$D,$A26,'MATCH CALCS'!M:M)/$E26,(SUMIFS('MATCH CALCS'!M:M, 'MATCH CALCS'!$D:$D, $A26, 'MATCH CALCS'!$A:$A, $A$1)/$E26)),"-")</f>
        <v>0</v>
      </c>
      <c r="J26" s="112">
        <f ca="1">IFERROR(IF($A$1="All",SUMIF('MATCH CALCS'!$D:$D,$A26,'MATCH CALCS'!L:L)/$E26,(SUMIFS('MATCH CALCS'!L:L, 'MATCH CALCS'!$D:$D, $A26, 'MATCH CALCS'!$A:$A, $A$1)/$E26)),"-")</f>
        <v>0</v>
      </c>
      <c r="K26" s="112">
        <f t="shared" ca="1" si="0"/>
        <v>0.33333333333333331</v>
      </c>
      <c r="L26" s="13">
        <f ca="1">IF($A$1="All",AVERAGEIF('MATCH CALCS'!$D$3:$D1000,$A26,'MATCH CALCS'!$AZ$3:$AZ1000),AVERAGEIFS('MATCH CALCS'!$AZ$3:$AZ1000,'MATCH CALCS'!$D$3:$D1000,$A26,'MATCH CALCS'!$A$3:$A1000,$A$1))</f>
        <v>1</v>
      </c>
      <c r="M26" s="112">
        <f ca="1">IF($A$1="All",AVERAGEIF('MATCH CALCS'!$D:$D,$A26,'MATCH CALCS'!R:R),(SUMIFS('MATCH CALCS'!R$3:R1000, 'MATCH CALCS'!$D$3:$D1000, $A26, 'MATCH CALCS'!A$3:A1000, $A$1)/$E26))</f>
        <v>0</v>
      </c>
      <c r="N26" s="112">
        <f ca="1">IFERROR(IF($A$1="All",SUMIF('MATCH CALCS'!$D:$D,$A26,'MATCH CALCS'!S:S)/$E26,(SUMIFS('MATCH CALCS'!S:S, 'MATCH CALCS'!$D:$D, $A26, 'MATCH CALCS'!A:A, $A$1)/$E26)),"-")</f>
        <v>0</v>
      </c>
      <c r="O26" s="113" t="e">
        <f ca="1">IF($A$1="All",AVERAGEIF('MATCH CALCS'!$D$3:$D1000,$A26,'MATCH CALCS'!$BC$3:$BC1000),AVERAGEIFS('MATCH CALCS'!$BC$3:$BC1000,'MATCH CALCS'!$D$3:$D1000,$A26,'MATCH CALCS'!$A$3:$A1000,$A$1))</f>
        <v>#DIV/0!</v>
      </c>
      <c r="P26" s="112">
        <f ca="1">IFERROR(IF($A$1="All",SUMIF('MATCH CALCS'!$D:$D,$A26,'MATCH CALCS'!AH:AH)/$E26,(SUMIFS('MATCH CALCS'!AH:AH, 'MATCH CALCS'!$D:$D, $A26, 'MATCH CALCS'!$A:$A, $A$1)/$E26)),"-")</f>
        <v>0.66666666666666663</v>
      </c>
      <c r="Q26" s="112">
        <f ca="1">IFERROR(IF($A$1="All",SUMIF('MATCH CALCS'!$D:$D,$A26,'MATCH CALCS'!AG:AG)/$E26,(SUMIFS('MATCH CALCS'!AG:AG, 'MATCH CALCS'!$D:$D, $A26, 'MATCH CALCS'!$A:$A, $A$1)/$E26)),"-")</f>
        <v>0</v>
      </c>
      <c r="R26" s="112">
        <f ca="1">IFERROR(IF($A$1="All",SUMIF('MATCH CALCS'!$D:$D,$A26,'MATCH CALCS'!AF:AF)/$E26,(SUMIFS('MATCH CALCS'!AF:AF, 'MATCH CALCS'!$D:$D, $A26, 'MATCH CALCS'!$A:$A, $A$1)/$E26)),"-")</f>
        <v>0</v>
      </c>
      <c r="S26" s="112">
        <f ca="1">IFERROR(IF($A$1="All",SUMIF('MATCH CALCS'!$D:$D,$A26,'MATCH CALCS'!$AE:$AE)/$E26,(SUMIFS('MATCH CALCS'!$AE:$AE, 'MATCH CALCS'!$D:$D, $A26, 'MATCH CALCS'!$A:$A, $A$1)/$E26)),"-")</f>
        <v>0.66666666666666663</v>
      </c>
      <c r="T26" s="112">
        <f t="shared" ca="1" si="1"/>
        <v>1.3333333333333333</v>
      </c>
      <c r="U26" s="13">
        <f ca="1">IF($A$1="All",AVERAGEIF('MATCH CALCS'!$D$3:$D1000,$A26,'MATCH CALCS'!$BI$3:$BI1000),AVERAGEIFS('MATCH CALCS'!$BI$3:$BI1000,'MATCH CALCS'!$D$3:$D1000,$A26,'MATCH CALCS'!$A$3:$A1000,$A$1))</f>
        <v>0.61111111111111105</v>
      </c>
      <c r="V26" s="112">
        <f ca="1">IFERROR(IF($A$1="All",SUMIF('MATCH CALCS'!$D:$D,$A26,'MATCH CALCS'!W:W)/$E26,(SUMIFS('MATCH CALCS'!W:W, 'MATCH CALCS'!$D:$D, $A26, 'MATCH CALCS'!$A:$A, $A$1)/$E26)),"-")</f>
        <v>0.33333333333333331</v>
      </c>
      <c r="W26" s="112">
        <f ca="1">IFERROR(IF($A$1="All",SUMIF('MATCH CALCS'!$D:$D,$A26,'MATCH CALCS'!X:X)/$E26,(SUMIFS('MATCH CALCS'!X:X, 'MATCH CALCS'!$D:$D, $A26, 'MATCH CALCS'!$A:$A, $A$1)/$E26)),"-")</f>
        <v>0</v>
      </c>
      <c r="X26" s="114" t="e">
        <f ca="1">IF($A$1="All",AVERAGEIF('MATCH CALCS'!$D$3:$D1000,$A26,'MATCH CALCS'!$BF$3:$BF1000),AVERAGEIFS('MATCH CALCS'!$BF$3:$BF1000,'MATCH CALCS'!$D$3:$D1000, $A26, 'MATCH CALCS'!$A$3:$A1000, $A$1))</f>
        <v>#DIV/0!</v>
      </c>
      <c r="Y26" s="115">
        <f ca="1">IF($A$1="All",SUMIF('MATCH CALCS'!$D$3:$D1000,$A26,'MATCH CALCS'!$BJ$3:$BJ1000),SUMIFS('MATCH CALCS'!$BJ$3:$BJ1000,'MATCH CALCS'!$D$3:$D1000, $A26, 'MATCH CALCS'!$A$3:$A1000, $A$1))</f>
        <v>0</v>
      </c>
      <c r="Z26" s="116" t="str">
        <f ca="1">IFERROR(__xludf.DUMMYFUNCTION("IFERROR(IF($A$1=""All"",AVERAGE(FILTER('MATCH CALCS'!$BR$3:$BR1000, 'MATCH CALCS'!$D$3:$D1000=$A26)),AVERAGE(FILTER('MATCH CALCS'!$BR$3:$BR1000, 'MATCH CALCS'!$D$3:$D1000=$A26,'MATCH CALCS'!$A$3:$A1000=$A$1))),""No Data"")"),"No Data")</f>
        <v>No Data</v>
      </c>
      <c r="AA26" s="117" t="str">
        <f ca="1">IFERROR(__xludf.DUMMYFUNCTION("IFERROR(IF($A$1=""All"",IF(COUNTIF(FILTER('MATCH CALCS'!$AT$3:$AT1000,'MATCH CALCS'!$D$3:$D1000=$A26), ""Dc"")&gt;0, IF(COUNTIF(FILTER('MATCH CALCS'!$AT$3:$AT1000,'MATCH CALCS'!$D$3:$D1000=$A26), ""Sc"")&gt;0, ""Mixed"", ""Deep""), IF(COUNTIF(FILTER('MATCH CALC"&amp;"S'!$AT$3:$AT1000,'MATCH CALCS'!$D$3:$D1000=$A26), ""Sc"")&gt;0, ""Shallow"",""None"")),IF(COUNTIF(FILTER('MATCH CALCS'!$AT$3:$AT1000,'MATCH CALCS'!$D$3:$D1000=$A26,'MATCH CALCS'!$A$3:$A1000=$A$1), ""Dc"")&gt;0, IF(COUNTIF(FILTER('MATCH CALCS'!$AT$3:$AT1000,'MAT"&amp;"CH CALCS'!$D$3:$D1000=$A26,'MATCH CALCS'!$A$3:$A1000=$A$1), ""Sc"")&gt;0, ""Mixed"", ""Deep""), IF(COUNTIF(FILTER('MATCH CALCS'!$AT$3:$AT1000,'MATCH CALCS'!$D$3:$D1000=$A26,'MATCH CALCS'!$A$3:$A1000=$A$1), ""Sc"")&gt;0, ""Shallow"",""None""))))"),"None")</f>
        <v>None</v>
      </c>
      <c r="AB26" s="9" t="str">
        <f ca="1">IFERROR(IF($A$1="All",(COUNTIFS('MATCH CALCS'!$AT$3:$AT1000,("=Dc"),'MATCH CALCS'!$D$3:$D1000, $A26)+COUNTIFS('MATCH CALCS'!$AT$3:$AT1000,("=Sc"),'MATCH CALCS'!$D$3:$D1000, $A26))/(COUNTIFS('MATCH CALCS'!$AK$3:$AK1000,("=Dc"),'MATCH CALCS'!$D$3:$D1000, $A26)+COUNTIFS('MATCH CALCS'!$AK$3:$AK1000,("=Sc"),'MATCH CALCS'!$D$3:$D1000, $A26)),(COUNTIFS('MATCH CALCS'!$AT$3:$AT1000,("=Dc"),'MATCH CALCS'!$D$3:$D1000, $A26,'MATCH CALCS'!$A$3:$A1000,$A$1)+COUNTIFS('MATCH CALCS'!$AT$3:$AT1000,("=Sc"),'MATCH CALCS'!$D$3:$D1000, $A26,'MATCH CALCS'!$A$3:$A1000,$A$1))/(COUNTIFS('MATCH CALCS'!$AK$3:$AK1000,("=Dc"),'MATCH CALCS'!$D$3:$D1000, $A26,'MATCH CALCS'!$A$3:$A1000,$A$1)+COUNTIFS('MATCH CALCS'!$AK$3:$AK1000,("=Sc"),'MATCH CALCS'!$D$3:$D1000, $A26,'MATCH CALCS'!$A$3:$A1000,$A$1))),"-")</f>
        <v>-</v>
      </c>
      <c r="AC26" s="25">
        <f ca="1">IFERROR(IF($A$1="All",COUNTIFS('MATCH CALCS'!$AT$3:$AT1000,("=Dc"),'MATCH CALCS'!$D$3:$D1000, $A26)+COUNTIFS('MATCH CALCS'!$AT$3:$AT1000,("=Sc"),'MATCH CALCS'!$D$3:$D1000, $A26),COUNTIFS('MATCH CALCS'!$AT$3:$AT1000,("=Dc"),'MATCH CALCS'!$D$3:$D1000, $A26,'MATCH CALCS'!$A$3:$A1000, $A$1)+COUNTIFS('MATCH CALCS'!$AT$3:$AT1000,("=Sc"),'MATCH CALCS'!$D$3:$D1000, $A26,'MATCH CALCS'!$A$3:$A1000, $A$1)),"-")</f>
        <v>0</v>
      </c>
    </row>
    <row r="27" spans="1:29" ht="12.75">
      <c r="A27" s="30">
        <f ca="1">IFERROR(__xludf.DUMMYFUNCTION("""COMPUTED_VALUE"""),3630)</f>
        <v>3630</v>
      </c>
      <c r="B27" s="6" t="str">
        <f ca="1">IFERROR(__xludf.DUMMYFUNCTION("""COMPUTED_VALUE"""),"Stampede")</f>
        <v>Stampede</v>
      </c>
      <c r="C27" s="30" t="str">
        <f ca="1">IFERROR(__xludf.DUMMYFUNCTION("FILTER('TEAM RANKING'!$A:$A,'TEAM RANKING'!$K:$K=$A27)"),"#N/A")</f>
        <v>#N/A</v>
      </c>
      <c r="D27" s="15"/>
      <c r="E27" s="110">
        <f ca="1">IFERROR((IF($A$1="All", COUNTIF('MATCH CALCS'!$D:$D,$A27), (COUNTIFS('MATCH CALCS'!D:D, $A27, 'MATCH CALCS'!$A:$A,$A$1)))),"-")</f>
        <v>2</v>
      </c>
      <c r="F27" s="111">
        <f ca="1">IFERROR(IF($A$1="All",SUMIF('MATCH CALCS'!$D:$D,$A27,'MATCH CALCS'!$AW:$AW)/$E27,(SUMIFS('MATCH CALCS'!$AW:$AW, 'MATCH CALCS'!$D:$D, $A27, 'MATCH CALCS'!$A:$A, $A$1)/$E27)),"-")</f>
        <v>1</v>
      </c>
      <c r="G27" s="112">
        <f ca="1">IFERROR(IF($A$1="All",SUMIF('MATCH CALCS'!$D:$D,$A27,'MATCH CALCS'!O:O)/$E27,(SUMIFS('MATCH CALCS'!O:O, 'MATCH CALCS'!$D:$D, $A27, 'MATCH CALCS'!$A:$A, $A$1)/$E27)),"-")</f>
        <v>0</v>
      </c>
      <c r="H27" s="112">
        <f ca="1">IFERROR(IF($A$1="All",SUMIF('MATCH CALCS'!$D:$D,$A27,'MATCH CALCS'!N:N)/$E27,(SUMIFS('MATCH CALCS'!N:N, 'MATCH CALCS'!$D:$D, $A27, 'MATCH CALCS'!$A:$A, $A$1)/$E27)),"-")</f>
        <v>0</v>
      </c>
      <c r="I27" s="112">
        <f ca="1">IFERROR(IF($A$1="All",SUMIF('MATCH CALCS'!$D:$D,$A27,'MATCH CALCS'!M:M)/$E27,(SUMIFS('MATCH CALCS'!M:M, 'MATCH CALCS'!$D:$D, $A27, 'MATCH CALCS'!$A:$A, $A$1)/$E27)),"-")</f>
        <v>0</v>
      </c>
      <c r="J27" s="112">
        <f ca="1">IFERROR(IF($A$1="All",SUMIF('MATCH CALCS'!$D:$D,$A27,'MATCH CALCS'!L:L)/$E27,(SUMIFS('MATCH CALCS'!L:L, 'MATCH CALCS'!$D:$D, $A27, 'MATCH CALCS'!$A:$A, $A$1)/$E27)),"-")</f>
        <v>0.5</v>
      </c>
      <c r="K27" s="112">
        <f t="shared" ca="1" si="0"/>
        <v>0.5</v>
      </c>
      <c r="L27" s="13">
        <f ca="1">IF($A$1="All",AVERAGEIF('MATCH CALCS'!$D$3:$D1000,$A27,'MATCH CALCS'!$AZ$3:$AZ1000),AVERAGEIFS('MATCH CALCS'!$AZ$3:$AZ1000,'MATCH CALCS'!$D$3:$D1000,$A27,'MATCH CALCS'!$A$3:$A1000,$A$1))</f>
        <v>0.5</v>
      </c>
      <c r="M27" s="112">
        <f ca="1">IF($A$1="All",AVERAGEIF('MATCH CALCS'!$D:$D,$A27,'MATCH CALCS'!R:R),(SUMIFS('MATCH CALCS'!R$3:R1000, 'MATCH CALCS'!$D$3:$D1000, $A27, 'MATCH CALCS'!A$3:A1000, $A$1)/$E27))</f>
        <v>0</v>
      </c>
      <c r="N27" s="112">
        <f ca="1">IFERROR(IF($A$1="All",SUMIF('MATCH CALCS'!$D:$D,$A27,'MATCH CALCS'!S:S)/$E27,(SUMIFS('MATCH CALCS'!S:S, 'MATCH CALCS'!$D:$D, $A27, 'MATCH CALCS'!A:A, $A$1)/$E27)),"-")</f>
        <v>0</v>
      </c>
      <c r="O27" s="113" t="e">
        <f ca="1">IF($A$1="All",AVERAGEIF('MATCH CALCS'!$D$3:$D1000,$A27,'MATCH CALCS'!$BC$3:$BC1000),AVERAGEIFS('MATCH CALCS'!$BC$3:$BC1000,'MATCH CALCS'!$D$3:$D1000,$A27,'MATCH CALCS'!$A$3:$A1000,$A$1))</f>
        <v>#DIV/0!</v>
      </c>
      <c r="P27" s="112">
        <f ca="1">IFERROR(IF($A$1="All",SUMIF('MATCH CALCS'!$D:$D,$A27,'MATCH CALCS'!AH:AH)/$E27,(SUMIFS('MATCH CALCS'!AH:AH, 'MATCH CALCS'!$D:$D, $A27, 'MATCH CALCS'!$A:$A, $A$1)/$E27)),"-")</f>
        <v>0</v>
      </c>
      <c r="Q27" s="112">
        <f ca="1">IFERROR(IF($A$1="All",SUMIF('MATCH CALCS'!$D:$D,$A27,'MATCH CALCS'!AG:AG)/$E27,(SUMIFS('MATCH CALCS'!AG:AG, 'MATCH CALCS'!$D:$D, $A27, 'MATCH CALCS'!$A:$A, $A$1)/$E27)),"-")</f>
        <v>0</v>
      </c>
      <c r="R27" s="112">
        <f ca="1">IFERROR(IF($A$1="All",SUMIF('MATCH CALCS'!$D:$D,$A27,'MATCH CALCS'!AF:AF)/$E27,(SUMIFS('MATCH CALCS'!AF:AF, 'MATCH CALCS'!$D:$D, $A27, 'MATCH CALCS'!$A:$A, $A$1)/$E27)),"-")</f>
        <v>0.5</v>
      </c>
      <c r="S27" s="112">
        <f ca="1">IFERROR(IF($A$1="All",SUMIF('MATCH CALCS'!$D:$D,$A27,'MATCH CALCS'!$AE:$AE)/$E27,(SUMIFS('MATCH CALCS'!$AE:$AE, 'MATCH CALCS'!$D:$D, $A27, 'MATCH CALCS'!$A:$A, $A$1)/$E27)),"-")</f>
        <v>4</v>
      </c>
      <c r="T27" s="112">
        <f t="shared" ca="1" si="1"/>
        <v>4.5</v>
      </c>
      <c r="U27" s="13">
        <f ca="1">IF($A$1="All",AVERAGEIF('MATCH CALCS'!$D$3:$D1000,$A27,'MATCH CALCS'!$BI$3:$BI1000),AVERAGEIFS('MATCH CALCS'!$BI$3:$BI1000,'MATCH CALCS'!$D$3:$D1000,$A27,'MATCH CALCS'!$A$3:$A1000,$A$1))</f>
        <v>0.70833333333333326</v>
      </c>
      <c r="V27" s="112">
        <f ca="1">IFERROR(IF($A$1="All",SUMIF('MATCH CALCS'!$D:$D,$A27,'MATCH CALCS'!W:W)/$E27,(SUMIFS('MATCH CALCS'!W:W, 'MATCH CALCS'!$D:$D, $A27, 'MATCH CALCS'!$A:$A, $A$1)/$E27)),"-")</f>
        <v>0</v>
      </c>
      <c r="W27" s="112">
        <f ca="1">IFERROR(IF($A$1="All",SUMIF('MATCH CALCS'!$D:$D,$A27,'MATCH CALCS'!X:X)/$E27,(SUMIFS('MATCH CALCS'!X:X, 'MATCH CALCS'!$D:$D, $A27, 'MATCH CALCS'!$A:$A, $A$1)/$E27)),"-")</f>
        <v>0</v>
      </c>
      <c r="X27" s="114" t="e">
        <f ca="1">IF($A$1="All",AVERAGEIF('MATCH CALCS'!$D$3:$D1000,$A27,'MATCH CALCS'!$BF$3:$BF1000),AVERAGEIFS('MATCH CALCS'!$BF$3:$BF1000,'MATCH CALCS'!$D$3:$D1000, $A27, 'MATCH CALCS'!$A$3:$A1000, $A$1))</f>
        <v>#DIV/0!</v>
      </c>
      <c r="Y27" s="115">
        <f ca="1">IF($A$1="All",SUMIF('MATCH CALCS'!$D$3:$D1000,$A27,'MATCH CALCS'!$BJ$3:$BJ1000),SUMIFS('MATCH CALCS'!$BJ$3:$BJ1000,'MATCH CALCS'!$D$3:$D1000, $A27, 'MATCH CALCS'!$A$3:$A1000, $A$1))</f>
        <v>0</v>
      </c>
      <c r="Z27" s="116" t="str">
        <f ca="1">IFERROR(__xludf.DUMMYFUNCTION("IFERROR(IF($A$1=""All"",AVERAGE(FILTER('MATCH CALCS'!$BR$3:$BR1000, 'MATCH CALCS'!$D$3:$D1000=$A27)),AVERAGE(FILTER('MATCH CALCS'!$BR$3:$BR1000, 'MATCH CALCS'!$D$3:$D1000=$A27,'MATCH CALCS'!$A$3:$A1000=$A$1))),""No Data"")"),"No Data")</f>
        <v>No Data</v>
      </c>
      <c r="AA27" s="117" t="str">
        <f ca="1">IFERROR(__xludf.DUMMYFUNCTION("IFERROR(IF($A$1=""All"",IF(COUNTIF(FILTER('MATCH CALCS'!$AT$3:$AT1000,'MATCH CALCS'!$D$3:$D1000=$A27), ""Dc"")&gt;0, IF(COUNTIF(FILTER('MATCH CALCS'!$AT$3:$AT1000,'MATCH CALCS'!$D$3:$D1000=$A27), ""Sc"")&gt;0, ""Mixed"", ""Deep""), IF(COUNTIF(FILTER('MATCH CALC"&amp;"S'!$AT$3:$AT1000,'MATCH CALCS'!$D$3:$D1000=$A27), ""Sc"")&gt;0, ""Shallow"",""None"")),IF(COUNTIF(FILTER('MATCH CALCS'!$AT$3:$AT1000,'MATCH CALCS'!$D$3:$D1000=$A27,'MATCH CALCS'!$A$3:$A1000=$A$1), ""Dc"")&gt;0, IF(COUNTIF(FILTER('MATCH CALCS'!$AT$3:$AT1000,'MAT"&amp;"CH CALCS'!$D$3:$D1000=$A27,'MATCH CALCS'!$A$3:$A1000=$A$1), ""Sc"")&gt;0, ""Mixed"", ""Deep""), IF(COUNTIF(FILTER('MATCH CALCS'!$AT$3:$AT1000,'MATCH CALCS'!$D$3:$D1000=$A27,'MATCH CALCS'!$A$3:$A1000=$A$1), ""Sc"")&gt;0, ""Shallow"",""None""))))"),"Deep")</f>
        <v>Deep</v>
      </c>
      <c r="AB27" s="9">
        <f ca="1">IFERROR(IF($A$1="All",(COUNTIFS('MATCH CALCS'!$AT$3:$AT1000,("=Dc"),'MATCH CALCS'!$D$3:$D1000, $A27)+COUNTIFS('MATCH CALCS'!$AT$3:$AT1000,("=Sc"),'MATCH CALCS'!$D$3:$D1000, $A27))/(COUNTIFS('MATCH CALCS'!$AK$3:$AK1000,("=Dc"),'MATCH CALCS'!$D$3:$D1000, $A27)+COUNTIFS('MATCH CALCS'!$AK$3:$AK1000,("=Sc"),'MATCH CALCS'!$D$3:$D1000, $A27)),(COUNTIFS('MATCH CALCS'!$AT$3:$AT1000,("=Dc"),'MATCH CALCS'!$D$3:$D1000, $A27,'MATCH CALCS'!$A$3:$A1000,$A$1)+COUNTIFS('MATCH CALCS'!$AT$3:$AT1000,("=Sc"),'MATCH CALCS'!$D$3:$D1000, $A27,'MATCH CALCS'!$A$3:$A1000,$A$1))/(COUNTIFS('MATCH CALCS'!$AK$3:$AK1000,("=Dc"),'MATCH CALCS'!$D$3:$D1000, $A27,'MATCH CALCS'!$A$3:$A1000,$A$1)+COUNTIFS('MATCH CALCS'!$AK$3:$AK1000,("=Sc"),'MATCH CALCS'!$D$3:$D1000, $A27,'MATCH CALCS'!$A$3:$A1000,$A$1))),"-")</f>
        <v>1</v>
      </c>
      <c r="AC27" s="25">
        <f ca="1">IFERROR(IF($A$1="All",COUNTIFS('MATCH CALCS'!$AT$3:$AT1000,("=Dc"),'MATCH CALCS'!$D$3:$D1000, $A27)+COUNTIFS('MATCH CALCS'!$AT$3:$AT1000,("=Sc"),'MATCH CALCS'!$D$3:$D1000, $A27),COUNTIFS('MATCH CALCS'!$AT$3:$AT1000,("=Dc"),'MATCH CALCS'!$D$3:$D1000, $A27,'MATCH CALCS'!$A$3:$A1000, $A$1)+COUNTIFS('MATCH CALCS'!$AT$3:$AT1000,("=Sc"),'MATCH CALCS'!$D$3:$D1000, $A27,'MATCH CALCS'!$A$3:$A1000, $A$1)),"-")</f>
        <v>2</v>
      </c>
    </row>
    <row r="28" spans="1:29" ht="12.75">
      <c r="A28" s="30">
        <f ca="1">IFERROR(__xludf.DUMMYFUNCTION("""COMPUTED_VALUE"""),3745)</f>
        <v>3745</v>
      </c>
      <c r="B28" s="6" t="str">
        <f ca="1">IFERROR(__xludf.DUMMYFUNCTION("""COMPUTED_VALUE"""),"Governors")</f>
        <v>Governors</v>
      </c>
      <c r="C28" s="30" t="str">
        <f ca="1">IFERROR(__xludf.DUMMYFUNCTION("FILTER('TEAM RANKING'!$A:$A,'TEAM RANKING'!$K:$K=$A28)"),"#N/A")</f>
        <v>#N/A</v>
      </c>
      <c r="D28" s="15"/>
      <c r="E28" s="110">
        <f ca="1">IFERROR((IF($A$1="All", COUNTIF('MATCH CALCS'!$D:$D,$A28), (COUNTIFS('MATCH CALCS'!D:D, $A28, 'MATCH CALCS'!$A:$A,$A$1)))),"-")</f>
        <v>1</v>
      </c>
      <c r="F28" s="111">
        <f ca="1">IFERROR(IF($A$1="All",SUMIF('MATCH CALCS'!$D:$D,$A28,'MATCH CALCS'!$AW:$AW)/$E28,(SUMIFS('MATCH CALCS'!$AW:$AW, 'MATCH CALCS'!$D:$D, $A28, 'MATCH CALCS'!$A:$A, $A$1)/$E28)),"-")</f>
        <v>0</v>
      </c>
      <c r="G28" s="112">
        <f ca="1">IFERROR(IF($A$1="All",SUMIF('MATCH CALCS'!$D:$D,$A28,'MATCH CALCS'!O:O)/$E28,(SUMIFS('MATCH CALCS'!O:O, 'MATCH CALCS'!$D:$D, $A28, 'MATCH CALCS'!$A:$A, $A$1)/$E28)),"-")</f>
        <v>0</v>
      </c>
      <c r="H28" s="112">
        <f ca="1">IFERROR(IF($A$1="All",SUMIF('MATCH CALCS'!$D:$D,$A28,'MATCH CALCS'!N:N)/$E28,(SUMIFS('MATCH CALCS'!N:N, 'MATCH CALCS'!$D:$D, $A28, 'MATCH CALCS'!$A:$A, $A$1)/$E28)),"-")</f>
        <v>0</v>
      </c>
      <c r="I28" s="112">
        <f ca="1">IFERROR(IF($A$1="All",SUMIF('MATCH CALCS'!$D:$D,$A28,'MATCH CALCS'!M:M)/$E28,(SUMIFS('MATCH CALCS'!M:M, 'MATCH CALCS'!$D:$D, $A28, 'MATCH CALCS'!$A:$A, $A$1)/$E28)),"-")</f>
        <v>0</v>
      </c>
      <c r="J28" s="112">
        <f ca="1">IFERROR(IF($A$1="All",SUMIF('MATCH CALCS'!$D:$D,$A28,'MATCH CALCS'!L:L)/$E28,(SUMIFS('MATCH CALCS'!L:L, 'MATCH CALCS'!$D:$D, $A28, 'MATCH CALCS'!$A:$A, $A$1)/$E28)),"-")</f>
        <v>0</v>
      </c>
      <c r="K28" s="112">
        <f t="shared" ca="1" si="0"/>
        <v>0</v>
      </c>
      <c r="L28" s="13">
        <f ca="1">IF($A$1="All",AVERAGEIF('MATCH CALCS'!$D$3:$D1000,$A28,'MATCH CALCS'!$AZ$3:$AZ1000),AVERAGEIFS('MATCH CALCS'!$AZ$3:$AZ1000,'MATCH CALCS'!$D$3:$D1000,$A28,'MATCH CALCS'!$A$3:$A1000,$A$1))</f>
        <v>0</v>
      </c>
      <c r="M28" s="112">
        <f ca="1">IF($A$1="All",AVERAGEIF('MATCH CALCS'!$D:$D,$A28,'MATCH CALCS'!R:R),(SUMIFS('MATCH CALCS'!R$3:R1000, 'MATCH CALCS'!$D$3:$D1000, $A28, 'MATCH CALCS'!A$3:A1000, $A$1)/$E28))</f>
        <v>0</v>
      </c>
      <c r="N28" s="112">
        <f ca="1">IFERROR(IF($A$1="All",SUMIF('MATCH CALCS'!$D:$D,$A28,'MATCH CALCS'!S:S)/$E28,(SUMIFS('MATCH CALCS'!S:S, 'MATCH CALCS'!$D:$D, $A28, 'MATCH CALCS'!A:A, $A$1)/$E28)),"-")</f>
        <v>0</v>
      </c>
      <c r="O28" s="113" t="e">
        <f ca="1">IF($A$1="All",AVERAGEIF('MATCH CALCS'!$D$3:$D1000,$A28,'MATCH CALCS'!$BC$3:$BC1000),AVERAGEIFS('MATCH CALCS'!$BC$3:$BC1000,'MATCH CALCS'!$D$3:$D1000,$A28,'MATCH CALCS'!$A$3:$A1000,$A$1))</f>
        <v>#DIV/0!</v>
      </c>
      <c r="P28" s="112">
        <f ca="1">IFERROR(IF($A$1="All",SUMIF('MATCH CALCS'!$D:$D,$A28,'MATCH CALCS'!AH:AH)/$E28,(SUMIFS('MATCH CALCS'!AH:AH, 'MATCH CALCS'!$D:$D, $A28, 'MATCH CALCS'!$A:$A, $A$1)/$E28)),"-")</f>
        <v>0</v>
      </c>
      <c r="Q28" s="112">
        <f ca="1">IFERROR(IF($A$1="All",SUMIF('MATCH CALCS'!$D:$D,$A28,'MATCH CALCS'!AG:AG)/$E28,(SUMIFS('MATCH CALCS'!AG:AG, 'MATCH CALCS'!$D:$D, $A28, 'MATCH CALCS'!$A:$A, $A$1)/$E28)),"-")</f>
        <v>0</v>
      </c>
      <c r="R28" s="112">
        <f ca="1">IFERROR(IF($A$1="All",SUMIF('MATCH CALCS'!$D:$D,$A28,'MATCH CALCS'!AF:AF)/$E28,(SUMIFS('MATCH CALCS'!AF:AF, 'MATCH CALCS'!$D:$D, $A28, 'MATCH CALCS'!$A:$A, $A$1)/$E28)),"-")</f>
        <v>0</v>
      </c>
      <c r="S28" s="112">
        <f ca="1">IFERROR(IF($A$1="All",SUMIF('MATCH CALCS'!$D:$D,$A28,'MATCH CALCS'!$AE:$AE)/$E28,(SUMIFS('MATCH CALCS'!$AE:$AE, 'MATCH CALCS'!$D:$D, $A28, 'MATCH CALCS'!$A:$A, $A$1)/$E28)),"-")</f>
        <v>0</v>
      </c>
      <c r="T28" s="112">
        <f t="shared" ca="1" si="1"/>
        <v>0</v>
      </c>
      <c r="U28" s="13" t="e">
        <f ca="1">IF($A$1="All",AVERAGEIF('MATCH CALCS'!$D$3:$D1000,$A28,'MATCH CALCS'!$BI$3:$BI1000),AVERAGEIFS('MATCH CALCS'!$BI$3:$BI1000,'MATCH CALCS'!$D$3:$D1000,$A28,'MATCH CALCS'!$A$3:$A1000,$A$1))</f>
        <v>#DIV/0!</v>
      </c>
      <c r="V28" s="112">
        <f ca="1">IFERROR(IF($A$1="All",SUMIF('MATCH CALCS'!$D:$D,$A28,'MATCH CALCS'!W:W)/$E28,(SUMIFS('MATCH CALCS'!W:W, 'MATCH CALCS'!$D:$D, $A28, 'MATCH CALCS'!$A:$A, $A$1)/$E28)),"-")</f>
        <v>0</v>
      </c>
      <c r="W28" s="112">
        <f ca="1">IFERROR(IF($A$1="All",SUMIF('MATCH CALCS'!$D:$D,$A28,'MATCH CALCS'!X:X)/$E28,(SUMIFS('MATCH CALCS'!X:X, 'MATCH CALCS'!$D:$D, $A28, 'MATCH CALCS'!$A:$A, $A$1)/$E28)),"-")</f>
        <v>0</v>
      </c>
      <c r="X28" s="114" t="e">
        <f ca="1">IF($A$1="All",AVERAGEIF('MATCH CALCS'!$D$3:$D1000,$A28,'MATCH CALCS'!$BF$3:$BF1000),AVERAGEIFS('MATCH CALCS'!$BF$3:$BF1000,'MATCH CALCS'!$D$3:$D1000, $A28, 'MATCH CALCS'!$A$3:$A1000, $A$1))</f>
        <v>#DIV/0!</v>
      </c>
      <c r="Y28" s="115">
        <f ca="1">IF($A$1="All",SUMIF('MATCH CALCS'!$D$3:$D1000,$A28,'MATCH CALCS'!$BJ$3:$BJ1000),SUMIFS('MATCH CALCS'!$BJ$3:$BJ1000,'MATCH CALCS'!$D$3:$D1000, $A28, 'MATCH CALCS'!$A$3:$A1000, $A$1))</f>
        <v>0</v>
      </c>
      <c r="Z28" s="116" t="str">
        <f ca="1">IFERROR(__xludf.DUMMYFUNCTION("IFERROR(IF($A$1=""All"",AVERAGE(FILTER('MATCH CALCS'!$BR$3:$BR1000, 'MATCH CALCS'!$D$3:$D1000=$A28)),AVERAGE(FILTER('MATCH CALCS'!$BR$3:$BR1000, 'MATCH CALCS'!$D$3:$D1000=$A28,'MATCH CALCS'!$A$3:$A1000=$A$1))),""No Data"")"),"No Data")</f>
        <v>No Data</v>
      </c>
      <c r="AA28" s="117" t="str">
        <f ca="1">IFERROR(__xludf.DUMMYFUNCTION("IFERROR(IF($A$1=""All"",IF(COUNTIF(FILTER('MATCH CALCS'!$AT$3:$AT1000,'MATCH CALCS'!$D$3:$D1000=$A28), ""Dc"")&gt;0, IF(COUNTIF(FILTER('MATCH CALCS'!$AT$3:$AT1000,'MATCH CALCS'!$D$3:$D1000=$A28), ""Sc"")&gt;0, ""Mixed"", ""Deep""), IF(COUNTIF(FILTER('MATCH CALC"&amp;"S'!$AT$3:$AT1000,'MATCH CALCS'!$D$3:$D1000=$A28), ""Sc"")&gt;0, ""Shallow"",""None"")),IF(COUNTIF(FILTER('MATCH CALCS'!$AT$3:$AT1000,'MATCH CALCS'!$D$3:$D1000=$A28,'MATCH CALCS'!$A$3:$A1000=$A$1), ""Dc"")&gt;0, IF(COUNTIF(FILTER('MATCH CALCS'!$AT$3:$AT1000,'MAT"&amp;"CH CALCS'!$D$3:$D1000=$A28,'MATCH CALCS'!$A$3:$A1000=$A$1), ""Sc"")&gt;0, ""Mixed"", ""Deep""), IF(COUNTIF(FILTER('MATCH CALCS'!$AT$3:$AT1000,'MATCH CALCS'!$D$3:$D1000=$A28,'MATCH CALCS'!$A$3:$A1000=$A$1), ""Sc"")&gt;0, ""Shallow"",""None""))))"),"None")</f>
        <v>None</v>
      </c>
      <c r="AB28" s="9" t="str">
        <f ca="1">IFERROR(IF($A$1="All",(COUNTIFS('MATCH CALCS'!$AT$3:$AT1000,("=Dc"),'MATCH CALCS'!$D$3:$D1000, $A28)+COUNTIFS('MATCH CALCS'!$AT$3:$AT1000,("=Sc"),'MATCH CALCS'!$D$3:$D1000, $A28))/(COUNTIFS('MATCH CALCS'!$AK$3:$AK1000,("=Dc"),'MATCH CALCS'!$D$3:$D1000, $A28)+COUNTIFS('MATCH CALCS'!$AK$3:$AK1000,("=Sc"),'MATCH CALCS'!$D$3:$D1000, $A28)),(COUNTIFS('MATCH CALCS'!$AT$3:$AT1000,("=Dc"),'MATCH CALCS'!$D$3:$D1000, $A28,'MATCH CALCS'!$A$3:$A1000,$A$1)+COUNTIFS('MATCH CALCS'!$AT$3:$AT1000,("=Sc"),'MATCH CALCS'!$D$3:$D1000, $A28,'MATCH CALCS'!$A$3:$A1000,$A$1))/(COUNTIFS('MATCH CALCS'!$AK$3:$AK1000,("=Dc"),'MATCH CALCS'!$D$3:$D1000, $A28,'MATCH CALCS'!$A$3:$A1000,$A$1)+COUNTIFS('MATCH CALCS'!$AK$3:$AK1000,("=Sc"),'MATCH CALCS'!$D$3:$D1000, $A28,'MATCH CALCS'!$A$3:$A1000,$A$1))),"-")</f>
        <v>-</v>
      </c>
      <c r="AC28" s="25">
        <f ca="1">IFERROR(IF($A$1="All",COUNTIFS('MATCH CALCS'!$AT$3:$AT1000,("=Dc"),'MATCH CALCS'!$D$3:$D1000, $A28)+COUNTIFS('MATCH CALCS'!$AT$3:$AT1000,("=Sc"),'MATCH CALCS'!$D$3:$D1000, $A28),COUNTIFS('MATCH CALCS'!$AT$3:$AT1000,("=Dc"),'MATCH CALCS'!$D$3:$D1000, $A28,'MATCH CALCS'!$A$3:$A1000, $A$1)+COUNTIFS('MATCH CALCS'!$AT$3:$AT1000,("=Sc"),'MATCH CALCS'!$D$3:$D1000, $A28,'MATCH CALCS'!$A$3:$A1000, $A$1)),"-")</f>
        <v>0</v>
      </c>
    </row>
    <row r="29" spans="1:29" ht="12.75" hidden="1">
      <c r="A29" s="30"/>
      <c r="B29" s="6"/>
      <c r="C29" s="30" t="str">
        <f ca="1">IFERROR(__xludf.DUMMYFUNCTION("FILTER('TEAM RANKING'!$A:$A,'TEAM RANKING'!$K:$K=$A29)"),"#REF!")</f>
        <v>#REF!</v>
      </c>
      <c r="D29" s="15"/>
      <c r="E29" s="110">
        <f ca="1">IFERROR((IF($A$1="All", COUNTIF('MATCH CALCS'!$D:$D,$A29), (COUNTIFS('MATCH CALCS'!D:D, $A29, 'MATCH CALCS'!$A:$A,$A$1)))),"-")</f>
        <v>0</v>
      </c>
      <c r="F29" s="111" t="str">
        <f ca="1">IFERROR(IF($A$1="All",SUMIF('MATCH CALCS'!$D:$D,$A29,'MATCH CALCS'!$AW:$AW)/$E29,(SUMIFS('MATCH CALCS'!$AW:$AW, 'MATCH CALCS'!$D:$D, $A29, 'MATCH CALCS'!$A:$A, $A$1)/$E29)),"-")</f>
        <v>-</v>
      </c>
      <c r="G29" s="112" t="str">
        <f ca="1">IFERROR(IF($A$1="All",SUMIF('MATCH CALCS'!$D:$D,$A29,'MATCH CALCS'!O:O)/$E29,(SUMIFS('MATCH CALCS'!O:O, 'MATCH CALCS'!$D:$D, $A29, 'MATCH CALCS'!$A:$A, $A$1)/$E29)),"-")</f>
        <v>-</v>
      </c>
      <c r="H29" s="112" t="str">
        <f ca="1">IFERROR(IF($A$1="All",SUMIF('MATCH CALCS'!$D:$D,$A29,'MATCH CALCS'!N:N)/$E29,(SUMIFS('MATCH CALCS'!N:N, 'MATCH CALCS'!$D:$D, $A29, 'MATCH CALCS'!$A:$A, $A$1)/$E29)),"-")</f>
        <v>-</v>
      </c>
      <c r="I29" s="112" t="str">
        <f ca="1">IFERROR(IF($A$1="All",SUMIF('MATCH CALCS'!$D:$D,$A29,'MATCH CALCS'!M:M)/$E29,(SUMIFS('MATCH CALCS'!M:M, 'MATCH CALCS'!$D:$D, $A29, 'MATCH CALCS'!$A:$A, $A$1)/$E29)),"-")</f>
        <v>-</v>
      </c>
      <c r="J29" s="112" t="str">
        <f ca="1">IFERROR(IF($A$1="All",SUMIF('MATCH CALCS'!$D:$D,$A29,'MATCH CALCS'!L:L)/$E29,(SUMIFS('MATCH CALCS'!L:L, 'MATCH CALCS'!$D:$D, $A29, 'MATCH CALCS'!$A:$A, $A$1)/$E29)),"-")</f>
        <v>-</v>
      </c>
      <c r="K29" s="112">
        <f t="shared" ca="1" si="0"/>
        <v>0</v>
      </c>
      <c r="L29" s="13" t="e">
        <f ca="1">IF($A$1="All",AVERAGEIF('MATCH CALCS'!$D$3:$D1000,$A29,'MATCH CALCS'!$AZ$3:$AZ1000),AVERAGEIFS('MATCH CALCS'!$AZ$3:$AZ1000,'MATCH CALCS'!$D$3:$D1000,$A29,'MATCH CALCS'!$A$3:$A1000,$A$1))</f>
        <v>#DIV/0!</v>
      </c>
      <c r="M29" s="112" t="e">
        <f ca="1">IF($A$1="All",AVERAGEIF('MATCH CALCS'!$D:$D,$A29,'MATCH CALCS'!R:R),(SUMIFS('MATCH CALCS'!R$3:R1000, 'MATCH CALCS'!$D$3:$D1000, $A29, 'MATCH CALCS'!A$3:A1000, $A$1)/$E29))</f>
        <v>#DIV/0!</v>
      </c>
      <c r="N29" s="112" t="str">
        <f ca="1">IFERROR(IF($A$1="All",SUMIF('MATCH CALCS'!$D:$D,$A29,'MATCH CALCS'!S:S)/$E29,(SUMIFS('MATCH CALCS'!S:S, 'MATCH CALCS'!$D:$D, $A29, 'MATCH CALCS'!A:A, $A$1)/$E29)),"-")</f>
        <v>-</v>
      </c>
      <c r="O29" s="113" t="e">
        <f ca="1">IF($A$1="All",AVERAGEIF('MATCH CALCS'!$D$3:$D1000,$A29,'MATCH CALCS'!$BC$3:$BC1000),AVERAGEIFS('MATCH CALCS'!$BC$3:$BC1000,'MATCH CALCS'!$D$3:$D1000,$A29,'MATCH CALCS'!$A$3:$A1000,$A$1))</f>
        <v>#DIV/0!</v>
      </c>
      <c r="P29" s="112" t="str">
        <f ca="1">IFERROR(IF($A$1="All",SUMIF('MATCH CALCS'!$D:$D,$A29,'MATCH CALCS'!AH:AH)/$E29,(SUMIFS('MATCH CALCS'!AH:AH, 'MATCH CALCS'!$D:$D, $A29, 'MATCH CALCS'!$A:$A, $A$1)/$E29)),"-")</f>
        <v>-</v>
      </c>
      <c r="Q29" s="112" t="str">
        <f ca="1">IFERROR(IF($A$1="All",SUMIF('MATCH CALCS'!$D:$D,$A29,'MATCH CALCS'!AG:AG)/$E29,(SUMIFS('MATCH CALCS'!AG:AG, 'MATCH CALCS'!$D:$D, $A29, 'MATCH CALCS'!$A:$A, $A$1)/$E29)),"-")</f>
        <v>-</v>
      </c>
      <c r="R29" s="112" t="str">
        <f ca="1">IFERROR(IF($A$1="All",SUMIF('MATCH CALCS'!$D:$D,$A29,'MATCH CALCS'!AF:AF)/$E29,(SUMIFS('MATCH CALCS'!AF:AF, 'MATCH CALCS'!$D:$D, $A29, 'MATCH CALCS'!$A:$A, $A$1)/$E29)),"-")</f>
        <v>-</v>
      </c>
      <c r="S29" s="112" t="str">
        <f ca="1">IFERROR(IF($A$1="All",SUMIF('MATCH CALCS'!$D:$D,$A29,'MATCH CALCS'!$AE:$AE)/$E29,(SUMIFS('MATCH CALCS'!$AE:$AE, 'MATCH CALCS'!$D:$D, $A29, 'MATCH CALCS'!$A:$A, $A$1)/$E29)),"-")</f>
        <v>-</v>
      </c>
      <c r="T29" s="112">
        <f t="shared" ca="1" si="1"/>
        <v>0</v>
      </c>
      <c r="U29" s="13" t="e">
        <f ca="1">IF($A$1="All",AVERAGEIF('MATCH CALCS'!$D$3:$D1000,$A29,'MATCH CALCS'!$BI$3:$BI1000),AVERAGEIFS('MATCH CALCS'!$BI$3:$BI1000,'MATCH CALCS'!$D$3:$D1000,$A29,'MATCH CALCS'!$A$3:$A1000,$A$1))</f>
        <v>#DIV/0!</v>
      </c>
      <c r="V29" s="112" t="str">
        <f ca="1">IFERROR(IF($A$1="All",SUMIF('MATCH CALCS'!$D:$D,$A29,'MATCH CALCS'!W:W)/$E29,(SUMIFS('MATCH CALCS'!W:W, 'MATCH CALCS'!$D:$D, $A29, 'MATCH CALCS'!$A:$A, $A$1)/$E29)),"-")</f>
        <v>-</v>
      </c>
      <c r="W29" s="112" t="str">
        <f ca="1">IFERROR(IF($A$1="All",SUMIF('MATCH CALCS'!$D:$D,$A29,'MATCH CALCS'!X:X)/$E29,(SUMIFS('MATCH CALCS'!X:X, 'MATCH CALCS'!$D:$D, $A29, 'MATCH CALCS'!$A:$A, $A$1)/$E29)),"-")</f>
        <v>-</v>
      </c>
      <c r="X29" s="114" t="e">
        <f ca="1">IF($A$1="All",AVERAGEIF('MATCH CALCS'!$D$3:$D1000,$A29,'MATCH CALCS'!$BF$3:$BF1000),AVERAGEIFS('MATCH CALCS'!$BF$3:$BF1000,'MATCH CALCS'!$D$3:$D1000, $A29, 'MATCH CALCS'!$A$3:$A1000, $A$1))</f>
        <v>#DIV/0!</v>
      </c>
      <c r="Y29" s="115">
        <f ca="1">IF($A$1="All",SUMIF('MATCH CALCS'!$D$3:$D1000,$A29,'MATCH CALCS'!$BJ$3:$BJ1000),SUMIFS('MATCH CALCS'!$BJ$3:$BJ1000,'MATCH CALCS'!$D$3:$D1000, $A29, 'MATCH CALCS'!$A$3:$A1000, $A$1))</f>
        <v>0</v>
      </c>
      <c r="Z29" s="116" t="str">
        <f ca="1">IFERROR(__xludf.DUMMYFUNCTION("IFERROR(IF($A$1=""All"",AVERAGE(FILTER('MATCH CALCS'!$BR$3:$BR1000, 'MATCH CALCS'!$D$3:$D1000=$A29)),AVERAGE(FILTER('MATCH CALCS'!$BR$3:$BR1000, 'MATCH CALCS'!$D$3:$D1000=$A29,'MATCH CALCS'!$A$3:$A1000=$A$1))),""No Data"")"),"No Data")</f>
        <v>No Data</v>
      </c>
      <c r="AA29" s="117" t="str">
        <f ca="1">IFERROR(__xludf.DUMMYFUNCTION("IFERROR(IF($A$1=""All"",IF(COUNTIF(FILTER('MATCH CALCS'!$AT$3:$AT1000,'MATCH CALCS'!$D$3:$D1000=$A29), ""Dc"")&gt;0, IF(COUNTIF(FILTER('MATCH CALCS'!$AT$3:$AT1000,'MATCH CALCS'!$D$3:$D1000=$A29), ""Sc"")&gt;0, ""Mixed"", ""Deep""), IF(COUNTIF(FILTER('MATCH CALC"&amp;"S'!$AT$3:$AT1000,'MATCH CALCS'!$D$3:$D1000=$A29), ""Sc"")&gt;0, ""Shallow"",""None"")),IF(COUNTIF(FILTER('MATCH CALCS'!$AT$3:$AT1000,'MATCH CALCS'!$D$3:$D1000=$A29,'MATCH CALCS'!$A$3:$A1000=$A$1), ""Dc"")&gt;0, IF(COUNTIF(FILTER('MATCH CALCS'!$AT$3:$AT1000,'MAT"&amp;"CH CALCS'!$D$3:$D1000=$A29,'MATCH CALCS'!$A$3:$A1000=$A$1), ""Sc"")&gt;0, ""Mixed"", ""Deep""), IF(COUNTIF(FILTER('MATCH CALCS'!$AT$3:$AT1000,'MATCH CALCS'!$D$3:$D1000=$A29,'MATCH CALCS'!$A$3:$A1000=$A$1), ""Sc"")&gt;0, ""Shallow"",""None""))))"),"None")</f>
        <v>None</v>
      </c>
      <c r="AB29" s="9" t="str">
        <f ca="1">IFERROR(IF($A$1="All",(COUNTIFS('MATCH CALCS'!$AT$3:$AT1000,("=Dc"),'MATCH CALCS'!$D$3:$D1000, $A29)+COUNTIFS('MATCH CALCS'!$AT$3:$AT1000,("=Sc"),'MATCH CALCS'!$D$3:$D1000, $A29))/(COUNTIFS('MATCH CALCS'!$AK$3:$AK1000,("=Dc"),'MATCH CALCS'!$D$3:$D1000, $A29)+COUNTIFS('MATCH CALCS'!$AK$3:$AK1000,("=Sc"),'MATCH CALCS'!$D$3:$D1000, $A29)),(COUNTIFS('MATCH CALCS'!$AT$3:$AT1000,("=Dc"),'MATCH CALCS'!$D$3:$D1000, $A29,'MATCH CALCS'!$A$3:$A1000,$A$1)+COUNTIFS('MATCH CALCS'!$AT$3:$AT1000,("=Sc"),'MATCH CALCS'!$D$3:$D1000, $A29,'MATCH CALCS'!$A$3:$A1000,$A$1))/(COUNTIFS('MATCH CALCS'!$AK$3:$AK1000,("=Dc"),'MATCH CALCS'!$D$3:$D1000, $A29,'MATCH CALCS'!$A$3:$A1000,$A$1)+COUNTIFS('MATCH CALCS'!$AK$3:$AK1000,("=Sc"),'MATCH CALCS'!$D$3:$D1000, $A29,'MATCH CALCS'!$A$3:$A1000,$A$1))),"-")</f>
        <v>-</v>
      </c>
      <c r="AC29" s="25">
        <f ca="1">IFERROR(IF($A$1="All",COUNTIFS('MATCH CALCS'!$AT$3:$AT1000,("=Dc"),'MATCH CALCS'!$D$3:$D1000, $A29)+COUNTIFS('MATCH CALCS'!$AT$3:$AT1000,("=Sc"),'MATCH CALCS'!$D$3:$D1000, $A29),COUNTIFS('MATCH CALCS'!$AT$3:$AT1000,("=Dc"),'MATCH CALCS'!$D$3:$D1000, $A29,'MATCH CALCS'!$A$3:$A1000, $A$1)+COUNTIFS('MATCH CALCS'!$AT$3:$AT1000,("=Sc"),'MATCH CALCS'!$D$3:$D1000, $A29,'MATCH CALCS'!$A$3:$A1000, $A$1)),"-")</f>
        <v>0</v>
      </c>
    </row>
    <row r="30" spans="1:29" ht="12.75">
      <c r="A30" s="30">
        <f ca="1">IFERROR(__xludf.DUMMYFUNCTION("""COMPUTED_VALUE"""),3755)</f>
        <v>3755</v>
      </c>
      <c r="B30" s="6" t="str">
        <f ca="1">IFERROR(__xludf.DUMMYFUNCTION("""COMPUTED_VALUE"""),"Dragon Robotics")</f>
        <v>Dragon Robotics</v>
      </c>
      <c r="C30" s="30" t="str">
        <f ca="1">IFERROR(__xludf.DUMMYFUNCTION("FILTER('TEAM RANKING'!$A:$A,'TEAM RANKING'!$K:$K=$A30)"),"#N/A")</f>
        <v>#N/A</v>
      </c>
      <c r="D30" s="15"/>
      <c r="E30" s="110">
        <f ca="1">IFERROR((IF($A$1="All", COUNTIF('MATCH CALCS'!$D:$D,$A30), (COUNTIFS('MATCH CALCS'!D:D, $A30, 'MATCH CALCS'!$A:$A,$A$1)))),"-")</f>
        <v>1</v>
      </c>
      <c r="F30" s="111">
        <f ca="1">IFERROR(IF($A$1="All",SUMIF('MATCH CALCS'!$D:$D,$A30,'MATCH CALCS'!$AW:$AW)/$E30,(SUMIFS('MATCH CALCS'!$AW:$AW, 'MATCH CALCS'!$D:$D, $A30, 'MATCH CALCS'!$A:$A, $A$1)/$E30)),"-")</f>
        <v>0</v>
      </c>
      <c r="G30" s="112">
        <f ca="1">IFERROR(IF($A$1="All",SUMIF('MATCH CALCS'!$D:$D,$A30,'MATCH CALCS'!O:O)/$E30,(SUMIFS('MATCH CALCS'!O:O, 'MATCH CALCS'!$D:$D, $A30, 'MATCH CALCS'!$A:$A, $A$1)/$E30)),"-")</f>
        <v>0</v>
      </c>
      <c r="H30" s="112">
        <f ca="1">IFERROR(IF($A$1="All",SUMIF('MATCH CALCS'!$D:$D,$A30,'MATCH CALCS'!N:N)/$E30,(SUMIFS('MATCH CALCS'!N:N, 'MATCH CALCS'!$D:$D, $A30, 'MATCH CALCS'!$A:$A, $A$1)/$E30)),"-")</f>
        <v>0</v>
      </c>
      <c r="I30" s="112">
        <f ca="1">IFERROR(IF($A$1="All",SUMIF('MATCH CALCS'!$D:$D,$A30,'MATCH CALCS'!M:M)/$E30,(SUMIFS('MATCH CALCS'!M:M, 'MATCH CALCS'!$D:$D, $A30, 'MATCH CALCS'!$A:$A, $A$1)/$E30)),"-")</f>
        <v>0</v>
      </c>
      <c r="J30" s="112">
        <f ca="1">IFERROR(IF($A$1="All",SUMIF('MATCH CALCS'!$D:$D,$A30,'MATCH CALCS'!L:L)/$E30,(SUMIFS('MATCH CALCS'!L:L, 'MATCH CALCS'!$D:$D, $A30, 'MATCH CALCS'!$A:$A, $A$1)/$E30)),"-")</f>
        <v>0</v>
      </c>
      <c r="K30" s="112">
        <f t="shared" ca="1" si="0"/>
        <v>0</v>
      </c>
      <c r="L30" s="13" t="e">
        <f ca="1">IF($A$1="All",AVERAGEIF('MATCH CALCS'!$D$3:$D1000,$A30,'MATCH CALCS'!$AZ$3:$AZ1000),AVERAGEIFS('MATCH CALCS'!$AZ$3:$AZ1000,'MATCH CALCS'!$D$3:$D1000,$A30,'MATCH CALCS'!$A$3:$A1000,$A$1))</f>
        <v>#DIV/0!</v>
      </c>
      <c r="M30" s="112">
        <f ca="1">IF($A$1="All",AVERAGEIF('MATCH CALCS'!$D:$D,$A30,'MATCH CALCS'!R:R),(SUMIFS('MATCH CALCS'!R$3:R1000, 'MATCH CALCS'!$D$3:$D1000, $A30, 'MATCH CALCS'!A$3:A1000, $A$1)/$E30))</f>
        <v>0</v>
      </c>
      <c r="N30" s="112">
        <f ca="1">IFERROR(IF($A$1="All",SUMIF('MATCH CALCS'!$D:$D,$A30,'MATCH CALCS'!S:S)/$E30,(SUMIFS('MATCH CALCS'!S:S, 'MATCH CALCS'!$D:$D, $A30, 'MATCH CALCS'!A:A, $A$1)/$E30)),"-")</f>
        <v>0</v>
      </c>
      <c r="O30" s="113" t="e">
        <f ca="1">IF($A$1="All",AVERAGEIF('MATCH CALCS'!$D$3:$D1000,$A30,'MATCH CALCS'!$BC$3:$BC1000),AVERAGEIFS('MATCH CALCS'!$BC$3:$BC1000,'MATCH CALCS'!$D$3:$D1000,$A30,'MATCH CALCS'!$A$3:$A1000,$A$1))</f>
        <v>#DIV/0!</v>
      </c>
      <c r="P30" s="112">
        <f ca="1">IFERROR(IF($A$1="All",SUMIF('MATCH CALCS'!$D:$D,$A30,'MATCH CALCS'!AH:AH)/$E30,(SUMIFS('MATCH CALCS'!AH:AH, 'MATCH CALCS'!$D:$D, $A30, 'MATCH CALCS'!$A:$A, $A$1)/$E30)),"-")</f>
        <v>0</v>
      </c>
      <c r="Q30" s="112">
        <f ca="1">IFERROR(IF($A$1="All",SUMIF('MATCH CALCS'!$D:$D,$A30,'MATCH CALCS'!AG:AG)/$E30,(SUMIFS('MATCH CALCS'!AG:AG, 'MATCH CALCS'!$D:$D, $A30, 'MATCH CALCS'!$A:$A, $A$1)/$E30)),"-")</f>
        <v>0</v>
      </c>
      <c r="R30" s="112">
        <f ca="1">IFERROR(IF($A$1="All",SUMIF('MATCH CALCS'!$D:$D,$A30,'MATCH CALCS'!AF:AF)/$E30,(SUMIFS('MATCH CALCS'!AF:AF, 'MATCH CALCS'!$D:$D, $A30, 'MATCH CALCS'!$A:$A, $A$1)/$E30)),"-")</f>
        <v>0</v>
      </c>
      <c r="S30" s="112">
        <f ca="1">IFERROR(IF($A$1="All",SUMIF('MATCH CALCS'!$D:$D,$A30,'MATCH CALCS'!$AE:$AE)/$E30,(SUMIFS('MATCH CALCS'!$AE:$AE, 'MATCH CALCS'!$D:$D, $A30, 'MATCH CALCS'!$A:$A, $A$1)/$E30)),"-")</f>
        <v>0</v>
      </c>
      <c r="T30" s="112">
        <f t="shared" ca="1" si="1"/>
        <v>0</v>
      </c>
      <c r="U30" s="13" t="e">
        <f ca="1">IF($A$1="All",AVERAGEIF('MATCH CALCS'!$D$3:$D1000,$A30,'MATCH CALCS'!$BI$3:$BI1000),AVERAGEIFS('MATCH CALCS'!$BI$3:$BI1000,'MATCH CALCS'!$D$3:$D1000,$A30,'MATCH CALCS'!$A$3:$A1000,$A$1))</f>
        <v>#DIV/0!</v>
      </c>
      <c r="V30" s="112">
        <f ca="1">IFERROR(IF($A$1="All",SUMIF('MATCH CALCS'!$D:$D,$A30,'MATCH CALCS'!W:W)/$E30,(SUMIFS('MATCH CALCS'!W:W, 'MATCH CALCS'!$D:$D, $A30, 'MATCH CALCS'!$A:$A, $A$1)/$E30)),"-")</f>
        <v>4</v>
      </c>
      <c r="W30" s="112">
        <f ca="1">IFERROR(IF($A$1="All",SUMIF('MATCH CALCS'!$D:$D,$A30,'MATCH CALCS'!X:X)/$E30,(SUMIFS('MATCH CALCS'!X:X, 'MATCH CALCS'!$D:$D, $A30, 'MATCH CALCS'!$A:$A, $A$1)/$E30)),"-")</f>
        <v>0</v>
      </c>
      <c r="X30" s="114" t="e">
        <f ca="1">IF($A$1="All",AVERAGEIF('MATCH CALCS'!$D$3:$D1000,$A30,'MATCH CALCS'!$BF$3:$BF1000),AVERAGEIFS('MATCH CALCS'!$BF$3:$BF1000,'MATCH CALCS'!$D$3:$D1000, $A30, 'MATCH CALCS'!$A$3:$A1000, $A$1))</f>
        <v>#DIV/0!</v>
      </c>
      <c r="Y30" s="115">
        <f ca="1">IF($A$1="All",SUMIF('MATCH CALCS'!$D$3:$D1000,$A30,'MATCH CALCS'!$BJ$3:$BJ1000),SUMIFS('MATCH CALCS'!$BJ$3:$BJ1000,'MATCH CALCS'!$D$3:$D1000, $A30, 'MATCH CALCS'!$A$3:$A1000, $A$1))</f>
        <v>0</v>
      </c>
      <c r="Z30" s="116" t="str">
        <f ca="1">IFERROR(__xludf.DUMMYFUNCTION("IFERROR(IF($A$1=""All"",AVERAGE(FILTER('MATCH CALCS'!$BR$3:$BR1000, 'MATCH CALCS'!$D$3:$D1000=$A30)),AVERAGE(FILTER('MATCH CALCS'!$BR$3:$BR1000, 'MATCH CALCS'!$D$3:$D1000=$A30,'MATCH CALCS'!$A$3:$A1000=$A$1))),""No Data"")"),"No Data")</f>
        <v>No Data</v>
      </c>
      <c r="AA30" s="117" t="str">
        <f ca="1">IFERROR(__xludf.DUMMYFUNCTION("IFERROR(IF($A$1=""All"",IF(COUNTIF(FILTER('MATCH CALCS'!$AT$3:$AT1000,'MATCH CALCS'!$D$3:$D1000=$A30), ""Dc"")&gt;0, IF(COUNTIF(FILTER('MATCH CALCS'!$AT$3:$AT1000,'MATCH CALCS'!$D$3:$D1000=$A30), ""Sc"")&gt;0, ""Mixed"", ""Deep""), IF(COUNTIF(FILTER('MATCH CALC"&amp;"S'!$AT$3:$AT1000,'MATCH CALCS'!$D$3:$D1000=$A30), ""Sc"")&gt;0, ""Shallow"",""None"")),IF(COUNTIF(FILTER('MATCH CALCS'!$AT$3:$AT1000,'MATCH CALCS'!$D$3:$D1000=$A30,'MATCH CALCS'!$A$3:$A1000=$A$1), ""Dc"")&gt;0, IF(COUNTIF(FILTER('MATCH CALCS'!$AT$3:$AT1000,'MAT"&amp;"CH CALCS'!$D$3:$D1000=$A30,'MATCH CALCS'!$A$3:$A1000=$A$1), ""Sc"")&gt;0, ""Mixed"", ""Deep""), IF(COUNTIF(FILTER('MATCH CALCS'!$AT$3:$AT1000,'MATCH CALCS'!$D$3:$D1000=$A30,'MATCH CALCS'!$A$3:$A1000=$A$1), ""Sc"")&gt;0, ""Shallow"",""None""))))"),"None")</f>
        <v>None</v>
      </c>
      <c r="AB30" s="9" t="str">
        <f ca="1">IFERROR(IF($A$1="All",(COUNTIFS('MATCH CALCS'!$AT$3:$AT1000,("=Dc"),'MATCH CALCS'!$D$3:$D1000, $A30)+COUNTIFS('MATCH CALCS'!$AT$3:$AT1000,("=Sc"),'MATCH CALCS'!$D$3:$D1000, $A30))/(COUNTIFS('MATCH CALCS'!$AK$3:$AK1000,("=Dc"),'MATCH CALCS'!$D$3:$D1000, $A30)+COUNTIFS('MATCH CALCS'!$AK$3:$AK1000,("=Sc"),'MATCH CALCS'!$D$3:$D1000, $A30)),(COUNTIFS('MATCH CALCS'!$AT$3:$AT1000,("=Dc"),'MATCH CALCS'!$D$3:$D1000, $A30,'MATCH CALCS'!$A$3:$A1000,$A$1)+COUNTIFS('MATCH CALCS'!$AT$3:$AT1000,("=Sc"),'MATCH CALCS'!$D$3:$D1000, $A30,'MATCH CALCS'!$A$3:$A1000,$A$1))/(COUNTIFS('MATCH CALCS'!$AK$3:$AK1000,("=Dc"),'MATCH CALCS'!$D$3:$D1000, $A30,'MATCH CALCS'!$A$3:$A1000,$A$1)+COUNTIFS('MATCH CALCS'!$AK$3:$AK1000,("=Sc"),'MATCH CALCS'!$D$3:$D1000, $A30,'MATCH CALCS'!$A$3:$A1000,$A$1))),"-")</f>
        <v>-</v>
      </c>
      <c r="AC30" s="25">
        <f ca="1">IFERROR(IF($A$1="All",COUNTIFS('MATCH CALCS'!$AT$3:$AT1000,("=Dc"),'MATCH CALCS'!$D$3:$D1000, $A30)+COUNTIFS('MATCH CALCS'!$AT$3:$AT1000,("=Sc"),'MATCH CALCS'!$D$3:$D1000, $A30),COUNTIFS('MATCH CALCS'!$AT$3:$AT1000,("=Dc"),'MATCH CALCS'!$D$3:$D1000, $A30,'MATCH CALCS'!$A$3:$A1000, $A$1)+COUNTIFS('MATCH CALCS'!$AT$3:$AT1000,("=Sc"),'MATCH CALCS'!$D$3:$D1000, $A30,'MATCH CALCS'!$A$3:$A1000, $A$1)),"-")</f>
        <v>0</v>
      </c>
    </row>
    <row r="31" spans="1:29" ht="12.75">
      <c r="A31" s="30">
        <f ca="1">IFERROR(__xludf.DUMMYFUNCTION("""COMPUTED_VALUE"""),3792)</f>
        <v>3792</v>
      </c>
      <c r="B31" s="6" t="str">
        <f ca="1">IFERROR(__xludf.DUMMYFUNCTION("""COMPUTED_VALUE"""),"Army Ants")</f>
        <v>Army Ants</v>
      </c>
      <c r="C31" s="30" t="str">
        <f ca="1">IFERROR(__xludf.DUMMYFUNCTION("FILTER('TEAM RANKING'!$A:$A,'TEAM RANKING'!$K:$K=$A31)"),"#N/A")</f>
        <v>#N/A</v>
      </c>
      <c r="D31" s="15"/>
      <c r="E31" s="110">
        <f ca="1">IFERROR((IF($A$1="All", COUNTIF('MATCH CALCS'!$D:$D,$A31), (COUNTIFS('MATCH CALCS'!D:D, $A31, 'MATCH CALCS'!$A:$A,$A$1)))),"-")</f>
        <v>2</v>
      </c>
      <c r="F31" s="111">
        <f ca="1">IFERROR(IF($A$1="All",SUMIF('MATCH CALCS'!$D:$D,$A31,'MATCH CALCS'!$AW:$AW)/$E31,(SUMIFS('MATCH CALCS'!$AW:$AW, 'MATCH CALCS'!$D:$D, $A31, 'MATCH CALCS'!$A:$A, $A$1)/$E31)),"-")</f>
        <v>0.5</v>
      </c>
      <c r="G31" s="112">
        <f ca="1">IFERROR(IF($A$1="All",SUMIF('MATCH CALCS'!$D:$D,$A31,'MATCH CALCS'!O:O)/$E31,(SUMIFS('MATCH CALCS'!O:O, 'MATCH CALCS'!$D:$D, $A31, 'MATCH CALCS'!$A:$A, $A$1)/$E31)),"-")</f>
        <v>1.5</v>
      </c>
      <c r="H31" s="112">
        <f ca="1">IFERROR(IF($A$1="All",SUMIF('MATCH CALCS'!$D:$D,$A31,'MATCH CALCS'!N:N)/$E31,(SUMIFS('MATCH CALCS'!N:N, 'MATCH CALCS'!$D:$D, $A31, 'MATCH CALCS'!$A:$A, $A$1)/$E31)),"-")</f>
        <v>0</v>
      </c>
      <c r="I31" s="112">
        <f ca="1">IFERROR(IF($A$1="All",SUMIF('MATCH CALCS'!$D:$D,$A31,'MATCH CALCS'!M:M)/$E31,(SUMIFS('MATCH CALCS'!M:M, 'MATCH CALCS'!$D:$D, $A31, 'MATCH CALCS'!$A:$A, $A$1)/$E31)),"-")</f>
        <v>0</v>
      </c>
      <c r="J31" s="112">
        <f ca="1">IFERROR(IF($A$1="All",SUMIF('MATCH CALCS'!$D:$D,$A31,'MATCH CALCS'!L:L)/$E31,(SUMIFS('MATCH CALCS'!L:L, 'MATCH CALCS'!$D:$D, $A31, 'MATCH CALCS'!$A:$A, $A$1)/$E31)),"-")</f>
        <v>0</v>
      </c>
      <c r="K31" s="112">
        <f t="shared" ca="1" si="0"/>
        <v>1.5</v>
      </c>
      <c r="L31" s="13">
        <f ca="1">IF($A$1="All",AVERAGEIF('MATCH CALCS'!$D$3:$D1000,$A31,'MATCH CALCS'!$AZ$3:$AZ1000),AVERAGEIFS('MATCH CALCS'!$AZ$3:$AZ1000,'MATCH CALCS'!$D$3:$D1000,$A31,'MATCH CALCS'!$A$3:$A1000,$A$1))</f>
        <v>1</v>
      </c>
      <c r="M31" s="112">
        <f ca="1">IF($A$1="All",AVERAGEIF('MATCH CALCS'!$D:$D,$A31,'MATCH CALCS'!R:R),(SUMIFS('MATCH CALCS'!R$3:R1000, 'MATCH CALCS'!$D$3:$D1000, $A31, 'MATCH CALCS'!A$3:A1000, $A$1)/$E31))</f>
        <v>0</v>
      </c>
      <c r="N31" s="112">
        <f ca="1">IFERROR(IF($A$1="All",SUMIF('MATCH CALCS'!$D:$D,$A31,'MATCH CALCS'!S:S)/$E31,(SUMIFS('MATCH CALCS'!S:S, 'MATCH CALCS'!$D:$D, $A31, 'MATCH CALCS'!A:A, $A$1)/$E31)),"-")</f>
        <v>0</v>
      </c>
      <c r="O31" s="113" t="e">
        <f ca="1">IF($A$1="All",AVERAGEIF('MATCH CALCS'!$D$3:$D1000,$A31,'MATCH CALCS'!$BC$3:$BC1000),AVERAGEIFS('MATCH CALCS'!$BC$3:$BC1000,'MATCH CALCS'!$D$3:$D1000,$A31,'MATCH CALCS'!$A$3:$A1000,$A$1))</f>
        <v>#DIV/0!</v>
      </c>
      <c r="P31" s="112">
        <f ca="1">IFERROR(IF($A$1="All",SUMIF('MATCH CALCS'!$D:$D,$A31,'MATCH CALCS'!AH:AH)/$E31,(SUMIFS('MATCH CALCS'!AH:AH, 'MATCH CALCS'!$D:$D, $A31, 'MATCH CALCS'!$A:$A, $A$1)/$E31)),"-")</f>
        <v>1</v>
      </c>
      <c r="Q31" s="112">
        <f ca="1">IFERROR(IF($A$1="All",SUMIF('MATCH CALCS'!$D:$D,$A31,'MATCH CALCS'!AG:AG)/$E31,(SUMIFS('MATCH CALCS'!AG:AG, 'MATCH CALCS'!$D:$D, $A31, 'MATCH CALCS'!$A:$A, $A$1)/$E31)),"-")</f>
        <v>0</v>
      </c>
      <c r="R31" s="112">
        <f ca="1">IFERROR(IF($A$1="All",SUMIF('MATCH CALCS'!$D:$D,$A31,'MATCH CALCS'!AF:AF)/$E31,(SUMIFS('MATCH CALCS'!AF:AF, 'MATCH CALCS'!$D:$D, $A31, 'MATCH CALCS'!$A:$A, $A$1)/$E31)),"-")</f>
        <v>0</v>
      </c>
      <c r="S31" s="112">
        <f ca="1">IFERROR(IF($A$1="All",SUMIF('MATCH CALCS'!$D:$D,$A31,'MATCH CALCS'!$AE:$AE)/$E31,(SUMIFS('MATCH CALCS'!$AE:$AE, 'MATCH CALCS'!$D:$D, $A31, 'MATCH CALCS'!$A:$A, $A$1)/$E31)),"-")</f>
        <v>0</v>
      </c>
      <c r="T31" s="112">
        <f t="shared" ca="1" si="1"/>
        <v>1</v>
      </c>
      <c r="U31" s="13">
        <f ca="1">IF($A$1="All",AVERAGEIF('MATCH CALCS'!$D$3:$D1000,$A31,'MATCH CALCS'!$BI$3:$BI1000),AVERAGEIFS('MATCH CALCS'!$BI$3:$BI1000,'MATCH CALCS'!$D$3:$D1000,$A31,'MATCH CALCS'!$A$3:$A1000,$A$1))</f>
        <v>0.66666666666666663</v>
      </c>
      <c r="V31" s="112">
        <f ca="1">IFERROR(IF($A$1="All",SUMIF('MATCH CALCS'!$D:$D,$A31,'MATCH CALCS'!W:W)/$E31,(SUMIFS('MATCH CALCS'!W:W, 'MATCH CALCS'!$D:$D, $A31, 'MATCH CALCS'!$A:$A, $A$1)/$E31)),"-")</f>
        <v>7</v>
      </c>
      <c r="W31" s="112">
        <f ca="1">IFERROR(IF($A$1="All",SUMIF('MATCH CALCS'!$D:$D,$A31,'MATCH CALCS'!X:X)/$E31,(SUMIFS('MATCH CALCS'!X:X, 'MATCH CALCS'!$D:$D, $A31, 'MATCH CALCS'!$A:$A, $A$1)/$E31)),"-")</f>
        <v>0</v>
      </c>
      <c r="X31" s="114" t="e">
        <f ca="1">IF($A$1="All",AVERAGEIF('MATCH CALCS'!$D$3:$D1000,$A31,'MATCH CALCS'!$BF$3:$BF1000),AVERAGEIFS('MATCH CALCS'!$BF$3:$BF1000,'MATCH CALCS'!$D$3:$D1000, $A31, 'MATCH CALCS'!$A$3:$A1000, $A$1))</f>
        <v>#DIV/0!</v>
      </c>
      <c r="Y31" s="115">
        <f ca="1">IF($A$1="All",SUMIF('MATCH CALCS'!$D$3:$D1000,$A31,'MATCH CALCS'!$BJ$3:$BJ1000),SUMIFS('MATCH CALCS'!$BJ$3:$BJ1000,'MATCH CALCS'!$D$3:$D1000, $A31, 'MATCH CALCS'!$A$3:$A1000, $A$1))</f>
        <v>1</v>
      </c>
      <c r="Z31" s="116" t="str">
        <f ca="1">IFERROR(__xludf.DUMMYFUNCTION("IFERROR(IF($A$1=""All"",AVERAGE(FILTER('MATCH CALCS'!$BR$3:$BR1000, 'MATCH CALCS'!$D$3:$D1000=$A31)),AVERAGE(FILTER('MATCH CALCS'!$BR$3:$BR1000, 'MATCH CALCS'!$D$3:$D1000=$A31,'MATCH CALCS'!$A$3:$A1000=$A$1))),""No Data"")"),"No Data")</f>
        <v>No Data</v>
      </c>
      <c r="AA31" s="117" t="str">
        <f ca="1">IFERROR(__xludf.DUMMYFUNCTION("IFERROR(IF($A$1=""All"",IF(COUNTIF(FILTER('MATCH CALCS'!$AT$3:$AT1000,'MATCH CALCS'!$D$3:$D1000=$A31), ""Dc"")&gt;0, IF(COUNTIF(FILTER('MATCH CALCS'!$AT$3:$AT1000,'MATCH CALCS'!$D$3:$D1000=$A31), ""Sc"")&gt;0, ""Mixed"", ""Deep""), IF(COUNTIF(FILTER('MATCH CALC"&amp;"S'!$AT$3:$AT1000,'MATCH CALCS'!$D$3:$D1000=$A31), ""Sc"")&gt;0, ""Shallow"",""None"")),IF(COUNTIF(FILTER('MATCH CALCS'!$AT$3:$AT1000,'MATCH CALCS'!$D$3:$D1000=$A31,'MATCH CALCS'!$A$3:$A1000=$A$1), ""Dc"")&gt;0, IF(COUNTIF(FILTER('MATCH CALCS'!$AT$3:$AT1000,'MAT"&amp;"CH CALCS'!$D$3:$D1000=$A31,'MATCH CALCS'!$A$3:$A1000=$A$1), ""Sc"")&gt;0, ""Mixed"", ""Deep""), IF(COUNTIF(FILTER('MATCH CALCS'!$AT$3:$AT1000,'MATCH CALCS'!$D$3:$D1000=$A31,'MATCH CALCS'!$A$3:$A1000=$A$1), ""Sc"")&gt;0, ""Shallow"",""None""))))"),"Deep")</f>
        <v>Deep</v>
      </c>
      <c r="AB31" s="9">
        <f ca="1">IFERROR(IF($A$1="All",(COUNTIFS('MATCH CALCS'!$AT$3:$AT1000,("=Dc"),'MATCH CALCS'!$D$3:$D1000, $A31)+COUNTIFS('MATCH CALCS'!$AT$3:$AT1000,("=Sc"),'MATCH CALCS'!$D$3:$D1000, $A31))/(COUNTIFS('MATCH CALCS'!$AK$3:$AK1000,("=Dc"),'MATCH CALCS'!$D$3:$D1000, $A31)+COUNTIFS('MATCH CALCS'!$AK$3:$AK1000,("=Sc"),'MATCH CALCS'!$D$3:$D1000, $A31)),(COUNTIFS('MATCH CALCS'!$AT$3:$AT1000,("=Dc"),'MATCH CALCS'!$D$3:$D1000, $A31,'MATCH CALCS'!$A$3:$A1000,$A$1)+COUNTIFS('MATCH CALCS'!$AT$3:$AT1000,("=Sc"),'MATCH CALCS'!$D$3:$D1000, $A31,'MATCH CALCS'!$A$3:$A1000,$A$1))/(COUNTIFS('MATCH CALCS'!$AK$3:$AK1000,("=Dc"),'MATCH CALCS'!$D$3:$D1000, $A31,'MATCH CALCS'!$A$3:$A1000,$A$1)+COUNTIFS('MATCH CALCS'!$AK$3:$AK1000,("=Sc"),'MATCH CALCS'!$D$3:$D1000, $A31,'MATCH CALCS'!$A$3:$A1000,$A$1))),"-")</f>
        <v>0.5</v>
      </c>
      <c r="AC31" s="25">
        <f ca="1">IFERROR(IF($A$1="All",COUNTIFS('MATCH CALCS'!$AT$3:$AT1000,("=Dc"),'MATCH CALCS'!$D$3:$D1000, $A31)+COUNTIFS('MATCH CALCS'!$AT$3:$AT1000,("=Sc"),'MATCH CALCS'!$D$3:$D1000, $A31),COUNTIFS('MATCH CALCS'!$AT$3:$AT1000,("=Dc"),'MATCH CALCS'!$D$3:$D1000, $A31,'MATCH CALCS'!$A$3:$A1000, $A$1)+COUNTIFS('MATCH CALCS'!$AT$3:$AT1000,("=Sc"),'MATCH CALCS'!$D$3:$D1000, $A31,'MATCH CALCS'!$A$3:$A1000, $A$1)),"-")</f>
        <v>1</v>
      </c>
    </row>
    <row r="32" spans="1:29" ht="12.75">
      <c r="A32" s="30">
        <f ca="1">IFERROR(__xludf.DUMMYFUNCTION("""COMPUTED_VALUE"""),3883)</f>
        <v>3883</v>
      </c>
      <c r="B32" s="6" t="str">
        <f ca="1">IFERROR(__xludf.DUMMYFUNCTION("""COMPUTED_VALUE"""),"Data Bits")</f>
        <v>Data Bits</v>
      </c>
      <c r="C32" s="30" t="str">
        <f ca="1">IFERROR(__xludf.DUMMYFUNCTION("FILTER('TEAM RANKING'!$A:$A,'TEAM RANKING'!$K:$K=$A32)"),"#N/A")</f>
        <v>#N/A</v>
      </c>
      <c r="D32" s="15"/>
      <c r="E32" s="110">
        <f ca="1">IFERROR((IF($A$1="All", COUNTIF('MATCH CALCS'!$D:$D,$A32), (COUNTIFS('MATCH CALCS'!D:D, $A32, 'MATCH CALCS'!$A:$A,$A$1)))),"-")</f>
        <v>3</v>
      </c>
      <c r="F32" s="111">
        <f ca="1">IFERROR(IF($A$1="All",SUMIF('MATCH CALCS'!$D:$D,$A32,'MATCH CALCS'!$AW:$AW)/$E32,(SUMIFS('MATCH CALCS'!$AW:$AW, 'MATCH CALCS'!$D:$D, $A32, 'MATCH CALCS'!$A:$A, $A$1)/$E32)),"-")</f>
        <v>1</v>
      </c>
      <c r="G32" s="112">
        <f ca="1">IFERROR(IF($A$1="All",SUMIF('MATCH CALCS'!$D:$D,$A32,'MATCH CALCS'!O:O)/$E32,(SUMIFS('MATCH CALCS'!O:O, 'MATCH CALCS'!$D:$D, $A32, 'MATCH CALCS'!$A:$A, $A$1)/$E32)),"-")</f>
        <v>0</v>
      </c>
      <c r="H32" s="112">
        <f ca="1">IFERROR(IF($A$1="All",SUMIF('MATCH CALCS'!$D:$D,$A32,'MATCH CALCS'!N:N)/$E32,(SUMIFS('MATCH CALCS'!N:N, 'MATCH CALCS'!$D:$D, $A32, 'MATCH CALCS'!$A:$A, $A$1)/$E32)),"-")</f>
        <v>0</v>
      </c>
      <c r="I32" s="112">
        <f ca="1">IFERROR(IF($A$1="All",SUMIF('MATCH CALCS'!$D:$D,$A32,'MATCH CALCS'!M:M)/$E32,(SUMIFS('MATCH CALCS'!M:M, 'MATCH CALCS'!$D:$D, $A32, 'MATCH CALCS'!$A:$A, $A$1)/$E32)),"-")</f>
        <v>0</v>
      </c>
      <c r="J32" s="112">
        <f ca="1">IFERROR(IF($A$1="All",SUMIF('MATCH CALCS'!$D:$D,$A32,'MATCH CALCS'!L:L)/$E32,(SUMIFS('MATCH CALCS'!L:L, 'MATCH CALCS'!$D:$D, $A32, 'MATCH CALCS'!$A:$A, $A$1)/$E32)),"-")</f>
        <v>1</v>
      </c>
      <c r="K32" s="112">
        <f t="shared" ca="1" si="0"/>
        <v>1</v>
      </c>
      <c r="L32" s="13">
        <f ca="1">IF($A$1="All",AVERAGEIF('MATCH CALCS'!$D$3:$D1000,$A32,'MATCH CALCS'!$AZ$3:$AZ1000),AVERAGEIFS('MATCH CALCS'!$AZ$3:$AZ1000,'MATCH CALCS'!$D$3:$D1000,$A32,'MATCH CALCS'!$A$3:$A1000,$A$1))</f>
        <v>0.66666666666666663</v>
      </c>
      <c r="M32" s="112">
        <f ca="1">IF($A$1="All",AVERAGEIF('MATCH CALCS'!$D:$D,$A32,'MATCH CALCS'!R:R),(SUMIFS('MATCH CALCS'!R$3:R1000, 'MATCH CALCS'!$D$3:$D1000, $A32, 'MATCH CALCS'!A$3:A1000, $A$1)/$E32))</f>
        <v>0</v>
      </c>
      <c r="N32" s="112">
        <f ca="1">IFERROR(IF($A$1="All",SUMIF('MATCH CALCS'!$D:$D,$A32,'MATCH CALCS'!S:S)/$E32,(SUMIFS('MATCH CALCS'!S:S, 'MATCH CALCS'!$D:$D, $A32, 'MATCH CALCS'!A:A, $A$1)/$E32)),"-")</f>
        <v>0</v>
      </c>
      <c r="O32" s="113">
        <f ca="1">IF($A$1="All",AVERAGEIF('MATCH CALCS'!$D$3:$D1000,$A32,'MATCH CALCS'!$BC$3:$BC1000),AVERAGEIFS('MATCH CALCS'!$BC$3:$BC1000,'MATCH CALCS'!$D$3:$D1000,$A32,'MATCH CALCS'!$A$3:$A1000,$A$1))</f>
        <v>0</v>
      </c>
      <c r="P32" s="112">
        <f ca="1">IFERROR(IF($A$1="All",SUMIF('MATCH CALCS'!$D:$D,$A32,'MATCH CALCS'!AH:AH)/$E32,(SUMIFS('MATCH CALCS'!AH:AH, 'MATCH CALCS'!$D:$D, $A32, 'MATCH CALCS'!$A:$A, $A$1)/$E32)),"-")</f>
        <v>0</v>
      </c>
      <c r="Q32" s="112">
        <f ca="1">IFERROR(IF($A$1="All",SUMIF('MATCH CALCS'!$D:$D,$A32,'MATCH CALCS'!AG:AG)/$E32,(SUMIFS('MATCH CALCS'!AG:AG, 'MATCH CALCS'!$D:$D, $A32, 'MATCH CALCS'!$A:$A, $A$1)/$E32)),"-")</f>
        <v>1</v>
      </c>
      <c r="R32" s="112">
        <f ca="1">IFERROR(IF($A$1="All",SUMIF('MATCH CALCS'!$D:$D,$A32,'MATCH CALCS'!AF:AF)/$E32,(SUMIFS('MATCH CALCS'!AF:AF, 'MATCH CALCS'!$D:$D, $A32, 'MATCH CALCS'!$A:$A, $A$1)/$E32)),"-")</f>
        <v>1.6666666666666667</v>
      </c>
      <c r="S32" s="112">
        <f ca="1">IFERROR(IF($A$1="All",SUMIF('MATCH CALCS'!$D:$D,$A32,'MATCH CALCS'!$AE:$AE)/$E32,(SUMIFS('MATCH CALCS'!$AE:$AE, 'MATCH CALCS'!$D:$D, $A32, 'MATCH CALCS'!$A:$A, $A$1)/$E32)),"-")</f>
        <v>4</v>
      </c>
      <c r="T32" s="112">
        <f t="shared" ca="1" si="1"/>
        <v>6.666666666666667</v>
      </c>
      <c r="U32" s="13">
        <f ca="1">IF($A$1="All",AVERAGEIF('MATCH CALCS'!$D$3:$D1000,$A32,'MATCH CALCS'!$BI$3:$BI1000),AVERAGEIFS('MATCH CALCS'!$BI$3:$BI1000,'MATCH CALCS'!$D$3:$D1000,$A32,'MATCH CALCS'!$A$3:$A1000,$A$1))</f>
        <v>0.9107142857142857</v>
      </c>
      <c r="V32" s="112">
        <f ca="1">IFERROR(IF($A$1="All",SUMIF('MATCH CALCS'!$D:$D,$A32,'MATCH CALCS'!W:W)/$E32,(SUMIFS('MATCH CALCS'!W:W, 'MATCH CALCS'!$D:$D, $A32, 'MATCH CALCS'!$A:$A, $A$1)/$E32)),"-")</f>
        <v>0</v>
      </c>
      <c r="W32" s="112">
        <f ca="1">IFERROR(IF($A$1="All",SUMIF('MATCH CALCS'!$D:$D,$A32,'MATCH CALCS'!X:X)/$E32,(SUMIFS('MATCH CALCS'!X:X, 'MATCH CALCS'!$D:$D, $A32, 'MATCH CALCS'!$A:$A, $A$1)/$E32)),"-")</f>
        <v>0</v>
      </c>
      <c r="X32" s="114" t="e">
        <f ca="1">IF($A$1="All",AVERAGEIF('MATCH CALCS'!$D$3:$D1000,$A32,'MATCH CALCS'!$BF$3:$BF1000),AVERAGEIFS('MATCH CALCS'!$BF$3:$BF1000,'MATCH CALCS'!$D$3:$D1000, $A32, 'MATCH CALCS'!$A$3:$A1000, $A$1))</f>
        <v>#DIV/0!</v>
      </c>
      <c r="Y32" s="115">
        <f ca="1">IF($A$1="All",SUMIF('MATCH CALCS'!$D$3:$D1000,$A32,'MATCH CALCS'!$BJ$3:$BJ1000),SUMIFS('MATCH CALCS'!$BJ$3:$BJ1000,'MATCH CALCS'!$D$3:$D1000, $A32, 'MATCH CALCS'!$A$3:$A1000, $A$1))</f>
        <v>0</v>
      </c>
      <c r="Z32" s="116" t="str">
        <f ca="1">IFERROR(__xludf.DUMMYFUNCTION("IFERROR(IF($A$1=""All"",AVERAGE(FILTER('MATCH CALCS'!$BR$3:$BR1000, 'MATCH CALCS'!$D$3:$D1000=$A32)),AVERAGE(FILTER('MATCH CALCS'!$BR$3:$BR1000, 'MATCH CALCS'!$D$3:$D1000=$A32,'MATCH CALCS'!$A$3:$A1000=$A$1))),""No Data"")"),"No Data")</f>
        <v>No Data</v>
      </c>
      <c r="AA32" s="117" t="str">
        <f ca="1">IFERROR(__xludf.DUMMYFUNCTION("IFERROR(IF($A$1=""All"",IF(COUNTIF(FILTER('MATCH CALCS'!$AT$3:$AT1000,'MATCH CALCS'!$D$3:$D1000=$A32), ""Dc"")&gt;0, IF(COUNTIF(FILTER('MATCH CALCS'!$AT$3:$AT1000,'MATCH CALCS'!$D$3:$D1000=$A32), ""Sc"")&gt;0, ""Mixed"", ""Deep""), IF(COUNTIF(FILTER('MATCH CALC"&amp;"S'!$AT$3:$AT1000,'MATCH CALCS'!$D$3:$D1000=$A32), ""Sc"")&gt;0, ""Shallow"",""None"")),IF(COUNTIF(FILTER('MATCH CALCS'!$AT$3:$AT1000,'MATCH CALCS'!$D$3:$D1000=$A32,'MATCH CALCS'!$A$3:$A1000=$A$1), ""Dc"")&gt;0, IF(COUNTIF(FILTER('MATCH CALCS'!$AT$3:$AT1000,'MAT"&amp;"CH CALCS'!$D$3:$D1000=$A32,'MATCH CALCS'!$A$3:$A1000=$A$1), ""Sc"")&gt;0, ""Mixed"", ""Deep""), IF(COUNTIF(FILTER('MATCH CALCS'!$AT$3:$AT1000,'MATCH CALCS'!$D$3:$D1000=$A32,'MATCH CALCS'!$A$3:$A1000=$A$1), ""Sc"")&gt;0, ""Shallow"",""None""))))"),"Deep")</f>
        <v>Deep</v>
      </c>
      <c r="AB32" s="9">
        <f ca="1">IFERROR(IF($A$1="All",(COUNTIFS('MATCH CALCS'!$AT$3:$AT1000,("=Dc"),'MATCH CALCS'!$D$3:$D1000, $A32)+COUNTIFS('MATCH CALCS'!$AT$3:$AT1000,("=Sc"),'MATCH CALCS'!$D$3:$D1000, $A32))/(COUNTIFS('MATCH CALCS'!$AK$3:$AK1000,("=Dc"),'MATCH CALCS'!$D$3:$D1000, $A32)+COUNTIFS('MATCH CALCS'!$AK$3:$AK1000,("=Sc"),'MATCH CALCS'!$D$3:$D1000, $A32)),(COUNTIFS('MATCH CALCS'!$AT$3:$AT1000,("=Dc"),'MATCH CALCS'!$D$3:$D1000, $A32,'MATCH CALCS'!$A$3:$A1000,$A$1)+COUNTIFS('MATCH CALCS'!$AT$3:$AT1000,("=Sc"),'MATCH CALCS'!$D$3:$D1000, $A32,'MATCH CALCS'!$A$3:$A1000,$A$1))/(COUNTIFS('MATCH CALCS'!$AK$3:$AK1000,("=Dc"),'MATCH CALCS'!$D$3:$D1000, $A32,'MATCH CALCS'!$A$3:$A1000,$A$1)+COUNTIFS('MATCH CALCS'!$AK$3:$AK1000,("=Sc"),'MATCH CALCS'!$D$3:$D1000, $A32,'MATCH CALCS'!$A$3:$A1000,$A$1))),"-")</f>
        <v>0.5</v>
      </c>
      <c r="AC32" s="25">
        <f ca="1">IFERROR(IF($A$1="All",COUNTIFS('MATCH CALCS'!$AT$3:$AT1000,("=Dc"),'MATCH CALCS'!$D$3:$D1000, $A32)+COUNTIFS('MATCH CALCS'!$AT$3:$AT1000,("=Sc"),'MATCH CALCS'!$D$3:$D1000, $A32),COUNTIFS('MATCH CALCS'!$AT$3:$AT1000,("=Dc"),'MATCH CALCS'!$D$3:$D1000, $A32,'MATCH CALCS'!$A$3:$A1000, $A$1)+COUNTIFS('MATCH CALCS'!$AT$3:$AT1000,("=Sc"),'MATCH CALCS'!$D$3:$D1000, $A32,'MATCH CALCS'!$A$3:$A1000, $A$1)),"-")</f>
        <v>1</v>
      </c>
    </row>
    <row r="33" spans="1:29" ht="12.75">
      <c r="A33" s="30">
        <f ca="1">IFERROR(__xludf.DUMMYFUNCTION("""COMPUTED_VALUE"""),3891)</f>
        <v>3891</v>
      </c>
      <c r="B33" s="6" t="str">
        <f ca="1">IFERROR(__xludf.DUMMYFUNCTION("""COMPUTED_VALUE"""),"Rodeo Robotics")</f>
        <v>Rodeo Robotics</v>
      </c>
      <c r="C33" s="30" t="str">
        <f ca="1">IFERROR(__xludf.DUMMYFUNCTION("FILTER('TEAM RANKING'!$A:$A,'TEAM RANKING'!$K:$K=$A33)"),"#N/A")</f>
        <v>#N/A</v>
      </c>
      <c r="D33" s="15"/>
      <c r="E33" s="110">
        <f ca="1">IFERROR((IF($A$1="All", COUNTIF('MATCH CALCS'!$D:$D,$A33), (COUNTIFS('MATCH CALCS'!D:D, $A33, 'MATCH CALCS'!$A:$A,$A$1)))),"-")</f>
        <v>4</v>
      </c>
      <c r="F33" s="111">
        <f ca="1">IFERROR(IF($A$1="All",SUMIF('MATCH CALCS'!$D:$D,$A33,'MATCH CALCS'!$AW:$AW)/$E33,(SUMIFS('MATCH CALCS'!$AW:$AW, 'MATCH CALCS'!$D:$D, $A33, 'MATCH CALCS'!$A:$A, $A$1)/$E33)),"-")</f>
        <v>0.75</v>
      </c>
      <c r="G33" s="112">
        <f ca="1">IFERROR(IF($A$1="All",SUMIF('MATCH CALCS'!$D:$D,$A33,'MATCH CALCS'!O:O)/$E33,(SUMIFS('MATCH CALCS'!O:O, 'MATCH CALCS'!$D:$D, $A33, 'MATCH CALCS'!$A:$A, $A$1)/$E33)),"-")</f>
        <v>0</v>
      </c>
      <c r="H33" s="112">
        <f ca="1">IFERROR(IF($A$1="All",SUMIF('MATCH CALCS'!$D:$D,$A33,'MATCH CALCS'!N:N)/$E33,(SUMIFS('MATCH CALCS'!N:N, 'MATCH CALCS'!$D:$D, $A33, 'MATCH CALCS'!$A:$A, $A$1)/$E33)),"-")</f>
        <v>0</v>
      </c>
      <c r="I33" s="112">
        <f ca="1">IFERROR(IF($A$1="All",SUMIF('MATCH CALCS'!$D:$D,$A33,'MATCH CALCS'!M:M)/$E33,(SUMIFS('MATCH CALCS'!M:M, 'MATCH CALCS'!$D:$D, $A33, 'MATCH CALCS'!$A:$A, $A$1)/$E33)),"-")</f>
        <v>0</v>
      </c>
      <c r="J33" s="112">
        <f ca="1">IFERROR(IF($A$1="All",SUMIF('MATCH CALCS'!$D:$D,$A33,'MATCH CALCS'!L:L)/$E33,(SUMIFS('MATCH CALCS'!L:L, 'MATCH CALCS'!$D:$D, $A33, 'MATCH CALCS'!$A:$A, $A$1)/$E33)),"-")</f>
        <v>0.5</v>
      </c>
      <c r="K33" s="112">
        <f t="shared" ca="1" si="0"/>
        <v>0.5</v>
      </c>
      <c r="L33" s="13">
        <f ca="1">IF($A$1="All",AVERAGEIF('MATCH CALCS'!$D$3:$D1000,$A33,'MATCH CALCS'!$AZ$3:$AZ1000),AVERAGEIFS('MATCH CALCS'!$AZ$3:$AZ1000,'MATCH CALCS'!$D$3:$D1000,$A33,'MATCH CALCS'!$A$3:$A1000,$A$1))</f>
        <v>0.5</v>
      </c>
      <c r="M33" s="112">
        <f ca="1">IF($A$1="All",AVERAGEIF('MATCH CALCS'!$D:$D,$A33,'MATCH CALCS'!R:R),(SUMIFS('MATCH CALCS'!R$3:R1000, 'MATCH CALCS'!$D$3:$D1000, $A33, 'MATCH CALCS'!A$3:A1000, $A$1)/$E33))</f>
        <v>0</v>
      </c>
      <c r="N33" s="112">
        <f ca="1">IFERROR(IF($A$1="All",SUMIF('MATCH CALCS'!$D:$D,$A33,'MATCH CALCS'!S:S)/$E33,(SUMIFS('MATCH CALCS'!S:S, 'MATCH CALCS'!$D:$D, $A33, 'MATCH CALCS'!A:A, $A$1)/$E33)),"-")</f>
        <v>0</v>
      </c>
      <c r="O33" s="113" t="e">
        <f ca="1">IF($A$1="All",AVERAGEIF('MATCH CALCS'!$D$3:$D1000,$A33,'MATCH CALCS'!$BC$3:$BC1000),AVERAGEIFS('MATCH CALCS'!$BC$3:$BC1000,'MATCH CALCS'!$D$3:$D1000,$A33,'MATCH CALCS'!$A$3:$A1000,$A$1))</f>
        <v>#DIV/0!</v>
      </c>
      <c r="P33" s="112">
        <f ca="1">IFERROR(IF($A$1="All",SUMIF('MATCH CALCS'!$D:$D,$A33,'MATCH CALCS'!AH:AH)/$E33,(SUMIFS('MATCH CALCS'!AH:AH, 'MATCH CALCS'!$D:$D, $A33, 'MATCH CALCS'!$A:$A, $A$1)/$E33)),"-")</f>
        <v>0.5</v>
      </c>
      <c r="Q33" s="112">
        <f ca="1">IFERROR(IF($A$1="All",SUMIF('MATCH CALCS'!$D:$D,$A33,'MATCH CALCS'!AG:AG)/$E33,(SUMIFS('MATCH CALCS'!AG:AG, 'MATCH CALCS'!$D:$D, $A33, 'MATCH CALCS'!$A:$A, $A$1)/$E33)),"-")</f>
        <v>0.5</v>
      </c>
      <c r="R33" s="112">
        <f ca="1">IFERROR(IF($A$1="All",SUMIF('MATCH CALCS'!$D:$D,$A33,'MATCH CALCS'!AF:AF)/$E33,(SUMIFS('MATCH CALCS'!AF:AF, 'MATCH CALCS'!$D:$D, $A33, 'MATCH CALCS'!$A:$A, $A$1)/$E33)),"-")</f>
        <v>1.25</v>
      </c>
      <c r="S33" s="112">
        <f ca="1">IFERROR(IF($A$1="All",SUMIF('MATCH CALCS'!$D:$D,$A33,'MATCH CALCS'!$AE:$AE)/$E33,(SUMIFS('MATCH CALCS'!$AE:$AE, 'MATCH CALCS'!$D:$D, $A33, 'MATCH CALCS'!$A:$A, $A$1)/$E33)),"-")</f>
        <v>3.25</v>
      </c>
      <c r="T33" s="112">
        <f t="shared" ca="1" si="1"/>
        <v>5.5</v>
      </c>
      <c r="U33" s="13">
        <f ca="1">IF($A$1="All",AVERAGEIF('MATCH CALCS'!$D$3:$D1000,$A33,'MATCH CALCS'!$BI$3:$BI1000),AVERAGEIFS('MATCH CALCS'!$BI$3:$BI1000,'MATCH CALCS'!$D$3:$D1000,$A33,'MATCH CALCS'!$A$3:$A1000,$A$1))</f>
        <v>0.62914862914862923</v>
      </c>
      <c r="V33" s="112">
        <f ca="1">IFERROR(IF($A$1="All",SUMIF('MATCH CALCS'!$D:$D,$A33,'MATCH CALCS'!W:W)/$E33,(SUMIFS('MATCH CALCS'!W:W, 'MATCH CALCS'!$D:$D, $A33, 'MATCH CALCS'!$A:$A, $A$1)/$E33)),"-")</f>
        <v>0</v>
      </c>
      <c r="W33" s="112">
        <f ca="1">IFERROR(IF($A$1="All",SUMIF('MATCH CALCS'!$D:$D,$A33,'MATCH CALCS'!X:X)/$E33,(SUMIFS('MATCH CALCS'!X:X, 'MATCH CALCS'!$D:$D, $A33, 'MATCH CALCS'!$A:$A, $A$1)/$E33)),"-")</f>
        <v>0</v>
      </c>
      <c r="X33" s="114" t="e">
        <f ca="1">IF($A$1="All",AVERAGEIF('MATCH CALCS'!$D$3:$D1000,$A33,'MATCH CALCS'!$BF$3:$BF1000),AVERAGEIFS('MATCH CALCS'!$BF$3:$BF1000,'MATCH CALCS'!$D$3:$D1000, $A33, 'MATCH CALCS'!$A$3:$A1000, $A$1))</f>
        <v>#DIV/0!</v>
      </c>
      <c r="Y33" s="115">
        <f ca="1">IF($A$1="All",SUMIF('MATCH CALCS'!$D$3:$D1000,$A33,'MATCH CALCS'!$BJ$3:$BJ1000),SUMIFS('MATCH CALCS'!$BJ$3:$BJ1000,'MATCH CALCS'!$D$3:$D1000, $A33, 'MATCH CALCS'!$A$3:$A1000, $A$1))</f>
        <v>0</v>
      </c>
      <c r="Z33" s="116" t="str">
        <f ca="1">IFERROR(__xludf.DUMMYFUNCTION("IFERROR(IF($A$1=""All"",AVERAGE(FILTER('MATCH CALCS'!$BR$3:$BR1000, 'MATCH CALCS'!$D$3:$D1000=$A33)),AVERAGE(FILTER('MATCH CALCS'!$BR$3:$BR1000, 'MATCH CALCS'!$D$3:$D1000=$A33,'MATCH CALCS'!$A$3:$A1000=$A$1))),""No Data"")"),"No Data")</f>
        <v>No Data</v>
      </c>
      <c r="AA33" s="117" t="str">
        <f ca="1">IFERROR(__xludf.DUMMYFUNCTION("IFERROR(IF($A$1=""All"",IF(COUNTIF(FILTER('MATCH CALCS'!$AT$3:$AT1000,'MATCH CALCS'!$D$3:$D1000=$A33), ""Dc"")&gt;0, IF(COUNTIF(FILTER('MATCH CALCS'!$AT$3:$AT1000,'MATCH CALCS'!$D$3:$D1000=$A33), ""Sc"")&gt;0, ""Mixed"", ""Deep""), IF(COUNTIF(FILTER('MATCH CALC"&amp;"S'!$AT$3:$AT1000,'MATCH CALCS'!$D$3:$D1000=$A33), ""Sc"")&gt;0, ""Shallow"",""None"")),IF(COUNTIF(FILTER('MATCH CALCS'!$AT$3:$AT1000,'MATCH CALCS'!$D$3:$D1000=$A33,'MATCH CALCS'!$A$3:$A1000=$A$1), ""Dc"")&gt;0, IF(COUNTIF(FILTER('MATCH CALCS'!$AT$3:$AT1000,'MAT"&amp;"CH CALCS'!$D$3:$D1000=$A33,'MATCH CALCS'!$A$3:$A1000=$A$1), ""Sc"")&gt;0, ""Mixed"", ""Deep""), IF(COUNTIF(FILTER('MATCH CALCS'!$AT$3:$AT1000,'MATCH CALCS'!$D$3:$D1000=$A33,'MATCH CALCS'!$A$3:$A1000=$A$1), ""Sc"")&gt;0, ""Shallow"",""None""))))"),"None")</f>
        <v>None</v>
      </c>
      <c r="AB33" s="9" t="str">
        <f ca="1">IFERROR(IF($A$1="All",(COUNTIFS('MATCH CALCS'!$AT$3:$AT1000,("=Dc"),'MATCH CALCS'!$D$3:$D1000, $A33)+COUNTIFS('MATCH CALCS'!$AT$3:$AT1000,("=Sc"),'MATCH CALCS'!$D$3:$D1000, $A33))/(COUNTIFS('MATCH CALCS'!$AK$3:$AK1000,("=Dc"),'MATCH CALCS'!$D$3:$D1000, $A33)+COUNTIFS('MATCH CALCS'!$AK$3:$AK1000,("=Sc"),'MATCH CALCS'!$D$3:$D1000, $A33)),(COUNTIFS('MATCH CALCS'!$AT$3:$AT1000,("=Dc"),'MATCH CALCS'!$D$3:$D1000, $A33,'MATCH CALCS'!$A$3:$A1000,$A$1)+COUNTIFS('MATCH CALCS'!$AT$3:$AT1000,("=Sc"),'MATCH CALCS'!$D$3:$D1000, $A33,'MATCH CALCS'!$A$3:$A1000,$A$1))/(COUNTIFS('MATCH CALCS'!$AK$3:$AK1000,("=Dc"),'MATCH CALCS'!$D$3:$D1000, $A33,'MATCH CALCS'!$A$3:$A1000,$A$1)+COUNTIFS('MATCH CALCS'!$AK$3:$AK1000,("=Sc"),'MATCH CALCS'!$D$3:$D1000, $A33,'MATCH CALCS'!$A$3:$A1000,$A$1))),"-")</f>
        <v>-</v>
      </c>
      <c r="AC33" s="25">
        <f ca="1">IFERROR(IF($A$1="All",COUNTIFS('MATCH CALCS'!$AT$3:$AT1000,("=Dc"),'MATCH CALCS'!$D$3:$D1000, $A33)+COUNTIFS('MATCH CALCS'!$AT$3:$AT1000,("=Sc"),'MATCH CALCS'!$D$3:$D1000, $A33),COUNTIFS('MATCH CALCS'!$AT$3:$AT1000,("=Dc"),'MATCH CALCS'!$D$3:$D1000, $A33,'MATCH CALCS'!$A$3:$A1000, $A$1)+COUNTIFS('MATCH CALCS'!$AT$3:$AT1000,("=Sc"),'MATCH CALCS'!$D$3:$D1000, $A33,'MATCH CALCS'!$A$3:$A1000, $A$1)),"-")</f>
        <v>0</v>
      </c>
    </row>
    <row r="34" spans="1:29" ht="12.75">
      <c r="A34" s="30">
        <f ca="1">IFERROR(__xludf.DUMMYFUNCTION("""COMPUTED_VALUE"""),3926)</f>
        <v>3926</v>
      </c>
      <c r="B34" s="6" t="str">
        <f ca="1">IFERROR(__xludf.DUMMYFUNCTION("""COMPUTED_VALUE"""),"MPArors")</f>
        <v>MPArors</v>
      </c>
      <c r="C34" s="30" t="str">
        <f ca="1">IFERROR(__xludf.DUMMYFUNCTION("FILTER('TEAM RANKING'!$A:$A,'TEAM RANKING'!$K:$K=$A34)"),"#N/A")</f>
        <v>#N/A</v>
      </c>
      <c r="D34" s="15"/>
      <c r="E34" s="110">
        <f ca="1">IFERROR((IF($A$1="All", COUNTIF('MATCH CALCS'!$D:$D,$A34), (COUNTIFS('MATCH CALCS'!D:D, $A34, 'MATCH CALCS'!$A:$A,$A$1)))),"-")</f>
        <v>2</v>
      </c>
      <c r="F34" s="111">
        <f ca="1">IFERROR(IF($A$1="All",SUMIF('MATCH CALCS'!$D:$D,$A34,'MATCH CALCS'!$AW:$AW)/$E34,(SUMIFS('MATCH CALCS'!$AW:$AW, 'MATCH CALCS'!$D:$D, $A34, 'MATCH CALCS'!$A:$A, $A$1)/$E34)),"-")</f>
        <v>0.5</v>
      </c>
      <c r="G34" s="112">
        <f ca="1">IFERROR(IF($A$1="All",SUMIF('MATCH CALCS'!$D:$D,$A34,'MATCH CALCS'!O:O)/$E34,(SUMIFS('MATCH CALCS'!O:O, 'MATCH CALCS'!$D:$D, $A34, 'MATCH CALCS'!$A:$A, $A$1)/$E34)),"-")</f>
        <v>0</v>
      </c>
      <c r="H34" s="112">
        <f ca="1">IFERROR(IF($A$1="All",SUMIF('MATCH CALCS'!$D:$D,$A34,'MATCH CALCS'!N:N)/$E34,(SUMIFS('MATCH CALCS'!N:N, 'MATCH CALCS'!$D:$D, $A34, 'MATCH CALCS'!$A:$A, $A$1)/$E34)),"-")</f>
        <v>0</v>
      </c>
      <c r="I34" s="112">
        <f ca="1">IFERROR(IF($A$1="All",SUMIF('MATCH CALCS'!$D:$D,$A34,'MATCH CALCS'!M:M)/$E34,(SUMIFS('MATCH CALCS'!M:M, 'MATCH CALCS'!$D:$D, $A34, 'MATCH CALCS'!$A:$A, $A$1)/$E34)),"-")</f>
        <v>0</v>
      </c>
      <c r="J34" s="112">
        <f ca="1">IFERROR(IF($A$1="All",SUMIF('MATCH CALCS'!$D:$D,$A34,'MATCH CALCS'!L:L)/$E34,(SUMIFS('MATCH CALCS'!L:L, 'MATCH CALCS'!$D:$D, $A34, 'MATCH CALCS'!$A:$A, $A$1)/$E34)),"-")</f>
        <v>0</v>
      </c>
      <c r="K34" s="112">
        <f t="shared" ca="1" si="0"/>
        <v>0</v>
      </c>
      <c r="L34" s="13" t="e">
        <f ca="1">IF($A$1="All",AVERAGEIF('MATCH CALCS'!$D$3:$D1000,$A34,'MATCH CALCS'!$AZ$3:$AZ1000),AVERAGEIFS('MATCH CALCS'!$AZ$3:$AZ1000,'MATCH CALCS'!$D$3:$D1000,$A34,'MATCH CALCS'!$A$3:$A1000,$A$1))</f>
        <v>#DIV/0!</v>
      </c>
      <c r="M34" s="112">
        <f ca="1">IF($A$1="All",AVERAGEIF('MATCH CALCS'!$D:$D,$A34,'MATCH CALCS'!R:R),(SUMIFS('MATCH CALCS'!R$3:R1000, 'MATCH CALCS'!$D$3:$D1000, $A34, 'MATCH CALCS'!A$3:A1000, $A$1)/$E34))</f>
        <v>0</v>
      </c>
      <c r="N34" s="112">
        <f ca="1">IFERROR(IF($A$1="All",SUMIF('MATCH CALCS'!$D:$D,$A34,'MATCH CALCS'!S:S)/$E34,(SUMIFS('MATCH CALCS'!S:S, 'MATCH CALCS'!$D:$D, $A34, 'MATCH CALCS'!A:A, $A$1)/$E34)),"-")</f>
        <v>0</v>
      </c>
      <c r="O34" s="113" t="e">
        <f ca="1">IF($A$1="All",AVERAGEIF('MATCH CALCS'!$D$3:$D1000,$A34,'MATCH CALCS'!$BC$3:$BC1000),AVERAGEIFS('MATCH CALCS'!$BC$3:$BC1000,'MATCH CALCS'!$D$3:$D1000,$A34,'MATCH CALCS'!$A$3:$A1000,$A$1))</f>
        <v>#DIV/0!</v>
      </c>
      <c r="P34" s="112">
        <f ca="1">IFERROR(IF($A$1="All",SUMIF('MATCH CALCS'!$D:$D,$A34,'MATCH CALCS'!AH:AH)/$E34,(SUMIFS('MATCH CALCS'!AH:AH, 'MATCH CALCS'!$D:$D, $A34, 'MATCH CALCS'!$A:$A, $A$1)/$E34)),"-")</f>
        <v>0</v>
      </c>
      <c r="Q34" s="112">
        <f ca="1">IFERROR(IF($A$1="All",SUMIF('MATCH CALCS'!$D:$D,$A34,'MATCH CALCS'!AG:AG)/$E34,(SUMIFS('MATCH CALCS'!AG:AG, 'MATCH CALCS'!$D:$D, $A34, 'MATCH CALCS'!$A:$A, $A$1)/$E34)),"-")</f>
        <v>1.5</v>
      </c>
      <c r="R34" s="112">
        <f ca="1">IFERROR(IF($A$1="All",SUMIF('MATCH CALCS'!$D:$D,$A34,'MATCH CALCS'!AF:AF)/$E34,(SUMIFS('MATCH CALCS'!AF:AF, 'MATCH CALCS'!$D:$D, $A34, 'MATCH CALCS'!$A:$A, $A$1)/$E34)),"-")</f>
        <v>0</v>
      </c>
      <c r="S34" s="112">
        <f ca="1">IFERROR(IF($A$1="All",SUMIF('MATCH CALCS'!$D:$D,$A34,'MATCH CALCS'!$AE:$AE)/$E34,(SUMIFS('MATCH CALCS'!$AE:$AE, 'MATCH CALCS'!$D:$D, $A34, 'MATCH CALCS'!$A:$A, $A$1)/$E34)),"-")</f>
        <v>1.5</v>
      </c>
      <c r="T34" s="112">
        <f t="shared" ca="1" si="1"/>
        <v>3</v>
      </c>
      <c r="U34" s="13">
        <f ca="1">IF($A$1="All",AVERAGEIF('MATCH CALCS'!$D$3:$D1000,$A34,'MATCH CALCS'!$BI$3:$BI1000),AVERAGEIFS('MATCH CALCS'!$BI$3:$BI1000,'MATCH CALCS'!$D$3:$D1000,$A34,'MATCH CALCS'!$A$3:$A1000,$A$1))</f>
        <v>0.75</v>
      </c>
      <c r="V34" s="112">
        <f ca="1">IFERROR(IF($A$1="All",SUMIF('MATCH CALCS'!$D:$D,$A34,'MATCH CALCS'!W:W)/$E34,(SUMIFS('MATCH CALCS'!W:W, 'MATCH CALCS'!$D:$D, $A34, 'MATCH CALCS'!$A:$A, $A$1)/$E34)),"-")</f>
        <v>0</v>
      </c>
      <c r="W34" s="112">
        <f ca="1">IFERROR(IF($A$1="All",SUMIF('MATCH CALCS'!$D:$D,$A34,'MATCH CALCS'!X:X)/$E34,(SUMIFS('MATCH CALCS'!X:X, 'MATCH CALCS'!$D:$D, $A34, 'MATCH CALCS'!$A:$A, $A$1)/$E34)),"-")</f>
        <v>0</v>
      </c>
      <c r="X34" s="114" t="e">
        <f ca="1">IF($A$1="All",AVERAGEIF('MATCH CALCS'!$D$3:$D1000,$A34,'MATCH CALCS'!$BF$3:$BF1000),AVERAGEIFS('MATCH CALCS'!$BF$3:$BF1000,'MATCH CALCS'!$D$3:$D1000, $A34, 'MATCH CALCS'!$A$3:$A1000, $A$1))</f>
        <v>#DIV/0!</v>
      </c>
      <c r="Y34" s="115">
        <f ca="1">IF($A$1="All",SUMIF('MATCH CALCS'!$D$3:$D1000,$A34,'MATCH CALCS'!$BJ$3:$BJ1000),SUMIFS('MATCH CALCS'!$BJ$3:$BJ1000,'MATCH CALCS'!$D$3:$D1000, $A34, 'MATCH CALCS'!$A$3:$A1000, $A$1))</f>
        <v>0</v>
      </c>
      <c r="Z34" s="116" t="str">
        <f ca="1">IFERROR(__xludf.DUMMYFUNCTION("IFERROR(IF($A$1=""All"",AVERAGE(FILTER('MATCH CALCS'!$BR$3:$BR1000, 'MATCH CALCS'!$D$3:$D1000=$A34)),AVERAGE(FILTER('MATCH CALCS'!$BR$3:$BR1000, 'MATCH CALCS'!$D$3:$D1000=$A34,'MATCH CALCS'!$A$3:$A1000=$A$1))),""No Data"")"),"No Data")</f>
        <v>No Data</v>
      </c>
      <c r="AA34" s="117" t="str">
        <f ca="1">IFERROR(__xludf.DUMMYFUNCTION("IFERROR(IF($A$1=""All"",IF(COUNTIF(FILTER('MATCH CALCS'!$AT$3:$AT1000,'MATCH CALCS'!$D$3:$D1000=$A34), ""Dc"")&gt;0, IF(COUNTIF(FILTER('MATCH CALCS'!$AT$3:$AT1000,'MATCH CALCS'!$D$3:$D1000=$A34), ""Sc"")&gt;0, ""Mixed"", ""Deep""), IF(COUNTIF(FILTER('MATCH CALC"&amp;"S'!$AT$3:$AT1000,'MATCH CALCS'!$D$3:$D1000=$A34), ""Sc"")&gt;0, ""Shallow"",""None"")),IF(COUNTIF(FILTER('MATCH CALCS'!$AT$3:$AT1000,'MATCH CALCS'!$D$3:$D1000=$A34,'MATCH CALCS'!$A$3:$A1000=$A$1), ""Dc"")&gt;0, IF(COUNTIF(FILTER('MATCH CALCS'!$AT$3:$AT1000,'MAT"&amp;"CH CALCS'!$D$3:$D1000=$A34,'MATCH CALCS'!$A$3:$A1000=$A$1), ""Sc"")&gt;0, ""Mixed"", ""Deep""), IF(COUNTIF(FILTER('MATCH CALCS'!$AT$3:$AT1000,'MATCH CALCS'!$D$3:$D1000=$A34,'MATCH CALCS'!$A$3:$A1000=$A$1), ""Sc"")&gt;0, ""Shallow"",""None""))))"),"None")</f>
        <v>None</v>
      </c>
      <c r="AB34" s="9" t="str">
        <f ca="1">IFERROR(IF($A$1="All",(COUNTIFS('MATCH CALCS'!$AT$3:$AT1000,("=Dc"),'MATCH CALCS'!$D$3:$D1000, $A34)+COUNTIFS('MATCH CALCS'!$AT$3:$AT1000,("=Sc"),'MATCH CALCS'!$D$3:$D1000, $A34))/(COUNTIFS('MATCH CALCS'!$AK$3:$AK1000,("=Dc"),'MATCH CALCS'!$D$3:$D1000, $A34)+COUNTIFS('MATCH CALCS'!$AK$3:$AK1000,("=Sc"),'MATCH CALCS'!$D$3:$D1000, $A34)),(COUNTIFS('MATCH CALCS'!$AT$3:$AT1000,("=Dc"),'MATCH CALCS'!$D$3:$D1000, $A34,'MATCH CALCS'!$A$3:$A1000,$A$1)+COUNTIFS('MATCH CALCS'!$AT$3:$AT1000,("=Sc"),'MATCH CALCS'!$D$3:$D1000, $A34,'MATCH CALCS'!$A$3:$A1000,$A$1))/(COUNTIFS('MATCH CALCS'!$AK$3:$AK1000,("=Dc"),'MATCH CALCS'!$D$3:$D1000, $A34,'MATCH CALCS'!$A$3:$A1000,$A$1)+COUNTIFS('MATCH CALCS'!$AK$3:$AK1000,("=Sc"),'MATCH CALCS'!$D$3:$D1000, $A34,'MATCH CALCS'!$A$3:$A1000,$A$1))),"-")</f>
        <v>-</v>
      </c>
      <c r="AC34" s="25">
        <f ca="1">IFERROR(IF($A$1="All",COUNTIFS('MATCH CALCS'!$AT$3:$AT1000,("=Dc"),'MATCH CALCS'!$D$3:$D1000, $A34)+COUNTIFS('MATCH CALCS'!$AT$3:$AT1000,("=Sc"),'MATCH CALCS'!$D$3:$D1000, $A34),COUNTIFS('MATCH CALCS'!$AT$3:$AT1000,("=Dc"),'MATCH CALCS'!$D$3:$D1000, $A34,'MATCH CALCS'!$A$3:$A1000, $A$1)+COUNTIFS('MATCH CALCS'!$AT$3:$AT1000,("=Sc"),'MATCH CALCS'!$D$3:$D1000, $A34,'MATCH CALCS'!$A$3:$A1000, $A$1)),"-")</f>
        <v>0</v>
      </c>
    </row>
    <row r="35" spans="1:29" ht="12.75">
      <c r="A35" s="30">
        <f ca="1">IFERROR(__xludf.DUMMYFUNCTION("""COMPUTED_VALUE"""),4174)</f>
        <v>4174</v>
      </c>
      <c r="B35" s="6" t="str">
        <f ca="1">IFERROR(__xludf.DUMMYFUNCTION("""COMPUTED_VALUE"""),"Mustang Robotics")</f>
        <v>Mustang Robotics</v>
      </c>
      <c r="C35" s="30" t="str">
        <f ca="1">IFERROR(__xludf.DUMMYFUNCTION("FILTER('TEAM RANKING'!$A:$A,'TEAM RANKING'!$K:$K=$A35)"),"#N/A")</f>
        <v>#N/A</v>
      </c>
      <c r="D35" s="15"/>
      <c r="E35" s="110">
        <f ca="1">IFERROR((IF($A$1="All", COUNTIF('MATCH CALCS'!$D:$D,$A35), (COUNTIFS('MATCH CALCS'!D:D, $A35, 'MATCH CALCS'!$A:$A,$A$1)))),"-")</f>
        <v>3</v>
      </c>
      <c r="F35" s="111">
        <f ca="1">IFERROR(IF($A$1="All",SUMIF('MATCH CALCS'!$D:$D,$A35,'MATCH CALCS'!$AW:$AW)/$E35,(SUMIFS('MATCH CALCS'!$AW:$AW, 'MATCH CALCS'!$D:$D, $A35, 'MATCH CALCS'!$A:$A, $A$1)/$E35)),"-")</f>
        <v>1</v>
      </c>
      <c r="G35" s="112">
        <f ca="1">IFERROR(IF($A$1="All",SUMIF('MATCH CALCS'!$D:$D,$A35,'MATCH CALCS'!O:O)/$E35,(SUMIFS('MATCH CALCS'!O:O, 'MATCH CALCS'!$D:$D, $A35, 'MATCH CALCS'!$A:$A, $A$1)/$E35)),"-")</f>
        <v>0</v>
      </c>
      <c r="H35" s="112">
        <f ca="1">IFERROR(IF($A$1="All",SUMIF('MATCH CALCS'!$D:$D,$A35,'MATCH CALCS'!N:N)/$E35,(SUMIFS('MATCH CALCS'!N:N, 'MATCH CALCS'!$D:$D, $A35, 'MATCH CALCS'!$A:$A, $A$1)/$E35)),"-")</f>
        <v>0</v>
      </c>
      <c r="I35" s="112">
        <f ca="1">IFERROR(IF($A$1="All",SUMIF('MATCH CALCS'!$D:$D,$A35,'MATCH CALCS'!M:M)/$E35,(SUMIFS('MATCH CALCS'!M:M, 'MATCH CALCS'!$D:$D, $A35, 'MATCH CALCS'!$A:$A, $A$1)/$E35)),"-")</f>
        <v>0</v>
      </c>
      <c r="J35" s="112">
        <f ca="1">IFERROR(IF($A$1="All",SUMIF('MATCH CALCS'!$D:$D,$A35,'MATCH CALCS'!L:L)/$E35,(SUMIFS('MATCH CALCS'!L:L, 'MATCH CALCS'!$D:$D, $A35, 'MATCH CALCS'!$A:$A, $A$1)/$E35)),"-")</f>
        <v>2</v>
      </c>
      <c r="K35" s="112">
        <f t="shared" ca="1" si="0"/>
        <v>2</v>
      </c>
      <c r="L35" s="13">
        <f ca="1">IF($A$1="All",AVERAGEIF('MATCH CALCS'!$D$3:$D1000,$A35,'MATCH CALCS'!$AZ$3:$AZ1000),AVERAGEIFS('MATCH CALCS'!$AZ$3:$AZ1000,'MATCH CALCS'!$D$3:$D1000,$A35,'MATCH CALCS'!$A$3:$A1000,$A$1))</f>
        <v>1</v>
      </c>
      <c r="M35" s="112">
        <f ca="1">IF($A$1="All",AVERAGEIF('MATCH CALCS'!$D:$D,$A35,'MATCH CALCS'!R:R),(SUMIFS('MATCH CALCS'!R$3:R1000, 'MATCH CALCS'!$D$3:$D1000, $A35, 'MATCH CALCS'!A$3:A1000, $A$1)/$E35))</f>
        <v>0</v>
      </c>
      <c r="N35" s="112">
        <f ca="1">IFERROR(IF($A$1="All",SUMIF('MATCH CALCS'!$D:$D,$A35,'MATCH CALCS'!S:S)/$E35,(SUMIFS('MATCH CALCS'!S:S, 'MATCH CALCS'!$D:$D, $A35, 'MATCH CALCS'!A:A, $A$1)/$E35)),"-")</f>
        <v>0</v>
      </c>
      <c r="O35" s="113" t="e">
        <f ca="1">IF($A$1="All",AVERAGEIF('MATCH CALCS'!$D$3:$D1000,$A35,'MATCH CALCS'!$BC$3:$BC1000),AVERAGEIFS('MATCH CALCS'!$BC$3:$BC1000,'MATCH CALCS'!$D$3:$D1000,$A35,'MATCH CALCS'!$A$3:$A1000,$A$1))</f>
        <v>#DIV/0!</v>
      </c>
      <c r="P35" s="112">
        <f ca="1">IFERROR(IF($A$1="All",SUMIF('MATCH CALCS'!$D:$D,$A35,'MATCH CALCS'!AH:AH)/$E35,(SUMIFS('MATCH CALCS'!AH:AH, 'MATCH CALCS'!$D:$D, $A35, 'MATCH CALCS'!$A:$A, $A$1)/$E35)),"-")</f>
        <v>0</v>
      </c>
      <c r="Q35" s="112">
        <f ca="1">IFERROR(IF($A$1="All",SUMIF('MATCH CALCS'!$D:$D,$A35,'MATCH CALCS'!AG:AG)/$E35,(SUMIFS('MATCH CALCS'!AG:AG, 'MATCH CALCS'!$D:$D, $A35, 'MATCH CALCS'!$A:$A, $A$1)/$E35)),"-")</f>
        <v>0.33333333333333331</v>
      </c>
      <c r="R35" s="112">
        <f ca="1">IFERROR(IF($A$1="All",SUMIF('MATCH CALCS'!$D:$D,$A35,'MATCH CALCS'!AF:AF)/$E35,(SUMIFS('MATCH CALCS'!AF:AF, 'MATCH CALCS'!$D:$D, $A35, 'MATCH CALCS'!$A:$A, $A$1)/$E35)),"-")</f>
        <v>2.3333333333333335</v>
      </c>
      <c r="S35" s="112">
        <f ca="1">IFERROR(IF($A$1="All",SUMIF('MATCH CALCS'!$D:$D,$A35,'MATCH CALCS'!$AE:$AE)/$E35,(SUMIFS('MATCH CALCS'!$AE:$AE, 'MATCH CALCS'!$D:$D, $A35, 'MATCH CALCS'!$A:$A, $A$1)/$E35)),"-")</f>
        <v>5.333333333333333</v>
      </c>
      <c r="T35" s="112">
        <f t="shared" ca="1" si="1"/>
        <v>8</v>
      </c>
      <c r="U35" s="13">
        <f ca="1">IF($A$1="All",AVERAGEIF('MATCH CALCS'!$D$3:$D1000,$A35,'MATCH CALCS'!$BI$3:$BI1000),AVERAGEIFS('MATCH CALCS'!$BI$3:$BI1000,'MATCH CALCS'!$D$3:$D1000,$A35,'MATCH CALCS'!$A$3:$A1000,$A$1))</f>
        <v>0.88888888888888884</v>
      </c>
      <c r="V35" s="112">
        <f ca="1">IFERROR(IF($A$1="All",SUMIF('MATCH CALCS'!$D:$D,$A35,'MATCH CALCS'!W:W)/$E35,(SUMIFS('MATCH CALCS'!W:W, 'MATCH CALCS'!$D:$D, $A35, 'MATCH CALCS'!$A:$A, $A$1)/$E35)),"-")</f>
        <v>0</v>
      </c>
      <c r="W35" s="112">
        <f ca="1">IFERROR(IF($A$1="All",SUMIF('MATCH CALCS'!$D:$D,$A35,'MATCH CALCS'!X:X)/$E35,(SUMIFS('MATCH CALCS'!X:X, 'MATCH CALCS'!$D:$D, $A35, 'MATCH CALCS'!$A:$A, $A$1)/$E35)),"-")</f>
        <v>0</v>
      </c>
      <c r="X35" s="114" t="e">
        <f ca="1">IF($A$1="All",AVERAGEIF('MATCH CALCS'!$D$3:$D1000,$A35,'MATCH CALCS'!$BF$3:$BF1000),AVERAGEIFS('MATCH CALCS'!$BF$3:$BF1000,'MATCH CALCS'!$D$3:$D1000, $A35, 'MATCH CALCS'!$A$3:$A1000, $A$1))</f>
        <v>#DIV/0!</v>
      </c>
      <c r="Y35" s="115">
        <f ca="1">IF($A$1="All",SUMIF('MATCH CALCS'!$D$3:$D1000,$A35,'MATCH CALCS'!$BJ$3:$BJ1000),SUMIFS('MATCH CALCS'!$BJ$3:$BJ1000,'MATCH CALCS'!$D$3:$D1000, $A35, 'MATCH CALCS'!$A$3:$A1000, $A$1))</f>
        <v>0</v>
      </c>
      <c r="Z35" s="116" t="str">
        <f ca="1">IFERROR(__xludf.DUMMYFUNCTION("IFERROR(IF($A$1=""All"",AVERAGE(FILTER('MATCH CALCS'!$BR$3:$BR1000, 'MATCH CALCS'!$D$3:$D1000=$A35)),AVERAGE(FILTER('MATCH CALCS'!$BR$3:$BR1000, 'MATCH CALCS'!$D$3:$D1000=$A35,'MATCH CALCS'!$A$3:$A1000=$A$1))),""No Data"")"),"No Data")</f>
        <v>No Data</v>
      </c>
      <c r="AA35" s="117" t="str">
        <f ca="1">IFERROR(__xludf.DUMMYFUNCTION("IFERROR(IF($A$1=""All"",IF(COUNTIF(FILTER('MATCH CALCS'!$AT$3:$AT1000,'MATCH CALCS'!$D$3:$D1000=$A35), ""Dc"")&gt;0, IF(COUNTIF(FILTER('MATCH CALCS'!$AT$3:$AT1000,'MATCH CALCS'!$D$3:$D1000=$A35), ""Sc"")&gt;0, ""Mixed"", ""Deep""), IF(COUNTIF(FILTER('MATCH CALC"&amp;"S'!$AT$3:$AT1000,'MATCH CALCS'!$D$3:$D1000=$A35), ""Sc"")&gt;0, ""Shallow"",""None"")),IF(COUNTIF(FILTER('MATCH CALCS'!$AT$3:$AT1000,'MATCH CALCS'!$D$3:$D1000=$A35,'MATCH CALCS'!$A$3:$A1000=$A$1), ""Dc"")&gt;0, IF(COUNTIF(FILTER('MATCH CALCS'!$AT$3:$AT1000,'MAT"&amp;"CH CALCS'!$D$3:$D1000=$A35,'MATCH CALCS'!$A$3:$A1000=$A$1), ""Sc"")&gt;0, ""Mixed"", ""Deep""), IF(COUNTIF(FILTER('MATCH CALCS'!$AT$3:$AT1000,'MATCH CALCS'!$D$3:$D1000=$A35,'MATCH CALCS'!$A$3:$A1000=$A$1), ""Sc"")&gt;0, ""Shallow"",""None""))))"),"Deep")</f>
        <v>Deep</v>
      </c>
      <c r="AB35" s="9">
        <f ca="1">IFERROR(IF($A$1="All",(COUNTIFS('MATCH CALCS'!$AT$3:$AT1000,("=Dc"),'MATCH CALCS'!$D$3:$D1000, $A35)+COUNTIFS('MATCH CALCS'!$AT$3:$AT1000,("=Sc"),'MATCH CALCS'!$D$3:$D1000, $A35))/(COUNTIFS('MATCH CALCS'!$AK$3:$AK1000,("=Dc"),'MATCH CALCS'!$D$3:$D1000, $A35)+COUNTIFS('MATCH CALCS'!$AK$3:$AK1000,("=Sc"),'MATCH CALCS'!$D$3:$D1000, $A35)),(COUNTIFS('MATCH CALCS'!$AT$3:$AT1000,("=Dc"),'MATCH CALCS'!$D$3:$D1000, $A35,'MATCH CALCS'!$A$3:$A1000,$A$1)+COUNTIFS('MATCH CALCS'!$AT$3:$AT1000,("=Sc"),'MATCH CALCS'!$D$3:$D1000, $A35,'MATCH CALCS'!$A$3:$A1000,$A$1))/(COUNTIFS('MATCH CALCS'!$AK$3:$AK1000,("=Dc"),'MATCH CALCS'!$D$3:$D1000, $A35,'MATCH CALCS'!$A$3:$A1000,$A$1)+COUNTIFS('MATCH CALCS'!$AK$3:$AK1000,("=Sc"),'MATCH CALCS'!$D$3:$D1000, $A35,'MATCH CALCS'!$A$3:$A1000,$A$1))),"-")</f>
        <v>0.33333333333333331</v>
      </c>
      <c r="AC35" s="25">
        <f ca="1">IFERROR(IF($A$1="All",COUNTIFS('MATCH CALCS'!$AT$3:$AT1000,("=Dc"),'MATCH CALCS'!$D$3:$D1000, $A35)+COUNTIFS('MATCH CALCS'!$AT$3:$AT1000,("=Sc"),'MATCH CALCS'!$D$3:$D1000, $A35),COUNTIFS('MATCH CALCS'!$AT$3:$AT1000,("=Dc"),'MATCH CALCS'!$D$3:$D1000, $A35,'MATCH CALCS'!$A$3:$A1000, $A$1)+COUNTIFS('MATCH CALCS'!$AT$3:$AT1000,("=Sc"),'MATCH CALCS'!$D$3:$D1000, $A35,'MATCH CALCS'!$A$3:$A1000, $A$1)),"-")</f>
        <v>1</v>
      </c>
    </row>
    <row r="36" spans="1:29" ht="12.75">
      <c r="A36" s="30">
        <f ca="1">IFERROR(__xludf.DUMMYFUNCTION("""COMPUTED_VALUE"""),4225)</f>
        <v>4225</v>
      </c>
      <c r="B36" s="6" t="str">
        <f ca="1">IFERROR(__xludf.DUMMYFUNCTION("""COMPUTED_VALUE"""),"RoboCats")</f>
        <v>RoboCats</v>
      </c>
      <c r="C36" s="30" t="str">
        <f ca="1">IFERROR(__xludf.DUMMYFUNCTION("FILTER('TEAM RANKING'!$A:$A,'TEAM RANKING'!$K:$K=$A36)"),"#N/A")</f>
        <v>#N/A</v>
      </c>
      <c r="D36" s="15"/>
      <c r="E36" s="110">
        <f ca="1">IFERROR((IF($A$1="All", COUNTIF('MATCH CALCS'!$D:$D,$A36), (COUNTIFS('MATCH CALCS'!D:D, $A36, 'MATCH CALCS'!$A:$A,$A$1)))),"-")</f>
        <v>2</v>
      </c>
      <c r="F36" s="111">
        <f ca="1">IFERROR(IF($A$1="All",SUMIF('MATCH CALCS'!$D:$D,$A36,'MATCH CALCS'!$AW:$AW)/$E36,(SUMIFS('MATCH CALCS'!$AW:$AW, 'MATCH CALCS'!$D:$D, $A36, 'MATCH CALCS'!$A:$A, $A$1)/$E36)),"-")</f>
        <v>1</v>
      </c>
      <c r="G36" s="112">
        <f ca="1">IFERROR(IF($A$1="All",SUMIF('MATCH CALCS'!$D:$D,$A36,'MATCH CALCS'!O:O)/$E36,(SUMIFS('MATCH CALCS'!O:O, 'MATCH CALCS'!$D:$D, $A36, 'MATCH CALCS'!$A:$A, $A$1)/$E36)),"-")</f>
        <v>0</v>
      </c>
      <c r="H36" s="112">
        <f ca="1">IFERROR(IF($A$1="All",SUMIF('MATCH CALCS'!$D:$D,$A36,'MATCH CALCS'!N:N)/$E36,(SUMIFS('MATCH CALCS'!N:N, 'MATCH CALCS'!$D:$D, $A36, 'MATCH CALCS'!$A:$A, $A$1)/$E36)),"-")</f>
        <v>0</v>
      </c>
      <c r="I36" s="112">
        <f ca="1">IFERROR(IF($A$1="All",SUMIF('MATCH CALCS'!$D:$D,$A36,'MATCH CALCS'!M:M)/$E36,(SUMIFS('MATCH CALCS'!M:M, 'MATCH CALCS'!$D:$D, $A36, 'MATCH CALCS'!$A:$A, $A$1)/$E36)),"-")</f>
        <v>0</v>
      </c>
      <c r="J36" s="112">
        <f ca="1">IFERROR(IF($A$1="All",SUMIF('MATCH CALCS'!$D:$D,$A36,'MATCH CALCS'!L:L)/$E36,(SUMIFS('MATCH CALCS'!L:L, 'MATCH CALCS'!$D:$D, $A36, 'MATCH CALCS'!$A:$A, $A$1)/$E36)),"-")</f>
        <v>0</v>
      </c>
      <c r="K36" s="112">
        <f t="shared" ca="1" si="0"/>
        <v>0</v>
      </c>
      <c r="L36" s="13" t="e">
        <f ca="1">IF($A$1="All",AVERAGEIF('MATCH CALCS'!$D$3:$D1000,$A36,'MATCH CALCS'!$AZ$3:$AZ1000),AVERAGEIFS('MATCH CALCS'!$AZ$3:$AZ1000,'MATCH CALCS'!$D$3:$D1000,$A36,'MATCH CALCS'!$A$3:$A1000,$A$1))</f>
        <v>#DIV/0!</v>
      </c>
      <c r="M36" s="112">
        <f ca="1">IF($A$1="All",AVERAGEIF('MATCH CALCS'!$D:$D,$A36,'MATCH CALCS'!R:R),(SUMIFS('MATCH CALCS'!R$3:R1000, 'MATCH CALCS'!$D$3:$D1000, $A36, 'MATCH CALCS'!A$3:A1000, $A$1)/$E36))</f>
        <v>0</v>
      </c>
      <c r="N36" s="112">
        <f ca="1">IFERROR(IF($A$1="All",SUMIF('MATCH CALCS'!$D:$D,$A36,'MATCH CALCS'!S:S)/$E36,(SUMIFS('MATCH CALCS'!S:S, 'MATCH CALCS'!$D:$D, $A36, 'MATCH CALCS'!A:A, $A$1)/$E36)),"-")</f>
        <v>0</v>
      </c>
      <c r="O36" s="113" t="e">
        <f ca="1">IF($A$1="All",AVERAGEIF('MATCH CALCS'!$D$3:$D1000,$A36,'MATCH CALCS'!$BC$3:$BC1000),AVERAGEIFS('MATCH CALCS'!$BC$3:$BC1000,'MATCH CALCS'!$D$3:$D1000,$A36,'MATCH CALCS'!$A$3:$A1000,$A$1))</f>
        <v>#DIV/0!</v>
      </c>
      <c r="P36" s="112">
        <f ca="1">IFERROR(IF($A$1="All",SUMIF('MATCH CALCS'!$D:$D,$A36,'MATCH CALCS'!AH:AH)/$E36,(SUMIFS('MATCH CALCS'!AH:AH, 'MATCH CALCS'!$D:$D, $A36, 'MATCH CALCS'!$A:$A, $A$1)/$E36)),"-")</f>
        <v>1.5</v>
      </c>
      <c r="Q36" s="112">
        <f ca="1">IFERROR(IF($A$1="All",SUMIF('MATCH CALCS'!$D:$D,$A36,'MATCH CALCS'!AG:AG)/$E36,(SUMIFS('MATCH CALCS'!AG:AG, 'MATCH CALCS'!$D:$D, $A36, 'MATCH CALCS'!$A:$A, $A$1)/$E36)),"-")</f>
        <v>0</v>
      </c>
      <c r="R36" s="112">
        <f ca="1">IFERROR(IF($A$1="All",SUMIF('MATCH CALCS'!$D:$D,$A36,'MATCH CALCS'!AF:AF)/$E36,(SUMIFS('MATCH CALCS'!AF:AF, 'MATCH CALCS'!$D:$D, $A36, 'MATCH CALCS'!$A:$A, $A$1)/$E36)),"-")</f>
        <v>0</v>
      </c>
      <c r="S36" s="112">
        <f ca="1">IFERROR(IF($A$1="All",SUMIF('MATCH CALCS'!$D:$D,$A36,'MATCH CALCS'!$AE:$AE)/$E36,(SUMIFS('MATCH CALCS'!$AE:$AE, 'MATCH CALCS'!$D:$D, $A36, 'MATCH CALCS'!$A:$A, $A$1)/$E36)),"-")</f>
        <v>0</v>
      </c>
      <c r="T36" s="112">
        <f t="shared" ca="1" si="1"/>
        <v>1.5</v>
      </c>
      <c r="U36" s="13">
        <f ca="1">IF($A$1="All",AVERAGEIF('MATCH CALCS'!$D$3:$D1000,$A36,'MATCH CALCS'!$BI$3:$BI1000),AVERAGEIFS('MATCH CALCS'!$BI$3:$BI1000,'MATCH CALCS'!$D$3:$D1000,$A36,'MATCH CALCS'!$A$3:$A1000,$A$1))</f>
        <v>0.29166666666666663</v>
      </c>
      <c r="V36" s="112">
        <f ca="1">IFERROR(IF($A$1="All",SUMIF('MATCH CALCS'!$D:$D,$A36,'MATCH CALCS'!W:W)/$E36,(SUMIFS('MATCH CALCS'!W:W, 'MATCH CALCS'!$D:$D, $A36, 'MATCH CALCS'!$A:$A, $A$1)/$E36)),"-")</f>
        <v>0</v>
      </c>
      <c r="W36" s="112">
        <f ca="1">IFERROR(IF($A$1="All",SUMIF('MATCH CALCS'!$D:$D,$A36,'MATCH CALCS'!X:X)/$E36,(SUMIFS('MATCH CALCS'!X:X, 'MATCH CALCS'!$D:$D, $A36, 'MATCH CALCS'!$A:$A, $A$1)/$E36)),"-")</f>
        <v>0</v>
      </c>
      <c r="X36" s="114" t="e">
        <f ca="1">IF($A$1="All",AVERAGEIF('MATCH CALCS'!$D$3:$D1000,$A36,'MATCH CALCS'!$BF$3:$BF1000),AVERAGEIFS('MATCH CALCS'!$BF$3:$BF1000,'MATCH CALCS'!$D$3:$D1000, $A36, 'MATCH CALCS'!$A$3:$A1000, $A$1))</f>
        <v>#DIV/0!</v>
      </c>
      <c r="Y36" s="115">
        <f ca="1">IF($A$1="All",SUMIF('MATCH CALCS'!$D$3:$D1000,$A36,'MATCH CALCS'!$BJ$3:$BJ1000),SUMIFS('MATCH CALCS'!$BJ$3:$BJ1000,'MATCH CALCS'!$D$3:$D1000, $A36, 'MATCH CALCS'!$A$3:$A1000, $A$1))</f>
        <v>0</v>
      </c>
      <c r="Z36" s="116" t="str">
        <f ca="1">IFERROR(__xludf.DUMMYFUNCTION("IFERROR(IF($A$1=""All"",AVERAGE(FILTER('MATCH CALCS'!$BR$3:$BR1000, 'MATCH CALCS'!$D$3:$D1000=$A36)),AVERAGE(FILTER('MATCH CALCS'!$BR$3:$BR1000, 'MATCH CALCS'!$D$3:$D1000=$A36,'MATCH CALCS'!$A$3:$A1000=$A$1))),""No Data"")"),"No Data")</f>
        <v>No Data</v>
      </c>
      <c r="AA36" s="117" t="str">
        <f ca="1">IFERROR(__xludf.DUMMYFUNCTION("IFERROR(IF($A$1=""All"",IF(COUNTIF(FILTER('MATCH CALCS'!$AT$3:$AT1000,'MATCH CALCS'!$D$3:$D1000=$A36), ""Dc"")&gt;0, IF(COUNTIF(FILTER('MATCH CALCS'!$AT$3:$AT1000,'MATCH CALCS'!$D$3:$D1000=$A36), ""Sc"")&gt;0, ""Mixed"", ""Deep""), IF(COUNTIF(FILTER('MATCH CALC"&amp;"S'!$AT$3:$AT1000,'MATCH CALCS'!$D$3:$D1000=$A36), ""Sc"")&gt;0, ""Shallow"",""None"")),IF(COUNTIF(FILTER('MATCH CALCS'!$AT$3:$AT1000,'MATCH CALCS'!$D$3:$D1000=$A36,'MATCH CALCS'!$A$3:$A1000=$A$1), ""Dc"")&gt;0, IF(COUNTIF(FILTER('MATCH CALCS'!$AT$3:$AT1000,'MAT"&amp;"CH CALCS'!$D$3:$D1000=$A36,'MATCH CALCS'!$A$3:$A1000=$A$1), ""Sc"")&gt;0, ""Mixed"", ""Deep""), IF(COUNTIF(FILTER('MATCH CALCS'!$AT$3:$AT1000,'MATCH CALCS'!$D$3:$D1000=$A36,'MATCH CALCS'!$A$3:$A1000=$A$1), ""Sc"")&gt;0, ""Shallow"",""None""))))"),"None")</f>
        <v>None</v>
      </c>
      <c r="AB36" s="9" t="str">
        <f ca="1">IFERROR(IF($A$1="All",(COUNTIFS('MATCH CALCS'!$AT$3:$AT1000,("=Dc"),'MATCH CALCS'!$D$3:$D1000, $A36)+COUNTIFS('MATCH CALCS'!$AT$3:$AT1000,("=Sc"),'MATCH CALCS'!$D$3:$D1000, $A36))/(COUNTIFS('MATCH CALCS'!$AK$3:$AK1000,("=Dc"),'MATCH CALCS'!$D$3:$D1000, $A36)+COUNTIFS('MATCH CALCS'!$AK$3:$AK1000,("=Sc"),'MATCH CALCS'!$D$3:$D1000, $A36)),(COUNTIFS('MATCH CALCS'!$AT$3:$AT1000,("=Dc"),'MATCH CALCS'!$D$3:$D1000, $A36,'MATCH CALCS'!$A$3:$A1000,$A$1)+COUNTIFS('MATCH CALCS'!$AT$3:$AT1000,("=Sc"),'MATCH CALCS'!$D$3:$D1000, $A36,'MATCH CALCS'!$A$3:$A1000,$A$1))/(COUNTIFS('MATCH CALCS'!$AK$3:$AK1000,("=Dc"),'MATCH CALCS'!$D$3:$D1000, $A36,'MATCH CALCS'!$A$3:$A1000,$A$1)+COUNTIFS('MATCH CALCS'!$AK$3:$AK1000,("=Sc"),'MATCH CALCS'!$D$3:$D1000, $A36,'MATCH CALCS'!$A$3:$A1000,$A$1))),"-")</f>
        <v>-</v>
      </c>
      <c r="AC36" s="25">
        <f ca="1">IFERROR(IF($A$1="All",COUNTIFS('MATCH CALCS'!$AT$3:$AT1000,("=Dc"),'MATCH CALCS'!$D$3:$D1000, $A36)+COUNTIFS('MATCH CALCS'!$AT$3:$AT1000,("=Sc"),'MATCH CALCS'!$D$3:$D1000, $A36),COUNTIFS('MATCH CALCS'!$AT$3:$AT1000,("=Dc"),'MATCH CALCS'!$D$3:$D1000, $A36,'MATCH CALCS'!$A$3:$A1000, $A$1)+COUNTIFS('MATCH CALCS'!$AT$3:$AT1000,("=Sc"),'MATCH CALCS'!$D$3:$D1000, $A36,'MATCH CALCS'!$A$3:$A1000, $A$1)),"-")</f>
        <v>0</v>
      </c>
    </row>
    <row r="37" spans="1:29" ht="12.75">
      <c r="A37" s="30">
        <f ca="1">IFERROR(__xludf.DUMMYFUNCTION("""COMPUTED_VALUE"""),4229)</f>
        <v>4229</v>
      </c>
      <c r="B37" s="6" t="str">
        <f ca="1">IFERROR(__xludf.DUMMYFUNCTION("""COMPUTED_VALUE"""),"Magnetech")</f>
        <v>Magnetech</v>
      </c>
      <c r="C37" s="30" t="str">
        <f ca="1">IFERROR(__xludf.DUMMYFUNCTION("FILTER('TEAM RANKING'!$A:$A,'TEAM RANKING'!$K:$K=$A37)"),"#N/A")</f>
        <v>#N/A</v>
      </c>
      <c r="D37" s="15"/>
      <c r="E37" s="110">
        <f ca="1">IFERROR((IF($A$1="All", COUNTIF('MATCH CALCS'!$D:$D,$A37), (COUNTIFS('MATCH CALCS'!D:D, $A37, 'MATCH CALCS'!$A:$A,$A$1)))),"-")</f>
        <v>2</v>
      </c>
      <c r="F37" s="111">
        <f ca="1">IFERROR(IF($A$1="All",SUMIF('MATCH CALCS'!$D:$D,$A37,'MATCH CALCS'!$AW:$AW)/$E37,(SUMIFS('MATCH CALCS'!$AW:$AW, 'MATCH CALCS'!$D:$D, $A37, 'MATCH CALCS'!$A:$A, $A$1)/$E37)),"-")</f>
        <v>0.5</v>
      </c>
      <c r="G37" s="112">
        <f ca="1">IFERROR(IF($A$1="All",SUMIF('MATCH CALCS'!$D:$D,$A37,'MATCH CALCS'!O:O)/$E37,(SUMIFS('MATCH CALCS'!O:O, 'MATCH CALCS'!$D:$D, $A37, 'MATCH CALCS'!$A:$A, $A$1)/$E37)),"-")</f>
        <v>0</v>
      </c>
      <c r="H37" s="112">
        <f ca="1">IFERROR(IF($A$1="All",SUMIF('MATCH CALCS'!$D:$D,$A37,'MATCH CALCS'!N:N)/$E37,(SUMIFS('MATCH CALCS'!N:N, 'MATCH CALCS'!$D:$D, $A37, 'MATCH CALCS'!$A:$A, $A$1)/$E37)),"-")</f>
        <v>0</v>
      </c>
      <c r="I37" s="112">
        <f ca="1">IFERROR(IF($A$1="All",SUMIF('MATCH CALCS'!$D:$D,$A37,'MATCH CALCS'!M:M)/$E37,(SUMIFS('MATCH CALCS'!M:M, 'MATCH CALCS'!$D:$D, $A37, 'MATCH CALCS'!$A:$A, $A$1)/$E37)),"-")</f>
        <v>0</v>
      </c>
      <c r="J37" s="112">
        <f ca="1">IFERROR(IF($A$1="All",SUMIF('MATCH CALCS'!$D:$D,$A37,'MATCH CALCS'!L:L)/$E37,(SUMIFS('MATCH CALCS'!L:L, 'MATCH CALCS'!$D:$D, $A37, 'MATCH CALCS'!$A:$A, $A$1)/$E37)),"-")</f>
        <v>0</v>
      </c>
      <c r="K37" s="112">
        <f t="shared" ca="1" si="0"/>
        <v>0</v>
      </c>
      <c r="L37" s="13" t="e">
        <f ca="1">IF($A$1="All",AVERAGEIF('MATCH CALCS'!$D$3:$D1000,$A37,'MATCH CALCS'!$AZ$3:$AZ1000),AVERAGEIFS('MATCH CALCS'!$AZ$3:$AZ1000,'MATCH CALCS'!$D$3:$D1000,$A37,'MATCH CALCS'!$A$3:$A1000,$A$1))</f>
        <v>#DIV/0!</v>
      </c>
      <c r="M37" s="112">
        <f ca="1">IF($A$1="All",AVERAGEIF('MATCH CALCS'!$D:$D,$A37,'MATCH CALCS'!R:R),(SUMIFS('MATCH CALCS'!R$3:R1000, 'MATCH CALCS'!$D$3:$D1000, $A37, 'MATCH CALCS'!A$3:A1000, $A$1)/$E37))</f>
        <v>0</v>
      </c>
      <c r="N37" s="112">
        <f ca="1">IFERROR(IF($A$1="All",SUMIF('MATCH CALCS'!$D:$D,$A37,'MATCH CALCS'!S:S)/$E37,(SUMIFS('MATCH CALCS'!S:S, 'MATCH CALCS'!$D:$D, $A37, 'MATCH CALCS'!A:A, $A$1)/$E37)),"-")</f>
        <v>0</v>
      </c>
      <c r="O37" s="113" t="e">
        <f ca="1">IF($A$1="All",AVERAGEIF('MATCH CALCS'!$D$3:$D1000,$A37,'MATCH CALCS'!$BC$3:$BC1000),AVERAGEIFS('MATCH CALCS'!$BC$3:$BC1000,'MATCH CALCS'!$D$3:$D1000,$A37,'MATCH CALCS'!$A$3:$A1000,$A$1))</f>
        <v>#DIV/0!</v>
      </c>
      <c r="P37" s="112">
        <f ca="1">IFERROR(IF($A$1="All",SUMIF('MATCH CALCS'!$D:$D,$A37,'MATCH CALCS'!AH:AH)/$E37,(SUMIFS('MATCH CALCS'!AH:AH, 'MATCH CALCS'!$D:$D, $A37, 'MATCH CALCS'!$A:$A, $A$1)/$E37)),"-")</f>
        <v>0</v>
      </c>
      <c r="Q37" s="112">
        <f ca="1">IFERROR(IF($A$1="All",SUMIF('MATCH CALCS'!$D:$D,$A37,'MATCH CALCS'!AG:AG)/$E37,(SUMIFS('MATCH CALCS'!AG:AG, 'MATCH CALCS'!$D:$D, $A37, 'MATCH CALCS'!$A:$A, $A$1)/$E37)),"-")</f>
        <v>0</v>
      </c>
      <c r="R37" s="112">
        <f ca="1">IFERROR(IF($A$1="All",SUMIF('MATCH CALCS'!$D:$D,$A37,'MATCH CALCS'!AF:AF)/$E37,(SUMIFS('MATCH CALCS'!AF:AF, 'MATCH CALCS'!$D:$D, $A37, 'MATCH CALCS'!$A:$A, $A$1)/$E37)),"-")</f>
        <v>0</v>
      </c>
      <c r="S37" s="112">
        <f ca="1">IFERROR(IF($A$1="All",SUMIF('MATCH CALCS'!$D:$D,$A37,'MATCH CALCS'!$AE:$AE)/$E37,(SUMIFS('MATCH CALCS'!$AE:$AE, 'MATCH CALCS'!$D:$D, $A37, 'MATCH CALCS'!$A:$A, $A$1)/$E37)),"-")</f>
        <v>0</v>
      </c>
      <c r="T37" s="112">
        <f t="shared" ca="1" si="1"/>
        <v>0</v>
      </c>
      <c r="U37" s="13" t="e">
        <f ca="1">IF($A$1="All",AVERAGEIF('MATCH CALCS'!$D$3:$D1000,$A37,'MATCH CALCS'!$BI$3:$BI1000),AVERAGEIFS('MATCH CALCS'!$BI$3:$BI1000,'MATCH CALCS'!$D$3:$D1000,$A37,'MATCH CALCS'!$A$3:$A1000,$A$1))</f>
        <v>#DIV/0!</v>
      </c>
      <c r="V37" s="112">
        <f ca="1">IFERROR(IF($A$1="All",SUMIF('MATCH CALCS'!$D:$D,$A37,'MATCH CALCS'!W:W)/$E37,(SUMIFS('MATCH CALCS'!W:W, 'MATCH CALCS'!$D:$D, $A37, 'MATCH CALCS'!$A:$A, $A$1)/$E37)),"-")</f>
        <v>0</v>
      </c>
      <c r="W37" s="112">
        <f ca="1">IFERROR(IF($A$1="All",SUMIF('MATCH CALCS'!$D:$D,$A37,'MATCH CALCS'!X:X)/$E37,(SUMIFS('MATCH CALCS'!X:X, 'MATCH CALCS'!$D:$D, $A37, 'MATCH CALCS'!$A:$A, $A$1)/$E37)),"-")</f>
        <v>0</v>
      </c>
      <c r="X37" s="114" t="e">
        <f ca="1">IF($A$1="All",AVERAGEIF('MATCH CALCS'!$D$3:$D1000,$A37,'MATCH CALCS'!$BF$3:$BF1000),AVERAGEIFS('MATCH CALCS'!$BF$3:$BF1000,'MATCH CALCS'!$D$3:$D1000, $A37, 'MATCH CALCS'!$A$3:$A1000, $A$1))</f>
        <v>#DIV/0!</v>
      </c>
      <c r="Y37" s="115">
        <f ca="1">IF($A$1="All",SUMIF('MATCH CALCS'!$D$3:$D1000,$A37,'MATCH CALCS'!$BJ$3:$BJ1000),SUMIFS('MATCH CALCS'!$BJ$3:$BJ1000,'MATCH CALCS'!$D$3:$D1000, $A37, 'MATCH CALCS'!$A$3:$A1000, $A$1))</f>
        <v>0</v>
      </c>
      <c r="Z37" s="116" t="str">
        <f ca="1">IFERROR(__xludf.DUMMYFUNCTION("IFERROR(IF($A$1=""All"",AVERAGE(FILTER('MATCH CALCS'!$BR$3:$BR1000, 'MATCH CALCS'!$D$3:$D1000=$A37)),AVERAGE(FILTER('MATCH CALCS'!$BR$3:$BR1000, 'MATCH CALCS'!$D$3:$D1000=$A37,'MATCH CALCS'!$A$3:$A1000=$A$1))),""No Data"")"),"No Data")</f>
        <v>No Data</v>
      </c>
      <c r="AA37" s="117" t="str">
        <f ca="1">IFERROR(__xludf.DUMMYFUNCTION("IFERROR(IF($A$1=""All"",IF(COUNTIF(FILTER('MATCH CALCS'!$AT$3:$AT1000,'MATCH CALCS'!$D$3:$D1000=$A37), ""Dc"")&gt;0, IF(COUNTIF(FILTER('MATCH CALCS'!$AT$3:$AT1000,'MATCH CALCS'!$D$3:$D1000=$A37), ""Sc"")&gt;0, ""Mixed"", ""Deep""), IF(COUNTIF(FILTER('MATCH CALC"&amp;"S'!$AT$3:$AT1000,'MATCH CALCS'!$D$3:$D1000=$A37), ""Sc"")&gt;0, ""Shallow"",""None"")),IF(COUNTIF(FILTER('MATCH CALCS'!$AT$3:$AT1000,'MATCH CALCS'!$D$3:$D1000=$A37,'MATCH CALCS'!$A$3:$A1000=$A$1), ""Dc"")&gt;0, IF(COUNTIF(FILTER('MATCH CALCS'!$AT$3:$AT1000,'MAT"&amp;"CH CALCS'!$D$3:$D1000=$A37,'MATCH CALCS'!$A$3:$A1000=$A$1), ""Sc"")&gt;0, ""Mixed"", ""Deep""), IF(COUNTIF(FILTER('MATCH CALCS'!$AT$3:$AT1000,'MATCH CALCS'!$D$3:$D1000=$A37,'MATCH CALCS'!$A$3:$A1000=$A$1), ""Sc"")&gt;0, ""Shallow"",""None""))))"),"None")</f>
        <v>None</v>
      </c>
      <c r="AB37" s="9" t="str">
        <f ca="1">IFERROR(IF($A$1="All",(COUNTIFS('MATCH CALCS'!$AT$3:$AT1000,("=Dc"),'MATCH CALCS'!$D$3:$D1000, $A37)+COUNTIFS('MATCH CALCS'!$AT$3:$AT1000,("=Sc"),'MATCH CALCS'!$D$3:$D1000, $A37))/(COUNTIFS('MATCH CALCS'!$AK$3:$AK1000,("=Dc"),'MATCH CALCS'!$D$3:$D1000, $A37)+COUNTIFS('MATCH CALCS'!$AK$3:$AK1000,("=Sc"),'MATCH CALCS'!$D$3:$D1000, $A37)),(COUNTIFS('MATCH CALCS'!$AT$3:$AT1000,("=Dc"),'MATCH CALCS'!$D$3:$D1000, $A37,'MATCH CALCS'!$A$3:$A1000,$A$1)+COUNTIFS('MATCH CALCS'!$AT$3:$AT1000,("=Sc"),'MATCH CALCS'!$D$3:$D1000, $A37,'MATCH CALCS'!$A$3:$A1000,$A$1))/(COUNTIFS('MATCH CALCS'!$AK$3:$AK1000,("=Dc"),'MATCH CALCS'!$D$3:$D1000, $A37,'MATCH CALCS'!$A$3:$A1000,$A$1)+COUNTIFS('MATCH CALCS'!$AK$3:$AK1000,("=Sc"),'MATCH CALCS'!$D$3:$D1000, $A37,'MATCH CALCS'!$A$3:$A1000,$A$1))),"-")</f>
        <v>-</v>
      </c>
      <c r="AC37" s="25">
        <f ca="1">IFERROR(IF($A$1="All",COUNTIFS('MATCH CALCS'!$AT$3:$AT1000,("=Dc"),'MATCH CALCS'!$D$3:$D1000, $A37)+COUNTIFS('MATCH CALCS'!$AT$3:$AT1000,("=Sc"),'MATCH CALCS'!$D$3:$D1000, $A37),COUNTIFS('MATCH CALCS'!$AT$3:$AT1000,("=Dc"),'MATCH CALCS'!$D$3:$D1000, $A37,'MATCH CALCS'!$A$3:$A1000, $A$1)+COUNTIFS('MATCH CALCS'!$AT$3:$AT1000,("=Sc"),'MATCH CALCS'!$D$3:$D1000, $A37,'MATCH CALCS'!$A$3:$A1000, $A$1)),"-")</f>
        <v>0</v>
      </c>
    </row>
    <row r="38" spans="1:29" ht="12.75">
      <c r="A38" s="30">
        <f ca="1">IFERROR(__xludf.DUMMYFUNCTION("""COMPUTED_VALUE"""),4663)</f>
        <v>4663</v>
      </c>
      <c r="B38" s="6" t="str">
        <f ca="1">IFERROR(__xludf.DUMMYFUNCTION("""COMPUTED_VALUE"""),"Cyber Tigers")</f>
        <v>Cyber Tigers</v>
      </c>
      <c r="C38" s="30" t="str">
        <f ca="1">IFERROR(__xludf.DUMMYFUNCTION("FILTER('TEAM RANKING'!$A:$A,'TEAM RANKING'!$K:$K=$A38)"),"#N/A")</f>
        <v>#N/A</v>
      </c>
      <c r="D38" s="15"/>
      <c r="E38" s="110">
        <f ca="1">IFERROR((IF($A$1="All", COUNTIF('MATCH CALCS'!$D:$D,$A38), (COUNTIFS('MATCH CALCS'!D:D, $A38, 'MATCH CALCS'!$A:$A,$A$1)))),"-")</f>
        <v>3</v>
      </c>
      <c r="F38" s="111">
        <f ca="1">IFERROR(IF($A$1="All",SUMIF('MATCH CALCS'!$D:$D,$A38,'MATCH CALCS'!$AW:$AW)/$E38,(SUMIFS('MATCH CALCS'!$AW:$AW, 'MATCH CALCS'!$D:$D, $A38, 'MATCH CALCS'!$A:$A, $A$1)/$E38)),"-")</f>
        <v>0.33333333333333331</v>
      </c>
      <c r="G38" s="112">
        <f ca="1">IFERROR(IF($A$1="All",SUMIF('MATCH CALCS'!$D:$D,$A38,'MATCH CALCS'!O:O)/$E38,(SUMIFS('MATCH CALCS'!O:O, 'MATCH CALCS'!$D:$D, $A38, 'MATCH CALCS'!$A:$A, $A$1)/$E38)),"-")</f>
        <v>0.66666666666666663</v>
      </c>
      <c r="H38" s="112">
        <f ca="1">IFERROR(IF($A$1="All",SUMIF('MATCH CALCS'!$D:$D,$A38,'MATCH CALCS'!N:N)/$E38,(SUMIFS('MATCH CALCS'!N:N, 'MATCH CALCS'!$D:$D, $A38, 'MATCH CALCS'!$A:$A, $A$1)/$E38)),"-")</f>
        <v>0</v>
      </c>
      <c r="I38" s="112">
        <f ca="1">IFERROR(IF($A$1="All",SUMIF('MATCH CALCS'!$D:$D,$A38,'MATCH CALCS'!M:M)/$E38,(SUMIFS('MATCH CALCS'!M:M, 'MATCH CALCS'!$D:$D, $A38, 'MATCH CALCS'!$A:$A, $A$1)/$E38)),"-")</f>
        <v>0</v>
      </c>
      <c r="J38" s="112">
        <f ca="1">IFERROR(IF($A$1="All",SUMIF('MATCH CALCS'!$D:$D,$A38,'MATCH CALCS'!L:L)/$E38,(SUMIFS('MATCH CALCS'!L:L, 'MATCH CALCS'!$D:$D, $A38, 'MATCH CALCS'!$A:$A, $A$1)/$E38)),"-")</f>
        <v>0</v>
      </c>
      <c r="K38" s="112">
        <f t="shared" ca="1" si="0"/>
        <v>0.66666666666666663</v>
      </c>
      <c r="L38" s="13">
        <f ca="1">IF($A$1="All",AVERAGEIF('MATCH CALCS'!$D$3:$D1000,$A38,'MATCH CALCS'!$AZ$3:$AZ1000),AVERAGEIFS('MATCH CALCS'!$AZ$3:$AZ1000,'MATCH CALCS'!$D$3:$D1000,$A38,'MATCH CALCS'!$A$3:$A1000,$A$1))</f>
        <v>1</v>
      </c>
      <c r="M38" s="112">
        <f ca="1">IF($A$1="All",AVERAGEIF('MATCH CALCS'!$D:$D,$A38,'MATCH CALCS'!R:R),(SUMIFS('MATCH CALCS'!R$3:R1000, 'MATCH CALCS'!$D$3:$D1000, $A38, 'MATCH CALCS'!A$3:A1000, $A$1)/$E38))</f>
        <v>0</v>
      </c>
      <c r="N38" s="112">
        <f ca="1">IFERROR(IF($A$1="All",SUMIF('MATCH CALCS'!$D:$D,$A38,'MATCH CALCS'!S:S)/$E38,(SUMIFS('MATCH CALCS'!S:S, 'MATCH CALCS'!$D:$D, $A38, 'MATCH CALCS'!A:A, $A$1)/$E38)),"-")</f>
        <v>0</v>
      </c>
      <c r="O38" s="113">
        <f ca="1">IF($A$1="All",AVERAGEIF('MATCH CALCS'!$D$3:$D1000,$A38,'MATCH CALCS'!$BC$3:$BC1000),AVERAGEIFS('MATCH CALCS'!$BC$3:$BC1000,'MATCH CALCS'!$D$3:$D1000,$A38,'MATCH CALCS'!$A$3:$A1000,$A$1))</f>
        <v>0</v>
      </c>
      <c r="P38" s="112">
        <f ca="1">IFERROR(IF($A$1="All",SUMIF('MATCH CALCS'!$D:$D,$A38,'MATCH CALCS'!AH:AH)/$E38,(SUMIFS('MATCH CALCS'!AH:AH, 'MATCH CALCS'!$D:$D, $A38, 'MATCH CALCS'!$A:$A, $A$1)/$E38)),"-")</f>
        <v>0</v>
      </c>
      <c r="Q38" s="112">
        <f ca="1">IFERROR(IF($A$1="All",SUMIF('MATCH CALCS'!$D:$D,$A38,'MATCH CALCS'!AG:AG)/$E38,(SUMIFS('MATCH CALCS'!AG:AG, 'MATCH CALCS'!$D:$D, $A38, 'MATCH CALCS'!$A:$A, $A$1)/$E38)),"-")</f>
        <v>0.33333333333333331</v>
      </c>
      <c r="R38" s="112">
        <f ca="1">IFERROR(IF($A$1="All",SUMIF('MATCH CALCS'!$D:$D,$A38,'MATCH CALCS'!AF:AF)/$E38,(SUMIFS('MATCH CALCS'!AF:AF, 'MATCH CALCS'!$D:$D, $A38, 'MATCH CALCS'!$A:$A, $A$1)/$E38)),"-")</f>
        <v>0</v>
      </c>
      <c r="S38" s="112">
        <f ca="1">IFERROR(IF($A$1="All",SUMIF('MATCH CALCS'!$D:$D,$A38,'MATCH CALCS'!$AE:$AE)/$E38,(SUMIFS('MATCH CALCS'!$AE:$AE, 'MATCH CALCS'!$D:$D, $A38, 'MATCH CALCS'!$A:$A, $A$1)/$E38)),"-")</f>
        <v>0.66666666666666663</v>
      </c>
      <c r="T38" s="112">
        <f t="shared" ca="1" si="1"/>
        <v>1</v>
      </c>
      <c r="U38" s="13">
        <f ca="1">IF($A$1="All",AVERAGEIF('MATCH CALCS'!$D$3:$D1000,$A38,'MATCH CALCS'!$BI$3:$BI1000),AVERAGEIFS('MATCH CALCS'!$BI$3:$BI1000,'MATCH CALCS'!$D$3:$D1000,$A38,'MATCH CALCS'!$A$3:$A1000,$A$1))</f>
        <v>1</v>
      </c>
      <c r="V38" s="112">
        <f ca="1">IFERROR(IF($A$1="All",SUMIF('MATCH CALCS'!$D:$D,$A38,'MATCH CALCS'!W:W)/$E38,(SUMIFS('MATCH CALCS'!W:W, 'MATCH CALCS'!$D:$D, $A38, 'MATCH CALCS'!$A:$A, $A$1)/$E38)),"-")</f>
        <v>1.3333333333333333</v>
      </c>
      <c r="W38" s="112">
        <f ca="1">IFERROR(IF($A$1="All",SUMIF('MATCH CALCS'!$D:$D,$A38,'MATCH CALCS'!X:X)/$E38,(SUMIFS('MATCH CALCS'!X:X, 'MATCH CALCS'!$D:$D, $A38, 'MATCH CALCS'!$A:$A, $A$1)/$E38)),"-")</f>
        <v>3.3333333333333335</v>
      </c>
      <c r="X38" s="114">
        <f ca="1">IF($A$1="All",AVERAGEIF('MATCH CALCS'!$D$3:$D1000,$A38,'MATCH CALCS'!$BF$3:$BF1000),AVERAGEIFS('MATCH CALCS'!$BF$3:$BF1000,'MATCH CALCS'!$D$3:$D1000, $A38, 'MATCH CALCS'!$A$3:$A1000, $A$1))</f>
        <v>0.93333333333333324</v>
      </c>
      <c r="Y38" s="115">
        <f ca="1">IF($A$1="All",SUMIF('MATCH CALCS'!$D$3:$D1000,$A38,'MATCH CALCS'!$BJ$3:$BJ1000),SUMIFS('MATCH CALCS'!$BJ$3:$BJ1000,'MATCH CALCS'!$D$3:$D1000, $A38, 'MATCH CALCS'!$A$3:$A1000, $A$1))</f>
        <v>0</v>
      </c>
      <c r="Z38" s="116" t="str">
        <f ca="1">IFERROR(__xludf.DUMMYFUNCTION("IFERROR(IF($A$1=""All"",AVERAGE(FILTER('MATCH CALCS'!$BR$3:$BR1000, 'MATCH CALCS'!$D$3:$D1000=$A38)),AVERAGE(FILTER('MATCH CALCS'!$BR$3:$BR1000, 'MATCH CALCS'!$D$3:$D1000=$A38,'MATCH CALCS'!$A$3:$A1000=$A$1))),""No Data"")"),"No Data")</f>
        <v>No Data</v>
      </c>
      <c r="AA38" s="117" t="str">
        <f ca="1">IFERROR(__xludf.DUMMYFUNCTION("IFERROR(IF($A$1=""All"",IF(COUNTIF(FILTER('MATCH CALCS'!$AT$3:$AT1000,'MATCH CALCS'!$D$3:$D1000=$A38), ""Dc"")&gt;0, IF(COUNTIF(FILTER('MATCH CALCS'!$AT$3:$AT1000,'MATCH CALCS'!$D$3:$D1000=$A38), ""Sc"")&gt;0, ""Mixed"", ""Deep""), IF(COUNTIF(FILTER('MATCH CALC"&amp;"S'!$AT$3:$AT1000,'MATCH CALCS'!$D$3:$D1000=$A38), ""Sc"")&gt;0, ""Shallow"",""None"")),IF(COUNTIF(FILTER('MATCH CALCS'!$AT$3:$AT1000,'MATCH CALCS'!$D$3:$D1000=$A38,'MATCH CALCS'!$A$3:$A1000=$A$1), ""Dc"")&gt;0, IF(COUNTIF(FILTER('MATCH CALCS'!$AT$3:$AT1000,'MAT"&amp;"CH CALCS'!$D$3:$D1000=$A38,'MATCH CALCS'!$A$3:$A1000=$A$1), ""Sc"")&gt;0, ""Mixed"", ""Deep""), IF(COUNTIF(FILTER('MATCH CALCS'!$AT$3:$AT1000,'MATCH CALCS'!$D$3:$D1000=$A38,'MATCH CALCS'!$A$3:$A1000=$A$1), ""Sc"")&gt;0, ""Shallow"",""None""))))"),"None")</f>
        <v>None</v>
      </c>
      <c r="AB38" s="9">
        <f ca="1">IFERROR(IF($A$1="All",(COUNTIFS('MATCH CALCS'!$AT$3:$AT1000,("=Dc"),'MATCH CALCS'!$D$3:$D1000, $A38)+COUNTIFS('MATCH CALCS'!$AT$3:$AT1000,("=Sc"),'MATCH CALCS'!$D$3:$D1000, $A38))/(COUNTIFS('MATCH CALCS'!$AK$3:$AK1000,("=Dc"),'MATCH CALCS'!$D$3:$D1000, $A38)+COUNTIFS('MATCH CALCS'!$AK$3:$AK1000,("=Sc"),'MATCH CALCS'!$D$3:$D1000, $A38)),(COUNTIFS('MATCH CALCS'!$AT$3:$AT1000,("=Dc"),'MATCH CALCS'!$D$3:$D1000, $A38,'MATCH CALCS'!$A$3:$A1000,$A$1)+COUNTIFS('MATCH CALCS'!$AT$3:$AT1000,("=Sc"),'MATCH CALCS'!$D$3:$D1000, $A38,'MATCH CALCS'!$A$3:$A1000,$A$1))/(COUNTIFS('MATCH CALCS'!$AK$3:$AK1000,("=Dc"),'MATCH CALCS'!$D$3:$D1000, $A38,'MATCH CALCS'!$A$3:$A1000,$A$1)+COUNTIFS('MATCH CALCS'!$AK$3:$AK1000,("=Sc"),'MATCH CALCS'!$D$3:$D1000, $A38,'MATCH CALCS'!$A$3:$A1000,$A$1))),"-")</f>
        <v>0</v>
      </c>
      <c r="AC38" s="25">
        <f ca="1">IFERROR(IF($A$1="All",COUNTIFS('MATCH CALCS'!$AT$3:$AT1000,("=Dc"),'MATCH CALCS'!$D$3:$D1000, $A38)+COUNTIFS('MATCH CALCS'!$AT$3:$AT1000,("=Sc"),'MATCH CALCS'!$D$3:$D1000, $A38),COUNTIFS('MATCH CALCS'!$AT$3:$AT1000,("=Dc"),'MATCH CALCS'!$D$3:$D1000, $A38,'MATCH CALCS'!$A$3:$A1000, $A$1)+COUNTIFS('MATCH CALCS'!$AT$3:$AT1000,("=Sc"),'MATCH CALCS'!$D$3:$D1000, $A38,'MATCH CALCS'!$A$3:$A1000, $A$1)),"-")</f>
        <v>0</v>
      </c>
    </row>
    <row r="39" spans="1:29" ht="12.75">
      <c r="A39" s="30">
        <f ca="1">IFERROR(__xludf.DUMMYFUNCTION("""COMPUTED_VALUE"""),4664)</f>
        <v>4664</v>
      </c>
      <c r="B39" s="6" t="str">
        <f ca="1">IFERROR(__xludf.DUMMYFUNCTION("""COMPUTED_VALUE"""),"Butler Bots")</f>
        <v>Butler Bots</v>
      </c>
      <c r="C39" s="30" t="str">
        <f ca="1">IFERROR(__xludf.DUMMYFUNCTION("FILTER('TEAM RANKING'!$A:$A,'TEAM RANKING'!$K:$K=$A39)"),"#N/A")</f>
        <v>#N/A</v>
      </c>
      <c r="D39" s="15"/>
      <c r="E39" s="110">
        <f ca="1">IFERROR((IF($A$1="All", COUNTIF('MATCH CALCS'!$D:$D,$A39), (COUNTIFS('MATCH CALCS'!D:D, $A39, 'MATCH CALCS'!$A:$A,$A$1)))),"-")</f>
        <v>1</v>
      </c>
      <c r="F39" s="111">
        <f ca="1">IFERROR(IF($A$1="All",SUMIF('MATCH CALCS'!$D:$D,$A39,'MATCH CALCS'!$AW:$AW)/$E39,(SUMIFS('MATCH CALCS'!$AW:$AW, 'MATCH CALCS'!$D:$D, $A39, 'MATCH CALCS'!$A:$A, $A$1)/$E39)),"-")</f>
        <v>0</v>
      </c>
      <c r="G39" s="112">
        <f ca="1">IFERROR(IF($A$1="All",SUMIF('MATCH CALCS'!$D:$D,$A39,'MATCH CALCS'!O:O)/$E39,(SUMIFS('MATCH CALCS'!O:O, 'MATCH CALCS'!$D:$D, $A39, 'MATCH CALCS'!$A:$A, $A$1)/$E39)),"-")</f>
        <v>0</v>
      </c>
      <c r="H39" s="112">
        <f ca="1">IFERROR(IF($A$1="All",SUMIF('MATCH CALCS'!$D:$D,$A39,'MATCH CALCS'!N:N)/$E39,(SUMIFS('MATCH CALCS'!N:N, 'MATCH CALCS'!$D:$D, $A39, 'MATCH CALCS'!$A:$A, $A$1)/$E39)),"-")</f>
        <v>0</v>
      </c>
      <c r="I39" s="112">
        <f ca="1">IFERROR(IF($A$1="All",SUMIF('MATCH CALCS'!$D:$D,$A39,'MATCH CALCS'!M:M)/$E39,(SUMIFS('MATCH CALCS'!M:M, 'MATCH CALCS'!$D:$D, $A39, 'MATCH CALCS'!$A:$A, $A$1)/$E39)),"-")</f>
        <v>0</v>
      </c>
      <c r="J39" s="112">
        <f ca="1">IFERROR(IF($A$1="All",SUMIF('MATCH CALCS'!$D:$D,$A39,'MATCH CALCS'!L:L)/$E39,(SUMIFS('MATCH CALCS'!L:L, 'MATCH CALCS'!$D:$D, $A39, 'MATCH CALCS'!$A:$A, $A$1)/$E39)),"-")</f>
        <v>0</v>
      </c>
      <c r="K39" s="112">
        <f t="shared" ca="1" si="0"/>
        <v>0</v>
      </c>
      <c r="L39" s="13" t="e">
        <f ca="1">IF($A$1="All",AVERAGEIF('MATCH CALCS'!$D$3:$D1000,$A39,'MATCH CALCS'!$AZ$3:$AZ1000),AVERAGEIFS('MATCH CALCS'!$AZ$3:$AZ1000,'MATCH CALCS'!$D$3:$D1000,$A39,'MATCH CALCS'!$A$3:$A1000,$A$1))</f>
        <v>#DIV/0!</v>
      </c>
      <c r="M39" s="112">
        <f ca="1">IF($A$1="All",AVERAGEIF('MATCH CALCS'!$D:$D,$A39,'MATCH CALCS'!R:R),(SUMIFS('MATCH CALCS'!R$3:R1000, 'MATCH CALCS'!$D$3:$D1000, $A39, 'MATCH CALCS'!A$3:A1000, $A$1)/$E39))</f>
        <v>0</v>
      </c>
      <c r="N39" s="112">
        <f ca="1">IFERROR(IF($A$1="All",SUMIF('MATCH CALCS'!$D:$D,$A39,'MATCH CALCS'!S:S)/$E39,(SUMIFS('MATCH CALCS'!S:S, 'MATCH CALCS'!$D:$D, $A39, 'MATCH CALCS'!A:A, $A$1)/$E39)),"-")</f>
        <v>0</v>
      </c>
      <c r="O39" s="113" t="e">
        <f ca="1">IF($A$1="All",AVERAGEIF('MATCH CALCS'!$D$3:$D1000,$A39,'MATCH CALCS'!$BC$3:$BC1000),AVERAGEIFS('MATCH CALCS'!$BC$3:$BC1000,'MATCH CALCS'!$D$3:$D1000,$A39,'MATCH CALCS'!$A$3:$A1000,$A$1))</f>
        <v>#DIV/0!</v>
      </c>
      <c r="P39" s="112">
        <f ca="1">IFERROR(IF($A$1="All",SUMIF('MATCH CALCS'!$D:$D,$A39,'MATCH CALCS'!AH:AH)/$E39,(SUMIFS('MATCH CALCS'!AH:AH, 'MATCH CALCS'!$D:$D, $A39, 'MATCH CALCS'!$A:$A, $A$1)/$E39)),"-")</f>
        <v>0</v>
      </c>
      <c r="Q39" s="112">
        <f ca="1">IFERROR(IF($A$1="All",SUMIF('MATCH CALCS'!$D:$D,$A39,'MATCH CALCS'!AG:AG)/$E39,(SUMIFS('MATCH CALCS'!AG:AG, 'MATCH CALCS'!$D:$D, $A39, 'MATCH CALCS'!$A:$A, $A$1)/$E39)),"-")</f>
        <v>0</v>
      </c>
      <c r="R39" s="112">
        <f ca="1">IFERROR(IF($A$1="All",SUMIF('MATCH CALCS'!$D:$D,$A39,'MATCH CALCS'!AF:AF)/$E39,(SUMIFS('MATCH CALCS'!AF:AF, 'MATCH CALCS'!$D:$D, $A39, 'MATCH CALCS'!$A:$A, $A$1)/$E39)),"-")</f>
        <v>0</v>
      </c>
      <c r="S39" s="112">
        <f ca="1">IFERROR(IF($A$1="All",SUMIF('MATCH CALCS'!$D:$D,$A39,'MATCH CALCS'!$AE:$AE)/$E39,(SUMIFS('MATCH CALCS'!$AE:$AE, 'MATCH CALCS'!$D:$D, $A39, 'MATCH CALCS'!$A:$A, $A$1)/$E39)),"-")</f>
        <v>0</v>
      </c>
      <c r="T39" s="112">
        <f t="shared" ca="1" si="1"/>
        <v>0</v>
      </c>
      <c r="U39" s="13" t="e">
        <f ca="1">IF($A$1="All",AVERAGEIF('MATCH CALCS'!$D$3:$D1000,$A39,'MATCH CALCS'!$BI$3:$BI1000),AVERAGEIFS('MATCH CALCS'!$BI$3:$BI1000,'MATCH CALCS'!$D$3:$D1000,$A39,'MATCH CALCS'!$A$3:$A1000,$A$1))</f>
        <v>#DIV/0!</v>
      </c>
      <c r="V39" s="112">
        <f ca="1">IFERROR(IF($A$1="All",SUMIF('MATCH CALCS'!$D:$D,$A39,'MATCH CALCS'!W:W)/$E39,(SUMIFS('MATCH CALCS'!W:W, 'MATCH CALCS'!$D:$D, $A39, 'MATCH CALCS'!$A:$A, $A$1)/$E39)),"-")</f>
        <v>0</v>
      </c>
      <c r="W39" s="112">
        <f ca="1">IFERROR(IF($A$1="All",SUMIF('MATCH CALCS'!$D:$D,$A39,'MATCH CALCS'!X:X)/$E39,(SUMIFS('MATCH CALCS'!X:X, 'MATCH CALCS'!$D:$D, $A39, 'MATCH CALCS'!$A:$A, $A$1)/$E39)),"-")</f>
        <v>0</v>
      </c>
      <c r="X39" s="114" t="e">
        <f ca="1">IF($A$1="All",AVERAGEIF('MATCH CALCS'!$D$3:$D1000,$A39,'MATCH CALCS'!$BF$3:$BF1000),AVERAGEIFS('MATCH CALCS'!$BF$3:$BF1000,'MATCH CALCS'!$D$3:$D1000, $A39, 'MATCH CALCS'!$A$3:$A1000, $A$1))</f>
        <v>#DIV/0!</v>
      </c>
      <c r="Y39" s="115">
        <f ca="1">IF($A$1="All",SUMIF('MATCH CALCS'!$D$3:$D1000,$A39,'MATCH CALCS'!$BJ$3:$BJ1000),SUMIFS('MATCH CALCS'!$BJ$3:$BJ1000,'MATCH CALCS'!$D$3:$D1000, $A39, 'MATCH CALCS'!$A$3:$A1000, $A$1))</f>
        <v>0</v>
      </c>
      <c r="Z39" s="116" t="str">
        <f ca="1">IFERROR(__xludf.DUMMYFUNCTION("IFERROR(IF($A$1=""All"",AVERAGE(FILTER('MATCH CALCS'!$BR$3:$BR1000, 'MATCH CALCS'!$D$3:$D1000=$A39)),AVERAGE(FILTER('MATCH CALCS'!$BR$3:$BR1000, 'MATCH CALCS'!$D$3:$D1000=$A39,'MATCH CALCS'!$A$3:$A1000=$A$1))),""No Data"")"),"No Data")</f>
        <v>No Data</v>
      </c>
      <c r="AA39" s="117" t="str">
        <f ca="1">IFERROR(__xludf.DUMMYFUNCTION("IFERROR(IF($A$1=""All"",IF(COUNTIF(FILTER('MATCH CALCS'!$AT$3:$AT1000,'MATCH CALCS'!$D$3:$D1000=$A39), ""Dc"")&gt;0, IF(COUNTIF(FILTER('MATCH CALCS'!$AT$3:$AT1000,'MATCH CALCS'!$D$3:$D1000=$A39), ""Sc"")&gt;0, ""Mixed"", ""Deep""), IF(COUNTIF(FILTER('MATCH CALC"&amp;"S'!$AT$3:$AT1000,'MATCH CALCS'!$D$3:$D1000=$A39), ""Sc"")&gt;0, ""Shallow"",""None"")),IF(COUNTIF(FILTER('MATCH CALCS'!$AT$3:$AT1000,'MATCH CALCS'!$D$3:$D1000=$A39,'MATCH CALCS'!$A$3:$A1000=$A$1), ""Dc"")&gt;0, IF(COUNTIF(FILTER('MATCH CALCS'!$AT$3:$AT1000,'MAT"&amp;"CH CALCS'!$D$3:$D1000=$A39,'MATCH CALCS'!$A$3:$A1000=$A$1), ""Sc"")&gt;0, ""Mixed"", ""Deep""), IF(COUNTIF(FILTER('MATCH CALCS'!$AT$3:$AT1000,'MATCH CALCS'!$D$3:$D1000=$A39,'MATCH CALCS'!$A$3:$A1000=$A$1), ""Sc"")&gt;0, ""Shallow"",""None""))))"),"None")</f>
        <v>None</v>
      </c>
      <c r="AB39" s="9" t="str">
        <f ca="1">IFERROR(IF($A$1="All",(COUNTIFS('MATCH CALCS'!$AT$3:$AT1000,("=Dc"),'MATCH CALCS'!$D$3:$D1000, $A39)+COUNTIFS('MATCH CALCS'!$AT$3:$AT1000,("=Sc"),'MATCH CALCS'!$D$3:$D1000, $A39))/(COUNTIFS('MATCH CALCS'!$AK$3:$AK1000,("=Dc"),'MATCH CALCS'!$D$3:$D1000, $A39)+COUNTIFS('MATCH CALCS'!$AK$3:$AK1000,("=Sc"),'MATCH CALCS'!$D$3:$D1000, $A39)),(COUNTIFS('MATCH CALCS'!$AT$3:$AT1000,("=Dc"),'MATCH CALCS'!$D$3:$D1000, $A39,'MATCH CALCS'!$A$3:$A1000,$A$1)+COUNTIFS('MATCH CALCS'!$AT$3:$AT1000,("=Sc"),'MATCH CALCS'!$D$3:$D1000, $A39,'MATCH CALCS'!$A$3:$A1000,$A$1))/(COUNTIFS('MATCH CALCS'!$AK$3:$AK1000,("=Dc"),'MATCH CALCS'!$D$3:$D1000, $A39,'MATCH CALCS'!$A$3:$A1000,$A$1)+COUNTIFS('MATCH CALCS'!$AK$3:$AK1000,("=Sc"),'MATCH CALCS'!$D$3:$D1000, $A39,'MATCH CALCS'!$A$3:$A1000,$A$1))),"-")</f>
        <v>-</v>
      </c>
      <c r="AC39" s="25">
        <f ca="1">IFERROR(IF($A$1="All",COUNTIFS('MATCH CALCS'!$AT$3:$AT1000,("=Dc"),'MATCH CALCS'!$D$3:$D1000, $A39)+COUNTIFS('MATCH CALCS'!$AT$3:$AT1000,("=Sc"),'MATCH CALCS'!$D$3:$D1000, $A39),COUNTIFS('MATCH CALCS'!$AT$3:$AT1000,("=Dc"),'MATCH CALCS'!$D$3:$D1000, $A39,'MATCH CALCS'!$A$3:$A1000, $A$1)+COUNTIFS('MATCH CALCS'!$AT$3:$AT1000,("=Sc"),'MATCH CALCS'!$D$3:$D1000, $A39,'MATCH CALCS'!$A$3:$A1000, $A$1)),"-")</f>
        <v>0</v>
      </c>
    </row>
    <row r="40" spans="1:29" ht="12.75">
      <c r="A40" s="30">
        <f ca="1">IFERROR(__xludf.DUMMYFUNCTION("""COMPUTED_VALUE"""),4687)</f>
        <v>4687</v>
      </c>
      <c r="B40" s="6" t="str">
        <f ca="1">IFERROR(__xludf.DUMMYFUNCTION("""COMPUTED_VALUE"""),"Spartobots")</f>
        <v>Spartobots</v>
      </c>
      <c r="C40" s="30" t="str">
        <f ca="1">IFERROR(__xludf.DUMMYFUNCTION("FILTER('TEAM RANKING'!$A:$A,'TEAM RANKING'!$K:$K=$A40)"),"#N/A")</f>
        <v>#N/A</v>
      </c>
      <c r="D40" s="15"/>
      <c r="E40" s="110">
        <f ca="1">IFERROR((IF($A$1="All", COUNTIF('MATCH CALCS'!$D:$D,$A40), (COUNTIFS('MATCH CALCS'!D:D, $A40, 'MATCH CALCS'!$A:$A,$A$1)))),"-")</f>
        <v>2</v>
      </c>
      <c r="F40" s="111">
        <f ca="1">IFERROR(IF($A$1="All",SUMIF('MATCH CALCS'!$D:$D,$A40,'MATCH CALCS'!$AW:$AW)/$E40,(SUMIFS('MATCH CALCS'!$AW:$AW, 'MATCH CALCS'!$D:$D, $A40, 'MATCH CALCS'!$A:$A, $A$1)/$E40)),"-")</f>
        <v>0.5</v>
      </c>
      <c r="G40" s="112">
        <f ca="1">IFERROR(IF($A$1="All",SUMIF('MATCH CALCS'!$D:$D,$A40,'MATCH CALCS'!O:O)/$E40,(SUMIFS('MATCH CALCS'!O:O, 'MATCH CALCS'!$D:$D, $A40, 'MATCH CALCS'!$A:$A, $A$1)/$E40)),"-")</f>
        <v>0</v>
      </c>
      <c r="H40" s="112">
        <f ca="1">IFERROR(IF($A$1="All",SUMIF('MATCH CALCS'!$D:$D,$A40,'MATCH CALCS'!N:N)/$E40,(SUMIFS('MATCH CALCS'!N:N, 'MATCH CALCS'!$D:$D, $A40, 'MATCH CALCS'!$A:$A, $A$1)/$E40)),"-")</f>
        <v>0</v>
      </c>
      <c r="I40" s="112">
        <f ca="1">IFERROR(IF($A$1="All",SUMIF('MATCH CALCS'!$D:$D,$A40,'MATCH CALCS'!M:M)/$E40,(SUMIFS('MATCH CALCS'!M:M, 'MATCH CALCS'!$D:$D, $A40, 'MATCH CALCS'!$A:$A, $A$1)/$E40)),"-")</f>
        <v>0</v>
      </c>
      <c r="J40" s="112">
        <f ca="1">IFERROR(IF($A$1="All",SUMIF('MATCH CALCS'!$D:$D,$A40,'MATCH CALCS'!L:L)/$E40,(SUMIFS('MATCH CALCS'!L:L, 'MATCH CALCS'!$D:$D, $A40, 'MATCH CALCS'!$A:$A, $A$1)/$E40)),"-")</f>
        <v>0</v>
      </c>
      <c r="K40" s="112">
        <f t="shared" ca="1" si="0"/>
        <v>0</v>
      </c>
      <c r="L40" s="13" t="e">
        <f ca="1">IF($A$1="All",AVERAGEIF('MATCH CALCS'!$D$3:$D1000,$A40,'MATCH CALCS'!$AZ$3:$AZ1000),AVERAGEIFS('MATCH CALCS'!$AZ$3:$AZ1000,'MATCH CALCS'!$D$3:$D1000,$A40,'MATCH CALCS'!$A$3:$A1000,$A$1))</f>
        <v>#DIV/0!</v>
      </c>
      <c r="M40" s="112">
        <f ca="1">IF($A$1="All",AVERAGEIF('MATCH CALCS'!$D:$D,$A40,'MATCH CALCS'!R:R),(SUMIFS('MATCH CALCS'!R$3:R1000, 'MATCH CALCS'!$D$3:$D1000, $A40, 'MATCH CALCS'!A$3:A1000, $A$1)/$E40))</f>
        <v>0</v>
      </c>
      <c r="N40" s="112">
        <f ca="1">IFERROR(IF($A$1="All",SUMIF('MATCH CALCS'!$D:$D,$A40,'MATCH CALCS'!S:S)/$E40,(SUMIFS('MATCH CALCS'!S:S, 'MATCH CALCS'!$D:$D, $A40, 'MATCH CALCS'!A:A, $A$1)/$E40)),"-")</f>
        <v>0</v>
      </c>
      <c r="O40" s="113" t="e">
        <f ca="1">IF($A$1="All",AVERAGEIF('MATCH CALCS'!$D$3:$D1000,$A40,'MATCH CALCS'!$BC$3:$BC1000),AVERAGEIFS('MATCH CALCS'!$BC$3:$BC1000,'MATCH CALCS'!$D$3:$D1000,$A40,'MATCH CALCS'!$A$3:$A1000,$A$1))</f>
        <v>#DIV/0!</v>
      </c>
      <c r="P40" s="112">
        <f ca="1">IFERROR(IF($A$1="All",SUMIF('MATCH CALCS'!$D:$D,$A40,'MATCH CALCS'!AH:AH)/$E40,(SUMIFS('MATCH CALCS'!AH:AH, 'MATCH CALCS'!$D:$D, $A40, 'MATCH CALCS'!$A:$A, $A$1)/$E40)),"-")</f>
        <v>1</v>
      </c>
      <c r="Q40" s="112">
        <f ca="1">IFERROR(IF($A$1="All",SUMIF('MATCH CALCS'!$D:$D,$A40,'MATCH CALCS'!AG:AG)/$E40,(SUMIFS('MATCH CALCS'!AG:AG, 'MATCH CALCS'!$D:$D, $A40, 'MATCH CALCS'!$A:$A, $A$1)/$E40)),"-")</f>
        <v>0.5</v>
      </c>
      <c r="R40" s="112">
        <f ca="1">IFERROR(IF($A$1="All",SUMIF('MATCH CALCS'!$D:$D,$A40,'MATCH CALCS'!AF:AF)/$E40,(SUMIFS('MATCH CALCS'!AF:AF, 'MATCH CALCS'!$D:$D, $A40, 'MATCH CALCS'!$A:$A, $A$1)/$E40)),"-")</f>
        <v>0</v>
      </c>
      <c r="S40" s="112">
        <f ca="1">IFERROR(IF($A$1="All",SUMIF('MATCH CALCS'!$D:$D,$A40,'MATCH CALCS'!$AE:$AE)/$E40,(SUMIFS('MATCH CALCS'!$AE:$AE, 'MATCH CALCS'!$D:$D, $A40, 'MATCH CALCS'!$A:$A, $A$1)/$E40)),"-")</f>
        <v>1.5</v>
      </c>
      <c r="T40" s="112">
        <f t="shared" ca="1" si="1"/>
        <v>3</v>
      </c>
      <c r="U40" s="13">
        <f ca="1">IF($A$1="All",AVERAGEIF('MATCH CALCS'!$D$3:$D1000,$A40,'MATCH CALCS'!$BI$3:$BI1000),AVERAGEIFS('MATCH CALCS'!$BI$3:$BI1000,'MATCH CALCS'!$D$3:$D1000,$A40,'MATCH CALCS'!$A$3:$A1000,$A$1))</f>
        <v>1</v>
      </c>
      <c r="V40" s="112">
        <f ca="1">IFERROR(IF($A$1="All",SUMIF('MATCH CALCS'!$D:$D,$A40,'MATCH CALCS'!W:W)/$E40,(SUMIFS('MATCH CALCS'!W:W, 'MATCH CALCS'!$D:$D, $A40, 'MATCH CALCS'!$A:$A, $A$1)/$E40)),"-")</f>
        <v>0.5</v>
      </c>
      <c r="W40" s="112">
        <f ca="1">IFERROR(IF($A$1="All",SUMIF('MATCH CALCS'!$D:$D,$A40,'MATCH CALCS'!X:X)/$E40,(SUMIFS('MATCH CALCS'!X:X, 'MATCH CALCS'!$D:$D, $A40, 'MATCH CALCS'!$A:$A, $A$1)/$E40)),"-")</f>
        <v>0</v>
      </c>
      <c r="X40" s="114" t="e">
        <f ca="1">IF($A$1="All",AVERAGEIF('MATCH CALCS'!$D$3:$D1000,$A40,'MATCH CALCS'!$BF$3:$BF1000),AVERAGEIFS('MATCH CALCS'!$BF$3:$BF1000,'MATCH CALCS'!$D$3:$D1000, $A40, 'MATCH CALCS'!$A$3:$A1000, $A$1))</f>
        <v>#DIV/0!</v>
      </c>
      <c r="Y40" s="115">
        <f ca="1">IF($A$1="All",SUMIF('MATCH CALCS'!$D$3:$D1000,$A40,'MATCH CALCS'!$BJ$3:$BJ1000),SUMIFS('MATCH CALCS'!$BJ$3:$BJ1000,'MATCH CALCS'!$D$3:$D1000, $A40, 'MATCH CALCS'!$A$3:$A1000, $A$1))</f>
        <v>0</v>
      </c>
      <c r="Z40" s="116" t="str">
        <f ca="1">IFERROR(__xludf.DUMMYFUNCTION("IFERROR(IF($A$1=""All"",AVERAGE(FILTER('MATCH CALCS'!$BR$3:$BR1000, 'MATCH CALCS'!$D$3:$D1000=$A40)),AVERAGE(FILTER('MATCH CALCS'!$BR$3:$BR1000, 'MATCH CALCS'!$D$3:$D1000=$A40,'MATCH CALCS'!$A$3:$A1000=$A$1))),""No Data"")"),"No Data")</f>
        <v>No Data</v>
      </c>
      <c r="AA40" s="117" t="str">
        <f ca="1">IFERROR(__xludf.DUMMYFUNCTION("IFERROR(IF($A$1=""All"",IF(COUNTIF(FILTER('MATCH CALCS'!$AT$3:$AT1000,'MATCH CALCS'!$D$3:$D1000=$A40), ""Dc"")&gt;0, IF(COUNTIF(FILTER('MATCH CALCS'!$AT$3:$AT1000,'MATCH CALCS'!$D$3:$D1000=$A40), ""Sc"")&gt;0, ""Mixed"", ""Deep""), IF(COUNTIF(FILTER('MATCH CALC"&amp;"S'!$AT$3:$AT1000,'MATCH CALCS'!$D$3:$D1000=$A40), ""Sc"")&gt;0, ""Shallow"",""None"")),IF(COUNTIF(FILTER('MATCH CALCS'!$AT$3:$AT1000,'MATCH CALCS'!$D$3:$D1000=$A40,'MATCH CALCS'!$A$3:$A1000=$A$1), ""Dc"")&gt;0, IF(COUNTIF(FILTER('MATCH CALCS'!$AT$3:$AT1000,'MAT"&amp;"CH CALCS'!$D$3:$D1000=$A40,'MATCH CALCS'!$A$3:$A1000=$A$1), ""Sc"")&gt;0, ""Mixed"", ""Deep""), IF(COUNTIF(FILTER('MATCH CALCS'!$AT$3:$AT1000,'MATCH CALCS'!$D$3:$D1000=$A40,'MATCH CALCS'!$A$3:$A1000=$A$1), ""Sc"")&gt;0, ""Shallow"",""None""))))"),"None")</f>
        <v>None</v>
      </c>
      <c r="AB40" s="9" t="str">
        <f ca="1">IFERROR(IF($A$1="All",(COUNTIFS('MATCH CALCS'!$AT$3:$AT1000,("=Dc"),'MATCH CALCS'!$D$3:$D1000, $A40)+COUNTIFS('MATCH CALCS'!$AT$3:$AT1000,("=Sc"),'MATCH CALCS'!$D$3:$D1000, $A40))/(COUNTIFS('MATCH CALCS'!$AK$3:$AK1000,("=Dc"),'MATCH CALCS'!$D$3:$D1000, $A40)+COUNTIFS('MATCH CALCS'!$AK$3:$AK1000,("=Sc"),'MATCH CALCS'!$D$3:$D1000, $A40)),(COUNTIFS('MATCH CALCS'!$AT$3:$AT1000,("=Dc"),'MATCH CALCS'!$D$3:$D1000, $A40,'MATCH CALCS'!$A$3:$A1000,$A$1)+COUNTIFS('MATCH CALCS'!$AT$3:$AT1000,("=Sc"),'MATCH CALCS'!$D$3:$D1000, $A40,'MATCH CALCS'!$A$3:$A1000,$A$1))/(COUNTIFS('MATCH CALCS'!$AK$3:$AK1000,("=Dc"),'MATCH CALCS'!$D$3:$D1000, $A40,'MATCH CALCS'!$A$3:$A1000,$A$1)+COUNTIFS('MATCH CALCS'!$AK$3:$AK1000,("=Sc"),'MATCH CALCS'!$D$3:$D1000, $A40,'MATCH CALCS'!$A$3:$A1000,$A$1))),"-")</f>
        <v>-</v>
      </c>
      <c r="AC40" s="25">
        <f ca="1">IFERROR(IF($A$1="All",COUNTIFS('MATCH CALCS'!$AT$3:$AT1000,("=Dc"),'MATCH CALCS'!$D$3:$D1000, $A40)+COUNTIFS('MATCH CALCS'!$AT$3:$AT1000,("=Sc"),'MATCH CALCS'!$D$3:$D1000, $A40),COUNTIFS('MATCH CALCS'!$AT$3:$AT1000,("=Dc"),'MATCH CALCS'!$D$3:$D1000, $A40,'MATCH CALCS'!$A$3:$A1000, $A$1)+COUNTIFS('MATCH CALCS'!$AT$3:$AT1000,("=Sc"),'MATCH CALCS'!$D$3:$D1000, $A40,'MATCH CALCS'!$A$3:$A1000, $A$1)),"-")</f>
        <v>0</v>
      </c>
    </row>
    <row r="41" spans="1:29" ht="12.75">
      <c r="A41" s="30">
        <f ca="1">IFERROR(__xludf.DUMMYFUNCTION("""COMPUTED_VALUE"""),4778)</f>
        <v>4778</v>
      </c>
      <c r="B41" s="6" t="str">
        <f ca="1">IFERROR(__xludf.DUMMYFUNCTION("""COMPUTED_VALUE"""),"Stormbots")</f>
        <v>Stormbots</v>
      </c>
      <c r="C41" s="30" t="str">
        <f ca="1">IFERROR(__xludf.DUMMYFUNCTION("FILTER('TEAM RANKING'!$A:$A,'TEAM RANKING'!$K:$K=$A41)"),"#N/A")</f>
        <v>#N/A</v>
      </c>
      <c r="D41" s="15"/>
      <c r="E41" s="110">
        <f ca="1">IFERROR((IF($A$1="All", COUNTIF('MATCH CALCS'!$D:$D,$A41), (COUNTIFS('MATCH CALCS'!D:D, $A41, 'MATCH CALCS'!$A:$A,$A$1)))),"-")</f>
        <v>3</v>
      </c>
      <c r="F41" s="111">
        <f ca="1">IFERROR(IF($A$1="All",SUMIF('MATCH CALCS'!$D:$D,$A41,'MATCH CALCS'!$AW:$AW)/$E41,(SUMIFS('MATCH CALCS'!$AW:$AW, 'MATCH CALCS'!$D:$D, $A41, 'MATCH CALCS'!$A:$A, $A$1)/$E41)),"-")</f>
        <v>0.33333333333333331</v>
      </c>
      <c r="G41" s="112">
        <f ca="1">IFERROR(IF($A$1="All",SUMIF('MATCH CALCS'!$D:$D,$A41,'MATCH CALCS'!O:O)/$E41,(SUMIFS('MATCH CALCS'!O:O, 'MATCH CALCS'!$D:$D, $A41, 'MATCH CALCS'!$A:$A, $A$1)/$E41)),"-")</f>
        <v>0</v>
      </c>
      <c r="H41" s="112">
        <f ca="1">IFERROR(IF($A$1="All",SUMIF('MATCH CALCS'!$D:$D,$A41,'MATCH CALCS'!N:N)/$E41,(SUMIFS('MATCH CALCS'!N:N, 'MATCH CALCS'!$D:$D, $A41, 'MATCH CALCS'!$A:$A, $A$1)/$E41)),"-")</f>
        <v>0</v>
      </c>
      <c r="I41" s="112">
        <f ca="1">IFERROR(IF($A$1="All",SUMIF('MATCH CALCS'!$D:$D,$A41,'MATCH CALCS'!M:M)/$E41,(SUMIFS('MATCH CALCS'!M:M, 'MATCH CALCS'!$D:$D, $A41, 'MATCH CALCS'!$A:$A, $A$1)/$E41)),"-")</f>
        <v>0</v>
      </c>
      <c r="J41" s="112">
        <f ca="1">IFERROR(IF($A$1="All",SUMIF('MATCH CALCS'!$D:$D,$A41,'MATCH CALCS'!L:L)/$E41,(SUMIFS('MATCH CALCS'!L:L, 'MATCH CALCS'!$D:$D, $A41, 'MATCH CALCS'!$A:$A, $A$1)/$E41)),"-")</f>
        <v>0</v>
      </c>
      <c r="K41" s="112">
        <f t="shared" ca="1" si="0"/>
        <v>0</v>
      </c>
      <c r="L41" s="13" t="e">
        <f ca="1">IF($A$1="All",AVERAGEIF('MATCH CALCS'!$D$3:$D1000,$A41,'MATCH CALCS'!$AZ$3:$AZ1000),AVERAGEIFS('MATCH CALCS'!$AZ$3:$AZ1000,'MATCH CALCS'!$D$3:$D1000,$A41,'MATCH CALCS'!$A$3:$A1000,$A$1))</f>
        <v>#DIV/0!</v>
      </c>
      <c r="M41" s="112">
        <f ca="1">IF($A$1="All",AVERAGEIF('MATCH CALCS'!$D:$D,$A41,'MATCH CALCS'!R:R),(SUMIFS('MATCH CALCS'!R$3:R1000, 'MATCH CALCS'!$D$3:$D1000, $A41, 'MATCH CALCS'!A$3:A1000, $A$1)/$E41))</f>
        <v>0</v>
      </c>
      <c r="N41" s="112">
        <f ca="1">IFERROR(IF($A$1="All",SUMIF('MATCH CALCS'!$D:$D,$A41,'MATCH CALCS'!S:S)/$E41,(SUMIFS('MATCH CALCS'!S:S, 'MATCH CALCS'!$D:$D, $A41, 'MATCH CALCS'!A:A, $A$1)/$E41)),"-")</f>
        <v>0</v>
      </c>
      <c r="O41" s="113">
        <f ca="1">IF($A$1="All",AVERAGEIF('MATCH CALCS'!$D$3:$D1000,$A41,'MATCH CALCS'!$BC$3:$BC1000),AVERAGEIFS('MATCH CALCS'!$BC$3:$BC1000,'MATCH CALCS'!$D$3:$D1000,$A41,'MATCH CALCS'!$A$3:$A1000,$A$1))</f>
        <v>0.5</v>
      </c>
      <c r="P41" s="112">
        <f ca="1">IFERROR(IF($A$1="All",SUMIF('MATCH CALCS'!$D:$D,$A41,'MATCH CALCS'!AH:AH)/$E41,(SUMIFS('MATCH CALCS'!AH:AH, 'MATCH CALCS'!$D:$D, $A41, 'MATCH CALCS'!$A:$A, $A$1)/$E41)),"-")</f>
        <v>0</v>
      </c>
      <c r="Q41" s="112">
        <f ca="1">IFERROR(IF($A$1="All",SUMIF('MATCH CALCS'!$D:$D,$A41,'MATCH CALCS'!AG:AG)/$E41,(SUMIFS('MATCH CALCS'!AG:AG, 'MATCH CALCS'!$D:$D, $A41, 'MATCH CALCS'!$A:$A, $A$1)/$E41)),"-")</f>
        <v>1</v>
      </c>
      <c r="R41" s="112">
        <f ca="1">IFERROR(IF($A$1="All",SUMIF('MATCH CALCS'!$D:$D,$A41,'MATCH CALCS'!AF:AF)/$E41,(SUMIFS('MATCH CALCS'!AF:AF, 'MATCH CALCS'!$D:$D, $A41, 'MATCH CALCS'!$A:$A, $A$1)/$E41)),"-")</f>
        <v>2.3333333333333335</v>
      </c>
      <c r="S41" s="112">
        <f ca="1">IFERROR(IF($A$1="All",SUMIF('MATCH CALCS'!$D:$D,$A41,'MATCH CALCS'!$AE:$AE)/$E41,(SUMIFS('MATCH CALCS'!$AE:$AE, 'MATCH CALCS'!$D:$D, $A41, 'MATCH CALCS'!$A:$A, $A$1)/$E41)),"-")</f>
        <v>0.66666666666666663</v>
      </c>
      <c r="T41" s="112">
        <f t="shared" ca="1" si="1"/>
        <v>4</v>
      </c>
      <c r="U41" s="13">
        <f ca="1">IF($A$1="All",AVERAGEIF('MATCH CALCS'!$D$3:$D1000,$A41,'MATCH CALCS'!$BI$3:$BI1000),AVERAGEIFS('MATCH CALCS'!$BI$3:$BI1000,'MATCH CALCS'!$D$3:$D1000,$A41,'MATCH CALCS'!$A$3:$A1000,$A$1))</f>
        <v>0.9375</v>
      </c>
      <c r="V41" s="112">
        <f ca="1">IFERROR(IF($A$1="All",SUMIF('MATCH CALCS'!$D:$D,$A41,'MATCH CALCS'!W:W)/$E41,(SUMIFS('MATCH CALCS'!W:W, 'MATCH CALCS'!$D:$D, $A41, 'MATCH CALCS'!$A:$A, $A$1)/$E41)),"-")</f>
        <v>0</v>
      </c>
      <c r="W41" s="112">
        <f ca="1">IFERROR(IF($A$1="All",SUMIF('MATCH CALCS'!$D:$D,$A41,'MATCH CALCS'!X:X)/$E41,(SUMIFS('MATCH CALCS'!X:X, 'MATCH CALCS'!$D:$D, $A41, 'MATCH CALCS'!$A:$A, $A$1)/$E41)),"-")</f>
        <v>1</v>
      </c>
      <c r="X41" s="114">
        <f ca="1">IF($A$1="All",AVERAGEIF('MATCH CALCS'!$D$3:$D1000,$A41,'MATCH CALCS'!$BF$3:$BF1000),AVERAGEIFS('MATCH CALCS'!$BF$3:$BF1000,'MATCH CALCS'!$D$3:$D1000, $A41, 'MATCH CALCS'!$A$3:$A1000, $A$1))</f>
        <v>0.66666666666666663</v>
      </c>
      <c r="Y41" s="115">
        <f ca="1">IF($A$1="All",SUMIF('MATCH CALCS'!$D$3:$D1000,$A41,'MATCH CALCS'!$BJ$3:$BJ1000),SUMIFS('MATCH CALCS'!$BJ$3:$BJ1000,'MATCH CALCS'!$D$3:$D1000, $A41, 'MATCH CALCS'!$A$3:$A1000, $A$1))</f>
        <v>0</v>
      </c>
      <c r="Z41" s="116" t="str">
        <f ca="1">IFERROR(__xludf.DUMMYFUNCTION("IFERROR(IF($A$1=""All"",AVERAGE(FILTER('MATCH CALCS'!$BR$3:$BR1000, 'MATCH CALCS'!$D$3:$D1000=$A41)),AVERAGE(FILTER('MATCH CALCS'!$BR$3:$BR1000, 'MATCH CALCS'!$D$3:$D1000=$A41,'MATCH CALCS'!$A$3:$A1000=$A$1))),""No Data"")"),"No Data")</f>
        <v>No Data</v>
      </c>
      <c r="AA41" s="117" t="str">
        <f ca="1">IFERROR(__xludf.DUMMYFUNCTION("IFERROR(IF($A$1=""All"",IF(COUNTIF(FILTER('MATCH CALCS'!$AT$3:$AT1000,'MATCH CALCS'!$D$3:$D1000=$A41), ""Dc"")&gt;0, IF(COUNTIF(FILTER('MATCH CALCS'!$AT$3:$AT1000,'MATCH CALCS'!$D$3:$D1000=$A41), ""Sc"")&gt;0, ""Mixed"", ""Deep""), IF(COUNTIF(FILTER('MATCH CALC"&amp;"S'!$AT$3:$AT1000,'MATCH CALCS'!$D$3:$D1000=$A41), ""Sc"")&gt;0, ""Shallow"",""None"")),IF(COUNTIF(FILTER('MATCH CALCS'!$AT$3:$AT1000,'MATCH CALCS'!$D$3:$D1000=$A41,'MATCH CALCS'!$A$3:$A1000=$A$1), ""Dc"")&gt;0, IF(COUNTIF(FILTER('MATCH CALCS'!$AT$3:$AT1000,'MAT"&amp;"CH CALCS'!$D$3:$D1000=$A41,'MATCH CALCS'!$A$3:$A1000=$A$1), ""Sc"")&gt;0, ""Mixed"", ""Deep""), IF(COUNTIF(FILTER('MATCH CALCS'!$AT$3:$AT1000,'MATCH CALCS'!$D$3:$D1000=$A41,'MATCH CALCS'!$A$3:$A1000=$A$1), ""Sc"")&gt;0, ""Shallow"",""None""))))"),"None")</f>
        <v>None</v>
      </c>
      <c r="AB41" s="9" t="str">
        <f ca="1">IFERROR(IF($A$1="All",(COUNTIFS('MATCH CALCS'!$AT$3:$AT1000,("=Dc"),'MATCH CALCS'!$D$3:$D1000, $A41)+COUNTIFS('MATCH CALCS'!$AT$3:$AT1000,("=Sc"),'MATCH CALCS'!$D$3:$D1000, $A41))/(COUNTIFS('MATCH CALCS'!$AK$3:$AK1000,("=Dc"),'MATCH CALCS'!$D$3:$D1000, $A41)+COUNTIFS('MATCH CALCS'!$AK$3:$AK1000,("=Sc"),'MATCH CALCS'!$D$3:$D1000, $A41)),(COUNTIFS('MATCH CALCS'!$AT$3:$AT1000,("=Dc"),'MATCH CALCS'!$D$3:$D1000, $A41,'MATCH CALCS'!$A$3:$A1000,$A$1)+COUNTIFS('MATCH CALCS'!$AT$3:$AT1000,("=Sc"),'MATCH CALCS'!$D$3:$D1000, $A41,'MATCH CALCS'!$A$3:$A1000,$A$1))/(COUNTIFS('MATCH CALCS'!$AK$3:$AK1000,("=Dc"),'MATCH CALCS'!$D$3:$D1000, $A41,'MATCH CALCS'!$A$3:$A1000,$A$1)+COUNTIFS('MATCH CALCS'!$AK$3:$AK1000,("=Sc"),'MATCH CALCS'!$D$3:$D1000, $A41,'MATCH CALCS'!$A$3:$A1000,$A$1))),"-")</f>
        <v>-</v>
      </c>
      <c r="AC41" s="25">
        <f ca="1">IFERROR(IF($A$1="All",COUNTIFS('MATCH CALCS'!$AT$3:$AT1000,("=Dc"),'MATCH CALCS'!$D$3:$D1000, $A41)+COUNTIFS('MATCH CALCS'!$AT$3:$AT1000,("=Sc"),'MATCH CALCS'!$D$3:$D1000, $A41),COUNTIFS('MATCH CALCS'!$AT$3:$AT1000,("=Dc"),'MATCH CALCS'!$D$3:$D1000, $A41,'MATCH CALCS'!$A$3:$A1000, $A$1)+COUNTIFS('MATCH CALCS'!$AT$3:$AT1000,("=Sc"),'MATCH CALCS'!$D$3:$D1000, $A41,'MATCH CALCS'!$A$3:$A1000, $A$1)),"-")</f>
        <v>0</v>
      </c>
    </row>
    <row r="42" spans="1:29" ht="12.75">
      <c r="A42" s="30">
        <f ca="1">IFERROR(__xludf.DUMMYFUNCTION("""COMPUTED_VALUE"""),5271)</f>
        <v>5271</v>
      </c>
      <c r="B42" s="6" t="str">
        <f ca="1">IFERROR(__xludf.DUMMYFUNCTION("""COMPUTED_VALUE"""),"Open Circuits")</f>
        <v>Open Circuits</v>
      </c>
      <c r="C42" s="30" t="str">
        <f ca="1">IFERROR(__xludf.DUMMYFUNCTION("FILTER('TEAM RANKING'!$A:$A,'TEAM RANKING'!$K:$K=$A42)"),"#N/A")</f>
        <v>#N/A</v>
      </c>
      <c r="D42" s="15"/>
      <c r="E42" s="110">
        <f ca="1">IFERROR((IF($A$1="All", COUNTIF('MATCH CALCS'!$D:$D,$A42), (COUNTIFS('MATCH CALCS'!D:D, $A42, 'MATCH CALCS'!$A:$A,$A$1)))),"-")</f>
        <v>2</v>
      </c>
      <c r="F42" s="111">
        <f ca="1">IFERROR(IF($A$1="All",SUMIF('MATCH CALCS'!$D:$D,$A42,'MATCH CALCS'!$AW:$AW)/$E42,(SUMIFS('MATCH CALCS'!$AW:$AW, 'MATCH CALCS'!$D:$D, $A42, 'MATCH CALCS'!$A:$A, $A$1)/$E42)),"-")</f>
        <v>0</v>
      </c>
      <c r="G42" s="112">
        <f ca="1">IFERROR(IF($A$1="All",SUMIF('MATCH CALCS'!$D:$D,$A42,'MATCH CALCS'!O:O)/$E42,(SUMIFS('MATCH CALCS'!O:O, 'MATCH CALCS'!$D:$D, $A42, 'MATCH CALCS'!$A:$A, $A$1)/$E42)),"-")</f>
        <v>0</v>
      </c>
      <c r="H42" s="112">
        <f ca="1">IFERROR(IF($A$1="All",SUMIF('MATCH CALCS'!$D:$D,$A42,'MATCH CALCS'!N:N)/$E42,(SUMIFS('MATCH CALCS'!N:N, 'MATCH CALCS'!$D:$D, $A42, 'MATCH CALCS'!$A:$A, $A$1)/$E42)),"-")</f>
        <v>0</v>
      </c>
      <c r="I42" s="112">
        <f ca="1">IFERROR(IF($A$1="All",SUMIF('MATCH CALCS'!$D:$D,$A42,'MATCH CALCS'!M:M)/$E42,(SUMIFS('MATCH CALCS'!M:M, 'MATCH CALCS'!$D:$D, $A42, 'MATCH CALCS'!$A:$A, $A$1)/$E42)),"-")</f>
        <v>0</v>
      </c>
      <c r="J42" s="112">
        <f ca="1">IFERROR(IF($A$1="All",SUMIF('MATCH CALCS'!$D:$D,$A42,'MATCH CALCS'!L:L)/$E42,(SUMIFS('MATCH CALCS'!L:L, 'MATCH CALCS'!$D:$D, $A42, 'MATCH CALCS'!$A:$A, $A$1)/$E42)),"-")</f>
        <v>0</v>
      </c>
      <c r="K42" s="112">
        <f t="shared" ca="1" si="0"/>
        <v>0</v>
      </c>
      <c r="L42" s="13" t="e">
        <f ca="1">IF($A$1="All",AVERAGEIF('MATCH CALCS'!$D$3:$D1000,$A42,'MATCH CALCS'!$AZ$3:$AZ1000),AVERAGEIFS('MATCH CALCS'!$AZ$3:$AZ1000,'MATCH CALCS'!$D$3:$D1000,$A42,'MATCH CALCS'!$A$3:$A1000,$A$1))</f>
        <v>#DIV/0!</v>
      </c>
      <c r="M42" s="112">
        <f ca="1">IF($A$1="All",AVERAGEIF('MATCH CALCS'!$D:$D,$A42,'MATCH CALCS'!R:R),(SUMIFS('MATCH CALCS'!R$3:R1000, 'MATCH CALCS'!$D$3:$D1000, $A42, 'MATCH CALCS'!A$3:A1000, $A$1)/$E42))</f>
        <v>0</v>
      </c>
      <c r="N42" s="112">
        <f ca="1">IFERROR(IF($A$1="All",SUMIF('MATCH CALCS'!$D:$D,$A42,'MATCH CALCS'!S:S)/$E42,(SUMIFS('MATCH CALCS'!S:S, 'MATCH CALCS'!$D:$D, $A42, 'MATCH CALCS'!A:A, $A$1)/$E42)),"-")</f>
        <v>0</v>
      </c>
      <c r="O42" s="113" t="e">
        <f ca="1">IF($A$1="All",AVERAGEIF('MATCH CALCS'!$D$3:$D1000,$A42,'MATCH CALCS'!$BC$3:$BC1000),AVERAGEIFS('MATCH CALCS'!$BC$3:$BC1000,'MATCH CALCS'!$D$3:$D1000,$A42,'MATCH CALCS'!$A$3:$A1000,$A$1))</f>
        <v>#DIV/0!</v>
      </c>
      <c r="P42" s="112">
        <f ca="1">IFERROR(IF($A$1="All",SUMIF('MATCH CALCS'!$D:$D,$A42,'MATCH CALCS'!AH:AH)/$E42,(SUMIFS('MATCH CALCS'!AH:AH, 'MATCH CALCS'!$D:$D, $A42, 'MATCH CALCS'!$A:$A, $A$1)/$E42)),"-")</f>
        <v>0.5</v>
      </c>
      <c r="Q42" s="112">
        <f ca="1">IFERROR(IF($A$1="All",SUMIF('MATCH CALCS'!$D:$D,$A42,'MATCH CALCS'!AG:AG)/$E42,(SUMIFS('MATCH CALCS'!AG:AG, 'MATCH CALCS'!$D:$D, $A42, 'MATCH CALCS'!$A:$A, $A$1)/$E42)),"-")</f>
        <v>0</v>
      </c>
      <c r="R42" s="112">
        <f ca="1">IFERROR(IF($A$1="All",SUMIF('MATCH CALCS'!$D:$D,$A42,'MATCH CALCS'!AF:AF)/$E42,(SUMIFS('MATCH CALCS'!AF:AF, 'MATCH CALCS'!$D:$D, $A42, 'MATCH CALCS'!$A:$A, $A$1)/$E42)),"-")</f>
        <v>0</v>
      </c>
      <c r="S42" s="112">
        <f ca="1">IFERROR(IF($A$1="All",SUMIF('MATCH CALCS'!$D:$D,$A42,'MATCH CALCS'!$AE:$AE)/$E42,(SUMIFS('MATCH CALCS'!$AE:$AE, 'MATCH CALCS'!$D:$D, $A42, 'MATCH CALCS'!$A:$A, $A$1)/$E42)),"-")</f>
        <v>0</v>
      </c>
      <c r="T42" s="112">
        <f t="shared" ca="1" si="1"/>
        <v>0.5</v>
      </c>
      <c r="U42" s="13">
        <f ca="1">IF($A$1="All",AVERAGEIF('MATCH CALCS'!$D$3:$D1000,$A42,'MATCH CALCS'!$BI$3:$BI1000),AVERAGEIFS('MATCH CALCS'!$BI$3:$BI1000,'MATCH CALCS'!$D$3:$D1000,$A42,'MATCH CALCS'!$A$3:$A1000,$A$1))</f>
        <v>0.16666666666666666</v>
      </c>
      <c r="V42" s="112">
        <f ca="1">IFERROR(IF($A$1="All",SUMIF('MATCH CALCS'!$D:$D,$A42,'MATCH CALCS'!W:W)/$E42,(SUMIFS('MATCH CALCS'!W:W, 'MATCH CALCS'!$D:$D, $A42, 'MATCH CALCS'!$A:$A, $A$1)/$E42)),"-")</f>
        <v>0</v>
      </c>
      <c r="W42" s="112">
        <f ca="1">IFERROR(IF($A$1="All",SUMIF('MATCH CALCS'!$D:$D,$A42,'MATCH CALCS'!X:X)/$E42,(SUMIFS('MATCH CALCS'!X:X, 'MATCH CALCS'!$D:$D, $A42, 'MATCH CALCS'!$A:$A, $A$1)/$E42)),"-")</f>
        <v>0</v>
      </c>
      <c r="X42" s="114" t="e">
        <f ca="1">IF($A$1="All",AVERAGEIF('MATCH CALCS'!$D$3:$D1000,$A42,'MATCH CALCS'!$BF$3:$BF1000),AVERAGEIFS('MATCH CALCS'!$BF$3:$BF1000,'MATCH CALCS'!$D$3:$D1000, $A42, 'MATCH CALCS'!$A$3:$A1000, $A$1))</f>
        <v>#DIV/0!</v>
      </c>
      <c r="Y42" s="115">
        <f ca="1">IF($A$1="All",SUMIF('MATCH CALCS'!$D$3:$D1000,$A42,'MATCH CALCS'!$BJ$3:$BJ1000),SUMIFS('MATCH CALCS'!$BJ$3:$BJ1000,'MATCH CALCS'!$D$3:$D1000, $A42, 'MATCH CALCS'!$A$3:$A1000, $A$1))</f>
        <v>0</v>
      </c>
      <c r="Z42" s="116" t="str">
        <f ca="1">IFERROR(__xludf.DUMMYFUNCTION("IFERROR(IF($A$1=""All"",AVERAGE(FILTER('MATCH CALCS'!$BR$3:$BR1000, 'MATCH CALCS'!$D$3:$D1000=$A42)),AVERAGE(FILTER('MATCH CALCS'!$BR$3:$BR1000, 'MATCH CALCS'!$D$3:$D1000=$A42,'MATCH CALCS'!$A$3:$A1000=$A$1))),""No Data"")"),"No Data")</f>
        <v>No Data</v>
      </c>
      <c r="AA42" s="117" t="str">
        <f ca="1">IFERROR(__xludf.DUMMYFUNCTION("IFERROR(IF($A$1=""All"",IF(COUNTIF(FILTER('MATCH CALCS'!$AT$3:$AT1000,'MATCH CALCS'!$D$3:$D1000=$A42), ""Dc"")&gt;0, IF(COUNTIF(FILTER('MATCH CALCS'!$AT$3:$AT1000,'MATCH CALCS'!$D$3:$D1000=$A42), ""Sc"")&gt;0, ""Mixed"", ""Deep""), IF(COUNTIF(FILTER('MATCH CALC"&amp;"S'!$AT$3:$AT1000,'MATCH CALCS'!$D$3:$D1000=$A42), ""Sc"")&gt;0, ""Shallow"",""None"")),IF(COUNTIF(FILTER('MATCH CALCS'!$AT$3:$AT1000,'MATCH CALCS'!$D$3:$D1000=$A42,'MATCH CALCS'!$A$3:$A1000=$A$1), ""Dc"")&gt;0, IF(COUNTIF(FILTER('MATCH CALCS'!$AT$3:$AT1000,'MAT"&amp;"CH CALCS'!$D$3:$D1000=$A42,'MATCH CALCS'!$A$3:$A1000=$A$1), ""Sc"")&gt;0, ""Mixed"", ""Deep""), IF(COUNTIF(FILTER('MATCH CALCS'!$AT$3:$AT1000,'MATCH CALCS'!$D$3:$D1000=$A42,'MATCH CALCS'!$A$3:$A1000=$A$1), ""Sc"")&gt;0, ""Shallow"",""None""))))"),"None")</f>
        <v>None</v>
      </c>
      <c r="AB42" s="9" t="str">
        <f ca="1">IFERROR(IF($A$1="All",(COUNTIFS('MATCH CALCS'!$AT$3:$AT1000,("=Dc"),'MATCH CALCS'!$D$3:$D1000, $A42)+COUNTIFS('MATCH CALCS'!$AT$3:$AT1000,("=Sc"),'MATCH CALCS'!$D$3:$D1000, $A42))/(COUNTIFS('MATCH CALCS'!$AK$3:$AK1000,("=Dc"),'MATCH CALCS'!$D$3:$D1000, $A42)+COUNTIFS('MATCH CALCS'!$AK$3:$AK1000,("=Sc"),'MATCH CALCS'!$D$3:$D1000, $A42)),(COUNTIFS('MATCH CALCS'!$AT$3:$AT1000,("=Dc"),'MATCH CALCS'!$D$3:$D1000, $A42,'MATCH CALCS'!$A$3:$A1000,$A$1)+COUNTIFS('MATCH CALCS'!$AT$3:$AT1000,("=Sc"),'MATCH CALCS'!$D$3:$D1000, $A42,'MATCH CALCS'!$A$3:$A1000,$A$1))/(COUNTIFS('MATCH CALCS'!$AK$3:$AK1000,("=Dc"),'MATCH CALCS'!$D$3:$D1000, $A42,'MATCH CALCS'!$A$3:$A1000,$A$1)+COUNTIFS('MATCH CALCS'!$AK$3:$AK1000,("=Sc"),'MATCH CALCS'!$D$3:$D1000, $A42,'MATCH CALCS'!$A$3:$A1000,$A$1))),"-")</f>
        <v>-</v>
      </c>
      <c r="AC42" s="25">
        <f ca="1">IFERROR(IF($A$1="All",COUNTIFS('MATCH CALCS'!$AT$3:$AT1000,("=Dc"),'MATCH CALCS'!$D$3:$D1000, $A42)+COUNTIFS('MATCH CALCS'!$AT$3:$AT1000,("=Sc"),'MATCH CALCS'!$D$3:$D1000, $A42),COUNTIFS('MATCH CALCS'!$AT$3:$AT1000,("=Dc"),'MATCH CALCS'!$D$3:$D1000, $A42,'MATCH CALCS'!$A$3:$A1000, $A$1)+COUNTIFS('MATCH CALCS'!$AT$3:$AT1000,("=Sc"),'MATCH CALCS'!$D$3:$D1000, $A42,'MATCH CALCS'!$A$3:$A1000, $A$1)),"-")</f>
        <v>0</v>
      </c>
    </row>
    <row r="43" spans="1:29" ht="12.75">
      <c r="A43" s="30">
        <f ca="1">IFERROR(__xludf.DUMMYFUNCTION("""COMPUTED_VALUE"""),5464)</f>
        <v>5464</v>
      </c>
      <c r="B43" s="6" t="str">
        <f ca="1">IFERROR(__xludf.DUMMYFUNCTION("""COMPUTED_VALUE"""),"Bluejacket Robotics")</f>
        <v>Bluejacket Robotics</v>
      </c>
      <c r="C43" s="30" t="str">
        <f ca="1">IFERROR(__xludf.DUMMYFUNCTION("FILTER('TEAM RANKING'!$A:$A,'TEAM RANKING'!$K:$K=$A43)"),"#N/A")</f>
        <v>#N/A</v>
      </c>
      <c r="D43" s="15"/>
      <c r="E43" s="110">
        <f ca="1">IFERROR((IF($A$1="All", COUNTIF('MATCH CALCS'!$D:$D,$A43), (COUNTIFS('MATCH CALCS'!D:D, $A43, 'MATCH CALCS'!$A:$A,$A$1)))),"-")</f>
        <v>3</v>
      </c>
      <c r="F43" s="111">
        <f ca="1">IFERROR(IF($A$1="All",SUMIF('MATCH CALCS'!$D:$D,$A43,'MATCH CALCS'!$AW:$AW)/$E43,(SUMIFS('MATCH CALCS'!$AW:$AW, 'MATCH CALCS'!$D:$D, $A43, 'MATCH CALCS'!$A:$A, $A$1)/$E43)),"-")</f>
        <v>0.66666666666666663</v>
      </c>
      <c r="G43" s="112">
        <f ca="1">IFERROR(IF($A$1="All",SUMIF('MATCH CALCS'!$D:$D,$A43,'MATCH CALCS'!O:O)/$E43,(SUMIFS('MATCH CALCS'!O:O, 'MATCH CALCS'!$D:$D, $A43, 'MATCH CALCS'!$A:$A, $A$1)/$E43)),"-")</f>
        <v>0</v>
      </c>
      <c r="H43" s="112">
        <f ca="1">IFERROR(IF($A$1="All",SUMIF('MATCH CALCS'!$D:$D,$A43,'MATCH CALCS'!N:N)/$E43,(SUMIFS('MATCH CALCS'!N:N, 'MATCH CALCS'!$D:$D, $A43, 'MATCH CALCS'!$A:$A, $A$1)/$E43)),"-")</f>
        <v>0</v>
      </c>
      <c r="I43" s="112">
        <f ca="1">IFERROR(IF($A$1="All",SUMIF('MATCH CALCS'!$D:$D,$A43,'MATCH CALCS'!M:M)/$E43,(SUMIFS('MATCH CALCS'!M:M, 'MATCH CALCS'!$D:$D, $A43, 'MATCH CALCS'!$A:$A, $A$1)/$E43)),"-")</f>
        <v>0</v>
      </c>
      <c r="J43" s="112">
        <f ca="1">IFERROR(IF($A$1="All",SUMIF('MATCH CALCS'!$D:$D,$A43,'MATCH CALCS'!L:L)/$E43,(SUMIFS('MATCH CALCS'!L:L, 'MATCH CALCS'!$D:$D, $A43, 'MATCH CALCS'!$A:$A, $A$1)/$E43)),"-")</f>
        <v>0.33333333333333331</v>
      </c>
      <c r="K43" s="112">
        <f t="shared" ca="1" si="0"/>
        <v>0.33333333333333331</v>
      </c>
      <c r="L43" s="13">
        <f ca="1">IF($A$1="All",AVERAGEIF('MATCH CALCS'!$D$3:$D1000,$A43,'MATCH CALCS'!$AZ$3:$AZ1000),AVERAGEIFS('MATCH CALCS'!$AZ$3:$AZ1000,'MATCH CALCS'!$D$3:$D1000,$A43,'MATCH CALCS'!$A$3:$A1000,$A$1))</f>
        <v>0.33333333333333331</v>
      </c>
      <c r="M43" s="112">
        <f ca="1">IF($A$1="All",AVERAGEIF('MATCH CALCS'!$D:$D,$A43,'MATCH CALCS'!R:R),(SUMIFS('MATCH CALCS'!R$3:R1000, 'MATCH CALCS'!$D$3:$D1000, $A43, 'MATCH CALCS'!A$3:A1000, $A$1)/$E43))</f>
        <v>0</v>
      </c>
      <c r="N43" s="112">
        <f ca="1">IFERROR(IF($A$1="All",SUMIF('MATCH CALCS'!$D:$D,$A43,'MATCH CALCS'!S:S)/$E43,(SUMIFS('MATCH CALCS'!S:S, 'MATCH CALCS'!$D:$D, $A43, 'MATCH CALCS'!A:A, $A$1)/$E43)),"-")</f>
        <v>0</v>
      </c>
      <c r="O43" s="113" t="e">
        <f ca="1">IF($A$1="All",AVERAGEIF('MATCH CALCS'!$D$3:$D1000,$A43,'MATCH CALCS'!$BC$3:$BC1000),AVERAGEIFS('MATCH CALCS'!$BC$3:$BC1000,'MATCH CALCS'!$D$3:$D1000,$A43,'MATCH CALCS'!$A$3:$A1000,$A$1))</f>
        <v>#DIV/0!</v>
      </c>
      <c r="P43" s="112">
        <f ca="1">IFERROR(IF($A$1="All",SUMIF('MATCH CALCS'!$D:$D,$A43,'MATCH CALCS'!AH:AH)/$E43,(SUMIFS('MATCH CALCS'!AH:AH, 'MATCH CALCS'!$D:$D, $A43, 'MATCH CALCS'!$A:$A, $A$1)/$E43)),"-")</f>
        <v>0</v>
      </c>
      <c r="Q43" s="112">
        <f ca="1">IFERROR(IF($A$1="All",SUMIF('MATCH CALCS'!$D:$D,$A43,'MATCH CALCS'!AG:AG)/$E43,(SUMIFS('MATCH CALCS'!AG:AG, 'MATCH CALCS'!$D:$D, $A43, 'MATCH CALCS'!$A:$A, $A$1)/$E43)),"-")</f>
        <v>0</v>
      </c>
      <c r="R43" s="112">
        <f ca="1">IFERROR(IF($A$1="All",SUMIF('MATCH CALCS'!$D:$D,$A43,'MATCH CALCS'!AF:AF)/$E43,(SUMIFS('MATCH CALCS'!AF:AF, 'MATCH CALCS'!$D:$D, $A43, 'MATCH CALCS'!$A:$A, $A$1)/$E43)),"-")</f>
        <v>0</v>
      </c>
      <c r="S43" s="112">
        <f ca="1">IFERROR(IF($A$1="All",SUMIF('MATCH CALCS'!$D:$D,$A43,'MATCH CALCS'!$AE:$AE)/$E43,(SUMIFS('MATCH CALCS'!$AE:$AE, 'MATCH CALCS'!$D:$D, $A43, 'MATCH CALCS'!$A:$A, $A$1)/$E43)),"-")</f>
        <v>4.666666666666667</v>
      </c>
      <c r="T43" s="112">
        <f t="shared" ca="1" si="1"/>
        <v>4.666666666666667</v>
      </c>
      <c r="U43" s="13">
        <f ca="1">IF($A$1="All",AVERAGEIF('MATCH CALCS'!$D$3:$D1000,$A43,'MATCH CALCS'!$BI$3:$BI1000),AVERAGEIFS('MATCH CALCS'!$BI$3:$BI1000,'MATCH CALCS'!$D$3:$D1000,$A43,'MATCH CALCS'!$A$3:$A1000,$A$1))</f>
        <v>0.70476190476190481</v>
      </c>
      <c r="V43" s="112">
        <f ca="1">IFERROR(IF($A$1="All",SUMIF('MATCH CALCS'!$D:$D,$A43,'MATCH CALCS'!W:W)/$E43,(SUMIFS('MATCH CALCS'!W:W, 'MATCH CALCS'!$D:$D, $A43, 'MATCH CALCS'!$A:$A, $A$1)/$E43)),"-")</f>
        <v>0</v>
      </c>
      <c r="W43" s="112">
        <f ca="1">IFERROR(IF($A$1="All",SUMIF('MATCH CALCS'!$D:$D,$A43,'MATCH CALCS'!X:X)/$E43,(SUMIFS('MATCH CALCS'!X:X, 'MATCH CALCS'!$D:$D, $A43, 'MATCH CALCS'!$A:$A, $A$1)/$E43)),"-")</f>
        <v>0</v>
      </c>
      <c r="X43" s="114" t="e">
        <f ca="1">IF($A$1="All",AVERAGEIF('MATCH CALCS'!$D$3:$D1000,$A43,'MATCH CALCS'!$BF$3:$BF1000),AVERAGEIFS('MATCH CALCS'!$BF$3:$BF1000,'MATCH CALCS'!$D$3:$D1000, $A43, 'MATCH CALCS'!$A$3:$A1000, $A$1))</f>
        <v>#DIV/0!</v>
      </c>
      <c r="Y43" s="115">
        <f ca="1">IF($A$1="All",SUMIF('MATCH CALCS'!$D$3:$D1000,$A43,'MATCH CALCS'!$BJ$3:$BJ1000),SUMIFS('MATCH CALCS'!$BJ$3:$BJ1000,'MATCH CALCS'!$D$3:$D1000, $A43, 'MATCH CALCS'!$A$3:$A1000, $A$1))</f>
        <v>0</v>
      </c>
      <c r="Z43" s="116" t="str">
        <f ca="1">IFERROR(__xludf.DUMMYFUNCTION("IFERROR(IF($A$1=""All"",AVERAGE(FILTER('MATCH CALCS'!$BR$3:$BR1000, 'MATCH CALCS'!$D$3:$D1000=$A43)),AVERAGE(FILTER('MATCH CALCS'!$BR$3:$BR1000, 'MATCH CALCS'!$D$3:$D1000=$A43,'MATCH CALCS'!$A$3:$A1000=$A$1))),""No Data"")"),"No Data")</f>
        <v>No Data</v>
      </c>
      <c r="AA43" s="117" t="str">
        <f ca="1">IFERROR(__xludf.DUMMYFUNCTION("IFERROR(IF($A$1=""All"",IF(COUNTIF(FILTER('MATCH CALCS'!$AT$3:$AT1000,'MATCH CALCS'!$D$3:$D1000=$A43), ""Dc"")&gt;0, IF(COUNTIF(FILTER('MATCH CALCS'!$AT$3:$AT1000,'MATCH CALCS'!$D$3:$D1000=$A43), ""Sc"")&gt;0, ""Mixed"", ""Deep""), IF(COUNTIF(FILTER('MATCH CALC"&amp;"S'!$AT$3:$AT1000,'MATCH CALCS'!$D$3:$D1000=$A43), ""Sc"")&gt;0, ""Shallow"",""None"")),IF(COUNTIF(FILTER('MATCH CALCS'!$AT$3:$AT1000,'MATCH CALCS'!$D$3:$D1000=$A43,'MATCH CALCS'!$A$3:$A1000=$A$1), ""Dc"")&gt;0, IF(COUNTIF(FILTER('MATCH CALCS'!$AT$3:$AT1000,'MAT"&amp;"CH CALCS'!$D$3:$D1000=$A43,'MATCH CALCS'!$A$3:$A1000=$A$1), ""Sc"")&gt;0, ""Mixed"", ""Deep""), IF(COUNTIF(FILTER('MATCH CALCS'!$AT$3:$AT1000,'MATCH CALCS'!$D$3:$D1000=$A43,'MATCH CALCS'!$A$3:$A1000=$A$1), ""Sc"")&gt;0, ""Shallow"",""None""))))"),"Deep")</f>
        <v>Deep</v>
      </c>
      <c r="AB43" s="9">
        <f ca="1">IFERROR(IF($A$1="All",(COUNTIFS('MATCH CALCS'!$AT$3:$AT1000,("=Dc"),'MATCH CALCS'!$D$3:$D1000, $A43)+COUNTIFS('MATCH CALCS'!$AT$3:$AT1000,("=Sc"),'MATCH CALCS'!$D$3:$D1000, $A43))/(COUNTIFS('MATCH CALCS'!$AK$3:$AK1000,("=Dc"),'MATCH CALCS'!$D$3:$D1000, $A43)+COUNTIFS('MATCH CALCS'!$AK$3:$AK1000,("=Sc"),'MATCH CALCS'!$D$3:$D1000, $A43)),(COUNTIFS('MATCH CALCS'!$AT$3:$AT1000,("=Dc"),'MATCH CALCS'!$D$3:$D1000, $A43,'MATCH CALCS'!$A$3:$A1000,$A$1)+COUNTIFS('MATCH CALCS'!$AT$3:$AT1000,("=Sc"),'MATCH CALCS'!$D$3:$D1000, $A43,'MATCH CALCS'!$A$3:$A1000,$A$1))/(COUNTIFS('MATCH CALCS'!$AK$3:$AK1000,("=Dc"),'MATCH CALCS'!$D$3:$D1000, $A43,'MATCH CALCS'!$A$3:$A1000,$A$1)+COUNTIFS('MATCH CALCS'!$AK$3:$AK1000,("=Sc"),'MATCH CALCS'!$D$3:$D1000, $A43,'MATCH CALCS'!$A$3:$A1000,$A$1))),"-")</f>
        <v>0.33333333333333331</v>
      </c>
      <c r="AC43" s="25">
        <f ca="1">IFERROR(IF($A$1="All",COUNTIFS('MATCH CALCS'!$AT$3:$AT1000,("=Dc"),'MATCH CALCS'!$D$3:$D1000, $A43)+COUNTIFS('MATCH CALCS'!$AT$3:$AT1000,("=Sc"),'MATCH CALCS'!$D$3:$D1000, $A43),COUNTIFS('MATCH CALCS'!$AT$3:$AT1000,("=Dc"),'MATCH CALCS'!$D$3:$D1000, $A43,'MATCH CALCS'!$A$3:$A1000, $A$1)+COUNTIFS('MATCH CALCS'!$AT$3:$AT1000,("=Sc"),'MATCH CALCS'!$D$3:$D1000, $A43,'MATCH CALCS'!$A$3:$A1000, $A$1)),"-")</f>
        <v>1</v>
      </c>
    </row>
    <row r="44" spans="1:29" ht="12.75">
      <c r="A44" s="30">
        <f ca="1">IFERROR(__xludf.DUMMYFUNCTION("""COMPUTED_VALUE"""),5541)</f>
        <v>5541</v>
      </c>
      <c r="B44" s="6" t="str">
        <f ca="1">IFERROR(__xludf.DUMMYFUNCTION("""COMPUTED_VALUE"""),"Shakopee Sabers")</f>
        <v>Shakopee Sabers</v>
      </c>
      <c r="C44" s="30" t="str">
        <f ca="1">IFERROR(__xludf.DUMMYFUNCTION("FILTER('TEAM RANKING'!$A:$A,'TEAM RANKING'!$K:$K=$A44)"),"#N/A")</f>
        <v>#N/A</v>
      </c>
      <c r="D44" s="15"/>
      <c r="E44" s="110">
        <f ca="1">IFERROR((IF($A$1="All", COUNTIF('MATCH CALCS'!$D:$D,$A44), (COUNTIFS('MATCH CALCS'!D:D, $A44, 'MATCH CALCS'!$A:$A,$A$1)))),"-")</f>
        <v>1</v>
      </c>
      <c r="F44" s="111">
        <f ca="1">IFERROR(IF($A$1="All",SUMIF('MATCH CALCS'!$D:$D,$A44,'MATCH CALCS'!$AW:$AW)/$E44,(SUMIFS('MATCH CALCS'!$AW:$AW, 'MATCH CALCS'!$D:$D, $A44, 'MATCH CALCS'!$A:$A, $A$1)/$E44)),"-")</f>
        <v>0</v>
      </c>
      <c r="G44" s="112">
        <f ca="1">IFERROR(IF($A$1="All",SUMIF('MATCH CALCS'!$D:$D,$A44,'MATCH CALCS'!O:O)/$E44,(SUMIFS('MATCH CALCS'!O:O, 'MATCH CALCS'!$D:$D, $A44, 'MATCH CALCS'!$A:$A, $A$1)/$E44)),"-")</f>
        <v>0</v>
      </c>
      <c r="H44" s="112">
        <f ca="1">IFERROR(IF($A$1="All",SUMIF('MATCH CALCS'!$D:$D,$A44,'MATCH CALCS'!N:N)/$E44,(SUMIFS('MATCH CALCS'!N:N, 'MATCH CALCS'!$D:$D, $A44, 'MATCH CALCS'!$A:$A, $A$1)/$E44)),"-")</f>
        <v>0</v>
      </c>
      <c r="I44" s="112">
        <f ca="1">IFERROR(IF($A$1="All",SUMIF('MATCH CALCS'!$D:$D,$A44,'MATCH CALCS'!M:M)/$E44,(SUMIFS('MATCH CALCS'!M:M, 'MATCH CALCS'!$D:$D, $A44, 'MATCH CALCS'!$A:$A, $A$1)/$E44)),"-")</f>
        <v>0</v>
      </c>
      <c r="J44" s="112">
        <f ca="1">IFERROR(IF($A$1="All",SUMIF('MATCH CALCS'!$D:$D,$A44,'MATCH CALCS'!L:L)/$E44,(SUMIFS('MATCH CALCS'!L:L, 'MATCH CALCS'!$D:$D, $A44, 'MATCH CALCS'!$A:$A, $A$1)/$E44)),"-")</f>
        <v>0</v>
      </c>
      <c r="K44" s="112">
        <f t="shared" ca="1" si="0"/>
        <v>0</v>
      </c>
      <c r="L44" s="13" t="e">
        <f ca="1">IF($A$1="All",AVERAGEIF('MATCH CALCS'!$D$3:$D1000,$A44,'MATCH CALCS'!$AZ$3:$AZ1000),AVERAGEIFS('MATCH CALCS'!$AZ$3:$AZ1000,'MATCH CALCS'!$D$3:$D1000,$A44,'MATCH CALCS'!$A$3:$A1000,$A$1))</f>
        <v>#DIV/0!</v>
      </c>
      <c r="M44" s="112">
        <f ca="1">IF($A$1="All",AVERAGEIF('MATCH CALCS'!$D:$D,$A44,'MATCH CALCS'!R:R),(SUMIFS('MATCH CALCS'!R$3:R1000, 'MATCH CALCS'!$D$3:$D1000, $A44, 'MATCH CALCS'!A$3:A1000, $A$1)/$E44))</f>
        <v>0</v>
      </c>
      <c r="N44" s="112">
        <f ca="1">IFERROR(IF($A$1="All",SUMIF('MATCH CALCS'!$D:$D,$A44,'MATCH CALCS'!S:S)/$E44,(SUMIFS('MATCH CALCS'!S:S, 'MATCH CALCS'!$D:$D, $A44, 'MATCH CALCS'!A:A, $A$1)/$E44)),"-")</f>
        <v>0</v>
      </c>
      <c r="O44" s="113" t="e">
        <f ca="1">IF($A$1="All",AVERAGEIF('MATCH CALCS'!$D$3:$D1000,$A44,'MATCH CALCS'!$BC$3:$BC1000),AVERAGEIFS('MATCH CALCS'!$BC$3:$BC1000,'MATCH CALCS'!$D$3:$D1000,$A44,'MATCH CALCS'!$A$3:$A1000,$A$1))</f>
        <v>#DIV/0!</v>
      </c>
      <c r="P44" s="112">
        <f ca="1">IFERROR(IF($A$1="All",SUMIF('MATCH CALCS'!$D:$D,$A44,'MATCH CALCS'!AH:AH)/$E44,(SUMIFS('MATCH CALCS'!AH:AH, 'MATCH CALCS'!$D:$D, $A44, 'MATCH CALCS'!$A:$A, $A$1)/$E44)),"-")</f>
        <v>0</v>
      </c>
      <c r="Q44" s="112">
        <f ca="1">IFERROR(IF($A$1="All",SUMIF('MATCH CALCS'!$D:$D,$A44,'MATCH CALCS'!AG:AG)/$E44,(SUMIFS('MATCH CALCS'!AG:AG, 'MATCH CALCS'!$D:$D, $A44, 'MATCH CALCS'!$A:$A, $A$1)/$E44)),"-")</f>
        <v>0</v>
      </c>
      <c r="R44" s="112">
        <f ca="1">IFERROR(IF($A$1="All",SUMIF('MATCH CALCS'!$D:$D,$A44,'MATCH CALCS'!AF:AF)/$E44,(SUMIFS('MATCH CALCS'!AF:AF, 'MATCH CALCS'!$D:$D, $A44, 'MATCH CALCS'!$A:$A, $A$1)/$E44)),"-")</f>
        <v>0</v>
      </c>
      <c r="S44" s="112">
        <f ca="1">IFERROR(IF($A$1="All",SUMIF('MATCH CALCS'!$D:$D,$A44,'MATCH CALCS'!$AE:$AE)/$E44,(SUMIFS('MATCH CALCS'!$AE:$AE, 'MATCH CALCS'!$D:$D, $A44, 'MATCH CALCS'!$A:$A, $A$1)/$E44)),"-")</f>
        <v>0</v>
      </c>
      <c r="T44" s="112">
        <f t="shared" ca="1" si="1"/>
        <v>0</v>
      </c>
      <c r="U44" s="13" t="e">
        <f ca="1">IF($A$1="All",AVERAGEIF('MATCH CALCS'!$D$3:$D1000,$A44,'MATCH CALCS'!$BI$3:$BI1000),AVERAGEIFS('MATCH CALCS'!$BI$3:$BI1000,'MATCH CALCS'!$D$3:$D1000,$A44,'MATCH CALCS'!$A$3:$A1000,$A$1))</f>
        <v>#DIV/0!</v>
      </c>
      <c r="V44" s="112">
        <f ca="1">IFERROR(IF($A$1="All",SUMIF('MATCH CALCS'!$D:$D,$A44,'MATCH CALCS'!W:W)/$E44,(SUMIFS('MATCH CALCS'!W:W, 'MATCH CALCS'!$D:$D, $A44, 'MATCH CALCS'!$A:$A, $A$1)/$E44)),"-")</f>
        <v>0</v>
      </c>
      <c r="W44" s="112">
        <f ca="1">IFERROR(IF($A$1="All",SUMIF('MATCH CALCS'!$D:$D,$A44,'MATCH CALCS'!X:X)/$E44,(SUMIFS('MATCH CALCS'!X:X, 'MATCH CALCS'!$D:$D, $A44, 'MATCH CALCS'!$A:$A, $A$1)/$E44)),"-")</f>
        <v>0</v>
      </c>
      <c r="X44" s="114" t="e">
        <f ca="1">IF($A$1="All",AVERAGEIF('MATCH CALCS'!$D$3:$D1000,$A44,'MATCH CALCS'!$BF$3:$BF1000),AVERAGEIFS('MATCH CALCS'!$BF$3:$BF1000,'MATCH CALCS'!$D$3:$D1000, $A44, 'MATCH CALCS'!$A$3:$A1000, $A$1))</f>
        <v>#DIV/0!</v>
      </c>
      <c r="Y44" s="115">
        <f ca="1">IF($A$1="All",SUMIF('MATCH CALCS'!$D$3:$D1000,$A44,'MATCH CALCS'!$BJ$3:$BJ1000),SUMIFS('MATCH CALCS'!$BJ$3:$BJ1000,'MATCH CALCS'!$D$3:$D1000, $A44, 'MATCH CALCS'!$A$3:$A1000, $A$1))</f>
        <v>0</v>
      </c>
      <c r="Z44" s="116" t="str">
        <f ca="1">IFERROR(__xludf.DUMMYFUNCTION("IFERROR(IF($A$1=""All"",AVERAGE(FILTER('MATCH CALCS'!$BR$3:$BR1000, 'MATCH CALCS'!$D$3:$D1000=$A44)),AVERAGE(FILTER('MATCH CALCS'!$BR$3:$BR1000, 'MATCH CALCS'!$D$3:$D1000=$A44,'MATCH CALCS'!$A$3:$A1000=$A$1))),""No Data"")"),"No Data")</f>
        <v>No Data</v>
      </c>
      <c r="AA44" s="117" t="str">
        <f ca="1">IFERROR(__xludf.DUMMYFUNCTION("IFERROR(IF($A$1=""All"",IF(COUNTIF(FILTER('MATCH CALCS'!$AT$3:$AT1000,'MATCH CALCS'!$D$3:$D1000=$A44), ""Dc"")&gt;0, IF(COUNTIF(FILTER('MATCH CALCS'!$AT$3:$AT1000,'MATCH CALCS'!$D$3:$D1000=$A44), ""Sc"")&gt;0, ""Mixed"", ""Deep""), IF(COUNTIF(FILTER('MATCH CALC"&amp;"S'!$AT$3:$AT1000,'MATCH CALCS'!$D$3:$D1000=$A44), ""Sc"")&gt;0, ""Shallow"",""None"")),IF(COUNTIF(FILTER('MATCH CALCS'!$AT$3:$AT1000,'MATCH CALCS'!$D$3:$D1000=$A44,'MATCH CALCS'!$A$3:$A1000=$A$1), ""Dc"")&gt;0, IF(COUNTIF(FILTER('MATCH CALCS'!$AT$3:$AT1000,'MAT"&amp;"CH CALCS'!$D$3:$D1000=$A44,'MATCH CALCS'!$A$3:$A1000=$A$1), ""Sc"")&gt;0, ""Mixed"", ""Deep""), IF(COUNTIF(FILTER('MATCH CALCS'!$AT$3:$AT1000,'MATCH CALCS'!$D$3:$D1000=$A44,'MATCH CALCS'!$A$3:$A1000=$A$1), ""Sc"")&gt;0, ""Shallow"",""None""))))"),"None")</f>
        <v>None</v>
      </c>
      <c r="AB44" s="9" t="str">
        <f ca="1">IFERROR(IF($A$1="All",(COUNTIFS('MATCH CALCS'!$AT$3:$AT1000,("=Dc"),'MATCH CALCS'!$D$3:$D1000, $A44)+COUNTIFS('MATCH CALCS'!$AT$3:$AT1000,("=Sc"),'MATCH CALCS'!$D$3:$D1000, $A44))/(COUNTIFS('MATCH CALCS'!$AK$3:$AK1000,("=Dc"),'MATCH CALCS'!$D$3:$D1000, $A44)+COUNTIFS('MATCH CALCS'!$AK$3:$AK1000,("=Sc"),'MATCH CALCS'!$D$3:$D1000, $A44)),(COUNTIFS('MATCH CALCS'!$AT$3:$AT1000,("=Dc"),'MATCH CALCS'!$D$3:$D1000, $A44,'MATCH CALCS'!$A$3:$A1000,$A$1)+COUNTIFS('MATCH CALCS'!$AT$3:$AT1000,("=Sc"),'MATCH CALCS'!$D$3:$D1000, $A44,'MATCH CALCS'!$A$3:$A1000,$A$1))/(COUNTIFS('MATCH CALCS'!$AK$3:$AK1000,("=Dc"),'MATCH CALCS'!$D$3:$D1000, $A44,'MATCH CALCS'!$A$3:$A1000,$A$1)+COUNTIFS('MATCH CALCS'!$AK$3:$AK1000,("=Sc"),'MATCH CALCS'!$D$3:$D1000, $A44,'MATCH CALCS'!$A$3:$A1000,$A$1))),"-")</f>
        <v>-</v>
      </c>
      <c r="AC44" s="25">
        <f ca="1">IFERROR(IF($A$1="All",COUNTIFS('MATCH CALCS'!$AT$3:$AT1000,("=Dc"),'MATCH CALCS'!$D$3:$D1000, $A44)+COUNTIFS('MATCH CALCS'!$AT$3:$AT1000,("=Sc"),'MATCH CALCS'!$D$3:$D1000, $A44),COUNTIFS('MATCH CALCS'!$AT$3:$AT1000,("=Dc"),'MATCH CALCS'!$D$3:$D1000, $A44,'MATCH CALCS'!$A$3:$A1000, $A$1)+COUNTIFS('MATCH CALCS'!$AT$3:$AT1000,("=Sc"),'MATCH CALCS'!$D$3:$D1000, $A44,'MATCH CALCS'!$A$3:$A1000, $A$1)),"-")</f>
        <v>0</v>
      </c>
    </row>
    <row r="45" spans="1:29" ht="12.75">
      <c r="A45" s="30">
        <f ca="1">IFERROR(__xludf.DUMMYFUNCTION("""COMPUTED_VALUE"""),5996)</f>
        <v>5996</v>
      </c>
      <c r="B45" s="6" t="str">
        <f ca="1">IFERROR(__xludf.DUMMYFUNCTION("""COMPUTED_VALUE"""),"R.U.R.")</f>
        <v>R.U.R.</v>
      </c>
      <c r="C45" s="30" t="str">
        <f ca="1">IFERROR(__xludf.DUMMYFUNCTION("FILTER('TEAM RANKING'!$A:$A,'TEAM RANKING'!$K:$K=$A45)"),"#N/A")</f>
        <v>#N/A</v>
      </c>
      <c r="D45" s="15"/>
      <c r="E45" s="110">
        <f ca="1">IFERROR((IF($A$1="All", COUNTIF('MATCH CALCS'!$D:$D,$A45), (COUNTIFS('MATCH CALCS'!D:D, $A45, 'MATCH CALCS'!$A:$A,$A$1)))),"-")</f>
        <v>2</v>
      </c>
      <c r="F45" s="111">
        <f ca="1">IFERROR(IF($A$1="All",SUMIF('MATCH CALCS'!$D:$D,$A45,'MATCH CALCS'!$AW:$AW)/$E45,(SUMIFS('MATCH CALCS'!$AW:$AW, 'MATCH CALCS'!$D:$D, $A45, 'MATCH CALCS'!$A:$A, $A$1)/$E45)),"-")</f>
        <v>0</v>
      </c>
      <c r="G45" s="112">
        <f ca="1">IFERROR(IF($A$1="All",SUMIF('MATCH CALCS'!$D:$D,$A45,'MATCH CALCS'!O:O)/$E45,(SUMIFS('MATCH CALCS'!O:O, 'MATCH CALCS'!$D:$D, $A45, 'MATCH CALCS'!$A:$A, $A$1)/$E45)),"-")</f>
        <v>0</v>
      </c>
      <c r="H45" s="112">
        <f ca="1">IFERROR(IF($A$1="All",SUMIF('MATCH CALCS'!$D:$D,$A45,'MATCH CALCS'!N:N)/$E45,(SUMIFS('MATCH CALCS'!N:N, 'MATCH CALCS'!$D:$D, $A45, 'MATCH CALCS'!$A:$A, $A$1)/$E45)),"-")</f>
        <v>0</v>
      </c>
      <c r="I45" s="112">
        <f ca="1">IFERROR(IF($A$1="All",SUMIF('MATCH CALCS'!$D:$D,$A45,'MATCH CALCS'!M:M)/$E45,(SUMIFS('MATCH CALCS'!M:M, 'MATCH CALCS'!$D:$D, $A45, 'MATCH CALCS'!$A:$A, $A$1)/$E45)),"-")</f>
        <v>0</v>
      </c>
      <c r="J45" s="112">
        <f ca="1">IFERROR(IF($A$1="All",SUMIF('MATCH CALCS'!$D:$D,$A45,'MATCH CALCS'!L:L)/$E45,(SUMIFS('MATCH CALCS'!L:L, 'MATCH CALCS'!$D:$D, $A45, 'MATCH CALCS'!$A:$A, $A$1)/$E45)),"-")</f>
        <v>0</v>
      </c>
      <c r="K45" s="112">
        <f t="shared" ca="1" si="0"/>
        <v>0</v>
      </c>
      <c r="L45" s="13" t="e">
        <f ca="1">IF($A$1="All",AVERAGEIF('MATCH CALCS'!$D$3:$D1000,$A45,'MATCH CALCS'!$AZ$3:$AZ1000),AVERAGEIFS('MATCH CALCS'!$AZ$3:$AZ1000,'MATCH CALCS'!$D$3:$D1000,$A45,'MATCH CALCS'!$A$3:$A1000,$A$1))</f>
        <v>#DIV/0!</v>
      </c>
      <c r="M45" s="112">
        <f ca="1">IF($A$1="All",AVERAGEIF('MATCH CALCS'!$D:$D,$A45,'MATCH CALCS'!R:R),(SUMIFS('MATCH CALCS'!R$3:R1000, 'MATCH CALCS'!$D$3:$D1000, $A45, 'MATCH CALCS'!A$3:A1000, $A$1)/$E45))</f>
        <v>0</v>
      </c>
      <c r="N45" s="112">
        <f ca="1">IFERROR(IF($A$1="All",SUMIF('MATCH CALCS'!$D:$D,$A45,'MATCH CALCS'!S:S)/$E45,(SUMIFS('MATCH CALCS'!S:S, 'MATCH CALCS'!$D:$D, $A45, 'MATCH CALCS'!A:A, $A$1)/$E45)),"-")</f>
        <v>0</v>
      </c>
      <c r="O45" s="113" t="e">
        <f ca="1">IF($A$1="All",AVERAGEIF('MATCH CALCS'!$D$3:$D1000,$A45,'MATCH CALCS'!$BC$3:$BC1000),AVERAGEIFS('MATCH CALCS'!$BC$3:$BC1000,'MATCH CALCS'!$D$3:$D1000,$A45,'MATCH CALCS'!$A$3:$A1000,$A$1))</f>
        <v>#DIV/0!</v>
      </c>
      <c r="P45" s="112">
        <f ca="1">IFERROR(IF($A$1="All",SUMIF('MATCH CALCS'!$D:$D,$A45,'MATCH CALCS'!AH:AH)/$E45,(SUMIFS('MATCH CALCS'!AH:AH, 'MATCH CALCS'!$D:$D, $A45, 'MATCH CALCS'!$A:$A, $A$1)/$E45)),"-")</f>
        <v>0</v>
      </c>
      <c r="Q45" s="112">
        <f ca="1">IFERROR(IF($A$1="All",SUMIF('MATCH CALCS'!$D:$D,$A45,'MATCH CALCS'!AG:AG)/$E45,(SUMIFS('MATCH CALCS'!AG:AG, 'MATCH CALCS'!$D:$D, $A45, 'MATCH CALCS'!$A:$A, $A$1)/$E45)),"-")</f>
        <v>0</v>
      </c>
      <c r="R45" s="112">
        <f ca="1">IFERROR(IF($A$1="All",SUMIF('MATCH CALCS'!$D:$D,$A45,'MATCH CALCS'!AF:AF)/$E45,(SUMIFS('MATCH CALCS'!AF:AF, 'MATCH CALCS'!$D:$D, $A45, 'MATCH CALCS'!$A:$A, $A$1)/$E45)),"-")</f>
        <v>0</v>
      </c>
      <c r="S45" s="112">
        <f ca="1">IFERROR(IF($A$1="All",SUMIF('MATCH CALCS'!$D:$D,$A45,'MATCH CALCS'!$AE:$AE)/$E45,(SUMIFS('MATCH CALCS'!$AE:$AE, 'MATCH CALCS'!$D:$D, $A45, 'MATCH CALCS'!$A:$A, $A$1)/$E45)),"-")</f>
        <v>0</v>
      </c>
      <c r="T45" s="112">
        <f t="shared" ca="1" si="1"/>
        <v>0</v>
      </c>
      <c r="U45" s="13" t="e">
        <f ca="1">IF($A$1="All",AVERAGEIF('MATCH CALCS'!$D$3:$D1000,$A45,'MATCH CALCS'!$BI$3:$BI1000),AVERAGEIFS('MATCH CALCS'!$BI$3:$BI1000,'MATCH CALCS'!$D$3:$D1000,$A45,'MATCH CALCS'!$A$3:$A1000,$A$1))</f>
        <v>#DIV/0!</v>
      </c>
      <c r="V45" s="112">
        <f ca="1">IFERROR(IF($A$1="All",SUMIF('MATCH CALCS'!$D:$D,$A45,'MATCH CALCS'!W:W)/$E45,(SUMIFS('MATCH CALCS'!W:W, 'MATCH CALCS'!$D:$D, $A45, 'MATCH CALCS'!$A:$A, $A$1)/$E45)),"-")</f>
        <v>0</v>
      </c>
      <c r="W45" s="112">
        <f ca="1">IFERROR(IF($A$1="All",SUMIF('MATCH CALCS'!$D:$D,$A45,'MATCH CALCS'!X:X)/$E45,(SUMIFS('MATCH CALCS'!X:X, 'MATCH CALCS'!$D:$D, $A45, 'MATCH CALCS'!$A:$A, $A$1)/$E45)),"-")</f>
        <v>0</v>
      </c>
      <c r="X45" s="114" t="e">
        <f ca="1">IF($A$1="All",AVERAGEIF('MATCH CALCS'!$D$3:$D1000,$A45,'MATCH CALCS'!$BF$3:$BF1000),AVERAGEIFS('MATCH CALCS'!$BF$3:$BF1000,'MATCH CALCS'!$D$3:$D1000, $A45, 'MATCH CALCS'!$A$3:$A1000, $A$1))</f>
        <v>#DIV/0!</v>
      </c>
      <c r="Y45" s="115">
        <f ca="1">IF($A$1="All",SUMIF('MATCH CALCS'!$D$3:$D1000,$A45,'MATCH CALCS'!$BJ$3:$BJ1000),SUMIFS('MATCH CALCS'!$BJ$3:$BJ1000,'MATCH CALCS'!$D$3:$D1000, $A45, 'MATCH CALCS'!$A$3:$A1000, $A$1))</f>
        <v>0</v>
      </c>
      <c r="Z45" s="116" t="str">
        <f ca="1">IFERROR(__xludf.DUMMYFUNCTION("IFERROR(IF($A$1=""All"",AVERAGE(FILTER('MATCH CALCS'!$BR$3:$BR1000, 'MATCH CALCS'!$D$3:$D1000=$A45)),AVERAGE(FILTER('MATCH CALCS'!$BR$3:$BR1000, 'MATCH CALCS'!$D$3:$D1000=$A45,'MATCH CALCS'!$A$3:$A1000=$A$1))),""No Data"")"),"No Data")</f>
        <v>No Data</v>
      </c>
      <c r="AA45" s="117" t="str">
        <f ca="1">IFERROR(__xludf.DUMMYFUNCTION("IFERROR(IF($A$1=""All"",IF(COUNTIF(FILTER('MATCH CALCS'!$AT$3:$AT1000,'MATCH CALCS'!$D$3:$D1000=$A45), ""Dc"")&gt;0, IF(COUNTIF(FILTER('MATCH CALCS'!$AT$3:$AT1000,'MATCH CALCS'!$D$3:$D1000=$A45), ""Sc"")&gt;0, ""Mixed"", ""Deep""), IF(COUNTIF(FILTER('MATCH CALC"&amp;"S'!$AT$3:$AT1000,'MATCH CALCS'!$D$3:$D1000=$A45), ""Sc"")&gt;0, ""Shallow"",""None"")),IF(COUNTIF(FILTER('MATCH CALCS'!$AT$3:$AT1000,'MATCH CALCS'!$D$3:$D1000=$A45,'MATCH CALCS'!$A$3:$A1000=$A$1), ""Dc"")&gt;0, IF(COUNTIF(FILTER('MATCH CALCS'!$AT$3:$AT1000,'MAT"&amp;"CH CALCS'!$D$3:$D1000=$A45,'MATCH CALCS'!$A$3:$A1000=$A$1), ""Sc"")&gt;0, ""Mixed"", ""Deep""), IF(COUNTIF(FILTER('MATCH CALCS'!$AT$3:$AT1000,'MATCH CALCS'!$D$3:$D1000=$A45,'MATCH CALCS'!$A$3:$A1000=$A$1), ""Sc"")&gt;0, ""Shallow"",""None""))))"),"None")</f>
        <v>None</v>
      </c>
      <c r="AB45" s="9" t="str">
        <f ca="1">IFERROR(IF($A$1="All",(COUNTIFS('MATCH CALCS'!$AT$3:$AT1000,("=Dc"),'MATCH CALCS'!$D$3:$D1000, $A45)+COUNTIFS('MATCH CALCS'!$AT$3:$AT1000,("=Sc"),'MATCH CALCS'!$D$3:$D1000, $A45))/(COUNTIFS('MATCH CALCS'!$AK$3:$AK1000,("=Dc"),'MATCH CALCS'!$D$3:$D1000, $A45)+COUNTIFS('MATCH CALCS'!$AK$3:$AK1000,("=Sc"),'MATCH CALCS'!$D$3:$D1000, $A45)),(COUNTIFS('MATCH CALCS'!$AT$3:$AT1000,("=Dc"),'MATCH CALCS'!$D$3:$D1000, $A45,'MATCH CALCS'!$A$3:$A1000,$A$1)+COUNTIFS('MATCH CALCS'!$AT$3:$AT1000,("=Sc"),'MATCH CALCS'!$D$3:$D1000, $A45,'MATCH CALCS'!$A$3:$A1000,$A$1))/(COUNTIFS('MATCH CALCS'!$AK$3:$AK1000,("=Dc"),'MATCH CALCS'!$D$3:$D1000, $A45,'MATCH CALCS'!$A$3:$A1000,$A$1)+COUNTIFS('MATCH CALCS'!$AK$3:$AK1000,("=Sc"),'MATCH CALCS'!$D$3:$D1000, $A45,'MATCH CALCS'!$A$3:$A1000,$A$1))),"-")</f>
        <v>-</v>
      </c>
      <c r="AC45" s="25">
        <f ca="1">IFERROR(IF($A$1="All",COUNTIFS('MATCH CALCS'!$AT$3:$AT1000,("=Dc"),'MATCH CALCS'!$D$3:$D1000, $A45)+COUNTIFS('MATCH CALCS'!$AT$3:$AT1000,("=Sc"),'MATCH CALCS'!$D$3:$D1000, $A45),COUNTIFS('MATCH CALCS'!$AT$3:$AT1000,("=Dc"),'MATCH CALCS'!$D$3:$D1000, $A45,'MATCH CALCS'!$A$3:$A1000, $A$1)+COUNTIFS('MATCH CALCS'!$AT$3:$AT1000,("=Sc"),'MATCH CALCS'!$D$3:$D1000, $A45,'MATCH CALCS'!$A$3:$A1000, $A$1)),"-")</f>
        <v>0</v>
      </c>
    </row>
    <row r="46" spans="1:29" ht="12.75">
      <c r="A46" s="30">
        <f ca="1">IFERROR(__xludf.DUMMYFUNCTION("""COMPUTED_VALUE"""),6045)</f>
        <v>6045</v>
      </c>
      <c r="B46" s="6" t="str">
        <f ca="1">IFERROR(__xludf.DUMMYFUNCTION("""COMPUTED_VALUE"""),"Sabre Robotics")</f>
        <v>Sabre Robotics</v>
      </c>
      <c r="C46" s="30" t="str">
        <f ca="1">IFERROR(__xludf.DUMMYFUNCTION("FILTER('TEAM RANKING'!$A:$A,'TEAM RANKING'!$K:$K=$A46)"),"#N/A")</f>
        <v>#N/A</v>
      </c>
      <c r="D46" s="15"/>
      <c r="E46" s="110">
        <f ca="1">IFERROR((IF($A$1="All", COUNTIF('MATCH CALCS'!$D:$D,$A46), (COUNTIFS('MATCH CALCS'!D:D, $A46, 'MATCH CALCS'!$A:$A,$A$1)))),"-")</f>
        <v>3</v>
      </c>
      <c r="F46" s="111">
        <f ca="1">IFERROR(IF($A$1="All",SUMIF('MATCH CALCS'!$D:$D,$A46,'MATCH CALCS'!$AW:$AW)/$E46,(SUMIFS('MATCH CALCS'!$AW:$AW, 'MATCH CALCS'!$D:$D, $A46, 'MATCH CALCS'!$A:$A, $A$1)/$E46)),"-")</f>
        <v>0.33333333333333331</v>
      </c>
      <c r="G46" s="112">
        <f ca="1">IFERROR(IF($A$1="All",SUMIF('MATCH CALCS'!$D:$D,$A46,'MATCH CALCS'!O:O)/$E46,(SUMIFS('MATCH CALCS'!O:O, 'MATCH CALCS'!$D:$D, $A46, 'MATCH CALCS'!$A:$A, $A$1)/$E46)),"-")</f>
        <v>0</v>
      </c>
      <c r="H46" s="112">
        <f ca="1">IFERROR(IF($A$1="All",SUMIF('MATCH CALCS'!$D:$D,$A46,'MATCH CALCS'!N:N)/$E46,(SUMIFS('MATCH CALCS'!N:N, 'MATCH CALCS'!$D:$D, $A46, 'MATCH CALCS'!$A:$A, $A$1)/$E46)),"-")</f>
        <v>0</v>
      </c>
      <c r="I46" s="112">
        <f ca="1">IFERROR(IF($A$1="All",SUMIF('MATCH CALCS'!$D:$D,$A46,'MATCH CALCS'!M:M)/$E46,(SUMIFS('MATCH CALCS'!M:M, 'MATCH CALCS'!$D:$D, $A46, 'MATCH CALCS'!$A:$A, $A$1)/$E46)),"-")</f>
        <v>0</v>
      </c>
      <c r="J46" s="112">
        <f ca="1">IFERROR(IF($A$1="All",SUMIF('MATCH CALCS'!$D:$D,$A46,'MATCH CALCS'!L:L)/$E46,(SUMIFS('MATCH CALCS'!L:L, 'MATCH CALCS'!$D:$D, $A46, 'MATCH CALCS'!$A:$A, $A$1)/$E46)),"-")</f>
        <v>0</v>
      </c>
      <c r="K46" s="112">
        <f t="shared" ca="1" si="0"/>
        <v>0</v>
      </c>
      <c r="L46" s="13" t="e">
        <f ca="1">IF($A$1="All",AVERAGEIF('MATCH CALCS'!$D$3:$D1000,$A46,'MATCH CALCS'!$AZ$3:$AZ1000),AVERAGEIFS('MATCH CALCS'!$AZ$3:$AZ1000,'MATCH CALCS'!$D$3:$D1000,$A46,'MATCH CALCS'!$A$3:$A1000,$A$1))</f>
        <v>#DIV/0!</v>
      </c>
      <c r="M46" s="112">
        <f ca="1">IF($A$1="All",AVERAGEIF('MATCH CALCS'!$D:$D,$A46,'MATCH CALCS'!R:R),(SUMIFS('MATCH CALCS'!R$3:R1000, 'MATCH CALCS'!$D$3:$D1000, $A46, 'MATCH CALCS'!A$3:A1000, $A$1)/$E46))</f>
        <v>0</v>
      </c>
      <c r="N46" s="112">
        <f ca="1">IFERROR(IF($A$1="All",SUMIF('MATCH CALCS'!$D:$D,$A46,'MATCH CALCS'!S:S)/$E46,(SUMIFS('MATCH CALCS'!S:S, 'MATCH CALCS'!$D:$D, $A46, 'MATCH CALCS'!A:A, $A$1)/$E46)),"-")</f>
        <v>0</v>
      </c>
      <c r="O46" s="113" t="e">
        <f ca="1">IF($A$1="All",AVERAGEIF('MATCH CALCS'!$D$3:$D1000,$A46,'MATCH CALCS'!$BC$3:$BC1000),AVERAGEIFS('MATCH CALCS'!$BC$3:$BC1000,'MATCH CALCS'!$D$3:$D1000,$A46,'MATCH CALCS'!$A$3:$A1000,$A$1))</f>
        <v>#DIV/0!</v>
      </c>
      <c r="P46" s="112">
        <f ca="1">IFERROR(IF($A$1="All",SUMIF('MATCH CALCS'!$D:$D,$A46,'MATCH CALCS'!AH:AH)/$E46,(SUMIFS('MATCH CALCS'!AH:AH, 'MATCH CALCS'!$D:$D, $A46, 'MATCH CALCS'!$A:$A, $A$1)/$E46)),"-")</f>
        <v>0.66666666666666663</v>
      </c>
      <c r="Q46" s="112">
        <f ca="1">IFERROR(IF($A$1="All",SUMIF('MATCH CALCS'!$D:$D,$A46,'MATCH CALCS'!AG:AG)/$E46,(SUMIFS('MATCH CALCS'!AG:AG, 'MATCH CALCS'!$D:$D, $A46, 'MATCH CALCS'!$A:$A, $A$1)/$E46)),"-")</f>
        <v>0</v>
      </c>
      <c r="R46" s="112">
        <f ca="1">IFERROR(IF($A$1="All",SUMIF('MATCH CALCS'!$D:$D,$A46,'MATCH CALCS'!AF:AF)/$E46,(SUMIFS('MATCH CALCS'!AF:AF, 'MATCH CALCS'!$D:$D, $A46, 'MATCH CALCS'!$A:$A, $A$1)/$E46)),"-")</f>
        <v>0</v>
      </c>
      <c r="S46" s="112">
        <f ca="1">IFERROR(IF($A$1="All",SUMIF('MATCH CALCS'!$D:$D,$A46,'MATCH CALCS'!$AE:$AE)/$E46,(SUMIFS('MATCH CALCS'!$AE:$AE, 'MATCH CALCS'!$D:$D, $A46, 'MATCH CALCS'!$A:$A, $A$1)/$E46)),"-")</f>
        <v>3</v>
      </c>
      <c r="T46" s="112">
        <f t="shared" ca="1" si="1"/>
        <v>3.6666666666666665</v>
      </c>
      <c r="U46" s="13">
        <f ca="1">IF($A$1="All",AVERAGEIF('MATCH CALCS'!$D$3:$D1000,$A46,'MATCH CALCS'!$BI$3:$BI1000),AVERAGEIFS('MATCH CALCS'!$BI$3:$BI1000,'MATCH CALCS'!$D$3:$D1000,$A46,'MATCH CALCS'!$A$3:$A1000,$A$1))</f>
        <v>1</v>
      </c>
      <c r="V46" s="112">
        <f ca="1">IFERROR(IF($A$1="All",SUMIF('MATCH CALCS'!$D:$D,$A46,'MATCH CALCS'!W:W)/$E46,(SUMIFS('MATCH CALCS'!W:W, 'MATCH CALCS'!$D:$D, $A46, 'MATCH CALCS'!$A:$A, $A$1)/$E46)),"-")</f>
        <v>1</v>
      </c>
      <c r="W46" s="112">
        <f ca="1">IFERROR(IF($A$1="All",SUMIF('MATCH CALCS'!$D:$D,$A46,'MATCH CALCS'!X:X)/$E46,(SUMIFS('MATCH CALCS'!X:X, 'MATCH CALCS'!$D:$D, $A46, 'MATCH CALCS'!$A:$A, $A$1)/$E46)),"-")</f>
        <v>0.66666666666666663</v>
      </c>
      <c r="X46" s="114">
        <f ca="1">IF($A$1="All",AVERAGEIF('MATCH CALCS'!$D$3:$D1000,$A46,'MATCH CALCS'!$BF$3:$BF1000),AVERAGEIFS('MATCH CALCS'!$BF$3:$BF1000,'MATCH CALCS'!$D$3:$D1000, $A46, 'MATCH CALCS'!$A$3:$A1000, $A$1))</f>
        <v>0.33333333333333331</v>
      </c>
      <c r="Y46" s="115">
        <f ca="1">IF($A$1="All",SUMIF('MATCH CALCS'!$D$3:$D1000,$A46,'MATCH CALCS'!$BJ$3:$BJ1000),SUMIFS('MATCH CALCS'!$BJ$3:$BJ1000,'MATCH CALCS'!$D$3:$D1000, $A46, 'MATCH CALCS'!$A$3:$A1000, $A$1))</f>
        <v>0</v>
      </c>
      <c r="Z46" s="116" t="str">
        <f ca="1">IFERROR(__xludf.DUMMYFUNCTION("IFERROR(IF($A$1=""All"",AVERAGE(FILTER('MATCH CALCS'!$BR$3:$BR1000, 'MATCH CALCS'!$D$3:$D1000=$A46)),AVERAGE(FILTER('MATCH CALCS'!$BR$3:$BR1000, 'MATCH CALCS'!$D$3:$D1000=$A46,'MATCH CALCS'!$A$3:$A1000=$A$1))),""No Data"")"),"No Data")</f>
        <v>No Data</v>
      </c>
      <c r="AA46" s="117" t="str">
        <f ca="1">IFERROR(__xludf.DUMMYFUNCTION("IFERROR(IF($A$1=""All"",IF(COUNTIF(FILTER('MATCH CALCS'!$AT$3:$AT1000,'MATCH CALCS'!$D$3:$D1000=$A46), ""Dc"")&gt;0, IF(COUNTIF(FILTER('MATCH CALCS'!$AT$3:$AT1000,'MATCH CALCS'!$D$3:$D1000=$A46), ""Sc"")&gt;0, ""Mixed"", ""Deep""), IF(COUNTIF(FILTER('MATCH CALC"&amp;"S'!$AT$3:$AT1000,'MATCH CALCS'!$D$3:$D1000=$A46), ""Sc"")&gt;0, ""Shallow"",""None"")),IF(COUNTIF(FILTER('MATCH CALCS'!$AT$3:$AT1000,'MATCH CALCS'!$D$3:$D1000=$A46,'MATCH CALCS'!$A$3:$A1000=$A$1), ""Dc"")&gt;0, IF(COUNTIF(FILTER('MATCH CALCS'!$AT$3:$AT1000,'MAT"&amp;"CH CALCS'!$D$3:$D1000=$A46,'MATCH CALCS'!$A$3:$A1000=$A$1), ""Sc"")&gt;0, ""Mixed"", ""Deep""), IF(COUNTIF(FILTER('MATCH CALCS'!$AT$3:$AT1000,'MATCH CALCS'!$D$3:$D1000=$A46,'MATCH CALCS'!$A$3:$A1000=$A$1), ""Sc"")&gt;0, ""Shallow"",""None""))))"),"None")</f>
        <v>None</v>
      </c>
      <c r="AB46" s="9" t="str">
        <f ca="1">IFERROR(IF($A$1="All",(COUNTIFS('MATCH CALCS'!$AT$3:$AT1000,("=Dc"),'MATCH CALCS'!$D$3:$D1000, $A46)+COUNTIFS('MATCH CALCS'!$AT$3:$AT1000,("=Sc"),'MATCH CALCS'!$D$3:$D1000, $A46))/(COUNTIFS('MATCH CALCS'!$AK$3:$AK1000,("=Dc"),'MATCH CALCS'!$D$3:$D1000, $A46)+COUNTIFS('MATCH CALCS'!$AK$3:$AK1000,("=Sc"),'MATCH CALCS'!$D$3:$D1000, $A46)),(COUNTIFS('MATCH CALCS'!$AT$3:$AT1000,("=Dc"),'MATCH CALCS'!$D$3:$D1000, $A46,'MATCH CALCS'!$A$3:$A1000,$A$1)+COUNTIFS('MATCH CALCS'!$AT$3:$AT1000,("=Sc"),'MATCH CALCS'!$D$3:$D1000, $A46,'MATCH CALCS'!$A$3:$A1000,$A$1))/(COUNTIFS('MATCH CALCS'!$AK$3:$AK1000,("=Dc"),'MATCH CALCS'!$D$3:$D1000, $A46,'MATCH CALCS'!$A$3:$A1000,$A$1)+COUNTIFS('MATCH CALCS'!$AK$3:$AK1000,("=Sc"),'MATCH CALCS'!$D$3:$D1000, $A46,'MATCH CALCS'!$A$3:$A1000,$A$1))),"-")</f>
        <v>-</v>
      </c>
      <c r="AC46" s="25">
        <f ca="1">IFERROR(IF($A$1="All",COUNTIFS('MATCH CALCS'!$AT$3:$AT1000,("=Dc"),'MATCH CALCS'!$D$3:$D1000, $A46)+COUNTIFS('MATCH CALCS'!$AT$3:$AT1000,("=Sc"),'MATCH CALCS'!$D$3:$D1000, $A46),COUNTIFS('MATCH CALCS'!$AT$3:$AT1000,("=Dc"),'MATCH CALCS'!$D$3:$D1000, $A46,'MATCH CALCS'!$A$3:$A1000, $A$1)+COUNTIFS('MATCH CALCS'!$AT$3:$AT1000,("=Sc"),'MATCH CALCS'!$D$3:$D1000, $A46,'MATCH CALCS'!$A$3:$A1000, $A$1)),"-")</f>
        <v>0</v>
      </c>
    </row>
    <row r="47" spans="1:29" ht="12.75">
      <c r="A47" s="30">
        <f ca="1">IFERROR(__xludf.DUMMYFUNCTION("""COMPUTED_VALUE"""),6217)</f>
        <v>6217</v>
      </c>
      <c r="B47" s="6" t="str">
        <f ca="1">IFERROR(__xludf.DUMMYFUNCTION("""COMPUTED_VALUE"""),"Bomb-Botz")</f>
        <v>Bomb-Botz</v>
      </c>
      <c r="C47" s="30" t="str">
        <f ca="1">IFERROR(__xludf.DUMMYFUNCTION("FILTER('TEAM RANKING'!$A:$A,'TEAM RANKING'!$K:$K=$A47)"),"#N/A")</f>
        <v>#N/A</v>
      </c>
      <c r="D47" s="15"/>
      <c r="E47" s="110">
        <f ca="1">IFERROR((IF($A$1="All", COUNTIF('MATCH CALCS'!$D:$D,$A47), (COUNTIFS('MATCH CALCS'!D:D, $A47, 'MATCH CALCS'!$A:$A,$A$1)))),"-")</f>
        <v>3</v>
      </c>
      <c r="F47" s="111">
        <f ca="1">IFERROR(IF($A$1="All",SUMIF('MATCH CALCS'!$D:$D,$A47,'MATCH CALCS'!$AW:$AW)/$E47,(SUMIFS('MATCH CALCS'!$AW:$AW, 'MATCH CALCS'!$D:$D, $A47, 'MATCH CALCS'!$A:$A, $A$1)/$E47)),"-")</f>
        <v>0.33333333333333331</v>
      </c>
      <c r="G47" s="112">
        <f ca="1">IFERROR(IF($A$1="All",SUMIF('MATCH CALCS'!$D:$D,$A47,'MATCH CALCS'!O:O)/$E47,(SUMIFS('MATCH CALCS'!O:O, 'MATCH CALCS'!$D:$D, $A47, 'MATCH CALCS'!$A:$A, $A$1)/$E47)),"-")</f>
        <v>0</v>
      </c>
      <c r="H47" s="112">
        <f ca="1">IFERROR(IF($A$1="All",SUMIF('MATCH CALCS'!$D:$D,$A47,'MATCH CALCS'!N:N)/$E47,(SUMIFS('MATCH CALCS'!N:N, 'MATCH CALCS'!$D:$D, $A47, 'MATCH CALCS'!$A:$A, $A$1)/$E47)),"-")</f>
        <v>0</v>
      </c>
      <c r="I47" s="112">
        <f ca="1">IFERROR(IF($A$1="All",SUMIF('MATCH CALCS'!$D:$D,$A47,'MATCH CALCS'!M:M)/$E47,(SUMIFS('MATCH CALCS'!M:M, 'MATCH CALCS'!$D:$D, $A47, 'MATCH CALCS'!$A:$A, $A$1)/$E47)),"-")</f>
        <v>0</v>
      </c>
      <c r="J47" s="112">
        <f ca="1">IFERROR(IF($A$1="All",SUMIF('MATCH CALCS'!$D:$D,$A47,'MATCH CALCS'!L:L)/$E47,(SUMIFS('MATCH CALCS'!L:L, 'MATCH CALCS'!$D:$D, $A47, 'MATCH CALCS'!$A:$A, $A$1)/$E47)),"-")</f>
        <v>0.33333333333333331</v>
      </c>
      <c r="K47" s="112">
        <f t="shared" ca="1" si="0"/>
        <v>0.33333333333333331</v>
      </c>
      <c r="L47" s="13">
        <f ca="1">IF($A$1="All",AVERAGEIF('MATCH CALCS'!$D$3:$D1000,$A47,'MATCH CALCS'!$AZ$3:$AZ1000),AVERAGEIFS('MATCH CALCS'!$AZ$3:$AZ1000,'MATCH CALCS'!$D$3:$D1000,$A47,'MATCH CALCS'!$A$3:$A1000,$A$1))</f>
        <v>1</v>
      </c>
      <c r="M47" s="112">
        <f ca="1">IF($A$1="All",AVERAGEIF('MATCH CALCS'!$D:$D,$A47,'MATCH CALCS'!R:R),(SUMIFS('MATCH CALCS'!R$3:R1000, 'MATCH CALCS'!$D$3:$D1000, $A47, 'MATCH CALCS'!A$3:A1000, $A$1)/$E47))</f>
        <v>0</v>
      </c>
      <c r="N47" s="112">
        <f ca="1">IFERROR(IF($A$1="All",SUMIF('MATCH CALCS'!$D:$D,$A47,'MATCH CALCS'!S:S)/$E47,(SUMIFS('MATCH CALCS'!S:S, 'MATCH CALCS'!$D:$D, $A47, 'MATCH CALCS'!A:A, $A$1)/$E47)),"-")</f>
        <v>0</v>
      </c>
      <c r="O47" s="113" t="e">
        <f ca="1">IF($A$1="All",AVERAGEIF('MATCH CALCS'!$D$3:$D1000,$A47,'MATCH CALCS'!$BC$3:$BC1000),AVERAGEIFS('MATCH CALCS'!$BC$3:$BC1000,'MATCH CALCS'!$D$3:$D1000,$A47,'MATCH CALCS'!$A$3:$A1000,$A$1))</f>
        <v>#DIV/0!</v>
      </c>
      <c r="P47" s="112">
        <f ca="1">IFERROR(IF($A$1="All",SUMIF('MATCH CALCS'!$D:$D,$A47,'MATCH CALCS'!AH:AH)/$E47,(SUMIFS('MATCH CALCS'!AH:AH, 'MATCH CALCS'!$D:$D, $A47, 'MATCH CALCS'!$A:$A, $A$1)/$E47)),"-")</f>
        <v>0</v>
      </c>
      <c r="Q47" s="112">
        <f ca="1">IFERROR(IF($A$1="All",SUMIF('MATCH CALCS'!$D:$D,$A47,'MATCH CALCS'!AG:AG)/$E47,(SUMIFS('MATCH CALCS'!AG:AG, 'MATCH CALCS'!$D:$D, $A47, 'MATCH CALCS'!$A:$A, $A$1)/$E47)),"-")</f>
        <v>1.3333333333333333</v>
      </c>
      <c r="R47" s="112">
        <f ca="1">IFERROR(IF($A$1="All",SUMIF('MATCH CALCS'!$D:$D,$A47,'MATCH CALCS'!AF:AF)/$E47,(SUMIFS('MATCH CALCS'!AF:AF, 'MATCH CALCS'!$D:$D, $A47, 'MATCH CALCS'!$A:$A, $A$1)/$E47)),"-")</f>
        <v>1</v>
      </c>
      <c r="S47" s="112">
        <f ca="1">IFERROR(IF($A$1="All",SUMIF('MATCH CALCS'!$D:$D,$A47,'MATCH CALCS'!$AE:$AE)/$E47,(SUMIFS('MATCH CALCS'!$AE:$AE, 'MATCH CALCS'!$D:$D, $A47, 'MATCH CALCS'!$A:$A, $A$1)/$E47)),"-")</f>
        <v>2.3333333333333335</v>
      </c>
      <c r="T47" s="112">
        <f t="shared" ca="1" si="1"/>
        <v>4.6666666666666661</v>
      </c>
      <c r="U47" s="13">
        <f ca="1">IF($A$1="All",AVERAGEIF('MATCH CALCS'!$D$3:$D1000,$A47,'MATCH CALCS'!$BI$3:$BI1000),AVERAGEIFS('MATCH CALCS'!$BI$3:$BI1000,'MATCH CALCS'!$D$3:$D1000,$A47,'MATCH CALCS'!$A$3:$A1000,$A$1))</f>
        <v>0.95833333333333337</v>
      </c>
      <c r="V47" s="112">
        <f ca="1">IFERROR(IF($A$1="All",SUMIF('MATCH CALCS'!$D:$D,$A47,'MATCH CALCS'!W:W)/$E47,(SUMIFS('MATCH CALCS'!W:W, 'MATCH CALCS'!$D:$D, $A47, 'MATCH CALCS'!$A:$A, $A$1)/$E47)),"-")</f>
        <v>0</v>
      </c>
      <c r="W47" s="112">
        <f ca="1">IFERROR(IF($A$1="All",SUMIF('MATCH CALCS'!$D:$D,$A47,'MATCH CALCS'!X:X)/$E47,(SUMIFS('MATCH CALCS'!X:X, 'MATCH CALCS'!$D:$D, $A47, 'MATCH CALCS'!$A:$A, $A$1)/$E47)),"-")</f>
        <v>0</v>
      </c>
      <c r="X47" s="114" t="e">
        <f ca="1">IF($A$1="All",AVERAGEIF('MATCH CALCS'!$D$3:$D1000,$A47,'MATCH CALCS'!$BF$3:$BF1000),AVERAGEIFS('MATCH CALCS'!$BF$3:$BF1000,'MATCH CALCS'!$D$3:$D1000, $A47, 'MATCH CALCS'!$A$3:$A1000, $A$1))</f>
        <v>#DIV/0!</v>
      </c>
      <c r="Y47" s="115">
        <f ca="1">IF($A$1="All",SUMIF('MATCH CALCS'!$D$3:$D1000,$A47,'MATCH CALCS'!$BJ$3:$BJ1000),SUMIFS('MATCH CALCS'!$BJ$3:$BJ1000,'MATCH CALCS'!$D$3:$D1000, $A47, 'MATCH CALCS'!$A$3:$A1000, $A$1))</f>
        <v>0</v>
      </c>
      <c r="Z47" s="116" t="str">
        <f ca="1">IFERROR(__xludf.DUMMYFUNCTION("IFERROR(IF($A$1=""All"",AVERAGE(FILTER('MATCH CALCS'!$BR$3:$BR1000, 'MATCH CALCS'!$D$3:$D1000=$A47)),AVERAGE(FILTER('MATCH CALCS'!$BR$3:$BR1000, 'MATCH CALCS'!$D$3:$D1000=$A47,'MATCH CALCS'!$A$3:$A1000=$A$1))),""No Data"")"),"No Data")</f>
        <v>No Data</v>
      </c>
      <c r="AA47" s="117" t="str">
        <f ca="1">IFERROR(__xludf.DUMMYFUNCTION("IFERROR(IF($A$1=""All"",IF(COUNTIF(FILTER('MATCH CALCS'!$AT$3:$AT1000,'MATCH CALCS'!$D$3:$D1000=$A47), ""Dc"")&gt;0, IF(COUNTIF(FILTER('MATCH CALCS'!$AT$3:$AT1000,'MATCH CALCS'!$D$3:$D1000=$A47), ""Sc"")&gt;0, ""Mixed"", ""Deep""), IF(COUNTIF(FILTER('MATCH CALC"&amp;"S'!$AT$3:$AT1000,'MATCH CALCS'!$D$3:$D1000=$A47), ""Sc"")&gt;0, ""Shallow"",""None"")),IF(COUNTIF(FILTER('MATCH CALCS'!$AT$3:$AT1000,'MATCH CALCS'!$D$3:$D1000=$A47,'MATCH CALCS'!$A$3:$A1000=$A$1), ""Dc"")&gt;0, IF(COUNTIF(FILTER('MATCH CALCS'!$AT$3:$AT1000,'MAT"&amp;"CH CALCS'!$D$3:$D1000=$A47,'MATCH CALCS'!$A$3:$A1000=$A$1), ""Sc"")&gt;0, ""Mixed"", ""Deep""), IF(COUNTIF(FILTER('MATCH CALCS'!$AT$3:$AT1000,'MATCH CALCS'!$D$3:$D1000=$A47,'MATCH CALCS'!$A$3:$A1000=$A$1), ""Sc"")&gt;0, ""Shallow"",""None""))))"),"None")</f>
        <v>None</v>
      </c>
      <c r="AB47" s="9" t="str">
        <f ca="1">IFERROR(IF($A$1="All",(COUNTIFS('MATCH CALCS'!$AT$3:$AT1000,("=Dc"),'MATCH CALCS'!$D$3:$D1000, $A47)+COUNTIFS('MATCH CALCS'!$AT$3:$AT1000,("=Sc"),'MATCH CALCS'!$D$3:$D1000, $A47))/(COUNTIFS('MATCH CALCS'!$AK$3:$AK1000,("=Dc"),'MATCH CALCS'!$D$3:$D1000, $A47)+COUNTIFS('MATCH CALCS'!$AK$3:$AK1000,("=Sc"),'MATCH CALCS'!$D$3:$D1000, $A47)),(COUNTIFS('MATCH CALCS'!$AT$3:$AT1000,("=Dc"),'MATCH CALCS'!$D$3:$D1000, $A47,'MATCH CALCS'!$A$3:$A1000,$A$1)+COUNTIFS('MATCH CALCS'!$AT$3:$AT1000,("=Sc"),'MATCH CALCS'!$D$3:$D1000, $A47,'MATCH CALCS'!$A$3:$A1000,$A$1))/(COUNTIFS('MATCH CALCS'!$AK$3:$AK1000,("=Dc"),'MATCH CALCS'!$D$3:$D1000, $A47,'MATCH CALCS'!$A$3:$A1000,$A$1)+COUNTIFS('MATCH CALCS'!$AK$3:$AK1000,("=Sc"),'MATCH CALCS'!$D$3:$D1000, $A47,'MATCH CALCS'!$A$3:$A1000,$A$1))),"-")</f>
        <v>-</v>
      </c>
      <c r="AC47" s="25">
        <f ca="1">IFERROR(IF($A$1="All",COUNTIFS('MATCH CALCS'!$AT$3:$AT1000,("=Dc"),'MATCH CALCS'!$D$3:$D1000, $A47)+COUNTIFS('MATCH CALCS'!$AT$3:$AT1000,("=Sc"),'MATCH CALCS'!$D$3:$D1000, $A47),COUNTIFS('MATCH CALCS'!$AT$3:$AT1000,("=Dc"),'MATCH CALCS'!$D$3:$D1000, $A47,'MATCH CALCS'!$A$3:$A1000, $A$1)+COUNTIFS('MATCH CALCS'!$AT$3:$AT1000,("=Sc"),'MATCH CALCS'!$D$3:$D1000, $A47,'MATCH CALCS'!$A$3:$A1000, $A$1)),"-")</f>
        <v>0</v>
      </c>
    </row>
    <row r="48" spans="1:29" ht="12.75">
      <c r="A48" s="30">
        <f ca="1">IFERROR(__xludf.DUMMYFUNCTION("""COMPUTED_VALUE"""),6909)</f>
        <v>6909</v>
      </c>
      <c r="B48" s="6" t="str">
        <f ca="1">IFERROR(__xludf.DUMMYFUNCTION("""COMPUTED_VALUE"""),"SAKURA Tempesta")</f>
        <v>SAKURA Tempesta</v>
      </c>
      <c r="C48" s="30" t="str">
        <f ca="1">IFERROR(__xludf.DUMMYFUNCTION("FILTER('TEAM RANKING'!$A:$A,'TEAM RANKING'!$K:$K=$A48)"),"#N/A")</f>
        <v>#N/A</v>
      </c>
      <c r="D48" s="15"/>
      <c r="E48" s="110">
        <f ca="1">IFERROR((IF($A$1="All", COUNTIF('MATCH CALCS'!$D:$D,$A48), (COUNTIFS('MATCH CALCS'!D:D, $A48, 'MATCH CALCS'!$A:$A,$A$1)))),"-")</f>
        <v>3</v>
      </c>
      <c r="F48" s="111">
        <f ca="1">IFERROR(IF($A$1="All",SUMIF('MATCH CALCS'!$D:$D,$A48,'MATCH CALCS'!$AW:$AW)/$E48,(SUMIFS('MATCH CALCS'!$AW:$AW, 'MATCH CALCS'!$D:$D, $A48, 'MATCH CALCS'!$A:$A, $A$1)/$E48)),"-")</f>
        <v>1</v>
      </c>
      <c r="G48" s="112">
        <f ca="1">IFERROR(IF($A$1="All",SUMIF('MATCH CALCS'!$D:$D,$A48,'MATCH CALCS'!O:O)/$E48,(SUMIFS('MATCH CALCS'!O:O, 'MATCH CALCS'!$D:$D, $A48, 'MATCH CALCS'!$A:$A, $A$1)/$E48)),"-")</f>
        <v>0</v>
      </c>
      <c r="H48" s="112">
        <f ca="1">IFERROR(IF($A$1="All",SUMIF('MATCH CALCS'!$D:$D,$A48,'MATCH CALCS'!N:N)/$E48,(SUMIFS('MATCH CALCS'!N:N, 'MATCH CALCS'!$D:$D, $A48, 'MATCH CALCS'!$A:$A, $A$1)/$E48)),"-")</f>
        <v>0</v>
      </c>
      <c r="I48" s="112">
        <f ca="1">IFERROR(IF($A$1="All",SUMIF('MATCH CALCS'!$D:$D,$A48,'MATCH CALCS'!M:M)/$E48,(SUMIFS('MATCH CALCS'!M:M, 'MATCH CALCS'!$D:$D, $A48, 'MATCH CALCS'!$A:$A, $A$1)/$E48)),"-")</f>
        <v>0</v>
      </c>
      <c r="J48" s="112">
        <f ca="1">IFERROR(IF($A$1="All",SUMIF('MATCH CALCS'!$D:$D,$A48,'MATCH CALCS'!L:L)/$E48,(SUMIFS('MATCH CALCS'!L:L, 'MATCH CALCS'!$D:$D, $A48, 'MATCH CALCS'!$A:$A, $A$1)/$E48)),"-")</f>
        <v>0.33333333333333331</v>
      </c>
      <c r="K48" s="112">
        <f t="shared" ca="1" si="0"/>
        <v>0.33333333333333331</v>
      </c>
      <c r="L48" s="13">
        <f ca="1">IF($A$1="All",AVERAGEIF('MATCH CALCS'!$D$3:$D1000,$A48,'MATCH CALCS'!$AZ$3:$AZ1000),AVERAGEIFS('MATCH CALCS'!$AZ$3:$AZ1000,'MATCH CALCS'!$D$3:$D1000,$A48,'MATCH CALCS'!$A$3:$A1000,$A$1))</f>
        <v>1</v>
      </c>
      <c r="M48" s="112">
        <f ca="1">IF($A$1="All",AVERAGEIF('MATCH CALCS'!$D:$D,$A48,'MATCH CALCS'!R:R),(SUMIFS('MATCH CALCS'!R$3:R1000, 'MATCH CALCS'!$D$3:$D1000, $A48, 'MATCH CALCS'!A$3:A1000, $A$1)/$E48))</f>
        <v>0</v>
      </c>
      <c r="N48" s="112">
        <f ca="1">IFERROR(IF($A$1="All",SUMIF('MATCH CALCS'!$D:$D,$A48,'MATCH CALCS'!S:S)/$E48,(SUMIFS('MATCH CALCS'!S:S, 'MATCH CALCS'!$D:$D, $A48, 'MATCH CALCS'!A:A, $A$1)/$E48)),"-")</f>
        <v>0</v>
      </c>
      <c r="O48" s="113" t="e">
        <f ca="1">IF($A$1="All",AVERAGEIF('MATCH CALCS'!$D$3:$D1000,$A48,'MATCH CALCS'!$BC$3:$BC1000),AVERAGEIFS('MATCH CALCS'!$BC$3:$BC1000,'MATCH CALCS'!$D$3:$D1000,$A48,'MATCH CALCS'!$A$3:$A1000,$A$1))</f>
        <v>#DIV/0!</v>
      </c>
      <c r="P48" s="112">
        <f ca="1">IFERROR(IF($A$1="All",SUMIF('MATCH CALCS'!$D:$D,$A48,'MATCH CALCS'!AH:AH)/$E48,(SUMIFS('MATCH CALCS'!AH:AH, 'MATCH CALCS'!$D:$D, $A48, 'MATCH CALCS'!$A:$A, $A$1)/$E48)),"-")</f>
        <v>0.66666666666666663</v>
      </c>
      <c r="Q48" s="112">
        <f ca="1">IFERROR(IF($A$1="All",SUMIF('MATCH CALCS'!$D:$D,$A48,'MATCH CALCS'!AG:AG)/$E48,(SUMIFS('MATCH CALCS'!AG:AG, 'MATCH CALCS'!$D:$D, $A48, 'MATCH CALCS'!$A:$A, $A$1)/$E48)),"-")</f>
        <v>1</v>
      </c>
      <c r="R48" s="112">
        <f ca="1">IFERROR(IF($A$1="All",SUMIF('MATCH CALCS'!$D:$D,$A48,'MATCH CALCS'!AF:AF)/$E48,(SUMIFS('MATCH CALCS'!AF:AF, 'MATCH CALCS'!$D:$D, $A48, 'MATCH CALCS'!$A:$A, $A$1)/$E48)),"-")</f>
        <v>0.66666666666666663</v>
      </c>
      <c r="S48" s="112">
        <f ca="1">IFERROR(IF($A$1="All",SUMIF('MATCH CALCS'!$D:$D,$A48,'MATCH CALCS'!$AE:$AE)/$E48,(SUMIFS('MATCH CALCS'!$AE:$AE, 'MATCH CALCS'!$D:$D, $A48, 'MATCH CALCS'!$A:$A, $A$1)/$E48)),"-")</f>
        <v>1</v>
      </c>
      <c r="T48" s="112">
        <f t="shared" ca="1" si="1"/>
        <v>3.333333333333333</v>
      </c>
      <c r="U48" s="13">
        <f ca="1">IF($A$1="All",AVERAGEIF('MATCH CALCS'!$D$3:$D1000,$A48,'MATCH CALCS'!$BI$3:$BI1000),AVERAGEIFS('MATCH CALCS'!$BI$3:$BI1000,'MATCH CALCS'!$D$3:$D1000,$A48,'MATCH CALCS'!$A$3:$A1000,$A$1))</f>
        <v>0.75</v>
      </c>
      <c r="V48" s="112">
        <f ca="1">IFERROR(IF($A$1="All",SUMIF('MATCH CALCS'!$D:$D,$A48,'MATCH CALCS'!W:W)/$E48,(SUMIFS('MATCH CALCS'!W:W, 'MATCH CALCS'!$D:$D, $A48, 'MATCH CALCS'!$A:$A, $A$1)/$E48)),"-")</f>
        <v>0</v>
      </c>
      <c r="W48" s="112">
        <f ca="1">IFERROR(IF($A$1="All",SUMIF('MATCH CALCS'!$D:$D,$A48,'MATCH CALCS'!X:X)/$E48,(SUMIFS('MATCH CALCS'!X:X, 'MATCH CALCS'!$D:$D, $A48, 'MATCH CALCS'!$A:$A, $A$1)/$E48)),"-")</f>
        <v>0</v>
      </c>
      <c r="X48" s="114" t="e">
        <f ca="1">IF($A$1="All",AVERAGEIF('MATCH CALCS'!$D$3:$D1000,$A48,'MATCH CALCS'!$BF$3:$BF1000),AVERAGEIFS('MATCH CALCS'!$BF$3:$BF1000,'MATCH CALCS'!$D$3:$D1000, $A48, 'MATCH CALCS'!$A$3:$A1000, $A$1))</f>
        <v>#DIV/0!</v>
      </c>
      <c r="Y48" s="115">
        <f ca="1">IF($A$1="All",SUMIF('MATCH CALCS'!$D$3:$D1000,$A48,'MATCH CALCS'!$BJ$3:$BJ1000),SUMIFS('MATCH CALCS'!$BJ$3:$BJ1000,'MATCH CALCS'!$D$3:$D1000, $A48, 'MATCH CALCS'!$A$3:$A1000, $A$1))</f>
        <v>0</v>
      </c>
      <c r="Z48" s="116" t="str">
        <f ca="1">IFERROR(__xludf.DUMMYFUNCTION("IFERROR(IF($A$1=""All"",AVERAGE(FILTER('MATCH CALCS'!$BR$3:$BR1000, 'MATCH CALCS'!$D$3:$D1000=$A48)),AVERAGE(FILTER('MATCH CALCS'!$BR$3:$BR1000, 'MATCH CALCS'!$D$3:$D1000=$A48,'MATCH CALCS'!$A$3:$A1000=$A$1))),""No Data"")"),"No Data")</f>
        <v>No Data</v>
      </c>
      <c r="AA48" s="117" t="str">
        <f ca="1">IFERROR(__xludf.DUMMYFUNCTION("IFERROR(IF($A$1=""All"",IF(COUNTIF(FILTER('MATCH CALCS'!$AT$3:$AT1000,'MATCH CALCS'!$D$3:$D1000=$A48), ""Dc"")&gt;0, IF(COUNTIF(FILTER('MATCH CALCS'!$AT$3:$AT1000,'MATCH CALCS'!$D$3:$D1000=$A48), ""Sc"")&gt;0, ""Mixed"", ""Deep""), IF(COUNTIF(FILTER('MATCH CALC"&amp;"S'!$AT$3:$AT1000,'MATCH CALCS'!$D$3:$D1000=$A48), ""Sc"")&gt;0, ""Shallow"",""None"")),IF(COUNTIF(FILTER('MATCH CALCS'!$AT$3:$AT1000,'MATCH CALCS'!$D$3:$D1000=$A48,'MATCH CALCS'!$A$3:$A1000=$A$1), ""Dc"")&gt;0, IF(COUNTIF(FILTER('MATCH CALCS'!$AT$3:$AT1000,'MAT"&amp;"CH CALCS'!$D$3:$D1000=$A48,'MATCH CALCS'!$A$3:$A1000=$A$1), ""Sc"")&gt;0, ""Mixed"", ""Deep""), IF(COUNTIF(FILTER('MATCH CALCS'!$AT$3:$AT1000,'MATCH CALCS'!$D$3:$D1000=$A48,'MATCH CALCS'!$A$3:$A1000=$A$1), ""Sc"")&gt;0, ""Shallow"",""None""))))"),"Deep")</f>
        <v>Deep</v>
      </c>
      <c r="AB48" s="9">
        <f ca="1">IFERROR(IF($A$1="All",(COUNTIFS('MATCH CALCS'!$AT$3:$AT1000,("=Dc"),'MATCH CALCS'!$D$3:$D1000, $A48)+COUNTIFS('MATCH CALCS'!$AT$3:$AT1000,("=Sc"),'MATCH CALCS'!$D$3:$D1000, $A48))/(COUNTIFS('MATCH CALCS'!$AK$3:$AK1000,("=Dc"),'MATCH CALCS'!$D$3:$D1000, $A48)+COUNTIFS('MATCH CALCS'!$AK$3:$AK1000,("=Sc"),'MATCH CALCS'!$D$3:$D1000, $A48)),(COUNTIFS('MATCH CALCS'!$AT$3:$AT1000,("=Dc"),'MATCH CALCS'!$D$3:$D1000, $A48,'MATCH CALCS'!$A$3:$A1000,$A$1)+COUNTIFS('MATCH CALCS'!$AT$3:$AT1000,("=Sc"),'MATCH CALCS'!$D$3:$D1000, $A48,'MATCH CALCS'!$A$3:$A1000,$A$1))/(COUNTIFS('MATCH CALCS'!$AK$3:$AK1000,("=Dc"),'MATCH CALCS'!$D$3:$D1000, $A48,'MATCH CALCS'!$A$3:$A1000,$A$1)+COUNTIFS('MATCH CALCS'!$AK$3:$AK1000,("=Sc"),'MATCH CALCS'!$D$3:$D1000, $A48,'MATCH CALCS'!$A$3:$A1000,$A$1))),"-")</f>
        <v>0.5</v>
      </c>
      <c r="AC48" s="25">
        <f ca="1">IFERROR(IF($A$1="All",COUNTIFS('MATCH CALCS'!$AT$3:$AT1000,("=Dc"),'MATCH CALCS'!$D$3:$D1000, $A48)+COUNTIFS('MATCH CALCS'!$AT$3:$AT1000,("=Sc"),'MATCH CALCS'!$D$3:$D1000, $A48),COUNTIFS('MATCH CALCS'!$AT$3:$AT1000,("=Dc"),'MATCH CALCS'!$D$3:$D1000, $A48,'MATCH CALCS'!$A$3:$A1000, $A$1)+COUNTIFS('MATCH CALCS'!$AT$3:$AT1000,("=Sc"),'MATCH CALCS'!$D$3:$D1000, $A48,'MATCH CALCS'!$A$3:$A1000, $A$1)),"-")</f>
        <v>1</v>
      </c>
    </row>
    <row r="49" spans="1:29" ht="12.75">
      <c r="A49" s="30">
        <f ca="1">IFERROR(__xludf.DUMMYFUNCTION("""COMPUTED_VALUE"""),7068)</f>
        <v>7068</v>
      </c>
      <c r="B49" s="6" t="str">
        <f ca="1">IFERROR(__xludf.DUMMYFUNCTION("""COMPUTED_VALUE"""),"Mechanical Masterminds")</f>
        <v>Mechanical Masterminds</v>
      </c>
      <c r="C49" s="30" t="str">
        <f ca="1">IFERROR(__xludf.DUMMYFUNCTION("FILTER('TEAM RANKING'!$A:$A,'TEAM RANKING'!$K:$K=$A49)"),"#N/A")</f>
        <v>#N/A</v>
      </c>
      <c r="D49" s="15"/>
      <c r="E49" s="110">
        <f ca="1">IFERROR((IF($A$1="All", COUNTIF('MATCH CALCS'!$D:$D,$A49), (COUNTIFS('MATCH CALCS'!D:D, $A49, 'MATCH CALCS'!$A:$A,$A$1)))),"-")</f>
        <v>2</v>
      </c>
      <c r="F49" s="111">
        <f ca="1">IFERROR(IF($A$1="All",SUMIF('MATCH CALCS'!$D:$D,$A49,'MATCH CALCS'!$AW:$AW)/$E49,(SUMIFS('MATCH CALCS'!$AW:$AW, 'MATCH CALCS'!$D:$D, $A49, 'MATCH CALCS'!$A:$A, $A$1)/$E49)),"-")</f>
        <v>0.5</v>
      </c>
      <c r="G49" s="112">
        <f ca="1">IFERROR(IF($A$1="All",SUMIF('MATCH CALCS'!$D:$D,$A49,'MATCH CALCS'!O:O)/$E49,(SUMIFS('MATCH CALCS'!O:O, 'MATCH CALCS'!$D:$D, $A49, 'MATCH CALCS'!$A:$A, $A$1)/$E49)),"-")</f>
        <v>0</v>
      </c>
      <c r="H49" s="112">
        <f ca="1">IFERROR(IF($A$1="All",SUMIF('MATCH CALCS'!$D:$D,$A49,'MATCH CALCS'!N:N)/$E49,(SUMIFS('MATCH CALCS'!N:N, 'MATCH CALCS'!$D:$D, $A49, 'MATCH CALCS'!$A:$A, $A$1)/$E49)),"-")</f>
        <v>0</v>
      </c>
      <c r="I49" s="112">
        <f ca="1">IFERROR(IF($A$1="All",SUMIF('MATCH CALCS'!$D:$D,$A49,'MATCH CALCS'!M:M)/$E49,(SUMIFS('MATCH CALCS'!M:M, 'MATCH CALCS'!$D:$D, $A49, 'MATCH CALCS'!$A:$A, $A$1)/$E49)),"-")</f>
        <v>0</v>
      </c>
      <c r="J49" s="112">
        <f ca="1">IFERROR(IF($A$1="All",SUMIF('MATCH CALCS'!$D:$D,$A49,'MATCH CALCS'!L:L)/$E49,(SUMIFS('MATCH CALCS'!L:L, 'MATCH CALCS'!$D:$D, $A49, 'MATCH CALCS'!$A:$A, $A$1)/$E49)),"-")</f>
        <v>0</v>
      </c>
      <c r="K49" s="112">
        <f t="shared" ca="1" si="0"/>
        <v>0</v>
      </c>
      <c r="L49" s="13" t="e">
        <f ca="1">IF($A$1="All",AVERAGEIF('MATCH CALCS'!$D$3:$D1000,$A49,'MATCH CALCS'!$AZ$3:$AZ1000),AVERAGEIFS('MATCH CALCS'!$AZ$3:$AZ1000,'MATCH CALCS'!$D$3:$D1000,$A49,'MATCH CALCS'!$A$3:$A1000,$A$1))</f>
        <v>#DIV/0!</v>
      </c>
      <c r="M49" s="112">
        <f ca="1">IF($A$1="All",AVERAGEIF('MATCH CALCS'!$D:$D,$A49,'MATCH CALCS'!R:R),(SUMIFS('MATCH CALCS'!R$3:R1000, 'MATCH CALCS'!$D$3:$D1000, $A49, 'MATCH CALCS'!A$3:A1000, $A$1)/$E49))</f>
        <v>0</v>
      </c>
      <c r="N49" s="112">
        <f ca="1">IFERROR(IF($A$1="All",SUMIF('MATCH CALCS'!$D:$D,$A49,'MATCH CALCS'!S:S)/$E49,(SUMIFS('MATCH CALCS'!S:S, 'MATCH CALCS'!$D:$D, $A49, 'MATCH CALCS'!A:A, $A$1)/$E49)),"-")</f>
        <v>0</v>
      </c>
      <c r="O49" s="113" t="e">
        <f ca="1">IF($A$1="All",AVERAGEIF('MATCH CALCS'!$D$3:$D1000,$A49,'MATCH CALCS'!$BC$3:$BC1000),AVERAGEIFS('MATCH CALCS'!$BC$3:$BC1000,'MATCH CALCS'!$D$3:$D1000,$A49,'MATCH CALCS'!$A$3:$A1000,$A$1))</f>
        <v>#DIV/0!</v>
      </c>
      <c r="P49" s="112">
        <f ca="1">IFERROR(IF($A$1="All",SUMIF('MATCH CALCS'!$D:$D,$A49,'MATCH CALCS'!AH:AH)/$E49,(SUMIFS('MATCH CALCS'!AH:AH, 'MATCH CALCS'!$D:$D, $A49, 'MATCH CALCS'!$A:$A, $A$1)/$E49)),"-")</f>
        <v>0</v>
      </c>
      <c r="Q49" s="112">
        <f ca="1">IFERROR(IF($A$1="All",SUMIF('MATCH CALCS'!$D:$D,$A49,'MATCH CALCS'!AG:AG)/$E49,(SUMIFS('MATCH CALCS'!AG:AG, 'MATCH CALCS'!$D:$D, $A49, 'MATCH CALCS'!$A:$A, $A$1)/$E49)),"-")</f>
        <v>0</v>
      </c>
      <c r="R49" s="112">
        <f ca="1">IFERROR(IF($A$1="All",SUMIF('MATCH CALCS'!$D:$D,$A49,'MATCH CALCS'!AF:AF)/$E49,(SUMIFS('MATCH CALCS'!AF:AF, 'MATCH CALCS'!$D:$D, $A49, 'MATCH CALCS'!$A:$A, $A$1)/$E49)),"-")</f>
        <v>0</v>
      </c>
      <c r="S49" s="112">
        <f ca="1">IFERROR(IF($A$1="All",SUMIF('MATCH CALCS'!$D:$D,$A49,'MATCH CALCS'!$AE:$AE)/$E49,(SUMIFS('MATCH CALCS'!$AE:$AE, 'MATCH CALCS'!$D:$D, $A49, 'MATCH CALCS'!$A:$A, $A$1)/$E49)),"-")</f>
        <v>0.5</v>
      </c>
      <c r="T49" s="112">
        <f t="shared" ca="1" si="1"/>
        <v>0.5</v>
      </c>
      <c r="U49" s="13">
        <f ca="1">IF($A$1="All",AVERAGEIF('MATCH CALCS'!$D$3:$D1000,$A49,'MATCH CALCS'!$BI$3:$BI1000),AVERAGEIFS('MATCH CALCS'!$BI$3:$BI1000,'MATCH CALCS'!$D$3:$D1000,$A49,'MATCH CALCS'!$A$3:$A1000,$A$1))</f>
        <v>1</v>
      </c>
      <c r="V49" s="112">
        <f ca="1">IFERROR(IF($A$1="All",SUMIF('MATCH CALCS'!$D:$D,$A49,'MATCH CALCS'!W:W)/$E49,(SUMIFS('MATCH CALCS'!W:W, 'MATCH CALCS'!$D:$D, $A49, 'MATCH CALCS'!$A:$A, $A$1)/$E49)),"-")</f>
        <v>0</v>
      </c>
      <c r="W49" s="112">
        <f ca="1">IFERROR(IF($A$1="All",SUMIF('MATCH CALCS'!$D:$D,$A49,'MATCH CALCS'!X:X)/$E49,(SUMIFS('MATCH CALCS'!X:X, 'MATCH CALCS'!$D:$D, $A49, 'MATCH CALCS'!$A:$A, $A$1)/$E49)),"-")</f>
        <v>0</v>
      </c>
      <c r="X49" s="114" t="e">
        <f ca="1">IF($A$1="All",AVERAGEIF('MATCH CALCS'!$D$3:$D1000,$A49,'MATCH CALCS'!$BF$3:$BF1000),AVERAGEIFS('MATCH CALCS'!$BF$3:$BF1000,'MATCH CALCS'!$D$3:$D1000, $A49, 'MATCH CALCS'!$A$3:$A1000, $A$1))</f>
        <v>#DIV/0!</v>
      </c>
      <c r="Y49" s="115">
        <f ca="1">IF($A$1="All",SUMIF('MATCH CALCS'!$D$3:$D1000,$A49,'MATCH CALCS'!$BJ$3:$BJ1000),SUMIFS('MATCH CALCS'!$BJ$3:$BJ1000,'MATCH CALCS'!$D$3:$D1000, $A49, 'MATCH CALCS'!$A$3:$A1000, $A$1))</f>
        <v>0</v>
      </c>
      <c r="Z49" s="116" t="str">
        <f ca="1">IFERROR(__xludf.DUMMYFUNCTION("IFERROR(IF($A$1=""All"",AVERAGE(FILTER('MATCH CALCS'!$BR$3:$BR1000, 'MATCH CALCS'!$D$3:$D1000=$A49)),AVERAGE(FILTER('MATCH CALCS'!$BR$3:$BR1000, 'MATCH CALCS'!$D$3:$D1000=$A49,'MATCH CALCS'!$A$3:$A1000=$A$1))),""No Data"")"),"No Data")</f>
        <v>No Data</v>
      </c>
      <c r="AA49" s="117" t="str">
        <f ca="1">IFERROR(__xludf.DUMMYFUNCTION("IFERROR(IF($A$1=""All"",IF(COUNTIF(FILTER('MATCH CALCS'!$AT$3:$AT1000,'MATCH CALCS'!$D$3:$D1000=$A49), ""Dc"")&gt;0, IF(COUNTIF(FILTER('MATCH CALCS'!$AT$3:$AT1000,'MATCH CALCS'!$D$3:$D1000=$A49), ""Sc"")&gt;0, ""Mixed"", ""Deep""), IF(COUNTIF(FILTER('MATCH CALC"&amp;"S'!$AT$3:$AT1000,'MATCH CALCS'!$D$3:$D1000=$A49), ""Sc"")&gt;0, ""Shallow"",""None"")),IF(COUNTIF(FILTER('MATCH CALCS'!$AT$3:$AT1000,'MATCH CALCS'!$D$3:$D1000=$A49,'MATCH CALCS'!$A$3:$A1000=$A$1), ""Dc"")&gt;0, IF(COUNTIF(FILTER('MATCH CALCS'!$AT$3:$AT1000,'MAT"&amp;"CH CALCS'!$D$3:$D1000=$A49,'MATCH CALCS'!$A$3:$A1000=$A$1), ""Sc"")&gt;0, ""Mixed"", ""Deep""), IF(COUNTIF(FILTER('MATCH CALCS'!$AT$3:$AT1000,'MATCH CALCS'!$D$3:$D1000=$A49,'MATCH CALCS'!$A$3:$A1000=$A$1), ""Sc"")&gt;0, ""Shallow"",""None""))))"),"None")</f>
        <v>None</v>
      </c>
      <c r="AB49" s="9">
        <f ca="1">IFERROR(IF($A$1="All",(COUNTIFS('MATCH CALCS'!$AT$3:$AT1000,("=Dc"),'MATCH CALCS'!$D$3:$D1000, $A49)+COUNTIFS('MATCH CALCS'!$AT$3:$AT1000,("=Sc"),'MATCH CALCS'!$D$3:$D1000, $A49))/(COUNTIFS('MATCH CALCS'!$AK$3:$AK1000,("=Dc"),'MATCH CALCS'!$D$3:$D1000, $A49)+COUNTIFS('MATCH CALCS'!$AK$3:$AK1000,("=Sc"),'MATCH CALCS'!$D$3:$D1000, $A49)),(COUNTIFS('MATCH CALCS'!$AT$3:$AT1000,("=Dc"),'MATCH CALCS'!$D$3:$D1000, $A49,'MATCH CALCS'!$A$3:$A1000,$A$1)+COUNTIFS('MATCH CALCS'!$AT$3:$AT1000,("=Sc"),'MATCH CALCS'!$D$3:$D1000, $A49,'MATCH CALCS'!$A$3:$A1000,$A$1))/(COUNTIFS('MATCH CALCS'!$AK$3:$AK1000,("=Dc"),'MATCH CALCS'!$D$3:$D1000, $A49,'MATCH CALCS'!$A$3:$A1000,$A$1)+COUNTIFS('MATCH CALCS'!$AK$3:$AK1000,("=Sc"),'MATCH CALCS'!$D$3:$D1000, $A49,'MATCH CALCS'!$A$3:$A1000,$A$1))),"-")</f>
        <v>0</v>
      </c>
      <c r="AC49" s="25">
        <f ca="1">IFERROR(IF($A$1="All",COUNTIFS('MATCH CALCS'!$AT$3:$AT1000,("=Dc"),'MATCH CALCS'!$D$3:$D1000, $A49)+COUNTIFS('MATCH CALCS'!$AT$3:$AT1000,("=Sc"),'MATCH CALCS'!$D$3:$D1000, $A49),COUNTIFS('MATCH CALCS'!$AT$3:$AT1000,("=Dc"),'MATCH CALCS'!$D$3:$D1000, $A49,'MATCH CALCS'!$A$3:$A1000, $A$1)+COUNTIFS('MATCH CALCS'!$AT$3:$AT1000,("=Sc"),'MATCH CALCS'!$D$3:$D1000, $A49,'MATCH CALCS'!$A$3:$A1000, $A$1)),"-")</f>
        <v>0</v>
      </c>
    </row>
    <row r="50" spans="1:29" ht="12.75">
      <c r="A50" s="30">
        <f ca="1">IFERROR(__xludf.DUMMYFUNCTION("""COMPUTED_VALUE"""),7594)</f>
        <v>7594</v>
      </c>
      <c r="B50" s="6" t="str">
        <f ca="1">IFERROR(__xludf.DUMMYFUNCTION("""COMPUTED_VALUE"""),"Nautilus")</f>
        <v>Nautilus</v>
      </c>
      <c r="C50" s="30" t="str">
        <f ca="1">IFERROR(__xludf.DUMMYFUNCTION("FILTER('TEAM RANKING'!$A:$A,'TEAM RANKING'!$K:$K=$A50)"),"#N/A")</f>
        <v>#N/A</v>
      </c>
      <c r="D50" s="15"/>
      <c r="E50" s="110">
        <f ca="1">IFERROR((IF($A$1="All", COUNTIF('MATCH CALCS'!$D:$D,$A50), (COUNTIFS('MATCH CALCS'!D:D, $A50, 'MATCH CALCS'!$A:$A,$A$1)))),"-")</f>
        <v>0</v>
      </c>
      <c r="F50" s="111" t="str">
        <f ca="1">IFERROR(IF($A$1="All",SUMIF('MATCH CALCS'!$D:$D,$A50,'MATCH CALCS'!$AW:$AW)/$E50,(SUMIFS('MATCH CALCS'!$AW:$AW, 'MATCH CALCS'!$D:$D, $A50, 'MATCH CALCS'!$A:$A, $A$1)/$E50)),"-")</f>
        <v>-</v>
      </c>
      <c r="G50" s="112" t="str">
        <f ca="1">IFERROR(IF($A$1="All",SUMIF('MATCH CALCS'!$D:$D,$A50,'MATCH CALCS'!O:O)/$E50,(SUMIFS('MATCH CALCS'!O:O, 'MATCH CALCS'!$D:$D, $A50, 'MATCH CALCS'!$A:$A, $A$1)/$E50)),"-")</f>
        <v>-</v>
      </c>
      <c r="H50" s="112" t="str">
        <f ca="1">IFERROR(IF($A$1="All",SUMIF('MATCH CALCS'!$D:$D,$A50,'MATCH CALCS'!N:N)/$E50,(SUMIFS('MATCH CALCS'!N:N, 'MATCH CALCS'!$D:$D, $A50, 'MATCH CALCS'!$A:$A, $A$1)/$E50)),"-")</f>
        <v>-</v>
      </c>
      <c r="I50" s="112" t="str">
        <f ca="1">IFERROR(IF($A$1="All",SUMIF('MATCH CALCS'!$D:$D,$A50,'MATCH CALCS'!M:M)/$E50,(SUMIFS('MATCH CALCS'!M:M, 'MATCH CALCS'!$D:$D, $A50, 'MATCH CALCS'!$A:$A, $A$1)/$E50)),"-")</f>
        <v>-</v>
      </c>
      <c r="J50" s="112" t="str">
        <f ca="1">IFERROR(IF($A$1="All",SUMIF('MATCH CALCS'!$D:$D,$A50,'MATCH CALCS'!L:L)/$E50,(SUMIFS('MATCH CALCS'!L:L, 'MATCH CALCS'!$D:$D, $A50, 'MATCH CALCS'!$A:$A, $A$1)/$E50)),"-")</f>
        <v>-</v>
      </c>
      <c r="K50" s="112">
        <f t="shared" ca="1" si="0"/>
        <v>0</v>
      </c>
      <c r="L50" s="13" t="e">
        <f ca="1">IF($A$1="All",AVERAGEIF('MATCH CALCS'!$D$3:$D1000,$A50,'MATCH CALCS'!$AZ$3:$AZ1000),AVERAGEIFS('MATCH CALCS'!$AZ$3:$AZ1000,'MATCH CALCS'!$D$3:$D1000,$A50,'MATCH CALCS'!$A$3:$A1000,$A$1))</f>
        <v>#DIV/0!</v>
      </c>
      <c r="M50" s="112" t="e">
        <f ca="1">IF($A$1="All",AVERAGEIF('MATCH CALCS'!$D:$D,$A50,'MATCH CALCS'!R:R),(SUMIFS('MATCH CALCS'!R$3:R1000, 'MATCH CALCS'!$D$3:$D1000, $A50, 'MATCH CALCS'!A$3:A1000, $A$1)/$E50))</f>
        <v>#DIV/0!</v>
      </c>
      <c r="N50" s="112" t="str">
        <f ca="1">IFERROR(IF($A$1="All",SUMIF('MATCH CALCS'!$D:$D,$A50,'MATCH CALCS'!S:S)/$E50,(SUMIFS('MATCH CALCS'!S:S, 'MATCH CALCS'!$D:$D, $A50, 'MATCH CALCS'!A:A, $A$1)/$E50)),"-")</f>
        <v>-</v>
      </c>
      <c r="O50" s="113" t="e">
        <f ca="1">IF($A$1="All",AVERAGEIF('MATCH CALCS'!$D$3:$D1000,$A50,'MATCH CALCS'!$BC$3:$BC1000),AVERAGEIFS('MATCH CALCS'!$BC$3:$BC1000,'MATCH CALCS'!$D$3:$D1000,$A50,'MATCH CALCS'!$A$3:$A1000,$A$1))</f>
        <v>#DIV/0!</v>
      </c>
      <c r="P50" s="112" t="str">
        <f ca="1">IFERROR(IF($A$1="All",SUMIF('MATCH CALCS'!$D:$D,$A50,'MATCH CALCS'!AH:AH)/$E50,(SUMIFS('MATCH CALCS'!AH:AH, 'MATCH CALCS'!$D:$D, $A50, 'MATCH CALCS'!$A:$A, $A$1)/$E50)),"-")</f>
        <v>-</v>
      </c>
      <c r="Q50" s="112" t="str">
        <f ca="1">IFERROR(IF($A$1="All",SUMIF('MATCH CALCS'!$D:$D,$A50,'MATCH CALCS'!AG:AG)/$E50,(SUMIFS('MATCH CALCS'!AG:AG, 'MATCH CALCS'!$D:$D, $A50, 'MATCH CALCS'!$A:$A, $A$1)/$E50)),"-")</f>
        <v>-</v>
      </c>
      <c r="R50" s="112" t="str">
        <f ca="1">IFERROR(IF($A$1="All",SUMIF('MATCH CALCS'!$D:$D,$A50,'MATCH CALCS'!AF:AF)/$E50,(SUMIFS('MATCH CALCS'!AF:AF, 'MATCH CALCS'!$D:$D, $A50, 'MATCH CALCS'!$A:$A, $A$1)/$E50)),"-")</f>
        <v>-</v>
      </c>
      <c r="S50" s="112" t="str">
        <f ca="1">IFERROR(IF($A$1="All",SUMIF('MATCH CALCS'!$D:$D,$A50,'MATCH CALCS'!$AE:$AE)/$E50,(SUMIFS('MATCH CALCS'!$AE:$AE, 'MATCH CALCS'!$D:$D, $A50, 'MATCH CALCS'!$A:$A, $A$1)/$E50)),"-")</f>
        <v>-</v>
      </c>
      <c r="T50" s="112">
        <f t="shared" ca="1" si="1"/>
        <v>0</v>
      </c>
      <c r="U50" s="13" t="e">
        <f ca="1">IF($A$1="All",AVERAGEIF('MATCH CALCS'!$D$3:$D1000,$A50,'MATCH CALCS'!$BI$3:$BI1000),AVERAGEIFS('MATCH CALCS'!$BI$3:$BI1000,'MATCH CALCS'!$D$3:$D1000,$A50,'MATCH CALCS'!$A$3:$A1000,$A$1))</f>
        <v>#DIV/0!</v>
      </c>
      <c r="V50" s="112" t="str">
        <f ca="1">IFERROR(IF($A$1="All",SUMIF('MATCH CALCS'!$D:$D,$A50,'MATCH CALCS'!W:W)/$E50,(SUMIFS('MATCH CALCS'!W:W, 'MATCH CALCS'!$D:$D, $A50, 'MATCH CALCS'!$A:$A, $A$1)/$E50)),"-")</f>
        <v>-</v>
      </c>
      <c r="W50" s="112" t="str">
        <f ca="1">IFERROR(IF($A$1="All",SUMIF('MATCH CALCS'!$D:$D,$A50,'MATCH CALCS'!X:X)/$E50,(SUMIFS('MATCH CALCS'!X:X, 'MATCH CALCS'!$D:$D, $A50, 'MATCH CALCS'!$A:$A, $A$1)/$E50)),"-")</f>
        <v>-</v>
      </c>
      <c r="X50" s="114" t="e">
        <f ca="1">IF($A$1="All",AVERAGEIF('MATCH CALCS'!$D$3:$D1000,$A50,'MATCH CALCS'!$BF$3:$BF1000),AVERAGEIFS('MATCH CALCS'!$BF$3:$BF1000,'MATCH CALCS'!$D$3:$D1000, $A50, 'MATCH CALCS'!$A$3:$A1000, $A$1))</f>
        <v>#DIV/0!</v>
      </c>
      <c r="Y50" s="115">
        <f ca="1">IF($A$1="All",SUMIF('MATCH CALCS'!$D$3:$D1000,$A50,'MATCH CALCS'!$BJ$3:$BJ1000),SUMIFS('MATCH CALCS'!$BJ$3:$BJ1000,'MATCH CALCS'!$D$3:$D1000, $A50, 'MATCH CALCS'!$A$3:$A1000, $A$1))</f>
        <v>0</v>
      </c>
      <c r="Z50" s="116" t="str">
        <f ca="1">IFERROR(__xludf.DUMMYFUNCTION("IFERROR(IF($A$1=""All"",AVERAGE(FILTER('MATCH CALCS'!$BR$3:$BR1000, 'MATCH CALCS'!$D$3:$D1000=$A50)),AVERAGE(FILTER('MATCH CALCS'!$BR$3:$BR1000, 'MATCH CALCS'!$D$3:$D1000=$A50,'MATCH CALCS'!$A$3:$A1000=$A$1))),""No Data"")"),"No Data")</f>
        <v>No Data</v>
      </c>
      <c r="AA50" s="117" t="str">
        <f ca="1">IFERROR(__xludf.DUMMYFUNCTION("IFERROR(IF($A$1=""All"",IF(COUNTIF(FILTER('MATCH CALCS'!$AT$3:$AT1000,'MATCH CALCS'!$D$3:$D1000=$A50), ""Dc"")&gt;0, IF(COUNTIF(FILTER('MATCH CALCS'!$AT$3:$AT1000,'MATCH CALCS'!$D$3:$D1000=$A50), ""Sc"")&gt;0, ""Mixed"", ""Deep""), IF(COUNTIF(FILTER('MATCH CALC"&amp;"S'!$AT$3:$AT1000,'MATCH CALCS'!$D$3:$D1000=$A50), ""Sc"")&gt;0, ""Shallow"",""None"")),IF(COUNTIF(FILTER('MATCH CALCS'!$AT$3:$AT1000,'MATCH CALCS'!$D$3:$D1000=$A50,'MATCH CALCS'!$A$3:$A1000=$A$1), ""Dc"")&gt;0, IF(COUNTIF(FILTER('MATCH CALCS'!$AT$3:$AT1000,'MAT"&amp;"CH CALCS'!$D$3:$D1000=$A50,'MATCH CALCS'!$A$3:$A1000=$A$1), ""Sc"")&gt;0, ""Mixed"", ""Deep""), IF(COUNTIF(FILTER('MATCH CALCS'!$AT$3:$AT1000,'MATCH CALCS'!$D$3:$D1000=$A50,'MATCH CALCS'!$A$3:$A1000=$A$1), ""Sc"")&gt;0, ""Shallow"",""None""))))"),"None")</f>
        <v>None</v>
      </c>
      <c r="AB50" s="9" t="str">
        <f ca="1">IFERROR(IF($A$1="All",(COUNTIFS('MATCH CALCS'!$AT$3:$AT1000,("=Dc"),'MATCH CALCS'!$D$3:$D1000, $A50)+COUNTIFS('MATCH CALCS'!$AT$3:$AT1000,("=Sc"),'MATCH CALCS'!$D$3:$D1000, $A50))/(COUNTIFS('MATCH CALCS'!$AK$3:$AK1000,("=Dc"),'MATCH CALCS'!$D$3:$D1000, $A50)+COUNTIFS('MATCH CALCS'!$AK$3:$AK1000,("=Sc"),'MATCH CALCS'!$D$3:$D1000, $A50)),(COUNTIFS('MATCH CALCS'!$AT$3:$AT1000,("=Dc"),'MATCH CALCS'!$D$3:$D1000, $A50,'MATCH CALCS'!$A$3:$A1000,$A$1)+COUNTIFS('MATCH CALCS'!$AT$3:$AT1000,("=Sc"),'MATCH CALCS'!$D$3:$D1000, $A50,'MATCH CALCS'!$A$3:$A1000,$A$1))/(COUNTIFS('MATCH CALCS'!$AK$3:$AK1000,("=Dc"),'MATCH CALCS'!$D$3:$D1000, $A50,'MATCH CALCS'!$A$3:$A1000,$A$1)+COUNTIFS('MATCH CALCS'!$AK$3:$AK1000,("=Sc"),'MATCH CALCS'!$D$3:$D1000, $A50,'MATCH CALCS'!$A$3:$A1000,$A$1))),"-")</f>
        <v>-</v>
      </c>
      <c r="AC50" s="25">
        <f ca="1">IFERROR(IF($A$1="All",COUNTIFS('MATCH CALCS'!$AT$3:$AT1000,("=Dc"),'MATCH CALCS'!$D$3:$D1000, $A50)+COUNTIFS('MATCH CALCS'!$AT$3:$AT1000,("=Sc"),'MATCH CALCS'!$D$3:$D1000, $A50),COUNTIFS('MATCH CALCS'!$AT$3:$AT1000,("=Dc"),'MATCH CALCS'!$D$3:$D1000, $A50,'MATCH CALCS'!$A$3:$A1000, $A$1)+COUNTIFS('MATCH CALCS'!$AT$3:$AT1000,("=Sc"),'MATCH CALCS'!$D$3:$D1000, $A50,'MATCH CALCS'!$A$3:$A1000, $A$1)),"-")</f>
        <v>0</v>
      </c>
    </row>
    <row r="51" spans="1:29" ht="12.75">
      <c r="A51" s="30">
        <f ca="1">IFERROR(__xludf.DUMMYFUNCTION("""COMPUTED_VALUE"""),7849)</f>
        <v>7849</v>
      </c>
      <c r="B51" s="6" t="str">
        <f ca="1">IFERROR(__xludf.DUMMYFUNCTION("""COMPUTED_VALUE"""),"Da Vinci's Creation")</f>
        <v>Da Vinci's Creation</v>
      </c>
      <c r="C51" s="30" t="str">
        <f ca="1">IFERROR(__xludf.DUMMYFUNCTION("FILTER('TEAM RANKING'!$A:$A,'TEAM RANKING'!$K:$K=$A51)"),"#N/A")</f>
        <v>#N/A</v>
      </c>
      <c r="D51" s="15"/>
      <c r="E51" s="110">
        <f ca="1">IFERROR((IF($A$1="All", COUNTIF('MATCH CALCS'!$D:$D,$A51), (COUNTIFS('MATCH CALCS'!D:D, $A51, 'MATCH CALCS'!$A:$A,$A$1)))),"-")</f>
        <v>3</v>
      </c>
      <c r="F51" s="111">
        <f ca="1">IFERROR(IF($A$1="All",SUMIF('MATCH CALCS'!$D:$D,$A51,'MATCH CALCS'!$AW:$AW)/$E51,(SUMIFS('MATCH CALCS'!$AW:$AW, 'MATCH CALCS'!$D:$D, $A51, 'MATCH CALCS'!$A:$A, $A$1)/$E51)),"-")</f>
        <v>1</v>
      </c>
      <c r="G51" s="112">
        <f ca="1">IFERROR(IF($A$1="All",SUMIF('MATCH CALCS'!$D:$D,$A51,'MATCH CALCS'!O:O)/$E51,(SUMIFS('MATCH CALCS'!O:O, 'MATCH CALCS'!$D:$D, $A51, 'MATCH CALCS'!$A:$A, $A$1)/$E51)),"-")</f>
        <v>0.33333333333333331</v>
      </c>
      <c r="H51" s="112">
        <f ca="1">IFERROR(IF($A$1="All",SUMIF('MATCH CALCS'!$D:$D,$A51,'MATCH CALCS'!N:N)/$E51,(SUMIFS('MATCH CALCS'!N:N, 'MATCH CALCS'!$D:$D, $A51, 'MATCH CALCS'!$A:$A, $A$1)/$E51)),"-")</f>
        <v>0</v>
      </c>
      <c r="I51" s="112">
        <f ca="1">IFERROR(IF($A$1="All",SUMIF('MATCH CALCS'!$D:$D,$A51,'MATCH CALCS'!M:M)/$E51,(SUMIFS('MATCH CALCS'!M:M, 'MATCH CALCS'!$D:$D, $A51, 'MATCH CALCS'!$A:$A, $A$1)/$E51)),"-")</f>
        <v>0</v>
      </c>
      <c r="J51" s="112">
        <f ca="1">IFERROR(IF($A$1="All",SUMIF('MATCH CALCS'!$D:$D,$A51,'MATCH CALCS'!L:L)/$E51,(SUMIFS('MATCH CALCS'!L:L, 'MATCH CALCS'!$D:$D, $A51, 'MATCH CALCS'!$A:$A, $A$1)/$E51)),"-")</f>
        <v>0</v>
      </c>
      <c r="K51" s="112">
        <f t="shared" ca="1" si="0"/>
        <v>0.33333333333333331</v>
      </c>
      <c r="L51" s="13">
        <f ca="1">IF($A$1="All",AVERAGEIF('MATCH CALCS'!$D$3:$D1000,$A51,'MATCH CALCS'!$AZ$3:$AZ1000),AVERAGEIFS('MATCH CALCS'!$AZ$3:$AZ1000,'MATCH CALCS'!$D$3:$D1000,$A51,'MATCH CALCS'!$A$3:$A1000,$A$1))</f>
        <v>0.5</v>
      </c>
      <c r="M51" s="112">
        <f ca="1">IF($A$1="All",AVERAGEIF('MATCH CALCS'!$D:$D,$A51,'MATCH CALCS'!R:R),(SUMIFS('MATCH CALCS'!R$3:R1000, 'MATCH CALCS'!$D$3:$D1000, $A51, 'MATCH CALCS'!A$3:A1000, $A$1)/$E51))</f>
        <v>0</v>
      </c>
      <c r="N51" s="112">
        <f ca="1">IFERROR(IF($A$1="All",SUMIF('MATCH CALCS'!$D:$D,$A51,'MATCH CALCS'!S:S)/$E51,(SUMIFS('MATCH CALCS'!S:S, 'MATCH CALCS'!$D:$D, $A51, 'MATCH CALCS'!A:A, $A$1)/$E51)),"-")</f>
        <v>0</v>
      </c>
      <c r="O51" s="113" t="e">
        <f ca="1">IF($A$1="All",AVERAGEIF('MATCH CALCS'!$D$3:$D1000,$A51,'MATCH CALCS'!$BC$3:$BC1000),AVERAGEIFS('MATCH CALCS'!$BC$3:$BC1000,'MATCH CALCS'!$D$3:$D1000,$A51,'MATCH CALCS'!$A$3:$A1000,$A$1))</f>
        <v>#DIV/0!</v>
      </c>
      <c r="P51" s="112">
        <f ca="1">IFERROR(IF($A$1="All",SUMIF('MATCH CALCS'!$D:$D,$A51,'MATCH CALCS'!AH:AH)/$E51,(SUMIFS('MATCH CALCS'!AH:AH, 'MATCH CALCS'!$D:$D, $A51, 'MATCH CALCS'!$A:$A, $A$1)/$E51)),"-")</f>
        <v>0</v>
      </c>
      <c r="Q51" s="112">
        <f ca="1">IFERROR(IF($A$1="All",SUMIF('MATCH CALCS'!$D:$D,$A51,'MATCH CALCS'!AG:AG)/$E51,(SUMIFS('MATCH CALCS'!AG:AG, 'MATCH CALCS'!$D:$D, $A51, 'MATCH CALCS'!$A:$A, $A$1)/$E51)),"-")</f>
        <v>0</v>
      </c>
      <c r="R51" s="112">
        <f ca="1">IFERROR(IF($A$1="All",SUMIF('MATCH CALCS'!$D:$D,$A51,'MATCH CALCS'!AF:AF)/$E51,(SUMIFS('MATCH CALCS'!AF:AF, 'MATCH CALCS'!$D:$D, $A51, 'MATCH CALCS'!$A:$A, $A$1)/$E51)),"-")</f>
        <v>1.6666666666666667</v>
      </c>
      <c r="S51" s="112">
        <f ca="1">IFERROR(IF($A$1="All",SUMIF('MATCH CALCS'!$D:$D,$A51,'MATCH CALCS'!$AE:$AE)/$E51,(SUMIFS('MATCH CALCS'!$AE:$AE, 'MATCH CALCS'!$D:$D, $A51, 'MATCH CALCS'!$A:$A, $A$1)/$E51)),"-")</f>
        <v>0</v>
      </c>
      <c r="T51" s="112">
        <f t="shared" ca="1" si="1"/>
        <v>1.6666666666666667</v>
      </c>
      <c r="U51" s="13">
        <f ca="1">IF($A$1="All",AVERAGEIF('MATCH CALCS'!$D$3:$D1000,$A51,'MATCH CALCS'!$BI$3:$BI1000),AVERAGEIFS('MATCH CALCS'!$BI$3:$BI1000,'MATCH CALCS'!$D$3:$D1000,$A51,'MATCH CALCS'!$A$3:$A1000,$A$1))</f>
        <v>0.45</v>
      </c>
      <c r="V51" s="112">
        <f ca="1">IFERROR(IF($A$1="All",SUMIF('MATCH CALCS'!$D:$D,$A51,'MATCH CALCS'!W:W)/$E51,(SUMIFS('MATCH CALCS'!W:W, 'MATCH CALCS'!$D:$D, $A51, 'MATCH CALCS'!$A:$A, $A$1)/$E51)),"-")</f>
        <v>0</v>
      </c>
      <c r="W51" s="112">
        <f ca="1">IFERROR(IF($A$1="All",SUMIF('MATCH CALCS'!$D:$D,$A51,'MATCH CALCS'!X:X)/$E51,(SUMIFS('MATCH CALCS'!X:X, 'MATCH CALCS'!$D:$D, $A51, 'MATCH CALCS'!$A:$A, $A$1)/$E51)),"-")</f>
        <v>0</v>
      </c>
      <c r="X51" s="114" t="e">
        <f ca="1">IF($A$1="All",AVERAGEIF('MATCH CALCS'!$D$3:$D1000,$A51,'MATCH CALCS'!$BF$3:$BF1000),AVERAGEIFS('MATCH CALCS'!$BF$3:$BF1000,'MATCH CALCS'!$D$3:$D1000, $A51, 'MATCH CALCS'!$A$3:$A1000, $A$1))</f>
        <v>#DIV/0!</v>
      </c>
      <c r="Y51" s="115">
        <f ca="1">IF($A$1="All",SUMIF('MATCH CALCS'!$D$3:$D1000,$A51,'MATCH CALCS'!$BJ$3:$BJ1000),SUMIFS('MATCH CALCS'!$BJ$3:$BJ1000,'MATCH CALCS'!$D$3:$D1000, $A51, 'MATCH CALCS'!$A$3:$A1000, $A$1))</f>
        <v>0</v>
      </c>
      <c r="Z51" s="116" t="str">
        <f ca="1">IFERROR(__xludf.DUMMYFUNCTION("IFERROR(IF($A$1=""All"",AVERAGE(FILTER('MATCH CALCS'!$BR$3:$BR1000, 'MATCH CALCS'!$D$3:$D1000=$A51)),AVERAGE(FILTER('MATCH CALCS'!$BR$3:$BR1000, 'MATCH CALCS'!$D$3:$D1000=$A51,'MATCH CALCS'!$A$3:$A1000=$A$1))),""No Data"")"),"No Data")</f>
        <v>No Data</v>
      </c>
      <c r="AA51" s="117" t="str">
        <f ca="1">IFERROR(__xludf.DUMMYFUNCTION("IFERROR(IF($A$1=""All"",IF(COUNTIF(FILTER('MATCH CALCS'!$AT$3:$AT1000,'MATCH CALCS'!$D$3:$D1000=$A51), ""Dc"")&gt;0, IF(COUNTIF(FILTER('MATCH CALCS'!$AT$3:$AT1000,'MATCH CALCS'!$D$3:$D1000=$A51), ""Sc"")&gt;0, ""Mixed"", ""Deep""), IF(COUNTIF(FILTER('MATCH CALC"&amp;"S'!$AT$3:$AT1000,'MATCH CALCS'!$D$3:$D1000=$A51), ""Sc"")&gt;0, ""Shallow"",""None"")),IF(COUNTIF(FILTER('MATCH CALCS'!$AT$3:$AT1000,'MATCH CALCS'!$D$3:$D1000=$A51,'MATCH CALCS'!$A$3:$A1000=$A$1), ""Dc"")&gt;0, IF(COUNTIF(FILTER('MATCH CALCS'!$AT$3:$AT1000,'MAT"&amp;"CH CALCS'!$D$3:$D1000=$A51,'MATCH CALCS'!$A$3:$A1000=$A$1), ""Sc"")&gt;0, ""Mixed"", ""Deep""), IF(COUNTIF(FILTER('MATCH CALCS'!$AT$3:$AT1000,'MATCH CALCS'!$D$3:$D1000=$A51,'MATCH CALCS'!$A$3:$A1000=$A$1), ""Sc"")&gt;0, ""Shallow"",""None""))))"),"None")</f>
        <v>None</v>
      </c>
      <c r="AB51" s="9" t="str">
        <f ca="1">IFERROR(IF($A$1="All",(COUNTIFS('MATCH CALCS'!$AT$3:$AT1000,("=Dc"),'MATCH CALCS'!$D$3:$D1000, $A51)+COUNTIFS('MATCH CALCS'!$AT$3:$AT1000,("=Sc"),'MATCH CALCS'!$D$3:$D1000, $A51))/(COUNTIFS('MATCH CALCS'!$AK$3:$AK1000,("=Dc"),'MATCH CALCS'!$D$3:$D1000, $A51)+COUNTIFS('MATCH CALCS'!$AK$3:$AK1000,("=Sc"),'MATCH CALCS'!$D$3:$D1000, $A51)),(COUNTIFS('MATCH CALCS'!$AT$3:$AT1000,("=Dc"),'MATCH CALCS'!$D$3:$D1000, $A51,'MATCH CALCS'!$A$3:$A1000,$A$1)+COUNTIFS('MATCH CALCS'!$AT$3:$AT1000,("=Sc"),'MATCH CALCS'!$D$3:$D1000, $A51,'MATCH CALCS'!$A$3:$A1000,$A$1))/(COUNTIFS('MATCH CALCS'!$AK$3:$AK1000,("=Dc"),'MATCH CALCS'!$D$3:$D1000, $A51,'MATCH CALCS'!$A$3:$A1000,$A$1)+COUNTIFS('MATCH CALCS'!$AK$3:$AK1000,("=Sc"),'MATCH CALCS'!$D$3:$D1000, $A51,'MATCH CALCS'!$A$3:$A1000,$A$1))),"-")</f>
        <v>-</v>
      </c>
      <c r="AC51" s="25">
        <f ca="1">IFERROR(IF($A$1="All",COUNTIFS('MATCH CALCS'!$AT$3:$AT1000,("=Dc"),'MATCH CALCS'!$D$3:$D1000, $A51)+COUNTIFS('MATCH CALCS'!$AT$3:$AT1000,("=Sc"),'MATCH CALCS'!$D$3:$D1000, $A51),COUNTIFS('MATCH CALCS'!$AT$3:$AT1000,("=Dc"),'MATCH CALCS'!$D$3:$D1000, $A51,'MATCH CALCS'!$A$3:$A1000, $A$1)+COUNTIFS('MATCH CALCS'!$AT$3:$AT1000,("=Sc"),'MATCH CALCS'!$D$3:$D1000, $A51,'MATCH CALCS'!$A$3:$A1000, $A$1)),"-")</f>
        <v>0</v>
      </c>
    </row>
    <row r="52" spans="1:29" ht="12.75">
      <c r="A52" s="30">
        <f ca="1">IFERROR(__xludf.DUMMYFUNCTION("""COMPUTED_VALUE"""),7850)</f>
        <v>7850</v>
      </c>
      <c r="B52" s="6" t="str">
        <f ca="1">IFERROR(__xludf.DUMMYFUNCTION("""COMPUTED_VALUE"""),"C.A.R.D.S.")</f>
        <v>C.A.R.D.S.</v>
      </c>
      <c r="C52" s="30" t="str">
        <f ca="1">IFERROR(__xludf.DUMMYFUNCTION("FILTER('TEAM RANKING'!$A:$A,'TEAM RANKING'!$K:$K=$A52)"),"#N/A")</f>
        <v>#N/A</v>
      </c>
      <c r="D52" s="15"/>
      <c r="E52" s="110">
        <f ca="1">IFERROR((IF($A$1="All", COUNTIF('MATCH CALCS'!$D:$D,$A52), (COUNTIFS('MATCH CALCS'!D:D, $A52, 'MATCH CALCS'!$A:$A,$A$1)))),"-")</f>
        <v>3</v>
      </c>
      <c r="F52" s="111">
        <f ca="1">IFERROR(IF($A$1="All",SUMIF('MATCH CALCS'!$D:$D,$A52,'MATCH CALCS'!$AW:$AW)/$E52,(SUMIFS('MATCH CALCS'!$AW:$AW, 'MATCH CALCS'!$D:$D, $A52, 'MATCH CALCS'!$A:$A, $A$1)/$E52)),"-")</f>
        <v>0.66666666666666663</v>
      </c>
      <c r="G52" s="112">
        <f ca="1">IFERROR(IF($A$1="All",SUMIF('MATCH CALCS'!$D:$D,$A52,'MATCH CALCS'!O:O)/$E52,(SUMIFS('MATCH CALCS'!O:O, 'MATCH CALCS'!$D:$D, $A52, 'MATCH CALCS'!$A:$A, $A$1)/$E52)),"-")</f>
        <v>0</v>
      </c>
      <c r="H52" s="112">
        <f ca="1">IFERROR(IF($A$1="All",SUMIF('MATCH CALCS'!$D:$D,$A52,'MATCH CALCS'!N:N)/$E52,(SUMIFS('MATCH CALCS'!N:N, 'MATCH CALCS'!$D:$D, $A52, 'MATCH CALCS'!$A:$A, $A$1)/$E52)),"-")</f>
        <v>0</v>
      </c>
      <c r="I52" s="112">
        <f ca="1">IFERROR(IF($A$1="All",SUMIF('MATCH CALCS'!$D:$D,$A52,'MATCH CALCS'!M:M)/$E52,(SUMIFS('MATCH CALCS'!M:M, 'MATCH CALCS'!$D:$D, $A52, 'MATCH CALCS'!$A:$A, $A$1)/$E52)),"-")</f>
        <v>0</v>
      </c>
      <c r="J52" s="112">
        <f ca="1">IFERROR(IF($A$1="All",SUMIF('MATCH CALCS'!$D:$D,$A52,'MATCH CALCS'!L:L)/$E52,(SUMIFS('MATCH CALCS'!L:L, 'MATCH CALCS'!$D:$D, $A52, 'MATCH CALCS'!$A:$A, $A$1)/$E52)),"-")</f>
        <v>0</v>
      </c>
      <c r="K52" s="112">
        <f t="shared" ca="1" si="0"/>
        <v>0</v>
      </c>
      <c r="L52" s="13" t="e">
        <f ca="1">IF($A$1="All",AVERAGEIF('MATCH CALCS'!$D$3:$D1000,$A52,'MATCH CALCS'!$AZ$3:$AZ1000),AVERAGEIFS('MATCH CALCS'!$AZ$3:$AZ1000,'MATCH CALCS'!$D$3:$D1000,$A52,'MATCH CALCS'!$A$3:$A1000,$A$1))</f>
        <v>#DIV/0!</v>
      </c>
      <c r="M52" s="112">
        <f ca="1">IF($A$1="All",AVERAGEIF('MATCH CALCS'!$D:$D,$A52,'MATCH CALCS'!R:R),(SUMIFS('MATCH CALCS'!R$3:R1000, 'MATCH CALCS'!$D$3:$D1000, $A52, 'MATCH CALCS'!A$3:A1000, $A$1)/$E52))</f>
        <v>0</v>
      </c>
      <c r="N52" s="112">
        <f ca="1">IFERROR(IF($A$1="All",SUMIF('MATCH CALCS'!$D:$D,$A52,'MATCH CALCS'!S:S)/$E52,(SUMIFS('MATCH CALCS'!S:S, 'MATCH CALCS'!$D:$D, $A52, 'MATCH CALCS'!A:A, $A$1)/$E52)),"-")</f>
        <v>0</v>
      </c>
      <c r="O52" s="113" t="e">
        <f ca="1">IF($A$1="All",AVERAGEIF('MATCH CALCS'!$D$3:$D1000,$A52,'MATCH CALCS'!$BC$3:$BC1000),AVERAGEIFS('MATCH CALCS'!$BC$3:$BC1000,'MATCH CALCS'!$D$3:$D1000,$A52,'MATCH CALCS'!$A$3:$A1000,$A$1))</f>
        <v>#DIV/0!</v>
      </c>
      <c r="P52" s="112">
        <f ca="1">IFERROR(IF($A$1="All",SUMIF('MATCH CALCS'!$D:$D,$A52,'MATCH CALCS'!AH:AH)/$E52,(SUMIFS('MATCH CALCS'!AH:AH, 'MATCH CALCS'!$D:$D, $A52, 'MATCH CALCS'!$A:$A, $A$1)/$E52)),"-")</f>
        <v>0</v>
      </c>
      <c r="Q52" s="112">
        <f ca="1">IFERROR(IF($A$1="All",SUMIF('MATCH CALCS'!$D:$D,$A52,'MATCH CALCS'!AG:AG)/$E52,(SUMIFS('MATCH CALCS'!AG:AG, 'MATCH CALCS'!$D:$D, $A52, 'MATCH CALCS'!$A:$A, $A$1)/$E52)),"-")</f>
        <v>0</v>
      </c>
      <c r="R52" s="112">
        <f ca="1">IFERROR(IF($A$1="All",SUMIF('MATCH CALCS'!$D:$D,$A52,'MATCH CALCS'!AF:AF)/$E52,(SUMIFS('MATCH CALCS'!AF:AF, 'MATCH CALCS'!$D:$D, $A52, 'MATCH CALCS'!$A:$A, $A$1)/$E52)),"-")</f>
        <v>0</v>
      </c>
      <c r="S52" s="112">
        <f ca="1">IFERROR(IF($A$1="All",SUMIF('MATCH CALCS'!$D:$D,$A52,'MATCH CALCS'!$AE:$AE)/$E52,(SUMIFS('MATCH CALCS'!$AE:$AE, 'MATCH CALCS'!$D:$D, $A52, 'MATCH CALCS'!$A:$A, $A$1)/$E52)),"-")</f>
        <v>0</v>
      </c>
      <c r="T52" s="112">
        <f t="shared" ca="1" si="1"/>
        <v>0</v>
      </c>
      <c r="U52" s="13" t="e">
        <f ca="1">IF($A$1="All",AVERAGEIF('MATCH CALCS'!$D$3:$D1000,$A52,'MATCH CALCS'!$BI$3:$BI1000),AVERAGEIFS('MATCH CALCS'!$BI$3:$BI1000,'MATCH CALCS'!$D$3:$D1000,$A52,'MATCH CALCS'!$A$3:$A1000,$A$1))</f>
        <v>#DIV/0!</v>
      </c>
      <c r="V52" s="112">
        <f ca="1">IFERROR(IF($A$1="All",SUMIF('MATCH CALCS'!$D:$D,$A52,'MATCH CALCS'!W:W)/$E52,(SUMIFS('MATCH CALCS'!W:W, 'MATCH CALCS'!$D:$D, $A52, 'MATCH CALCS'!$A:$A, $A$1)/$E52)),"-")</f>
        <v>0</v>
      </c>
      <c r="W52" s="112">
        <f ca="1">IFERROR(IF($A$1="All",SUMIF('MATCH CALCS'!$D:$D,$A52,'MATCH CALCS'!X:X)/$E52,(SUMIFS('MATCH CALCS'!X:X, 'MATCH CALCS'!$D:$D, $A52, 'MATCH CALCS'!$A:$A, $A$1)/$E52)),"-")</f>
        <v>1.3333333333333333</v>
      </c>
      <c r="X52" s="114">
        <f ca="1">IF($A$1="All",AVERAGEIF('MATCH CALCS'!$D$3:$D1000,$A52,'MATCH CALCS'!$BF$3:$BF1000),AVERAGEIFS('MATCH CALCS'!$BF$3:$BF1000,'MATCH CALCS'!$D$3:$D1000, $A52, 'MATCH CALCS'!$A$3:$A1000, $A$1))</f>
        <v>0.2857142857142857</v>
      </c>
      <c r="Y52" s="115">
        <f ca="1">IF($A$1="All",SUMIF('MATCH CALCS'!$D$3:$D1000,$A52,'MATCH CALCS'!$BJ$3:$BJ1000),SUMIFS('MATCH CALCS'!$BJ$3:$BJ1000,'MATCH CALCS'!$D$3:$D1000, $A52, 'MATCH CALCS'!$A$3:$A1000, $A$1))</f>
        <v>0</v>
      </c>
      <c r="Z52" s="116" t="str">
        <f ca="1">IFERROR(__xludf.DUMMYFUNCTION("IFERROR(IF($A$1=""All"",AVERAGE(FILTER('MATCH CALCS'!$BR$3:$BR1000, 'MATCH CALCS'!$D$3:$D1000=$A52)),AVERAGE(FILTER('MATCH CALCS'!$BR$3:$BR1000, 'MATCH CALCS'!$D$3:$D1000=$A52,'MATCH CALCS'!$A$3:$A1000=$A$1))),""No Data"")"),"No Data")</f>
        <v>No Data</v>
      </c>
      <c r="AA52" s="117" t="str">
        <f ca="1">IFERROR(__xludf.DUMMYFUNCTION("IFERROR(IF($A$1=""All"",IF(COUNTIF(FILTER('MATCH CALCS'!$AT$3:$AT1000,'MATCH CALCS'!$D$3:$D1000=$A52), ""Dc"")&gt;0, IF(COUNTIF(FILTER('MATCH CALCS'!$AT$3:$AT1000,'MATCH CALCS'!$D$3:$D1000=$A52), ""Sc"")&gt;0, ""Mixed"", ""Deep""), IF(COUNTIF(FILTER('MATCH CALC"&amp;"S'!$AT$3:$AT1000,'MATCH CALCS'!$D$3:$D1000=$A52), ""Sc"")&gt;0, ""Shallow"",""None"")),IF(COUNTIF(FILTER('MATCH CALCS'!$AT$3:$AT1000,'MATCH CALCS'!$D$3:$D1000=$A52,'MATCH CALCS'!$A$3:$A1000=$A$1), ""Dc"")&gt;0, IF(COUNTIF(FILTER('MATCH CALCS'!$AT$3:$AT1000,'MAT"&amp;"CH CALCS'!$D$3:$D1000=$A52,'MATCH CALCS'!$A$3:$A1000=$A$1), ""Sc"")&gt;0, ""Mixed"", ""Deep""), IF(COUNTIF(FILTER('MATCH CALCS'!$AT$3:$AT1000,'MATCH CALCS'!$D$3:$D1000=$A52,'MATCH CALCS'!$A$3:$A1000=$A$1), ""Sc"")&gt;0, ""Shallow"",""None""))))"),"None")</f>
        <v>None</v>
      </c>
      <c r="AB52" s="9">
        <f ca="1">IFERROR(IF($A$1="All",(COUNTIFS('MATCH CALCS'!$AT$3:$AT1000,("=Dc"),'MATCH CALCS'!$D$3:$D1000, $A52)+COUNTIFS('MATCH CALCS'!$AT$3:$AT1000,("=Sc"),'MATCH CALCS'!$D$3:$D1000, $A52))/(COUNTIFS('MATCH CALCS'!$AK$3:$AK1000,("=Dc"),'MATCH CALCS'!$D$3:$D1000, $A52)+COUNTIFS('MATCH CALCS'!$AK$3:$AK1000,("=Sc"),'MATCH CALCS'!$D$3:$D1000, $A52)),(COUNTIFS('MATCH CALCS'!$AT$3:$AT1000,("=Dc"),'MATCH CALCS'!$D$3:$D1000, $A52,'MATCH CALCS'!$A$3:$A1000,$A$1)+COUNTIFS('MATCH CALCS'!$AT$3:$AT1000,("=Sc"),'MATCH CALCS'!$D$3:$D1000, $A52,'MATCH CALCS'!$A$3:$A1000,$A$1))/(COUNTIFS('MATCH CALCS'!$AK$3:$AK1000,("=Dc"),'MATCH CALCS'!$D$3:$D1000, $A52,'MATCH CALCS'!$A$3:$A1000,$A$1)+COUNTIFS('MATCH CALCS'!$AK$3:$AK1000,("=Sc"),'MATCH CALCS'!$D$3:$D1000, $A52,'MATCH CALCS'!$A$3:$A1000,$A$1))),"-")</f>
        <v>0</v>
      </c>
      <c r="AC52" s="25">
        <f ca="1">IFERROR(IF($A$1="All",COUNTIFS('MATCH CALCS'!$AT$3:$AT1000,("=Dc"),'MATCH CALCS'!$D$3:$D1000, $A52)+COUNTIFS('MATCH CALCS'!$AT$3:$AT1000,("=Sc"),'MATCH CALCS'!$D$3:$D1000, $A52),COUNTIFS('MATCH CALCS'!$AT$3:$AT1000,("=Dc"),'MATCH CALCS'!$D$3:$D1000, $A52,'MATCH CALCS'!$A$3:$A1000, $A$1)+COUNTIFS('MATCH CALCS'!$AT$3:$AT1000,("=Sc"),'MATCH CALCS'!$D$3:$D1000, $A52,'MATCH CALCS'!$A$3:$A1000, $A$1)),"-")</f>
        <v>0</v>
      </c>
    </row>
    <row r="53" spans="1:29" ht="12.75">
      <c r="A53" s="30">
        <f ca="1">IFERROR(__xludf.DUMMYFUNCTION("""COMPUTED_VALUE"""),8234)</f>
        <v>8234</v>
      </c>
      <c r="B53" s="6" t="str">
        <f ca="1">IFERROR(__xludf.DUMMYFUNCTION("""COMPUTED_VALUE"""),"Panthinators")</f>
        <v>Panthinators</v>
      </c>
      <c r="C53" s="30" t="str">
        <f ca="1">IFERROR(__xludf.DUMMYFUNCTION("FILTER('TEAM RANKING'!$A:$A,'TEAM RANKING'!$K:$K=$A53)"),"#N/A")</f>
        <v>#N/A</v>
      </c>
      <c r="D53" s="15"/>
      <c r="E53" s="110">
        <f ca="1">IFERROR((IF($A$1="All", COUNTIF('MATCH CALCS'!$D:$D,$A53), (COUNTIFS('MATCH CALCS'!D:D, $A53, 'MATCH CALCS'!$A:$A,$A$1)))),"-")</f>
        <v>1</v>
      </c>
      <c r="F53" s="111">
        <f ca="1">IFERROR(IF($A$1="All",SUMIF('MATCH CALCS'!$D:$D,$A53,'MATCH CALCS'!$AW:$AW)/$E53,(SUMIFS('MATCH CALCS'!$AW:$AW, 'MATCH CALCS'!$D:$D, $A53, 'MATCH CALCS'!$A:$A, $A$1)/$E53)),"-")</f>
        <v>1</v>
      </c>
      <c r="G53" s="112">
        <f ca="1">IFERROR(IF($A$1="All",SUMIF('MATCH CALCS'!$D:$D,$A53,'MATCH CALCS'!O:O)/$E53,(SUMIFS('MATCH CALCS'!O:O, 'MATCH CALCS'!$D:$D, $A53, 'MATCH CALCS'!$A:$A, $A$1)/$E53)),"-")</f>
        <v>0</v>
      </c>
      <c r="H53" s="112">
        <f ca="1">IFERROR(IF($A$1="All",SUMIF('MATCH CALCS'!$D:$D,$A53,'MATCH CALCS'!N:N)/$E53,(SUMIFS('MATCH CALCS'!N:N, 'MATCH CALCS'!$D:$D, $A53, 'MATCH CALCS'!$A:$A, $A$1)/$E53)),"-")</f>
        <v>0</v>
      </c>
      <c r="I53" s="112">
        <f ca="1">IFERROR(IF($A$1="All",SUMIF('MATCH CALCS'!$D:$D,$A53,'MATCH CALCS'!M:M)/$E53,(SUMIFS('MATCH CALCS'!M:M, 'MATCH CALCS'!$D:$D, $A53, 'MATCH CALCS'!$A:$A, $A$1)/$E53)),"-")</f>
        <v>0</v>
      </c>
      <c r="J53" s="112">
        <f ca="1">IFERROR(IF($A$1="All",SUMIF('MATCH CALCS'!$D:$D,$A53,'MATCH CALCS'!L:L)/$E53,(SUMIFS('MATCH CALCS'!L:L, 'MATCH CALCS'!$D:$D, $A53, 'MATCH CALCS'!$A:$A, $A$1)/$E53)),"-")</f>
        <v>0</v>
      </c>
      <c r="K53" s="112">
        <f t="shared" ca="1" si="0"/>
        <v>0</v>
      </c>
      <c r="L53" s="13" t="e">
        <f ca="1">IF($A$1="All",AVERAGEIF('MATCH CALCS'!$D$3:$D1000,$A53,'MATCH CALCS'!$AZ$3:$AZ1000),AVERAGEIFS('MATCH CALCS'!$AZ$3:$AZ1000,'MATCH CALCS'!$D$3:$D1000,$A53,'MATCH CALCS'!$A$3:$A1000,$A$1))</f>
        <v>#DIV/0!</v>
      </c>
      <c r="M53" s="112">
        <f ca="1">IF($A$1="All",AVERAGEIF('MATCH CALCS'!$D:$D,$A53,'MATCH CALCS'!R:R),(SUMIFS('MATCH CALCS'!R$3:R1000, 'MATCH CALCS'!$D$3:$D1000, $A53, 'MATCH CALCS'!A$3:A1000, $A$1)/$E53))</f>
        <v>0</v>
      </c>
      <c r="N53" s="112">
        <f ca="1">IFERROR(IF($A$1="All",SUMIF('MATCH CALCS'!$D:$D,$A53,'MATCH CALCS'!S:S)/$E53,(SUMIFS('MATCH CALCS'!S:S, 'MATCH CALCS'!$D:$D, $A53, 'MATCH CALCS'!A:A, $A$1)/$E53)),"-")</f>
        <v>0</v>
      </c>
      <c r="O53" s="113" t="e">
        <f ca="1">IF($A$1="All",AVERAGEIF('MATCH CALCS'!$D$3:$D1000,$A53,'MATCH CALCS'!$BC$3:$BC1000),AVERAGEIFS('MATCH CALCS'!$BC$3:$BC1000,'MATCH CALCS'!$D$3:$D1000,$A53,'MATCH CALCS'!$A$3:$A1000,$A$1))</f>
        <v>#DIV/0!</v>
      </c>
      <c r="P53" s="112">
        <f ca="1">IFERROR(IF($A$1="All",SUMIF('MATCH CALCS'!$D:$D,$A53,'MATCH CALCS'!AH:AH)/$E53,(SUMIFS('MATCH CALCS'!AH:AH, 'MATCH CALCS'!$D:$D, $A53, 'MATCH CALCS'!$A:$A, $A$1)/$E53)),"-")</f>
        <v>0</v>
      </c>
      <c r="Q53" s="112">
        <f ca="1">IFERROR(IF($A$1="All",SUMIF('MATCH CALCS'!$D:$D,$A53,'MATCH CALCS'!AG:AG)/$E53,(SUMIFS('MATCH CALCS'!AG:AG, 'MATCH CALCS'!$D:$D, $A53, 'MATCH CALCS'!$A:$A, $A$1)/$E53)),"-")</f>
        <v>0</v>
      </c>
      <c r="R53" s="112">
        <f ca="1">IFERROR(IF($A$1="All",SUMIF('MATCH CALCS'!$D:$D,$A53,'MATCH CALCS'!AF:AF)/$E53,(SUMIFS('MATCH CALCS'!AF:AF, 'MATCH CALCS'!$D:$D, $A53, 'MATCH CALCS'!$A:$A, $A$1)/$E53)),"-")</f>
        <v>0</v>
      </c>
      <c r="S53" s="112">
        <f ca="1">IFERROR(IF($A$1="All",SUMIF('MATCH CALCS'!$D:$D,$A53,'MATCH CALCS'!$AE:$AE)/$E53,(SUMIFS('MATCH CALCS'!$AE:$AE, 'MATCH CALCS'!$D:$D, $A53, 'MATCH CALCS'!$A:$A, $A$1)/$E53)),"-")</f>
        <v>0</v>
      </c>
      <c r="T53" s="112">
        <f t="shared" ca="1" si="1"/>
        <v>0</v>
      </c>
      <c r="U53" s="13" t="e">
        <f ca="1">IF($A$1="All",AVERAGEIF('MATCH CALCS'!$D$3:$D1000,$A53,'MATCH CALCS'!$BI$3:$BI1000),AVERAGEIFS('MATCH CALCS'!$BI$3:$BI1000,'MATCH CALCS'!$D$3:$D1000,$A53,'MATCH CALCS'!$A$3:$A1000,$A$1))</f>
        <v>#DIV/0!</v>
      </c>
      <c r="V53" s="112">
        <f ca="1">IFERROR(IF($A$1="All",SUMIF('MATCH CALCS'!$D:$D,$A53,'MATCH CALCS'!W:W)/$E53,(SUMIFS('MATCH CALCS'!W:W, 'MATCH CALCS'!$D:$D, $A53, 'MATCH CALCS'!$A:$A, $A$1)/$E53)),"-")</f>
        <v>0</v>
      </c>
      <c r="W53" s="112">
        <f ca="1">IFERROR(IF($A$1="All",SUMIF('MATCH CALCS'!$D:$D,$A53,'MATCH CALCS'!X:X)/$E53,(SUMIFS('MATCH CALCS'!X:X, 'MATCH CALCS'!$D:$D, $A53, 'MATCH CALCS'!$A:$A, $A$1)/$E53)),"-")</f>
        <v>0</v>
      </c>
      <c r="X53" s="114" t="e">
        <f ca="1">IF($A$1="All",AVERAGEIF('MATCH CALCS'!$D$3:$D1000,$A53,'MATCH CALCS'!$BF$3:$BF1000),AVERAGEIFS('MATCH CALCS'!$BF$3:$BF1000,'MATCH CALCS'!$D$3:$D1000, $A53, 'MATCH CALCS'!$A$3:$A1000, $A$1))</f>
        <v>#DIV/0!</v>
      </c>
      <c r="Y53" s="115">
        <f ca="1">IF($A$1="All",SUMIF('MATCH CALCS'!$D$3:$D1000,$A53,'MATCH CALCS'!$BJ$3:$BJ1000),SUMIFS('MATCH CALCS'!$BJ$3:$BJ1000,'MATCH CALCS'!$D$3:$D1000, $A53, 'MATCH CALCS'!$A$3:$A1000, $A$1))</f>
        <v>0</v>
      </c>
      <c r="Z53" s="116" t="str">
        <f ca="1">IFERROR(__xludf.DUMMYFUNCTION("IFERROR(IF($A$1=""All"",AVERAGE(FILTER('MATCH CALCS'!$BR$3:$BR1000, 'MATCH CALCS'!$D$3:$D1000=$A53)),AVERAGE(FILTER('MATCH CALCS'!$BR$3:$BR1000, 'MATCH CALCS'!$D$3:$D1000=$A53,'MATCH CALCS'!$A$3:$A1000=$A$1))),""No Data"")"),"No Data")</f>
        <v>No Data</v>
      </c>
      <c r="AA53" s="117" t="str">
        <f ca="1">IFERROR(__xludf.DUMMYFUNCTION("IFERROR(IF($A$1=""All"",IF(COUNTIF(FILTER('MATCH CALCS'!$AT$3:$AT1000,'MATCH CALCS'!$D$3:$D1000=$A53), ""Dc"")&gt;0, IF(COUNTIF(FILTER('MATCH CALCS'!$AT$3:$AT1000,'MATCH CALCS'!$D$3:$D1000=$A53), ""Sc"")&gt;0, ""Mixed"", ""Deep""), IF(COUNTIF(FILTER('MATCH CALC"&amp;"S'!$AT$3:$AT1000,'MATCH CALCS'!$D$3:$D1000=$A53), ""Sc"")&gt;0, ""Shallow"",""None"")),IF(COUNTIF(FILTER('MATCH CALCS'!$AT$3:$AT1000,'MATCH CALCS'!$D$3:$D1000=$A53,'MATCH CALCS'!$A$3:$A1000=$A$1), ""Dc"")&gt;0, IF(COUNTIF(FILTER('MATCH CALCS'!$AT$3:$AT1000,'MAT"&amp;"CH CALCS'!$D$3:$D1000=$A53,'MATCH CALCS'!$A$3:$A1000=$A$1), ""Sc"")&gt;0, ""Mixed"", ""Deep""), IF(COUNTIF(FILTER('MATCH CALCS'!$AT$3:$AT1000,'MATCH CALCS'!$D$3:$D1000=$A53,'MATCH CALCS'!$A$3:$A1000=$A$1), ""Sc"")&gt;0, ""Shallow"",""None""))))"),"None")</f>
        <v>None</v>
      </c>
      <c r="AB53" s="9" t="str">
        <f ca="1">IFERROR(IF($A$1="All",(COUNTIFS('MATCH CALCS'!$AT$3:$AT1000,("=Dc"),'MATCH CALCS'!$D$3:$D1000, $A53)+COUNTIFS('MATCH CALCS'!$AT$3:$AT1000,("=Sc"),'MATCH CALCS'!$D$3:$D1000, $A53))/(COUNTIFS('MATCH CALCS'!$AK$3:$AK1000,("=Dc"),'MATCH CALCS'!$D$3:$D1000, $A53)+COUNTIFS('MATCH CALCS'!$AK$3:$AK1000,("=Sc"),'MATCH CALCS'!$D$3:$D1000, $A53)),(COUNTIFS('MATCH CALCS'!$AT$3:$AT1000,("=Dc"),'MATCH CALCS'!$D$3:$D1000, $A53,'MATCH CALCS'!$A$3:$A1000,$A$1)+COUNTIFS('MATCH CALCS'!$AT$3:$AT1000,("=Sc"),'MATCH CALCS'!$D$3:$D1000, $A53,'MATCH CALCS'!$A$3:$A1000,$A$1))/(COUNTIFS('MATCH CALCS'!$AK$3:$AK1000,("=Dc"),'MATCH CALCS'!$D$3:$D1000, $A53,'MATCH CALCS'!$A$3:$A1000,$A$1)+COUNTIFS('MATCH CALCS'!$AK$3:$AK1000,("=Sc"),'MATCH CALCS'!$D$3:$D1000, $A53,'MATCH CALCS'!$A$3:$A1000,$A$1))),"-")</f>
        <v>-</v>
      </c>
      <c r="AC53" s="25">
        <f ca="1">IFERROR(IF($A$1="All",COUNTIFS('MATCH CALCS'!$AT$3:$AT1000,("=Dc"),'MATCH CALCS'!$D$3:$D1000, $A53)+COUNTIFS('MATCH CALCS'!$AT$3:$AT1000,("=Sc"),'MATCH CALCS'!$D$3:$D1000, $A53),COUNTIFS('MATCH CALCS'!$AT$3:$AT1000,("=Dc"),'MATCH CALCS'!$D$3:$D1000, $A53,'MATCH CALCS'!$A$3:$A1000, $A$1)+COUNTIFS('MATCH CALCS'!$AT$3:$AT1000,("=Sc"),'MATCH CALCS'!$D$3:$D1000, $A53,'MATCH CALCS'!$A$3:$A1000, $A$1)),"-")</f>
        <v>0</v>
      </c>
    </row>
    <row r="54" spans="1:29" ht="12.75">
      <c r="A54" s="30">
        <f ca="1">IFERROR(__xludf.DUMMYFUNCTION("""COMPUTED_VALUE"""),8570)</f>
        <v>8570</v>
      </c>
      <c r="B54" s="6" t="str">
        <f ca="1">IFERROR(__xludf.DUMMYFUNCTION("""COMPUTED_VALUE"""),"Binary-Bolts")</f>
        <v>Binary-Bolts</v>
      </c>
      <c r="C54" s="30" t="str">
        <f ca="1">IFERROR(__xludf.DUMMYFUNCTION("FILTER('TEAM RANKING'!$A:$A,'TEAM RANKING'!$K:$K=$A54)"),"#N/A")</f>
        <v>#N/A</v>
      </c>
      <c r="D54" s="15"/>
      <c r="E54" s="110">
        <f ca="1">IFERROR((IF($A$1="All", COUNTIF('MATCH CALCS'!$D:$D,$A54), (COUNTIFS('MATCH CALCS'!D:D, $A54, 'MATCH CALCS'!$A:$A,$A$1)))),"-")</f>
        <v>3</v>
      </c>
      <c r="F54" s="111">
        <f ca="1">IFERROR(IF($A$1="All",SUMIF('MATCH CALCS'!$D:$D,$A54,'MATCH CALCS'!$AW:$AW)/$E54,(SUMIFS('MATCH CALCS'!$AW:$AW, 'MATCH CALCS'!$D:$D, $A54, 'MATCH CALCS'!$A:$A, $A$1)/$E54)),"-")</f>
        <v>1</v>
      </c>
      <c r="G54" s="112">
        <f ca="1">IFERROR(IF($A$1="All",SUMIF('MATCH CALCS'!$D:$D,$A54,'MATCH CALCS'!O:O)/$E54,(SUMIFS('MATCH CALCS'!O:O, 'MATCH CALCS'!$D:$D, $A54, 'MATCH CALCS'!$A:$A, $A$1)/$E54)),"-")</f>
        <v>0.66666666666666663</v>
      </c>
      <c r="H54" s="112">
        <f ca="1">IFERROR(IF($A$1="All",SUMIF('MATCH CALCS'!$D:$D,$A54,'MATCH CALCS'!N:N)/$E54,(SUMIFS('MATCH CALCS'!N:N, 'MATCH CALCS'!$D:$D, $A54, 'MATCH CALCS'!$A:$A, $A$1)/$E54)),"-")</f>
        <v>0.33333333333333331</v>
      </c>
      <c r="I54" s="112">
        <f ca="1">IFERROR(IF($A$1="All",SUMIF('MATCH CALCS'!$D:$D,$A54,'MATCH CALCS'!M:M)/$E54,(SUMIFS('MATCH CALCS'!M:M, 'MATCH CALCS'!$D:$D, $A54, 'MATCH CALCS'!$A:$A, $A$1)/$E54)),"-")</f>
        <v>0.66666666666666663</v>
      </c>
      <c r="J54" s="112">
        <f ca="1">IFERROR(IF($A$1="All",SUMIF('MATCH CALCS'!$D:$D,$A54,'MATCH CALCS'!L:L)/$E54,(SUMIFS('MATCH CALCS'!L:L, 'MATCH CALCS'!$D:$D, $A54, 'MATCH CALCS'!$A:$A, $A$1)/$E54)),"-")</f>
        <v>0</v>
      </c>
      <c r="K54" s="112">
        <f t="shared" ca="1" si="0"/>
        <v>1.6666666666666665</v>
      </c>
      <c r="L54" s="13">
        <f ca="1">IF($A$1="All",AVERAGEIF('MATCH CALCS'!$D$3:$D1000,$A54,'MATCH CALCS'!$AZ$3:$AZ1000),AVERAGEIFS('MATCH CALCS'!$AZ$3:$AZ1000,'MATCH CALCS'!$D$3:$D1000,$A54,'MATCH CALCS'!$A$3:$A1000,$A$1))</f>
        <v>0.72222222222222221</v>
      </c>
      <c r="M54" s="112">
        <f ca="1">IF($A$1="All",AVERAGEIF('MATCH CALCS'!$D:$D,$A54,'MATCH CALCS'!R:R),(SUMIFS('MATCH CALCS'!R$3:R1000, 'MATCH CALCS'!$D$3:$D1000, $A54, 'MATCH CALCS'!A$3:A1000, $A$1)/$E54))</f>
        <v>0</v>
      </c>
      <c r="N54" s="112">
        <f ca="1">IFERROR(IF($A$1="All",SUMIF('MATCH CALCS'!$D:$D,$A54,'MATCH CALCS'!S:S)/$E54,(SUMIFS('MATCH CALCS'!S:S, 'MATCH CALCS'!$D:$D, $A54, 'MATCH CALCS'!A:A, $A$1)/$E54)),"-")</f>
        <v>0</v>
      </c>
      <c r="O54" s="113">
        <f ca="1">IF($A$1="All",AVERAGEIF('MATCH CALCS'!$D$3:$D1000,$A54,'MATCH CALCS'!$BC$3:$BC1000),AVERAGEIFS('MATCH CALCS'!$BC$3:$BC1000,'MATCH CALCS'!$D$3:$D1000,$A54,'MATCH CALCS'!$A$3:$A1000,$A$1))</f>
        <v>0</v>
      </c>
      <c r="P54" s="112">
        <f ca="1">IFERROR(IF($A$1="All",SUMIF('MATCH CALCS'!$D:$D,$A54,'MATCH CALCS'!AH:AH)/$E54,(SUMIFS('MATCH CALCS'!AH:AH, 'MATCH CALCS'!$D:$D, $A54, 'MATCH CALCS'!$A:$A, $A$1)/$E54)),"-")</f>
        <v>1.6666666666666667</v>
      </c>
      <c r="Q54" s="112">
        <f ca="1">IFERROR(IF($A$1="All",SUMIF('MATCH CALCS'!$D:$D,$A54,'MATCH CALCS'!AG:AG)/$E54,(SUMIFS('MATCH CALCS'!AG:AG, 'MATCH CALCS'!$D:$D, $A54, 'MATCH CALCS'!$A:$A, $A$1)/$E54)),"-")</f>
        <v>2.6666666666666665</v>
      </c>
      <c r="R54" s="112">
        <f ca="1">IFERROR(IF($A$1="All",SUMIF('MATCH CALCS'!$D:$D,$A54,'MATCH CALCS'!AF:AF)/$E54,(SUMIFS('MATCH CALCS'!AF:AF, 'MATCH CALCS'!$D:$D, $A54, 'MATCH CALCS'!$A:$A, $A$1)/$E54)),"-")</f>
        <v>2</v>
      </c>
      <c r="S54" s="112">
        <f ca="1">IFERROR(IF($A$1="All",SUMIF('MATCH CALCS'!$D:$D,$A54,'MATCH CALCS'!$AE:$AE)/$E54,(SUMIFS('MATCH CALCS'!$AE:$AE, 'MATCH CALCS'!$D:$D, $A54, 'MATCH CALCS'!$A:$A, $A$1)/$E54)),"-")</f>
        <v>0</v>
      </c>
      <c r="T54" s="112">
        <f t="shared" ca="1" si="1"/>
        <v>6.333333333333333</v>
      </c>
      <c r="U54" s="13">
        <f ca="1">IF($A$1="All",AVERAGEIF('MATCH CALCS'!$D$3:$D1000,$A54,'MATCH CALCS'!$BI$3:$BI1000),AVERAGEIFS('MATCH CALCS'!$BI$3:$BI1000,'MATCH CALCS'!$D$3:$D1000,$A54,'MATCH CALCS'!$A$3:$A1000,$A$1))</f>
        <v>1</v>
      </c>
      <c r="V54" s="112">
        <f ca="1">IFERROR(IF($A$1="All",SUMIF('MATCH CALCS'!$D:$D,$A54,'MATCH CALCS'!W:W)/$E54,(SUMIFS('MATCH CALCS'!W:W, 'MATCH CALCS'!$D:$D, $A54, 'MATCH CALCS'!$A:$A, $A$1)/$E54)),"-")</f>
        <v>1.6666666666666667</v>
      </c>
      <c r="W54" s="112">
        <f ca="1">IFERROR(IF($A$1="All",SUMIF('MATCH CALCS'!$D:$D,$A54,'MATCH CALCS'!X:X)/$E54,(SUMIFS('MATCH CALCS'!X:X, 'MATCH CALCS'!$D:$D, $A54, 'MATCH CALCS'!$A:$A, $A$1)/$E54)),"-")</f>
        <v>0</v>
      </c>
      <c r="X54" s="114" t="e">
        <f ca="1">IF($A$1="All",AVERAGEIF('MATCH CALCS'!$D$3:$D1000,$A54,'MATCH CALCS'!$BF$3:$BF1000),AVERAGEIFS('MATCH CALCS'!$BF$3:$BF1000,'MATCH CALCS'!$D$3:$D1000, $A54, 'MATCH CALCS'!$A$3:$A1000, $A$1))</f>
        <v>#DIV/0!</v>
      </c>
      <c r="Y54" s="115">
        <f ca="1">IF($A$1="All",SUMIF('MATCH CALCS'!$D$3:$D1000,$A54,'MATCH CALCS'!$BJ$3:$BJ1000),SUMIFS('MATCH CALCS'!$BJ$3:$BJ1000,'MATCH CALCS'!$D$3:$D1000, $A54, 'MATCH CALCS'!$A$3:$A1000, $A$1))</f>
        <v>0</v>
      </c>
      <c r="Z54" s="116" t="str">
        <f ca="1">IFERROR(__xludf.DUMMYFUNCTION("IFERROR(IF($A$1=""All"",AVERAGE(FILTER('MATCH CALCS'!$BR$3:$BR1000, 'MATCH CALCS'!$D$3:$D1000=$A54)),AVERAGE(FILTER('MATCH CALCS'!$BR$3:$BR1000, 'MATCH CALCS'!$D$3:$D1000=$A54,'MATCH CALCS'!$A$3:$A1000=$A$1))),""No Data"")"),"No Data")</f>
        <v>No Data</v>
      </c>
      <c r="AA54" s="117" t="str">
        <f ca="1">IFERROR(__xludf.DUMMYFUNCTION("IFERROR(IF($A$1=""All"",IF(COUNTIF(FILTER('MATCH CALCS'!$AT$3:$AT1000,'MATCH CALCS'!$D$3:$D1000=$A54), ""Dc"")&gt;0, IF(COUNTIF(FILTER('MATCH CALCS'!$AT$3:$AT1000,'MATCH CALCS'!$D$3:$D1000=$A54), ""Sc"")&gt;0, ""Mixed"", ""Deep""), IF(COUNTIF(FILTER('MATCH CALC"&amp;"S'!$AT$3:$AT1000,'MATCH CALCS'!$D$3:$D1000=$A54), ""Sc"")&gt;0, ""Shallow"",""None"")),IF(COUNTIF(FILTER('MATCH CALCS'!$AT$3:$AT1000,'MATCH CALCS'!$D$3:$D1000=$A54,'MATCH CALCS'!$A$3:$A1000=$A$1), ""Dc"")&gt;0, IF(COUNTIF(FILTER('MATCH CALCS'!$AT$3:$AT1000,'MAT"&amp;"CH CALCS'!$D$3:$D1000=$A54,'MATCH CALCS'!$A$3:$A1000=$A$1), ""Sc"")&gt;0, ""Mixed"", ""Deep""), IF(COUNTIF(FILTER('MATCH CALCS'!$AT$3:$AT1000,'MATCH CALCS'!$D$3:$D1000=$A54,'MATCH CALCS'!$A$3:$A1000=$A$1), ""Sc"")&gt;0, ""Shallow"",""None""))))"),"Deep")</f>
        <v>Deep</v>
      </c>
      <c r="AB54" s="9">
        <f ca="1">IFERROR(IF($A$1="All",(COUNTIFS('MATCH CALCS'!$AT$3:$AT1000,("=Dc"),'MATCH CALCS'!$D$3:$D1000, $A54)+COUNTIFS('MATCH CALCS'!$AT$3:$AT1000,("=Sc"),'MATCH CALCS'!$D$3:$D1000, $A54))/(COUNTIFS('MATCH CALCS'!$AK$3:$AK1000,("=Dc"),'MATCH CALCS'!$D$3:$D1000, $A54)+COUNTIFS('MATCH CALCS'!$AK$3:$AK1000,("=Sc"),'MATCH CALCS'!$D$3:$D1000, $A54)),(COUNTIFS('MATCH CALCS'!$AT$3:$AT1000,("=Dc"),'MATCH CALCS'!$D$3:$D1000, $A54,'MATCH CALCS'!$A$3:$A1000,$A$1)+COUNTIFS('MATCH CALCS'!$AT$3:$AT1000,("=Sc"),'MATCH CALCS'!$D$3:$D1000, $A54,'MATCH CALCS'!$A$3:$A1000,$A$1))/(COUNTIFS('MATCH CALCS'!$AK$3:$AK1000,("=Dc"),'MATCH CALCS'!$D$3:$D1000, $A54,'MATCH CALCS'!$A$3:$A1000,$A$1)+COUNTIFS('MATCH CALCS'!$AK$3:$AK1000,("=Sc"),'MATCH CALCS'!$D$3:$D1000, $A54,'MATCH CALCS'!$A$3:$A1000,$A$1))),"-")</f>
        <v>0.66666666666666663</v>
      </c>
      <c r="AC54" s="25">
        <f ca="1">IFERROR(IF($A$1="All",COUNTIFS('MATCH CALCS'!$AT$3:$AT1000,("=Dc"),'MATCH CALCS'!$D$3:$D1000, $A54)+COUNTIFS('MATCH CALCS'!$AT$3:$AT1000,("=Sc"),'MATCH CALCS'!$D$3:$D1000, $A54),COUNTIFS('MATCH CALCS'!$AT$3:$AT1000,("=Dc"),'MATCH CALCS'!$D$3:$D1000, $A54,'MATCH CALCS'!$A$3:$A1000, $A$1)+COUNTIFS('MATCH CALCS'!$AT$3:$AT1000,("=Sc"),'MATCH CALCS'!$D$3:$D1000, $A54,'MATCH CALCS'!$A$3:$A1000, $A$1)),"-")</f>
        <v>2</v>
      </c>
    </row>
    <row r="55" spans="1:29" ht="12.75">
      <c r="A55" s="30"/>
      <c r="B55" s="6"/>
      <c r="C55" s="30"/>
      <c r="D55" s="15"/>
      <c r="E55" s="118"/>
      <c r="F55" s="111"/>
      <c r="G55" s="119"/>
      <c r="H55" s="119"/>
      <c r="I55" s="119"/>
      <c r="J55" s="119"/>
      <c r="K55" s="119"/>
      <c r="L55" s="120"/>
      <c r="M55" s="119"/>
      <c r="N55" s="119"/>
      <c r="O55" s="121"/>
      <c r="P55" s="118"/>
      <c r="Q55" s="118"/>
      <c r="R55" s="122"/>
      <c r="S55" s="118"/>
      <c r="T55" s="119"/>
      <c r="U55" s="123"/>
      <c r="V55" s="119"/>
      <c r="W55" s="119"/>
      <c r="X55" s="123"/>
      <c r="Y55" s="124"/>
      <c r="Z55" s="124"/>
      <c r="AA55" s="125"/>
      <c r="AB55" s="9"/>
      <c r="AC55" s="25"/>
    </row>
    <row r="56" spans="1:29" ht="12.75">
      <c r="A56" s="30"/>
      <c r="B56" s="6"/>
      <c r="C56" s="30"/>
      <c r="D56" s="15"/>
      <c r="E56" s="118"/>
      <c r="F56" s="111"/>
      <c r="G56" s="119"/>
      <c r="H56" s="119"/>
      <c r="I56" s="119"/>
      <c r="J56" s="119"/>
      <c r="K56" s="119"/>
      <c r="L56" s="120"/>
      <c r="M56" s="119"/>
      <c r="N56" s="119"/>
      <c r="O56" s="121"/>
      <c r="P56" s="118"/>
      <c r="Q56" s="118"/>
      <c r="R56" s="122"/>
      <c r="S56" s="118"/>
      <c r="T56" s="119"/>
      <c r="U56" s="123"/>
      <c r="V56" s="119"/>
      <c r="W56" s="119"/>
      <c r="X56" s="123"/>
      <c r="Y56" s="124"/>
      <c r="Z56" s="124"/>
      <c r="AA56" s="125"/>
      <c r="AB56" s="9"/>
      <c r="AC56" s="25"/>
    </row>
    <row r="57" spans="1:29" ht="12.75">
      <c r="A57" s="30"/>
      <c r="B57" s="6"/>
      <c r="C57" s="30"/>
      <c r="D57" s="15"/>
      <c r="E57" s="118"/>
      <c r="F57" s="111"/>
      <c r="G57" s="119"/>
      <c r="H57" s="119"/>
      <c r="I57" s="119"/>
      <c r="J57" s="119"/>
      <c r="K57" s="119"/>
      <c r="L57" s="120"/>
      <c r="M57" s="119"/>
      <c r="N57" s="119"/>
      <c r="O57" s="121"/>
      <c r="P57" s="118"/>
      <c r="Q57" s="118"/>
      <c r="R57" s="122"/>
      <c r="S57" s="118"/>
      <c r="T57" s="119"/>
      <c r="U57" s="123"/>
      <c r="V57" s="119"/>
      <c r="W57" s="119"/>
      <c r="X57" s="123"/>
      <c r="Y57" s="124"/>
      <c r="Z57" s="124"/>
      <c r="AA57" s="125"/>
      <c r="AB57" s="9"/>
      <c r="AC57" s="25"/>
    </row>
    <row r="58" spans="1:29" ht="12.75">
      <c r="A58" s="30"/>
      <c r="B58" s="6"/>
      <c r="C58" s="30"/>
      <c r="D58" s="15"/>
      <c r="E58" s="118"/>
      <c r="F58" s="111"/>
      <c r="G58" s="119"/>
      <c r="H58" s="119"/>
      <c r="I58" s="119"/>
      <c r="J58" s="119"/>
      <c r="K58" s="119"/>
      <c r="L58" s="120"/>
      <c r="M58" s="119"/>
      <c r="N58" s="119"/>
      <c r="O58" s="121"/>
      <c r="P58" s="118"/>
      <c r="Q58" s="118"/>
      <c r="R58" s="122"/>
      <c r="S58" s="118"/>
      <c r="T58" s="119"/>
      <c r="U58" s="123"/>
      <c r="V58" s="119"/>
      <c r="W58" s="119"/>
      <c r="X58" s="123"/>
      <c r="Y58" s="124"/>
      <c r="Z58" s="124"/>
      <c r="AA58" s="125"/>
      <c r="AB58" s="9"/>
      <c r="AC58" s="25"/>
    </row>
    <row r="59" spans="1:29" ht="12.75">
      <c r="A59" s="30"/>
      <c r="B59" s="6"/>
      <c r="C59" s="30"/>
      <c r="D59" s="15"/>
      <c r="F59" s="26"/>
      <c r="G59" s="80"/>
      <c r="H59" s="80"/>
      <c r="I59" s="80"/>
      <c r="J59" s="80"/>
      <c r="K59" s="80"/>
      <c r="O59" s="25"/>
      <c r="P59" s="26"/>
      <c r="AA59" s="26"/>
      <c r="AC59" s="25"/>
    </row>
    <row r="60" spans="1:29" ht="12.75">
      <c r="A60" s="30"/>
      <c r="B60" s="6"/>
      <c r="C60" s="30"/>
      <c r="D60" s="15"/>
      <c r="F60" s="26"/>
      <c r="G60" s="80"/>
      <c r="H60" s="80"/>
      <c r="I60" s="80"/>
      <c r="J60" s="80"/>
      <c r="K60" s="80"/>
      <c r="O60" s="25"/>
      <c r="P60" s="26"/>
      <c r="AA60" s="26"/>
      <c r="AC60" s="25"/>
    </row>
    <row r="61" spans="1:29" ht="12.75">
      <c r="A61" s="30"/>
      <c r="B61" s="6"/>
      <c r="C61" s="30"/>
      <c r="D61" s="15"/>
      <c r="F61" s="26"/>
      <c r="G61" s="80"/>
      <c r="H61" s="80"/>
      <c r="I61" s="80"/>
      <c r="J61" s="80"/>
      <c r="K61" s="80"/>
      <c r="O61" s="25"/>
      <c r="P61" s="26"/>
      <c r="AA61" s="26"/>
      <c r="AC61" s="25"/>
    </row>
    <row r="62" spans="1:29" ht="12.75">
      <c r="A62" s="30"/>
      <c r="B62" s="6"/>
      <c r="C62" s="30"/>
      <c r="D62" s="15"/>
      <c r="F62" s="26"/>
      <c r="G62" s="80"/>
      <c r="H62" s="80"/>
      <c r="I62" s="80"/>
      <c r="J62" s="80"/>
      <c r="K62" s="80"/>
      <c r="O62" s="25"/>
      <c r="P62" s="26"/>
      <c r="AA62" s="26"/>
      <c r="AC62" s="25"/>
    </row>
    <row r="63" spans="1:29" ht="12.75">
      <c r="A63" s="30"/>
      <c r="B63" s="6"/>
      <c r="C63" s="30"/>
      <c r="D63" s="15"/>
      <c r="F63" s="26"/>
      <c r="G63" s="80"/>
      <c r="H63" s="80"/>
      <c r="I63" s="80"/>
      <c r="J63" s="80"/>
      <c r="K63" s="80"/>
      <c r="O63" s="25"/>
      <c r="P63" s="26"/>
      <c r="AA63" s="26"/>
      <c r="AC63" s="25"/>
    </row>
    <row r="64" spans="1:29" ht="12.75">
      <c r="A64" s="30"/>
      <c r="B64" s="6"/>
      <c r="C64" s="30"/>
      <c r="D64" s="15"/>
      <c r="F64" s="26"/>
      <c r="G64" s="80"/>
      <c r="H64" s="80"/>
      <c r="I64" s="80"/>
      <c r="J64" s="80"/>
      <c r="K64" s="80"/>
      <c r="O64" s="25"/>
      <c r="P64" s="26"/>
      <c r="AA64" s="26"/>
      <c r="AC64" s="25"/>
    </row>
    <row r="65" spans="1:29" ht="12.75">
      <c r="A65" s="30"/>
      <c r="B65" s="6"/>
      <c r="C65" s="30"/>
      <c r="D65" s="15"/>
      <c r="F65" s="26"/>
      <c r="G65" s="80"/>
      <c r="H65" s="80"/>
      <c r="I65" s="80"/>
      <c r="J65" s="80"/>
      <c r="K65" s="80"/>
      <c r="O65" s="25"/>
      <c r="P65" s="26"/>
      <c r="AA65" s="26"/>
      <c r="AC65" s="25"/>
    </row>
    <row r="66" spans="1:29" ht="12.75">
      <c r="A66" s="30"/>
      <c r="B66" s="6"/>
      <c r="C66" s="30"/>
      <c r="D66" s="15"/>
      <c r="F66" s="26"/>
      <c r="G66" s="80"/>
      <c r="H66" s="80"/>
      <c r="I66" s="80"/>
      <c r="J66" s="80"/>
      <c r="K66" s="80"/>
      <c r="O66" s="25"/>
      <c r="P66" s="26"/>
      <c r="AA66" s="26"/>
      <c r="AC66" s="25"/>
    </row>
    <row r="67" spans="1:29" ht="12.75">
      <c r="A67" s="30"/>
      <c r="B67" s="6"/>
      <c r="C67" s="30"/>
      <c r="D67" s="15"/>
      <c r="F67" s="26"/>
      <c r="G67" s="80"/>
      <c r="H67" s="80"/>
      <c r="I67" s="80"/>
      <c r="J67" s="80"/>
      <c r="K67" s="80"/>
      <c r="O67" s="25"/>
      <c r="P67" s="26"/>
      <c r="AA67" s="26"/>
      <c r="AC67" s="25"/>
    </row>
    <row r="68" spans="1:29" ht="12.75">
      <c r="A68" s="30"/>
      <c r="B68" s="6"/>
      <c r="C68" s="30"/>
      <c r="D68" s="15"/>
      <c r="F68" s="26"/>
      <c r="G68" s="80"/>
      <c r="H68" s="80"/>
      <c r="I68" s="80"/>
      <c r="J68" s="80"/>
      <c r="K68" s="80"/>
      <c r="O68" s="25"/>
      <c r="P68" s="26"/>
      <c r="AA68" s="26"/>
      <c r="AC68" s="25"/>
    </row>
    <row r="69" spans="1:29" ht="12.75">
      <c r="A69" s="30"/>
      <c r="B69" s="6"/>
      <c r="C69" s="30"/>
      <c r="D69" s="15"/>
      <c r="F69" s="26"/>
      <c r="G69" s="80"/>
      <c r="H69" s="80"/>
      <c r="I69" s="80"/>
      <c r="J69" s="80"/>
      <c r="K69" s="80"/>
      <c r="O69" s="25"/>
      <c r="P69" s="26"/>
      <c r="AA69" s="26"/>
      <c r="AC69" s="25"/>
    </row>
    <row r="70" spans="1:29" ht="12.75">
      <c r="A70" s="30"/>
      <c r="B70" s="6"/>
      <c r="C70" s="30"/>
      <c r="D70" s="15"/>
      <c r="F70" s="26"/>
      <c r="G70" s="80"/>
      <c r="H70" s="80"/>
      <c r="I70" s="80"/>
      <c r="J70" s="80"/>
      <c r="K70" s="80"/>
      <c r="O70" s="25"/>
      <c r="P70" s="26"/>
      <c r="AA70" s="26"/>
      <c r="AC70" s="25"/>
    </row>
    <row r="71" spans="1:29" ht="12.75">
      <c r="A71" s="30"/>
      <c r="B71" s="6"/>
      <c r="C71" s="30"/>
      <c r="D71" s="15"/>
      <c r="F71" s="26"/>
      <c r="G71" s="80"/>
      <c r="H71" s="80"/>
      <c r="I71" s="80"/>
      <c r="J71" s="80"/>
      <c r="K71" s="80"/>
      <c r="O71" s="25"/>
      <c r="P71" s="26"/>
      <c r="AA71" s="26"/>
      <c r="AC71" s="25"/>
    </row>
    <row r="72" spans="1:29" ht="12.75">
      <c r="A72" s="30"/>
      <c r="B72" s="6"/>
      <c r="C72" s="30"/>
      <c r="D72" s="15"/>
      <c r="F72" s="26"/>
      <c r="G72" s="80"/>
      <c r="H72" s="80"/>
      <c r="I72" s="80"/>
      <c r="J72" s="80"/>
      <c r="K72" s="80"/>
      <c r="O72" s="25"/>
      <c r="P72" s="26"/>
      <c r="AA72" s="26"/>
      <c r="AC72" s="25"/>
    </row>
    <row r="73" spans="1:29" ht="12.75">
      <c r="A73" s="30"/>
      <c r="B73" s="6"/>
      <c r="C73" s="30"/>
      <c r="D73" s="15"/>
      <c r="F73" s="26"/>
      <c r="G73" s="80"/>
      <c r="H73" s="80"/>
      <c r="I73" s="80"/>
      <c r="J73" s="80"/>
      <c r="K73" s="80"/>
      <c r="O73" s="25"/>
      <c r="P73" s="26"/>
      <c r="AA73" s="26"/>
      <c r="AC73" s="25"/>
    </row>
    <row r="74" spans="1:29" ht="12.75">
      <c r="A74" s="30"/>
      <c r="B74" s="6"/>
      <c r="C74" s="30"/>
      <c r="D74" s="15"/>
      <c r="F74" s="26"/>
      <c r="G74" s="80"/>
      <c r="H74" s="80"/>
      <c r="I74" s="80"/>
      <c r="J74" s="80"/>
      <c r="K74" s="80"/>
      <c r="O74" s="25"/>
      <c r="P74" s="26"/>
      <c r="AA74" s="26"/>
      <c r="AC74" s="25"/>
    </row>
    <row r="75" spans="1:29" ht="12.75">
      <c r="A75" s="30"/>
      <c r="B75" s="6"/>
      <c r="C75" s="30"/>
      <c r="D75" s="15"/>
      <c r="F75" s="26"/>
      <c r="G75" s="80"/>
      <c r="H75" s="80"/>
      <c r="I75" s="80"/>
      <c r="J75" s="80"/>
      <c r="K75" s="80"/>
      <c r="O75" s="25"/>
      <c r="P75" s="26"/>
      <c r="AA75" s="26"/>
      <c r="AC75" s="25"/>
    </row>
    <row r="76" spans="1:29" ht="12.75">
      <c r="A76" s="30"/>
      <c r="B76" s="6"/>
      <c r="C76" s="30"/>
      <c r="D76" s="15"/>
      <c r="F76" s="26"/>
      <c r="G76" s="80"/>
      <c r="H76" s="80"/>
      <c r="I76" s="80"/>
      <c r="J76" s="80"/>
      <c r="K76" s="80"/>
      <c r="O76" s="25"/>
      <c r="P76" s="26"/>
      <c r="AA76" s="26"/>
      <c r="AC76" s="25"/>
    </row>
    <row r="77" spans="1:29" ht="12.75">
      <c r="A77" s="30"/>
      <c r="B77" s="6"/>
      <c r="C77" s="30"/>
      <c r="D77" s="15"/>
      <c r="F77" s="26"/>
      <c r="G77" s="80"/>
      <c r="H77" s="80"/>
      <c r="I77" s="80"/>
      <c r="J77" s="80"/>
      <c r="K77" s="80"/>
      <c r="O77" s="25"/>
      <c r="P77" s="26"/>
      <c r="AA77" s="26"/>
      <c r="AC77" s="25"/>
    </row>
    <row r="78" spans="1:29" ht="12.75">
      <c r="A78" s="30"/>
      <c r="B78" s="6"/>
      <c r="C78" s="30"/>
      <c r="D78" s="15"/>
      <c r="F78" s="26"/>
      <c r="G78" s="80"/>
      <c r="H78" s="80"/>
      <c r="I78" s="80"/>
      <c r="J78" s="80"/>
      <c r="K78" s="80"/>
      <c r="O78" s="25"/>
      <c r="P78" s="26"/>
      <c r="AA78" s="26"/>
      <c r="AC78" s="25"/>
    </row>
    <row r="79" spans="1:29" ht="12.75">
      <c r="A79" s="30"/>
      <c r="B79" s="6"/>
      <c r="C79" s="30"/>
      <c r="D79" s="15"/>
      <c r="F79" s="26"/>
      <c r="G79" s="80"/>
      <c r="H79" s="80"/>
      <c r="I79" s="80"/>
      <c r="J79" s="80"/>
      <c r="K79" s="80"/>
      <c r="O79" s="25"/>
      <c r="P79" s="26"/>
      <c r="AA79" s="26"/>
      <c r="AC79" s="25"/>
    </row>
    <row r="80" spans="1:29" ht="12.75">
      <c r="A80" s="30"/>
      <c r="B80" s="6"/>
      <c r="C80" s="30"/>
      <c r="D80" s="15"/>
      <c r="F80" s="26"/>
      <c r="G80" s="80"/>
      <c r="H80" s="80"/>
      <c r="I80" s="80"/>
      <c r="J80" s="80"/>
      <c r="K80" s="80"/>
      <c r="O80" s="25"/>
      <c r="P80" s="26"/>
      <c r="AA80" s="26"/>
      <c r="AC80" s="25"/>
    </row>
    <row r="81" spans="1:29" ht="12.75">
      <c r="A81" s="30"/>
      <c r="B81" s="6"/>
      <c r="C81" s="30"/>
      <c r="D81" s="15"/>
      <c r="F81" s="26"/>
      <c r="G81" s="80"/>
      <c r="H81" s="80"/>
      <c r="I81" s="80"/>
      <c r="J81" s="80"/>
      <c r="K81" s="80"/>
      <c r="O81" s="25"/>
      <c r="P81" s="26"/>
      <c r="AA81" s="26"/>
      <c r="AC81" s="25"/>
    </row>
    <row r="82" spans="1:29" ht="12.75">
      <c r="A82" s="30"/>
      <c r="B82" s="6"/>
      <c r="C82" s="30"/>
      <c r="D82" s="15"/>
      <c r="F82" s="26"/>
      <c r="G82" s="80"/>
      <c r="H82" s="80"/>
      <c r="I82" s="80"/>
      <c r="J82" s="80"/>
      <c r="K82" s="80"/>
      <c r="O82" s="25"/>
      <c r="P82" s="26"/>
      <c r="AA82" s="26"/>
      <c r="AC82" s="25"/>
    </row>
    <row r="83" spans="1:29" ht="12.75">
      <c r="A83" s="30"/>
      <c r="B83" s="6"/>
      <c r="C83" s="30"/>
      <c r="D83" s="15"/>
      <c r="F83" s="26"/>
      <c r="G83" s="80"/>
      <c r="H83" s="80"/>
      <c r="I83" s="80"/>
      <c r="J83" s="80"/>
      <c r="K83" s="80"/>
      <c r="O83" s="25"/>
      <c r="P83" s="26"/>
      <c r="AA83" s="26"/>
      <c r="AC83" s="25"/>
    </row>
    <row r="84" spans="1:29" ht="12.75">
      <c r="A84" s="30"/>
      <c r="B84" s="6"/>
      <c r="C84" s="30"/>
      <c r="D84" s="15"/>
      <c r="F84" s="26"/>
      <c r="G84" s="80"/>
      <c r="H84" s="80"/>
      <c r="I84" s="80"/>
      <c r="J84" s="80"/>
      <c r="K84" s="80"/>
      <c r="O84" s="25"/>
      <c r="P84" s="26"/>
      <c r="AA84" s="26"/>
      <c r="AC84" s="25"/>
    </row>
    <row r="85" spans="1:29" ht="12.75">
      <c r="A85" s="30"/>
      <c r="B85" s="6"/>
      <c r="C85" s="30"/>
      <c r="D85" s="15"/>
      <c r="F85" s="26"/>
      <c r="G85" s="80"/>
      <c r="H85" s="80"/>
      <c r="I85" s="80"/>
      <c r="J85" s="80"/>
      <c r="K85" s="80"/>
      <c r="O85" s="25"/>
      <c r="P85" s="26"/>
      <c r="AA85" s="26"/>
      <c r="AC85" s="25"/>
    </row>
    <row r="86" spans="1:29" ht="12.75">
      <c r="A86" s="30"/>
      <c r="B86" s="6"/>
      <c r="C86" s="30"/>
      <c r="D86" s="15"/>
      <c r="F86" s="26"/>
      <c r="G86" s="80"/>
      <c r="H86" s="80"/>
      <c r="I86" s="80"/>
      <c r="J86" s="80"/>
      <c r="K86" s="80"/>
      <c r="O86" s="25"/>
      <c r="P86" s="26"/>
      <c r="AA86" s="26"/>
      <c r="AC86" s="25"/>
    </row>
    <row r="87" spans="1:29" ht="12.75">
      <c r="A87" s="30"/>
      <c r="B87" s="6"/>
      <c r="C87" s="30"/>
      <c r="D87" s="15"/>
      <c r="F87" s="26"/>
      <c r="G87" s="80"/>
      <c r="H87" s="80"/>
      <c r="I87" s="80"/>
      <c r="J87" s="80"/>
      <c r="K87" s="80"/>
      <c r="O87" s="25"/>
      <c r="P87" s="26"/>
      <c r="AA87" s="26"/>
      <c r="AC87" s="25"/>
    </row>
    <row r="88" spans="1:29" ht="12.75">
      <c r="A88" s="30"/>
      <c r="B88" s="6"/>
      <c r="C88" s="30"/>
      <c r="D88" s="15"/>
      <c r="F88" s="26"/>
      <c r="G88" s="80"/>
      <c r="H88" s="80"/>
      <c r="I88" s="80"/>
      <c r="J88" s="80"/>
      <c r="K88" s="80"/>
      <c r="O88" s="25"/>
      <c r="P88" s="26"/>
      <c r="AA88" s="26"/>
      <c r="AC88" s="25"/>
    </row>
    <row r="89" spans="1:29" ht="12.75">
      <c r="A89" s="30"/>
      <c r="B89" s="6"/>
      <c r="C89" s="30"/>
      <c r="D89" s="15"/>
      <c r="F89" s="26"/>
      <c r="G89" s="80"/>
      <c r="H89" s="80"/>
      <c r="I89" s="80"/>
      <c r="J89" s="80"/>
      <c r="K89" s="80"/>
      <c r="O89" s="25"/>
      <c r="P89" s="26"/>
      <c r="AA89" s="26"/>
      <c r="AC89" s="25"/>
    </row>
    <row r="90" spans="1:29" ht="12.75">
      <c r="A90" s="30"/>
      <c r="B90" s="6"/>
      <c r="C90" s="30"/>
      <c r="D90" s="15"/>
      <c r="F90" s="26"/>
      <c r="G90" s="80"/>
      <c r="H90" s="80"/>
      <c r="I90" s="80"/>
      <c r="J90" s="80"/>
      <c r="K90" s="80"/>
      <c r="O90" s="25"/>
      <c r="P90" s="26"/>
      <c r="AA90" s="26"/>
      <c r="AC90" s="25"/>
    </row>
    <row r="91" spans="1:29" ht="12.75">
      <c r="A91" s="30"/>
      <c r="B91" s="6"/>
      <c r="C91" s="30"/>
      <c r="D91" s="15"/>
      <c r="F91" s="26"/>
      <c r="G91" s="80"/>
      <c r="H91" s="80"/>
      <c r="I91" s="80"/>
      <c r="J91" s="80"/>
      <c r="K91" s="80"/>
      <c r="O91" s="25"/>
      <c r="P91" s="26"/>
      <c r="AA91" s="26"/>
      <c r="AC91" s="25"/>
    </row>
    <row r="92" spans="1:29" ht="12.75">
      <c r="A92" s="30"/>
      <c r="B92" s="6"/>
      <c r="C92" s="30"/>
      <c r="D92" s="15"/>
      <c r="F92" s="26"/>
      <c r="G92" s="80"/>
      <c r="H92" s="80"/>
      <c r="I92" s="80"/>
      <c r="J92" s="80"/>
      <c r="K92" s="80"/>
      <c r="O92" s="25"/>
      <c r="P92" s="26"/>
      <c r="AA92" s="26"/>
      <c r="AC92" s="25"/>
    </row>
    <row r="93" spans="1:29" ht="12.75">
      <c r="A93" s="30"/>
      <c r="B93" s="6"/>
      <c r="C93" s="30"/>
      <c r="D93" s="15"/>
      <c r="F93" s="26"/>
      <c r="G93" s="80"/>
      <c r="H93" s="80"/>
      <c r="I93" s="80"/>
      <c r="J93" s="80"/>
      <c r="K93" s="80"/>
      <c r="O93" s="25"/>
      <c r="P93" s="26"/>
      <c r="AA93" s="26"/>
      <c r="AC93" s="25"/>
    </row>
    <row r="94" spans="1:29" ht="12.75">
      <c r="A94" s="30"/>
      <c r="B94" s="6"/>
      <c r="C94" s="30"/>
      <c r="D94" s="15"/>
      <c r="F94" s="26"/>
      <c r="G94" s="80"/>
      <c r="H94" s="80"/>
      <c r="I94" s="80"/>
      <c r="J94" s="80"/>
      <c r="K94" s="80"/>
      <c r="O94" s="25"/>
      <c r="P94" s="26"/>
      <c r="AA94" s="26"/>
      <c r="AC94" s="25"/>
    </row>
    <row r="95" spans="1:29" ht="12.75">
      <c r="A95" s="30"/>
      <c r="B95" s="6"/>
      <c r="C95" s="30"/>
      <c r="D95" s="15"/>
      <c r="F95" s="26"/>
      <c r="G95" s="80"/>
      <c r="H95" s="80"/>
      <c r="I95" s="80"/>
      <c r="J95" s="80"/>
      <c r="K95" s="80"/>
      <c r="O95" s="25"/>
      <c r="P95" s="26"/>
      <c r="AA95" s="26"/>
      <c r="AC95" s="25"/>
    </row>
    <row r="96" spans="1:29" ht="12.75">
      <c r="A96" s="30"/>
      <c r="B96" s="6"/>
      <c r="C96" s="30"/>
      <c r="D96" s="15"/>
      <c r="F96" s="26"/>
      <c r="G96" s="80"/>
      <c r="H96" s="80"/>
      <c r="I96" s="80"/>
      <c r="J96" s="80"/>
      <c r="K96" s="80"/>
      <c r="O96" s="25"/>
      <c r="P96" s="26"/>
      <c r="AA96" s="26"/>
      <c r="AC96" s="25"/>
    </row>
    <row r="97" spans="1:29" ht="12.75">
      <c r="A97" s="30"/>
      <c r="B97" s="6"/>
      <c r="C97" s="30"/>
      <c r="D97" s="15"/>
      <c r="F97" s="26"/>
      <c r="G97" s="80"/>
      <c r="H97" s="80"/>
      <c r="I97" s="80"/>
      <c r="J97" s="80"/>
      <c r="K97" s="80"/>
      <c r="O97" s="25"/>
      <c r="P97" s="26"/>
      <c r="AA97" s="26"/>
      <c r="AC97" s="25"/>
    </row>
    <row r="98" spans="1:29" ht="12.75">
      <c r="A98" s="30"/>
      <c r="B98" s="6"/>
      <c r="C98" s="30"/>
      <c r="D98" s="15"/>
      <c r="F98" s="26"/>
      <c r="G98" s="80"/>
      <c r="H98" s="80"/>
      <c r="I98" s="80"/>
      <c r="J98" s="80"/>
      <c r="K98" s="80"/>
      <c r="O98" s="25"/>
      <c r="P98" s="26"/>
      <c r="AA98" s="26"/>
      <c r="AC98" s="25"/>
    </row>
    <row r="99" spans="1:29" ht="12.75">
      <c r="A99" s="30"/>
      <c r="B99" s="6"/>
      <c r="C99" s="30"/>
      <c r="D99" s="15"/>
      <c r="F99" s="26"/>
      <c r="G99" s="80"/>
      <c r="H99" s="80"/>
      <c r="I99" s="80"/>
      <c r="J99" s="80"/>
      <c r="K99" s="80"/>
      <c r="O99" s="25"/>
      <c r="P99" s="26"/>
      <c r="AA99" s="26"/>
      <c r="AC99" s="25"/>
    </row>
    <row r="100" spans="1:29" ht="12.75">
      <c r="A100" s="30"/>
      <c r="B100" s="6"/>
      <c r="C100" s="30"/>
      <c r="D100" s="15"/>
      <c r="F100" s="26"/>
      <c r="G100" s="80"/>
      <c r="H100" s="80"/>
      <c r="I100" s="80"/>
      <c r="J100" s="80"/>
      <c r="K100" s="80"/>
      <c r="O100" s="25"/>
      <c r="P100" s="26"/>
      <c r="AA100" s="26"/>
      <c r="AC100" s="25"/>
    </row>
    <row r="101" spans="1:29" ht="12.75">
      <c r="A101" s="30"/>
      <c r="B101" s="6"/>
      <c r="C101" s="30"/>
      <c r="D101" s="15"/>
      <c r="F101" s="26"/>
      <c r="G101" s="80"/>
      <c r="H101" s="80"/>
      <c r="I101" s="80"/>
      <c r="J101" s="80"/>
      <c r="K101" s="80"/>
      <c r="O101" s="25"/>
      <c r="P101" s="26"/>
      <c r="AA101" s="26"/>
      <c r="AC101" s="25"/>
    </row>
    <row r="102" spans="1:29" ht="12.75">
      <c r="A102" s="30"/>
      <c r="B102" s="6"/>
      <c r="C102" s="30"/>
      <c r="D102" s="15"/>
      <c r="F102" s="26"/>
      <c r="G102" s="80"/>
      <c r="H102" s="80"/>
      <c r="I102" s="80"/>
      <c r="J102" s="80"/>
      <c r="K102" s="80"/>
      <c r="O102" s="25"/>
      <c r="P102" s="26"/>
      <c r="AA102" s="26"/>
      <c r="AC102" s="25"/>
    </row>
    <row r="103" spans="1:29" ht="12.75">
      <c r="A103" s="30"/>
      <c r="B103" s="6"/>
      <c r="C103" s="30"/>
      <c r="D103" s="15"/>
      <c r="F103" s="26"/>
      <c r="G103" s="80"/>
      <c r="H103" s="80"/>
      <c r="I103" s="80"/>
      <c r="J103" s="80"/>
      <c r="K103" s="80"/>
      <c r="O103" s="25"/>
      <c r="P103" s="26"/>
      <c r="AA103" s="26"/>
      <c r="AC103" s="25"/>
    </row>
    <row r="104" spans="1:29" ht="12.75">
      <c r="A104" s="30"/>
      <c r="B104" s="6"/>
      <c r="C104" s="30"/>
      <c r="D104" s="15"/>
      <c r="F104" s="26"/>
      <c r="G104" s="80"/>
      <c r="H104" s="80"/>
      <c r="I104" s="80"/>
      <c r="J104" s="80"/>
      <c r="K104" s="80"/>
      <c r="O104" s="25"/>
      <c r="P104" s="26"/>
      <c r="AA104" s="26"/>
      <c r="AC104" s="25"/>
    </row>
    <row r="105" spans="1:29" ht="12.75">
      <c r="A105" s="30"/>
      <c r="B105" s="6"/>
      <c r="C105" s="30"/>
      <c r="D105" s="15"/>
      <c r="F105" s="26"/>
      <c r="G105" s="80"/>
      <c r="H105" s="80"/>
      <c r="I105" s="80"/>
      <c r="J105" s="80"/>
      <c r="K105" s="80"/>
      <c r="O105" s="25"/>
      <c r="P105" s="26"/>
      <c r="AA105" s="26"/>
      <c r="AC105" s="25"/>
    </row>
    <row r="106" spans="1:29" ht="12.75">
      <c r="A106" s="30"/>
      <c r="B106" s="6"/>
      <c r="C106" s="30"/>
      <c r="D106" s="15"/>
      <c r="F106" s="26"/>
      <c r="G106" s="80"/>
      <c r="H106" s="80"/>
      <c r="I106" s="80"/>
      <c r="J106" s="80"/>
      <c r="K106" s="80"/>
      <c r="O106" s="25"/>
      <c r="P106" s="26"/>
      <c r="AA106" s="26"/>
      <c r="AC106" s="25"/>
    </row>
    <row r="107" spans="1:29" ht="12.75">
      <c r="A107" s="30"/>
      <c r="B107" s="6"/>
      <c r="C107" s="30"/>
      <c r="D107" s="15"/>
      <c r="F107" s="26"/>
      <c r="G107" s="80"/>
      <c r="H107" s="80"/>
      <c r="I107" s="80"/>
      <c r="J107" s="80"/>
      <c r="K107" s="80"/>
      <c r="O107" s="25"/>
      <c r="P107" s="26"/>
      <c r="AA107" s="26"/>
      <c r="AC107" s="25"/>
    </row>
    <row r="108" spans="1:29" ht="12.75">
      <c r="A108" s="30"/>
      <c r="B108" s="6"/>
      <c r="C108" s="30"/>
      <c r="D108" s="15"/>
      <c r="F108" s="26"/>
      <c r="G108" s="80"/>
      <c r="H108" s="80"/>
      <c r="I108" s="80"/>
      <c r="J108" s="80"/>
      <c r="K108" s="80"/>
      <c r="O108" s="25"/>
      <c r="P108" s="26"/>
      <c r="AA108" s="26"/>
      <c r="AC108" s="25"/>
    </row>
    <row r="109" spans="1:29" ht="12.75">
      <c r="A109" s="30"/>
      <c r="B109" s="6"/>
      <c r="C109" s="30"/>
      <c r="D109" s="15"/>
      <c r="F109" s="26"/>
      <c r="G109" s="80"/>
      <c r="H109" s="80"/>
      <c r="I109" s="80"/>
      <c r="J109" s="80"/>
      <c r="K109" s="80"/>
      <c r="O109" s="25"/>
      <c r="P109" s="26"/>
      <c r="AA109" s="26"/>
      <c r="AC109" s="25"/>
    </row>
    <row r="110" spans="1:29" ht="12.75">
      <c r="A110" s="30"/>
      <c r="B110" s="6"/>
      <c r="C110" s="30"/>
      <c r="D110" s="15"/>
      <c r="F110" s="26"/>
      <c r="G110" s="80"/>
      <c r="H110" s="80"/>
      <c r="I110" s="80"/>
      <c r="J110" s="80"/>
      <c r="K110" s="80"/>
      <c r="O110" s="25"/>
      <c r="P110" s="26"/>
      <c r="AA110" s="26"/>
      <c r="AC110" s="25"/>
    </row>
    <row r="111" spans="1:29" ht="12.75">
      <c r="A111" s="30"/>
      <c r="B111" s="6"/>
      <c r="C111" s="30"/>
      <c r="D111" s="15"/>
      <c r="F111" s="26"/>
      <c r="G111" s="80"/>
      <c r="H111" s="80"/>
      <c r="I111" s="80"/>
      <c r="J111" s="80"/>
      <c r="K111" s="80"/>
      <c r="O111" s="25"/>
      <c r="P111" s="26"/>
      <c r="AA111" s="26"/>
      <c r="AC111" s="25"/>
    </row>
    <row r="112" spans="1:29" ht="12.75">
      <c r="A112" s="30"/>
      <c r="B112" s="6"/>
      <c r="C112" s="30"/>
      <c r="D112" s="15"/>
      <c r="F112" s="26"/>
      <c r="G112" s="80"/>
      <c r="H112" s="80"/>
      <c r="I112" s="80"/>
      <c r="J112" s="80"/>
      <c r="K112" s="80"/>
      <c r="O112" s="25"/>
      <c r="P112" s="26"/>
      <c r="AA112" s="26"/>
      <c r="AC112" s="25"/>
    </row>
    <row r="113" spans="1:29" ht="12.75">
      <c r="A113" s="30"/>
      <c r="B113" s="6"/>
      <c r="C113" s="30"/>
      <c r="D113" s="15"/>
      <c r="F113" s="26"/>
      <c r="G113" s="80"/>
      <c r="H113" s="80"/>
      <c r="I113" s="80"/>
      <c r="J113" s="80"/>
      <c r="K113" s="80"/>
      <c r="O113" s="25"/>
      <c r="P113" s="26"/>
      <c r="AA113" s="26"/>
      <c r="AC113" s="25"/>
    </row>
    <row r="114" spans="1:29" ht="12.75">
      <c r="A114" s="30"/>
      <c r="B114" s="6"/>
      <c r="C114" s="30"/>
      <c r="D114" s="15"/>
      <c r="F114" s="26"/>
      <c r="G114" s="80"/>
      <c r="H114" s="80"/>
      <c r="I114" s="80"/>
      <c r="J114" s="80"/>
      <c r="K114" s="80"/>
      <c r="O114" s="25"/>
      <c r="P114" s="26"/>
      <c r="AA114" s="26"/>
      <c r="AC114" s="25"/>
    </row>
    <row r="115" spans="1:29" ht="12.75">
      <c r="A115" s="30"/>
      <c r="B115" s="6"/>
      <c r="C115" s="30"/>
      <c r="D115" s="15"/>
      <c r="F115" s="26"/>
      <c r="G115" s="80"/>
      <c r="H115" s="80"/>
      <c r="I115" s="80"/>
      <c r="J115" s="80"/>
      <c r="K115" s="80"/>
      <c r="O115" s="25"/>
      <c r="P115" s="26"/>
      <c r="AA115" s="26"/>
      <c r="AC115" s="25"/>
    </row>
    <row r="116" spans="1:29" ht="12.75">
      <c r="A116" s="30"/>
      <c r="B116" s="6"/>
      <c r="C116" s="30"/>
      <c r="D116" s="15"/>
      <c r="F116" s="26"/>
      <c r="G116" s="80"/>
      <c r="H116" s="80"/>
      <c r="I116" s="80"/>
      <c r="J116" s="80"/>
      <c r="K116" s="80"/>
      <c r="O116" s="25"/>
      <c r="P116" s="26"/>
      <c r="AA116" s="26"/>
      <c r="AC116" s="25"/>
    </row>
    <row r="117" spans="1:29" ht="12.75">
      <c r="A117" s="30"/>
      <c r="B117" s="6"/>
      <c r="C117" s="30"/>
      <c r="D117" s="15"/>
      <c r="F117" s="26"/>
      <c r="G117" s="80"/>
      <c r="H117" s="80"/>
      <c r="I117" s="80"/>
      <c r="J117" s="80"/>
      <c r="K117" s="80"/>
      <c r="O117" s="25"/>
      <c r="P117" s="26"/>
      <c r="AA117" s="26"/>
      <c r="AC117" s="25"/>
    </row>
    <row r="118" spans="1:29" ht="12.75">
      <c r="A118" s="30"/>
      <c r="B118" s="6"/>
      <c r="C118" s="30"/>
      <c r="D118" s="15"/>
      <c r="F118" s="26"/>
      <c r="G118" s="80"/>
      <c r="H118" s="80"/>
      <c r="I118" s="80"/>
      <c r="J118" s="80"/>
      <c r="K118" s="80"/>
      <c r="O118" s="25"/>
      <c r="P118" s="26"/>
      <c r="AA118" s="26"/>
      <c r="AC118" s="25"/>
    </row>
    <row r="119" spans="1:29" ht="12.75">
      <c r="A119" s="30"/>
      <c r="B119" s="6"/>
      <c r="C119" s="30"/>
      <c r="D119" s="15"/>
      <c r="F119" s="26"/>
      <c r="G119" s="80"/>
      <c r="H119" s="80"/>
      <c r="I119" s="80"/>
      <c r="J119" s="80"/>
      <c r="K119" s="80"/>
      <c r="O119" s="25"/>
      <c r="P119" s="26"/>
      <c r="AA119" s="26"/>
      <c r="AC119" s="25"/>
    </row>
    <row r="120" spans="1:29" ht="12.75">
      <c r="A120" s="30"/>
      <c r="B120" s="6"/>
      <c r="C120" s="30"/>
      <c r="D120" s="15"/>
      <c r="F120" s="26"/>
      <c r="G120" s="80"/>
      <c r="H120" s="80"/>
      <c r="I120" s="80"/>
      <c r="J120" s="80"/>
      <c r="K120" s="80"/>
      <c r="O120" s="25"/>
      <c r="P120" s="26"/>
      <c r="AA120" s="26"/>
      <c r="AC120" s="25"/>
    </row>
    <row r="121" spans="1:29" ht="12.75">
      <c r="A121" s="30"/>
      <c r="B121" s="6"/>
      <c r="C121" s="30"/>
      <c r="D121" s="15"/>
      <c r="F121" s="26"/>
      <c r="G121" s="80"/>
      <c r="H121" s="80"/>
      <c r="I121" s="80"/>
      <c r="J121" s="80"/>
      <c r="K121" s="80"/>
      <c r="O121" s="25"/>
      <c r="P121" s="26"/>
      <c r="AA121" s="26"/>
      <c r="AC121" s="25"/>
    </row>
    <row r="122" spans="1:29" ht="12.75">
      <c r="A122" s="30"/>
      <c r="B122" s="6"/>
      <c r="C122" s="30"/>
      <c r="D122" s="15"/>
      <c r="F122" s="26"/>
      <c r="G122" s="80"/>
      <c r="H122" s="80"/>
      <c r="I122" s="80"/>
      <c r="J122" s="80"/>
      <c r="K122" s="80"/>
      <c r="O122" s="25"/>
      <c r="P122" s="26"/>
      <c r="AA122" s="26"/>
      <c r="AC122" s="25"/>
    </row>
    <row r="123" spans="1:29" ht="12.75">
      <c r="A123" s="30"/>
      <c r="B123" s="6"/>
      <c r="C123" s="30"/>
      <c r="D123" s="15"/>
      <c r="F123" s="26"/>
      <c r="G123" s="80"/>
      <c r="H123" s="80"/>
      <c r="I123" s="80"/>
      <c r="J123" s="80"/>
      <c r="K123" s="80"/>
      <c r="O123" s="25"/>
      <c r="P123" s="26"/>
      <c r="AA123" s="26"/>
      <c r="AC123" s="25"/>
    </row>
    <row r="124" spans="1:29" ht="12.75">
      <c r="A124" s="30"/>
      <c r="B124" s="6"/>
      <c r="C124" s="30"/>
      <c r="D124" s="15"/>
      <c r="F124" s="26"/>
      <c r="G124" s="80"/>
      <c r="H124" s="80"/>
      <c r="I124" s="80"/>
      <c r="J124" s="80"/>
      <c r="K124" s="80"/>
      <c r="O124" s="25"/>
      <c r="P124" s="26"/>
      <c r="AA124" s="26"/>
      <c r="AC124" s="25"/>
    </row>
    <row r="125" spans="1:29" ht="12.75">
      <c r="A125" s="30"/>
      <c r="B125" s="6"/>
      <c r="C125" s="30"/>
      <c r="D125" s="15"/>
      <c r="F125" s="26"/>
      <c r="G125" s="80"/>
      <c r="H125" s="80"/>
      <c r="I125" s="80"/>
      <c r="J125" s="80"/>
      <c r="K125" s="80"/>
      <c r="O125" s="25"/>
      <c r="P125" s="26"/>
      <c r="AA125" s="26"/>
      <c r="AC125" s="25"/>
    </row>
    <row r="126" spans="1:29" ht="12.75">
      <c r="A126" s="30"/>
      <c r="B126" s="6"/>
      <c r="C126" s="30"/>
      <c r="D126" s="15"/>
      <c r="F126" s="26"/>
      <c r="G126" s="80"/>
      <c r="H126" s="80"/>
      <c r="I126" s="80"/>
      <c r="J126" s="80"/>
      <c r="K126" s="80"/>
      <c r="O126" s="25"/>
      <c r="P126" s="26"/>
      <c r="AA126" s="26"/>
      <c r="AC126" s="25"/>
    </row>
    <row r="127" spans="1:29" ht="12.75">
      <c r="A127" s="30"/>
      <c r="B127" s="6"/>
      <c r="C127" s="30"/>
      <c r="D127" s="15"/>
      <c r="F127" s="26"/>
      <c r="G127" s="80"/>
      <c r="H127" s="80"/>
      <c r="I127" s="80"/>
      <c r="J127" s="80"/>
      <c r="K127" s="80"/>
      <c r="O127" s="25"/>
      <c r="P127" s="26"/>
      <c r="AA127" s="26"/>
      <c r="AC127" s="25"/>
    </row>
    <row r="128" spans="1:29" ht="12.75">
      <c r="A128" s="30"/>
      <c r="B128" s="6"/>
      <c r="C128" s="30"/>
      <c r="D128" s="15"/>
      <c r="F128" s="26"/>
      <c r="G128" s="80"/>
      <c r="H128" s="80"/>
      <c r="I128" s="80"/>
      <c r="J128" s="80"/>
      <c r="K128" s="80"/>
      <c r="O128" s="25"/>
      <c r="P128" s="26"/>
      <c r="AA128" s="26"/>
      <c r="AC128" s="25"/>
    </row>
    <row r="129" spans="1:29" ht="12.75">
      <c r="A129" s="30"/>
      <c r="B129" s="6"/>
      <c r="C129" s="30"/>
      <c r="D129" s="15"/>
      <c r="F129" s="26"/>
      <c r="G129" s="80"/>
      <c r="H129" s="80"/>
      <c r="I129" s="80"/>
      <c r="J129" s="80"/>
      <c r="K129" s="80"/>
      <c r="O129" s="25"/>
      <c r="P129" s="26"/>
      <c r="AA129" s="26"/>
      <c r="AC129" s="25"/>
    </row>
    <row r="130" spans="1:29" ht="12.75">
      <c r="A130" s="30"/>
      <c r="B130" s="6"/>
      <c r="C130" s="30"/>
      <c r="D130" s="15"/>
      <c r="F130" s="26"/>
      <c r="G130" s="80"/>
      <c r="H130" s="80"/>
      <c r="I130" s="80"/>
      <c r="J130" s="80"/>
      <c r="K130" s="80"/>
      <c r="O130" s="25"/>
      <c r="P130" s="26"/>
      <c r="AA130" s="26"/>
      <c r="AC130" s="25"/>
    </row>
    <row r="131" spans="1:29" ht="12.75">
      <c r="A131" s="30"/>
      <c r="B131" s="6"/>
      <c r="C131" s="30"/>
      <c r="D131" s="15"/>
      <c r="F131" s="26"/>
      <c r="G131" s="80"/>
      <c r="H131" s="80"/>
      <c r="I131" s="80"/>
      <c r="J131" s="80"/>
      <c r="K131" s="80"/>
      <c r="O131" s="25"/>
      <c r="P131" s="26"/>
      <c r="AA131" s="26"/>
      <c r="AC131" s="25"/>
    </row>
    <row r="132" spans="1:29" ht="12.75">
      <c r="A132" s="30"/>
      <c r="B132" s="6"/>
      <c r="C132" s="30"/>
      <c r="D132" s="15"/>
      <c r="F132" s="26"/>
      <c r="G132" s="80"/>
      <c r="H132" s="80"/>
      <c r="I132" s="80"/>
      <c r="J132" s="80"/>
      <c r="K132" s="80"/>
      <c r="O132" s="25"/>
      <c r="P132" s="26"/>
      <c r="AA132" s="26"/>
      <c r="AC132" s="25"/>
    </row>
    <row r="133" spans="1:29" ht="12.75">
      <c r="A133" s="30"/>
      <c r="B133" s="6"/>
      <c r="C133" s="30"/>
      <c r="D133" s="15"/>
      <c r="F133" s="26"/>
      <c r="G133" s="80"/>
      <c r="H133" s="80"/>
      <c r="I133" s="80"/>
      <c r="J133" s="80"/>
      <c r="K133" s="80"/>
      <c r="O133" s="25"/>
      <c r="P133" s="26"/>
      <c r="AA133" s="26"/>
      <c r="AC133" s="25"/>
    </row>
    <row r="134" spans="1:29" ht="12.75">
      <c r="A134" s="30"/>
      <c r="B134" s="6"/>
      <c r="C134" s="30"/>
      <c r="D134" s="15"/>
      <c r="F134" s="26"/>
      <c r="G134" s="80"/>
      <c r="H134" s="80"/>
      <c r="I134" s="80"/>
      <c r="J134" s="80"/>
      <c r="K134" s="80"/>
      <c r="O134" s="25"/>
      <c r="P134" s="26"/>
      <c r="AA134" s="26"/>
      <c r="AC134" s="25"/>
    </row>
    <row r="135" spans="1:29" ht="12.75">
      <c r="A135" s="30"/>
      <c r="B135" s="6"/>
      <c r="C135" s="30"/>
      <c r="D135" s="15"/>
      <c r="F135" s="26"/>
      <c r="G135" s="80"/>
      <c r="H135" s="80"/>
      <c r="I135" s="80"/>
      <c r="J135" s="80"/>
      <c r="K135" s="80"/>
      <c r="O135" s="25"/>
      <c r="P135" s="26"/>
      <c r="AA135" s="26"/>
      <c r="AC135" s="25"/>
    </row>
    <row r="136" spans="1:29" ht="12.75">
      <c r="A136" s="30"/>
      <c r="B136" s="6"/>
      <c r="C136" s="30"/>
      <c r="D136" s="15"/>
      <c r="F136" s="26"/>
      <c r="G136" s="80"/>
      <c r="H136" s="80"/>
      <c r="I136" s="80"/>
      <c r="J136" s="80"/>
      <c r="K136" s="80"/>
      <c r="O136" s="25"/>
      <c r="P136" s="26"/>
      <c r="AA136" s="26"/>
      <c r="AC136" s="25"/>
    </row>
    <row r="137" spans="1:29" ht="12.75">
      <c r="A137" s="30"/>
      <c r="B137" s="6"/>
      <c r="C137" s="30"/>
      <c r="D137" s="15"/>
      <c r="F137" s="26"/>
      <c r="G137" s="80"/>
      <c r="H137" s="80"/>
      <c r="I137" s="80"/>
      <c r="J137" s="80"/>
      <c r="K137" s="80"/>
      <c r="O137" s="25"/>
      <c r="P137" s="26"/>
      <c r="AA137" s="26"/>
      <c r="AC137" s="25"/>
    </row>
    <row r="138" spans="1:29" ht="12.75">
      <c r="A138" s="30"/>
      <c r="B138" s="6"/>
      <c r="C138" s="30"/>
      <c r="D138" s="15"/>
      <c r="F138" s="26"/>
      <c r="G138" s="80"/>
      <c r="H138" s="80"/>
      <c r="I138" s="80"/>
      <c r="J138" s="80"/>
      <c r="K138" s="80"/>
      <c r="O138" s="25"/>
      <c r="P138" s="26"/>
      <c r="AA138" s="26"/>
      <c r="AC138" s="25"/>
    </row>
    <row r="139" spans="1:29" ht="12.75">
      <c r="A139" s="30"/>
      <c r="B139" s="6"/>
      <c r="C139" s="30"/>
      <c r="D139" s="15"/>
      <c r="F139" s="26"/>
      <c r="G139" s="80"/>
      <c r="H139" s="80"/>
      <c r="I139" s="80"/>
      <c r="J139" s="80"/>
      <c r="K139" s="80"/>
      <c r="O139" s="25"/>
      <c r="P139" s="26"/>
      <c r="AA139" s="26"/>
      <c r="AC139" s="25"/>
    </row>
    <row r="140" spans="1:29" ht="12.75">
      <c r="A140" s="30"/>
      <c r="B140" s="6"/>
      <c r="C140" s="30"/>
      <c r="D140" s="15"/>
      <c r="F140" s="26"/>
      <c r="G140" s="80"/>
      <c r="H140" s="80"/>
      <c r="I140" s="80"/>
      <c r="J140" s="80"/>
      <c r="K140" s="80"/>
      <c r="O140" s="25"/>
      <c r="P140" s="26"/>
      <c r="AA140" s="26"/>
      <c r="AC140" s="25"/>
    </row>
    <row r="141" spans="1:29" ht="12.75">
      <c r="A141" s="30"/>
      <c r="B141" s="6"/>
      <c r="C141" s="30"/>
      <c r="D141" s="15"/>
      <c r="F141" s="26"/>
      <c r="G141" s="80"/>
      <c r="H141" s="80"/>
      <c r="I141" s="80"/>
      <c r="J141" s="80"/>
      <c r="K141" s="80"/>
      <c r="O141" s="25"/>
      <c r="P141" s="26"/>
      <c r="AA141" s="26"/>
      <c r="AC141" s="25"/>
    </row>
    <row r="142" spans="1:29" ht="12.75">
      <c r="A142" s="30"/>
      <c r="B142" s="6"/>
      <c r="C142" s="30"/>
      <c r="D142" s="15"/>
      <c r="F142" s="26"/>
      <c r="G142" s="80"/>
      <c r="H142" s="80"/>
      <c r="I142" s="80"/>
      <c r="J142" s="80"/>
      <c r="K142" s="80"/>
      <c r="O142" s="25"/>
      <c r="P142" s="26"/>
      <c r="AA142" s="26"/>
      <c r="AC142" s="25"/>
    </row>
    <row r="143" spans="1:29" ht="12.75">
      <c r="A143" s="30"/>
      <c r="B143" s="6"/>
      <c r="C143" s="30"/>
      <c r="D143" s="15"/>
      <c r="F143" s="26"/>
      <c r="G143" s="80"/>
      <c r="H143" s="80"/>
      <c r="I143" s="80"/>
      <c r="J143" s="80"/>
      <c r="K143" s="80"/>
      <c r="O143" s="25"/>
      <c r="P143" s="26"/>
      <c r="AA143" s="26"/>
      <c r="AC143" s="25"/>
    </row>
    <row r="144" spans="1:29" ht="12.75">
      <c r="A144" s="30"/>
      <c r="B144" s="6"/>
      <c r="C144" s="30"/>
      <c r="D144" s="15"/>
      <c r="F144" s="26"/>
      <c r="G144" s="80"/>
      <c r="H144" s="80"/>
      <c r="I144" s="80"/>
      <c r="J144" s="80"/>
      <c r="K144" s="80"/>
      <c r="O144" s="25"/>
      <c r="P144" s="26"/>
      <c r="AA144" s="26"/>
      <c r="AC144" s="25"/>
    </row>
    <row r="145" spans="1:29" ht="12.75">
      <c r="A145" s="30"/>
      <c r="B145" s="6"/>
      <c r="C145" s="30"/>
      <c r="D145" s="15"/>
      <c r="F145" s="26"/>
      <c r="G145" s="80"/>
      <c r="H145" s="80"/>
      <c r="I145" s="80"/>
      <c r="J145" s="80"/>
      <c r="K145" s="80"/>
      <c r="O145" s="25"/>
      <c r="P145" s="26"/>
      <c r="AA145" s="26"/>
      <c r="AC145" s="25"/>
    </row>
    <row r="146" spans="1:29" ht="12.75">
      <c r="A146" s="30"/>
      <c r="B146" s="6"/>
      <c r="C146" s="30"/>
      <c r="D146" s="15"/>
      <c r="F146" s="26"/>
      <c r="G146" s="80"/>
      <c r="H146" s="80"/>
      <c r="I146" s="80"/>
      <c r="J146" s="80"/>
      <c r="K146" s="80"/>
      <c r="O146" s="25"/>
      <c r="P146" s="26"/>
      <c r="AA146" s="26"/>
      <c r="AC146" s="25"/>
    </row>
    <row r="147" spans="1:29" ht="12.75">
      <c r="A147" s="30"/>
      <c r="B147" s="6"/>
      <c r="C147" s="30"/>
      <c r="D147" s="15"/>
      <c r="F147" s="26"/>
      <c r="G147" s="80"/>
      <c r="H147" s="80"/>
      <c r="I147" s="80"/>
      <c r="J147" s="80"/>
      <c r="K147" s="80"/>
      <c r="O147" s="25"/>
      <c r="P147" s="26"/>
      <c r="AA147" s="26"/>
      <c r="AC147" s="25"/>
    </row>
    <row r="148" spans="1:29" ht="12.75">
      <c r="A148" s="30"/>
      <c r="B148" s="6"/>
      <c r="C148" s="30"/>
      <c r="D148" s="15"/>
      <c r="F148" s="26"/>
      <c r="G148" s="80"/>
      <c r="H148" s="80"/>
      <c r="I148" s="80"/>
      <c r="J148" s="80"/>
      <c r="K148" s="80"/>
      <c r="O148" s="25"/>
      <c r="P148" s="26"/>
      <c r="AA148" s="26"/>
      <c r="AC148" s="25"/>
    </row>
    <row r="149" spans="1:29" ht="12.75">
      <c r="A149" s="30"/>
      <c r="B149" s="6"/>
      <c r="C149" s="30"/>
      <c r="D149" s="15"/>
      <c r="F149" s="26"/>
      <c r="G149" s="80"/>
      <c r="H149" s="80"/>
      <c r="I149" s="80"/>
      <c r="J149" s="80"/>
      <c r="K149" s="80"/>
      <c r="O149" s="25"/>
      <c r="P149" s="26"/>
      <c r="AA149" s="26"/>
      <c r="AC149" s="25"/>
    </row>
    <row r="150" spans="1:29" ht="12.75">
      <c r="A150" s="30"/>
      <c r="B150" s="6"/>
      <c r="C150" s="30"/>
      <c r="D150" s="15"/>
      <c r="F150" s="26"/>
      <c r="G150" s="80"/>
      <c r="H150" s="80"/>
      <c r="I150" s="80"/>
      <c r="J150" s="80"/>
      <c r="K150" s="80"/>
      <c r="O150" s="25"/>
      <c r="P150" s="26"/>
      <c r="AA150" s="26"/>
      <c r="AC150" s="25"/>
    </row>
    <row r="151" spans="1:29" ht="12.75">
      <c r="A151" s="30"/>
      <c r="B151" s="6"/>
      <c r="C151" s="30"/>
      <c r="D151" s="15"/>
      <c r="F151" s="26"/>
      <c r="G151" s="80"/>
      <c r="H151" s="80"/>
      <c r="I151" s="80"/>
      <c r="J151" s="80"/>
      <c r="K151" s="80"/>
      <c r="O151" s="25"/>
      <c r="P151" s="26"/>
      <c r="AA151" s="26"/>
      <c r="AC151" s="25"/>
    </row>
    <row r="152" spans="1:29" ht="12.75">
      <c r="A152" s="30"/>
      <c r="B152" s="6"/>
      <c r="C152" s="30"/>
      <c r="D152" s="15"/>
      <c r="F152" s="26"/>
      <c r="G152" s="80"/>
      <c r="H152" s="80"/>
      <c r="I152" s="80"/>
      <c r="J152" s="80"/>
      <c r="K152" s="80"/>
      <c r="O152" s="25"/>
      <c r="P152" s="26"/>
      <c r="AA152" s="26"/>
      <c r="AC152" s="25"/>
    </row>
    <row r="153" spans="1:29" ht="12.75">
      <c r="A153" s="30"/>
      <c r="B153" s="6"/>
      <c r="C153" s="30"/>
      <c r="D153" s="15"/>
      <c r="F153" s="26"/>
      <c r="G153" s="80"/>
      <c r="H153" s="80"/>
      <c r="I153" s="80"/>
      <c r="J153" s="80"/>
      <c r="K153" s="80"/>
      <c r="O153" s="25"/>
      <c r="P153" s="26"/>
      <c r="AA153" s="26"/>
      <c r="AC153" s="25"/>
    </row>
    <row r="154" spans="1:29" ht="12.75">
      <c r="A154" s="30"/>
      <c r="B154" s="6"/>
      <c r="C154" s="30"/>
      <c r="D154" s="15"/>
      <c r="F154" s="26"/>
      <c r="G154" s="80"/>
      <c r="H154" s="80"/>
      <c r="I154" s="80"/>
      <c r="J154" s="80"/>
      <c r="K154" s="80"/>
      <c r="O154" s="25"/>
      <c r="P154" s="26"/>
      <c r="AA154" s="26"/>
      <c r="AC154" s="25"/>
    </row>
    <row r="155" spans="1:29" ht="12.75">
      <c r="A155" s="30"/>
      <c r="B155" s="6"/>
      <c r="C155" s="30"/>
      <c r="D155" s="15"/>
      <c r="F155" s="26"/>
      <c r="G155" s="80"/>
      <c r="H155" s="80"/>
      <c r="I155" s="80"/>
      <c r="J155" s="80"/>
      <c r="K155" s="80"/>
      <c r="O155" s="25"/>
      <c r="P155" s="26"/>
      <c r="AA155" s="26"/>
      <c r="AC155" s="25"/>
    </row>
    <row r="156" spans="1:29" ht="12.75">
      <c r="A156" s="30"/>
      <c r="B156" s="6"/>
      <c r="C156" s="30"/>
      <c r="D156" s="15"/>
      <c r="F156" s="26"/>
      <c r="G156" s="80"/>
      <c r="H156" s="80"/>
      <c r="I156" s="80"/>
      <c r="J156" s="80"/>
      <c r="K156" s="80"/>
      <c r="O156" s="25"/>
      <c r="P156" s="26"/>
      <c r="AA156" s="26"/>
      <c r="AC156" s="25"/>
    </row>
    <row r="157" spans="1:29" ht="12.75">
      <c r="A157" s="30"/>
      <c r="B157" s="6"/>
      <c r="C157" s="30"/>
      <c r="D157" s="15"/>
      <c r="F157" s="26"/>
      <c r="G157" s="80"/>
      <c r="H157" s="80"/>
      <c r="I157" s="80"/>
      <c r="J157" s="80"/>
      <c r="K157" s="80"/>
      <c r="O157" s="25"/>
      <c r="P157" s="26"/>
      <c r="AA157" s="26"/>
      <c r="AC157" s="25"/>
    </row>
    <row r="158" spans="1:29" ht="12.75">
      <c r="A158" s="30"/>
      <c r="B158" s="6"/>
      <c r="C158" s="30"/>
      <c r="D158" s="15"/>
      <c r="F158" s="26"/>
      <c r="G158" s="80"/>
      <c r="H158" s="80"/>
      <c r="I158" s="80"/>
      <c r="J158" s="80"/>
      <c r="K158" s="80"/>
      <c r="O158" s="25"/>
      <c r="P158" s="26"/>
      <c r="AA158" s="26"/>
      <c r="AC158" s="25"/>
    </row>
    <row r="159" spans="1:29" ht="12.75">
      <c r="A159" s="30"/>
      <c r="B159" s="6"/>
      <c r="C159" s="30"/>
      <c r="D159" s="15"/>
      <c r="F159" s="26"/>
      <c r="G159" s="80"/>
      <c r="H159" s="80"/>
      <c r="I159" s="80"/>
      <c r="J159" s="80"/>
      <c r="K159" s="80"/>
      <c r="O159" s="25"/>
      <c r="P159" s="26"/>
      <c r="AA159" s="26"/>
      <c r="AC159" s="25"/>
    </row>
    <row r="160" spans="1:29" ht="12.75">
      <c r="A160" s="30"/>
      <c r="B160" s="6"/>
      <c r="C160" s="30"/>
      <c r="D160" s="15"/>
      <c r="F160" s="26"/>
      <c r="G160" s="80"/>
      <c r="H160" s="80"/>
      <c r="I160" s="80"/>
      <c r="J160" s="80"/>
      <c r="K160" s="80"/>
      <c r="O160" s="25"/>
      <c r="P160" s="26"/>
      <c r="AA160" s="26"/>
      <c r="AC160" s="25"/>
    </row>
    <row r="161" spans="1:29" ht="12.75">
      <c r="A161" s="30"/>
      <c r="B161" s="6"/>
      <c r="C161" s="30"/>
      <c r="D161" s="15"/>
      <c r="F161" s="26"/>
      <c r="G161" s="80"/>
      <c r="H161" s="80"/>
      <c r="I161" s="80"/>
      <c r="J161" s="80"/>
      <c r="K161" s="80"/>
      <c r="O161" s="25"/>
      <c r="P161" s="26"/>
      <c r="AA161" s="26"/>
      <c r="AC161" s="25"/>
    </row>
    <row r="162" spans="1:29" ht="12.75">
      <c r="A162" s="30"/>
      <c r="B162" s="6"/>
      <c r="C162" s="30"/>
      <c r="D162" s="15"/>
      <c r="F162" s="26"/>
      <c r="G162" s="80"/>
      <c r="H162" s="80"/>
      <c r="I162" s="80"/>
      <c r="J162" s="80"/>
      <c r="K162" s="80"/>
      <c r="O162" s="25"/>
      <c r="P162" s="26"/>
      <c r="AA162" s="26"/>
      <c r="AC162" s="25"/>
    </row>
    <row r="163" spans="1:29" ht="12.75">
      <c r="A163" s="30"/>
      <c r="B163" s="6"/>
      <c r="C163" s="30"/>
      <c r="D163" s="15"/>
      <c r="F163" s="26"/>
      <c r="G163" s="80"/>
      <c r="H163" s="80"/>
      <c r="I163" s="80"/>
      <c r="J163" s="80"/>
      <c r="K163" s="80"/>
      <c r="O163" s="25"/>
      <c r="P163" s="26"/>
      <c r="AA163" s="26"/>
      <c r="AC163" s="25"/>
    </row>
    <row r="164" spans="1:29" ht="12.75">
      <c r="A164" s="30"/>
      <c r="B164" s="6"/>
      <c r="C164" s="30"/>
      <c r="D164" s="15"/>
      <c r="F164" s="26"/>
      <c r="G164" s="80"/>
      <c r="H164" s="80"/>
      <c r="I164" s="80"/>
      <c r="J164" s="80"/>
      <c r="K164" s="80"/>
      <c r="O164" s="25"/>
      <c r="P164" s="26"/>
      <c r="AA164" s="26"/>
      <c r="AC164" s="25"/>
    </row>
    <row r="165" spans="1:29" ht="12.75">
      <c r="A165" s="30"/>
      <c r="B165" s="6"/>
      <c r="C165" s="30"/>
      <c r="D165" s="15"/>
      <c r="F165" s="26"/>
      <c r="G165" s="80"/>
      <c r="H165" s="80"/>
      <c r="I165" s="80"/>
      <c r="J165" s="80"/>
      <c r="K165" s="80"/>
      <c r="O165" s="25"/>
      <c r="P165" s="26"/>
      <c r="AA165" s="26"/>
      <c r="AC165" s="25"/>
    </row>
    <row r="166" spans="1:29" ht="12.75">
      <c r="A166" s="30"/>
      <c r="B166" s="6"/>
      <c r="C166" s="30"/>
      <c r="D166" s="15"/>
      <c r="F166" s="26"/>
      <c r="G166" s="80"/>
      <c r="H166" s="80"/>
      <c r="I166" s="80"/>
      <c r="J166" s="80"/>
      <c r="K166" s="80"/>
      <c r="O166" s="25"/>
      <c r="P166" s="26"/>
      <c r="AA166" s="26"/>
      <c r="AC166" s="25"/>
    </row>
    <row r="167" spans="1:29" ht="12.75">
      <c r="A167" s="30"/>
      <c r="B167" s="6"/>
      <c r="C167" s="30"/>
      <c r="D167" s="15"/>
      <c r="F167" s="26"/>
      <c r="G167" s="80"/>
      <c r="H167" s="80"/>
      <c r="I167" s="80"/>
      <c r="J167" s="80"/>
      <c r="K167" s="80"/>
      <c r="O167" s="25"/>
      <c r="P167" s="26"/>
      <c r="AA167" s="26"/>
      <c r="AC167" s="25"/>
    </row>
    <row r="168" spans="1:29" ht="12.75">
      <c r="A168" s="30"/>
      <c r="B168" s="6"/>
      <c r="C168" s="30"/>
      <c r="D168" s="15"/>
      <c r="F168" s="26"/>
      <c r="G168" s="80"/>
      <c r="H168" s="80"/>
      <c r="I168" s="80"/>
      <c r="J168" s="80"/>
      <c r="K168" s="80"/>
      <c r="O168" s="25"/>
      <c r="P168" s="26"/>
      <c r="AA168" s="26"/>
      <c r="AC168" s="25"/>
    </row>
    <row r="169" spans="1:29" ht="12.75">
      <c r="A169" s="30"/>
      <c r="B169" s="6"/>
      <c r="C169" s="30"/>
      <c r="D169" s="15"/>
      <c r="F169" s="26"/>
      <c r="G169" s="80"/>
      <c r="H169" s="80"/>
      <c r="I169" s="80"/>
      <c r="J169" s="80"/>
      <c r="K169" s="80"/>
      <c r="O169" s="25"/>
      <c r="P169" s="26"/>
      <c r="AA169" s="26"/>
      <c r="AC169" s="25"/>
    </row>
    <row r="170" spans="1:29" ht="12.75">
      <c r="A170" s="30"/>
      <c r="B170" s="6"/>
      <c r="C170" s="30"/>
      <c r="D170" s="15"/>
      <c r="F170" s="26"/>
      <c r="G170" s="80"/>
      <c r="H170" s="80"/>
      <c r="I170" s="80"/>
      <c r="J170" s="80"/>
      <c r="K170" s="80"/>
      <c r="O170" s="25"/>
      <c r="P170" s="26"/>
      <c r="AA170" s="26"/>
      <c r="AC170" s="25"/>
    </row>
    <row r="171" spans="1:29" ht="12.75">
      <c r="A171" s="30"/>
      <c r="B171" s="6"/>
      <c r="C171" s="30"/>
      <c r="D171" s="15"/>
      <c r="F171" s="26"/>
      <c r="G171" s="80"/>
      <c r="H171" s="80"/>
      <c r="I171" s="80"/>
      <c r="J171" s="80"/>
      <c r="K171" s="80"/>
      <c r="O171" s="25"/>
      <c r="P171" s="26"/>
      <c r="AA171" s="26"/>
      <c r="AC171" s="25"/>
    </row>
    <row r="172" spans="1:29" ht="12.75">
      <c r="A172" s="30"/>
      <c r="B172" s="6"/>
      <c r="C172" s="30"/>
      <c r="D172" s="15"/>
      <c r="F172" s="26"/>
      <c r="G172" s="80"/>
      <c r="H172" s="80"/>
      <c r="I172" s="80"/>
      <c r="J172" s="80"/>
      <c r="K172" s="80"/>
      <c r="O172" s="25"/>
      <c r="P172" s="26"/>
      <c r="AA172" s="26"/>
      <c r="AC172" s="25"/>
    </row>
    <row r="173" spans="1:29" ht="12.75">
      <c r="A173" s="30"/>
      <c r="B173" s="6"/>
      <c r="C173" s="30"/>
      <c r="D173" s="15"/>
      <c r="F173" s="26"/>
      <c r="G173" s="80"/>
      <c r="H173" s="80"/>
      <c r="I173" s="80"/>
      <c r="J173" s="80"/>
      <c r="K173" s="80"/>
      <c r="O173" s="25"/>
      <c r="P173" s="26"/>
      <c r="AA173" s="26"/>
      <c r="AC173" s="25"/>
    </row>
    <row r="174" spans="1:29" ht="12.75">
      <c r="A174" s="30"/>
      <c r="B174" s="6"/>
      <c r="C174" s="30"/>
      <c r="D174" s="15"/>
      <c r="F174" s="26"/>
      <c r="G174" s="80"/>
      <c r="H174" s="80"/>
      <c r="I174" s="80"/>
      <c r="J174" s="80"/>
      <c r="K174" s="80"/>
      <c r="O174" s="25"/>
      <c r="P174" s="26"/>
      <c r="AA174" s="26"/>
      <c r="AC174" s="25"/>
    </row>
    <row r="175" spans="1:29" ht="12.75">
      <c r="A175" s="30"/>
      <c r="B175" s="6"/>
      <c r="C175" s="30"/>
      <c r="D175" s="15"/>
      <c r="F175" s="26"/>
      <c r="G175" s="80"/>
      <c r="H175" s="80"/>
      <c r="I175" s="80"/>
      <c r="J175" s="80"/>
      <c r="K175" s="80"/>
      <c r="O175" s="25"/>
      <c r="P175" s="26"/>
      <c r="AA175" s="26"/>
      <c r="AC175" s="25"/>
    </row>
    <row r="176" spans="1:29" ht="12.75">
      <c r="A176" s="30"/>
      <c r="B176" s="6"/>
      <c r="C176" s="30"/>
      <c r="D176" s="15"/>
      <c r="F176" s="26"/>
      <c r="G176" s="80"/>
      <c r="H176" s="80"/>
      <c r="I176" s="80"/>
      <c r="J176" s="80"/>
      <c r="K176" s="80"/>
      <c r="O176" s="25"/>
      <c r="P176" s="26"/>
      <c r="AA176" s="26"/>
      <c r="AC176" s="25"/>
    </row>
    <row r="177" spans="1:29" ht="12.75">
      <c r="A177" s="30"/>
      <c r="B177" s="6"/>
      <c r="C177" s="30"/>
      <c r="D177" s="15"/>
      <c r="F177" s="26"/>
      <c r="G177" s="80"/>
      <c r="H177" s="80"/>
      <c r="I177" s="80"/>
      <c r="J177" s="80"/>
      <c r="K177" s="80"/>
      <c r="O177" s="25"/>
      <c r="P177" s="26"/>
      <c r="AA177" s="26"/>
      <c r="AC177" s="25"/>
    </row>
    <row r="178" spans="1:29" ht="12.75">
      <c r="A178" s="30"/>
      <c r="B178" s="6"/>
      <c r="C178" s="30"/>
      <c r="D178" s="15"/>
      <c r="F178" s="26"/>
      <c r="G178" s="80"/>
      <c r="H178" s="80"/>
      <c r="I178" s="80"/>
      <c r="J178" s="80"/>
      <c r="K178" s="80"/>
      <c r="O178" s="25"/>
      <c r="P178" s="26"/>
      <c r="AA178" s="26"/>
      <c r="AC178" s="25"/>
    </row>
    <row r="179" spans="1:29" ht="12.75">
      <c r="A179" s="30"/>
      <c r="B179" s="6"/>
      <c r="C179" s="30"/>
      <c r="D179" s="15"/>
      <c r="F179" s="26"/>
      <c r="G179" s="80"/>
      <c r="H179" s="80"/>
      <c r="I179" s="80"/>
      <c r="J179" s="80"/>
      <c r="K179" s="80"/>
      <c r="O179" s="25"/>
      <c r="P179" s="26"/>
      <c r="AA179" s="26"/>
      <c r="AC179" s="25"/>
    </row>
    <row r="180" spans="1:29" ht="12.75">
      <c r="A180" s="30"/>
      <c r="B180" s="6"/>
      <c r="C180" s="30"/>
      <c r="D180" s="15"/>
      <c r="F180" s="26"/>
      <c r="G180" s="80"/>
      <c r="H180" s="80"/>
      <c r="I180" s="80"/>
      <c r="J180" s="80"/>
      <c r="K180" s="80"/>
      <c r="O180" s="25"/>
      <c r="P180" s="26"/>
      <c r="AA180" s="26"/>
      <c r="AC180" s="25"/>
    </row>
    <row r="181" spans="1:29" ht="12.75">
      <c r="A181" s="30"/>
      <c r="B181" s="6"/>
      <c r="C181" s="30"/>
      <c r="D181" s="15"/>
      <c r="F181" s="26"/>
      <c r="G181" s="80"/>
      <c r="H181" s="80"/>
      <c r="I181" s="80"/>
      <c r="J181" s="80"/>
      <c r="K181" s="80"/>
      <c r="O181" s="25"/>
      <c r="P181" s="26"/>
      <c r="AA181" s="26"/>
      <c r="AC181" s="25"/>
    </row>
    <row r="182" spans="1:29" ht="12.75">
      <c r="A182" s="30"/>
      <c r="B182" s="6"/>
      <c r="C182" s="30"/>
      <c r="D182" s="15"/>
      <c r="F182" s="26"/>
      <c r="G182" s="80"/>
      <c r="H182" s="80"/>
      <c r="I182" s="80"/>
      <c r="J182" s="80"/>
      <c r="K182" s="80"/>
      <c r="O182" s="25"/>
      <c r="P182" s="26"/>
      <c r="AA182" s="26"/>
      <c r="AC182" s="25"/>
    </row>
    <row r="183" spans="1:29" ht="12.75">
      <c r="A183" s="30"/>
      <c r="B183" s="6"/>
      <c r="C183" s="30"/>
      <c r="D183" s="15"/>
      <c r="F183" s="26"/>
      <c r="G183" s="80"/>
      <c r="H183" s="80"/>
      <c r="I183" s="80"/>
      <c r="J183" s="80"/>
      <c r="K183" s="80"/>
      <c r="O183" s="25"/>
      <c r="P183" s="26"/>
      <c r="AA183" s="26"/>
      <c r="AC183" s="25"/>
    </row>
    <row r="184" spans="1:29" ht="12.75">
      <c r="A184" s="30"/>
      <c r="B184" s="6"/>
      <c r="C184" s="30"/>
      <c r="D184" s="15"/>
      <c r="F184" s="26"/>
      <c r="G184" s="80"/>
      <c r="H184" s="80"/>
      <c r="I184" s="80"/>
      <c r="J184" s="80"/>
      <c r="K184" s="80"/>
      <c r="O184" s="25"/>
      <c r="P184" s="26"/>
      <c r="AA184" s="26"/>
      <c r="AC184" s="25"/>
    </row>
    <row r="185" spans="1:29" ht="12.75">
      <c r="A185" s="30"/>
      <c r="B185" s="6"/>
      <c r="C185" s="30"/>
      <c r="D185" s="15"/>
      <c r="F185" s="26"/>
      <c r="G185" s="80"/>
      <c r="H185" s="80"/>
      <c r="I185" s="80"/>
      <c r="J185" s="80"/>
      <c r="K185" s="80"/>
      <c r="O185" s="25"/>
      <c r="P185" s="26"/>
      <c r="AA185" s="26"/>
      <c r="AC185" s="25"/>
    </row>
    <row r="186" spans="1:29" ht="12.75">
      <c r="A186" s="30"/>
      <c r="B186" s="6"/>
      <c r="C186" s="30"/>
      <c r="D186" s="15"/>
      <c r="F186" s="26"/>
      <c r="G186" s="80"/>
      <c r="H186" s="80"/>
      <c r="I186" s="80"/>
      <c r="J186" s="80"/>
      <c r="K186" s="80"/>
      <c r="O186" s="25"/>
      <c r="P186" s="26"/>
      <c r="AA186" s="26"/>
      <c r="AC186" s="25"/>
    </row>
    <row r="187" spans="1:29" ht="12.75">
      <c r="A187" s="30"/>
      <c r="B187" s="6"/>
      <c r="C187" s="30"/>
      <c r="D187" s="15"/>
      <c r="F187" s="26"/>
      <c r="G187" s="80"/>
      <c r="H187" s="80"/>
      <c r="I187" s="80"/>
      <c r="J187" s="80"/>
      <c r="K187" s="80"/>
      <c r="O187" s="25"/>
      <c r="P187" s="26"/>
      <c r="AA187" s="26"/>
      <c r="AC187" s="25"/>
    </row>
    <row r="188" spans="1:29" ht="12.75">
      <c r="A188" s="30"/>
      <c r="B188" s="6"/>
      <c r="C188" s="30"/>
      <c r="D188" s="15"/>
      <c r="F188" s="26"/>
      <c r="G188" s="80"/>
      <c r="H188" s="80"/>
      <c r="I188" s="80"/>
      <c r="J188" s="80"/>
      <c r="K188" s="80"/>
      <c r="O188" s="25"/>
      <c r="P188" s="26"/>
      <c r="AA188" s="26"/>
      <c r="AC188" s="25"/>
    </row>
    <row r="189" spans="1:29" ht="12.75">
      <c r="A189" s="30"/>
      <c r="B189" s="6"/>
      <c r="C189" s="30"/>
      <c r="D189" s="15"/>
      <c r="F189" s="26"/>
      <c r="G189" s="80"/>
      <c r="H189" s="80"/>
      <c r="I189" s="80"/>
      <c r="J189" s="80"/>
      <c r="K189" s="80"/>
      <c r="O189" s="25"/>
      <c r="P189" s="26"/>
      <c r="AA189" s="26"/>
      <c r="AC189" s="25"/>
    </row>
    <row r="190" spans="1:29" ht="12.75">
      <c r="A190" s="30"/>
      <c r="B190" s="6"/>
      <c r="C190" s="30"/>
      <c r="D190" s="15"/>
      <c r="F190" s="26"/>
      <c r="G190" s="80"/>
      <c r="H190" s="80"/>
      <c r="I190" s="80"/>
      <c r="J190" s="80"/>
      <c r="K190" s="80"/>
      <c r="O190" s="25"/>
      <c r="P190" s="26"/>
      <c r="AA190" s="26"/>
      <c r="AC190" s="25"/>
    </row>
    <row r="191" spans="1:29" ht="12.75">
      <c r="A191" s="30"/>
      <c r="B191" s="6"/>
      <c r="C191" s="30"/>
      <c r="D191" s="15"/>
      <c r="F191" s="26"/>
      <c r="G191" s="80"/>
      <c r="H191" s="80"/>
      <c r="I191" s="80"/>
      <c r="J191" s="80"/>
      <c r="K191" s="80"/>
      <c r="O191" s="25"/>
      <c r="P191" s="26"/>
      <c r="AA191" s="26"/>
      <c r="AC191" s="25"/>
    </row>
    <row r="192" spans="1:29" ht="12.75">
      <c r="A192" s="30"/>
      <c r="B192" s="6"/>
      <c r="C192" s="30"/>
      <c r="D192" s="15"/>
      <c r="F192" s="26"/>
      <c r="G192" s="80"/>
      <c r="H192" s="80"/>
      <c r="I192" s="80"/>
      <c r="J192" s="80"/>
      <c r="K192" s="80"/>
      <c r="O192" s="25"/>
      <c r="P192" s="26"/>
      <c r="AA192" s="26"/>
      <c r="AC192" s="25"/>
    </row>
    <row r="193" spans="1:29" ht="12.75">
      <c r="A193" s="30"/>
      <c r="B193" s="6"/>
      <c r="C193" s="30"/>
      <c r="D193" s="15"/>
      <c r="F193" s="26"/>
      <c r="G193" s="80"/>
      <c r="H193" s="80"/>
      <c r="I193" s="80"/>
      <c r="J193" s="80"/>
      <c r="K193" s="80"/>
      <c r="O193" s="25"/>
      <c r="P193" s="26"/>
      <c r="AA193" s="26"/>
      <c r="AC193" s="25"/>
    </row>
    <row r="194" spans="1:29" ht="12.75">
      <c r="A194" s="30"/>
      <c r="B194" s="6"/>
      <c r="C194" s="30"/>
      <c r="D194" s="15"/>
      <c r="F194" s="26"/>
      <c r="G194" s="80"/>
      <c r="H194" s="80"/>
      <c r="I194" s="80"/>
      <c r="J194" s="80"/>
      <c r="K194" s="80"/>
      <c r="O194" s="25"/>
      <c r="P194" s="26"/>
      <c r="AA194" s="26"/>
      <c r="AC194" s="25"/>
    </row>
    <row r="195" spans="1:29" ht="12.75">
      <c r="A195" s="30"/>
      <c r="B195" s="6"/>
      <c r="C195" s="30"/>
      <c r="D195" s="15"/>
      <c r="F195" s="26"/>
      <c r="G195" s="80"/>
      <c r="H195" s="80"/>
      <c r="I195" s="80"/>
      <c r="J195" s="80"/>
      <c r="K195" s="80"/>
      <c r="O195" s="25"/>
      <c r="P195" s="26"/>
      <c r="AA195" s="26"/>
      <c r="AC195" s="25"/>
    </row>
    <row r="196" spans="1:29" ht="12.75">
      <c r="A196" s="30"/>
      <c r="B196" s="6"/>
      <c r="C196" s="30"/>
      <c r="D196" s="15"/>
      <c r="F196" s="26"/>
      <c r="G196" s="80"/>
      <c r="H196" s="80"/>
      <c r="I196" s="80"/>
      <c r="J196" s="80"/>
      <c r="K196" s="80"/>
      <c r="O196" s="25"/>
      <c r="P196" s="26"/>
      <c r="AA196" s="26"/>
      <c r="AC196" s="25"/>
    </row>
    <row r="197" spans="1:29" ht="12.75">
      <c r="A197" s="30"/>
      <c r="B197" s="6"/>
      <c r="C197" s="30"/>
      <c r="D197" s="15"/>
      <c r="F197" s="26"/>
      <c r="G197" s="80"/>
      <c r="H197" s="80"/>
      <c r="I197" s="80"/>
      <c r="J197" s="80"/>
      <c r="K197" s="80"/>
      <c r="O197" s="25"/>
      <c r="P197" s="26"/>
      <c r="AA197" s="26"/>
      <c r="AC197" s="25"/>
    </row>
    <row r="198" spans="1:29" ht="12.75">
      <c r="A198" s="30"/>
      <c r="B198" s="6"/>
      <c r="C198" s="30"/>
      <c r="D198" s="15"/>
      <c r="F198" s="26"/>
      <c r="G198" s="80"/>
      <c r="H198" s="80"/>
      <c r="I198" s="80"/>
      <c r="J198" s="80"/>
      <c r="K198" s="80"/>
      <c r="O198" s="25"/>
      <c r="P198" s="26"/>
      <c r="AA198" s="26"/>
      <c r="AC198" s="25"/>
    </row>
    <row r="199" spans="1:29" ht="12.75">
      <c r="A199" s="30"/>
      <c r="B199" s="6"/>
      <c r="C199" s="30"/>
      <c r="D199" s="15"/>
      <c r="F199" s="26"/>
      <c r="G199" s="80"/>
      <c r="H199" s="80"/>
      <c r="I199" s="80"/>
      <c r="J199" s="80"/>
      <c r="K199" s="80"/>
      <c r="O199" s="25"/>
      <c r="P199" s="26"/>
      <c r="AA199" s="26"/>
      <c r="AC199" s="25"/>
    </row>
    <row r="200" spans="1:29" ht="12.75">
      <c r="A200" s="30"/>
      <c r="B200" s="6"/>
      <c r="C200" s="30"/>
      <c r="D200" s="15"/>
      <c r="F200" s="26"/>
      <c r="G200" s="80"/>
      <c r="H200" s="80"/>
      <c r="I200" s="80"/>
      <c r="J200" s="80"/>
      <c r="K200" s="80"/>
      <c r="O200" s="25"/>
      <c r="P200" s="26"/>
      <c r="AA200" s="26"/>
      <c r="AC200" s="25"/>
    </row>
    <row r="201" spans="1:29" ht="12.75">
      <c r="A201" s="30"/>
      <c r="B201" s="6"/>
      <c r="C201" s="30"/>
      <c r="D201" s="15"/>
      <c r="F201" s="26"/>
      <c r="G201" s="80"/>
      <c r="H201" s="80"/>
      <c r="I201" s="80"/>
      <c r="J201" s="80"/>
      <c r="K201" s="80"/>
      <c r="O201" s="25"/>
      <c r="P201" s="26"/>
      <c r="AA201" s="26"/>
      <c r="AC201" s="25"/>
    </row>
    <row r="202" spans="1:29" ht="12.75">
      <c r="A202" s="30"/>
      <c r="B202" s="6"/>
      <c r="C202" s="30"/>
      <c r="D202" s="15"/>
      <c r="F202" s="26"/>
      <c r="G202" s="80"/>
      <c r="H202" s="80"/>
      <c r="I202" s="80"/>
      <c r="J202" s="80"/>
      <c r="K202" s="80"/>
      <c r="O202" s="25"/>
      <c r="P202" s="26"/>
      <c r="AA202" s="26"/>
      <c r="AC202" s="25"/>
    </row>
    <row r="203" spans="1:29" ht="12.75">
      <c r="A203" s="30"/>
      <c r="B203" s="6"/>
      <c r="C203" s="30"/>
      <c r="D203" s="15"/>
      <c r="F203" s="26"/>
      <c r="G203" s="80"/>
      <c r="H203" s="80"/>
      <c r="I203" s="80"/>
      <c r="J203" s="80"/>
      <c r="K203" s="80"/>
      <c r="O203" s="25"/>
      <c r="P203" s="26"/>
      <c r="AA203" s="26"/>
      <c r="AC203" s="25"/>
    </row>
    <row r="204" spans="1:29" ht="12.75">
      <c r="A204" s="30"/>
      <c r="B204" s="6"/>
      <c r="C204" s="30"/>
      <c r="D204" s="15"/>
      <c r="F204" s="26"/>
      <c r="G204" s="80"/>
      <c r="H204" s="80"/>
      <c r="I204" s="80"/>
      <c r="J204" s="80"/>
      <c r="K204" s="80"/>
      <c r="O204" s="25"/>
      <c r="P204" s="26"/>
      <c r="AA204" s="26"/>
      <c r="AC204" s="25"/>
    </row>
    <row r="205" spans="1:29" ht="12.75">
      <c r="A205" s="30"/>
      <c r="B205" s="6"/>
      <c r="C205" s="30"/>
      <c r="D205" s="15"/>
      <c r="F205" s="26"/>
      <c r="G205" s="80"/>
      <c r="H205" s="80"/>
      <c r="I205" s="80"/>
      <c r="J205" s="80"/>
      <c r="K205" s="80"/>
      <c r="O205" s="25"/>
      <c r="P205" s="26"/>
      <c r="AA205" s="26"/>
      <c r="AC205" s="25"/>
    </row>
    <row r="206" spans="1:29" ht="12.75">
      <c r="A206" s="30"/>
      <c r="B206" s="6"/>
      <c r="C206" s="30"/>
      <c r="D206" s="15"/>
      <c r="F206" s="26"/>
      <c r="G206" s="80"/>
      <c r="H206" s="80"/>
      <c r="I206" s="80"/>
      <c r="J206" s="80"/>
      <c r="K206" s="80"/>
      <c r="O206" s="25"/>
      <c r="P206" s="26"/>
      <c r="AA206" s="26"/>
      <c r="AC206" s="25"/>
    </row>
    <row r="207" spans="1:29" ht="12.75">
      <c r="A207" s="30"/>
      <c r="B207" s="6"/>
      <c r="C207" s="30"/>
      <c r="D207" s="15"/>
      <c r="F207" s="26"/>
      <c r="G207" s="80"/>
      <c r="H207" s="80"/>
      <c r="I207" s="80"/>
      <c r="J207" s="80"/>
      <c r="K207" s="80"/>
      <c r="O207" s="25"/>
      <c r="P207" s="26"/>
      <c r="AA207" s="26"/>
      <c r="AC207" s="25"/>
    </row>
    <row r="208" spans="1:29" ht="12.75">
      <c r="A208" s="30"/>
      <c r="B208" s="6"/>
      <c r="C208" s="30"/>
      <c r="D208" s="15"/>
      <c r="F208" s="26"/>
      <c r="G208" s="80"/>
      <c r="H208" s="80"/>
      <c r="I208" s="80"/>
      <c r="J208" s="80"/>
      <c r="K208" s="80"/>
      <c r="O208" s="25"/>
      <c r="P208" s="26"/>
      <c r="AA208" s="26"/>
      <c r="AC208" s="25"/>
    </row>
    <row r="209" spans="1:29" ht="12.75">
      <c r="A209" s="30"/>
      <c r="B209" s="6"/>
      <c r="C209" s="30"/>
      <c r="D209" s="15"/>
      <c r="F209" s="26"/>
      <c r="G209" s="80"/>
      <c r="H209" s="80"/>
      <c r="I209" s="80"/>
      <c r="J209" s="80"/>
      <c r="K209" s="80"/>
      <c r="O209" s="25"/>
      <c r="P209" s="26"/>
      <c r="AA209" s="26"/>
      <c r="AC209" s="25"/>
    </row>
    <row r="210" spans="1:29" ht="12.75">
      <c r="A210" s="30"/>
      <c r="B210" s="6"/>
      <c r="C210" s="30"/>
      <c r="D210" s="15"/>
      <c r="F210" s="26"/>
      <c r="G210" s="80"/>
      <c r="H210" s="80"/>
      <c r="I210" s="80"/>
      <c r="J210" s="80"/>
      <c r="K210" s="80"/>
      <c r="O210" s="25"/>
      <c r="P210" s="26"/>
      <c r="AA210" s="26"/>
      <c r="AC210" s="25"/>
    </row>
    <row r="211" spans="1:29" ht="12.75">
      <c r="A211" s="30"/>
      <c r="B211" s="6"/>
      <c r="C211" s="30"/>
      <c r="D211" s="15"/>
      <c r="F211" s="26"/>
      <c r="G211" s="80"/>
      <c r="H211" s="80"/>
      <c r="I211" s="80"/>
      <c r="J211" s="80"/>
      <c r="K211" s="80"/>
      <c r="O211" s="25"/>
      <c r="P211" s="26"/>
      <c r="AA211" s="26"/>
      <c r="AC211" s="25"/>
    </row>
    <row r="212" spans="1:29" ht="12.75">
      <c r="A212" s="30"/>
      <c r="B212" s="6"/>
      <c r="C212" s="30"/>
      <c r="D212" s="15"/>
      <c r="F212" s="26"/>
      <c r="G212" s="80"/>
      <c r="H212" s="80"/>
      <c r="I212" s="80"/>
      <c r="J212" s="80"/>
      <c r="K212" s="80"/>
      <c r="O212" s="25"/>
      <c r="P212" s="26"/>
      <c r="AA212" s="26"/>
      <c r="AC212" s="25"/>
    </row>
    <row r="213" spans="1:29" ht="12.75">
      <c r="A213" s="30"/>
      <c r="B213" s="6"/>
      <c r="C213" s="30"/>
      <c r="D213" s="15"/>
      <c r="F213" s="26"/>
      <c r="G213" s="80"/>
      <c r="H213" s="80"/>
      <c r="I213" s="80"/>
      <c r="J213" s="80"/>
      <c r="K213" s="80"/>
      <c r="O213" s="25"/>
      <c r="P213" s="26"/>
      <c r="AA213" s="26"/>
      <c r="AC213" s="25"/>
    </row>
    <row r="214" spans="1:29" ht="12.75">
      <c r="A214" s="30"/>
      <c r="B214" s="6"/>
      <c r="C214" s="30"/>
      <c r="D214" s="15"/>
      <c r="F214" s="26"/>
      <c r="G214" s="80"/>
      <c r="H214" s="80"/>
      <c r="I214" s="80"/>
      <c r="J214" s="80"/>
      <c r="K214" s="80"/>
      <c r="O214" s="25"/>
      <c r="P214" s="26"/>
      <c r="AA214" s="26"/>
      <c r="AC214" s="25"/>
    </row>
    <row r="215" spans="1:29" ht="12.75">
      <c r="A215" s="30"/>
      <c r="B215" s="6"/>
      <c r="C215" s="30"/>
      <c r="D215" s="15"/>
      <c r="F215" s="26"/>
      <c r="G215" s="80"/>
      <c r="H215" s="80"/>
      <c r="I215" s="80"/>
      <c r="J215" s="80"/>
      <c r="K215" s="80"/>
      <c r="O215" s="25"/>
      <c r="P215" s="26"/>
      <c r="AA215" s="26"/>
      <c r="AC215" s="25"/>
    </row>
    <row r="216" spans="1:29" ht="12.75">
      <c r="A216" s="30"/>
      <c r="B216" s="6"/>
      <c r="C216" s="30"/>
      <c r="D216" s="15"/>
      <c r="F216" s="26"/>
      <c r="G216" s="80"/>
      <c r="H216" s="80"/>
      <c r="I216" s="80"/>
      <c r="J216" s="80"/>
      <c r="K216" s="80"/>
      <c r="O216" s="25"/>
      <c r="P216" s="26"/>
      <c r="AA216" s="26"/>
      <c r="AC216" s="25"/>
    </row>
    <row r="217" spans="1:29" ht="12.75">
      <c r="A217" s="30"/>
      <c r="B217" s="6"/>
      <c r="C217" s="30"/>
      <c r="D217" s="15"/>
      <c r="F217" s="26"/>
      <c r="G217" s="80"/>
      <c r="H217" s="80"/>
      <c r="I217" s="80"/>
      <c r="J217" s="80"/>
      <c r="K217" s="80"/>
      <c r="O217" s="25"/>
      <c r="P217" s="26"/>
      <c r="AA217" s="26"/>
      <c r="AC217" s="25"/>
    </row>
    <row r="218" spans="1:29" ht="12.75">
      <c r="A218" s="30"/>
      <c r="B218" s="6"/>
      <c r="C218" s="30"/>
      <c r="D218" s="15"/>
      <c r="F218" s="26"/>
      <c r="G218" s="80"/>
      <c r="H218" s="80"/>
      <c r="I218" s="80"/>
      <c r="J218" s="80"/>
      <c r="K218" s="80"/>
      <c r="O218" s="25"/>
      <c r="P218" s="26"/>
      <c r="AA218" s="26"/>
      <c r="AC218" s="25"/>
    </row>
    <row r="219" spans="1:29" ht="12.75">
      <c r="A219" s="30"/>
      <c r="B219" s="6"/>
      <c r="C219" s="30"/>
      <c r="D219" s="15"/>
      <c r="F219" s="26"/>
      <c r="G219" s="80"/>
      <c r="H219" s="80"/>
      <c r="I219" s="80"/>
      <c r="J219" s="80"/>
      <c r="K219" s="80"/>
      <c r="O219" s="25"/>
      <c r="P219" s="26"/>
      <c r="AA219" s="26"/>
      <c r="AC219" s="25"/>
    </row>
    <row r="220" spans="1:29" ht="12.75">
      <c r="A220" s="30"/>
      <c r="B220" s="6"/>
      <c r="C220" s="30"/>
      <c r="D220" s="15"/>
      <c r="F220" s="26"/>
      <c r="G220" s="80"/>
      <c r="H220" s="80"/>
      <c r="I220" s="80"/>
      <c r="J220" s="80"/>
      <c r="K220" s="80"/>
      <c r="O220" s="25"/>
      <c r="P220" s="26"/>
      <c r="AA220" s="26"/>
      <c r="AC220" s="25"/>
    </row>
    <row r="221" spans="1:29" ht="12.75">
      <c r="A221" s="30"/>
      <c r="B221" s="6"/>
      <c r="C221" s="30"/>
      <c r="D221" s="15"/>
      <c r="F221" s="26"/>
      <c r="G221" s="80"/>
      <c r="H221" s="80"/>
      <c r="I221" s="80"/>
      <c r="J221" s="80"/>
      <c r="K221" s="80"/>
      <c r="O221" s="25"/>
      <c r="P221" s="26"/>
      <c r="AA221" s="26"/>
      <c r="AC221" s="25"/>
    </row>
    <row r="222" spans="1:29" ht="12.75">
      <c r="A222" s="30"/>
      <c r="B222" s="6"/>
      <c r="C222" s="30"/>
      <c r="D222" s="15"/>
      <c r="F222" s="26"/>
      <c r="G222" s="80"/>
      <c r="H222" s="80"/>
      <c r="I222" s="80"/>
      <c r="J222" s="80"/>
      <c r="K222" s="80"/>
      <c r="O222" s="25"/>
      <c r="P222" s="26"/>
      <c r="AA222" s="26"/>
      <c r="AC222" s="25"/>
    </row>
    <row r="223" spans="1:29" ht="12.75">
      <c r="A223" s="30"/>
      <c r="B223" s="6"/>
      <c r="C223" s="30"/>
      <c r="D223" s="15"/>
      <c r="F223" s="26"/>
      <c r="G223" s="80"/>
      <c r="H223" s="80"/>
      <c r="I223" s="80"/>
      <c r="J223" s="80"/>
      <c r="K223" s="80"/>
      <c r="O223" s="25"/>
      <c r="P223" s="26"/>
      <c r="AA223" s="26"/>
      <c r="AC223" s="25"/>
    </row>
    <row r="224" spans="1:29" ht="12.75">
      <c r="A224" s="30"/>
      <c r="B224" s="6"/>
      <c r="C224" s="30"/>
      <c r="D224" s="15"/>
      <c r="F224" s="26"/>
      <c r="G224" s="80"/>
      <c r="H224" s="80"/>
      <c r="I224" s="80"/>
      <c r="J224" s="80"/>
      <c r="K224" s="80"/>
      <c r="O224" s="25"/>
      <c r="P224" s="26"/>
      <c r="AA224" s="26"/>
      <c r="AC224" s="25"/>
    </row>
    <row r="225" spans="1:29" ht="12.75">
      <c r="A225" s="30"/>
      <c r="B225" s="6"/>
      <c r="C225" s="30"/>
      <c r="D225" s="15"/>
      <c r="F225" s="26"/>
      <c r="G225" s="80"/>
      <c r="H225" s="80"/>
      <c r="I225" s="80"/>
      <c r="J225" s="80"/>
      <c r="K225" s="80"/>
      <c r="O225" s="25"/>
      <c r="P225" s="26"/>
      <c r="AA225" s="26"/>
      <c r="AC225" s="25"/>
    </row>
    <row r="226" spans="1:29" ht="12.75">
      <c r="A226" s="30"/>
      <c r="B226" s="6"/>
      <c r="C226" s="30"/>
      <c r="D226" s="15"/>
      <c r="F226" s="26"/>
      <c r="G226" s="80"/>
      <c r="H226" s="80"/>
      <c r="I226" s="80"/>
      <c r="J226" s="80"/>
      <c r="K226" s="80"/>
      <c r="O226" s="25"/>
      <c r="P226" s="26"/>
      <c r="AA226" s="26"/>
      <c r="AC226" s="25"/>
    </row>
    <row r="227" spans="1:29" ht="12.75">
      <c r="A227" s="30"/>
      <c r="B227" s="6"/>
      <c r="C227" s="30"/>
      <c r="D227" s="15"/>
      <c r="F227" s="26"/>
      <c r="G227" s="80"/>
      <c r="H227" s="80"/>
      <c r="I227" s="80"/>
      <c r="J227" s="80"/>
      <c r="K227" s="80"/>
      <c r="O227" s="25"/>
      <c r="P227" s="26"/>
      <c r="AA227" s="26"/>
      <c r="AC227" s="25"/>
    </row>
    <row r="228" spans="1:29" ht="12.75">
      <c r="A228" s="30"/>
      <c r="B228" s="6"/>
      <c r="C228" s="30"/>
      <c r="D228" s="15"/>
      <c r="F228" s="26"/>
      <c r="G228" s="80"/>
      <c r="H228" s="80"/>
      <c r="I228" s="80"/>
      <c r="J228" s="80"/>
      <c r="K228" s="80"/>
      <c r="O228" s="25"/>
      <c r="P228" s="26"/>
      <c r="AA228" s="26"/>
      <c r="AC228" s="25"/>
    </row>
    <row r="229" spans="1:29" ht="12.75">
      <c r="A229" s="30"/>
      <c r="B229" s="6"/>
      <c r="C229" s="30"/>
      <c r="D229" s="15"/>
      <c r="F229" s="26"/>
      <c r="G229" s="80"/>
      <c r="H229" s="80"/>
      <c r="I229" s="80"/>
      <c r="J229" s="80"/>
      <c r="K229" s="80"/>
      <c r="O229" s="25"/>
      <c r="P229" s="26"/>
      <c r="AA229" s="26"/>
      <c r="AC229" s="25"/>
    </row>
    <row r="230" spans="1:29" ht="12.75">
      <c r="A230" s="30"/>
      <c r="B230" s="6"/>
      <c r="C230" s="30"/>
      <c r="D230" s="15"/>
      <c r="F230" s="26"/>
      <c r="G230" s="80"/>
      <c r="H230" s="80"/>
      <c r="I230" s="80"/>
      <c r="J230" s="80"/>
      <c r="K230" s="80"/>
      <c r="O230" s="25"/>
      <c r="P230" s="26"/>
      <c r="AA230" s="26"/>
      <c r="AC230" s="25"/>
    </row>
    <row r="231" spans="1:29" ht="12.75">
      <c r="A231" s="30"/>
      <c r="B231" s="6"/>
      <c r="C231" s="30"/>
      <c r="D231" s="15"/>
      <c r="F231" s="26"/>
      <c r="G231" s="80"/>
      <c r="H231" s="80"/>
      <c r="I231" s="80"/>
      <c r="J231" s="80"/>
      <c r="K231" s="80"/>
      <c r="O231" s="25"/>
      <c r="P231" s="26"/>
      <c r="AA231" s="26"/>
      <c r="AC231" s="25"/>
    </row>
    <row r="232" spans="1:29" ht="12.75">
      <c r="A232" s="30"/>
      <c r="B232" s="6"/>
      <c r="C232" s="30"/>
      <c r="D232" s="15"/>
      <c r="F232" s="26"/>
      <c r="G232" s="80"/>
      <c r="H232" s="80"/>
      <c r="I232" s="80"/>
      <c r="J232" s="80"/>
      <c r="K232" s="80"/>
      <c r="O232" s="25"/>
      <c r="P232" s="26"/>
      <c r="AA232" s="26"/>
      <c r="AC232" s="25"/>
    </row>
    <row r="233" spans="1:29" ht="12.75">
      <c r="A233" s="30"/>
      <c r="B233" s="6"/>
      <c r="C233" s="30"/>
      <c r="D233" s="15"/>
      <c r="F233" s="26"/>
      <c r="G233" s="80"/>
      <c r="H233" s="80"/>
      <c r="I233" s="80"/>
      <c r="J233" s="80"/>
      <c r="K233" s="80"/>
      <c r="O233" s="25"/>
      <c r="P233" s="26"/>
      <c r="AA233" s="26"/>
      <c r="AC233" s="25"/>
    </row>
    <row r="234" spans="1:29" ht="12.75">
      <c r="A234" s="30"/>
      <c r="B234" s="6"/>
      <c r="C234" s="30"/>
      <c r="D234" s="15"/>
      <c r="F234" s="26"/>
      <c r="G234" s="80"/>
      <c r="H234" s="80"/>
      <c r="I234" s="80"/>
      <c r="J234" s="80"/>
      <c r="K234" s="80"/>
      <c r="O234" s="25"/>
      <c r="P234" s="26"/>
      <c r="AA234" s="26"/>
      <c r="AC234" s="25"/>
    </row>
    <row r="235" spans="1:29" ht="12.75">
      <c r="A235" s="30"/>
      <c r="B235" s="6"/>
      <c r="C235" s="30"/>
      <c r="D235" s="15"/>
      <c r="F235" s="26"/>
      <c r="G235" s="80"/>
      <c r="H235" s="80"/>
      <c r="I235" s="80"/>
      <c r="J235" s="80"/>
      <c r="K235" s="80"/>
      <c r="O235" s="25"/>
      <c r="P235" s="26"/>
      <c r="AA235" s="26"/>
      <c r="AC235" s="25"/>
    </row>
    <row r="236" spans="1:29" ht="12.75">
      <c r="A236" s="30"/>
      <c r="B236" s="6"/>
      <c r="C236" s="30"/>
      <c r="D236" s="15"/>
      <c r="F236" s="26"/>
      <c r="G236" s="80"/>
      <c r="H236" s="80"/>
      <c r="I236" s="80"/>
      <c r="J236" s="80"/>
      <c r="K236" s="80"/>
      <c r="O236" s="25"/>
      <c r="P236" s="26"/>
      <c r="AA236" s="26"/>
      <c r="AC236" s="25"/>
    </row>
    <row r="237" spans="1:29" ht="12.75">
      <c r="A237" s="30"/>
      <c r="B237" s="6"/>
      <c r="C237" s="30"/>
      <c r="D237" s="15"/>
      <c r="F237" s="26"/>
      <c r="G237" s="80"/>
      <c r="H237" s="80"/>
      <c r="I237" s="80"/>
      <c r="J237" s="80"/>
      <c r="K237" s="80"/>
      <c r="O237" s="25"/>
      <c r="P237" s="26"/>
      <c r="AA237" s="26"/>
      <c r="AC237" s="25"/>
    </row>
    <row r="238" spans="1:29" ht="12.75">
      <c r="A238" s="30"/>
      <c r="B238" s="6"/>
      <c r="C238" s="30"/>
      <c r="D238" s="15"/>
      <c r="F238" s="26"/>
      <c r="G238" s="80"/>
      <c r="H238" s="80"/>
      <c r="I238" s="80"/>
      <c r="J238" s="80"/>
      <c r="K238" s="80"/>
      <c r="O238" s="25"/>
      <c r="P238" s="26"/>
      <c r="AA238" s="26"/>
      <c r="AC238" s="25"/>
    </row>
    <row r="239" spans="1:29" ht="12.75">
      <c r="A239" s="30"/>
      <c r="B239" s="6"/>
      <c r="C239" s="30"/>
      <c r="D239" s="15"/>
      <c r="F239" s="26"/>
      <c r="G239" s="80"/>
      <c r="H239" s="80"/>
      <c r="I239" s="80"/>
      <c r="J239" s="80"/>
      <c r="K239" s="80"/>
      <c r="O239" s="25"/>
      <c r="P239" s="26"/>
      <c r="AA239" s="26"/>
      <c r="AC239" s="25"/>
    </row>
    <row r="240" spans="1:29" ht="12.75">
      <c r="A240" s="30"/>
      <c r="B240" s="6"/>
      <c r="C240" s="30"/>
      <c r="D240" s="15"/>
      <c r="F240" s="26"/>
      <c r="G240" s="80"/>
      <c r="H240" s="80"/>
      <c r="I240" s="80"/>
      <c r="J240" s="80"/>
      <c r="K240" s="80"/>
      <c r="O240" s="25"/>
      <c r="P240" s="26"/>
      <c r="AA240" s="26"/>
      <c r="AC240" s="25"/>
    </row>
    <row r="241" spans="1:29" ht="12.75">
      <c r="A241" s="30"/>
      <c r="B241" s="6"/>
      <c r="C241" s="30"/>
      <c r="D241" s="15"/>
      <c r="F241" s="26"/>
      <c r="G241" s="80"/>
      <c r="H241" s="80"/>
      <c r="I241" s="80"/>
      <c r="J241" s="80"/>
      <c r="K241" s="80"/>
      <c r="O241" s="25"/>
      <c r="P241" s="26"/>
      <c r="AA241" s="26"/>
      <c r="AC241" s="25"/>
    </row>
    <row r="242" spans="1:29" ht="12.75">
      <c r="A242" s="30"/>
      <c r="B242" s="6"/>
      <c r="C242" s="30"/>
      <c r="D242" s="15"/>
      <c r="F242" s="26"/>
      <c r="G242" s="80"/>
      <c r="H242" s="80"/>
      <c r="I242" s="80"/>
      <c r="J242" s="80"/>
      <c r="K242" s="80"/>
      <c r="O242" s="25"/>
      <c r="P242" s="26"/>
      <c r="AA242" s="26"/>
      <c r="AC242" s="25"/>
    </row>
    <row r="243" spans="1:29" ht="12.75">
      <c r="A243" s="30"/>
      <c r="B243" s="6"/>
      <c r="C243" s="30"/>
      <c r="D243" s="15"/>
      <c r="F243" s="26"/>
      <c r="G243" s="80"/>
      <c r="H243" s="80"/>
      <c r="I243" s="80"/>
      <c r="J243" s="80"/>
      <c r="K243" s="80"/>
      <c r="O243" s="25"/>
      <c r="P243" s="26"/>
      <c r="AA243" s="26"/>
      <c r="AC243" s="25"/>
    </row>
    <row r="244" spans="1:29" ht="12.75">
      <c r="A244" s="30"/>
      <c r="B244" s="6"/>
      <c r="C244" s="30"/>
      <c r="D244" s="15"/>
      <c r="F244" s="26"/>
      <c r="G244" s="80"/>
      <c r="H244" s="80"/>
      <c r="I244" s="80"/>
      <c r="J244" s="80"/>
      <c r="K244" s="80"/>
      <c r="O244" s="25"/>
      <c r="P244" s="26"/>
      <c r="AA244" s="26"/>
      <c r="AC244" s="25"/>
    </row>
    <row r="245" spans="1:29" ht="12.75">
      <c r="A245" s="30"/>
      <c r="B245" s="6"/>
      <c r="C245" s="30"/>
      <c r="D245" s="15"/>
      <c r="F245" s="26"/>
      <c r="G245" s="80"/>
      <c r="H245" s="80"/>
      <c r="I245" s="80"/>
      <c r="J245" s="80"/>
      <c r="K245" s="80"/>
      <c r="O245" s="25"/>
      <c r="P245" s="26"/>
      <c r="AA245" s="26"/>
      <c r="AC245" s="25"/>
    </row>
    <row r="246" spans="1:29" ht="12.75">
      <c r="A246" s="30"/>
      <c r="B246" s="6"/>
      <c r="C246" s="30"/>
      <c r="D246" s="15"/>
      <c r="F246" s="26"/>
      <c r="G246" s="80"/>
      <c r="H246" s="80"/>
      <c r="I246" s="80"/>
      <c r="J246" s="80"/>
      <c r="K246" s="80"/>
      <c r="O246" s="25"/>
      <c r="P246" s="26"/>
      <c r="AA246" s="26"/>
      <c r="AC246" s="25"/>
    </row>
    <row r="247" spans="1:29" ht="12.75">
      <c r="A247" s="30"/>
      <c r="B247" s="6"/>
      <c r="C247" s="30"/>
      <c r="D247" s="15"/>
      <c r="F247" s="26"/>
      <c r="G247" s="80"/>
      <c r="H247" s="80"/>
      <c r="I247" s="80"/>
      <c r="J247" s="80"/>
      <c r="K247" s="80"/>
      <c r="O247" s="25"/>
      <c r="P247" s="26"/>
      <c r="AA247" s="26"/>
      <c r="AC247" s="25"/>
    </row>
    <row r="248" spans="1:29" ht="12.75">
      <c r="A248" s="30"/>
      <c r="B248" s="6"/>
      <c r="C248" s="30"/>
      <c r="D248" s="15"/>
      <c r="F248" s="26"/>
      <c r="G248" s="80"/>
      <c r="H248" s="80"/>
      <c r="I248" s="80"/>
      <c r="J248" s="80"/>
      <c r="K248" s="80"/>
      <c r="O248" s="25"/>
      <c r="P248" s="26"/>
      <c r="AA248" s="26"/>
      <c r="AC248" s="25"/>
    </row>
    <row r="249" spans="1:29" ht="12.75">
      <c r="A249" s="30"/>
      <c r="B249" s="6"/>
      <c r="C249" s="30"/>
      <c r="D249" s="15"/>
      <c r="F249" s="26"/>
      <c r="G249" s="80"/>
      <c r="H249" s="80"/>
      <c r="I249" s="80"/>
      <c r="J249" s="80"/>
      <c r="K249" s="80"/>
      <c r="O249" s="25"/>
      <c r="P249" s="26"/>
      <c r="AA249" s="26"/>
      <c r="AC249" s="25"/>
    </row>
    <row r="250" spans="1:29" ht="12.75">
      <c r="A250" s="30"/>
      <c r="B250" s="6"/>
      <c r="C250" s="30"/>
      <c r="D250" s="15"/>
      <c r="F250" s="26"/>
      <c r="G250" s="80"/>
      <c r="H250" s="80"/>
      <c r="I250" s="80"/>
      <c r="J250" s="80"/>
      <c r="K250" s="80"/>
      <c r="O250" s="25"/>
      <c r="P250" s="26"/>
      <c r="AA250" s="26"/>
      <c r="AC250" s="25"/>
    </row>
    <row r="251" spans="1:29" ht="12.75">
      <c r="A251" s="30"/>
      <c r="B251" s="6"/>
      <c r="C251" s="30"/>
      <c r="D251" s="15"/>
      <c r="F251" s="26"/>
      <c r="G251" s="80"/>
      <c r="H251" s="80"/>
      <c r="I251" s="80"/>
      <c r="J251" s="80"/>
      <c r="K251" s="80"/>
      <c r="O251" s="25"/>
      <c r="P251" s="26"/>
      <c r="AA251" s="26"/>
      <c r="AC251" s="25"/>
    </row>
    <row r="252" spans="1:29" ht="12.75">
      <c r="A252" s="30"/>
      <c r="B252" s="6"/>
      <c r="C252" s="30"/>
      <c r="D252" s="15"/>
      <c r="F252" s="26"/>
      <c r="G252" s="80"/>
      <c r="H252" s="80"/>
      <c r="I252" s="80"/>
      <c r="J252" s="80"/>
      <c r="K252" s="80"/>
      <c r="O252" s="25"/>
      <c r="P252" s="26"/>
      <c r="AA252" s="26"/>
      <c r="AC252" s="25"/>
    </row>
    <row r="253" spans="1:29" ht="12.75">
      <c r="A253" s="30"/>
      <c r="B253" s="6"/>
      <c r="C253" s="30"/>
      <c r="D253" s="15"/>
      <c r="F253" s="26"/>
      <c r="G253" s="80"/>
      <c r="H253" s="80"/>
      <c r="I253" s="80"/>
      <c r="J253" s="80"/>
      <c r="K253" s="80"/>
      <c r="O253" s="25"/>
      <c r="P253" s="26"/>
      <c r="AA253" s="26"/>
      <c r="AC253" s="25"/>
    </row>
    <row r="254" spans="1:29" ht="12.75">
      <c r="A254" s="30"/>
      <c r="B254" s="6"/>
      <c r="C254" s="30"/>
      <c r="D254" s="15"/>
      <c r="F254" s="26"/>
      <c r="G254" s="80"/>
      <c r="H254" s="80"/>
      <c r="I254" s="80"/>
      <c r="J254" s="80"/>
      <c r="K254" s="80"/>
      <c r="O254" s="25"/>
      <c r="P254" s="26"/>
      <c r="AA254" s="26"/>
      <c r="AC254" s="25"/>
    </row>
    <row r="255" spans="1:29" ht="12.75">
      <c r="A255" s="30"/>
      <c r="B255" s="6"/>
      <c r="C255" s="30"/>
      <c r="D255" s="15"/>
      <c r="F255" s="26"/>
      <c r="G255" s="80"/>
      <c r="H255" s="80"/>
      <c r="I255" s="80"/>
      <c r="J255" s="80"/>
      <c r="K255" s="80"/>
      <c r="O255" s="25"/>
      <c r="P255" s="26"/>
      <c r="AA255" s="26"/>
      <c r="AC255" s="25"/>
    </row>
    <row r="256" spans="1:29" ht="12.75">
      <c r="A256" s="30"/>
      <c r="B256" s="6"/>
      <c r="C256" s="30"/>
      <c r="D256" s="15"/>
      <c r="F256" s="26"/>
      <c r="G256" s="80"/>
      <c r="H256" s="80"/>
      <c r="I256" s="80"/>
      <c r="J256" s="80"/>
      <c r="K256" s="80"/>
      <c r="O256" s="25"/>
      <c r="P256" s="26"/>
      <c r="AA256" s="26"/>
      <c r="AC256" s="25"/>
    </row>
    <row r="257" spans="1:29" ht="12.75">
      <c r="A257" s="30"/>
      <c r="B257" s="6"/>
      <c r="C257" s="30"/>
      <c r="D257" s="15"/>
      <c r="F257" s="26"/>
      <c r="G257" s="80"/>
      <c r="H257" s="80"/>
      <c r="I257" s="80"/>
      <c r="J257" s="80"/>
      <c r="K257" s="80"/>
      <c r="O257" s="25"/>
      <c r="P257" s="26"/>
      <c r="AA257" s="26"/>
      <c r="AC257" s="25"/>
    </row>
    <row r="258" spans="1:29" ht="12.75">
      <c r="A258" s="30"/>
      <c r="B258" s="6"/>
      <c r="C258" s="30"/>
      <c r="D258" s="15"/>
      <c r="F258" s="26"/>
      <c r="G258" s="80"/>
      <c r="H258" s="80"/>
      <c r="I258" s="80"/>
      <c r="J258" s="80"/>
      <c r="K258" s="80"/>
      <c r="O258" s="25"/>
      <c r="P258" s="26"/>
      <c r="AA258" s="26"/>
      <c r="AC258" s="25"/>
    </row>
    <row r="259" spans="1:29" ht="12.75">
      <c r="A259" s="30"/>
      <c r="B259" s="6"/>
      <c r="C259" s="30"/>
      <c r="D259" s="15"/>
      <c r="F259" s="26"/>
      <c r="G259" s="80"/>
      <c r="H259" s="80"/>
      <c r="I259" s="80"/>
      <c r="J259" s="80"/>
      <c r="K259" s="80"/>
      <c r="O259" s="25"/>
      <c r="P259" s="26"/>
      <c r="AA259" s="26"/>
      <c r="AC259" s="25"/>
    </row>
    <row r="260" spans="1:29" ht="12.75">
      <c r="A260" s="30"/>
      <c r="B260" s="6"/>
      <c r="C260" s="30"/>
      <c r="D260" s="15"/>
      <c r="F260" s="26"/>
      <c r="G260" s="80"/>
      <c r="H260" s="80"/>
      <c r="I260" s="80"/>
      <c r="J260" s="80"/>
      <c r="K260" s="80"/>
      <c r="O260" s="25"/>
      <c r="P260" s="26"/>
      <c r="AA260" s="26"/>
      <c r="AC260" s="25"/>
    </row>
    <row r="261" spans="1:29" ht="12.75">
      <c r="A261" s="30"/>
      <c r="B261" s="6"/>
      <c r="C261" s="30"/>
      <c r="D261" s="15"/>
      <c r="F261" s="26"/>
      <c r="G261" s="80"/>
      <c r="H261" s="80"/>
      <c r="I261" s="80"/>
      <c r="J261" s="80"/>
      <c r="K261" s="80"/>
      <c r="O261" s="25"/>
      <c r="P261" s="26"/>
      <c r="AA261" s="26"/>
      <c r="AC261" s="25"/>
    </row>
    <row r="262" spans="1:29" ht="12.75">
      <c r="A262" s="30"/>
      <c r="B262" s="6"/>
      <c r="C262" s="30"/>
      <c r="D262" s="15"/>
      <c r="F262" s="26"/>
      <c r="G262" s="80"/>
      <c r="H262" s="80"/>
      <c r="I262" s="80"/>
      <c r="J262" s="80"/>
      <c r="K262" s="80"/>
      <c r="O262" s="25"/>
      <c r="P262" s="26"/>
      <c r="AA262" s="26"/>
      <c r="AC262" s="25"/>
    </row>
    <row r="263" spans="1:29" ht="12.75">
      <c r="A263" s="30"/>
      <c r="B263" s="6"/>
      <c r="C263" s="30"/>
      <c r="D263" s="15"/>
      <c r="F263" s="26"/>
      <c r="G263" s="80"/>
      <c r="H263" s="80"/>
      <c r="I263" s="80"/>
      <c r="J263" s="80"/>
      <c r="K263" s="80"/>
      <c r="O263" s="25"/>
      <c r="P263" s="26"/>
      <c r="AA263" s="26"/>
      <c r="AC263" s="25"/>
    </row>
    <row r="264" spans="1:29" ht="12.75">
      <c r="A264" s="30"/>
      <c r="B264" s="6"/>
      <c r="C264" s="30"/>
      <c r="D264" s="15"/>
      <c r="F264" s="26"/>
      <c r="G264" s="80"/>
      <c r="H264" s="80"/>
      <c r="I264" s="80"/>
      <c r="J264" s="80"/>
      <c r="K264" s="80"/>
      <c r="O264" s="25"/>
      <c r="P264" s="26"/>
      <c r="AA264" s="26"/>
      <c r="AC264" s="25"/>
    </row>
    <row r="265" spans="1:29" ht="12.75">
      <c r="A265" s="30"/>
      <c r="B265" s="6"/>
      <c r="C265" s="30"/>
      <c r="D265" s="15"/>
      <c r="F265" s="26"/>
      <c r="G265" s="80"/>
      <c r="H265" s="80"/>
      <c r="I265" s="80"/>
      <c r="J265" s="80"/>
      <c r="K265" s="80"/>
      <c r="O265" s="25"/>
      <c r="P265" s="26"/>
      <c r="AA265" s="26"/>
      <c r="AC265" s="25"/>
    </row>
    <row r="266" spans="1:29" ht="12.75">
      <c r="A266" s="30"/>
      <c r="B266" s="6"/>
      <c r="C266" s="30"/>
      <c r="D266" s="15"/>
      <c r="F266" s="26"/>
      <c r="G266" s="80"/>
      <c r="H266" s="80"/>
      <c r="I266" s="80"/>
      <c r="J266" s="80"/>
      <c r="K266" s="80"/>
      <c r="O266" s="25"/>
      <c r="P266" s="26"/>
      <c r="AA266" s="26"/>
      <c r="AC266" s="25"/>
    </row>
    <row r="267" spans="1:29" ht="12.75">
      <c r="A267" s="30"/>
      <c r="B267" s="6"/>
      <c r="C267" s="30"/>
      <c r="D267" s="15"/>
      <c r="F267" s="26"/>
      <c r="G267" s="80"/>
      <c r="H267" s="80"/>
      <c r="I267" s="80"/>
      <c r="J267" s="80"/>
      <c r="K267" s="80"/>
      <c r="O267" s="25"/>
      <c r="P267" s="26"/>
      <c r="AA267" s="26"/>
      <c r="AC267" s="25"/>
    </row>
    <row r="268" spans="1:29" ht="12.75">
      <c r="A268" s="30"/>
      <c r="B268" s="6"/>
      <c r="C268" s="30"/>
      <c r="D268" s="15"/>
      <c r="F268" s="26"/>
      <c r="G268" s="80"/>
      <c r="H268" s="80"/>
      <c r="I268" s="80"/>
      <c r="J268" s="80"/>
      <c r="K268" s="80"/>
      <c r="O268" s="25"/>
      <c r="P268" s="26"/>
      <c r="AA268" s="26"/>
      <c r="AC268" s="25"/>
    </row>
    <row r="269" spans="1:29" ht="12.75">
      <c r="A269" s="30"/>
      <c r="B269" s="6"/>
      <c r="C269" s="30"/>
      <c r="D269" s="15"/>
      <c r="F269" s="26"/>
      <c r="G269" s="80"/>
      <c r="H269" s="80"/>
      <c r="I269" s="80"/>
      <c r="J269" s="80"/>
      <c r="K269" s="80"/>
      <c r="O269" s="25"/>
      <c r="P269" s="26"/>
      <c r="AA269" s="26"/>
      <c r="AC269" s="25"/>
    </row>
    <row r="270" spans="1:29" ht="12.75">
      <c r="A270" s="30"/>
      <c r="B270" s="6"/>
      <c r="C270" s="30"/>
      <c r="D270" s="15"/>
      <c r="F270" s="26"/>
      <c r="G270" s="80"/>
      <c r="H270" s="80"/>
      <c r="I270" s="80"/>
      <c r="J270" s="80"/>
      <c r="K270" s="80"/>
      <c r="O270" s="25"/>
      <c r="P270" s="26"/>
      <c r="AA270" s="26"/>
      <c r="AC270" s="25"/>
    </row>
    <row r="271" spans="1:29" ht="12.75">
      <c r="A271" s="30"/>
      <c r="B271" s="6"/>
      <c r="C271" s="30"/>
      <c r="D271" s="15"/>
      <c r="F271" s="26"/>
      <c r="G271" s="80"/>
      <c r="H271" s="80"/>
      <c r="I271" s="80"/>
      <c r="J271" s="80"/>
      <c r="K271" s="80"/>
      <c r="O271" s="25"/>
      <c r="P271" s="26"/>
      <c r="AA271" s="26"/>
      <c r="AC271" s="25"/>
    </row>
    <row r="272" spans="1:29" ht="12.75">
      <c r="A272" s="30"/>
      <c r="B272" s="6"/>
      <c r="C272" s="30"/>
      <c r="D272" s="15"/>
      <c r="F272" s="26"/>
      <c r="G272" s="80"/>
      <c r="H272" s="80"/>
      <c r="I272" s="80"/>
      <c r="J272" s="80"/>
      <c r="K272" s="80"/>
      <c r="O272" s="25"/>
      <c r="P272" s="26"/>
      <c r="AA272" s="26"/>
      <c r="AC272" s="25"/>
    </row>
    <row r="273" spans="1:29" ht="12.75">
      <c r="A273" s="30"/>
      <c r="B273" s="6"/>
      <c r="C273" s="30"/>
      <c r="D273" s="15"/>
      <c r="F273" s="26"/>
      <c r="G273" s="80"/>
      <c r="H273" s="80"/>
      <c r="I273" s="80"/>
      <c r="J273" s="80"/>
      <c r="K273" s="80"/>
      <c r="O273" s="25"/>
      <c r="P273" s="26"/>
      <c r="AA273" s="26"/>
      <c r="AC273" s="25"/>
    </row>
    <row r="274" spans="1:29" ht="12.75">
      <c r="A274" s="30"/>
      <c r="B274" s="6"/>
      <c r="C274" s="30"/>
      <c r="D274" s="15"/>
      <c r="F274" s="26"/>
      <c r="G274" s="80"/>
      <c r="H274" s="80"/>
      <c r="I274" s="80"/>
      <c r="J274" s="80"/>
      <c r="K274" s="80"/>
      <c r="O274" s="25"/>
      <c r="P274" s="26"/>
      <c r="AA274" s="26"/>
      <c r="AC274" s="25"/>
    </row>
    <row r="275" spans="1:29" ht="12.75">
      <c r="A275" s="30"/>
      <c r="B275" s="6"/>
      <c r="C275" s="30"/>
      <c r="D275" s="15"/>
      <c r="F275" s="26"/>
      <c r="G275" s="80"/>
      <c r="H275" s="80"/>
      <c r="I275" s="80"/>
      <c r="J275" s="80"/>
      <c r="K275" s="80"/>
      <c r="O275" s="25"/>
      <c r="P275" s="26"/>
      <c r="AA275" s="26"/>
      <c r="AC275" s="25"/>
    </row>
    <row r="276" spans="1:29" ht="12.75">
      <c r="A276" s="30"/>
      <c r="B276" s="6"/>
      <c r="C276" s="30"/>
      <c r="D276" s="15"/>
      <c r="F276" s="26"/>
      <c r="G276" s="80"/>
      <c r="H276" s="80"/>
      <c r="I276" s="80"/>
      <c r="J276" s="80"/>
      <c r="K276" s="80"/>
      <c r="O276" s="25"/>
      <c r="P276" s="26"/>
      <c r="AA276" s="26"/>
      <c r="AC276" s="25"/>
    </row>
    <row r="277" spans="1:29" ht="12.75">
      <c r="A277" s="30"/>
      <c r="B277" s="6"/>
      <c r="C277" s="30"/>
      <c r="D277" s="15"/>
      <c r="F277" s="26"/>
      <c r="G277" s="80"/>
      <c r="H277" s="80"/>
      <c r="I277" s="80"/>
      <c r="J277" s="80"/>
      <c r="K277" s="80"/>
      <c r="O277" s="25"/>
      <c r="P277" s="26"/>
      <c r="AA277" s="26"/>
      <c r="AC277" s="25"/>
    </row>
    <row r="278" spans="1:29" ht="12.75">
      <c r="A278" s="30"/>
      <c r="B278" s="6"/>
      <c r="C278" s="30"/>
      <c r="D278" s="15"/>
      <c r="F278" s="26"/>
      <c r="G278" s="80"/>
      <c r="H278" s="80"/>
      <c r="I278" s="80"/>
      <c r="J278" s="80"/>
      <c r="K278" s="80"/>
      <c r="O278" s="25"/>
      <c r="P278" s="26"/>
      <c r="AA278" s="26"/>
      <c r="AC278" s="25"/>
    </row>
    <row r="279" spans="1:29" ht="12.75">
      <c r="A279" s="30"/>
      <c r="B279" s="6"/>
      <c r="C279" s="30"/>
      <c r="D279" s="15"/>
      <c r="F279" s="26"/>
      <c r="G279" s="80"/>
      <c r="H279" s="80"/>
      <c r="I279" s="80"/>
      <c r="J279" s="80"/>
      <c r="K279" s="80"/>
      <c r="O279" s="25"/>
      <c r="P279" s="26"/>
      <c r="AA279" s="26"/>
      <c r="AC279" s="25"/>
    </row>
    <row r="280" spans="1:29" ht="12.75">
      <c r="A280" s="30"/>
      <c r="B280" s="6"/>
      <c r="C280" s="30"/>
      <c r="D280" s="15"/>
      <c r="F280" s="26"/>
      <c r="G280" s="80"/>
      <c r="H280" s="80"/>
      <c r="I280" s="80"/>
      <c r="J280" s="80"/>
      <c r="K280" s="80"/>
      <c r="O280" s="25"/>
      <c r="P280" s="26"/>
      <c r="AA280" s="26"/>
      <c r="AC280" s="25"/>
    </row>
    <row r="281" spans="1:29" ht="12.75">
      <c r="A281" s="30"/>
      <c r="B281" s="6"/>
      <c r="C281" s="30"/>
      <c r="D281" s="15"/>
      <c r="F281" s="26"/>
      <c r="G281" s="80"/>
      <c r="H281" s="80"/>
      <c r="I281" s="80"/>
      <c r="J281" s="80"/>
      <c r="K281" s="80"/>
      <c r="O281" s="25"/>
      <c r="P281" s="26"/>
      <c r="AA281" s="26"/>
      <c r="AC281" s="25"/>
    </row>
    <row r="282" spans="1:29" ht="12.75">
      <c r="A282" s="30"/>
      <c r="B282" s="6"/>
      <c r="C282" s="30"/>
      <c r="D282" s="15"/>
      <c r="F282" s="26"/>
      <c r="G282" s="80"/>
      <c r="H282" s="80"/>
      <c r="I282" s="80"/>
      <c r="J282" s="80"/>
      <c r="K282" s="80"/>
      <c r="O282" s="25"/>
      <c r="P282" s="26"/>
      <c r="AA282" s="26"/>
      <c r="AC282" s="25"/>
    </row>
    <row r="283" spans="1:29" ht="12.75">
      <c r="A283" s="30"/>
      <c r="B283" s="6"/>
      <c r="C283" s="30"/>
      <c r="D283" s="15"/>
      <c r="F283" s="26"/>
      <c r="G283" s="80"/>
      <c r="H283" s="80"/>
      <c r="I283" s="80"/>
      <c r="J283" s="80"/>
      <c r="K283" s="80"/>
      <c r="O283" s="25"/>
      <c r="P283" s="26"/>
      <c r="AA283" s="26"/>
      <c r="AC283" s="25"/>
    </row>
    <row r="284" spans="1:29" ht="12.75">
      <c r="A284" s="30"/>
      <c r="B284" s="6"/>
      <c r="C284" s="30"/>
      <c r="D284" s="15"/>
      <c r="F284" s="26"/>
      <c r="G284" s="80"/>
      <c r="H284" s="80"/>
      <c r="I284" s="80"/>
      <c r="J284" s="80"/>
      <c r="K284" s="80"/>
      <c r="O284" s="25"/>
      <c r="P284" s="26"/>
      <c r="AA284" s="26"/>
      <c r="AC284" s="25"/>
    </row>
    <row r="285" spans="1:29" ht="12.75">
      <c r="A285" s="30"/>
      <c r="B285" s="6"/>
      <c r="C285" s="30"/>
      <c r="D285" s="15"/>
      <c r="F285" s="26"/>
      <c r="G285" s="80"/>
      <c r="H285" s="80"/>
      <c r="I285" s="80"/>
      <c r="J285" s="80"/>
      <c r="K285" s="80"/>
      <c r="O285" s="25"/>
      <c r="P285" s="26"/>
      <c r="AA285" s="26"/>
      <c r="AC285" s="25"/>
    </row>
    <row r="286" spans="1:29" ht="12.75">
      <c r="A286" s="30"/>
      <c r="B286" s="6"/>
      <c r="C286" s="30"/>
      <c r="D286" s="15"/>
      <c r="F286" s="26"/>
      <c r="G286" s="80"/>
      <c r="H286" s="80"/>
      <c r="I286" s="80"/>
      <c r="J286" s="80"/>
      <c r="K286" s="80"/>
      <c r="O286" s="25"/>
      <c r="P286" s="26"/>
      <c r="AA286" s="26"/>
      <c r="AC286" s="25"/>
    </row>
    <row r="287" spans="1:29" ht="12.75">
      <c r="A287" s="30"/>
      <c r="B287" s="6"/>
      <c r="C287" s="30"/>
      <c r="D287" s="15"/>
      <c r="F287" s="26"/>
      <c r="G287" s="80"/>
      <c r="H287" s="80"/>
      <c r="I287" s="80"/>
      <c r="J287" s="80"/>
      <c r="K287" s="80"/>
      <c r="O287" s="25"/>
      <c r="P287" s="26"/>
      <c r="AA287" s="26"/>
      <c r="AC287" s="25"/>
    </row>
    <row r="288" spans="1:29" ht="12.75">
      <c r="A288" s="30"/>
      <c r="B288" s="6"/>
      <c r="C288" s="30"/>
      <c r="D288" s="15"/>
      <c r="F288" s="26"/>
      <c r="G288" s="80"/>
      <c r="H288" s="80"/>
      <c r="I288" s="80"/>
      <c r="J288" s="80"/>
      <c r="K288" s="80"/>
      <c r="O288" s="25"/>
      <c r="P288" s="26"/>
      <c r="AA288" s="26"/>
      <c r="AC288" s="25"/>
    </row>
    <row r="289" spans="1:29" ht="12.75">
      <c r="A289" s="30"/>
      <c r="B289" s="6"/>
      <c r="C289" s="30"/>
      <c r="D289" s="15"/>
      <c r="F289" s="26"/>
      <c r="G289" s="80"/>
      <c r="H289" s="80"/>
      <c r="I289" s="80"/>
      <c r="J289" s="80"/>
      <c r="K289" s="80"/>
      <c r="O289" s="25"/>
      <c r="P289" s="26"/>
      <c r="AA289" s="26"/>
      <c r="AC289" s="25"/>
    </row>
    <row r="290" spans="1:29" ht="12.75">
      <c r="A290" s="30"/>
      <c r="B290" s="6"/>
      <c r="C290" s="30"/>
      <c r="D290" s="15"/>
      <c r="F290" s="26"/>
      <c r="G290" s="80"/>
      <c r="H290" s="80"/>
      <c r="I290" s="80"/>
      <c r="J290" s="80"/>
      <c r="K290" s="80"/>
      <c r="O290" s="25"/>
      <c r="P290" s="26"/>
      <c r="AA290" s="26"/>
      <c r="AC290" s="25"/>
    </row>
    <row r="291" spans="1:29" ht="12.75">
      <c r="A291" s="30"/>
      <c r="B291" s="6"/>
      <c r="C291" s="30"/>
      <c r="D291" s="15"/>
      <c r="F291" s="26"/>
      <c r="G291" s="80"/>
      <c r="H291" s="80"/>
      <c r="I291" s="80"/>
      <c r="J291" s="80"/>
      <c r="K291" s="80"/>
      <c r="O291" s="25"/>
      <c r="P291" s="26"/>
      <c r="AA291" s="26"/>
      <c r="AC291" s="25"/>
    </row>
    <row r="292" spans="1:29" ht="12.75">
      <c r="A292" s="30"/>
      <c r="B292" s="6"/>
      <c r="C292" s="30"/>
      <c r="D292" s="15"/>
      <c r="F292" s="26"/>
      <c r="G292" s="80"/>
      <c r="H292" s="80"/>
      <c r="I292" s="80"/>
      <c r="J292" s="80"/>
      <c r="K292" s="80"/>
      <c r="O292" s="25"/>
      <c r="P292" s="26"/>
      <c r="AA292" s="26"/>
      <c r="AC292" s="25"/>
    </row>
    <row r="293" spans="1:29" ht="12.75">
      <c r="A293" s="30"/>
      <c r="B293" s="6"/>
      <c r="C293" s="30"/>
      <c r="D293" s="15"/>
      <c r="F293" s="26"/>
      <c r="G293" s="80"/>
      <c r="H293" s="80"/>
      <c r="I293" s="80"/>
      <c r="J293" s="80"/>
      <c r="K293" s="80"/>
      <c r="O293" s="25"/>
      <c r="P293" s="26"/>
      <c r="AA293" s="26"/>
      <c r="AC293" s="25"/>
    </row>
    <row r="294" spans="1:29" ht="12.75">
      <c r="A294" s="30"/>
      <c r="B294" s="6"/>
      <c r="C294" s="30"/>
      <c r="D294" s="15"/>
      <c r="F294" s="26"/>
      <c r="G294" s="80"/>
      <c r="H294" s="80"/>
      <c r="I294" s="80"/>
      <c r="J294" s="80"/>
      <c r="K294" s="80"/>
      <c r="O294" s="25"/>
      <c r="P294" s="26"/>
      <c r="AA294" s="26"/>
      <c r="AC294" s="25"/>
    </row>
    <row r="295" spans="1:29" ht="12.75">
      <c r="A295" s="30"/>
      <c r="B295" s="6"/>
      <c r="C295" s="30"/>
      <c r="D295" s="15"/>
      <c r="F295" s="26"/>
      <c r="G295" s="80"/>
      <c r="H295" s="80"/>
      <c r="I295" s="80"/>
      <c r="J295" s="80"/>
      <c r="K295" s="80"/>
      <c r="O295" s="25"/>
      <c r="P295" s="26"/>
      <c r="AA295" s="26"/>
      <c r="AC295" s="25"/>
    </row>
    <row r="296" spans="1:29" ht="12.75">
      <c r="A296" s="30"/>
      <c r="B296" s="6"/>
      <c r="C296" s="30"/>
      <c r="D296" s="15"/>
      <c r="F296" s="26"/>
      <c r="G296" s="80"/>
      <c r="H296" s="80"/>
      <c r="I296" s="80"/>
      <c r="J296" s="80"/>
      <c r="K296" s="80"/>
      <c r="O296" s="25"/>
      <c r="P296" s="26"/>
      <c r="AA296" s="26"/>
      <c r="AC296" s="25"/>
    </row>
    <row r="297" spans="1:29" ht="12.75">
      <c r="A297" s="30"/>
      <c r="B297" s="6"/>
      <c r="C297" s="30"/>
      <c r="D297" s="15"/>
      <c r="F297" s="26"/>
      <c r="G297" s="80"/>
      <c r="H297" s="80"/>
      <c r="I297" s="80"/>
      <c r="J297" s="80"/>
      <c r="K297" s="80"/>
      <c r="O297" s="25"/>
      <c r="P297" s="26"/>
      <c r="AA297" s="26"/>
      <c r="AC297" s="25"/>
    </row>
    <row r="298" spans="1:29" ht="12.75">
      <c r="A298" s="30"/>
      <c r="B298" s="6"/>
      <c r="C298" s="30"/>
      <c r="D298" s="15"/>
      <c r="F298" s="26"/>
      <c r="G298" s="80"/>
      <c r="H298" s="80"/>
      <c r="I298" s="80"/>
      <c r="J298" s="80"/>
      <c r="K298" s="80"/>
      <c r="O298" s="25"/>
      <c r="P298" s="26"/>
      <c r="AA298" s="26"/>
      <c r="AC298" s="25"/>
    </row>
    <row r="299" spans="1:29" ht="12.75">
      <c r="A299" s="30"/>
      <c r="B299" s="6"/>
      <c r="C299" s="30"/>
      <c r="D299" s="15"/>
      <c r="F299" s="26"/>
      <c r="G299" s="80"/>
      <c r="H299" s="80"/>
      <c r="I299" s="80"/>
      <c r="J299" s="80"/>
      <c r="K299" s="80"/>
      <c r="O299" s="25"/>
      <c r="P299" s="26"/>
      <c r="AA299" s="26"/>
      <c r="AC299" s="25"/>
    </row>
    <row r="300" spans="1:29" ht="12.75">
      <c r="A300" s="30"/>
      <c r="B300" s="6"/>
      <c r="C300" s="30"/>
      <c r="D300" s="15"/>
      <c r="F300" s="26"/>
      <c r="G300" s="80"/>
      <c r="H300" s="80"/>
      <c r="I300" s="80"/>
      <c r="J300" s="80"/>
      <c r="K300" s="80"/>
      <c r="O300" s="25"/>
      <c r="P300" s="26"/>
      <c r="AA300" s="26"/>
      <c r="AC300" s="25"/>
    </row>
    <row r="301" spans="1:29" ht="12.75">
      <c r="A301" s="30"/>
      <c r="B301" s="6"/>
      <c r="C301" s="30"/>
      <c r="D301" s="15"/>
      <c r="F301" s="26"/>
      <c r="G301" s="80"/>
      <c r="H301" s="80"/>
      <c r="I301" s="80"/>
      <c r="J301" s="80"/>
      <c r="K301" s="80"/>
      <c r="O301" s="25"/>
      <c r="P301" s="26"/>
      <c r="AA301" s="26"/>
      <c r="AC301" s="25"/>
    </row>
    <row r="302" spans="1:29" ht="12.75">
      <c r="A302" s="30"/>
      <c r="B302" s="6"/>
      <c r="C302" s="30"/>
      <c r="D302" s="15"/>
      <c r="F302" s="26"/>
      <c r="G302" s="80"/>
      <c r="H302" s="80"/>
      <c r="I302" s="80"/>
      <c r="J302" s="80"/>
      <c r="K302" s="80"/>
      <c r="O302" s="25"/>
      <c r="P302" s="26"/>
      <c r="AA302" s="26"/>
      <c r="AC302" s="25"/>
    </row>
    <row r="303" spans="1:29" ht="12.75">
      <c r="A303" s="30"/>
      <c r="B303" s="6"/>
      <c r="C303" s="30"/>
      <c r="D303" s="15"/>
      <c r="F303" s="26"/>
      <c r="G303" s="80"/>
      <c r="H303" s="80"/>
      <c r="I303" s="80"/>
      <c r="J303" s="80"/>
      <c r="K303" s="80"/>
      <c r="O303" s="25"/>
      <c r="P303" s="26"/>
      <c r="AA303" s="26"/>
      <c r="AC303" s="25"/>
    </row>
    <row r="304" spans="1:29" ht="12.75">
      <c r="A304" s="30"/>
      <c r="B304" s="6"/>
      <c r="C304" s="30"/>
      <c r="D304" s="15"/>
      <c r="F304" s="26"/>
      <c r="G304" s="80"/>
      <c r="H304" s="80"/>
      <c r="I304" s="80"/>
      <c r="J304" s="80"/>
      <c r="K304" s="80"/>
      <c r="O304" s="25"/>
      <c r="P304" s="26"/>
      <c r="AA304" s="26"/>
      <c r="AC304" s="25"/>
    </row>
    <row r="305" spans="1:29" ht="12.75">
      <c r="A305" s="30"/>
      <c r="B305" s="6"/>
      <c r="C305" s="30"/>
      <c r="D305" s="15"/>
      <c r="F305" s="26"/>
      <c r="G305" s="80"/>
      <c r="H305" s="80"/>
      <c r="I305" s="80"/>
      <c r="J305" s="80"/>
      <c r="K305" s="80"/>
      <c r="O305" s="25"/>
      <c r="P305" s="26"/>
      <c r="AA305" s="26"/>
      <c r="AC305" s="25"/>
    </row>
    <row r="306" spans="1:29" ht="12.75">
      <c r="A306" s="30"/>
      <c r="B306" s="6"/>
      <c r="C306" s="30"/>
      <c r="D306" s="15"/>
      <c r="F306" s="26"/>
      <c r="G306" s="80"/>
      <c r="H306" s="80"/>
      <c r="I306" s="80"/>
      <c r="J306" s="80"/>
      <c r="K306" s="80"/>
      <c r="O306" s="25"/>
      <c r="P306" s="26"/>
      <c r="AA306" s="26"/>
      <c r="AC306" s="25"/>
    </row>
    <row r="307" spans="1:29" ht="12.75">
      <c r="A307" s="30"/>
      <c r="B307" s="6"/>
      <c r="C307" s="30"/>
      <c r="D307" s="15"/>
      <c r="F307" s="26"/>
      <c r="G307" s="80"/>
      <c r="H307" s="80"/>
      <c r="I307" s="80"/>
      <c r="J307" s="80"/>
      <c r="K307" s="80"/>
      <c r="O307" s="25"/>
      <c r="P307" s="26"/>
      <c r="AA307" s="26"/>
      <c r="AC307" s="25"/>
    </row>
    <row r="308" spans="1:29" ht="12.75">
      <c r="A308" s="30"/>
      <c r="B308" s="6"/>
      <c r="C308" s="30"/>
      <c r="D308" s="15"/>
      <c r="F308" s="26"/>
      <c r="G308" s="80"/>
      <c r="H308" s="80"/>
      <c r="I308" s="80"/>
      <c r="J308" s="80"/>
      <c r="K308" s="80"/>
      <c r="O308" s="25"/>
      <c r="P308" s="26"/>
      <c r="AA308" s="26"/>
      <c r="AC308" s="25"/>
    </row>
    <row r="309" spans="1:29" ht="12.75">
      <c r="A309" s="30"/>
      <c r="B309" s="6"/>
      <c r="C309" s="30"/>
      <c r="D309" s="15"/>
      <c r="F309" s="26"/>
      <c r="G309" s="80"/>
      <c r="H309" s="80"/>
      <c r="I309" s="80"/>
      <c r="J309" s="80"/>
      <c r="K309" s="80"/>
      <c r="O309" s="25"/>
      <c r="P309" s="26"/>
      <c r="AA309" s="26"/>
      <c r="AC309" s="25"/>
    </row>
    <row r="310" spans="1:29" ht="12.75">
      <c r="A310" s="30"/>
      <c r="B310" s="6"/>
      <c r="C310" s="30"/>
      <c r="D310" s="15"/>
      <c r="F310" s="26"/>
      <c r="G310" s="80"/>
      <c r="H310" s="80"/>
      <c r="I310" s="80"/>
      <c r="J310" s="80"/>
      <c r="K310" s="80"/>
      <c r="O310" s="25"/>
      <c r="P310" s="26"/>
      <c r="AA310" s="26"/>
      <c r="AC310" s="25"/>
    </row>
    <row r="311" spans="1:29" ht="12.75">
      <c r="A311" s="30"/>
      <c r="B311" s="6"/>
      <c r="C311" s="30"/>
      <c r="D311" s="15"/>
      <c r="F311" s="26"/>
      <c r="G311" s="80"/>
      <c r="H311" s="80"/>
      <c r="I311" s="80"/>
      <c r="J311" s="80"/>
      <c r="K311" s="80"/>
      <c r="O311" s="25"/>
      <c r="P311" s="26"/>
      <c r="AA311" s="26"/>
      <c r="AC311" s="25"/>
    </row>
    <row r="312" spans="1:29" ht="12.75">
      <c r="A312" s="30"/>
      <c r="B312" s="6"/>
      <c r="C312" s="30"/>
      <c r="D312" s="15"/>
      <c r="F312" s="26"/>
      <c r="G312" s="80"/>
      <c r="H312" s="80"/>
      <c r="I312" s="80"/>
      <c r="J312" s="80"/>
      <c r="K312" s="80"/>
      <c r="O312" s="25"/>
      <c r="P312" s="26"/>
      <c r="AA312" s="26"/>
      <c r="AC312" s="25"/>
    </row>
    <row r="313" spans="1:29" ht="12.75">
      <c r="A313" s="30"/>
      <c r="B313" s="6"/>
      <c r="C313" s="30"/>
      <c r="D313" s="15"/>
      <c r="F313" s="26"/>
      <c r="G313" s="80"/>
      <c r="H313" s="80"/>
      <c r="I313" s="80"/>
      <c r="J313" s="80"/>
      <c r="K313" s="80"/>
      <c r="O313" s="25"/>
      <c r="P313" s="26"/>
      <c r="AA313" s="26"/>
      <c r="AC313" s="25"/>
    </row>
    <row r="314" spans="1:29" ht="12.75">
      <c r="A314" s="30"/>
      <c r="B314" s="6"/>
      <c r="C314" s="30"/>
      <c r="D314" s="15"/>
      <c r="F314" s="26"/>
      <c r="G314" s="80"/>
      <c r="H314" s="80"/>
      <c r="I314" s="80"/>
      <c r="J314" s="80"/>
      <c r="K314" s="80"/>
      <c r="O314" s="25"/>
      <c r="P314" s="26"/>
      <c r="AA314" s="26"/>
      <c r="AC314" s="25"/>
    </row>
    <row r="315" spans="1:29" ht="12.75">
      <c r="A315" s="30"/>
      <c r="B315" s="6"/>
      <c r="C315" s="30"/>
      <c r="D315" s="15"/>
      <c r="F315" s="26"/>
      <c r="G315" s="80"/>
      <c r="H315" s="80"/>
      <c r="I315" s="80"/>
      <c r="J315" s="80"/>
      <c r="K315" s="80"/>
      <c r="O315" s="25"/>
      <c r="P315" s="26"/>
      <c r="AA315" s="26"/>
      <c r="AC315" s="25"/>
    </row>
    <row r="316" spans="1:29" ht="12.75">
      <c r="A316" s="30"/>
      <c r="B316" s="6"/>
      <c r="C316" s="30"/>
      <c r="D316" s="15"/>
      <c r="F316" s="26"/>
      <c r="G316" s="80"/>
      <c r="H316" s="80"/>
      <c r="I316" s="80"/>
      <c r="J316" s="80"/>
      <c r="K316" s="80"/>
      <c r="O316" s="25"/>
      <c r="P316" s="26"/>
      <c r="AA316" s="26"/>
      <c r="AC316" s="25"/>
    </row>
    <row r="317" spans="1:29" ht="12.75">
      <c r="A317" s="30"/>
      <c r="B317" s="6"/>
      <c r="C317" s="30"/>
      <c r="D317" s="15"/>
      <c r="F317" s="26"/>
      <c r="G317" s="80"/>
      <c r="H317" s="80"/>
      <c r="I317" s="80"/>
      <c r="J317" s="80"/>
      <c r="K317" s="80"/>
      <c r="O317" s="25"/>
      <c r="P317" s="26"/>
      <c r="AA317" s="26"/>
      <c r="AC317" s="25"/>
    </row>
    <row r="318" spans="1:29" ht="12.75">
      <c r="A318" s="30"/>
      <c r="B318" s="6"/>
      <c r="C318" s="30"/>
      <c r="D318" s="15"/>
      <c r="F318" s="26"/>
      <c r="G318" s="80"/>
      <c r="H318" s="80"/>
      <c r="I318" s="80"/>
      <c r="J318" s="80"/>
      <c r="K318" s="80"/>
      <c r="O318" s="25"/>
      <c r="P318" s="26"/>
      <c r="AA318" s="26"/>
      <c r="AC318" s="25"/>
    </row>
    <row r="319" spans="1:29" ht="12.75">
      <c r="A319" s="30"/>
      <c r="B319" s="6"/>
      <c r="C319" s="30"/>
      <c r="D319" s="15"/>
      <c r="F319" s="26"/>
      <c r="G319" s="80"/>
      <c r="H319" s="80"/>
      <c r="I319" s="80"/>
      <c r="J319" s="80"/>
      <c r="K319" s="80"/>
      <c r="O319" s="25"/>
      <c r="P319" s="26"/>
      <c r="AA319" s="26"/>
      <c r="AC319" s="25"/>
    </row>
    <row r="320" spans="1:29" ht="12.75">
      <c r="A320" s="30"/>
      <c r="B320" s="6"/>
      <c r="C320" s="30"/>
      <c r="D320" s="15"/>
      <c r="F320" s="26"/>
      <c r="G320" s="80"/>
      <c r="H320" s="80"/>
      <c r="I320" s="80"/>
      <c r="J320" s="80"/>
      <c r="K320" s="80"/>
      <c r="O320" s="25"/>
      <c r="P320" s="26"/>
      <c r="AA320" s="26"/>
      <c r="AC320" s="25"/>
    </row>
    <row r="321" spans="1:29" ht="12.75">
      <c r="A321" s="30"/>
      <c r="B321" s="6"/>
      <c r="C321" s="30"/>
      <c r="D321" s="15"/>
      <c r="F321" s="26"/>
      <c r="G321" s="80"/>
      <c r="H321" s="80"/>
      <c r="I321" s="80"/>
      <c r="J321" s="80"/>
      <c r="K321" s="80"/>
      <c r="O321" s="25"/>
      <c r="P321" s="26"/>
      <c r="AA321" s="26"/>
      <c r="AC321" s="25"/>
    </row>
    <row r="322" spans="1:29" ht="12.75">
      <c r="A322" s="30"/>
      <c r="B322" s="6"/>
      <c r="C322" s="30"/>
      <c r="D322" s="15"/>
      <c r="F322" s="26"/>
      <c r="G322" s="80"/>
      <c r="H322" s="80"/>
      <c r="I322" s="80"/>
      <c r="J322" s="80"/>
      <c r="K322" s="80"/>
      <c r="O322" s="25"/>
      <c r="P322" s="26"/>
      <c r="AA322" s="26"/>
      <c r="AC322" s="25"/>
    </row>
    <row r="323" spans="1:29" ht="12.75">
      <c r="A323" s="30"/>
      <c r="B323" s="6"/>
      <c r="C323" s="30"/>
      <c r="D323" s="15"/>
      <c r="F323" s="26"/>
      <c r="G323" s="80"/>
      <c r="H323" s="80"/>
      <c r="I323" s="80"/>
      <c r="J323" s="80"/>
      <c r="K323" s="80"/>
      <c r="O323" s="25"/>
      <c r="P323" s="26"/>
      <c r="AA323" s="26"/>
      <c r="AC323" s="25"/>
    </row>
    <row r="324" spans="1:29" ht="12.75">
      <c r="A324" s="30"/>
      <c r="B324" s="6"/>
      <c r="C324" s="30"/>
      <c r="D324" s="15"/>
      <c r="F324" s="26"/>
      <c r="G324" s="80"/>
      <c r="H324" s="80"/>
      <c r="I324" s="80"/>
      <c r="J324" s="80"/>
      <c r="K324" s="80"/>
      <c r="O324" s="25"/>
      <c r="P324" s="26"/>
      <c r="AA324" s="26"/>
      <c r="AC324" s="25"/>
    </row>
    <row r="325" spans="1:29" ht="12.75">
      <c r="A325" s="30"/>
      <c r="B325" s="6"/>
      <c r="C325" s="30"/>
      <c r="D325" s="15"/>
      <c r="F325" s="26"/>
      <c r="G325" s="80"/>
      <c r="H325" s="80"/>
      <c r="I325" s="80"/>
      <c r="J325" s="80"/>
      <c r="K325" s="80"/>
      <c r="O325" s="25"/>
      <c r="P325" s="26"/>
      <c r="AA325" s="26"/>
      <c r="AC325" s="25"/>
    </row>
    <row r="326" spans="1:29" ht="12.75">
      <c r="A326" s="30"/>
      <c r="B326" s="6"/>
      <c r="C326" s="30"/>
      <c r="D326" s="15"/>
      <c r="F326" s="26"/>
      <c r="G326" s="80"/>
      <c r="H326" s="80"/>
      <c r="I326" s="80"/>
      <c r="J326" s="80"/>
      <c r="K326" s="80"/>
      <c r="O326" s="25"/>
      <c r="P326" s="26"/>
      <c r="AA326" s="26"/>
      <c r="AC326" s="25"/>
    </row>
    <row r="327" spans="1:29" ht="12.75">
      <c r="A327" s="30"/>
      <c r="B327" s="6"/>
      <c r="C327" s="30"/>
      <c r="D327" s="15"/>
      <c r="F327" s="26"/>
      <c r="G327" s="80"/>
      <c r="H327" s="80"/>
      <c r="I327" s="80"/>
      <c r="J327" s="80"/>
      <c r="K327" s="80"/>
      <c r="O327" s="25"/>
      <c r="P327" s="26"/>
      <c r="AA327" s="26"/>
      <c r="AC327" s="25"/>
    </row>
    <row r="328" spans="1:29" ht="12.75">
      <c r="A328" s="30"/>
      <c r="B328" s="6"/>
      <c r="C328" s="30"/>
      <c r="D328" s="15"/>
      <c r="F328" s="26"/>
      <c r="G328" s="80"/>
      <c r="H328" s="80"/>
      <c r="I328" s="80"/>
      <c r="J328" s="80"/>
      <c r="K328" s="80"/>
      <c r="O328" s="25"/>
      <c r="P328" s="26"/>
      <c r="AA328" s="26"/>
      <c r="AC328" s="25"/>
    </row>
    <row r="329" spans="1:29" ht="12.75">
      <c r="A329" s="30"/>
      <c r="B329" s="6"/>
      <c r="C329" s="30"/>
      <c r="D329" s="15"/>
      <c r="F329" s="26"/>
      <c r="G329" s="80"/>
      <c r="H329" s="80"/>
      <c r="I329" s="80"/>
      <c r="J329" s="80"/>
      <c r="K329" s="80"/>
      <c r="O329" s="25"/>
      <c r="P329" s="26"/>
      <c r="AA329" s="26"/>
      <c r="AC329" s="25"/>
    </row>
    <row r="330" spans="1:29" ht="12.75">
      <c r="A330" s="30"/>
      <c r="B330" s="6"/>
      <c r="C330" s="30"/>
      <c r="D330" s="15"/>
      <c r="F330" s="26"/>
      <c r="G330" s="80"/>
      <c r="H330" s="80"/>
      <c r="I330" s="80"/>
      <c r="J330" s="80"/>
      <c r="K330" s="80"/>
      <c r="O330" s="25"/>
      <c r="P330" s="26"/>
      <c r="AA330" s="26"/>
      <c r="AC330" s="25"/>
    </row>
    <row r="331" spans="1:29" ht="12.75">
      <c r="A331" s="30"/>
      <c r="B331" s="6"/>
      <c r="C331" s="30"/>
      <c r="D331" s="15"/>
      <c r="F331" s="26"/>
      <c r="G331" s="80"/>
      <c r="H331" s="80"/>
      <c r="I331" s="80"/>
      <c r="J331" s="80"/>
      <c r="K331" s="80"/>
      <c r="O331" s="25"/>
      <c r="P331" s="26"/>
      <c r="AA331" s="26"/>
      <c r="AC331" s="25"/>
    </row>
    <row r="332" spans="1:29" ht="12.75">
      <c r="A332" s="30"/>
      <c r="B332" s="6"/>
      <c r="C332" s="30"/>
      <c r="D332" s="15"/>
      <c r="F332" s="26"/>
      <c r="G332" s="80"/>
      <c r="H332" s="80"/>
      <c r="I332" s="80"/>
      <c r="J332" s="80"/>
      <c r="K332" s="80"/>
      <c r="O332" s="25"/>
      <c r="P332" s="26"/>
      <c r="AA332" s="26"/>
      <c r="AC332" s="25"/>
    </row>
    <row r="333" spans="1:29" ht="12.75">
      <c r="A333" s="30"/>
      <c r="B333" s="6"/>
      <c r="C333" s="30"/>
      <c r="D333" s="15"/>
      <c r="F333" s="26"/>
      <c r="G333" s="80"/>
      <c r="H333" s="80"/>
      <c r="I333" s="80"/>
      <c r="J333" s="80"/>
      <c r="K333" s="80"/>
      <c r="O333" s="25"/>
      <c r="P333" s="26"/>
      <c r="AA333" s="26"/>
      <c r="AC333" s="25"/>
    </row>
    <row r="334" spans="1:29" ht="12.75">
      <c r="A334" s="30"/>
      <c r="B334" s="6"/>
      <c r="C334" s="30"/>
      <c r="D334" s="15"/>
      <c r="F334" s="26"/>
      <c r="G334" s="80"/>
      <c r="H334" s="80"/>
      <c r="I334" s="80"/>
      <c r="J334" s="80"/>
      <c r="K334" s="80"/>
      <c r="O334" s="25"/>
      <c r="P334" s="26"/>
      <c r="AA334" s="26"/>
      <c r="AC334" s="25"/>
    </row>
    <row r="335" spans="1:29" ht="12.75">
      <c r="A335" s="30"/>
      <c r="B335" s="6"/>
      <c r="C335" s="30"/>
      <c r="D335" s="15"/>
      <c r="F335" s="26"/>
      <c r="G335" s="80"/>
      <c r="H335" s="80"/>
      <c r="I335" s="80"/>
      <c r="J335" s="80"/>
      <c r="K335" s="80"/>
      <c r="O335" s="25"/>
      <c r="P335" s="26"/>
      <c r="AA335" s="26"/>
      <c r="AC335" s="25"/>
    </row>
    <row r="336" spans="1:29" ht="12.75">
      <c r="A336" s="30"/>
      <c r="B336" s="6"/>
      <c r="C336" s="30"/>
      <c r="D336" s="15"/>
      <c r="F336" s="26"/>
      <c r="G336" s="80"/>
      <c r="H336" s="80"/>
      <c r="I336" s="80"/>
      <c r="J336" s="80"/>
      <c r="K336" s="80"/>
      <c r="O336" s="25"/>
      <c r="P336" s="26"/>
      <c r="AA336" s="26"/>
      <c r="AC336" s="25"/>
    </row>
    <row r="337" spans="1:29" ht="12.75">
      <c r="A337" s="30"/>
      <c r="B337" s="6"/>
      <c r="C337" s="30"/>
      <c r="D337" s="15"/>
      <c r="F337" s="26"/>
      <c r="G337" s="80"/>
      <c r="H337" s="80"/>
      <c r="I337" s="80"/>
      <c r="J337" s="80"/>
      <c r="K337" s="80"/>
      <c r="O337" s="25"/>
      <c r="P337" s="26"/>
      <c r="AA337" s="26"/>
      <c r="AC337" s="25"/>
    </row>
    <row r="338" spans="1:29" ht="12.75">
      <c r="A338" s="30"/>
      <c r="B338" s="6"/>
      <c r="C338" s="30"/>
      <c r="D338" s="15"/>
      <c r="F338" s="26"/>
      <c r="G338" s="80"/>
      <c r="H338" s="80"/>
      <c r="I338" s="80"/>
      <c r="J338" s="80"/>
      <c r="K338" s="80"/>
      <c r="O338" s="25"/>
      <c r="P338" s="26"/>
      <c r="AA338" s="26"/>
      <c r="AC338" s="25"/>
    </row>
    <row r="339" spans="1:29" ht="12.75">
      <c r="A339" s="30"/>
      <c r="B339" s="6"/>
      <c r="C339" s="30"/>
      <c r="D339" s="15"/>
      <c r="F339" s="26"/>
      <c r="G339" s="80"/>
      <c r="H339" s="80"/>
      <c r="I339" s="80"/>
      <c r="J339" s="80"/>
      <c r="K339" s="80"/>
      <c r="O339" s="25"/>
      <c r="P339" s="26"/>
      <c r="AA339" s="26"/>
      <c r="AC339" s="25"/>
    </row>
    <row r="340" spans="1:29" ht="12.75">
      <c r="A340" s="30"/>
      <c r="B340" s="6"/>
      <c r="C340" s="30"/>
      <c r="D340" s="15"/>
      <c r="F340" s="26"/>
      <c r="G340" s="80"/>
      <c r="H340" s="80"/>
      <c r="I340" s="80"/>
      <c r="J340" s="80"/>
      <c r="K340" s="80"/>
      <c r="O340" s="25"/>
      <c r="P340" s="26"/>
      <c r="AA340" s="26"/>
      <c r="AC340" s="25"/>
    </row>
    <row r="341" spans="1:29" ht="12.75">
      <c r="A341" s="30"/>
      <c r="B341" s="6"/>
      <c r="C341" s="30"/>
      <c r="D341" s="15"/>
      <c r="F341" s="26"/>
      <c r="G341" s="80"/>
      <c r="H341" s="80"/>
      <c r="I341" s="80"/>
      <c r="J341" s="80"/>
      <c r="K341" s="80"/>
      <c r="O341" s="25"/>
      <c r="P341" s="26"/>
      <c r="AA341" s="26"/>
      <c r="AC341" s="25"/>
    </row>
    <row r="342" spans="1:29" ht="12.75">
      <c r="A342" s="30"/>
      <c r="B342" s="6"/>
      <c r="C342" s="30"/>
      <c r="D342" s="15"/>
      <c r="F342" s="26"/>
      <c r="G342" s="80"/>
      <c r="H342" s="80"/>
      <c r="I342" s="80"/>
      <c r="J342" s="80"/>
      <c r="K342" s="80"/>
      <c r="O342" s="25"/>
      <c r="P342" s="26"/>
      <c r="AA342" s="26"/>
      <c r="AC342" s="25"/>
    </row>
    <row r="343" spans="1:29" ht="12.75">
      <c r="A343" s="30"/>
      <c r="B343" s="6"/>
      <c r="C343" s="30"/>
      <c r="D343" s="15"/>
      <c r="F343" s="26"/>
      <c r="G343" s="80"/>
      <c r="H343" s="80"/>
      <c r="I343" s="80"/>
      <c r="J343" s="80"/>
      <c r="K343" s="80"/>
      <c r="O343" s="25"/>
      <c r="P343" s="26"/>
      <c r="AA343" s="26"/>
      <c r="AC343" s="25"/>
    </row>
    <row r="344" spans="1:29" ht="12.75">
      <c r="A344" s="30"/>
      <c r="B344" s="6"/>
      <c r="C344" s="30"/>
      <c r="D344" s="15"/>
      <c r="F344" s="26"/>
      <c r="G344" s="80"/>
      <c r="H344" s="80"/>
      <c r="I344" s="80"/>
      <c r="J344" s="80"/>
      <c r="K344" s="80"/>
      <c r="O344" s="25"/>
      <c r="P344" s="26"/>
      <c r="AA344" s="26"/>
      <c r="AC344" s="25"/>
    </row>
    <row r="345" spans="1:29" ht="12.75">
      <c r="A345" s="30"/>
      <c r="B345" s="6"/>
      <c r="C345" s="30"/>
      <c r="D345" s="15"/>
      <c r="F345" s="26"/>
      <c r="G345" s="80"/>
      <c r="H345" s="80"/>
      <c r="I345" s="80"/>
      <c r="J345" s="80"/>
      <c r="K345" s="80"/>
      <c r="O345" s="25"/>
      <c r="P345" s="26"/>
      <c r="AA345" s="26"/>
      <c r="AC345" s="25"/>
    </row>
    <row r="346" spans="1:29" ht="12.75">
      <c r="A346" s="30"/>
      <c r="B346" s="6"/>
      <c r="C346" s="30"/>
      <c r="D346" s="15"/>
      <c r="F346" s="26"/>
      <c r="G346" s="80"/>
      <c r="H346" s="80"/>
      <c r="I346" s="80"/>
      <c r="J346" s="80"/>
      <c r="K346" s="80"/>
      <c r="O346" s="25"/>
      <c r="P346" s="26"/>
      <c r="AA346" s="26"/>
      <c r="AC346" s="25"/>
    </row>
    <row r="347" spans="1:29" ht="12.75">
      <c r="A347" s="30"/>
      <c r="B347" s="6"/>
      <c r="C347" s="30"/>
      <c r="D347" s="15"/>
      <c r="F347" s="26"/>
      <c r="G347" s="80"/>
      <c r="H347" s="80"/>
      <c r="I347" s="80"/>
      <c r="J347" s="80"/>
      <c r="K347" s="80"/>
      <c r="O347" s="25"/>
      <c r="P347" s="26"/>
      <c r="AA347" s="26"/>
      <c r="AC347" s="25"/>
    </row>
    <row r="348" spans="1:29" ht="12.75">
      <c r="A348" s="30"/>
      <c r="B348" s="6"/>
      <c r="C348" s="30"/>
      <c r="D348" s="15"/>
      <c r="F348" s="26"/>
      <c r="G348" s="80"/>
      <c r="H348" s="80"/>
      <c r="I348" s="80"/>
      <c r="J348" s="80"/>
      <c r="K348" s="80"/>
      <c r="O348" s="25"/>
      <c r="P348" s="26"/>
      <c r="AA348" s="26"/>
      <c r="AC348" s="25"/>
    </row>
    <row r="349" spans="1:29" ht="12.75">
      <c r="A349" s="30"/>
      <c r="B349" s="6"/>
      <c r="C349" s="30"/>
      <c r="D349" s="15"/>
      <c r="F349" s="26"/>
      <c r="G349" s="80"/>
      <c r="H349" s="80"/>
      <c r="I349" s="80"/>
      <c r="J349" s="80"/>
      <c r="K349" s="80"/>
      <c r="O349" s="25"/>
      <c r="P349" s="26"/>
      <c r="AA349" s="26"/>
      <c r="AC349" s="25"/>
    </row>
    <row r="350" spans="1:29" ht="12.75">
      <c r="A350" s="30"/>
      <c r="B350" s="6"/>
      <c r="C350" s="30"/>
      <c r="D350" s="15"/>
      <c r="F350" s="26"/>
      <c r="G350" s="80"/>
      <c r="H350" s="80"/>
      <c r="I350" s="80"/>
      <c r="J350" s="80"/>
      <c r="K350" s="80"/>
      <c r="O350" s="25"/>
      <c r="P350" s="26"/>
      <c r="AA350" s="26"/>
      <c r="AC350" s="25"/>
    </row>
    <row r="351" spans="1:29" ht="12.75">
      <c r="A351" s="30"/>
      <c r="B351" s="6"/>
      <c r="C351" s="30"/>
      <c r="D351" s="15"/>
      <c r="F351" s="26"/>
      <c r="G351" s="80"/>
      <c r="H351" s="80"/>
      <c r="I351" s="80"/>
      <c r="J351" s="80"/>
      <c r="K351" s="80"/>
      <c r="O351" s="25"/>
      <c r="P351" s="26"/>
      <c r="AA351" s="26"/>
      <c r="AC351" s="25"/>
    </row>
    <row r="352" spans="1:29" ht="12.75">
      <c r="A352" s="30"/>
      <c r="B352" s="6"/>
      <c r="C352" s="30"/>
      <c r="D352" s="15"/>
      <c r="F352" s="26"/>
      <c r="G352" s="80"/>
      <c r="H352" s="80"/>
      <c r="I352" s="80"/>
      <c r="J352" s="80"/>
      <c r="K352" s="80"/>
      <c r="O352" s="25"/>
      <c r="P352" s="26"/>
      <c r="AA352" s="26"/>
      <c r="AC352" s="25"/>
    </row>
    <row r="353" spans="1:29" ht="12.75">
      <c r="A353" s="30"/>
      <c r="B353" s="6"/>
      <c r="C353" s="30"/>
      <c r="D353" s="15"/>
      <c r="F353" s="26"/>
      <c r="G353" s="80"/>
      <c r="H353" s="80"/>
      <c r="I353" s="80"/>
      <c r="J353" s="80"/>
      <c r="K353" s="80"/>
      <c r="O353" s="25"/>
      <c r="P353" s="26"/>
      <c r="AA353" s="26"/>
      <c r="AC353" s="25"/>
    </row>
    <row r="354" spans="1:29" ht="12.75">
      <c r="A354" s="30"/>
      <c r="B354" s="6"/>
      <c r="C354" s="30"/>
      <c r="D354" s="15"/>
      <c r="F354" s="26"/>
      <c r="G354" s="80"/>
      <c r="H354" s="80"/>
      <c r="I354" s="80"/>
      <c r="J354" s="80"/>
      <c r="K354" s="80"/>
      <c r="O354" s="25"/>
      <c r="P354" s="26"/>
      <c r="AA354" s="26"/>
      <c r="AC354" s="25"/>
    </row>
    <row r="355" spans="1:29" ht="12.75">
      <c r="A355" s="30"/>
      <c r="B355" s="6"/>
      <c r="C355" s="30"/>
      <c r="D355" s="15"/>
      <c r="F355" s="26"/>
      <c r="G355" s="80"/>
      <c r="H355" s="80"/>
      <c r="I355" s="80"/>
      <c r="J355" s="80"/>
      <c r="K355" s="80"/>
      <c r="O355" s="25"/>
      <c r="P355" s="26"/>
      <c r="AA355" s="26"/>
      <c r="AC355" s="25"/>
    </row>
    <row r="356" spans="1:29" ht="12.75">
      <c r="A356" s="30"/>
      <c r="B356" s="6"/>
      <c r="C356" s="30"/>
      <c r="D356" s="15"/>
      <c r="F356" s="26"/>
      <c r="G356" s="80"/>
      <c r="H356" s="80"/>
      <c r="I356" s="80"/>
      <c r="J356" s="80"/>
      <c r="K356" s="80"/>
      <c r="O356" s="25"/>
      <c r="P356" s="26"/>
      <c r="AA356" s="26"/>
      <c r="AC356" s="25"/>
    </row>
    <row r="357" spans="1:29" ht="12.75">
      <c r="A357" s="30"/>
      <c r="B357" s="6"/>
      <c r="C357" s="30"/>
      <c r="D357" s="15"/>
      <c r="F357" s="26"/>
      <c r="G357" s="80"/>
      <c r="H357" s="80"/>
      <c r="I357" s="80"/>
      <c r="J357" s="80"/>
      <c r="K357" s="80"/>
      <c r="O357" s="25"/>
      <c r="P357" s="26"/>
      <c r="AA357" s="26"/>
      <c r="AC357" s="25"/>
    </row>
    <row r="358" spans="1:29" ht="12.75">
      <c r="A358" s="30"/>
      <c r="B358" s="6"/>
      <c r="C358" s="30"/>
      <c r="D358" s="15"/>
      <c r="F358" s="26"/>
      <c r="G358" s="80"/>
      <c r="H358" s="80"/>
      <c r="I358" s="80"/>
      <c r="J358" s="80"/>
      <c r="K358" s="80"/>
      <c r="O358" s="25"/>
      <c r="P358" s="26"/>
      <c r="AA358" s="26"/>
      <c r="AC358" s="25"/>
    </row>
    <row r="359" spans="1:29" ht="12.75">
      <c r="A359" s="30"/>
      <c r="B359" s="6"/>
      <c r="C359" s="30"/>
      <c r="D359" s="15"/>
      <c r="F359" s="26"/>
      <c r="G359" s="80"/>
      <c r="H359" s="80"/>
      <c r="I359" s="80"/>
      <c r="J359" s="80"/>
      <c r="K359" s="80"/>
      <c r="O359" s="25"/>
      <c r="P359" s="26"/>
      <c r="AA359" s="26"/>
      <c r="AC359" s="25"/>
    </row>
    <row r="360" spans="1:29" ht="12.75">
      <c r="A360" s="30"/>
      <c r="B360" s="6"/>
      <c r="C360" s="30"/>
      <c r="D360" s="15"/>
      <c r="F360" s="26"/>
      <c r="G360" s="80"/>
      <c r="H360" s="80"/>
      <c r="I360" s="80"/>
      <c r="J360" s="80"/>
      <c r="K360" s="80"/>
      <c r="O360" s="25"/>
      <c r="P360" s="26"/>
      <c r="AA360" s="26"/>
      <c r="AC360" s="25"/>
    </row>
    <row r="361" spans="1:29" ht="12.75">
      <c r="A361" s="30"/>
      <c r="B361" s="6"/>
      <c r="C361" s="30"/>
      <c r="D361" s="15"/>
      <c r="F361" s="26"/>
      <c r="G361" s="80"/>
      <c r="H361" s="80"/>
      <c r="I361" s="80"/>
      <c r="J361" s="80"/>
      <c r="K361" s="80"/>
      <c r="O361" s="25"/>
      <c r="P361" s="26"/>
      <c r="AA361" s="26"/>
      <c r="AC361" s="25"/>
    </row>
    <row r="362" spans="1:29" ht="12.75">
      <c r="A362" s="30"/>
      <c r="B362" s="6"/>
      <c r="C362" s="30"/>
      <c r="D362" s="15"/>
      <c r="F362" s="26"/>
      <c r="G362" s="80"/>
      <c r="H362" s="80"/>
      <c r="I362" s="80"/>
      <c r="J362" s="80"/>
      <c r="K362" s="80"/>
      <c r="O362" s="25"/>
      <c r="P362" s="26"/>
      <c r="AA362" s="26"/>
      <c r="AC362" s="25"/>
    </row>
    <row r="363" spans="1:29" ht="12.75">
      <c r="A363" s="30"/>
      <c r="B363" s="6"/>
      <c r="C363" s="30"/>
      <c r="D363" s="15"/>
      <c r="F363" s="26"/>
      <c r="G363" s="80"/>
      <c r="H363" s="80"/>
      <c r="I363" s="80"/>
      <c r="J363" s="80"/>
      <c r="K363" s="80"/>
      <c r="O363" s="25"/>
      <c r="P363" s="26"/>
      <c r="AA363" s="26"/>
      <c r="AC363" s="25"/>
    </row>
    <row r="364" spans="1:29" ht="12.75">
      <c r="A364" s="30"/>
      <c r="B364" s="6"/>
      <c r="C364" s="30"/>
      <c r="D364" s="15"/>
      <c r="F364" s="26"/>
      <c r="G364" s="80"/>
      <c r="H364" s="80"/>
      <c r="I364" s="80"/>
      <c r="J364" s="80"/>
      <c r="K364" s="80"/>
      <c r="O364" s="25"/>
      <c r="P364" s="26"/>
      <c r="AA364" s="26"/>
      <c r="AC364" s="25"/>
    </row>
    <row r="365" spans="1:29" ht="12.75">
      <c r="A365" s="30"/>
      <c r="B365" s="6"/>
      <c r="C365" s="30"/>
      <c r="D365" s="15"/>
      <c r="F365" s="26"/>
      <c r="G365" s="80"/>
      <c r="H365" s="80"/>
      <c r="I365" s="80"/>
      <c r="J365" s="80"/>
      <c r="K365" s="80"/>
      <c r="O365" s="25"/>
      <c r="P365" s="26"/>
      <c r="AA365" s="26"/>
      <c r="AC365" s="25"/>
    </row>
    <row r="366" spans="1:29" ht="12.75">
      <c r="A366" s="30"/>
      <c r="B366" s="6"/>
      <c r="C366" s="30"/>
      <c r="D366" s="15"/>
      <c r="F366" s="26"/>
      <c r="G366" s="80"/>
      <c r="H366" s="80"/>
      <c r="I366" s="80"/>
      <c r="J366" s="80"/>
      <c r="K366" s="80"/>
      <c r="O366" s="25"/>
      <c r="P366" s="26"/>
      <c r="AA366" s="26"/>
      <c r="AC366" s="25"/>
    </row>
    <row r="367" spans="1:29" ht="12.75">
      <c r="A367" s="30"/>
      <c r="B367" s="6"/>
      <c r="C367" s="30"/>
      <c r="D367" s="15"/>
      <c r="F367" s="26"/>
      <c r="G367" s="80"/>
      <c r="H367" s="80"/>
      <c r="I367" s="80"/>
      <c r="J367" s="80"/>
      <c r="K367" s="80"/>
      <c r="O367" s="25"/>
      <c r="P367" s="26"/>
      <c r="AA367" s="26"/>
      <c r="AC367" s="25"/>
    </row>
    <row r="368" spans="1:29" ht="12.75">
      <c r="A368" s="30"/>
      <c r="B368" s="6"/>
      <c r="C368" s="30"/>
      <c r="D368" s="15"/>
      <c r="F368" s="26"/>
      <c r="G368" s="80"/>
      <c r="H368" s="80"/>
      <c r="I368" s="80"/>
      <c r="J368" s="80"/>
      <c r="K368" s="80"/>
      <c r="O368" s="25"/>
      <c r="P368" s="26"/>
      <c r="AA368" s="26"/>
      <c r="AC368" s="25"/>
    </row>
    <row r="369" spans="1:29" ht="12.75">
      <c r="A369" s="30"/>
      <c r="B369" s="6"/>
      <c r="C369" s="30"/>
      <c r="D369" s="15"/>
      <c r="F369" s="26"/>
      <c r="G369" s="80"/>
      <c r="H369" s="80"/>
      <c r="I369" s="80"/>
      <c r="J369" s="80"/>
      <c r="K369" s="80"/>
      <c r="O369" s="25"/>
      <c r="P369" s="26"/>
      <c r="AA369" s="26"/>
      <c r="AC369" s="25"/>
    </row>
    <row r="370" spans="1:29" ht="12.75">
      <c r="A370" s="30"/>
      <c r="B370" s="6"/>
      <c r="C370" s="30"/>
      <c r="D370" s="15"/>
      <c r="F370" s="26"/>
      <c r="G370" s="80"/>
      <c r="H370" s="80"/>
      <c r="I370" s="80"/>
      <c r="J370" s="80"/>
      <c r="K370" s="80"/>
      <c r="O370" s="25"/>
      <c r="P370" s="26"/>
      <c r="AA370" s="26"/>
      <c r="AC370" s="25"/>
    </row>
    <row r="371" spans="1:29" ht="12.75">
      <c r="A371" s="30"/>
      <c r="B371" s="6"/>
      <c r="C371" s="30"/>
      <c r="D371" s="15"/>
      <c r="F371" s="26"/>
      <c r="G371" s="80"/>
      <c r="H371" s="80"/>
      <c r="I371" s="80"/>
      <c r="J371" s="80"/>
      <c r="K371" s="80"/>
      <c r="O371" s="25"/>
      <c r="P371" s="26"/>
      <c r="AA371" s="26"/>
      <c r="AC371" s="25"/>
    </row>
    <row r="372" spans="1:29" ht="12.75">
      <c r="A372" s="30"/>
      <c r="B372" s="6"/>
      <c r="C372" s="30"/>
      <c r="D372" s="15"/>
      <c r="F372" s="26"/>
      <c r="G372" s="80"/>
      <c r="H372" s="80"/>
      <c r="I372" s="80"/>
      <c r="J372" s="80"/>
      <c r="K372" s="80"/>
      <c r="O372" s="25"/>
      <c r="P372" s="26"/>
      <c r="AA372" s="26"/>
      <c r="AC372" s="25"/>
    </row>
    <row r="373" spans="1:29" ht="12.75">
      <c r="A373" s="30"/>
      <c r="B373" s="6"/>
      <c r="C373" s="30"/>
      <c r="D373" s="15"/>
      <c r="F373" s="26"/>
      <c r="G373" s="80"/>
      <c r="H373" s="80"/>
      <c r="I373" s="80"/>
      <c r="J373" s="80"/>
      <c r="K373" s="80"/>
      <c r="O373" s="25"/>
      <c r="P373" s="26"/>
      <c r="AA373" s="26"/>
      <c r="AC373" s="25"/>
    </row>
    <row r="374" spans="1:29" ht="12.75">
      <c r="A374" s="30"/>
      <c r="B374" s="6"/>
      <c r="C374" s="30"/>
      <c r="D374" s="15"/>
      <c r="F374" s="26"/>
      <c r="G374" s="80"/>
      <c r="H374" s="80"/>
      <c r="I374" s="80"/>
      <c r="J374" s="80"/>
      <c r="K374" s="80"/>
      <c r="O374" s="25"/>
      <c r="P374" s="26"/>
      <c r="AA374" s="26"/>
      <c r="AC374" s="25"/>
    </row>
    <row r="375" spans="1:29" ht="12.75">
      <c r="A375" s="30"/>
      <c r="B375" s="6"/>
      <c r="C375" s="30"/>
      <c r="D375" s="15"/>
      <c r="F375" s="26"/>
      <c r="G375" s="80"/>
      <c r="H375" s="80"/>
      <c r="I375" s="80"/>
      <c r="J375" s="80"/>
      <c r="K375" s="80"/>
      <c r="O375" s="25"/>
      <c r="P375" s="26"/>
      <c r="AA375" s="26"/>
      <c r="AC375" s="25"/>
    </row>
    <row r="376" spans="1:29" ht="12.75">
      <c r="A376" s="30"/>
      <c r="B376" s="6"/>
      <c r="C376" s="30"/>
      <c r="D376" s="15"/>
      <c r="F376" s="26"/>
      <c r="G376" s="80"/>
      <c r="H376" s="80"/>
      <c r="I376" s="80"/>
      <c r="J376" s="80"/>
      <c r="K376" s="80"/>
      <c r="O376" s="25"/>
      <c r="P376" s="26"/>
      <c r="AA376" s="26"/>
      <c r="AC376" s="25"/>
    </row>
    <row r="377" spans="1:29" ht="12.75">
      <c r="A377" s="30"/>
      <c r="B377" s="6"/>
      <c r="C377" s="30"/>
      <c r="D377" s="15"/>
      <c r="F377" s="26"/>
      <c r="G377" s="80"/>
      <c r="H377" s="80"/>
      <c r="I377" s="80"/>
      <c r="J377" s="80"/>
      <c r="K377" s="80"/>
      <c r="O377" s="25"/>
      <c r="P377" s="26"/>
      <c r="AA377" s="26"/>
      <c r="AC377" s="25"/>
    </row>
    <row r="378" spans="1:29" ht="12.75">
      <c r="A378" s="30"/>
      <c r="B378" s="6"/>
      <c r="C378" s="30"/>
      <c r="D378" s="15"/>
      <c r="F378" s="26"/>
      <c r="G378" s="80"/>
      <c r="H378" s="80"/>
      <c r="I378" s="80"/>
      <c r="J378" s="80"/>
      <c r="K378" s="80"/>
      <c r="O378" s="25"/>
      <c r="P378" s="26"/>
      <c r="AA378" s="26"/>
      <c r="AC378" s="25"/>
    </row>
    <row r="379" spans="1:29" ht="12.75">
      <c r="A379" s="30"/>
      <c r="B379" s="6"/>
      <c r="C379" s="30"/>
      <c r="D379" s="15"/>
      <c r="F379" s="26"/>
      <c r="G379" s="80"/>
      <c r="H379" s="80"/>
      <c r="I379" s="80"/>
      <c r="J379" s="80"/>
      <c r="K379" s="80"/>
      <c r="O379" s="25"/>
      <c r="P379" s="26"/>
      <c r="AA379" s="26"/>
      <c r="AC379" s="25"/>
    </row>
    <row r="380" spans="1:29" ht="12.75">
      <c r="A380" s="30"/>
      <c r="B380" s="6"/>
      <c r="C380" s="30"/>
      <c r="D380" s="15"/>
      <c r="F380" s="26"/>
      <c r="G380" s="80"/>
      <c r="H380" s="80"/>
      <c r="I380" s="80"/>
      <c r="J380" s="80"/>
      <c r="K380" s="80"/>
      <c r="O380" s="25"/>
      <c r="P380" s="26"/>
      <c r="AA380" s="26"/>
      <c r="AC380" s="25"/>
    </row>
    <row r="381" spans="1:29" ht="12.75">
      <c r="A381" s="30"/>
      <c r="B381" s="6"/>
      <c r="C381" s="30"/>
      <c r="D381" s="15"/>
      <c r="F381" s="26"/>
      <c r="G381" s="80"/>
      <c r="H381" s="80"/>
      <c r="I381" s="80"/>
      <c r="J381" s="80"/>
      <c r="K381" s="80"/>
      <c r="O381" s="25"/>
      <c r="P381" s="26"/>
      <c r="AA381" s="26"/>
      <c r="AC381" s="25"/>
    </row>
    <row r="382" spans="1:29" ht="12.75">
      <c r="A382" s="30"/>
      <c r="B382" s="6"/>
      <c r="C382" s="30"/>
      <c r="D382" s="15"/>
      <c r="F382" s="26"/>
      <c r="G382" s="80"/>
      <c r="H382" s="80"/>
      <c r="I382" s="80"/>
      <c r="J382" s="80"/>
      <c r="K382" s="80"/>
      <c r="O382" s="25"/>
      <c r="P382" s="26"/>
      <c r="AA382" s="26"/>
      <c r="AC382" s="25"/>
    </row>
    <row r="383" spans="1:29" ht="12.75">
      <c r="A383" s="30"/>
      <c r="B383" s="6"/>
      <c r="C383" s="30"/>
      <c r="D383" s="15"/>
      <c r="F383" s="26"/>
      <c r="G383" s="80"/>
      <c r="H383" s="80"/>
      <c r="I383" s="80"/>
      <c r="J383" s="80"/>
      <c r="K383" s="80"/>
      <c r="O383" s="25"/>
      <c r="P383" s="26"/>
      <c r="AA383" s="26"/>
      <c r="AC383" s="25"/>
    </row>
    <row r="384" spans="1:29" ht="12.75">
      <c r="A384" s="30"/>
      <c r="B384" s="6"/>
      <c r="C384" s="30"/>
      <c r="D384" s="15"/>
      <c r="F384" s="26"/>
      <c r="G384" s="80"/>
      <c r="H384" s="80"/>
      <c r="I384" s="80"/>
      <c r="J384" s="80"/>
      <c r="K384" s="80"/>
      <c r="O384" s="25"/>
      <c r="P384" s="26"/>
      <c r="AA384" s="26"/>
      <c r="AC384" s="25"/>
    </row>
    <row r="385" spans="1:29" ht="12.75">
      <c r="A385" s="30"/>
      <c r="B385" s="6"/>
      <c r="C385" s="30"/>
      <c r="D385" s="15"/>
      <c r="F385" s="26"/>
      <c r="G385" s="80"/>
      <c r="H385" s="80"/>
      <c r="I385" s="80"/>
      <c r="J385" s="80"/>
      <c r="K385" s="80"/>
      <c r="O385" s="25"/>
      <c r="P385" s="26"/>
      <c r="AA385" s="26"/>
      <c r="AC385" s="25"/>
    </row>
    <row r="386" spans="1:29" ht="12.75">
      <c r="A386" s="30"/>
      <c r="B386" s="6"/>
      <c r="C386" s="30"/>
      <c r="D386" s="15"/>
      <c r="F386" s="26"/>
      <c r="G386" s="80"/>
      <c r="H386" s="80"/>
      <c r="I386" s="80"/>
      <c r="J386" s="80"/>
      <c r="K386" s="80"/>
      <c r="O386" s="25"/>
      <c r="P386" s="26"/>
      <c r="AA386" s="26"/>
      <c r="AC386" s="25"/>
    </row>
    <row r="387" spans="1:29" ht="12.75">
      <c r="A387" s="30"/>
      <c r="B387" s="6"/>
      <c r="C387" s="30"/>
      <c r="D387" s="15"/>
      <c r="F387" s="26"/>
      <c r="G387" s="80"/>
      <c r="H387" s="80"/>
      <c r="I387" s="80"/>
      <c r="J387" s="80"/>
      <c r="K387" s="80"/>
      <c r="O387" s="25"/>
      <c r="P387" s="26"/>
      <c r="AA387" s="26"/>
      <c r="AC387" s="25"/>
    </row>
    <row r="388" spans="1:29" ht="12.75">
      <c r="A388" s="30"/>
      <c r="B388" s="6"/>
      <c r="C388" s="30"/>
      <c r="D388" s="15"/>
      <c r="F388" s="26"/>
      <c r="G388" s="80"/>
      <c r="H388" s="80"/>
      <c r="I388" s="80"/>
      <c r="J388" s="80"/>
      <c r="K388" s="80"/>
      <c r="O388" s="25"/>
      <c r="P388" s="26"/>
      <c r="AA388" s="26"/>
      <c r="AC388" s="25"/>
    </row>
    <row r="389" spans="1:29" ht="12.75">
      <c r="A389" s="30"/>
      <c r="B389" s="6"/>
      <c r="C389" s="30"/>
      <c r="D389" s="15"/>
      <c r="F389" s="26"/>
      <c r="G389" s="80"/>
      <c r="H389" s="80"/>
      <c r="I389" s="80"/>
      <c r="J389" s="80"/>
      <c r="K389" s="80"/>
      <c r="O389" s="25"/>
      <c r="P389" s="26"/>
      <c r="AA389" s="26"/>
      <c r="AC389" s="25"/>
    </row>
    <row r="390" spans="1:29" ht="12.75">
      <c r="A390" s="30"/>
      <c r="B390" s="6"/>
      <c r="C390" s="30"/>
      <c r="D390" s="15"/>
      <c r="F390" s="26"/>
      <c r="G390" s="80"/>
      <c r="H390" s="80"/>
      <c r="I390" s="80"/>
      <c r="J390" s="80"/>
      <c r="K390" s="80"/>
      <c r="O390" s="25"/>
      <c r="P390" s="26"/>
      <c r="AA390" s="26"/>
      <c r="AC390" s="25"/>
    </row>
    <row r="391" spans="1:29" ht="12.75">
      <c r="A391" s="30"/>
      <c r="B391" s="6"/>
      <c r="C391" s="30"/>
      <c r="D391" s="15"/>
      <c r="F391" s="26"/>
      <c r="G391" s="80"/>
      <c r="H391" s="80"/>
      <c r="I391" s="80"/>
      <c r="J391" s="80"/>
      <c r="K391" s="80"/>
      <c r="O391" s="25"/>
      <c r="P391" s="26"/>
      <c r="AA391" s="26"/>
      <c r="AC391" s="25"/>
    </row>
    <row r="392" spans="1:29" ht="12.75">
      <c r="A392" s="30"/>
      <c r="B392" s="6"/>
      <c r="C392" s="30"/>
      <c r="D392" s="15"/>
      <c r="F392" s="26"/>
      <c r="G392" s="80"/>
      <c r="H392" s="80"/>
      <c r="I392" s="80"/>
      <c r="J392" s="80"/>
      <c r="K392" s="80"/>
      <c r="O392" s="25"/>
      <c r="P392" s="26"/>
      <c r="AA392" s="26"/>
      <c r="AC392" s="25"/>
    </row>
    <row r="393" spans="1:29" ht="12.75">
      <c r="A393" s="30"/>
      <c r="B393" s="6"/>
      <c r="C393" s="30"/>
      <c r="D393" s="15"/>
      <c r="F393" s="26"/>
      <c r="G393" s="80"/>
      <c r="H393" s="80"/>
      <c r="I393" s="80"/>
      <c r="J393" s="80"/>
      <c r="K393" s="80"/>
      <c r="O393" s="25"/>
      <c r="P393" s="26"/>
      <c r="AA393" s="26"/>
      <c r="AC393" s="25"/>
    </row>
    <row r="394" spans="1:29" ht="12.75">
      <c r="A394" s="30"/>
      <c r="B394" s="6"/>
      <c r="C394" s="30"/>
      <c r="D394" s="15"/>
      <c r="F394" s="26"/>
      <c r="G394" s="80"/>
      <c r="H394" s="80"/>
      <c r="I394" s="80"/>
      <c r="J394" s="80"/>
      <c r="K394" s="80"/>
      <c r="O394" s="25"/>
      <c r="P394" s="26"/>
      <c r="AA394" s="26"/>
      <c r="AC394" s="25"/>
    </row>
    <row r="395" spans="1:29" ht="12.75">
      <c r="A395" s="30"/>
      <c r="B395" s="6"/>
      <c r="C395" s="30"/>
      <c r="D395" s="15"/>
      <c r="F395" s="26"/>
      <c r="G395" s="80"/>
      <c r="H395" s="80"/>
      <c r="I395" s="80"/>
      <c r="J395" s="80"/>
      <c r="K395" s="80"/>
      <c r="O395" s="25"/>
      <c r="P395" s="26"/>
      <c r="AA395" s="26"/>
      <c r="AC395" s="25"/>
    </row>
    <row r="396" spans="1:29" ht="12.75">
      <c r="A396" s="30"/>
      <c r="B396" s="6"/>
      <c r="C396" s="30"/>
      <c r="D396" s="15"/>
      <c r="F396" s="26"/>
      <c r="G396" s="80"/>
      <c r="H396" s="80"/>
      <c r="I396" s="80"/>
      <c r="J396" s="80"/>
      <c r="K396" s="80"/>
      <c r="O396" s="25"/>
      <c r="P396" s="26"/>
      <c r="AA396" s="26"/>
      <c r="AC396" s="25"/>
    </row>
    <row r="397" spans="1:29" ht="12.75">
      <c r="A397" s="30"/>
      <c r="B397" s="6"/>
      <c r="C397" s="30"/>
      <c r="D397" s="15"/>
      <c r="F397" s="26"/>
      <c r="G397" s="80"/>
      <c r="H397" s="80"/>
      <c r="I397" s="80"/>
      <c r="J397" s="80"/>
      <c r="K397" s="80"/>
      <c r="O397" s="25"/>
      <c r="P397" s="26"/>
      <c r="AA397" s="26"/>
      <c r="AC397" s="25"/>
    </row>
    <row r="398" spans="1:29" ht="12.75">
      <c r="A398" s="30"/>
      <c r="B398" s="6"/>
      <c r="C398" s="30"/>
      <c r="D398" s="15"/>
      <c r="F398" s="26"/>
      <c r="G398" s="80"/>
      <c r="H398" s="80"/>
      <c r="I398" s="80"/>
      <c r="J398" s="80"/>
      <c r="K398" s="80"/>
      <c r="O398" s="25"/>
      <c r="P398" s="26"/>
      <c r="AA398" s="26"/>
      <c r="AC398" s="25"/>
    </row>
    <row r="399" spans="1:29" ht="12.75">
      <c r="A399" s="30"/>
      <c r="B399" s="6"/>
      <c r="C399" s="30"/>
      <c r="D399" s="15"/>
      <c r="F399" s="26"/>
      <c r="G399" s="80"/>
      <c r="H399" s="80"/>
      <c r="I399" s="80"/>
      <c r="J399" s="80"/>
      <c r="K399" s="80"/>
      <c r="O399" s="25"/>
      <c r="P399" s="26"/>
      <c r="AA399" s="26"/>
      <c r="AC399" s="25"/>
    </row>
    <row r="400" spans="1:29" ht="12.75">
      <c r="A400" s="30"/>
      <c r="B400" s="6"/>
      <c r="C400" s="30"/>
      <c r="D400" s="15"/>
      <c r="F400" s="26"/>
      <c r="G400" s="80"/>
      <c r="H400" s="80"/>
      <c r="I400" s="80"/>
      <c r="J400" s="80"/>
      <c r="K400" s="80"/>
      <c r="O400" s="25"/>
      <c r="P400" s="26"/>
      <c r="AA400" s="26"/>
      <c r="AC400" s="25"/>
    </row>
    <row r="401" spans="1:29" ht="12.75">
      <c r="A401" s="30"/>
      <c r="B401" s="6"/>
      <c r="C401" s="30"/>
      <c r="D401" s="15"/>
      <c r="F401" s="26"/>
      <c r="G401" s="80"/>
      <c r="H401" s="80"/>
      <c r="I401" s="80"/>
      <c r="J401" s="80"/>
      <c r="K401" s="80"/>
      <c r="O401" s="25"/>
      <c r="P401" s="26"/>
      <c r="AA401" s="26"/>
      <c r="AC401" s="25"/>
    </row>
    <row r="402" spans="1:29" ht="12.75">
      <c r="A402" s="30"/>
      <c r="B402" s="6"/>
      <c r="C402" s="30"/>
      <c r="D402" s="15"/>
      <c r="F402" s="26"/>
      <c r="G402" s="80"/>
      <c r="H402" s="80"/>
      <c r="I402" s="80"/>
      <c r="J402" s="80"/>
      <c r="K402" s="80"/>
      <c r="O402" s="25"/>
      <c r="P402" s="26"/>
      <c r="AA402" s="26"/>
      <c r="AC402" s="25"/>
    </row>
    <row r="403" spans="1:29" ht="12.75">
      <c r="A403" s="30"/>
      <c r="B403" s="6"/>
      <c r="C403" s="30"/>
      <c r="D403" s="15"/>
      <c r="F403" s="26"/>
      <c r="G403" s="80"/>
      <c r="H403" s="80"/>
      <c r="I403" s="80"/>
      <c r="J403" s="80"/>
      <c r="K403" s="80"/>
      <c r="O403" s="25"/>
      <c r="P403" s="26"/>
      <c r="AA403" s="26"/>
      <c r="AC403" s="25"/>
    </row>
    <row r="404" spans="1:29" ht="12.75">
      <c r="A404" s="30"/>
      <c r="B404" s="6"/>
      <c r="C404" s="30"/>
      <c r="D404" s="15"/>
      <c r="F404" s="26"/>
      <c r="G404" s="80"/>
      <c r="H404" s="80"/>
      <c r="I404" s="80"/>
      <c r="J404" s="80"/>
      <c r="K404" s="80"/>
      <c r="O404" s="25"/>
      <c r="P404" s="26"/>
      <c r="AA404" s="26"/>
      <c r="AC404" s="25"/>
    </row>
    <row r="405" spans="1:29" ht="12.75">
      <c r="A405" s="30"/>
      <c r="B405" s="6"/>
      <c r="C405" s="30"/>
      <c r="D405" s="15"/>
      <c r="F405" s="26"/>
      <c r="G405" s="80"/>
      <c r="H405" s="80"/>
      <c r="I405" s="80"/>
      <c r="J405" s="80"/>
      <c r="K405" s="80"/>
      <c r="O405" s="25"/>
      <c r="P405" s="26"/>
      <c r="AA405" s="26"/>
      <c r="AC405" s="25"/>
    </row>
    <row r="406" spans="1:29" ht="12.75">
      <c r="A406" s="30"/>
      <c r="B406" s="6"/>
      <c r="C406" s="30"/>
      <c r="D406" s="15"/>
      <c r="F406" s="26"/>
      <c r="G406" s="80"/>
      <c r="H406" s="80"/>
      <c r="I406" s="80"/>
      <c r="J406" s="80"/>
      <c r="K406" s="80"/>
      <c r="O406" s="25"/>
      <c r="P406" s="26"/>
      <c r="AA406" s="26"/>
      <c r="AC406" s="25"/>
    </row>
    <row r="407" spans="1:29" ht="12.75">
      <c r="A407" s="30"/>
      <c r="B407" s="6"/>
      <c r="C407" s="30"/>
      <c r="D407" s="15"/>
      <c r="F407" s="26"/>
      <c r="G407" s="80"/>
      <c r="H407" s="80"/>
      <c r="I407" s="80"/>
      <c r="J407" s="80"/>
      <c r="K407" s="80"/>
      <c r="O407" s="25"/>
      <c r="P407" s="26"/>
      <c r="AA407" s="26"/>
      <c r="AC407" s="25"/>
    </row>
    <row r="408" spans="1:29" ht="12.75">
      <c r="A408" s="30"/>
      <c r="B408" s="6"/>
      <c r="C408" s="30"/>
      <c r="D408" s="15"/>
      <c r="F408" s="26"/>
      <c r="G408" s="80"/>
      <c r="H408" s="80"/>
      <c r="I408" s="80"/>
      <c r="J408" s="80"/>
      <c r="K408" s="80"/>
      <c r="O408" s="25"/>
      <c r="P408" s="26"/>
      <c r="AA408" s="26"/>
      <c r="AC408" s="25"/>
    </row>
    <row r="409" spans="1:29" ht="12.75">
      <c r="A409" s="30"/>
      <c r="B409" s="6"/>
      <c r="C409" s="30"/>
      <c r="D409" s="15"/>
      <c r="F409" s="26"/>
      <c r="G409" s="80"/>
      <c r="H409" s="80"/>
      <c r="I409" s="80"/>
      <c r="J409" s="80"/>
      <c r="K409" s="80"/>
      <c r="O409" s="25"/>
      <c r="P409" s="26"/>
      <c r="AA409" s="26"/>
      <c r="AC409" s="25"/>
    </row>
    <row r="410" spans="1:29" ht="12.75">
      <c r="A410" s="30"/>
      <c r="B410" s="6"/>
      <c r="C410" s="30"/>
      <c r="D410" s="15"/>
      <c r="F410" s="26"/>
      <c r="G410" s="80"/>
      <c r="H410" s="80"/>
      <c r="I410" s="80"/>
      <c r="J410" s="80"/>
      <c r="K410" s="80"/>
      <c r="O410" s="25"/>
      <c r="P410" s="26"/>
      <c r="AA410" s="26"/>
      <c r="AC410" s="25"/>
    </row>
    <row r="411" spans="1:29" ht="12.75">
      <c r="A411" s="30"/>
      <c r="B411" s="6"/>
      <c r="C411" s="30"/>
      <c r="D411" s="15"/>
      <c r="F411" s="26"/>
      <c r="G411" s="80"/>
      <c r="H411" s="80"/>
      <c r="I411" s="80"/>
      <c r="J411" s="80"/>
      <c r="K411" s="80"/>
      <c r="O411" s="25"/>
      <c r="P411" s="26"/>
      <c r="AA411" s="26"/>
      <c r="AC411" s="25"/>
    </row>
    <row r="412" spans="1:29" ht="12.75">
      <c r="A412" s="30"/>
      <c r="B412" s="6"/>
      <c r="C412" s="30"/>
      <c r="D412" s="15"/>
      <c r="F412" s="26"/>
      <c r="G412" s="80"/>
      <c r="H412" s="80"/>
      <c r="I412" s="80"/>
      <c r="J412" s="80"/>
      <c r="K412" s="80"/>
      <c r="O412" s="25"/>
      <c r="P412" s="26"/>
      <c r="AA412" s="26"/>
      <c r="AC412" s="25"/>
    </row>
    <row r="413" spans="1:29" ht="12.75">
      <c r="A413" s="30"/>
      <c r="B413" s="6"/>
      <c r="C413" s="30"/>
      <c r="D413" s="15"/>
      <c r="F413" s="26"/>
      <c r="G413" s="80"/>
      <c r="H413" s="80"/>
      <c r="I413" s="80"/>
      <c r="J413" s="80"/>
      <c r="K413" s="80"/>
      <c r="O413" s="25"/>
      <c r="P413" s="26"/>
      <c r="AA413" s="26"/>
      <c r="AC413" s="25"/>
    </row>
    <row r="414" spans="1:29" ht="12.75">
      <c r="A414" s="30"/>
      <c r="B414" s="6"/>
      <c r="C414" s="30"/>
      <c r="D414" s="15"/>
      <c r="F414" s="26"/>
      <c r="G414" s="80"/>
      <c r="H414" s="80"/>
      <c r="I414" s="80"/>
      <c r="J414" s="80"/>
      <c r="K414" s="80"/>
      <c r="O414" s="25"/>
      <c r="P414" s="26"/>
      <c r="AA414" s="26"/>
      <c r="AC414" s="25"/>
    </row>
    <row r="415" spans="1:29" ht="12.75">
      <c r="A415" s="30"/>
      <c r="B415" s="6"/>
      <c r="C415" s="30"/>
      <c r="D415" s="15"/>
      <c r="F415" s="26"/>
      <c r="G415" s="80"/>
      <c r="H415" s="80"/>
      <c r="I415" s="80"/>
      <c r="J415" s="80"/>
      <c r="K415" s="80"/>
      <c r="O415" s="25"/>
      <c r="P415" s="26"/>
      <c r="AA415" s="26"/>
      <c r="AC415" s="25"/>
    </row>
    <row r="416" spans="1:29" ht="12.75">
      <c r="A416" s="30"/>
      <c r="B416" s="6"/>
      <c r="C416" s="30"/>
      <c r="D416" s="15"/>
      <c r="F416" s="26"/>
      <c r="G416" s="80"/>
      <c r="H416" s="80"/>
      <c r="I416" s="80"/>
      <c r="J416" s="80"/>
      <c r="K416" s="80"/>
      <c r="O416" s="25"/>
      <c r="P416" s="26"/>
      <c r="AA416" s="26"/>
      <c r="AC416" s="25"/>
    </row>
    <row r="417" spans="1:29" ht="12.75">
      <c r="A417" s="30"/>
      <c r="B417" s="6"/>
      <c r="C417" s="30"/>
      <c r="D417" s="15"/>
      <c r="F417" s="26"/>
      <c r="G417" s="80"/>
      <c r="H417" s="80"/>
      <c r="I417" s="80"/>
      <c r="J417" s="80"/>
      <c r="K417" s="80"/>
      <c r="O417" s="25"/>
      <c r="P417" s="26"/>
      <c r="AA417" s="26"/>
      <c r="AC417" s="25"/>
    </row>
    <row r="418" spans="1:29" ht="12.75">
      <c r="A418" s="30"/>
      <c r="B418" s="6"/>
      <c r="C418" s="30"/>
      <c r="D418" s="15"/>
      <c r="F418" s="26"/>
      <c r="G418" s="80"/>
      <c r="H418" s="80"/>
      <c r="I418" s="80"/>
      <c r="J418" s="80"/>
      <c r="K418" s="80"/>
      <c r="O418" s="25"/>
      <c r="P418" s="26"/>
      <c r="AA418" s="26"/>
      <c r="AC418" s="25"/>
    </row>
    <row r="419" spans="1:29" ht="12.75">
      <c r="A419" s="30"/>
      <c r="B419" s="6"/>
      <c r="C419" s="30"/>
      <c r="D419" s="15"/>
      <c r="F419" s="26"/>
      <c r="G419" s="80"/>
      <c r="H419" s="80"/>
      <c r="I419" s="80"/>
      <c r="J419" s="80"/>
      <c r="K419" s="80"/>
      <c r="O419" s="25"/>
      <c r="P419" s="26"/>
      <c r="AA419" s="26"/>
      <c r="AC419" s="25"/>
    </row>
    <row r="420" spans="1:29" ht="12.75">
      <c r="A420" s="30"/>
      <c r="B420" s="6"/>
      <c r="C420" s="30"/>
      <c r="D420" s="15"/>
      <c r="F420" s="26"/>
      <c r="G420" s="80"/>
      <c r="H420" s="80"/>
      <c r="I420" s="80"/>
      <c r="J420" s="80"/>
      <c r="K420" s="80"/>
      <c r="O420" s="25"/>
      <c r="P420" s="26"/>
      <c r="AA420" s="26"/>
      <c r="AC420" s="25"/>
    </row>
    <row r="421" spans="1:29" ht="12.75">
      <c r="A421" s="30"/>
      <c r="B421" s="6"/>
      <c r="C421" s="30"/>
      <c r="D421" s="15"/>
      <c r="F421" s="26"/>
      <c r="G421" s="80"/>
      <c r="H421" s="80"/>
      <c r="I421" s="80"/>
      <c r="J421" s="80"/>
      <c r="K421" s="80"/>
      <c r="O421" s="25"/>
      <c r="P421" s="26"/>
      <c r="AA421" s="26"/>
      <c r="AC421" s="25"/>
    </row>
    <row r="422" spans="1:29" ht="12.75">
      <c r="A422" s="30"/>
      <c r="B422" s="6"/>
      <c r="C422" s="30"/>
      <c r="D422" s="15"/>
      <c r="F422" s="26"/>
      <c r="G422" s="80"/>
      <c r="H422" s="80"/>
      <c r="I422" s="80"/>
      <c r="J422" s="80"/>
      <c r="K422" s="80"/>
      <c r="O422" s="25"/>
      <c r="P422" s="26"/>
      <c r="AA422" s="26"/>
      <c r="AC422" s="25"/>
    </row>
    <row r="423" spans="1:29" ht="12.75">
      <c r="A423" s="30"/>
      <c r="B423" s="6"/>
      <c r="C423" s="30"/>
      <c r="D423" s="15"/>
      <c r="F423" s="26"/>
      <c r="G423" s="80"/>
      <c r="H423" s="80"/>
      <c r="I423" s="80"/>
      <c r="J423" s="80"/>
      <c r="K423" s="80"/>
      <c r="O423" s="25"/>
      <c r="P423" s="26"/>
      <c r="AA423" s="26"/>
      <c r="AC423" s="25"/>
    </row>
    <row r="424" spans="1:29" ht="12.75">
      <c r="A424" s="30"/>
      <c r="B424" s="6"/>
      <c r="C424" s="30"/>
      <c r="D424" s="15"/>
      <c r="F424" s="26"/>
      <c r="G424" s="80"/>
      <c r="H424" s="80"/>
      <c r="I424" s="80"/>
      <c r="J424" s="80"/>
      <c r="K424" s="80"/>
      <c r="O424" s="25"/>
      <c r="P424" s="26"/>
      <c r="AA424" s="26"/>
      <c r="AC424" s="25"/>
    </row>
    <row r="425" spans="1:29" ht="12.75">
      <c r="A425" s="30"/>
      <c r="B425" s="6"/>
      <c r="C425" s="30"/>
      <c r="D425" s="15"/>
      <c r="F425" s="26"/>
      <c r="G425" s="80"/>
      <c r="H425" s="80"/>
      <c r="I425" s="80"/>
      <c r="J425" s="80"/>
      <c r="K425" s="80"/>
      <c r="O425" s="25"/>
      <c r="P425" s="26"/>
      <c r="AA425" s="26"/>
      <c r="AC425" s="25"/>
    </row>
    <row r="426" spans="1:29" ht="12.75">
      <c r="A426" s="30"/>
      <c r="B426" s="6"/>
      <c r="C426" s="30"/>
      <c r="D426" s="15"/>
      <c r="F426" s="26"/>
      <c r="G426" s="80"/>
      <c r="H426" s="80"/>
      <c r="I426" s="80"/>
      <c r="J426" s="80"/>
      <c r="K426" s="80"/>
      <c r="O426" s="25"/>
      <c r="P426" s="26"/>
      <c r="AA426" s="26"/>
      <c r="AC426" s="25"/>
    </row>
    <row r="427" spans="1:29" ht="12.75">
      <c r="A427" s="30"/>
      <c r="B427" s="6"/>
      <c r="C427" s="30"/>
      <c r="D427" s="15"/>
      <c r="F427" s="26"/>
      <c r="G427" s="80"/>
      <c r="H427" s="80"/>
      <c r="I427" s="80"/>
      <c r="J427" s="80"/>
      <c r="K427" s="80"/>
      <c r="O427" s="25"/>
      <c r="P427" s="26"/>
      <c r="AA427" s="26"/>
      <c r="AC427" s="25"/>
    </row>
    <row r="428" spans="1:29" ht="12.75">
      <c r="A428" s="30"/>
      <c r="B428" s="6"/>
      <c r="C428" s="30"/>
      <c r="D428" s="15"/>
      <c r="F428" s="26"/>
      <c r="G428" s="80"/>
      <c r="H428" s="80"/>
      <c r="I428" s="80"/>
      <c r="J428" s="80"/>
      <c r="K428" s="80"/>
      <c r="O428" s="25"/>
      <c r="P428" s="26"/>
      <c r="AA428" s="26"/>
      <c r="AC428" s="25"/>
    </row>
    <row r="429" spans="1:29" ht="12.75">
      <c r="A429" s="30"/>
      <c r="B429" s="6"/>
      <c r="C429" s="30"/>
      <c r="D429" s="15"/>
      <c r="F429" s="26"/>
      <c r="G429" s="80"/>
      <c r="H429" s="80"/>
      <c r="I429" s="80"/>
      <c r="J429" s="80"/>
      <c r="K429" s="80"/>
      <c r="O429" s="25"/>
      <c r="P429" s="26"/>
      <c r="AA429" s="26"/>
      <c r="AC429" s="25"/>
    </row>
    <row r="430" spans="1:29" ht="12.75">
      <c r="A430" s="30"/>
      <c r="B430" s="6"/>
      <c r="C430" s="30"/>
      <c r="D430" s="15"/>
      <c r="F430" s="26"/>
      <c r="G430" s="80"/>
      <c r="H430" s="80"/>
      <c r="I430" s="80"/>
      <c r="J430" s="80"/>
      <c r="K430" s="80"/>
      <c r="O430" s="25"/>
      <c r="P430" s="26"/>
      <c r="AA430" s="26"/>
      <c r="AC430" s="25"/>
    </row>
    <row r="431" spans="1:29" ht="12.75">
      <c r="A431" s="30"/>
      <c r="B431" s="6"/>
      <c r="C431" s="30"/>
      <c r="D431" s="15"/>
      <c r="F431" s="26"/>
      <c r="G431" s="80"/>
      <c r="H431" s="80"/>
      <c r="I431" s="80"/>
      <c r="J431" s="80"/>
      <c r="K431" s="80"/>
      <c r="O431" s="25"/>
      <c r="P431" s="26"/>
      <c r="AA431" s="26"/>
      <c r="AC431" s="25"/>
    </row>
    <row r="432" spans="1:29" ht="12.75">
      <c r="A432" s="30"/>
      <c r="B432" s="6"/>
      <c r="C432" s="30"/>
      <c r="D432" s="15"/>
      <c r="F432" s="26"/>
      <c r="G432" s="80"/>
      <c r="H432" s="80"/>
      <c r="I432" s="80"/>
      <c r="J432" s="80"/>
      <c r="K432" s="80"/>
      <c r="O432" s="25"/>
      <c r="P432" s="26"/>
      <c r="AA432" s="26"/>
      <c r="AC432" s="25"/>
    </row>
    <row r="433" spans="1:29" ht="12.75">
      <c r="A433" s="30"/>
      <c r="B433" s="6"/>
      <c r="C433" s="30"/>
      <c r="D433" s="15"/>
      <c r="F433" s="26"/>
      <c r="G433" s="80"/>
      <c r="H433" s="80"/>
      <c r="I433" s="80"/>
      <c r="J433" s="80"/>
      <c r="K433" s="80"/>
      <c r="O433" s="25"/>
      <c r="P433" s="26"/>
      <c r="AA433" s="26"/>
      <c r="AC433" s="25"/>
    </row>
    <row r="434" spans="1:29" ht="12.75">
      <c r="A434" s="30"/>
      <c r="B434" s="6"/>
      <c r="C434" s="30"/>
      <c r="D434" s="15"/>
      <c r="F434" s="26"/>
      <c r="G434" s="80"/>
      <c r="H434" s="80"/>
      <c r="I434" s="80"/>
      <c r="J434" s="80"/>
      <c r="K434" s="80"/>
      <c r="O434" s="25"/>
      <c r="P434" s="26"/>
      <c r="AA434" s="26"/>
      <c r="AC434" s="25"/>
    </row>
    <row r="435" spans="1:29" ht="12.75">
      <c r="A435" s="30"/>
      <c r="B435" s="6"/>
      <c r="C435" s="30"/>
      <c r="D435" s="15"/>
      <c r="F435" s="26"/>
      <c r="G435" s="80"/>
      <c r="H435" s="80"/>
      <c r="I435" s="80"/>
      <c r="J435" s="80"/>
      <c r="K435" s="80"/>
      <c r="O435" s="25"/>
      <c r="P435" s="26"/>
      <c r="AA435" s="26"/>
      <c r="AC435" s="25"/>
    </row>
    <row r="436" spans="1:29" ht="12.75">
      <c r="A436" s="30"/>
      <c r="B436" s="6"/>
      <c r="C436" s="30"/>
      <c r="D436" s="15"/>
      <c r="F436" s="26"/>
      <c r="G436" s="80"/>
      <c r="H436" s="80"/>
      <c r="I436" s="80"/>
      <c r="J436" s="80"/>
      <c r="K436" s="80"/>
      <c r="O436" s="25"/>
      <c r="P436" s="26"/>
      <c r="AA436" s="26"/>
      <c r="AC436" s="25"/>
    </row>
    <row r="437" spans="1:29" ht="12.75">
      <c r="A437" s="30"/>
      <c r="B437" s="6"/>
      <c r="C437" s="30"/>
      <c r="D437" s="15"/>
      <c r="F437" s="26"/>
      <c r="G437" s="80"/>
      <c r="H437" s="80"/>
      <c r="I437" s="80"/>
      <c r="J437" s="80"/>
      <c r="K437" s="80"/>
      <c r="O437" s="25"/>
      <c r="P437" s="26"/>
      <c r="AA437" s="26"/>
      <c r="AC437" s="25"/>
    </row>
    <row r="438" spans="1:29" ht="12.75">
      <c r="A438" s="30"/>
      <c r="B438" s="6"/>
      <c r="C438" s="30"/>
      <c r="D438" s="15"/>
      <c r="F438" s="26"/>
      <c r="G438" s="80"/>
      <c r="H438" s="80"/>
      <c r="I438" s="80"/>
      <c r="J438" s="80"/>
      <c r="K438" s="80"/>
      <c r="O438" s="25"/>
      <c r="P438" s="26"/>
      <c r="AA438" s="26"/>
      <c r="AC438" s="25"/>
    </row>
    <row r="439" spans="1:29" ht="12.75">
      <c r="A439" s="30"/>
      <c r="B439" s="6"/>
      <c r="C439" s="30"/>
      <c r="D439" s="15"/>
      <c r="F439" s="26"/>
      <c r="G439" s="80"/>
      <c r="H439" s="80"/>
      <c r="I439" s="80"/>
      <c r="J439" s="80"/>
      <c r="K439" s="80"/>
      <c r="O439" s="25"/>
      <c r="P439" s="26"/>
      <c r="AA439" s="26"/>
      <c r="AC439" s="25"/>
    </row>
    <row r="440" spans="1:29" ht="12.75">
      <c r="A440" s="30"/>
      <c r="B440" s="6"/>
      <c r="C440" s="30"/>
      <c r="D440" s="15"/>
      <c r="F440" s="26"/>
      <c r="G440" s="80"/>
      <c r="H440" s="80"/>
      <c r="I440" s="80"/>
      <c r="J440" s="80"/>
      <c r="K440" s="80"/>
      <c r="O440" s="25"/>
      <c r="P440" s="26"/>
      <c r="AA440" s="26"/>
      <c r="AC440" s="25"/>
    </row>
    <row r="441" spans="1:29" ht="12.75">
      <c r="A441" s="30"/>
      <c r="B441" s="6"/>
      <c r="C441" s="30"/>
      <c r="D441" s="15"/>
      <c r="F441" s="26"/>
      <c r="G441" s="80"/>
      <c r="H441" s="80"/>
      <c r="I441" s="80"/>
      <c r="J441" s="80"/>
      <c r="K441" s="80"/>
      <c r="O441" s="25"/>
      <c r="P441" s="26"/>
      <c r="AA441" s="26"/>
      <c r="AC441" s="25"/>
    </row>
    <row r="442" spans="1:29" ht="12.75">
      <c r="A442" s="30"/>
      <c r="B442" s="6"/>
      <c r="C442" s="30"/>
      <c r="D442" s="15"/>
      <c r="F442" s="26"/>
      <c r="G442" s="80"/>
      <c r="H442" s="80"/>
      <c r="I442" s="80"/>
      <c r="J442" s="80"/>
      <c r="K442" s="80"/>
      <c r="O442" s="25"/>
      <c r="P442" s="26"/>
      <c r="AA442" s="26"/>
      <c r="AC442" s="25"/>
    </row>
    <row r="443" spans="1:29" ht="12.75">
      <c r="A443" s="30"/>
      <c r="B443" s="6"/>
      <c r="C443" s="30"/>
      <c r="D443" s="15"/>
      <c r="F443" s="26"/>
      <c r="G443" s="80"/>
      <c r="H443" s="80"/>
      <c r="I443" s="80"/>
      <c r="J443" s="80"/>
      <c r="K443" s="80"/>
      <c r="O443" s="25"/>
      <c r="P443" s="26"/>
      <c r="AA443" s="26"/>
      <c r="AC443" s="25"/>
    </row>
    <row r="444" spans="1:29" ht="12.75">
      <c r="A444" s="30"/>
      <c r="B444" s="6"/>
      <c r="C444" s="30"/>
      <c r="D444" s="15"/>
      <c r="F444" s="26"/>
      <c r="G444" s="80"/>
      <c r="H444" s="80"/>
      <c r="I444" s="80"/>
      <c r="J444" s="80"/>
      <c r="K444" s="80"/>
      <c r="O444" s="25"/>
      <c r="P444" s="26"/>
      <c r="AA444" s="26"/>
      <c r="AC444" s="25"/>
    </row>
    <row r="445" spans="1:29" ht="12.75">
      <c r="A445" s="30"/>
      <c r="B445" s="6"/>
      <c r="C445" s="30"/>
      <c r="D445" s="15"/>
      <c r="F445" s="26"/>
      <c r="G445" s="80"/>
      <c r="H445" s="80"/>
      <c r="I445" s="80"/>
      <c r="J445" s="80"/>
      <c r="K445" s="80"/>
      <c r="O445" s="25"/>
      <c r="P445" s="26"/>
      <c r="AA445" s="26"/>
      <c r="AC445" s="25"/>
    </row>
    <row r="446" spans="1:29" ht="12.75">
      <c r="A446" s="30"/>
      <c r="B446" s="6"/>
      <c r="C446" s="30"/>
      <c r="D446" s="15"/>
      <c r="F446" s="26"/>
      <c r="G446" s="80"/>
      <c r="H446" s="80"/>
      <c r="I446" s="80"/>
      <c r="J446" s="80"/>
      <c r="K446" s="80"/>
      <c r="O446" s="25"/>
      <c r="P446" s="26"/>
      <c r="AA446" s="26"/>
      <c r="AC446" s="25"/>
    </row>
    <row r="447" spans="1:29" ht="12.75">
      <c r="A447" s="30"/>
      <c r="B447" s="6"/>
      <c r="C447" s="30"/>
      <c r="D447" s="15"/>
      <c r="F447" s="26"/>
      <c r="G447" s="80"/>
      <c r="H447" s="80"/>
      <c r="I447" s="80"/>
      <c r="J447" s="80"/>
      <c r="K447" s="80"/>
      <c r="O447" s="25"/>
      <c r="P447" s="26"/>
      <c r="AA447" s="26"/>
      <c r="AC447" s="25"/>
    </row>
    <row r="448" spans="1:29" ht="12.75">
      <c r="A448" s="30"/>
      <c r="B448" s="6"/>
      <c r="C448" s="30"/>
      <c r="D448" s="15"/>
      <c r="F448" s="26"/>
      <c r="G448" s="80"/>
      <c r="H448" s="80"/>
      <c r="I448" s="80"/>
      <c r="J448" s="80"/>
      <c r="K448" s="80"/>
      <c r="O448" s="25"/>
      <c r="P448" s="26"/>
      <c r="AA448" s="26"/>
      <c r="AC448" s="25"/>
    </row>
    <row r="449" spans="1:29" ht="12.75">
      <c r="A449" s="30"/>
      <c r="B449" s="6"/>
      <c r="C449" s="30"/>
      <c r="D449" s="15"/>
      <c r="F449" s="26"/>
      <c r="G449" s="80"/>
      <c r="H449" s="80"/>
      <c r="I449" s="80"/>
      <c r="J449" s="80"/>
      <c r="K449" s="80"/>
      <c r="O449" s="25"/>
      <c r="P449" s="26"/>
      <c r="AA449" s="26"/>
      <c r="AC449" s="25"/>
    </row>
    <row r="450" spans="1:29" ht="12.75">
      <c r="A450" s="30"/>
      <c r="B450" s="6"/>
      <c r="C450" s="30"/>
      <c r="D450" s="15"/>
      <c r="F450" s="26"/>
      <c r="G450" s="80"/>
      <c r="H450" s="80"/>
      <c r="I450" s="80"/>
      <c r="J450" s="80"/>
      <c r="K450" s="80"/>
      <c r="O450" s="25"/>
      <c r="P450" s="26"/>
      <c r="AA450" s="26"/>
      <c r="AC450" s="25"/>
    </row>
    <row r="451" spans="1:29" ht="12.75">
      <c r="A451" s="30"/>
      <c r="B451" s="6"/>
      <c r="C451" s="30"/>
      <c r="D451" s="15"/>
      <c r="F451" s="26"/>
      <c r="G451" s="80"/>
      <c r="H451" s="80"/>
      <c r="I451" s="80"/>
      <c r="J451" s="80"/>
      <c r="K451" s="80"/>
      <c r="O451" s="25"/>
      <c r="P451" s="26"/>
      <c r="AA451" s="26"/>
      <c r="AC451" s="25"/>
    </row>
    <row r="452" spans="1:29" ht="12.75">
      <c r="A452" s="30"/>
      <c r="B452" s="6"/>
      <c r="C452" s="30"/>
      <c r="D452" s="15"/>
      <c r="F452" s="26"/>
      <c r="G452" s="80"/>
      <c r="H452" s="80"/>
      <c r="I452" s="80"/>
      <c r="J452" s="80"/>
      <c r="K452" s="80"/>
      <c r="O452" s="25"/>
      <c r="P452" s="26"/>
      <c r="AA452" s="26"/>
      <c r="AC452" s="25"/>
    </row>
    <row r="453" spans="1:29" ht="12.75">
      <c r="A453" s="30"/>
      <c r="B453" s="6"/>
      <c r="C453" s="30"/>
      <c r="D453" s="15"/>
      <c r="F453" s="26"/>
      <c r="G453" s="80"/>
      <c r="H453" s="80"/>
      <c r="I453" s="80"/>
      <c r="J453" s="80"/>
      <c r="K453" s="80"/>
      <c r="O453" s="25"/>
      <c r="P453" s="26"/>
      <c r="AA453" s="26"/>
      <c r="AC453" s="25"/>
    </row>
    <row r="454" spans="1:29" ht="12.75">
      <c r="A454" s="30"/>
      <c r="B454" s="6"/>
      <c r="C454" s="30"/>
      <c r="D454" s="15"/>
      <c r="F454" s="26"/>
      <c r="G454" s="80"/>
      <c r="H454" s="80"/>
      <c r="I454" s="80"/>
      <c r="J454" s="80"/>
      <c r="K454" s="80"/>
      <c r="O454" s="25"/>
      <c r="P454" s="26"/>
      <c r="AA454" s="26"/>
      <c r="AC454" s="25"/>
    </row>
    <row r="455" spans="1:29" ht="12.75">
      <c r="A455" s="30"/>
      <c r="B455" s="6"/>
      <c r="C455" s="30"/>
      <c r="D455" s="15"/>
      <c r="F455" s="26"/>
      <c r="G455" s="80"/>
      <c r="H455" s="80"/>
      <c r="I455" s="80"/>
      <c r="J455" s="80"/>
      <c r="K455" s="80"/>
      <c r="O455" s="25"/>
      <c r="P455" s="26"/>
      <c r="AA455" s="26"/>
      <c r="AC455" s="25"/>
    </row>
    <row r="456" spans="1:29" ht="12.75">
      <c r="A456" s="30"/>
      <c r="B456" s="6"/>
      <c r="C456" s="30"/>
      <c r="D456" s="15"/>
      <c r="F456" s="26"/>
      <c r="G456" s="80"/>
      <c r="H456" s="80"/>
      <c r="I456" s="80"/>
      <c r="J456" s="80"/>
      <c r="K456" s="80"/>
      <c r="O456" s="25"/>
      <c r="P456" s="26"/>
      <c r="AA456" s="26"/>
      <c r="AC456" s="25"/>
    </row>
    <row r="457" spans="1:29" ht="12.75">
      <c r="A457" s="30"/>
      <c r="B457" s="6"/>
      <c r="C457" s="30"/>
      <c r="D457" s="15"/>
      <c r="F457" s="26"/>
      <c r="G457" s="80"/>
      <c r="H457" s="80"/>
      <c r="I457" s="80"/>
      <c r="J457" s="80"/>
      <c r="K457" s="80"/>
      <c r="O457" s="25"/>
      <c r="P457" s="26"/>
      <c r="AA457" s="26"/>
      <c r="AC457" s="25"/>
    </row>
    <row r="458" spans="1:29" ht="12.75">
      <c r="A458" s="30"/>
      <c r="B458" s="6"/>
      <c r="C458" s="30"/>
      <c r="D458" s="15"/>
      <c r="F458" s="26"/>
      <c r="G458" s="80"/>
      <c r="H458" s="80"/>
      <c r="I458" s="80"/>
      <c r="J458" s="80"/>
      <c r="K458" s="80"/>
      <c r="O458" s="25"/>
      <c r="P458" s="26"/>
      <c r="AA458" s="26"/>
      <c r="AC458" s="25"/>
    </row>
    <row r="459" spans="1:29" ht="12.75">
      <c r="A459" s="30"/>
      <c r="B459" s="6"/>
      <c r="C459" s="30"/>
      <c r="D459" s="15"/>
      <c r="F459" s="26"/>
      <c r="G459" s="80"/>
      <c r="H459" s="80"/>
      <c r="I459" s="80"/>
      <c r="J459" s="80"/>
      <c r="K459" s="80"/>
      <c r="O459" s="25"/>
      <c r="P459" s="26"/>
      <c r="AA459" s="26"/>
      <c r="AC459" s="25"/>
    </row>
    <row r="460" spans="1:29" ht="12.75">
      <c r="A460" s="30"/>
      <c r="B460" s="6"/>
      <c r="C460" s="30"/>
      <c r="D460" s="15"/>
      <c r="F460" s="26"/>
      <c r="G460" s="80"/>
      <c r="H460" s="80"/>
      <c r="I460" s="80"/>
      <c r="J460" s="80"/>
      <c r="K460" s="80"/>
      <c r="O460" s="25"/>
      <c r="P460" s="26"/>
      <c r="AA460" s="26"/>
      <c r="AC460" s="25"/>
    </row>
    <row r="461" spans="1:29" ht="12.75">
      <c r="A461" s="30"/>
      <c r="B461" s="6"/>
      <c r="C461" s="30"/>
      <c r="D461" s="15"/>
      <c r="F461" s="26"/>
      <c r="G461" s="80"/>
      <c r="H461" s="80"/>
      <c r="I461" s="80"/>
      <c r="J461" s="80"/>
      <c r="K461" s="80"/>
      <c r="O461" s="25"/>
      <c r="P461" s="26"/>
      <c r="AA461" s="26"/>
      <c r="AC461" s="25"/>
    </row>
    <row r="462" spans="1:29" ht="12.75">
      <c r="A462" s="30"/>
      <c r="B462" s="6"/>
      <c r="C462" s="30"/>
      <c r="D462" s="15"/>
      <c r="F462" s="26"/>
      <c r="G462" s="80"/>
      <c r="H462" s="80"/>
      <c r="I462" s="80"/>
      <c r="J462" s="80"/>
      <c r="K462" s="80"/>
      <c r="O462" s="25"/>
      <c r="P462" s="26"/>
      <c r="AA462" s="26"/>
      <c r="AC462" s="25"/>
    </row>
    <row r="463" spans="1:29" ht="12.75">
      <c r="A463" s="30"/>
      <c r="B463" s="6"/>
      <c r="C463" s="30"/>
      <c r="D463" s="15"/>
      <c r="F463" s="26"/>
      <c r="G463" s="80"/>
      <c r="H463" s="80"/>
      <c r="I463" s="80"/>
      <c r="J463" s="80"/>
      <c r="K463" s="80"/>
      <c r="O463" s="25"/>
      <c r="P463" s="26"/>
      <c r="AA463" s="26"/>
      <c r="AC463" s="25"/>
    </row>
    <row r="464" spans="1:29" ht="12.75">
      <c r="A464" s="30"/>
      <c r="B464" s="6"/>
      <c r="C464" s="30"/>
      <c r="D464" s="15"/>
      <c r="F464" s="26"/>
      <c r="G464" s="80"/>
      <c r="H464" s="80"/>
      <c r="I464" s="80"/>
      <c r="J464" s="80"/>
      <c r="K464" s="80"/>
      <c r="O464" s="25"/>
      <c r="P464" s="26"/>
      <c r="AA464" s="26"/>
      <c r="AC464" s="25"/>
    </row>
    <row r="465" spans="1:29" ht="12.75">
      <c r="A465" s="30"/>
      <c r="B465" s="6"/>
      <c r="C465" s="30"/>
      <c r="D465" s="15"/>
      <c r="F465" s="26"/>
      <c r="G465" s="80"/>
      <c r="H465" s="80"/>
      <c r="I465" s="80"/>
      <c r="J465" s="80"/>
      <c r="K465" s="80"/>
      <c r="O465" s="25"/>
      <c r="P465" s="26"/>
      <c r="AA465" s="26"/>
      <c r="AC465" s="25"/>
    </row>
    <row r="466" spans="1:29" ht="12.75">
      <c r="A466" s="30"/>
      <c r="B466" s="6"/>
      <c r="C466" s="30"/>
      <c r="D466" s="15"/>
      <c r="F466" s="26"/>
      <c r="G466" s="80"/>
      <c r="H466" s="80"/>
      <c r="I466" s="80"/>
      <c r="J466" s="80"/>
      <c r="K466" s="80"/>
      <c r="O466" s="25"/>
      <c r="P466" s="26"/>
      <c r="AA466" s="26"/>
      <c r="AC466" s="25"/>
    </row>
    <row r="467" spans="1:29" ht="12.75">
      <c r="A467" s="30"/>
      <c r="B467" s="6"/>
      <c r="C467" s="30"/>
      <c r="D467" s="15"/>
      <c r="F467" s="26"/>
      <c r="G467" s="80"/>
      <c r="H467" s="80"/>
      <c r="I467" s="80"/>
      <c r="J467" s="80"/>
      <c r="K467" s="80"/>
      <c r="O467" s="25"/>
      <c r="P467" s="26"/>
      <c r="AA467" s="26"/>
      <c r="AC467" s="25"/>
    </row>
    <row r="468" spans="1:29" ht="12.75">
      <c r="A468" s="30"/>
      <c r="B468" s="6"/>
      <c r="C468" s="30"/>
      <c r="D468" s="15"/>
      <c r="F468" s="26"/>
      <c r="G468" s="80"/>
      <c r="H468" s="80"/>
      <c r="I468" s="80"/>
      <c r="J468" s="80"/>
      <c r="K468" s="80"/>
      <c r="O468" s="25"/>
      <c r="P468" s="26"/>
      <c r="AA468" s="26"/>
      <c r="AC468" s="25"/>
    </row>
    <row r="469" spans="1:29" ht="12.75">
      <c r="A469" s="30"/>
      <c r="B469" s="6"/>
      <c r="C469" s="30"/>
      <c r="D469" s="15"/>
      <c r="F469" s="26"/>
      <c r="G469" s="80"/>
      <c r="H469" s="80"/>
      <c r="I469" s="80"/>
      <c r="J469" s="80"/>
      <c r="K469" s="80"/>
      <c r="O469" s="25"/>
      <c r="P469" s="26"/>
      <c r="AA469" s="26"/>
      <c r="AC469" s="25"/>
    </row>
    <row r="470" spans="1:29" ht="12.75">
      <c r="A470" s="30"/>
      <c r="B470" s="6"/>
      <c r="C470" s="30"/>
      <c r="D470" s="15"/>
      <c r="F470" s="26"/>
      <c r="G470" s="80"/>
      <c r="H470" s="80"/>
      <c r="I470" s="80"/>
      <c r="J470" s="80"/>
      <c r="K470" s="80"/>
      <c r="O470" s="25"/>
      <c r="P470" s="26"/>
      <c r="AA470" s="26"/>
      <c r="AC470" s="25"/>
    </row>
    <row r="471" spans="1:29" ht="12.75">
      <c r="A471" s="30"/>
      <c r="B471" s="6"/>
      <c r="C471" s="30"/>
      <c r="D471" s="15"/>
      <c r="F471" s="26"/>
      <c r="G471" s="80"/>
      <c r="H471" s="80"/>
      <c r="I471" s="80"/>
      <c r="J471" s="80"/>
      <c r="K471" s="80"/>
      <c r="O471" s="25"/>
      <c r="P471" s="26"/>
      <c r="AA471" s="26"/>
      <c r="AC471" s="25"/>
    </row>
    <row r="472" spans="1:29" ht="12.75">
      <c r="A472" s="30"/>
      <c r="B472" s="6"/>
      <c r="C472" s="30"/>
      <c r="D472" s="15"/>
      <c r="F472" s="26"/>
      <c r="G472" s="80"/>
      <c r="H472" s="80"/>
      <c r="I472" s="80"/>
      <c r="J472" s="80"/>
      <c r="K472" s="80"/>
      <c r="O472" s="25"/>
      <c r="P472" s="26"/>
      <c r="AA472" s="26"/>
      <c r="AC472" s="25"/>
    </row>
    <row r="473" spans="1:29" ht="12.75">
      <c r="A473" s="30"/>
      <c r="B473" s="6"/>
      <c r="C473" s="30"/>
      <c r="D473" s="15"/>
      <c r="F473" s="26"/>
      <c r="G473" s="80"/>
      <c r="H473" s="80"/>
      <c r="I473" s="80"/>
      <c r="J473" s="80"/>
      <c r="K473" s="80"/>
      <c r="O473" s="25"/>
      <c r="P473" s="26"/>
      <c r="AA473" s="26"/>
      <c r="AC473" s="25"/>
    </row>
    <row r="474" spans="1:29" ht="12.75">
      <c r="A474" s="30"/>
      <c r="B474" s="6"/>
      <c r="C474" s="30"/>
      <c r="D474" s="15"/>
      <c r="F474" s="26"/>
      <c r="G474" s="80"/>
      <c r="H474" s="80"/>
      <c r="I474" s="80"/>
      <c r="J474" s="80"/>
      <c r="K474" s="80"/>
      <c r="O474" s="25"/>
      <c r="P474" s="26"/>
      <c r="AA474" s="26"/>
      <c r="AC474" s="25"/>
    </row>
    <row r="475" spans="1:29" ht="12.75">
      <c r="A475" s="30"/>
      <c r="B475" s="6"/>
      <c r="C475" s="30"/>
      <c r="D475" s="15"/>
      <c r="F475" s="26"/>
      <c r="G475" s="80"/>
      <c r="H475" s="80"/>
      <c r="I475" s="80"/>
      <c r="J475" s="80"/>
      <c r="K475" s="80"/>
      <c r="O475" s="25"/>
      <c r="P475" s="26"/>
      <c r="AA475" s="26"/>
      <c r="AC475" s="25"/>
    </row>
    <row r="476" spans="1:29" ht="12.75">
      <c r="A476" s="30"/>
      <c r="B476" s="6"/>
      <c r="C476" s="30"/>
      <c r="D476" s="15"/>
      <c r="F476" s="26"/>
      <c r="G476" s="80"/>
      <c r="H476" s="80"/>
      <c r="I476" s="80"/>
      <c r="J476" s="80"/>
      <c r="K476" s="80"/>
      <c r="O476" s="25"/>
      <c r="P476" s="26"/>
      <c r="AA476" s="26"/>
      <c r="AC476" s="25"/>
    </row>
    <row r="477" spans="1:29" ht="12.75">
      <c r="A477" s="30"/>
      <c r="B477" s="6"/>
      <c r="C477" s="30"/>
      <c r="D477" s="15"/>
      <c r="F477" s="26"/>
      <c r="G477" s="80"/>
      <c r="H477" s="80"/>
      <c r="I477" s="80"/>
      <c r="J477" s="80"/>
      <c r="K477" s="80"/>
      <c r="O477" s="25"/>
      <c r="P477" s="26"/>
      <c r="AA477" s="26"/>
      <c r="AC477" s="25"/>
    </row>
    <row r="478" spans="1:29" ht="12.75">
      <c r="A478" s="30"/>
      <c r="B478" s="6"/>
      <c r="C478" s="30"/>
      <c r="D478" s="15"/>
      <c r="F478" s="26"/>
      <c r="G478" s="80"/>
      <c r="H478" s="80"/>
      <c r="I478" s="80"/>
      <c r="J478" s="80"/>
      <c r="K478" s="80"/>
      <c r="O478" s="25"/>
      <c r="P478" s="26"/>
      <c r="AA478" s="26"/>
      <c r="AC478" s="25"/>
    </row>
    <row r="479" spans="1:29" ht="12.75">
      <c r="A479" s="30"/>
      <c r="B479" s="6"/>
      <c r="C479" s="30"/>
      <c r="D479" s="15"/>
      <c r="F479" s="26"/>
      <c r="G479" s="80"/>
      <c r="H479" s="80"/>
      <c r="I479" s="80"/>
      <c r="J479" s="80"/>
      <c r="K479" s="80"/>
      <c r="O479" s="25"/>
      <c r="P479" s="26"/>
      <c r="AA479" s="26"/>
      <c r="AC479" s="25"/>
    </row>
    <row r="480" spans="1:29" ht="12.75">
      <c r="A480" s="30"/>
      <c r="B480" s="6"/>
      <c r="C480" s="30"/>
      <c r="D480" s="15"/>
      <c r="F480" s="26"/>
      <c r="G480" s="80"/>
      <c r="H480" s="80"/>
      <c r="I480" s="80"/>
      <c r="J480" s="80"/>
      <c r="K480" s="80"/>
      <c r="O480" s="25"/>
      <c r="P480" s="26"/>
      <c r="AA480" s="26"/>
      <c r="AC480" s="25"/>
    </row>
    <row r="481" spans="1:29" ht="12.75">
      <c r="A481" s="30"/>
      <c r="B481" s="6"/>
      <c r="C481" s="30"/>
      <c r="D481" s="15"/>
      <c r="F481" s="26"/>
      <c r="G481" s="80"/>
      <c r="H481" s="80"/>
      <c r="I481" s="80"/>
      <c r="J481" s="80"/>
      <c r="K481" s="80"/>
      <c r="O481" s="25"/>
      <c r="P481" s="26"/>
      <c r="AA481" s="26"/>
      <c r="AC481" s="25"/>
    </row>
    <row r="482" spans="1:29" ht="12.75">
      <c r="A482" s="30"/>
      <c r="B482" s="6"/>
      <c r="C482" s="30"/>
      <c r="D482" s="15"/>
      <c r="F482" s="26"/>
      <c r="G482" s="80"/>
      <c r="H482" s="80"/>
      <c r="I482" s="80"/>
      <c r="J482" s="80"/>
      <c r="K482" s="80"/>
      <c r="O482" s="25"/>
      <c r="P482" s="26"/>
      <c r="AA482" s="26"/>
      <c r="AC482" s="25"/>
    </row>
    <row r="483" spans="1:29" ht="12.75">
      <c r="A483" s="30"/>
      <c r="B483" s="6"/>
      <c r="C483" s="30"/>
      <c r="D483" s="15"/>
      <c r="F483" s="26"/>
      <c r="G483" s="80"/>
      <c r="H483" s="80"/>
      <c r="I483" s="80"/>
      <c r="J483" s="80"/>
      <c r="K483" s="80"/>
      <c r="O483" s="25"/>
      <c r="P483" s="26"/>
      <c r="AA483" s="26"/>
      <c r="AC483" s="25"/>
    </row>
    <row r="484" spans="1:29" ht="12.75">
      <c r="A484" s="30"/>
      <c r="B484" s="6"/>
      <c r="C484" s="30"/>
      <c r="D484" s="15"/>
      <c r="F484" s="26"/>
      <c r="G484" s="80"/>
      <c r="H484" s="80"/>
      <c r="I484" s="80"/>
      <c r="J484" s="80"/>
      <c r="K484" s="80"/>
      <c r="O484" s="25"/>
      <c r="P484" s="26"/>
      <c r="AA484" s="26"/>
      <c r="AC484" s="25"/>
    </row>
    <row r="485" spans="1:29" ht="12.75">
      <c r="A485" s="30"/>
      <c r="B485" s="6"/>
      <c r="C485" s="30"/>
      <c r="D485" s="15"/>
      <c r="F485" s="26"/>
      <c r="G485" s="80"/>
      <c r="H485" s="80"/>
      <c r="I485" s="80"/>
      <c r="J485" s="80"/>
      <c r="K485" s="80"/>
      <c r="O485" s="25"/>
      <c r="P485" s="26"/>
      <c r="AA485" s="26"/>
      <c r="AC485" s="25"/>
    </row>
    <row r="486" spans="1:29" ht="12.75">
      <c r="A486" s="30"/>
      <c r="B486" s="6"/>
      <c r="C486" s="30"/>
      <c r="D486" s="15"/>
      <c r="F486" s="26"/>
      <c r="G486" s="80"/>
      <c r="H486" s="80"/>
      <c r="I486" s="80"/>
      <c r="J486" s="80"/>
      <c r="K486" s="80"/>
      <c r="O486" s="25"/>
      <c r="P486" s="26"/>
      <c r="AA486" s="26"/>
      <c r="AC486" s="25"/>
    </row>
    <row r="487" spans="1:29" ht="12.75">
      <c r="A487" s="30"/>
      <c r="B487" s="6"/>
      <c r="C487" s="30"/>
      <c r="D487" s="15"/>
      <c r="F487" s="26"/>
      <c r="G487" s="80"/>
      <c r="H487" s="80"/>
      <c r="I487" s="80"/>
      <c r="J487" s="80"/>
      <c r="K487" s="80"/>
      <c r="O487" s="25"/>
      <c r="P487" s="26"/>
      <c r="AA487" s="26"/>
      <c r="AC487" s="25"/>
    </row>
    <row r="488" spans="1:29" ht="12.75">
      <c r="A488" s="30"/>
      <c r="B488" s="6"/>
      <c r="C488" s="30"/>
      <c r="D488" s="15"/>
      <c r="F488" s="26"/>
      <c r="G488" s="80"/>
      <c r="H488" s="80"/>
      <c r="I488" s="80"/>
      <c r="J488" s="80"/>
      <c r="K488" s="80"/>
      <c r="O488" s="25"/>
      <c r="P488" s="26"/>
      <c r="AA488" s="26"/>
      <c r="AC488" s="25"/>
    </row>
    <row r="489" spans="1:29" ht="12.75">
      <c r="A489" s="30"/>
      <c r="B489" s="6"/>
      <c r="C489" s="30"/>
      <c r="D489" s="15"/>
      <c r="F489" s="26"/>
      <c r="G489" s="80"/>
      <c r="H489" s="80"/>
      <c r="I489" s="80"/>
      <c r="J489" s="80"/>
      <c r="K489" s="80"/>
      <c r="O489" s="25"/>
      <c r="P489" s="26"/>
      <c r="AA489" s="26"/>
      <c r="AC489" s="25"/>
    </row>
    <row r="490" spans="1:29" ht="12.75">
      <c r="A490" s="30"/>
      <c r="B490" s="6"/>
      <c r="C490" s="30"/>
      <c r="D490" s="15"/>
      <c r="F490" s="26"/>
      <c r="G490" s="80"/>
      <c r="H490" s="80"/>
      <c r="I490" s="80"/>
      <c r="J490" s="80"/>
      <c r="K490" s="80"/>
      <c r="O490" s="25"/>
      <c r="P490" s="26"/>
      <c r="AA490" s="26"/>
      <c r="AC490" s="25"/>
    </row>
    <row r="491" spans="1:29" ht="12.75">
      <c r="A491" s="30"/>
      <c r="B491" s="6"/>
      <c r="C491" s="30"/>
      <c r="D491" s="15"/>
      <c r="F491" s="26"/>
      <c r="G491" s="80"/>
      <c r="H491" s="80"/>
      <c r="I491" s="80"/>
      <c r="J491" s="80"/>
      <c r="K491" s="80"/>
      <c r="O491" s="25"/>
      <c r="P491" s="26"/>
      <c r="AA491" s="26"/>
      <c r="AC491" s="25"/>
    </row>
    <row r="492" spans="1:29" ht="12.75">
      <c r="A492" s="30"/>
      <c r="B492" s="6"/>
      <c r="C492" s="30"/>
      <c r="D492" s="15"/>
      <c r="F492" s="26"/>
      <c r="G492" s="80"/>
      <c r="H492" s="80"/>
      <c r="I492" s="80"/>
      <c r="J492" s="80"/>
      <c r="K492" s="80"/>
      <c r="O492" s="25"/>
      <c r="P492" s="26"/>
      <c r="AA492" s="26"/>
      <c r="AC492" s="25"/>
    </row>
    <row r="493" spans="1:29" ht="12.75">
      <c r="A493" s="30"/>
      <c r="B493" s="6"/>
      <c r="C493" s="30"/>
      <c r="D493" s="15"/>
      <c r="F493" s="26"/>
      <c r="G493" s="80"/>
      <c r="H493" s="80"/>
      <c r="I493" s="80"/>
      <c r="J493" s="80"/>
      <c r="K493" s="80"/>
      <c r="O493" s="25"/>
      <c r="P493" s="26"/>
      <c r="AA493" s="26"/>
      <c r="AC493" s="25"/>
    </row>
    <row r="494" spans="1:29" ht="12.75">
      <c r="A494" s="30"/>
      <c r="B494" s="6"/>
      <c r="C494" s="30"/>
      <c r="D494" s="15"/>
      <c r="F494" s="26"/>
      <c r="G494" s="80"/>
      <c r="H494" s="80"/>
      <c r="I494" s="80"/>
      <c r="J494" s="80"/>
      <c r="K494" s="80"/>
      <c r="O494" s="25"/>
      <c r="P494" s="26"/>
      <c r="AA494" s="26"/>
      <c r="AC494" s="25"/>
    </row>
    <row r="495" spans="1:29" ht="12.75">
      <c r="A495" s="30"/>
      <c r="B495" s="6"/>
      <c r="C495" s="30"/>
      <c r="D495" s="15"/>
      <c r="F495" s="26"/>
      <c r="G495" s="80"/>
      <c r="H495" s="80"/>
      <c r="I495" s="80"/>
      <c r="J495" s="80"/>
      <c r="K495" s="80"/>
      <c r="O495" s="25"/>
      <c r="P495" s="26"/>
      <c r="AA495" s="26"/>
      <c r="AC495" s="25"/>
    </row>
    <row r="496" spans="1:29" ht="12.75">
      <c r="A496" s="30"/>
      <c r="B496" s="6"/>
      <c r="C496" s="30"/>
      <c r="D496" s="15"/>
      <c r="F496" s="26"/>
      <c r="G496" s="80"/>
      <c r="H496" s="80"/>
      <c r="I496" s="80"/>
      <c r="J496" s="80"/>
      <c r="K496" s="80"/>
      <c r="O496" s="25"/>
      <c r="P496" s="26"/>
      <c r="AA496" s="26"/>
      <c r="AC496" s="25"/>
    </row>
    <row r="497" spans="1:29" ht="12.75">
      <c r="A497" s="30"/>
      <c r="B497" s="6"/>
      <c r="C497" s="30"/>
      <c r="D497" s="15"/>
      <c r="F497" s="26"/>
      <c r="G497" s="80"/>
      <c r="H497" s="80"/>
      <c r="I497" s="80"/>
      <c r="J497" s="80"/>
      <c r="K497" s="80"/>
      <c r="O497" s="25"/>
      <c r="P497" s="26"/>
      <c r="AA497" s="26"/>
      <c r="AC497" s="25"/>
    </row>
    <row r="498" spans="1:29" ht="12.75">
      <c r="A498" s="30"/>
      <c r="B498" s="6"/>
      <c r="C498" s="30"/>
      <c r="D498" s="15"/>
      <c r="F498" s="26"/>
      <c r="G498" s="80"/>
      <c r="H498" s="80"/>
      <c r="I498" s="80"/>
      <c r="J498" s="80"/>
      <c r="K498" s="80"/>
      <c r="O498" s="25"/>
      <c r="P498" s="26"/>
      <c r="AA498" s="26"/>
      <c r="AC498" s="25"/>
    </row>
    <row r="499" spans="1:29" ht="12.75">
      <c r="A499" s="30"/>
      <c r="B499" s="6"/>
      <c r="C499" s="30"/>
      <c r="D499" s="15"/>
      <c r="F499" s="26"/>
      <c r="G499" s="80"/>
      <c r="H499" s="80"/>
      <c r="I499" s="80"/>
      <c r="J499" s="80"/>
      <c r="K499" s="80"/>
      <c r="O499" s="25"/>
      <c r="P499" s="26"/>
      <c r="AA499" s="26"/>
      <c r="AC499" s="25"/>
    </row>
    <row r="500" spans="1:29" ht="12.75">
      <c r="A500" s="30"/>
      <c r="B500" s="6"/>
      <c r="C500" s="30"/>
      <c r="D500" s="15"/>
      <c r="F500" s="26"/>
      <c r="G500" s="80"/>
      <c r="H500" s="80"/>
      <c r="I500" s="80"/>
      <c r="J500" s="80"/>
      <c r="K500" s="80"/>
      <c r="O500" s="25"/>
      <c r="P500" s="26"/>
      <c r="AA500" s="26"/>
      <c r="AC500" s="25"/>
    </row>
    <row r="501" spans="1:29" ht="12.75">
      <c r="A501" s="30"/>
      <c r="B501" s="6"/>
      <c r="C501" s="30"/>
      <c r="D501" s="15"/>
      <c r="F501" s="26"/>
      <c r="G501" s="80"/>
      <c r="H501" s="80"/>
      <c r="I501" s="80"/>
      <c r="J501" s="80"/>
      <c r="K501" s="80"/>
      <c r="O501" s="25"/>
      <c r="P501" s="26"/>
      <c r="AA501" s="26"/>
      <c r="AC501" s="25"/>
    </row>
    <row r="502" spans="1:29" ht="12.75">
      <c r="A502" s="30"/>
      <c r="B502" s="6"/>
      <c r="C502" s="30"/>
      <c r="D502" s="15"/>
      <c r="F502" s="26"/>
      <c r="G502" s="80"/>
      <c r="H502" s="80"/>
      <c r="I502" s="80"/>
      <c r="J502" s="80"/>
      <c r="K502" s="80"/>
      <c r="O502" s="25"/>
      <c r="P502" s="26"/>
      <c r="AA502" s="26"/>
      <c r="AC502" s="25"/>
    </row>
    <row r="503" spans="1:29" ht="12.75">
      <c r="A503" s="30"/>
      <c r="B503" s="6"/>
      <c r="C503" s="30"/>
      <c r="D503" s="15"/>
      <c r="F503" s="26"/>
      <c r="G503" s="80"/>
      <c r="H503" s="80"/>
      <c r="I503" s="80"/>
      <c r="J503" s="80"/>
      <c r="K503" s="80"/>
      <c r="O503" s="25"/>
      <c r="P503" s="26"/>
      <c r="AA503" s="26"/>
      <c r="AC503" s="25"/>
    </row>
    <row r="504" spans="1:29" ht="12.75">
      <c r="A504" s="30"/>
      <c r="B504" s="6"/>
      <c r="C504" s="30"/>
      <c r="D504" s="15"/>
      <c r="F504" s="26"/>
      <c r="G504" s="80"/>
      <c r="H504" s="80"/>
      <c r="I504" s="80"/>
      <c r="J504" s="80"/>
      <c r="K504" s="80"/>
      <c r="O504" s="25"/>
      <c r="P504" s="26"/>
      <c r="AA504" s="26"/>
      <c r="AC504" s="25"/>
    </row>
    <row r="505" spans="1:29" ht="12.75">
      <c r="A505" s="30"/>
      <c r="B505" s="6"/>
      <c r="C505" s="30"/>
      <c r="D505" s="15"/>
      <c r="F505" s="26"/>
      <c r="G505" s="80"/>
      <c r="H505" s="80"/>
      <c r="I505" s="80"/>
      <c r="J505" s="80"/>
      <c r="K505" s="80"/>
      <c r="O505" s="25"/>
      <c r="P505" s="26"/>
      <c r="AA505" s="26"/>
      <c r="AC505" s="25"/>
    </row>
    <row r="506" spans="1:29" ht="12.75">
      <c r="A506" s="30"/>
      <c r="B506" s="6"/>
      <c r="C506" s="30"/>
      <c r="D506" s="15"/>
      <c r="F506" s="26"/>
      <c r="G506" s="80"/>
      <c r="H506" s="80"/>
      <c r="I506" s="80"/>
      <c r="J506" s="80"/>
      <c r="K506" s="80"/>
      <c r="O506" s="25"/>
      <c r="P506" s="26"/>
      <c r="AA506" s="26"/>
      <c r="AC506" s="25"/>
    </row>
    <row r="507" spans="1:29" ht="12.75">
      <c r="A507" s="30"/>
      <c r="B507" s="6"/>
      <c r="C507" s="30"/>
      <c r="D507" s="15"/>
      <c r="F507" s="26"/>
      <c r="G507" s="80"/>
      <c r="H507" s="80"/>
      <c r="I507" s="80"/>
      <c r="J507" s="80"/>
      <c r="K507" s="80"/>
      <c r="O507" s="25"/>
      <c r="P507" s="26"/>
      <c r="AA507" s="26"/>
      <c r="AC507" s="25"/>
    </row>
    <row r="508" spans="1:29" ht="12.75">
      <c r="A508" s="30"/>
      <c r="B508" s="6"/>
      <c r="C508" s="30"/>
      <c r="D508" s="15"/>
      <c r="F508" s="26"/>
      <c r="G508" s="80"/>
      <c r="H508" s="80"/>
      <c r="I508" s="80"/>
      <c r="J508" s="80"/>
      <c r="K508" s="80"/>
      <c r="O508" s="25"/>
      <c r="P508" s="26"/>
      <c r="AA508" s="26"/>
      <c r="AC508" s="25"/>
    </row>
    <row r="509" spans="1:29" ht="12.75">
      <c r="A509" s="30"/>
      <c r="B509" s="6"/>
      <c r="C509" s="30"/>
      <c r="D509" s="15"/>
      <c r="F509" s="26"/>
      <c r="G509" s="80"/>
      <c r="H509" s="80"/>
      <c r="I509" s="80"/>
      <c r="J509" s="80"/>
      <c r="K509" s="80"/>
      <c r="O509" s="25"/>
      <c r="P509" s="26"/>
      <c r="AA509" s="26"/>
      <c r="AC509" s="25"/>
    </row>
    <row r="510" spans="1:29" ht="12.75">
      <c r="A510" s="30"/>
      <c r="B510" s="6"/>
      <c r="C510" s="30"/>
      <c r="D510" s="15"/>
      <c r="F510" s="26"/>
      <c r="G510" s="80"/>
      <c r="H510" s="80"/>
      <c r="I510" s="80"/>
      <c r="J510" s="80"/>
      <c r="K510" s="80"/>
      <c r="O510" s="25"/>
      <c r="P510" s="26"/>
      <c r="AA510" s="26"/>
      <c r="AC510" s="25"/>
    </row>
    <row r="511" spans="1:29" ht="12.75">
      <c r="A511" s="30"/>
      <c r="B511" s="6"/>
      <c r="C511" s="30"/>
      <c r="D511" s="15"/>
      <c r="F511" s="26"/>
      <c r="G511" s="80"/>
      <c r="H511" s="80"/>
      <c r="I511" s="80"/>
      <c r="J511" s="80"/>
      <c r="K511" s="80"/>
      <c r="O511" s="25"/>
      <c r="P511" s="26"/>
      <c r="AA511" s="26"/>
      <c r="AC511" s="25"/>
    </row>
    <row r="512" spans="1:29" ht="12.75">
      <c r="A512" s="30"/>
      <c r="B512" s="6"/>
      <c r="C512" s="30"/>
      <c r="D512" s="15"/>
      <c r="F512" s="26"/>
      <c r="G512" s="80"/>
      <c r="H512" s="80"/>
      <c r="I512" s="80"/>
      <c r="J512" s="80"/>
      <c r="K512" s="80"/>
      <c r="O512" s="25"/>
      <c r="P512" s="26"/>
      <c r="AA512" s="26"/>
      <c r="AC512" s="25"/>
    </row>
    <row r="513" spans="1:29" ht="12.75">
      <c r="A513" s="30"/>
      <c r="B513" s="6"/>
      <c r="C513" s="30"/>
      <c r="D513" s="15"/>
      <c r="F513" s="26"/>
      <c r="G513" s="80"/>
      <c r="H513" s="80"/>
      <c r="I513" s="80"/>
      <c r="J513" s="80"/>
      <c r="K513" s="80"/>
      <c r="O513" s="25"/>
      <c r="P513" s="26"/>
      <c r="AA513" s="26"/>
      <c r="AC513" s="25"/>
    </row>
    <row r="514" spans="1:29" ht="12.75">
      <c r="A514" s="30"/>
      <c r="B514" s="6"/>
      <c r="C514" s="30"/>
      <c r="D514" s="15"/>
      <c r="F514" s="26"/>
      <c r="G514" s="80"/>
      <c r="H514" s="80"/>
      <c r="I514" s="80"/>
      <c r="J514" s="80"/>
      <c r="K514" s="80"/>
      <c r="O514" s="25"/>
      <c r="P514" s="26"/>
      <c r="AA514" s="26"/>
      <c r="AC514" s="25"/>
    </row>
    <row r="515" spans="1:29" ht="12.75">
      <c r="A515" s="30"/>
      <c r="B515" s="6"/>
      <c r="C515" s="30"/>
      <c r="D515" s="15"/>
      <c r="F515" s="26"/>
      <c r="G515" s="80"/>
      <c r="H515" s="80"/>
      <c r="I515" s="80"/>
      <c r="J515" s="80"/>
      <c r="K515" s="80"/>
      <c r="O515" s="25"/>
      <c r="P515" s="26"/>
      <c r="AA515" s="26"/>
      <c r="AC515" s="25"/>
    </row>
    <row r="516" spans="1:29" ht="12.75">
      <c r="A516" s="30"/>
      <c r="B516" s="6"/>
      <c r="C516" s="30"/>
      <c r="D516" s="15"/>
      <c r="F516" s="26"/>
      <c r="G516" s="80"/>
      <c r="H516" s="80"/>
      <c r="I516" s="80"/>
      <c r="J516" s="80"/>
      <c r="K516" s="80"/>
      <c r="O516" s="25"/>
      <c r="P516" s="26"/>
      <c r="AA516" s="26"/>
      <c r="AC516" s="25"/>
    </row>
    <row r="517" spans="1:29" ht="12.75">
      <c r="A517" s="30"/>
      <c r="B517" s="6"/>
      <c r="C517" s="30"/>
      <c r="D517" s="15"/>
      <c r="F517" s="26"/>
      <c r="G517" s="80"/>
      <c r="H517" s="80"/>
      <c r="I517" s="80"/>
      <c r="J517" s="80"/>
      <c r="K517" s="80"/>
      <c r="O517" s="25"/>
      <c r="P517" s="26"/>
      <c r="AA517" s="26"/>
      <c r="AC517" s="25"/>
    </row>
    <row r="518" spans="1:29" ht="12.75">
      <c r="A518" s="30"/>
      <c r="B518" s="6"/>
      <c r="C518" s="30"/>
      <c r="D518" s="15"/>
      <c r="F518" s="26"/>
      <c r="G518" s="80"/>
      <c r="H518" s="80"/>
      <c r="I518" s="80"/>
      <c r="J518" s="80"/>
      <c r="K518" s="80"/>
      <c r="O518" s="25"/>
      <c r="P518" s="26"/>
      <c r="AA518" s="26"/>
      <c r="AC518" s="25"/>
    </row>
    <row r="519" spans="1:29" ht="12.75">
      <c r="A519" s="30"/>
      <c r="B519" s="6"/>
      <c r="C519" s="30"/>
      <c r="D519" s="15"/>
      <c r="F519" s="26"/>
      <c r="G519" s="80"/>
      <c r="H519" s="80"/>
      <c r="I519" s="80"/>
      <c r="J519" s="80"/>
      <c r="K519" s="80"/>
      <c r="O519" s="25"/>
      <c r="P519" s="26"/>
      <c r="AA519" s="26"/>
      <c r="AC519" s="25"/>
    </row>
    <row r="520" spans="1:29" ht="12.75">
      <c r="A520" s="30"/>
      <c r="B520" s="6"/>
      <c r="C520" s="30"/>
      <c r="D520" s="15"/>
      <c r="F520" s="26"/>
      <c r="G520" s="80"/>
      <c r="H520" s="80"/>
      <c r="I520" s="80"/>
      <c r="J520" s="80"/>
      <c r="K520" s="80"/>
      <c r="O520" s="25"/>
      <c r="P520" s="26"/>
      <c r="AA520" s="26"/>
      <c r="AC520" s="25"/>
    </row>
    <row r="521" spans="1:29" ht="12.75">
      <c r="A521" s="30"/>
      <c r="B521" s="6"/>
      <c r="C521" s="30"/>
      <c r="D521" s="15"/>
      <c r="F521" s="26"/>
      <c r="G521" s="80"/>
      <c r="H521" s="80"/>
      <c r="I521" s="80"/>
      <c r="J521" s="80"/>
      <c r="K521" s="80"/>
      <c r="O521" s="25"/>
      <c r="P521" s="26"/>
      <c r="AA521" s="26"/>
      <c r="AC521" s="25"/>
    </row>
    <row r="522" spans="1:29" ht="12.75">
      <c r="A522" s="30"/>
      <c r="B522" s="6"/>
      <c r="C522" s="30"/>
      <c r="D522" s="15"/>
      <c r="F522" s="26"/>
      <c r="G522" s="80"/>
      <c r="H522" s="80"/>
      <c r="I522" s="80"/>
      <c r="J522" s="80"/>
      <c r="K522" s="80"/>
      <c r="O522" s="25"/>
      <c r="P522" s="26"/>
      <c r="AA522" s="26"/>
      <c r="AC522" s="25"/>
    </row>
    <row r="523" spans="1:29" ht="12.75">
      <c r="A523" s="30"/>
      <c r="B523" s="6"/>
      <c r="C523" s="30"/>
      <c r="D523" s="15"/>
      <c r="F523" s="26"/>
      <c r="G523" s="80"/>
      <c r="H523" s="80"/>
      <c r="I523" s="80"/>
      <c r="J523" s="80"/>
      <c r="K523" s="80"/>
      <c r="O523" s="25"/>
      <c r="P523" s="26"/>
      <c r="AA523" s="26"/>
      <c r="AC523" s="25"/>
    </row>
    <row r="524" spans="1:29" ht="12.75">
      <c r="A524" s="30"/>
      <c r="B524" s="6"/>
      <c r="C524" s="30"/>
      <c r="D524" s="15"/>
      <c r="F524" s="26"/>
      <c r="G524" s="80"/>
      <c r="H524" s="80"/>
      <c r="I524" s="80"/>
      <c r="J524" s="80"/>
      <c r="K524" s="80"/>
      <c r="O524" s="25"/>
      <c r="P524" s="26"/>
      <c r="AA524" s="26"/>
      <c r="AC524" s="25"/>
    </row>
    <row r="525" spans="1:29" ht="12.75">
      <c r="A525" s="30"/>
      <c r="B525" s="6"/>
      <c r="C525" s="30"/>
      <c r="D525" s="15"/>
      <c r="F525" s="26"/>
      <c r="G525" s="80"/>
      <c r="H525" s="80"/>
      <c r="I525" s="80"/>
      <c r="J525" s="80"/>
      <c r="K525" s="80"/>
      <c r="O525" s="25"/>
      <c r="P525" s="26"/>
      <c r="AA525" s="26"/>
      <c r="AC525" s="25"/>
    </row>
    <row r="526" spans="1:29" ht="12.75">
      <c r="A526" s="30"/>
      <c r="B526" s="6"/>
      <c r="C526" s="30"/>
      <c r="D526" s="15"/>
      <c r="F526" s="26"/>
      <c r="G526" s="80"/>
      <c r="H526" s="80"/>
      <c r="I526" s="80"/>
      <c r="J526" s="80"/>
      <c r="K526" s="80"/>
      <c r="O526" s="25"/>
      <c r="P526" s="26"/>
      <c r="AA526" s="26"/>
      <c r="AC526" s="25"/>
    </row>
    <row r="527" spans="1:29" ht="12.75">
      <c r="A527" s="30"/>
      <c r="B527" s="6"/>
      <c r="C527" s="30"/>
      <c r="D527" s="15"/>
      <c r="F527" s="26"/>
      <c r="G527" s="80"/>
      <c r="H527" s="80"/>
      <c r="I527" s="80"/>
      <c r="J527" s="80"/>
      <c r="K527" s="80"/>
      <c r="O527" s="25"/>
      <c r="P527" s="26"/>
      <c r="AA527" s="26"/>
      <c r="AC527" s="25"/>
    </row>
    <row r="528" spans="1:29" ht="12.75">
      <c r="A528" s="30"/>
      <c r="B528" s="6"/>
      <c r="C528" s="30"/>
      <c r="D528" s="15"/>
      <c r="F528" s="26"/>
      <c r="G528" s="80"/>
      <c r="H528" s="80"/>
      <c r="I528" s="80"/>
      <c r="J528" s="80"/>
      <c r="K528" s="80"/>
      <c r="O528" s="25"/>
      <c r="P528" s="26"/>
      <c r="AA528" s="26"/>
      <c r="AC528" s="25"/>
    </row>
    <row r="529" spans="1:29" ht="12.75">
      <c r="A529" s="30"/>
      <c r="B529" s="6"/>
      <c r="C529" s="30"/>
      <c r="D529" s="15"/>
      <c r="F529" s="26"/>
      <c r="G529" s="80"/>
      <c r="H529" s="80"/>
      <c r="I529" s="80"/>
      <c r="J529" s="80"/>
      <c r="K529" s="80"/>
      <c r="O529" s="25"/>
      <c r="P529" s="26"/>
      <c r="AA529" s="26"/>
      <c r="AC529" s="25"/>
    </row>
    <row r="530" spans="1:29" ht="12.75">
      <c r="A530" s="30"/>
      <c r="B530" s="6"/>
      <c r="C530" s="30"/>
      <c r="D530" s="15"/>
      <c r="F530" s="26"/>
      <c r="G530" s="80"/>
      <c r="H530" s="80"/>
      <c r="I530" s="80"/>
      <c r="J530" s="80"/>
      <c r="K530" s="80"/>
      <c r="O530" s="25"/>
      <c r="P530" s="26"/>
      <c r="AA530" s="26"/>
      <c r="AC530" s="25"/>
    </row>
    <row r="531" spans="1:29" ht="12.75">
      <c r="A531" s="30"/>
      <c r="B531" s="6"/>
      <c r="C531" s="30"/>
      <c r="D531" s="15"/>
      <c r="F531" s="26"/>
      <c r="G531" s="80"/>
      <c r="H531" s="80"/>
      <c r="I531" s="80"/>
      <c r="J531" s="80"/>
      <c r="K531" s="80"/>
      <c r="O531" s="25"/>
      <c r="P531" s="26"/>
      <c r="AA531" s="26"/>
      <c r="AC531" s="25"/>
    </row>
    <row r="532" spans="1:29" ht="12.75">
      <c r="A532" s="30"/>
      <c r="B532" s="6"/>
      <c r="C532" s="30"/>
      <c r="D532" s="15"/>
      <c r="F532" s="26"/>
      <c r="G532" s="80"/>
      <c r="H532" s="80"/>
      <c r="I532" s="80"/>
      <c r="J532" s="80"/>
      <c r="K532" s="80"/>
      <c r="O532" s="25"/>
      <c r="P532" s="26"/>
      <c r="AA532" s="26"/>
      <c r="AC532" s="25"/>
    </row>
    <row r="533" spans="1:29" ht="12.75">
      <c r="A533" s="30"/>
      <c r="B533" s="6"/>
      <c r="C533" s="30"/>
      <c r="D533" s="15"/>
      <c r="F533" s="26"/>
      <c r="G533" s="80"/>
      <c r="H533" s="80"/>
      <c r="I533" s="80"/>
      <c r="J533" s="80"/>
      <c r="K533" s="80"/>
      <c r="O533" s="25"/>
      <c r="P533" s="26"/>
      <c r="AA533" s="26"/>
      <c r="AC533" s="25"/>
    </row>
    <row r="534" spans="1:29" ht="12.75">
      <c r="A534" s="30"/>
      <c r="B534" s="6"/>
      <c r="C534" s="30"/>
      <c r="D534" s="15"/>
      <c r="F534" s="26"/>
      <c r="G534" s="80"/>
      <c r="H534" s="80"/>
      <c r="I534" s="80"/>
      <c r="J534" s="80"/>
      <c r="K534" s="80"/>
      <c r="O534" s="25"/>
      <c r="P534" s="26"/>
      <c r="AA534" s="26"/>
      <c r="AC534" s="25"/>
    </row>
    <row r="535" spans="1:29" ht="12.75">
      <c r="A535" s="30"/>
      <c r="B535" s="6"/>
      <c r="C535" s="30"/>
      <c r="D535" s="15"/>
      <c r="F535" s="26"/>
      <c r="G535" s="80"/>
      <c r="H535" s="80"/>
      <c r="I535" s="80"/>
      <c r="J535" s="80"/>
      <c r="K535" s="80"/>
      <c r="O535" s="25"/>
      <c r="P535" s="26"/>
      <c r="AA535" s="26"/>
      <c r="AC535" s="25"/>
    </row>
    <row r="536" spans="1:29" ht="12.75">
      <c r="A536" s="30"/>
      <c r="B536" s="6"/>
      <c r="C536" s="30"/>
      <c r="D536" s="15"/>
      <c r="F536" s="26"/>
      <c r="G536" s="80"/>
      <c r="H536" s="80"/>
      <c r="I536" s="80"/>
      <c r="J536" s="80"/>
      <c r="K536" s="80"/>
      <c r="O536" s="25"/>
      <c r="P536" s="26"/>
      <c r="AA536" s="26"/>
      <c r="AC536" s="25"/>
    </row>
    <row r="537" spans="1:29" ht="12.75">
      <c r="A537" s="30"/>
      <c r="B537" s="6"/>
      <c r="C537" s="30"/>
      <c r="D537" s="15"/>
      <c r="F537" s="26"/>
      <c r="G537" s="80"/>
      <c r="H537" s="80"/>
      <c r="I537" s="80"/>
      <c r="J537" s="80"/>
      <c r="K537" s="80"/>
      <c r="O537" s="25"/>
      <c r="P537" s="26"/>
      <c r="AA537" s="26"/>
      <c r="AC537" s="25"/>
    </row>
    <row r="538" spans="1:29" ht="12.75">
      <c r="A538" s="30"/>
      <c r="B538" s="6"/>
      <c r="C538" s="30"/>
      <c r="D538" s="15"/>
      <c r="F538" s="26"/>
      <c r="G538" s="80"/>
      <c r="H538" s="80"/>
      <c r="I538" s="80"/>
      <c r="J538" s="80"/>
      <c r="K538" s="80"/>
      <c r="O538" s="25"/>
      <c r="P538" s="26"/>
      <c r="AA538" s="26"/>
      <c r="AC538" s="25"/>
    </row>
    <row r="539" spans="1:29" ht="12.75">
      <c r="A539" s="30"/>
      <c r="B539" s="6"/>
      <c r="C539" s="30"/>
      <c r="D539" s="15"/>
      <c r="F539" s="26"/>
      <c r="G539" s="80"/>
      <c r="H539" s="80"/>
      <c r="I539" s="80"/>
      <c r="J539" s="80"/>
      <c r="K539" s="80"/>
      <c r="O539" s="25"/>
      <c r="P539" s="26"/>
      <c r="AA539" s="26"/>
      <c r="AC539" s="25"/>
    </row>
    <row r="540" spans="1:29" ht="12.75">
      <c r="A540" s="30"/>
      <c r="B540" s="6"/>
      <c r="C540" s="30"/>
      <c r="D540" s="15"/>
      <c r="F540" s="26"/>
      <c r="G540" s="80"/>
      <c r="H540" s="80"/>
      <c r="I540" s="80"/>
      <c r="J540" s="80"/>
      <c r="K540" s="80"/>
      <c r="O540" s="25"/>
      <c r="P540" s="26"/>
      <c r="AA540" s="26"/>
      <c r="AC540" s="25"/>
    </row>
    <row r="541" spans="1:29" ht="12.75">
      <c r="A541" s="30"/>
      <c r="B541" s="6"/>
      <c r="C541" s="30"/>
      <c r="D541" s="15"/>
      <c r="F541" s="26"/>
      <c r="G541" s="80"/>
      <c r="H541" s="80"/>
      <c r="I541" s="80"/>
      <c r="J541" s="80"/>
      <c r="K541" s="80"/>
      <c r="O541" s="25"/>
      <c r="P541" s="26"/>
      <c r="AA541" s="26"/>
      <c r="AC541" s="25"/>
    </row>
    <row r="542" spans="1:29" ht="12.75">
      <c r="A542" s="30"/>
      <c r="B542" s="6"/>
      <c r="C542" s="30"/>
      <c r="D542" s="15"/>
      <c r="F542" s="26"/>
      <c r="G542" s="80"/>
      <c r="H542" s="80"/>
      <c r="I542" s="80"/>
      <c r="J542" s="80"/>
      <c r="K542" s="80"/>
      <c r="O542" s="25"/>
      <c r="P542" s="26"/>
      <c r="AA542" s="26"/>
      <c r="AC542" s="25"/>
    </row>
    <row r="543" spans="1:29" ht="12.75">
      <c r="A543" s="30"/>
      <c r="B543" s="6"/>
      <c r="C543" s="30"/>
      <c r="D543" s="15"/>
      <c r="F543" s="26"/>
      <c r="G543" s="80"/>
      <c r="H543" s="80"/>
      <c r="I543" s="80"/>
      <c r="J543" s="80"/>
      <c r="K543" s="80"/>
      <c r="O543" s="25"/>
      <c r="P543" s="26"/>
      <c r="AA543" s="26"/>
      <c r="AC543" s="25"/>
    </row>
    <row r="544" spans="1:29" ht="12.75">
      <c r="A544" s="30"/>
      <c r="B544" s="6"/>
      <c r="C544" s="30"/>
      <c r="D544" s="15"/>
      <c r="F544" s="26"/>
      <c r="G544" s="80"/>
      <c r="H544" s="80"/>
      <c r="I544" s="80"/>
      <c r="J544" s="80"/>
      <c r="K544" s="80"/>
      <c r="O544" s="25"/>
      <c r="P544" s="26"/>
      <c r="AA544" s="26"/>
      <c r="AC544" s="25"/>
    </row>
    <row r="545" spans="1:29" ht="12.75">
      <c r="A545" s="30"/>
      <c r="B545" s="6"/>
      <c r="C545" s="30"/>
      <c r="D545" s="15"/>
      <c r="F545" s="26"/>
      <c r="G545" s="80"/>
      <c r="H545" s="80"/>
      <c r="I545" s="80"/>
      <c r="J545" s="80"/>
      <c r="K545" s="80"/>
      <c r="O545" s="25"/>
      <c r="P545" s="26"/>
      <c r="AA545" s="26"/>
      <c r="AC545" s="25"/>
    </row>
    <row r="546" spans="1:29" ht="12.75">
      <c r="A546" s="30"/>
      <c r="B546" s="6"/>
      <c r="C546" s="30"/>
      <c r="D546" s="15"/>
      <c r="F546" s="26"/>
      <c r="G546" s="80"/>
      <c r="H546" s="80"/>
      <c r="I546" s="80"/>
      <c r="J546" s="80"/>
      <c r="K546" s="80"/>
      <c r="O546" s="25"/>
      <c r="P546" s="26"/>
      <c r="AA546" s="26"/>
      <c r="AC546" s="25"/>
    </row>
    <row r="547" spans="1:29" ht="12.75">
      <c r="A547" s="30"/>
      <c r="B547" s="6"/>
      <c r="C547" s="30"/>
      <c r="D547" s="15"/>
      <c r="F547" s="26"/>
      <c r="G547" s="80"/>
      <c r="H547" s="80"/>
      <c r="I547" s="80"/>
      <c r="J547" s="80"/>
      <c r="K547" s="80"/>
      <c r="O547" s="25"/>
      <c r="P547" s="26"/>
      <c r="AA547" s="26"/>
      <c r="AC547" s="25"/>
    </row>
    <row r="548" spans="1:29" ht="12.75">
      <c r="A548" s="30"/>
      <c r="B548" s="6"/>
      <c r="C548" s="30"/>
      <c r="D548" s="15"/>
      <c r="F548" s="26"/>
      <c r="G548" s="80"/>
      <c r="H548" s="80"/>
      <c r="I548" s="80"/>
      <c r="J548" s="80"/>
      <c r="K548" s="80"/>
      <c r="O548" s="25"/>
      <c r="P548" s="26"/>
      <c r="AA548" s="26"/>
      <c r="AC548" s="25"/>
    </row>
    <row r="549" spans="1:29" ht="12.75">
      <c r="A549" s="30"/>
      <c r="B549" s="6"/>
      <c r="C549" s="30"/>
      <c r="D549" s="15"/>
      <c r="F549" s="26"/>
      <c r="G549" s="80"/>
      <c r="H549" s="80"/>
      <c r="I549" s="80"/>
      <c r="J549" s="80"/>
      <c r="K549" s="80"/>
      <c r="O549" s="25"/>
      <c r="P549" s="26"/>
      <c r="AA549" s="26"/>
      <c r="AC549" s="25"/>
    </row>
    <row r="550" spans="1:29" ht="12.75">
      <c r="A550" s="30"/>
      <c r="B550" s="6"/>
      <c r="C550" s="30"/>
      <c r="D550" s="15"/>
      <c r="F550" s="26"/>
      <c r="G550" s="80"/>
      <c r="H550" s="80"/>
      <c r="I550" s="80"/>
      <c r="J550" s="80"/>
      <c r="K550" s="80"/>
      <c r="O550" s="25"/>
      <c r="P550" s="26"/>
      <c r="AA550" s="26"/>
      <c r="AC550" s="25"/>
    </row>
    <row r="551" spans="1:29" ht="12.75">
      <c r="A551" s="30"/>
      <c r="B551" s="6"/>
      <c r="C551" s="30"/>
      <c r="D551" s="15"/>
      <c r="F551" s="26"/>
      <c r="G551" s="80"/>
      <c r="H551" s="80"/>
      <c r="I551" s="80"/>
      <c r="J551" s="80"/>
      <c r="K551" s="80"/>
      <c r="O551" s="25"/>
      <c r="P551" s="26"/>
      <c r="AA551" s="26"/>
      <c r="AC551" s="25"/>
    </row>
    <row r="552" spans="1:29" ht="12.75">
      <c r="A552" s="30"/>
      <c r="B552" s="6"/>
      <c r="C552" s="30"/>
      <c r="D552" s="15"/>
      <c r="F552" s="26"/>
      <c r="G552" s="80"/>
      <c r="H552" s="80"/>
      <c r="I552" s="80"/>
      <c r="J552" s="80"/>
      <c r="K552" s="80"/>
      <c r="O552" s="25"/>
      <c r="P552" s="26"/>
      <c r="AA552" s="26"/>
      <c r="AC552" s="25"/>
    </row>
    <row r="553" spans="1:29" ht="12.75">
      <c r="A553" s="30"/>
      <c r="B553" s="6"/>
      <c r="C553" s="30"/>
      <c r="D553" s="15"/>
      <c r="F553" s="26"/>
      <c r="G553" s="80"/>
      <c r="H553" s="80"/>
      <c r="I553" s="80"/>
      <c r="J553" s="80"/>
      <c r="K553" s="80"/>
      <c r="O553" s="25"/>
      <c r="P553" s="26"/>
      <c r="AA553" s="26"/>
      <c r="AC553" s="25"/>
    </row>
    <row r="554" spans="1:29" ht="12.75">
      <c r="A554" s="30"/>
      <c r="B554" s="6"/>
      <c r="C554" s="30"/>
      <c r="D554" s="15"/>
      <c r="F554" s="26"/>
      <c r="G554" s="80"/>
      <c r="H554" s="80"/>
      <c r="I554" s="80"/>
      <c r="J554" s="80"/>
      <c r="K554" s="80"/>
      <c r="O554" s="25"/>
      <c r="P554" s="26"/>
      <c r="AA554" s="26"/>
      <c r="AC554" s="25"/>
    </row>
    <row r="555" spans="1:29" ht="12.75">
      <c r="A555" s="30"/>
      <c r="B555" s="6"/>
      <c r="C555" s="30"/>
      <c r="D555" s="15"/>
      <c r="F555" s="26"/>
      <c r="G555" s="80"/>
      <c r="H555" s="80"/>
      <c r="I555" s="80"/>
      <c r="J555" s="80"/>
      <c r="K555" s="80"/>
      <c r="O555" s="25"/>
      <c r="P555" s="26"/>
      <c r="AA555" s="26"/>
      <c r="AC555" s="25"/>
    </row>
    <row r="556" spans="1:29" ht="12.75">
      <c r="A556" s="30"/>
      <c r="B556" s="6"/>
      <c r="C556" s="30"/>
      <c r="D556" s="15"/>
      <c r="F556" s="26"/>
      <c r="G556" s="80"/>
      <c r="H556" s="80"/>
      <c r="I556" s="80"/>
      <c r="J556" s="80"/>
      <c r="K556" s="80"/>
      <c r="O556" s="25"/>
      <c r="P556" s="26"/>
      <c r="AA556" s="26"/>
      <c r="AC556" s="25"/>
    </row>
    <row r="557" spans="1:29" ht="12.75">
      <c r="A557" s="30"/>
      <c r="B557" s="6"/>
      <c r="C557" s="30"/>
      <c r="D557" s="15"/>
      <c r="F557" s="26"/>
      <c r="G557" s="80"/>
      <c r="H557" s="80"/>
      <c r="I557" s="80"/>
      <c r="J557" s="80"/>
      <c r="K557" s="80"/>
      <c r="O557" s="25"/>
      <c r="P557" s="26"/>
      <c r="AA557" s="26"/>
      <c r="AC557" s="25"/>
    </row>
    <row r="558" spans="1:29" ht="12.75">
      <c r="A558" s="30"/>
      <c r="B558" s="6"/>
      <c r="C558" s="30"/>
      <c r="D558" s="15"/>
      <c r="F558" s="26"/>
      <c r="G558" s="80"/>
      <c r="H558" s="80"/>
      <c r="I558" s="80"/>
      <c r="J558" s="80"/>
      <c r="K558" s="80"/>
      <c r="O558" s="25"/>
      <c r="P558" s="26"/>
      <c r="AA558" s="26"/>
      <c r="AC558" s="25"/>
    </row>
    <row r="559" spans="1:29" ht="12.75">
      <c r="A559" s="30"/>
      <c r="B559" s="6"/>
      <c r="C559" s="30"/>
      <c r="D559" s="15"/>
      <c r="F559" s="26"/>
      <c r="G559" s="80"/>
      <c r="H559" s="80"/>
      <c r="I559" s="80"/>
      <c r="J559" s="80"/>
      <c r="K559" s="80"/>
      <c r="O559" s="25"/>
      <c r="P559" s="26"/>
      <c r="AA559" s="26"/>
      <c r="AC559" s="25"/>
    </row>
    <row r="560" spans="1:29" ht="12.75">
      <c r="A560" s="30"/>
      <c r="B560" s="6"/>
      <c r="C560" s="30"/>
      <c r="D560" s="15"/>
      <c r="F560" s="26"/>
      <c r="G560" s="80"/>
      <c r="H560" s="80"/>
      <c r="I560" s="80"/>
      <c r="J560" s="80"/>
      <c r="K560" s="80"/>
      <c r="O560" s="25"/>
      <c r="P560" s="26"/>
      <c r="AA560" s="26"/>
      <c r="AC560" s="25"/>
    </row>
    <row r="561" spans="1:29" ht="12.75">
      <c r="A561" s="30"/>
      <c r="B561" s="6"/>
      <c r="C561" s="30"/>
      <c r="D561" s="15"/>
      <c r="F561" s="26"/>
      <c r="G561" s="80"/>
      <c r="H561" s="80"/>
      <c r="I561" s="80"/>
      <c r="J561" s="80"/>
      <c r="K561" s="80"/>
      <c r="O561" s="25"/>
      <c r="P561" s="26"/>
      <c r="AA561" s="26"/>
      <c r="AC561" s="25"/>
    </row>
    <row r="562" spans="1:29" ht="12.75">
      <c r="A562" s="30"/>
      <c r="B562" s="6"/>
      <c r="C562" s="30"/>
      <c r="D562" s="15"/>
      <c r="F562" s="26"/>
      <c r="G562" s="80"/>
      <c r="H562" s="80"/>
      <c r="I562" s="80"/>
      <c r="J562" s="80"/>
      <c r="K562" s="80"/>
      <c r="O562" s="25"/>
      <c r="P562" s="26"/>
      <c r="AA562" s="26"/>
      <c r="AC562" s="25"/>
    </row>
    <row r="563" spans="1:29" ht="12.75">
      <c r="A563" s="30"/>
      <c r="B563" s="6"/>
      <c r="C563" s="30"/>
      <c r="D563" s="15"/>
      <c r="F563" s="26"/>
      <c r="G563" s="80"/>
      <c r="H563" s="80"/>
      <c r="I563" s="80"/>
      <c r="J563" s="80"/>
      <c r="K563" s="80"/>
      <c r="O563" s="25"/>
      <c r="P563" s="26"/>
      <c r="AA563" s="26"/>
      <c r="AC563" s="25"/>
    </row>
    <row r="564" spans="1:29" ht="12.75">
      <c r="A564" s="30"/>
      <c r="B564" s="6"/>
      <c r="C564" s="30"/>
      <c r="D564" s="15"/>
      <c r="F564" s="26"/>
      <c r="G564" s="80"/>
      <c r="H564" s="80"/>
      <c r="I564" s="80"/>
      <c r="J564" s="80"/>
      <c r="K564" s="80"/>
      <c r="O564" s="25"/>
      <c r="P564" s="26"/>
      <c r="AA564" s="26"/>
      <c r="AC564" s="25"/>
    </row>
    <row r="565" spans="1:29" ht="12.75">
      <c r="A565" s="30"/>
      <c r="B565" s="6"/>
      <c r="C565" s="30"/>
      <c r="D565" s="15"/>
      <c r="F565" s="26"/>
      <c r="G565" s="80"/>
      <c r="H565" s="80"/>
      <c r="I565" s="80"/>
      <c r="J565" s="80"/>
      <c r="K565" s="80"/>
      <c r="O565" s="25"/>
      <c r="P565" s="26"/>
      <c r="AA565" s="26"/>
      <c r="AC565" s="25"/>
    </row>
    <row r="566" spans="1:29" ht="12.75">
      <c r="A566" s="30"/>
      <c r="B566" s="6"/>
      <c r="C566" s="30"/>
      <c r="D566" s="15"/>
      <c r="F566" s="26"/>
      <c r="G566" s="80"/>
      <c r="H566" s="80"/>
      <c r="I566" s="80"/>
      <c r="J566" s="80"/>
      <c r="K566" s="80"/>
      <c r="O566" s="25"/>
      <c r="P566" s="26"/>
      <c r="AA566" s="26"/>
      <c r="AC566" s="25"/>
    </row>
    <row r="567" spans="1:29" ht="12.75">
      <c r="A567" s="30"/>
      <c r="B567" s="6"/>
      <c r="C567" s="30"/>
      <c r="D567" s="15"/>
      <c r="F567" s="26"/>
      <c r="G567" s="80"/>
      <c r="H567" s="80"/>
      <c r="I567" s="80"/>
      <c r="J567" s="80"/>
      <c r="K567" s="80"/>
      <c r="O567" s="25"/>
      <c r="P567" s="26"/>
      <c r="AA567" s="26"/>
      <c r="AC567" s="25"/>
    </row>
    <row r="568" spans="1:29" ht="12.75">
      <c r="A568" s="30"/>
      <c r="B568" s="6"/>
      <c r="C568" s="30"/>
      <c r="D568" s="15"/>
      <c r="F568" s="26"/>
      <c r="G568" s="80"/>
      <c r="H568" s="80"/>
      <c r="I568" s="80"/>
      <c r="J568" s="80"/>
      <c r="K568" s="80"/>
      <c r="O568" s="25"/>
      <c r="P568" s="26"/>
      <c r="AA568" s="26"/>
      <c r="AC568" s="25"/>
    </row>
    <row r="569" spans="1:29" ht="12.75">
      <c r="A569" s="30"/>
      <c r="B569" s="6"/>
      <c r="C569" s="30"/>
      <c r="D569" s="15"/>
      <c r="F569" s="26"/>
      <c r="G569" s="80"/>
      <c r="H569" s="80"/>
      <c r="I569" s="80"/>
      <c r="J569" s="80"/>
      <c r="K569" s="80"/>
      <c r="O569" s="25"/>
      <c r="P569" s="26"/>
      <c r="AA569" s="26"/>
      <c r="AC569" s="25"/>
    </row>
    <row r="570" spans="1:29" ht="12.75">
      <c r="A570" s="30"/>
      <c r="B570" s="6"/>
      <c r="C570" s="30"/>
      <c r="D570" s="15"/>
      <c r="F570" s="26"/>
      <c r="G570" s="80"/>
      <c r="H570" s="80"/>
      <c r="I570" s="80"/>
      <c r="J570" s="80"/>
      <c r="K570" s="80"/>
      <c r="O570" s="25"/>
      <c r="P570" s="26"/>
      <c r="AA570" s="26"/>
      <c r="AC570" s="25"/>
    </row>
    <row r="571" spans="1:29" ht="12.75">
      <c r="A571" s="30"/>
      <c r="B571" s="6"/>
      <c r="C571" s="30"/>
      <c r="D571" s="15"/>
      <c r="F571" s="26"/>
      <c r="G571" s="80"/>
      <c r="H571" s="80"/>
      <c r="I571" s="80"/>
      <c r="J571" s="80"/>
      <c r="K571" s="80"/>
      <c r="O571" s="25"/>
      <c r="P571" s="26"/>
      <c r="AA571" s="26"/>
      <c r="AC571" s="25"/>
    </row>
    <row r="572" spans="1:29" ht="12.75">
      <c r="A572" s="30"/>
      <c r="B572" s="6"/>
      <c r="C572" s="30"/>
      <c r="D572" s="15"/>
      <c r="F572" s="26"/>
      <c r="G572" s="80"/>
      <c r="H572" s="80"/>
      <c r="I572" s="80"/>
      <c r="J572" s="80"/>
      <c r="K572" s="80"/>
      <c r="O572" s="25"/>
      <c r="P572" s="26"/>
      <c r="AA572" s="26"/>
      <c r="AC572" s="25"/>
    </row>
    <row r="573" spans="1:29" ht="12.75">
      <c r="A573" s="30"/>
      <c r="B573" s="6"/>
      <c r="C573" s="30"/>
      <c r="D573" s="15"/>
      <c r="F573" s="26"/>
      <c r="G573" s="80"/>
      <c r="H573" s="80"/>
      <c r="I573" s="80"/>
      <c r="J573" s="80"/>
      <c r="K573" s="80"/>
      <c r="O573" s="25"/>
      <c r="P573" s="26"/>
      <c r="AA573" s="26"/>
      <c r="AC573" s="25"/>
    </row>
    <row r="574" spans="1:29" ht="12.75">
      <c r="A574" s="30"/>
      <c r="B574" s="6"/>
      <c r="C574" s="30"/>
      <c r="D574" s="15"/>
      <c r="F574" s="26"/>
      <c r="G574" s="80"/>
      <c r="H574" s="80"/>
      <c r="I574" s="80"/>
      <c r="J574" s="80"/>
      <c r="K574" s="80"/>
      <c r="O574" s="25"/>
      <c r="P574" s="26"/>
      <c r="AA574" s="26"/>
      <c r="AC574" s="25"/>
    </row>
    <row r="575" spans="1:29" ht="12.75">
      <c r="A575" s="30"/>
      <c r="B575" s="6"/>
      <c r="C575" s="30"/>
      <c r="D575" s="15"/>
      <c r="F575" s="26"/>
      <c r="G575" s="80"/>
      <c r="H575" s="80"/>
      <c r="I575" s="80"/>
      <c r="J575" s="80"/>
      <c r="K575" s="80"/>
      <c r="O575" s="25"/>
      <c r="P575" s="26"/>
      <c r="AA575" s="26"/>
      <c r="AC575" s="25"/>
    </row>
    <row r="576" spans="1:29" ht="12.75">
      <c r="A576" s="30"/>
      <c r="B576" s="6"/>
      <c r="C576" s="30"/>
      <c r="D576" s="15"/>
      <c r="F576" s="26"/>
      <c r="G576" s="80"/>
      <c r="H576" s="80"/>
      <c r="I576" s="80"/>
      <c r="J576" s="80"/>
      <c r="K576" s="80"/>
      <c r="O576" s="25"/>
      <c r="P576" s="26"/>
      <c r="AA576" s="26"/>
      <c r="AC576" s="25"/>
    </row>
    <row r="577" spans="1:29" ht="12.75">
      <c r="A577" s="30"/>
      <c r="B577" s="6"/>
      <c r="C577" s="30"/>
      <c r="D577" s="15"/>
      <c r="F577" s="26"/>
      <c r="G577" s="80"/>
      <c r="H577" s="80"/>
      <c r="I577" s="80"/>
      <c r="J577" s="80"/>
      <c r="K577" s="80"/>
      <c r="O577" s="25"/>
      <c r="P577" s="26"/>
      <c r="AA577" s="26"/>
      <c r="AC577" s="25"/>
    </row>
    <row r="578" spans="1:29" ht="12.75">
      <c r="A578" s="30"/>
      <c r="B578" s="6"/>
      <c r="C578" s="30"/>
      <c r="D578" s="15"/>
      <c r="F578" s="26"/>
      <c r="G578" s="80"/>
      <c r="H578" s="80"/>
      <c r="I578" s="80"/>
      <c r="J578" s="80"/>
      <c r="K578" s="80"/>
      <c r="O578" s="25"/>
      <c r="P578" s="26"/>
      <c r="AA578" s="26"/>
      <c r="AC578" s="25"/>
    </row>
    <row r="579" spans="1:29" ht="12.75">
      <c r="A579" s="30"/>
      <c r="B579" s="6"/>
      <c r="C579" s="30"/>
      <c r="D579" s="15"/>
      <c r="F579" s="26"/>
      <c r="G579" s="80"/>
      <c r="H579" s="80"/>
      <c r="I579" s="80"/>
      <c r="J579" s="80"/>
      <c r="K579" s="80"/>
      <c r="O579" s="25"/>
      <c r="P579" s="26"/>
      <c r="AA579" s="26"/>
      <c r="AC579" s="25"/>
    </row>
    <row r="580" spans="1:29" ht="12.75">
      <c r="A580" s="30"/>
      <c r="B580" s="6"/>
      <c r="C580" s="30"/>
      <c r="D580" s="15"/>
      <c r="F580" s="26"/>
      <c r="G580" s="80"/>
      <c r="H580" s="80"/>
      <c r="I580" s="80"/>
      <c r="J580" s="80"/>
      <c r="K580" s="80"/>
      <c r="O580" s="25"/>
      <c r="P580" s="26"/>
      <c r="AA580" s="26"/>
      <c r="AC580" s="25"/>
    </row>
    <row r="581" spans="1:29" ht="12.75">
      <c r="A581" s="30"/>
      <c r="B581" s="6"/>
      <c r="C581" s="30"/>
      <c r="D581" s="15"/>
      <c r="F581" s="26"/>
      <c r="G581" s="80"/>
      <c r="H581" s="80"/>
      <c r="I581" s="80"/>
      <c r="J581" s="80"/>
      <c r="K581" s="80"/>
      <c r="O581" s="25"/>
      <c r="P581" s="26"/>
      <c r="AA581" s="26"/>
      <c r="AC581" s="25"/>
    </row>
    <row r="582" spans="1:29" ht="12.75">
      <c r="A582" s="30"/>
      <c r="B582" s="6"/>
      <c r="C582" s="30"/>
      <c r="D582" s="15"/>
      <c r="F582" s="26"/>
      <c r="G582" s="80"/>
      <c r="H582" s="80"/>
      <c r="I582" s="80"/>
      <c r="J582" s="80"/>
      <c r="K582" s="80"/>
      <c r="O582" s="25"/>
      <c r="P582" s="26"/>
      <c r="AA582" s="26"/>
      <c r="AC582" s="25"/>
    </row>
    <row r="583" spans="1:29" ht="12.75">
      <c r="A583" s="30"/>
      <c r="B583" s="6"/>
      <c r="C583" s="30"/>
      <c r="D583" s="15"/>
      <c r="F583" s="26"/>
      <c r="G583" s="80"/>
      <c r="H583" s="80"/>
      <c r="I583" s="80"/>
      <c r="J583" s="80"/>
      <c r="K583" s="80"/>
      <c r="O583" s="25"/>
      <c r="P583" s="26"/>
      <c r="AA583" s="26"/>
      <c r="AC583" s="25"/>
    </row>
    <row r="584" spans="1:29" ht="12.75">
      <c r="A584" s="30"/>
      <c r="B584" s="6"/>
      <c r="C584" s="30"/>
      <c r="D584" s="15"/>
      <c r="F584" s="26"/>
      <c r="G584" s="80"/>
      <c r="H584" s="80"/>
      <c r="I584" s="80"/>
      <c r="J584" s="80"/>
      <c r="K584" s="80"/>
      <c r="O584" s="25"/>
      <c r="P584" s="26"/>
      <c r="AA584" s="26"/>
      <c r="AC584" s="25"/>
    </row>
    <row r="585" spans="1:29" ht="12.75">
      <c r="A585" s="30"/>
      <c r="B585" s="6"/>
      <c r="C585" s="30"/>
      <c r="D585" s="15"/>
      <c r="F585" s="26"/>
      <c r="G585" s="80"/>
      <c r="H585" s="80"/>
      <c r="I585" s="80"/>
      <c r="J585" s="80"/>
      <c r="K585" s="80"/>
      <c r="O585" s="25"/>
      <c r="P585" s="26"/>
      <c r="AA585" s="26"/>
      <c r="AC585" s="25"/>
    </row>
    <row r="586" spans="1:29" ht="12.75">
      <c r="A586" s="30"/>
      <c r="B586" s="6"/>
      <c r="C586" s="30"/>
      <c r="D586" s="15"/>
      <c r="F586" s="26"/>
      <c r="G586" s="80"/>
      <c r="H586" s="80"/>
      <c r="I586" s="80"/>
      <c r="J586" s="80"/>
      <c r="K586" s="80"/>
      <c r="O586" s="25"/>
      <c r="P586" s="26"/>
      <c r="AA586" s="26"/>
      <c r="AC586" s="25"/>
    </row>
    <row r="587" spans="1:29" ht="12.75">
      <c r="A587" s="30"/>
      <c r="B587" s="6"/>
      <c r="C587" s="30"/>
      <c r="D587" s="15"/>
      <c r="F587" s="26"/>
      <c r="G587" s="80"/>
      <c r="H587" s="80"/>
      <c r="I587" s="80"/>
      <c r="J587" s="80"/>
      <c r="K587" s="80"/>
      <c r="O587" s="25"/>
      <c r="P587" s="26"/>
      <c r="AA587" s="26"/>
      <c r="AC587" s="25"/>
    </row>
    <row r="588" spans="1:29" ht="12.75">
      <c r="A588" s="30"/>
      <c r="B588" s="6"/>
      <c r="C588" s="30"/>
      <c r="D588" s="15"/>
      <c r="F588" s="26"/>
      <c r="G588" s="80"/>
      <c r="H588" s="80"/>
      <c r="I588" s="80"/>
      <c r="J588" s="80"/>
      <c r="K588" s="80"/>
      <c r="O588" s="25"/>
      <c r="P588" s="26"/>
      <c r="AA588" s="26"/>
      <c r="AC588" s="25"/>
    </row>
    <row r="589" spans="1:29" ht="12.75">
      <c r="A589" s="30"/>
      <c r="B589" s="6"/>
      <c r="C589" s="30"/>
      <c r="D589" s="15"/>
      <c r="F589" s="26"/>
      <c r="G589" s="80"/>
      <c r="H589" s="80"/>
      <c r="I589" s="80"/>
      <c r="J589" s="80"/>
      <c r="K589" s="80"/>
      <c r="O589" s="25"/>
      <c r="P589" s="26"/>
      <c r="AA589" s="26"/>
      <c r="AC589" s="25"/>
    </row>
    <row r="590" spans="1:29" ht="12.75">
      <c r="A590" s="30"/>
      <c r="B590" s="6"/>
      <c r="C590" s="30"/>
      <c r="D590" s="15"/>
      <c r="F590" s="26"/>
      <c r="G590" s="80"/>
      <c r="H590" s="80"/>
      <c r="I590" s="80"/>
      <c r="J590" s="80"/>
      <c r="K590" s="80"/>
      <c r="O590" s="25"/>
      <c r="P590" s="26"/>
      <c r="AA590" s="26"/>
      <c r="AC590" s="25"/>
    </row>
    <row r="591" spans="1:29" ht="12.75">
      <c r="A591" s="30"/>
      <c r="B591" s="6"/>
      <c r="C591" s="30"/>
      <c r="D591" s="15"/>
      <c r="F591" s="26"/>
      <c r="G591" s="80"/>
      <c r="H591" s="80"/>
      <c r="I591" s="80"/>
      <c r="J591" s="80"/>
      <c r="K591" s="80"/>
      <c r="O591" s="25"/>
      <c r="P591" s="26"/>
      <c r="AA591" s="26"/>
      <c r="AC591" s="25"/>
    </row>
    <row r="592" spans="1:29" ht="12.75">
      <c r="A592" s="30"/>
      <c r="B592" s="6"/>
      <c r="C592" s="30"/>
      <c r="D592" s="15"/>
      <c r="F592" s="26"/>
      <c r="G592" s="80"/>
      <c r="H592" s="80"/>
      <c r="I592" s="80"/>
      <c r="J592" s="80"/>
      <c r="K592" s="80"/>
      <c r="O592" s="25"/>
      <c r="P592" s="26"/>
      <c r="AA592" s="26"/>
      <c r="AC592" s="25"/>
    </row>
    <row r="593" spans="1:29" ht="12.75">
      <c r="A593" s="30"/>
      <c r="B593" s="6"/>
      <c r="C593" s="30"/>
      <c r="D593" s="15"/>
      <c r="F593" s="26"/>
      <c r="G593" s="80"/>
      <c r="H593" s="80"/>
      <c r="I593" s="80"/>
      <c r="J593" s="80"/>
      <c r="K593" s="80"/>
      <c r="O593" s="25"/>
      <c r="P593" s="26"/>
      <c r="AA593" s="26"/>
      <c r="AC593" s="25"/>
    </row>
    <row r="594" spans="1:29" ht="12.75">
      <c r="A594" s="30"/>
      <c r="B594" s="6"/>
      <c r="C594" s="30"/>
      <c r="D594" s="15"/>
      <c r="F594" s="26"/>
      <c r="G594" s="80"/>
      <c r="H594" s="80"/>
      <c r="I594" s="80"/>
      <c r="J594" s="80"/>
      <c r="K594" s="80"/>
      <c r="O594" s="25"/>
      <c r="P594" s="26"/>
      <c r="AA594" s="26"/>
      <c r="AC594" s="25"/>
    </row>
    <row r="595" spans="1:29" ht="12.75">
      <c r="A595" s="30"/>
      <c r="B595" s="6"/>
      <c r="C595" s="30"/>
      <c r="D595" s="15"/>
      <c r="F595" s="26"/>
      <c r="G595" s="80"/>
      <c r="H595" s="80"/>
      <c r="I595" s="80"/>
      <c r="J595" s="80"/>
      <c r="K595" s="80"/>
      <c r="O595" s="25"/>
      <c r="P595" s="26"/>
      <c r="AA595" s="26"/>
      <c r="AC595" s="25"/>
    </row>
    <row r="596" spans="1:29" ht="12.75">
      <c r="A596" s="30"/>
      <c r="B596" s="6"/>
      <c r="C596" s="30"/>
      <c r="D596" s="15"/>
      <c r="F596" s="26"/>
      <c r="G596" s="80"/>
      <c r="H596" s="80"/>
      <c r="I596" s="80"/>
      <c r="J596" s="80"/>
      <c r="K596" s="80"/>
      <c r="O596" s="25"/>
      <c r="P596" s="26"/>
      <c r="AA596" s="26"/>
      <c r="AC596" s="25"/>
    </row>
    <row r="597" spans="1:29" ht="12.75">
      <c r="A597" s="30"/>
      <c r="B597" s="6"/>
      <c r="C597" s="30"/>
      <c r="D597" s="15"/>
      <c r="F597" s="26"/>
      <c r="G597" s="80"/>
      <c r="H597" s="80"/>
      <c r="I597" s="80"/>
      <c r="J597" s="80"/>
      <c r="K597" s="80"/>
      <c r="O597" s="25"/>
      <c r="P597" s="26"/>
      <c r="AA597" s="26"/>
      <c r="AC597" s="25"/>
    </row>
    <row r="598" spans="1:29" ht="12.75">
      <c r="A598" s="30"/>
      <c r="B598" s="6"/>
      <c r="C598" s="30"/>
      <c r="D598" s="15"/>
      <c r="F598" s="26"/>
      <c r="G598" s="80"/>
      <c r="H598" s="80"/>
      <c r="I598" s="80"/>
      <c r="J598" s="80"/>
      <c r="K598" s="80"/>
      <c r="O598" s="25"/>
      <c r="P598" s="26"/>
      <c r="AA598" s="26"/>
      <c r="AC598" s="25"/>
    </row>
    <row r="599" spans="1:29" ht="12.75">
      <c r="A599" s="30"/>
      <c r="B599" s="6"/>
      <c r="C599" s="30"/>
      <c r="D599" s="15"/>
      <c r="F599" s="26"/>
      <c r="G599" s="80"/>
      <c r="H599" s="80"/>
      <c r="I599" s="80"/>
      <c r="J599" s="80"/>
      <c r="K599" s="80"/>
      <c r="O599" s="25"/>
      <c r="P599" s="26"/>
      <c r="AA599" s="26"/>
      <c r="AC599" s="25"/>
    </row>
    <row r="600" spans="1:29" ht="12.75">
      <c r="A600" s="30"/>
      <c r="B600" s="6"/>
      <c r="C600" s="30"/>
      <c r="D600" s="15"/>
      <c r="F600" s="26"/>
      <c r="G600" s="80"/>
      <c r="H600" s="80"/>
      <c r="I600" s="80"/>
      <c r="J600" s="80"/>
      <c r="K600" s="80"/>
      <c r="O600" s="25"/>
      <c r="P600" s="26"/>
      <c r="AA600" s="26"/>
      <c r="AC600" s="25"/>
    </row>
    <row r="601" spans="1:29" ht="12.75">
      <c r="A601" s="30"/>
      <c r="B601" s="6"/>
      <c r="C601" s="30"/>
      <c r="D601" s="15"/>
      <c r="F601" s="26"/>
      <c r="G601" s="80"/>
      <c r="H601" s="80"/>
      <c r="I601" s="80"/>
      <c r="J601" s="80"/>
      <c r="K601" s="80"/>
      <c r="O601" s="25"/>
      <c r="P601" s="26"/>
      <c r="AA601" s="26"/>
      <c r="AC601" s="25"/>
    </row>
    <row r="602" spans="1:29" ht="12.75">
      <c r="A602" s="30"/>
      <c r="B602" s="6"/>
      <c r="C602" s="30"/>
      <c r="D602" s="15"/>
      <c r="F602" s="26"/>
      <c r="G602" s="80"/>
      <c r="H602" s="80"/>
      <c r="I602" s="80"/>
      <c r="J602" s="80"/>
      <c r="K602" s="80"/>
      <c r="O602" s="25"/>
      <c r="P602" s="26"/>
      <c r="AA602" s="26"/>
      <c r="AC602" s="25"/>
    </row>
    <row r="603" spans="1:29" ht="12.75">
      <c r="A603" s="30"/>
      <c r="B603" s="6"/>
      <c r="C603" s="30"/>
      <c r="D603" s="15"/>
      <c r="F603" s="26"/>
      <c r="G603" s="80"/>
      <c r="H603" s="80"/>
      <c r="I603" s="80"/>
      <c r="J603" s="80"/>
      <c r="K603" s="80"/>
      <c r="O603" s="25"/>
      <c r="P603" s="26"/>
      <c r="AA603" s="26"/>
      <c r="AC603" s="25"/>
    </row>
    <row r="604" spans="1:29" ht="12.75">
      <c r="A604" s="30"/>
      <c r="B604" s="6"/>
      <c r="C604" s="30"/>
      <c r="D604" s="15"/>
      <c r="F604" s="26"/>
      <c r="G604" s="80"/>
      <c r="H604" s="80"/>
      <c r="I604" s="80"/>
      <c r="J604" s="80"/>
      <c r="K604" s="80"/>
      <c r="O604" s="25"/>
      <c r="P604" s="26"/>
      <c r="AA604" s="26"/>
      <c r="AC604" s="25"/>
    </row>
    <row r="605" spans="1:29" ht="12.75">
      <c r="A605" s="30"/>
      <c r="B605" s="6"/>
      <c r="C605" s="30"/>
      <c r="D605" s="15"/>
      <c r="F605" s="26"/>
      <c r="G605" s="80"/>
      <c r="H605" s="80"/>
      <c r="I605" s="80"/>
      <c r="J605" s="80"/>
      <c r="K605" s="80"/>
      <c r="O605" s="25"/>
      <c r="P605" s="26"/>
      <c r="AA605" s="26"/>
      <c r="AC605" s="25"/>
    </row>
    <row r="606" spans="1:29" ht="12.75">
      <c r="A606" s="30"/>
      <c r="B606" s="6"/>
      <c r="C606" s="30"/>
      <c r="D606" s="15"/>
      <c r="F606" s="26"/>
      <c r="G606" s="80"/>
      <c r="H606" s="80"/>
      <c r="I606" s="80"/>
      <c r="J606" s="80"/>
      <c r="K606" s="80"/>
      <c r="O606" s="25"/>
      <c r="P606" s="26"/>
      <c r="AA606" s="26"/>
      <c r="AC606" s="25"/>
    </row>
    <row r="607" spans="1:29" ht="12.75">
      <c r="A607" s="30"/>
      <c r="B607" s="6"/>
      <c r="C607" s="30"/>
      <c r="D607" s="15"/>
      <c r="F607" s="26"/>
      <c r="G607" s="80"/>
      <c r="H607" s="80"/>
      <c r="I607" s="80"/>
      <c r="J607" s="80"/>
      <c r="K607" s="80"/>
      <c r="O607" s="25"/>
      <c r="P607" s="26"/>
      <c r="AA607" s="26"/>
      <c r="AC607" s="25"/>
    </row>
    <row r="608" spans="1:29" ht="12.75">
      <c r="A608" s="30"/>
      <c r="B608" s="6"/>
      <c r="C608" s="30"/>
      <c r="D608" s="15"/>
      <c r="F608" s="26"/>
      <c r="G608" s="80"/>
      <c r="H608" s="80"/>
      <c r="I608" s="80"/>
      <c r="J608" s="80"/>
      <c r="K608" s="80"/>
      <c r="O608" s="25"/>
      <c r="P608" s="26"/>
      <c r="AA608" s="26"/>
      <c r="AC608" s="25"/>
    </row>
    <row r="609" spans="1:29" ht="12.75">
      <c r="A609" s="30"/>
      <c r="B609" s="6"/>
      <c r="C609" s="30"/>
      <c r="D609" s="15"/>
      <c r="F609" s="26"/>
      <c r="G609" s="80"/>
      <c r="H609" s="80"/>
      <c r="I609" s="80"/>
      <c r="J609" s="80"/>
      <c r="K609" s="80"/>
      <c r="O609" s="25"/>
      <c r="P609" s="26"/>
      <c r="AA609" s="26"/>
      <c r="AC609" s="25"/>
    </row>
    <row r="610" spans="1:29" ht="12.75">
      <c r="A610" s="30"/>
      <c r="B610" s="6"/>
      <c r="C610" s="30"/>
      <c r="D610" s="15"/>
      <c r="F610" s="26"/>
      <c r="G610" s="80"/>
      <c r="H610" s="80"/>
      <c r="I610" s="80"/>
      <c r="J610" s="80"/>
      <c r="K610" s="80"/>
      <c r="O610" s="25"/>
      <c r="P610" s="26"/>
      <c r="AA610" s="26"/>
      <c r="AC610" s="25"/>
    </row>
    <row r="611" spans="1:29" ht="12.75">
      <c r="A611" s="30"/>
      <c r="B611" s="6"/>
      <c r="C611" s="30"/>
      <c r="D611" s="15"/>
      <c r="F611" s="26"/>
      <c r="G611" s="80"/>
      <c r="H611" s="80"/>
      <c r="I611" s="80"/>
      <c r="J611" s="80"/>
      <c r="K611" s="80"/>
      <c r="O611" s="25"/>
      <c r="P611" s="26"/>
      <c r="AA611" s="26"/>
      <c r="AC611" s="25"/>
    </row>
    <row r="612" spans="1:29" ht="12.75">
      <c r="A612" s="30"/>
      <c r="B612" s="6"/>
      <c r="C612" s="30"/>
      <c r="D612" s="15"/>
      <c r="F612" s="26"/>
      <c r="G612" s="80"/>
      <c r="H612" s="80"/>
      <c r="I612" s="80"/>
      <c r="J612" s="80"/>
      <c r="K612" s="80"/>
      <c r="O612" s="25"/>
      <c r="P612" s="26"/>
      <c r="AA612" s="26"/>
      <c r="AC612" s="25"/>
    </row>
    <row r="613" spans="1:29" ht="12.75">
      <c r="A613" s="30"/>
      <c r="B613" s="6"/>
      <c r="C613" s="30"/>
      <c r="D613" s="15"/>
      <c r="F613" s="26"/>
      <c r="G613" s="80"/>
      <c r="H613" s="80"/>
      <c r="I613" s="80"/>
      <c r="J613" s="80"/>
      <c r="K613" s="80"/>
      <c r="O613" s="25"/>
      <c r="P613" s="26"/>
      <c r="AA613" s="26"/>
      <c r="AC613" s="25"/>
    </row>
    <row r="614" spans="1:29" ht="12.75">
      <c r="A614" s="30"/>
      <c r="B614" s="6"/>
      <c r="C614" s="30"/>
      <c r="D614" s="15"/>
      <c r="F614" s="26"/>
      <c r="G614" s="80"/>
      <c r="H614" s="80"/>
      <c r="I614" s="80"/>
      <c r="J614" s="80"/>
      <c r="K614" s="80"/>
      <c r="O614" s="25"/>
      <c r="P614" s="26"/>
      <c r="AA614" s="26"/>
      <c r="AC614" s="25"/>
    </row>
    <row r="615" spans="1:29" ht="12.75">
      <c r="A615" s="30"/>
      <c r="B615" s="6"/>
      <c r="C615" s="30"/>
      <c r="D615" s="15"/>
      <c r="F615" s="26"/>
      <c r="G615" s="80"/>
      <c r="H615" s="80"/>
      <c r="I615" s="80"/>
      <c r="J615" s="80"/>
      <c r="K615" s="80"/>
      <c r="O615" s="25"/>
      <c r="P615" s="26"/>
      <c r="AA615" s="26"/>
      <c r="AC615" s="25"/>
    </row>
    <row r="616" spans="1:29" ht="12.75">
      <c r="A616" s="30"/>
      <c r="B616" s="6"/>
      <c r="C616" s="30"/>
      <c r="D616" s="15"/>
      <c r="F616" s="26"/>
      <c r="G616" s="80"/>
      <c r="H616" s="80"/>
      <c r="I616" s="80"/>
      <c r="J616" s="80"/>
      <c r="K616" s="80"/>
      <c r="O616" s="25"/>
      <c r="P616" s="26"/>
      <c r="AA616" s="26"/>
      <c r="AC616" s="25"/>
    </row>
    <row r="617" spans="1:29" ht="12.75">
      <c r="A617" s="30"/>
      <c r="B617" s="6"/>
      <c r="C617" s="30"/>
      <c r="D617" s="15"/>
      <c r="F617" s="26"/>
      <c r="G617" s="80"/>
      <c r="H617" s="80"/>
      <c r="I617" s="80"/>
      <c r="J617" s="80"/>
      <c r="K617" s="80"/>
      <c r="O617" s="25"/>
      <c r="P617" s="26"/>
      <c r="AA617" s="26"/>
      <c r="AC617" s="25"/>
    </row>
    <row r="618" spans="1:29" ht="12.75">
      <c r="A618" s="30"/>
      <c r="B618" s="6"/>
      <c r="C618" s="30"/>
      <c r="D618" s="15"/>
      <c r="F618" s="26"/>
      <c r="G618" s="80"/>
      <c r="H618" s="80"/>
      <c r="I618" s="80"/>
      <c r="J618" s="80"/>
      <c r="K618" s="80"/>
      <c r="O618" s="25"/>
      <c r="P618" s="26"/>
      <c r="AA618" s="26"/>
      <c r="AC618" s="25"/>
    </row>
    <row r="619" spans="1:29" ht="12.75">
      <c r="A619" s="30"/>
      <c r="B619" s="6"/>
      <c r="C619" s="30"/>
      <c r="D619" s="15"/>
      <c r="F619" s="26"/>
      <c r="G619" s="80"/>
      <c r="H619" s="80"/>
      <c r="I619" s="80"/>
      <c r="J619" s="80"/>
      <c r="K619" s="80"/>
      <c r="O619" s="25"/>
      <c r="P619" s="26"/>
      <c r="AA619" s="26"/>
      <c r="AC619" s="25"/>
    </row>
    <row r="620" spans="1:29" ht="12.75">
      <c r="A620" s="30"/>
      <c r="B620" s="6"/>
      <c r="C620" s="30"/>
      <c r="D620" s="15"/>
      <c r="F620" s="26"/>
      <c r="G620" s="80"/>
      <c r="H620" s="80"/>
      <c r="I620" s="80"/>
      <c r="J620" s="80"/>
      <c r="K620" s="80"/>
      <c r="O620" s="25"/>
      <c r="P620" s="26"/>
      <c r="AA620" s="26"/>
      <c r="AC620" s="25"/>
    </row>
    <row r="621" spans="1:29" ht="12.75">
      <c r="A621" s="30"/>
      <c r="B621" s="6"/>
      <c r="C621" s="30"/>
      <c r="D621" s="15"/>
      <c r="F621" s="26"/>
      <c r="G621" s="80"/>
      <c r="H621" s="80"/>
      <c r="I621" s="80"/>
      <c r="J621" s="80"/>
      <c r="K621" s="80"/>
      <c r="O621" s="25"/>
      <c r="P621" s="26"/>
      <c r="AA621" s="26"/>
      <c r="AC621" s="25"/>
    </row>
    <row r="622" spans="1:29" ht="12.75">
      <c r="A622" s="30"/>
      <c r="B622" s="6"/>
      <c r="C622" s="30"/>
      <c r="D622" s="15"/>
      <c r="F622" s="26"/>
      <c r="G622" s="80"/>
      <c r="H622" s="80"/>
      <c r="I622" s="80"/>
      <c r="J622" s="80"/>
      <c r="K622" s="80"/>
      <c r="O622" s="25"/>
      <c r="P622" s="26"/>
      <c r="AA622" s="26"/>
      <c r="AC622" s="25"/>
    </row>
    <row r="623" spans="1:29" ht="12.75">
      <c r="A623" s="30"/>
      <c r="B623" s="6"/>
      <c r="C623" s="30"/>
      <c r="D623" s="15"/>
      <c r="F623" s="26"/>
      <c r="G623" s="80"/>
      <c r="H623" s="80"/>
      <c r="I623" s="80"/>
      <c r="J623" s="80"/>
      <c r="K623" s="80"/>
      <c r="O623" s="25"/>
      <c r="P623" s="26"/>
      <c r="AA623" s="26"/>
      <c r="AC623" s="25"/>
    </row>
    <row r="624" spans="1:29" ht="12.75">
      <c r="A624" s="30"/>
      <c r="B624" s="6"/>
      <c r="C624" s="30"/>
      <c r="D624" s="15"/>
      <c r="F624" s="26"/>
      <c r="G624" s="80"/>
      <c r="H624" s="80"/>
      <c r="I624" s="80"/>
      <c r="J624" s="80"/>
      <c r="K624" s="80"/>
      <c r="O624" s="25"/>
      <c r="P624" s="26"/>
      <c r="AA624" s="26"/>
      <c r="AC624" s="25"/>
    </row>
    <row r="625" spans="1:29" ht="12.75">
      <c r="A625" s="30"/>
      <c r="B625" s="6"/>
      <c r="C625" s="30"/>
      <c r="D625" s="15"/>
      <c r="F625" s="26"/>
      <c r="G625" s="80"/>
      <c r="H625" s="80"/>
      <c r="I625" s="80"/>
      <c r="J625" s="80"/>
      <c r="K625" s="80"/>
      <c r="O625" s="25"/>
      <c r="P625" s="26"/>
      <c r="AA625" s="26"/>
      <c r="AC625" s="25"/>
    </row>
    <row r="626" spans="1:29" ht="12.75">
      <c r="A626" s="30"/>
      <c r="B626" s="6"/>
      <c r="C626" s="30"/>
      <c r="D626" s="15"/>
      <c r="F626" s="26"/>
      <c r="G626" s="80"/>
      <c r="H626" s="80"/>
      <c r="I626" s="80"/>
      <c r="J626" s="80"/>
      <c r="K626" s="80"/>
      <c r="O626" s="25"/>
      <c r="P626" s="26"/>
      <c r="AA626" s="26"/>
      <c r="AC626" s="25"/>
    </row>
    <row r="627" spans="1:29" ht="12.75">
      <c r="A627" s="30"/>
      <c r="B627" s="6"/>
      <c r="C627" s="30"/>
      <c r="D627" s="15"/>
      <c r="F627" s="26"/>
      <c r="G627" s="80"/>
      <c r="H627" s="80"/>
      <c r="I627" s="80"/>
      <c r="J627" s="80"/>
      <c r="K627" s="80"/>
      <c r="O627" s="25"/>
      <c r="P627" s="26"/>
      <c r="AA627" s="26"/>
      <c r="AC627" s="25"/>
    </row>
    <row r="628" spans="1:29" ht="12.75">
      <c r="A628" s="30"/>
      <c r="B628" s="6"/>
      <c r="C628" s="30"/>
      <c r="D628" s="15"/>
      <c r="F628" s="26"/>
      <c r="G628" s="80"/>
      <c r="H628" s="80"/>
      <c r="I628" s="80"/>
      <c r="J628" s="80"/>
      <c r="K628" s="80"/>
      <c r="O628" s="25"/>
      <c r="P628" s="26"/>
      <c r="AA628" s="26"/>
      <c r="AC628" s="25"/>
    </row>
    <row r="629" spans="1:29" ht="12.75">
      <c r="A629" s="30"/>
      <c r="B629" s="6"/>
      <c r="C629" s="30"/>
      <c r="D629" s="15"/>
      <c r="F629" s="26"/>
      <c r="G629" s="80"/>
      <c r="H629" s="80"/>
      <c r="I629" s="80"/>
      <c r="J629" s="80"/>
      <c r="K629" s="80"/>
      <c r="O629" s="25"/>
      <c r="P629" s="26"/>
      <c r="AA629" s="26"/>
      <c r="AC629" s="25"/>
    </row>
    <row r="630" spans="1:29" ht="12.75">
      <c r="A630" s="30"/>
      <c r="B630" s="6"/>
      <c r="C630" s="30"/>
      <c r="D630" s="15"/>
      <c r="F630" s="26"/>
      <c r="G630" s="80"/>
      <c r="H630" s="80"/>
      <c r="I630" s="80"/>
      <c r="J630" s="80"/>
      <c r="K630" s="80"/>
      <c r="O630" s="25"/>
      <c r="P630" s="26"/>
      <c r="AA630" s="26"/>
      <c r="AC630" s="25"/>
    </row>
    <row r="631" spans="1:29" ht="12.75">
      <c r="A631" s="30"/>
      <c r="B631" s="6"/>
      <c r="C631" s="30"/>
      <c r="D631" s="15"/>
      <c r="F631" s="26"/>
      <c r="G631" s="80"/>
      <c r="H631" s="80"/>
      <c r="I631" s="80"/>
      <c r="J631" s="80"/>
      <c r="K631" s="80"/>
      <c r="O631" s="25"/>
      <c r="P631" s="26"/>
      <c r="AA631" s="26"/>
      <c r="AC631" s="25"/>
    </row>
    <row r="632" spans="1:29" ht="12.75">
      <c r="A632" s="30"/>
      <c r="B632" s="6"/>
      <c r="C632" s="30"/>
      <c r="D632" s="15"/>
      <c r="F632" s="26"/>
      <c r="G632" s="80"/>
      <c r="H632" s="80"/>
      <c r="I632" s="80"/>
      <c r="J632" s="80"/>
      <c r="K632" s="80"/>
      <c r="O632" s="25"/>
      <c r="P632" s="26"/>
      <c r="AA632" s="26"/>
      <c r="AC632" s="25"/>
    </row>
    <row r="633" spans="1:29" ht="12.75">
      <c r="A633" s="30"/>
      <c r="B633" s="6"/>
      <c r="C633" s="30"/>
      <c r="D633" s="15"/>
      <c r="F633" s="26"/>
      <c r="G633" s="80"/>
      <c r="H633" s="80"/>
      <c r="I633" s="80"/>
      <c r="J633" s="80"/>
      <c r="K633" s="80"/>
      <c r="O633" s="25"/>
      <c r="P633" s="26"/>
      <c r="AA633" s="26"/>
      <c r="AC633" s="25"/>
    </row>
    <row r="634" spans="1:29" ht="12.75">
      <c r="A634" s="30"/>
      <c r="B634" s="6"/>
      <c r="C634" s="30"/>
      <c r="D634" s="15"/>
      <c r="F634" s="26"/>
      <c r="G634" s="80"/>
      <c r="H634" s="80"/>
      <c r="I634" s="80"/>
      <c r="J634" s="80"/>
      <c r="K634" s="80"/>
      <c r="O634" s="25"/>
      <c r="P634" s="26"/>
      <c r="AA634" s="26"/>
      <c r="AC634" s="25"/>
    </row>
    <row r="635" spans="1:29" ht="12.75">
      <c r="A635" s="30"/>
      <c r="B635" s="6"/>
      <c r="C635" s="30"/>
      <c r="D635" s="15"/>
      <c r="F635" s="26"/>
      <c r="G635" s="80"/>
      <c r="H635" s="80"/>
      <c r="I635" s="80"/>
      <c r="J635" s="80"/>
      <c r="K635" s="80"/>
      <c r="O635" s="25"/>
      <c r="P635" s="26"/>
      <c r="AA635" s="26"/>
      <c r="AC635" s="25"/>
    </row>
    <row r="636" spans="1:29" ht="12.75">
      <c r="A636" s="30"/>
      <c r="B636" s="6"/>
      <c r="C636" s="30"/>
      <c r="D636" s="15"/>
      <c r="F636" s="26"/>
      <c r="G636" s="80"/>
      <c r="H636" s="80"/>
      <c r="I636" s="80"/>
      <c r="J636" s="80"/>
      <c r="K636" s="80"/>
      <c r="O636" s="25"/>
      <c r="P636" s="26"/>
      <c r="AA636" s="26"/>
      <c r="AC636" s="25"/>
    </row>
    <row r="637" spans="1:29" ht="12.75">
      <c r="A637" s="30"/>
      <c r="B637" s="6"/>
      <c r="C637" s="30"/>
      <c r="D637" s="15"/>
      <c r="F637" s="26"/>
      <c r="G637" s="80"/>
      <c r="H637" s="80"/>
      <c r="I637" s="80"/>
      <c r="J637" s="80"/>
      <c r="K637" s="80"/>
      <c r="O637" s="25"/>
      <c r="P637" s="26"/>
      <c r="AA637" s="26"/>
      <c r="AC637" s="25"/>
    </row>
    <row r="638" spans="1:29" ht="12.75">
      <c r="A638" s="30"/>
      <c r="B638" s="6"/>
      <c r="C638" s="30"/>
      <c r="D638" s="15"/>
      <c r="F638" s="26"/>
      <c r="G638" s="80"/>
      <c r="H638" s="80"/>
      <c r="I638" s="80"/>
      <c r="J638" s="80"/>
      <c r="K638" s="80"/>
      <c r="O638" s="25"/>
      <c r="P638" s="26"/>
      <c r="AA638" s="26"/>
      <c r="AC638" s="25"/>
    </row>
    <row r="639" spans="1:29" ht="12.75">
      <c r="A639" s="30"/>
      <c r="B639" s="6"/>
      <c r="C639" s="30"/>
      <c r="D639" s="15"/>
      <c r="F639" s="26"/>
      <c r="G639" s="80"/>
      <c r="H639" s="80"/>
      <c r="I639" s="80"/>
      <c r="J639" s="80"/>
      <c r="K639" s="80"/>
      <c r="O639" s="25"/>
      <c r="P639" s="26"/>
      <c r="AA639" s="26"/>
      <c r="AC639" s="25"/>
    </row>
    <row r="640" spans="1:29" ht="12.75">
      <c r="A640" s="30"/>
      <c r="B640" s="6"/>
      <c r="C640" s="30"/>
      <c r="D640" s="15"/>
      <c r="F640" s="26"/>
      <c r="G640" s="80"/>
      <c r="H640" s="80"/>
      <c r="I640" s="80"/>
      <c r="J640" s="80"/>
      <c r="K640" s="80"/>
      <c r="O640" s="25"/>
      <c r="P640" s="26"/>
      <c r="AA640" s="26"/>
      <c r="AC640" s="25"/>
    </row>
    <row r="641" spans="1:29" ht="12.75">
      <c r="A641" s="30"/>
      <c r="B641" s="6"/>
      <c r="C641" s="30"/>
      <c r="D641" s="15"/>
      <c r="F641" s="26"/>
      <c r="G641" s="80"/>
      <c r="H641" s="80"/>
      <c r="I641" s="80"/>
      <c r="J641" s="80"/>
      <c r="K641" s="80"/>
      <c r="O641" s="25"/>
      <c r="P641" s="26"/>
      <c r="AA641" s="26"/>
      <c r="AC641" s="25"/>
    </row>
    <row r="642" spans="1:29" ht="12.75">
      <c r="A642" s="30"/>
      <c r="B642" s="6"/>
      <c r="C642" s="30"/>
      <c r="D642" s="15"/>
      <c r="F642" s="26"/>
      <c r="G642" s="80"/>
      <c r="H642" s="80"/>
      <c r="I642" s="80"/>
      <c r="J642" s="80"/>
      <c r="K642" s="80"/>
      <c r="O642" s="25"/>
      <c r="P642" s="26"/>
      <c r="AA642" s="26"/>
      <c r="AC642" s="25"/>
    </row>
    <row r="643" spans="1:29" ht="12.75">
      <c r="A643" s="30"/>
      <c r="B643" s="6"/>
      <c r="C643" s="30"/>
      <c r="D643" s="15"/>
      <c r="F643" s="26"/>
      <c r="G643" s="80"/>
      <c r="H643" s="80"/>
      <c r="I643" s="80"/>
      <c r="J643" s="80"/>
      <c r="K643" s="80"/>
      <c r="O643" s="25"/>
      <c r="P643" s="26"/>
      <c r="AA643" s="26"/>
      <c r="AC643" s="25"/>
    </row>
    <row r="644" spans="1:29" ht="12.75">
      <c r="A644" s="30"/>
      <c r="B644" s="6"/>
      <c r="C644" s="30"/>
      <c r="D644" s="15"/>
      <c r="F644" s="26"/>
      <c r="G644" s="80"/>
      <c r="H644" s="80"/>
      <c r="I644" s="80"/>
      <c r="J644" s="80"/>
      <c r="K644" s="80"/>
      <c r="O644" s="25"/>
      <c r="P644" s="26"/>
      <c r="AA644" s="26"/>
      <c r="AC644" s="25"/>
    </row>
    <row r="645" spans="1:29" ht="12.75">
      <c r="A645" s="30"/>
      <c r="B645" s="6"/>
      <c r="C645" s="30"/>
      <c r="D645" s="15"/>
      <c r="F645" s="26"/>
      <c r="G645" s="80"/>
      <c r="H645" s="80"/>
      <c r="I645" s="80"/>
      <c r="J645" s="80"/>
      <c r="K645" s="80"/>
      <c r="O645" s="25"/>
      <c r="P645" s="26"/>
      <c r="AA645" s="26"/>
      <c r="AC645" s="25"/>
    </row>
    <row r="646" spans="1:29" ht="12.75">
      <c r="A646" s="30"/>
      <c r="B646" s="6"/>
      <c r="C646" s="30"/>
      <c r="D646" s="15"/>
      <c r="F646" s="26"/>
      <c r="G646" s="80"/>
      <c r="H646" s="80"/>
      <c r="I646" s="80"/>
      <c r="J646" s="80"/>
      <c r="K646" s="80"/>
      <c r="O646" s="25"/>
      <c r="P646" s="26"/>
      <c r="AA646" s="26"/>
      <c r="AC646" s="25"/>
    </row>
    <row r="647" spans="1:29" ht="12.75">
      <c r="A647" s="30"/>
      <c r="B647" s="6"/>
      <c r="C647" s="30"/>
      <c r="D647" s="15"/>
      <c r="F647" s="26"/>
      <c r="G647" s="80"/>
      <c r="H647" s="80"/>
      <c r="I647" s="80"/>
      <c r="J647" s="80"/>
      <c r="K647" s="80"/>
      <c r="O647" s="25"/>
      <c r="P647" s="26"/>
      <c r="AA647" s="26"/>
      <c r="AC647" s="25"/>
    </row>
    <row r="648" spans="1:29" ht="12.75">
      <c r="A648" s="30"/>
      <c r="B648" s="6"/>
      <c r="C648" s="30"/>
      <c r="D648" s="15"/>
      <c r="F648" s="26"/>
      <c r="G648" s="80"/>
      <c r="H648" s="80"/>
      <c r="I648" s="80"/>
      <c r="J648" s="80"/>
      <c r="K648" s="80"/>
      <c r="O648" s="25"/>
      <c r="P648" s="26"/>
      <c r="AA648" s="26"/>
      <c r="AC648" s="25"/>
    </row>
    <row r="649" spans="1:29" ht="12.75">
      <c r="A649" s="30"/>
      <c r="B649" s="6"/>
      <c r="C649" s="30"/>
      <c r="D649" s="15"/>
      <c r="F649" s="26"/>
      <c r="G649" s="80"/>
      <c r="H649" s="80"/>
      <c r="I649" s="80"/>
      <c r="J649" s="80"/>
      <c r="K649" s="80"/>
      <c r="O649" s="25"/>
      <c r="P649" s="26"/>
      <c r="AA649" s="26"/>
      <c r="AC649" s="25"/>
    </row>
    <row r="650" spans="1:29" ht="12.75">
      <c r="A650" s="30"/>
      <c r="B650" s="6"/>
      <c r="C650" s="30"/>
      <c r="D650" s="15"/>
      <c r="F650" s="26"/>
      <c r="G650" s="80"/>
      <c r="H650" s="80"/>
      <c r="I650" s="80"/>
      <c r="J650" s="80"/>
      <c r="K650" s="80"/>
      <c r="O650" s="25"/>
      <c r="P650" s="26"/>
      <c r="AA650" s="26"/>
      <c r="AC650" s="25"/>
    </row>
    <row r="651" spans="1:29" ht="12.75">
      <c r="A651" s="30"/>
      <c r="B651" s="6"/>
      <c r="C651" s="30"/>
      <c r="D651" s="15"/>
      <c r="F651" s="26"/>
      <c r="G651" s="80"/>
      <c r="H651" s="80"/>
      <c r="I651" s="80"/>
      <c r="J651" s="80"/>
      <c r="K651" s="80"/>
      <c r="O651" s="25"/>
      <c r="P651" s="26"/>
      <c r="AA651" s="26"/>
      <c r="AC651" s="25"/>
    </row>
    <row r="652" spans="1:29" ht="12.75">
      <c r="A652" s="30"/>
      <c r="B652" s="6"/>
      <c r="C652" s="30"/>
      <c r="D652" s="15"/>
      <c r="F652" s="26"/>
      <c r="G652" s="80"/>
      <c r="H652" s="80"/>
      <c r="I652" s="80"/>
      <c r="J652" s="80"/>
      <c r="K652" s="80"/>
      <c r="O652" s="25"/>
      <c r="P652" s="26"/>
      <c r="AA652" s="26"/>
      <c r="AC652" s="25"/>
    </row>
    <row r="653" spans="1:29" ht="12.75">
      <c r="A653" s="30"/>
      <c r="B653" s="6"/>
      <c r="C653" s="30"/>
      <c r="D653" s="15"/>
      <c r="F653" s="26"/>
      <c r="G653" s="80"/>
      <c r="H653" s="80"/>
      <c r="I653" s="80"/>
      <c r="J653" s="80"/>
      <c r="K653" s="80"/>
      <c r="O653" s="25"/>
      <c r="P653" s="26"/>
      <c r="AA653" s="26"/>
      <c r="AC653" s="25"/>
    </row>
    <row r="654" spans="1:29" ht="12.75">
      <c r="A654" s="30"/>
      <c r="B654" s="6"/>
      <c r="C654" s="30"/>
      <c r="D654" s="15"/>
      <c r="F654" s="26"/>
      <c r="G654" s="80"/>
      <c r="H654" s="80"/>
      <c r="I654" s="80"/>
      <c r="J654" s="80"/>
      <c r="K654" s="80"/>
      <c r="O654" s="25"/>
      <c r="P654" s="26"/>
      <c r="AA654" s="26"/>
      <c r="AC654" s="25"/>
    </row>
    <row r="655" spans="1:29" ht="12.75">
      <c r="A655" s="30"/>
      <c r="B655" s="6"/>
      <c r="C655" s="30"/>
      <c r="D655" s="15"/>
      <c r="F655" s="26"/>
      <c r="G655" s="80"/>
      <c r="H655" s="80"/>
      <c r="I655" s="80"/>
      <c r="J655" s="80"/>
      <c r="K655" s="80"/>
      <c r="O655" s="25"/>
      <c r="P655" s="26"/>
      <c r="AA655" s="26"/>
      <c r="AC655" s="25"/>
    </row>
    <row r="656" spans="1:29" ht="12.75">
      <c r="A656" s="30"/>
      <c r="B656" s="6"/>
      <c r="C656" s="30"/>
      <c r="D656" s="15"/>
      <c r="F656" s="26"/>
      <c r="G656" s="80"/>
      <c r="H656" s="80"/>
      <c r="I656" s="80"/>
      <c r="J656" s="80"/>
      <c r="K656" s="80"/>
      <c r="O656" s="25"/>
      <c r="P656" s="26"/>
      <c r="AA656" s="26"/>
      <c r="AC656" s="25"/>
    </row>
    <row r="657" spans="1:29" ht="12.75">
      <c r="A657" s="30"/>
      <c r="B657" s="6"/>
      <c r="C657" s="30"/>
      <c r="D657" s="15"/>
      <c r="F657" s="26"/>
      <c r="G657" s="80"/>
      <c r="H657" s="80"/>
      <c r="I657" s="80"/>
      <c r="J657" s="80"/>
      <c r="K657" s="80"/>
      <c r="O657" s="25"/>
      <c r="P657" s="26"/>
      <c r="AA657" s="26"/>
      <c r="AC657" s="25"/>
    </row>
    <row r="658" spans="1:29" ht="12.75">
      <c r="A658" s="30"/>
      <c r="B658" s="6"/>
      <c r="C658" s="30"/>
      <c r="D658" s="15"/>
      <c r="F658" s="26"/>
      <c r="G658" s="80"/>
      <c r="H658" s="80"/>
      <c r="I658" s="80"/>
      <c r="J658" s="80"/>
      <c r="K658" s="80"/>
      <c r="O658" s="25"/>
      <c r="P658" s="26"/>
      <c r="AA658" s="26"/>
      <c r="AC658" s="25"/>
    </row>
    <row r="659" spans="1:29" ht="12.75">
      <c r="A659" s="30"/>
      <c r="B659" s="6"/>
      <c r="C659" s="30"/>
      <c r="D659" s="15"/>
      <c r="F659" s="26"/>
      <c r="G659" s="80"/>
      <c r="H659" s="80"/>
      <c r="I659" s="80"/>
      <c r="J659" s="80"/>
      <c r="K659" s="80"/>
      <c r="O659" s="25"/>
      <c r="P659" s="26"/>
      <c r="AA659" s="26"/>
      <c r="AC659" s="25"/>
    </row>
    <row r="660" spans="1:29" ht="12.75">
      <c r="A660" s="30"/>
      <c r="B660" s="6"/>
      <c r="C660" s="30"/>
      <c r="D660" s="15"/>
      <c r="F660" s="26"/>
      <c r="G660" s="80"/>
      <c r="H660" s="80"/>
      <c r="I660" s="80"/>
      <c r="J660" s="80"/>
      <c r="K660" s="80"/>
      <c r="O660" s="25"/>
      <c r="P660" s="26"/>
      <c r="AA660" s="26"/>
      <c r="AC660" s="25"/>
    </row>
    <row r="661" spans="1:29" ht="12.75">
      <c r="A661" s="30"/>
      <c r="B661" s="6"/>
      <c r="C661" s="30"/>
      <c r="D661" s="15"/>
      <c r="F661" s="26"/>
      <c r="G661" s="80"/>
      <c r="H661" s="80"/>
      <c r="I661" s="80"/>
      <c r="J661" s="80"/>
      <c r="K661" s="80"/>
      <c r="O661" s="25"/>
      <c r="P661" s="26"/>
      <c r="AA661" s="26"/>
      <c r="AC661" s="25"/>
    </row>
    <row r="662" spans="1:29" ht="12.75">
      <c r="A662" s="30"/>
      <c r="B662" s="6"/>
      <c r="C662" s="30"/>
      <c r="D662" s="15"/>
      <c r="F662" s="26"/>
      <c r="G662" s="80"/>
      <c r="H662" s="80"/>
      <c r="I662" s="80"/>
      <c r="J662" s="80"/>
      <c r="K662" s="80"/>
      <c r="O662" s="25"/>
      <c r="P662" s="26"/>
      <c r="AA662" s="26"/>
      <c r="AC662" s="25"/>
    </row>
    <row r="663" spans="1:29" ht="12.75">
      <c r="A663" s="30"/>
      <c r="B663" s="6"/>
      <c r="C663" s="30"/>
      <c r="D663" s="15"/>
      <c r="F663" s="26"/>
      <c r="G663" s="80"/>
      <c r="H663" s="80"/>
      <c r="I663" s="80"/>
      <c r="J663" s="80"/>
      <c r="K663" s="80"/>
      <c r="O663" s="25"/>
      <c r="P663" s="26"/>
      <c r="AA663" s="26"/>
      <c r="AC663" s="25"/>
    </row>
    <row r="664" spans="1:29" ht="12.75">
      <c r="A664" s="30"/>
      <c r="B664" s="6"/>
      <c r="C664" s="30"/>
      <c r="D664" s="15"/>
      <c r="F664" s="26"/>
      <c r="G664" s="80"/>
      <c r="H664" s="80"/>
      <c r="I664" s="80"/>
      <c r="J664" s="80"/>
      <c r="K664" s="80"/>
      <c r="O664" s="25"/>
      <c r="P664" s="26"/>
      <c r="AA664" s="26"/>
      <c r="AC664" s="25"/>
    </row>
    <row r="665" spans="1:29" ht="12.75">
      <c r="A665" s="30"/>
      <c r="B665" s="6"/>
      <c r="C665" s="30"/>
      <c r="D665" s="15"/>
      <c r="F665" s="26"/>
      <c r="G665" s="80"/>
      <c r="H665" s="80"/>
      <c r="I665" s="80"/>
      <c r="J665" s="80"/>
      <c r="K665" s="80"/>
      <c r="O665" s="25"/>
      <c r="P665" s="26"/>
      <c r="AA665" s="26"/>
      <c r="AC665" s="25"/>
    </row>
    <row r="666" spans="1:29" ht="12.75">
      <c r="A666" s="30"/>
      <c r="B666" s="6"/>
      <c r="C666" s="30"/>
      <c r="D666" s="15"/>
      <c r="F666" s="26"/>
      <c r="G666" s="80"/>
      <c r="H666" s="80"/>
      <c r="I666" s="80"/>
      <c r="J666" s="80"/>
      <c r="K666" s="80"/>
      <c r="O666" s="25"/>
      <c r="P666" s="26"/>
      <c r="AA666" s="26"/>
      <c r="AC666" s="25"/>
    </row>
    <row r="667" spans="1:29" ht="12.75">
      <c r="A667" s="30"/>
      <c r="B667" s="6"/>
      <c r="C667" s="30"/>
      <c r="D667" s="15"/>
      <c r="F667" s="26"/>
      <c r="G667" s="80"/>
      <c r="H667" s="80"/>
      <c r="I667" s="80"/>
      <c r="J667" s="80"/>
      <c r="K667" s="80"/>
      <c r="O667" s="25"/>
      <c r="P667" s="26"/>
      <c r="AA667" s="26"/>
      <c r="AC667" s="25"/>
    </row>
    <row r="668" spans="1:29" ht="12.75">
      <c r="A668" s="30"/>
      <c r="B668" s="6"/>
      <c r="C668" s="30"/>
      <c r="D668" s="15"/>
      <c r="F668" s="26"/>
      <c r="G668" s="80"/>
      <c r="H668" s="80"/>
      <c r="I668" s="80"/>
      <c r="J668" s="80"/>
      <c r="K668" s="80"/>
      <c r="O668" s="25"/>
      <c r="P668" s="26"/>
      <c r="AA668" s="26"/>
      <c r="AC668" s="25"/>
    </row>
    <row r="669" spans="1:29" ht="12.75">
      <c r="A669" s="30"/>
      <c r="B669" s="6"/>
      <c r="C669" s="30"/>
      <c r="D669" s="15"/>
      <c r="F669" s="26"/>
      <c r="G669" s="80"/>
      <c r="H669" s="80"/>
      <c r="I669" s="80"/>
      <c r="J669" s="80"/>
      <c r="K669" s="80"/>
      <c r="O669" s="25"/>
      <c r="P669" s="26"/>
      <c r="AA669" s="26"/>
      <c r="AC669" s="25"/>
    </row>
    <row r="670" spans="1:29" ht="12.75">
      <c r="A670" s="30"/>
      <c r="B670" s="6"/>
      <c r="C670" s="30"/>
      <c r="D670" s="15"/>
      <c r="F670" s="26"/>
      <c r="G670" s="80"/>
      <c r="H670" s="80"/>
      <c r="I670" s="80"/>
      <c r="J670" s="80"/>
      <c r="K670" s="80"/>
      <c r="O670" s="25"/>
      <c r="P670" s="26"/>
      <c r="AA670" s="26"/>
      <c r="AC670" s="25"/>
    </row>
    <row r="671" spans="1:29" ht="12.75">
      <c r="A671" s="30"/>
      <c r="B671" s="6"/>
      <c r="C671" s="30"/>
      <c r="D671" s="15"/>
      <c r="F671" s="26"/>
      <c r="G671" s="80"/>
      <c r="H671" s="80"/>
      <c r="I671" s="80"/>
      <c r="J671" s="80"/>
      <c r="K671" s="80"/>
      <c r="O671" s="25"/>
      <c r="P671" s="26"/>
      <c r="AA671" s="26"/>
      <c r="AC671" s="25"/>
    </row>
    <row r="672" spans="1:29" ht="12.75">
      <c r="A672" s="30"/>
      <c r="B672" s="6"/>
      <c r="C672" s="30"/>
      <c r="D672" s="15"/>
      <c r="F672" s="26"/>
      <c r="G672" s="80"/>
      <c r="H672" s="80"/>
      <c r="I672" s="80"/>
      <c r="J672" s="80"/>
      <c r="K672" s="80"/>
      <c r="O672" s="25"/>
      <c r="P672" s="26"/>
      <c r="AA672" s="26"/>
      <c r="AC672" s="25"/>
    </row>
    <row r="673" spans="1:29" ht="12.75">
      <c r="A673" s="30"/>
      <c r="B673" s="6"/>
      <c r="C673" s="30"/>
      <c r="D673" s="15"/>
      <c r="F673" s="26"/>
      <c r="G673" s="80"/>
      <c r="H673" s="80"/>
      <c r="I673" s="80"/>
      <c r="J673" s="80"/>
      <c r="K673" s="80"/>
      <c r="O673" s="25"/>
      <c r="P673" s="26"/>
      <c r="AA673" s="26"/>
      <c r="AC673" s="25"/>
    </row>
    <row r="674" spans="1:29" ht="12.75">
      <c r="A674" s="30"/>
      <c r="B674" s="6"/>
      <c r="C674" s="30"/>
      <c r="D674" s="15"/>
      <c r="F674" s="26"/>
      <c r="G674" s="80"/>
      <c r="H674" s="80"/>
      <c r="I674" s="80"/>
      <c r="J674" s="80"/>
      <c r="K674" s="80"/>
      <c r="O674" s="25"/>
      <c r="P674" s="26"/>
      <c r="AA674" s="26"/>
      <c r="AC674" s="25"/>
    </row>
    <row r="675" spans="1:29" ht="12.75">
      <c r="A675" s="30"/>
      <c r="B675" s="6"/>
      <c r="C675" s="30"/>
      <c r="D675" s="15"/>
      <c r="F675" s="26"/>
      <c r="G675" s="80"/>
      <c r="H675" s="80"/>
      <c r="I675" s="80"/>
      <c r="J675" s="80"/>
      <c r="K675" s="80"/>
      <c r="O675" s="25"/>
      <c r="P675" s="26"/>
      <c r="AA675" s="26"/>
      <c r="AC675" s="25"/>
    </row>
    <row r="676" spans="1:29" ht="12.75">
      <c r="A676" s="30"/>
      <c r="B676" s="6"/>
      <c r="C676" s="30"/>
      <c r="D676" s="15"/>
      <c r="F676" s="26"/>
      <c r="G676" s="80"/>
      <c r="H676" s="80"/>
      <c r="I676" s="80"/>
      <c r="J676" s="80"/>
      <c r="K676" s="80"/>
      <c r="O676" s="25"/>
      <c r="P676" s="26"/>
      <c r="AA676" s="26"/>
      <c r="AC676" s="25"/>
    </row>
    <row r="677" spans="1:29" ht="12.75">
      <c r="A677" s="30"/>
      <c r="B677" s="6"/>
      <c r="C677" s="30"/>
      <c r="D677" s="15"/>
      <c r="F677" s="26"/>
      <c r="G677" s="80"/>
      <c r="H677" s="80"/>
      <c r="I677" s="80"/>
      <c r="J677" s="80"/>
      <c r="K677" s="80"/>
      <c r="O677" s="25"/>
      <c r="P677" s="26"/>
      <c r="AA677" s="26"/>
      <c r="AC677" s="25"/>
    </row>
    <row r="678" spans="1:29" ht="12.75">
      <c r="A678" s="30"/>
      <c r="B678" s="6"/>
      <c r="C678" s="30"/>
      <c r="D678" s="15"/>
      <c r="F678" s="26"/>
      <c r="G678" s="80"/>
      <c r="H678" s="80"/>
      <c r="I678" s="80"/>
      <c r="J678" s="80"/>
      <c r="K678" s="80"/>
      <c r="O678" s="25"/>
      <c r="P678" s="26"/>
      <c r="AA678" s="26"/>
      <c r="AC678" s="25"/>
    </row>
    <row r="679" spans="1:29" ht="12.75">
      <c r="A679" s="30"/>
      <c r="B679" s="6"/>
      <c r="C679" s="30"/>
      <c r="D679" s="15"/>
      <c r="F679" s="26"/>
      <c r="G679" s="80"/>
      <c r="H679" s="80"/>
      <c r="I679" s="80"/>
      <c r="J679" s="80"/>
      <c r="K679" s="80"/>
      <c r="O679" s="25"/>
      <c r="P679" s="26"/>
      <c r="AA679" s="26"/>
      <c r="AC679" s="25"/>
    </row>
    <row r="680" spans="1:29" ht="12.75">
      <c r="A680" s="30"/>
      <c r="B680" s="6"/>
      <c r="C680" s="30"/>
      <c r="D680" s="15"/>
      <c r="F680" s="26"/>
      <c r="G680" s="80"/>
      <c r="H680" s="80"/>
      <c r="I680" s="80"/>
      <c r="J680" s="80"/>
      <c r="K680" s="80"/>
      <c r="O680" s="25"/>
      <c r="P680" s="26"/>
      <c r="AA680" s="26"/>
      <c r="AC680" s="25"/>
    </row>
    <row r="681" spans="1:29" ht="12.75">
      <c r="A681" s="30"/>
      <c r="B681" s="6"/>
      <c r="C681" s="30"/>
      <c r="D681" s="15"/>
      <c r="F681" s="26"/>
      <c r="G681" s="80"/>
      <c r="H681" s="80"/>
      <c r="I681" s="80"/>
      <c r="J681" s="80"/>
      <c r="K681" s="80"/>
      <c r="O681" s="25"/>
      <c r="P681" s="26"/>
      <c r="AA681" s="26"/>
      <c r="AC681" s="25"/>
    </row>
    <row r="682" spans="1:29" ht="12.75">
      <c r="A682" s="30"/>
      <c r="B682" s="6"/>
      <c r="C682" s="30"/>
      <c r="D682" s="15"/>
      <c r="F682" s="26"/>
      <c r="G682" s="80"/>
      <c r="H682" s="80"/>
      <c r="I682" s="80"/>
      <c r="J682" s="80"/>
      <c r="K682" s="80"/>
      <c r="O682" s="25"/>
      <c r="P682" s="26"/>
      <c r="AA682" s="26"/>
      <c r="AC682" s="25"/>
    </row>
    <row r="683" spans="1:29" ht="12.75">
      <c r="A683" s="30"/>
      <c r="B683" s="6"/>
      <c r="C683" s="30"/>
      <c r="D683" s="15"/>
      <c r="F683" s="26"/>
      <c r="G683" s="80"/>
      <c r="H683" s="80"/>
      <c r="I683" s="80"/>
      <c r="J683" s="80"/>
      <c r="K683" s="80"/>
      <c r="O683" s="25"/>
      <c r="P683" s="26"/>
      <c r="AA683" s="26"/>
      <c r="AC683" s="25"/>
    </row>
    <row r="684" spans="1:29" ht="12.75">
      <c r="A684" s="30"/>
      <c r="B684" s="6"/>
      <c r="C684" s="30"/>
      <c r="D684" s="15"/>
      <c r="F684" s="26"/>
      <c r="G684" s="80"/>
      <c r="H684" s="80"/>
      <c r="I684" s="80"/>
      <c r="J684" s="80"/>
      <c r="K684" s="80"/>
      <c r="O684" s="25"/>
      <c r="P684" s="26"/>
      <c r="AA684" s="26"/>
      <c r="AC684" s="25"/>
    </row>
    <row r="685" spans="1:29" ht="12.75">
      <c r="A685" s="30"/>
      <c r="B685" s="6"/>
      <c r="C685" s="30"/>
      <c r="D685" s="15"/>
      <c r="F685" s="26"/>
      <c r="G685" s="80"/>
      <c r="H685" s="80"/>
      <c r="I685" s="80"/>
      <c r="J685" s="80"/>
      <c r="K685" s="80"/>
      <c r="O685" s="25"/>
      <c r="P685" s="26"/>
      <c r="AA685" s="26"/>
      <c r="AC685" s="25"/>
    </row>
    <row r="686" spans="1:29" ht="12.75">
      <c r="A686" s="30"/>
      <c r="B686" s="6"/>
      <c r="C686" s="30"/>
      <c r="D686" s="15"/>
      <c r="F686" s="26"/>
      <c r="G686" s="80"/>
      <c r="H686" s="80"/>
      <c r="I686" s="80"/>
      <c r="J686" s="80"/>
      <c r="K686" s="80"/>
      <c r="O686" s="25"/>
      <c r="P686" s="26"/>
      <c r="AA686" s="26"/>
      <c r="AC686" s="25"/>
    </row>
    <row r="687" spans="1:29" ht="12.75">
      <c r="A687" s="30"/>
      <c r="B687" s="6"/>
      <c r="C687" s="30"/>
      <c r="D687" s="15"/>
      <c r="F687" s="26"/>
      <c r="G687" s="80"/>
      <c r="H687" s="80"/>
      <c r="I687" s="80"/>
      <c r="J687" s="80"/>
      <c r="K687" s="80"/>
      <c r="O687" s="25"/>
      <c r="P687" s="26"/>
      <c r="AA687" s="26"/>
      <c r="AC687" s="25"/>
    </row>
    <row r="688" spans="1:29" ht="12.75">
      <c r="A688" s="30"/>
      <c r="B688" s="6"/>
      <c r="C688" s="30"/>
      <c r="D688" s="15"/>
      <c r="F688" s="26"/>
      <c r="G688" s="80"/>
      <c r="H688" s="80"/>
      <c r="I688" s="80"/>
      <c r="J688" s="80"/>
      <c r="K688" s="80"/>
      <c r="O688" s="25"/>
      <c r="P688" s="26"/>
      <c r="AA688" s="26"/>
      <c r="AC688" s="25"/>
    </row>
    <row r="689" spans="1:29" ht="12.75">
      <c r="A689" s="30"/>
      <c r="B689" s="6"/>
      <c r="C689" s="30"/>
      <c r="D689" s="15"/>
      <c r="F689" s="26"/>
      <c r="G689" s="80"/>
      <c r="H689" s="80"/>
      <c r="I689" s="80"/>
      <c r="J689" s="80"/>
      <c r="K689" s="80"/>
      <c r="O689" s="25"/>
      <c r="P689" s="26"/>
      <c r="AA689" s="26"/>
      <c r="AC689" s="25"/>
    </row>
    <row r="690" spans="1:29" ht="12.75">
      <c r="A690" s="30"/>
      <c r="B690" s="6"/>
      <c r="C690" s="30"/>
      <c r="D690" s="15"/>
      <c r="F690" s="26"/>
      <c r="G690" s="80"/>
      <c r="H690" s="80"/>
      <c r="I690" s="80"/>
      <c r="J690" s="80"/>
      <c r="K690" s="80"/>
      <c r="O690" s="25"/>
      <c r="P690" s="26"/>
      <c r="AA690" s="26"/>
      <c r="AC690" s="25"/>
    </row>
    <row r="691" spans="1:29" ht="12.75">
      <c r="A691" s="30"/>
      <c r="B691" s="6"/>
      <c r="C691" s="30"/>
      <c r="D691" s="15"/>
      <c r="F691" s="26"/>
      <c r="G691" s="80"/>
      <c r="H691" s="80"/>
      <c r="I691" s="80"/>
      <c r="J691" s="80"/>
      <c r="K691" s="80"/>
      <c r="O691" s="25"/>
      <c r="P691" s="26"/>
      <c r="AA691" s="26"/>
      <c r="AC691" s="25"/>
    </row>
    <row r="692" spans="1:29" ht="12.75">
      <c r="A692" s="30"/>
      <c r="B692" s="6"/>
      <c r="C692" s="30"/>
      <c r="D692" s="15"/>
      <c r="F692" s="26"/>
      <c r="G692" s="80"/>
      <c r="H692" s="80"/>
      <c r="I692" s="80"/>
      <c r="J692" s="80"/>
      <c r="K692" s="80"/>
      <c r="O692" s="25"/>
      <c r="P692" s="26"/>
      <c r="AA692" s="26"/>
      <c r="AC692" s="25"/>
    </row>
    <row r="693" spans="1:29" ht="12.75">
      <c r="A693" s="30"/>
      <c r="B693" s="6"/>
      <c r="C693" s="30"/>
      <c r="D693" s="15"/>
      <c r="F693" s="26"/>
      <c r="G693" s="80"/>
      <c r="H693" s="80"/>
      <c r="I693" s="80"/>
      <c r="J693" s="80"/>
      <c r="K693" s="80"/>
      <c r="O693" s="25"/>
      <c r="P693" s="26"/>
      <c r="AA693" s="26"/>
      <c r="AC693" s="25"/>
    </row>
    <row r="694" spans="1:29" ht="12.75">
      <c r="A694" s="30"/>
      <c r="B694" s="6"/>
      <c r="C694" s="30"/>
      <c r="D694" s="15"/>
      <c r="F694" s="26"/>
      <c r="G694" s="80"/>
      <c r="H694" s="80"/>
      <c r="I694" s="80"/>
      <c r="J694" s="80"/>
      <c r="K694" s="80"/>
      <c r="O694" s="25"/>
      <c r="P694" s="26"/>
      <c r="AA694" s="26"/>
      <c r="AC694" s="25"/>
    </row>
    <row r="695" spans="1:29" ht="12.75">
      <c r="A695" s="30"/>
      <c r="B695" s="6"/>
      <c r="C695" s="30"/>
      <c r="D695" s="15"/>
      <c r="F695" s="26"/>
      <c r="G695" s="80"/>
      <c r="H695" s="80"/>
      <c r="I695" s="80"/>
      <c r="J695" s="80"/>
      <c r="K695" s="80"/>
      <c r="O695" s="25"/>
      <c r="P695" s="26"/>
      <c r="AA695" s="26"/>
      <c r="AC695" s="25"/>
    </row>
    <row r="696" spans="1:29" ht="12.75">
      <c r="A696" s="30"/>
      <c r="B696" s="6"/>
      <c r="C696" s="30"/>
      <c r="D696" s="15"/>
      <c r="F696" s="26"/>
      <c r="G696" s="80"/>
      <c r="H696" s="80"/>
      <c r="I696" s="80"/>
      <c r="J696" s="80"/>
      <c r="K696" s="80"/>
      <c r="O696" s="25"/>
      <c r="P696" s="26"/>
      <c r="AA696" s="26"/>
      <c r="AC696" s="25"/>
    </row>
    <row r="697" spans="1:29" ht="12.75">
      <c r="A697" s="30"/>
      <c r="B697" s="6"/>
      <c r="C697" s="30"/>
      <c r="D697" s="15"/>
      <c r="F697" s="26"/>
      <c r="G697" s="80"/>
      <c r="H697" s="80"/>
      <c r="I697" s="80"/>
      <c r="J697" s="80"/>
      <c r="K697" s="80"/>
      <c r="O697" s="25"/>
      <c r="P697" s="26"/>
      <c r="AA697" s="26"/>
      <c r="AC697" s="25"/>
    </row>
    <row r="698" spans="1:29" ht="12.75">
      <c r="A698" s="30"/>
      <c r="B698" s="6"/>
      <c r="C698" s="30"/>
      <c r="D698" s="15"/>
      <c r="F698" s="26"/>
      <c r="G698" s="80"/>
      <c r="H698" s="80"/>
      <c r="I698" s="80"/>
      <c r="J698" s="80"/>
      <c r="K698" s="80"/>
      <c r="O698" s="25"/>
      <c r="P698" s="26"/>
      <c r="AA698" s="26"/>
      <c r="AC698" s="25"/>
    </row>
    <row r="699" spans="1:29" ht="12.75">
      <c r="A699" s="30"/>
      <c r="B699" s="6"/>
      <c r="C699" s="30"/>
      <c r="D699" s="15"/>
      <c r="F699" s="26"/>
      <c r="G699" s="80"/>
      <c r="H699" s="80"/>
      <c r="I699" s="80"/>
      <c r="J699" s="80"/>
      <c r="K699" s="80"/>
      <c r="O699" s="25"/>
      <c r="P699" s="26"/>
      <c r="AA699" s="26"/>
      <c r="AC699" s="25"/>
    </row>
    <row r="700" spans="1:29" ht="12.75">
      <c r="A700" s="30"/>
      <c r="B700" s="6"/>
      <c r="C700" s="30"/>
      <c r="D700" s="15"/>
      <c r="F700" s="26"/>
      <c r="G700" s="80"/>
      <c r="H700" s="80"/>
      <c r="I700" s="80"/>
      <c r="J700" s="80"/>
      <c r="K700" s="80"/>
      <c r="O700" s="25"/>
      <c r="P700" s="26"/>
      <c r="AA700" s="26"/>
      <c r="AC700" s="25"/>
    </row>
    <row r="701" spans="1:29" ht="12.75">
      <c r="A701" s="30"/>
      <c r="B701" s="6"/>
      <c r="C701" s="30"/>
      <c r="D701" s="15"/>
      <c r="F701" s="26"/>
      <c r="G701" s="80"/>
      <c r="H701" s="80"/>
      <c r="I701" s="80"/>
      <c r="J701" s="80"/>
      <c r="K701" s="80"/>
      <c r="O701" s="25"/>
      <c r="P701" s="26"/>
      <c r="AA701" s="26"/>
      <c r="AC701" s="25"/>
    </row>
    <row r="702" spans="1:29" ht="12.75">
      <c r="A702" s="30"/>
      <c r="B702" s="6"/>
      <c r="C702" s="30"/>
      <c r="D702" s="15"/>
      <c r="F702" s="26"/>
      <c r="G702" s="80"/>
      <c r="H702" s="80"/>
      <c r="I702" s="80"/>
      <c r="J702" s="80"/>
      <c r="K702" s="80"/>
      <c r="O702" s="25"/>
      <c r="P702" s="26"/>
      <c r="AA702" s="26"/>
      <c r="AC702" s="25"/>
    </row>
    <row r="703" spans="1:29" ht="12.75">
      <c r="A703" s="30"/>
      <c r="B703" s="6"/>
      <c r="C703" s="30"/>
      <c r="D703" s="15"/>
      <c r="F703" s="26"/>
      <c r="G703" s="80"/>
      <c r="H703" s="80"/>
      <c r="I703" s="80"/>
      <c r="J703" s="80"/>
      <c r="K703" s="80"/>
      <c r="O703" s="25"/>
      <c r="P703" s="26"/>
      <c r="AA703" s="26"/>
      <c r="AC703" s="25"/>
    </row>
    <row r="704" spans="1:29" ht="12.75">
      <c r="A704" s="30"/>
      <c r="B704" s="6"/>
      <c r="C704" s="30"/>
      <c r="D704" s="15"/>
      <c r="F704" s="26"/>
      <c r="G704" s="80"/>
      <c r="H704" s="80"/>
      <c r="I704" s="80"/>
      <c r="J704" s="80"/>
      <c r="K704" s="80"/>
      <c r="O704" s="25"/>
      <c r="P704" s="26"/>
      <c r="AA704" s="26"/>
      <c r="AC704" s="25"/>
    </row>
    <row r="705" spans="1:29" ht="12.75">
      <c r="A705" s="30"/>
      <c r="B705" s="6"/>
      <c r="C705" s="30"/>
      <c r="D705" s="15"/>
      <c r="F705" s="26"/>
      <c r="G705" s="80"/>
      <c r="H705" s="80"/>
      <c r="I705" s="80"/>
      <c r="J705" s="80"/>
      <c r="K705" s="80"/>
      <c r="O705" s="25"/>
      <c r="P705" s="26"/>
      <c r="AA705" s="26"/>
      <c r="AC705" s="25"/>
    </row>
    <row r="706" spans="1:29" ht="12.75">
      <c r="A706" s="30"/>
      <c r="B706" s="6"/>
      <c r="C706" s="30"/>
      <c r="D706" s="15"/>
      <c r="F706" s="26"/>
      <c r="G706" s="80"/>
      <c r="H706" s="80"/>
      <c r="I706" s="80"/>
      <c r="J706" s="80"/>
      <c r="K706" s="80"/>
      <c r="O706" s="25"/>
      <c r="P706" s="26"/>
      <c r="AA706" s="26"/>
      <c r="AC706" s="25"/>
    </row>
    <row r="707" spans="1:29" ht="12.75">
      <c r="A707" s="30"/>
      <c r="B707" s="6"/>
      <c r="C707" s="30"/>
      <c r="D707" s="15"/>
      <c r="F707" s="26"/>
      <c r="G707" s="80"/>
      <c r="H707" s="80"/>
      <c r="I707" s="80"/>
      <c r="J707" s="80"/>
      <c r="K707" s="80"/>
      <c r="O707" s="25"/>
      <c r="P707" s="26"/>
      <c r="AA707" s="26"/>
      <c r="AC707" s="25"/>
    </row>
    <row r="708" spans="1:29" ht="12.75">
      <c r="A708" s="30"/>
      <c r="B708" s="6"/>
      <c r="C708" s="30"/>
      <c r="D708" s="15"/>
      <c r="F708" s="26"/>
      <c r="G708" s="80"/>
      <c r="H708" s="80"/>
      <c r="I708" s="80"/>
      <c r="J708" s="80"/>
      <c r="K708" s="80"/>
      <c r="O708" s="25"/>
      <c r="P708" s="26"/>
      <c r="AA708" s="26"/>
      <c r="AC708" s="25"/>
    </row>
    <row r="709" spans="1:29" ht="12.75">
      <c r="A709" s="30"/>
      <c r="B709" s="6"/>
      <c r="C709" s="30"/>
      <c r="D709" s="15"/>
      <c r="F709" s="26"/>
      <c r="G709" s="80"/>
      <c r="H709" s="80"/>
      <c r="I709" s="80"/>
      <c r="J709" s="80"/>
      <c r="K709" s="80"/>
      <c r="O709" s="25"/>
      <c r="P709" s="26"/>
      <c r="AA709" s="26"/>
      <c r="AC709" s="25"/>
    </row>
    <row r="710" spans="1:29" ht="12.75">
      <c r="A710" s="30"/>
      <c r="B710" s="6"/>
      <c r="C710" s="30"/>
      <c r="D710" s="15"/>
      <c r="F710" s="26"/>
      <c r="G710" s="80"/>
      <c r="H710" s="80"/>
      <c r="I710" s="80"/>
      <c r="J710" s="80"/>
      <c r="K710" s="80"/>
      <c r="O710" s="25"/>
      <c r="P710" s="26"/>
      <c r="AA710" s="26"/>
      <c r="AC710" s="25"/>
    </row>
    <row r="711" spans="1:29" ht="12.75">
      <c r="A711" s="30"/>
      <c r="B711" s="6"/>
      <c r="C711" s="30"/>
      <c r="D711" s="15"/>
      <c r="F711" s="26"/>
      <c r="G711" s="80"/>
      <c r="H711" s="80"/>
      <c r="I711" s="80"/>
      <c r="J711" s="80"/>
      <c r="K711" s="80"/>
      <c r="O711" s="25"/>
      <c r="P711" s="26"/>
      <c r="AA711" s="26"/>
      <c r="AC711" s="25"/>
    </row>
    <row r="712" spans="1:29" ht="12.75">
      <c r="A712" s="30"/>
      <c r="B712" s="6"/>
      <c r="C712" s="30"/>
      <c r="D712" s="15"/>
      <c r="F712" s="26"/>
      <c r="G712" s="80"/>
      <c r="H712" s="80"/>
      <c r="I712" s="80"/>
      <c r="J712" s="80"/>
      <c r="K712" s="80"/>
      <c r="O712" s="25"/>
      <c r="P712" s="26"/>
      <c r="AA712" s="26"/>
      <c r="AC712" s="25"/>
    </row>
    <row r="713" spans="1:29" ht="12.75">
      <c r="A713" s="30"/>
      <c r="B713" s="6"/>
      <c r="C713" s="30"/>
      <c r="D713" s="15"/>
      <c r="F713" s="26"/>
      <c r="G713" s="80"/>
      <c r="H713" s="80"/>
      <c r="I713" s="80"/>
      <c r="J713" s="80"/>
      <c r="K713" s="80"/>
      <c r="O713" s="25"/>
      <c r="P713" s="26"/>
      <c r="AA713" s="26"/>
      <c r="AC713" s="25"/>
    </row>
    <row r="714" spans="1:29" ht="12.75">
      <c r="A714" s="30"/>
      <c r="B714" s="6"/>
      <c r="C714" s="30"/>
      <c r="D714" s="15"/>
      <c r="F714" s="26"/>
      <c r="G714" s="80"/>
      <c r="H714" s="80"/>
      <c r="I714" s="80"/>
      <c r="J714" s="80"/>
      <c r="K714" s="80"/>
      <c r="O714" s="25"/>
      <c r="P714" s="26"/>
      <c r="AA714" s="26"/>
      <c r="AC714" s="25"/>
    </row>
    <row r="715" spans="1:29" ht="12.75">
      <c r="A715" s="30"/>
      <c r="B715" s="6"/>
      <c r="C715" s="30"/>
      <c r="D715" s="15"/>
      <c r="F715" s="26"/>
      <c r="G715" s="80"/>
      <c r="H715" s="80"/>
      <c r="I715" s="80"/>
      <c r="J715" s="80"/>
      <c r="K715" s="80"/>
      <c r="O715" s="25"/>
      <c r="P715" s="26"/>
      <c r="AA715" s="26"/>
      <c r="AC715" s="25"/>
    </row>
    <row r="716" spans="1:29" ht="12.75">
      <c r="A716" s="30"/>
      <c r="B716" s="6"/>
      <c r="C716" s="30"/>
      <c r="D716" s="15"/>
      <c r="F716" s="26"/>
      <c r="G716" s="80"/>
      <c r="H716" s="80"/>
      <c r="I716" s="80"/>
      <c r="J716" s="80"/>
      <c r="K716" s="80"/>
      <c r="O716" s="25"/>
      <c r="P716" s="26"/>
      <c r="AA716" s="26"/>
      <c r="AC716" s="25"/>
    </row>
    <row r="717" spans="1:29" ht="12.75">
      <c r="A717" s="30"/>
      <c r="B717" s="6"/>
      <c r="C717" s="30"/>
      <c r="D717" s="15"/>
      <c r="F717" s="26"/>
      <c r="G717" s="80"/>
      <c r="H717" s="80"/>
      <c r="I717" s="80"/>
      <c r="J717" s="80"/>
      <c r="K717" s="80"/>
      <c r="O717" s="25"/>
      <c r="P717" s="26"/>
      <c r="AA717" s="26"/>
      <c r="AC717" s="25"/>
    </row>
    <row r="718" spans="1:29" ht="12.75">
      <c r="A718" s="30"/>
      <c r="B718" s="6"/>
      <c r="C718" s="30"/>
      <c r="D718" s="15"/>
      <c r="F718" s="26"/>
      <c r="G718" s="80"/>
      <c r="H718" s="80"/>
      <c r="I718" s="80"/>
      <c r="J718" s="80"/>
      <c r="K718" s="80"/>
      <c r="O718" s="25"/>
      <c r="P718" s="26"/>
      <c r="AA718" s="26"/>
      <c r="AC718" s="25"/>
    </row>
    <row r="719" spans="1:29" ht="12.75">
      <c r="A719" s="30"/>
      <c r="B719" s="6"/>
      <c r="C719" s="30"/>
      <c r="D719" s="15"/>
      <c r="F719" s="26"/>
      <c r="G719" s="80"/>
      <c r="H719" s="80"/>
      <c r="I719" s="80"/>
      <c r="J719" s="80"/>
      <c r="K719" s="80"/>
      <c r="O719" s="25"/>
      <c r="P719" s="26"/>
      <c r="AA719" s="26"/>
      <c r="AC719" s="25"/>
    </row>
    <row r="720" spans="1:29" ht="12.75">
      <c r="A720" s="30"/>
      <c r="B720" s="6"/>
      <c r="C720" s="30"/>
      <c r="D720" s="15"/>
      <c r="F720" s="26"/>
      <c r="G720" s="80"/>
      <c r="H720" s="80"/>
      <c r="I720" s="80"/>
      <c r="J720" s="80"/>
      <c r="K720" s="80"/>
      <c r="O720" s="25"/>
      <c r="P720" s="26"/>
      <c r="AA720" s="26"/>
      <c r="AC720" s="25"/>
    </row>
    <row r="721" spans="1:29" ht="12.75">
      <c r="A721" s="30"/>
      <c r="B721" s="6"/>
      <c r="C721" s="30"/>
      <c r="D721" s="15"/>
      <c r="F721" s="26"/>
      <c r="G721" s="80"/>
      <c r="H721" s="80"/>
      <c r="I721" s="80"/>
      <c r="J721" s="80"/>
      <c r="K721" s="80"/>
      <c r="O721" s="25"/>
      <c r="P721" s="26"/>
      <c r="AA721" s="26"/>
      <c r="AC721" s="25"/>
    </row>
    <row r="722" spans="1:29" ht="12.75">
      <c r="A722" s="30"/>
      <c r="B722" s="6"/>
      <c r="C722" s="30"/>
      <c r="D722" s="15"/>
      <c r="F722" s="26"/>
      <c r="G722" s="80"/>
      <c r="H722" s="80"/>
      <c r="I722" s="80"/>
      <c r="J722" s="80"/>
      <c r="K722" s="80"/>
      <c r="O722" s="25"/>
      <c r="P722" s="26"/>
      <c r="AA722" s="26"/>
      <c r="AC722" s="25"/>
    </row>
    <row r="723" spans="1:29" ht="12.75">
      <c r="A723" s="30"/>
      <c r="B723" s="6"/>
      <c r="C723" s="30"/>
      <c r="D723" s="15"/>
      <c r="F723" s="26"/>
      <c r="G723" s="80"/>
      <c r="H723" s="80"/>
      <c r="I723" s="80"/>
      <c r="J723" s="80"/>
      <c r="K723" s="80"/>
      <c r="O723" s="25"/>
      <c r="P723" s="26"/>
      <c r="AA723" s="26"/>
      <c r="AC723" s="25"/>
    </row>
    <row r="724" spans="1:29" ht="12.75">
      <c r="A724" s="30"/>
      <c r="B724" s="6"/>
      <c r="C724" s="30"/>
      <c r="D724" s="15"/>
      <c r="F724" s="26"/>
      <c r="G724" s="80"/>
      <c r="H724" s="80"/>
      <c r="I724" s="80"/>
      <c r="J724" s="80"/>
      <c r="K724" s="80"/>
      <c r="O724" s="25"/>
      <c r="P724" s="26"/>
      <c r="AA724" s="26"/>
      <c r="AC724" s="25"/>
    </row>
    <row r="725" spans="1:29" ht="12.75">
      <c r="A725" s="30"/>
      <c r="B725" s="6"/>
      <c r="C725" s="30"/>
      <c r="D725" s="15"/>
      <c r="F725" s="26"/>
      <c r="G725" s="80"/>
      <c r="H725" s="80"/>
      <c r="I725" s="80"/>
      <c r="J725" s="80"/>
      <c r="K725" s="80"/>
      <c r="O725" s="25"/>
      <c r="P725" s="26"/>
      <c r="AA725" s="26"/>
      <c r="AC725" s="25"/>
    </row>
    <row r="726" spans="1:29" ht="12.75">
      <c r="A726" s="30"/>
      <c r="B726" s="6"/>
      <c r="C726" s="30"/>
      <c r="D726" s="15"/>
      <c r="F726" s="26"/>
      <c r="G726" s="80"/>
      <c r="H726" s="80"/>
      <c r="I726" s="80"/>
      <c r="J726" s="80"/>
      <c r="K726" s="80"/>
      <c r="O726" s="25"/>
      <c r="P726" s="26"/>
      <c r="AA726" s="26"/>
      <c r="AC726" s="25"/>
    </row>
    <row r="727" spans="1:29" ht="12.75">
      <c r="A727" s="30"/>
      <c r="B727" s="6"/>
      <c r="C727" s="30"/>
      <c r="D727" s="15"/>
      <c r="F727" s="26"/>
      <c r="G727" s="80"/>
      <c r="H727" s="80"/>
      <c r="I727" s="80"/>
      <c r="J727" s="80"/>
      <c r="K727" s="80"/>
      <c r="O727" s="25"/>
      <c r="P727" s="26"/>
      <c r="AA727" s="26"/>
      <c r="AC727" s="25"/>
    </row>
    <row r="728" spans="1:29" ht="12.75">
      <c r="A728" s="30"/>
      <c r="B728" s="6"/>
      <c r="C728" s="30"/>
      <c r="D728" s="15"/>
      <c r="F728" s="26"/>
      <c r="G728" s="80"/>
      <c r="H728" s="80"/>
      <c r="I728" s="80"/>
      <c r="J728" s="80"/>
      <c r="K728" s="80"/>
      <c r="O728" s="25"/>
      <c r="P728" s="26"/>
      <c r="AA728" s="26"/>
      <c r="AC728" s="25"/>
    </row>
    <row r="729" spans="1:29" ht="12.75">
      <c r="A729" s="30"/>
      <c r="B729" s="6"/>
      <c r="C729" s="30"/>
      <c r="D729" s="15"/>
      <c r="F729" s="26"/>
      <c r="G729" s="80"/>
      <c r="H729" s="80"/>
      <c r="I729" s="80"/>
      <c r="J729" s="80"/>
      <c r="K729" s="80"/>
      <c r="O729" s="25"/>
      <c r="P729" s="26"/>
      <c r="AA729" s="26"/>
      <c r="AC729" s="25"/>
    </row>
    <row r="730" spans="1:29" ht="12.75">
      <c r="A730" s="30"/>
      <c r="B730" s="6"/>
      <c r="C730" s="30"/>
      <c r="D730" s="15"/>
      <c r="F730" s="26"/>
      <c r="G730" s="80"/>
      <c r="H730" s="80"/>
      <c r="I730" s="80"/>
      <c r="J730" s="80"/>
      <c r="K730" s="80"/>
      <c r="O730" s="25"/>
      <c r="P730" s="26"/>
      <c r="AA730" s="26"/>
      <c r="AC730" s="25"/>
    </row>
    <row r="731" spans="1:29" ht="12.75">
      <c r="A731" s="30"/>
      <c r="B731" s="6"/>
      <c r="C731" s="30"/>
      <c r="D731" s="15"/>
      <c r="F731" s="26"/>
      <c r="G731" s="80"/>
      <c r="H731" s="80"/>
      <c r="I731" s="80"/>
      <c r="J731" s="80"/>
      <c r="K731" s="80"/>
      <c r="O731" s="25"/>
      <c r="P731" s="26"/>
      <c r="AA731" s="26"/>
      <c r="AC731" s="25"/>
    </row>
    <row r="732" spans="1:29" ht="12.75">
      <c r="A732" s="30"/>
      <c r="B732" s="6"/>
      <c r="C732" s="30"/>
      <c r="D732" s="15"/>
      <c r="F732" s="26"/>
      <c r="G732" s="80"/>
      <c r="H732" s="80"/>
      <c r="I732" s="80"/>
      <c r="J732" s="80"/>
      <c r="K732" s="80"/>
      <c r="O732" s="25"/>
      <c r="P732" s="26"/>
      <c r="AA732" s="26"/>
      <c r="AC732" s="25"/>
    </row>
    <row r="733" spans="1:29" ht="12.75">
      <c r="A733" s="30"/>
      <c r="B733" s="6"/>
      <c r="C733" s="30"/>
      <c r="D733" s="15"/>
      <c r="F733" s="26"/>
      <c r="G733" s="80"/>
      <c r="H733" s="80"/>
      <c r="I733" s="80"/>
      <c r="J733" s="80"/>
      <c r="K733" s="80"/>
      <c r="O733" s="25"/>
      <c r="P733" s="26"/>
      <c r="AA733" s="26"/>
      <c r="AC733" s="25"/>
    </row>
    <row r="734" spans="1:29" ht="12.75">
      <c r="A734" s="30"/>
      <c r="B734" s="6"/>
      <c r="C734" s="30"/>
      <c r="D734" s="15"/>
      <c r="F734" s="26"/>
      <c r="G734" s="80"/>
      <c r="H734" s="80"/>
      <c r="I734" s="80"/>
      <c r="J734" s="80"/>
      <c r="K734" s="80"/>
      <c r="O734" s="25"/>
      <c r="P734" s="26"/>
      <c r="AA734" s="26"/>
      <c r="AC734" s="25"/>
    </row>
    <row r="735" spans="1:29" ht="12.75">
      <c r="A735" s="30"/>
      <c r="B735" s="6"/>
      <c r="C735" s="30"/>
      <c r="D735" s="15"/>
      <c r="F735" s="26"/>
      <c r="G735" s="80"/>
      <c r="H735" s="80"/>
      <c r="I735" s="80"/>
      <c r="J735" s="80"/>
      <c r="K735" s="80"/>
      <c r="O735" s="25"/>
      <c r="P735" s="26"/>
      <c r="AA735" s="26"/>
      <c r="AC735" s="25"/>
    </row>
    <row r="736" spans="1:29" ht="12.75">
      <c r="A736" s="30"/>
      <c r="B736" s="6"/>
      <c r="C736" s="30"/>
      <c r="D736" s="15"/>
      <c r="F736" s="26"/>
      <c r="G736" s="80"/>
      <c r="H736" s="80"/>
      <c r="I736" s="80"/>
      <c r="J736" s="80"/>
      <c r="K736" s="80"/>
      <c r="O736" s="25"/>
      <c r="P736" s="26"/>
      <c r="AA736" s="26"/>
      <c r="AC736" s="25"/>
    </row>
    <row r="737" spans="1:29" ht="12.75">
      <c r="A737" s="30"/>
      <c r="B737" s="6"/>
      <c r="C737" s="30"/>
      <c r="D737" s="15"/>
      <c r="F737" s="26"/>
      <c r="G737" s="80"/>
      <c r="H737" s="80"/>
      <c r="I737" s="80"/>
      <c r="J737" s="80"/>
      <c r="K737" s="80"/>
      <c r="O737" s="25"/>
      <c r="P737" s="26"/>
      <c r="AA737" s="26"/>
      <c r="AC737" s="25"/>
    </row>
    <row r="738" spans="1:29" ht="12.75">
      <c r="A738" s="30"/>
      <c r="B738" s="6"/>
      <c r="C738" s="30"/>
      <c r="D738" s="15"/>
      <c r="F738" s="26"/>
      <c r="G738" s="80"/>
      <c r="H738" s="80"/>
      <c r="I738" s="80"/>
      <c r="J738" s="80"/>
      <c r="K738" s="80"/>
      <c r="O738" s="25"/>
      <c r="P738" s="26"/>
      <c r="AA738" s="26"/>
      <c r="AC738" s="25"/>
    </row>
    <row r="739" spans="1:29" ht="12.75">
      <c r="A739" s="30"/>
      <c r="B739" s="6"/>
      <c r="C739" s="30"/>
      <c r="D739" s="15"/>
      <c r="F739" s="26"/>
      <c r="G739" s="80"/>
      <c r="H739" s="80"/>
      <c r="I739" s="80"/>
      <c r="J739" s="80"/>
      <c r="K739" s="80"/>
      <c r="O739" s="25"/>
      <c r="P739" s="26"/>
      <c r="AA739" s="26"/>
      <c r="AC739" s="25"/>
    </row>
    <row r="740" spans="1:29" ht="12.75">
      <c r="A740" s="30"/>
      <c r="B740" s="6"/>
      <c r="C740" s="30"/>
      <c r="D740" s="15"/>
      <c r="F740" s="26"/>
      <c r="G740" s="80"/>
      <c r="H740" s="80"/>
      <c r="I740" s="80"/>
      <c r="J740" s="80"/>
      <c r="K740" s="80"/>
      <c r="O740" s="25"/>
      <c r="P740" s="26"/>
      <c r="AA740" s="26"/>
      <c r="AC740" s="25"/>
    </row>
    <row r="741" spans="1:29" ht="12.75">
      <c r="A741" s="30"/>
      <c r="B741" s="6"/>
      <c r="C741" s="30"/>
      <c r="D741" s="15"/>
      <c r="F741" s="26"/>
      <c r="G741" s="80"/>
      <c r="H741" s="80"/>
      <c r="I741" s="80"/>
      <c r="J741" s="80"/>
      <c r="K741" s="80"/>
      <c r="O741" s="25"/>
      <c r="P741" s="26"/>
      <c r="AA741" s="26"/>
      <c r="AC741" s="25"/>
    </row>
    <row r="742" spans="1:29" ht="12.75">
      <c r="A742" s="30"/>
      <c r="B742" s="6"/>
      <c r="C742" s="30"/>
      <c r="D742" s="15"/>
      <c r="F742" s="26"/>
      <c r="G742" s="80"/>
      <c r="H742" s="80"/>
      <c r="I742" s="80"/>
      <c r="J742" s="80"/>
      <c r="K742" s="80"/>
      <c r="O742" s="25"/>
      <c r="P742" s="26"/>
      <c r="AA742" s="26"/>
      <c r="AC742" s="25"/>
    </row>
    <row r="743" spans="1:29" ht="12.75">
      <c r="A743" s="30"/>
      <c r="B743" s="6"/>
      <c r="C743" s="30"/>
      <c r="D743" s="15"/>
      <c r="F743" s="26"/>
      <c r="G743" s="80"/>
      <c r="H743" s="80"/>
      <c r="I743" s="80"/>
      <c r="J743" s="80"/>
      <c r="K743" s="80"/>
      <c r="O743" s="25"/>
      <c r="P743" s="26"/>
      <c r="AA743" s="26"/>
      <c r="AC743" s="25"/>
    </row>
    <row r="744" spans="1:29" ht="12.75">
      <c r="A744" s="30"/>
      <c r="B744" s="6"/>
      <c r="C744" s="30"/>
      <c r="D744" s="15"/>
      <c r="F744" s="26"/>
      <c r="G744" s="80"/>
      <c r="H744" s="80"/>
      <c r="I744" s="80"/>
      <c r="J744" s="80"/>
      <c r="K744" s="80"/>
      <c r="O744" s="25"/>
      <c r="P744" s="26"/>
      <c r="AA744" s="26"/>
      <c r="AC744" s="25"/>
    </row>
    <row r="745" spans="1:29" ht="12.75">
      <c r="A745" s="30"/>
      <c r="B745" s="6"/>
      <c r="C745" s="30"/>
      <c r="D745" s="15"/>
      <c r="F745" s="26"/>
      <c r="G745" s="80"/>
      <c r="H745" s="80"/>
      <c r="I745" s="80"/>
      <c r="J745" s="80"/>
      <c r="K745" s="80"/>
      <c r="O745" s="25"/>
      <c r="P745" s="26"/>
      <c r="AA745" s="26"/>
      <c r="AC745" s="25"/>
    </row>
    <row r="746" spans="1:29" ht="12.75">
      <c r="A746" s="30"/>
      <c r="B746" s="6"/>
      <c r="C746" s="30"/>
      <c r="D746" s="15"/>
      <c r="F746" s="26"/>
      <c r="G746" s="80"/>
      <c r="H746" s="80"/>
      <c r="I746" s="80"/>
      <c r="J746" s="80"/>
      <c r="K746" s="80"/>
      <c r="O746" s="25"/>
      <c r="P746" s="26"/>
      <c r="AA746" s="26"/>
      <c r="AC746" s="25"/>
    </row>
    <row r="747" spans="1:29" ht="12.75">
      <c r="A747" s="30"/>
      <c r="B747" s="6"/>
      <c r="C747" s="30"/>
      <c r="D747" s="15"/>
      <c r="F747" s="26"/>
      <c r="G747" s="80"/>
      <c r="H747" s="80"/>
      <c r="I747" s="80"/>
      <c r="J747" s="80"/>
      <c r="K747" s="80"/>
      <c r="O747" s="25"/>
      <c r="P747" s="26"/>
      <c r="AA747" s="26"/>
      <c r="AC747" s="25"/>
    </row>
    <row r="748" spans="1:29" ht="12.75">
      <c r="A748" s="30"/>
      <c r="B748" s="6"/>
      <c r="C748" s="30"/>
      <c r="D748" s="15"/>
      <c r="F748" s="26"/>
      <c r="G748" s="80"/>
      <c r="H748" s="80"/>
      <c r="I748" s="80"/>
      <c r="J748" s="80"/>
      <c r="K748" s="80"/>
      <c r="O748" s="25"/>
      <c r="P748" s="26"/>
      <c r="AA748" s="26"/>
      <c r="AC748" s="25"/>
    </row>
    <row r="749" spans="1:29" ht="12.75">
      <c r="A749" s="30"/>
      <c r="B749" s="6"/>
      <c r="C749" s="30"/>
      <c r="D749" s="15"/>
      <c r="F749" s="26"/>
      <c r="G749" s="80"/>
      <c r="H749" s="80"/>
      <c r="I749" s="80"/>
      <c r="J749" s="80"/>
      <c r="K749" s="80"/>
      <c r="O749" s="25"/>
      <c r="P749" s="26"/>
      <c r="AA749" s="26"/>
      <c r="AC749" s="25"/>
    </row>
    <row r="750" spans="1:29" ht="12.75">
      <c r="A750" s="30"/>
      <c r="B750" s="6"/>
      <c r="C750" s="30"/>
      <c r="D750" s="15"/>
      <c r="F750" s="26"/>
      <c r="G750" s="80"/>
      <c r="H750" s="80"/>
      <c r="I750" s="80"/>
      <c r="J750" s="80"/>
      <c r="K750" s="80"/>
      <c r="O750" s="25"/>
      <c r="P750" s="26"/>
      <c r="AA750" s="26"/>
      <c r="AC750" s="25"/>
    </row>
    <row r="751" spans="1:29" ht="12.75">
      <c r="A751" s="30"/>
      <c r="B751" s="6"/>
      <c r="C751" s="30"/>
      <c r="D751" s="15"/>
      <c r="F751" s="26"/>
      <c r="G751" s="80"/>
      <c r="H751" s="80"/>
      <c r="I751" s="80"/>
      <c r="J751" s="80"/>
      <c r="K751" s="80"/>
      <c r="O751" s="25"/>
      <c r="P751" s="26"/>
      <c r="AA751" s="26"/>
      <c r="AC751" s="25"/>
    </row>
    <row r="752" spans="1:29" ht="12.75">
      <c r="A752" s="30"/>
      <c r="B752" s="6"/>
      <c r="C752" s="30"/>
      <c r="D752" s="15"/>
      <c r="F752" s="26"/>
      <c r="G752" s="80"/>
      <c r="H752" s="80"/>
      <c r="I752" s="80"/>
      <c r="J752" s="80"/>
      <c r="K752" s="80"/>
      <c r="O752" s="25"/>
      <c r="P752" s="26"/>
      <c r="AA752" s="26"/>
      <c r="AC752" s="25"/>
    </row>
    <row r="753" spans="1:29" ht="12.75">
      <c r="A753" s="30"/>
      <c r="B753" s="6"/>
      <c r="C753" s="30"/>
      <c r="D753" s="15"/>
      <c r="F753" s="26"/>
      <c r="G753" s="80"/>
      <c r="H753" s="80"/>
      <c r="I753" s="80"/>
      <c r="J753" s="80"/>
      <c r="K753" s="80"/>
      <c r="O753" s="25"/>
      <c r="P753" s="26"/>
      <c r="AA753" s="26"/>
      <c r="AC753" s="25"/>
    </row>
    <row r="754" spans="1:29" ht="12.75">
      <c r="A754" s="30"/>
      <c r="B754" s="6"/>
      <c r="C754" s="30"/>
      <c r="D754" s="15"/>
      <c r="F754" s="26"/>
      <c r="G754" s="80"/>
      <c r="H754" s="80"/>
      <c r="I754" s="80"/>
      <c r="J754" s="80"/>
      <c r="K754" s="80"/>
      <c r="O754" s="25"/>
      <c r="P754" s="26"/>
      <c r="AA754" s="26"/>
      <c r="AC754" s="25"/>
    </row>
    <row r="755" spans="1:29" ht="12.75">
      <c r="A755" s="30"/>
      <c r="B755" s="6"/>
      <c r="C755" s="30"/>
      <c r="D755" s="15"/>
      <c r="F755" s="26"/>
      <c r="G755" s="80"/>
      <c r="H755" s="80"/>
      <c r="I755" s="80"/>
      <c r="J755" s="80"/>
      <c r="K755" s="80"/>
      <c r="O755" s="25"/>
      <c r="P755" s="26"/>
      <c r="AA755" s="26"/>
      <c r="AC755" s="25"/>
    </row>
    <row r="756" spans="1:29" ht="12.75">
      <c r="A756" s="30"/>
      <c r="B756" s="6"/>
      <c r="C756" s="30"/>
      <c r="D756" s="15"/>
      <c r="F756" s="26"/>
      <c r="G756" s="80"/>
      <c r="H756" s="80"/>
      <c r="I756" s="80"/>
      <c r="J756" s="80"/>
      <c r="K756" s="80"/>
      <c r="O756" s="25"/>
      <c r="P756" s="26"/>
      <c r="AA756" s="26"/>
      <c r="AC756" s="25"/>
    </row>
    <row r="757" spans="1:29" ht="12.75">
      <c r="A757" s="30"/>
      <c r="B757" s="6"/>
      <c r="C757" s="30"/>
      <c r="D757" s="15"/>
      <c r="F757" s="26"/>
      <c r="G757" s="80"/>
      <c r="H757" s="80"/>
      <c r="I757" s="80"/>
      <c r="J757" s="80"/>
      <c r="K757" s="80"/>
      <c r="O757" s="25"/>
      <c r="P757" s="26"/>
      <c r="AA757" s="26"/>
      <c r="AC757" s="25"/>
    </row>
    <row r="758" spans="1:29" ht="12.75">
      <c r="A758" s="30"/>
      <c r="B758" s="6"/>
      <c r="C758" s="30"/>
      <c r="D758" s="15"/>
      <c r="F758" s="26"/>
      <c r="G758" s="80"/>
      <c r="H758" s="80"/>
      <c r="I758" s="80"/>
      <c r="J758" s="80"/>
      <c r="K758" s="80"/>
      <c r="O758" s="25"/>
      <c r="P758" s="26"/>
      <c r="AA758" s="26"/>
      <c r="AC758" s="25"/>
    </row>
    <row r="759" spans="1:29" ht="12.75">
      <c r="A759" s="30"/>
      <c r="B759" s="6"/>
      <c r="C759" s="30"/>
      <c r="D759" s="15"/>
      <c r="F759" s="26"/>
      <c r="G759" s="80"/>
      <c r="H759" s="80"/>
      <c r="I759" s="80"/>
      <c r="J759" s="80"/>
      <c r="K759" s="80"/>
      <c r="O759" s="25"/>
      <c r="P759" s="26"/>
      <c r="AA759" s="26"/>
      <c r="AC759" s="25"/>
    </row>
    <row r="760" spans="1:29" ht="12.75">
      <c r="A760" s="30"/>
      <c r="B760" s="6"/>
      <c r="C760" s="30"/>
      <c r="D760" s="15"/>
      <c r="F760" s="26"/>
      <c r="G760" s="80"/>
      <c r="H760" s="80"/>
      <c r="I760" s="80"/>
      <c r="J760" s="80"/>
      <c r="K760" s="80"/>
      <c r="O760" s="25"/>
      <c r="P760" s="26"/>
      <c r="AA760" s="26"/>
      <c r="AC760" s="25"/>
    </row>
    <row r="761" spans="1:29" ht="12.75">
      <c r="A761" s="30"/>
      <c r="B761" s="6"/>
      <c r="C761" s="30"/>
      <c r="D761" s="15"/>
      <c r="F761" s="26"/>
      <c r="G761" s="80"/>
      <c r="H761" s="80"/>
      <c r="I761" s="80"/>
      <c r="J761" s="80"/>
      <c r="K761" s="80"/>
      <c r="O761" s="25"/>
      <c r="P761" s="26"/>
      <c r="AA761" s="26"/>
      <c r="AC761" s="25"/>
    </row>
    <row r="762" spans="1:29" ht="12.75">
      <c r="A762" s="30"/>
      <c r="B762" s="6"/>
      <c r="C762" s="30"/>
      <c r="D762" s="15"/>
      <c r="F762" s="26"/>
      <c r="G762" s="80"/>
      <c r="H762" s="80"/>
      <c r="I762" s="80"/>
      <c r="J762" s="80"/>
      <c r="K762" s="80"/>
      <c r="O762" s="25"/>
      <c r="P762" s="26"/>
      <c r="AA762" s="26"/>
      <c r="AC762" s="25"/>
    </row>
    <row r="763" spans="1:29" ht="12.75">
      <c r="A763" s="30"/>
      <c r="B763" s="6"/>
      <c r="C763" s="30"/>
      <c r="D763" s="15"/>
      <c r="F763" s="26"/>
      <c r="G763" s="80"/>
      <c r="H763" s="80"/>
      <c r="I763" s="80"/>
      <c r="J763" s="80"/>
      <c r="K763" s="80"/>
      <c r="O763" s="25"/>
      <c r="P763" s="26"/>
      <c r="AA763" s="26"/>
      <c r="AC763" s="25"/>
    </row>
    <row r="764" spans="1:29" ht="12.75">
      <c r="A764" s="30"/>
      <c r="B764" s="6"/>
      <c r="C764" s="30"/>
      <c r="D764" s="15"/>
      <c r="F764" s="26"/>
      <c r="G764" s="80"/>
      <c r="H764" s="80"/>
      <c r="I764" s="80"/>
      <c r="J764" s="80"/>
      <c r="K764" s="80"/>
      <c r="O764" s="25"/>
      <c r="P764" s="26"/>
      <c r="AA764" s="26"/>
      <c r="AC764" s="25"/>
    </row>
    <row r="765" spans="1:29" ht="12.75">
      <c r="A765" s="30"/>
      <c r="B765" s="6"/>
      <c r="C765" s="30"/>
      <c r="D765" s="15"/>
      <c r="F765" s="26"/>
      <c r="G765" s="80"/>
      <c r="H765" s="80"/>
      <c r="I765" s="80"/>
      <c r="J765" s="80"/>
      <c r="K765" s="80"/>
      <c r="O765" s="25"/>
      <c r="P765" s="26"/>
      <c r="AA765" s="26"/>
      <c r="AC765" s="25"/>
    </row>
    <row r="766" spans="1:29" ht="12.75">
      <c r="A766" s="30"/>
      <c r="B766" s="6"/>
      <c r="C766" s="30"/>
      <c r="D766" s="15"/>
      <c r="F766" s="26"/>
      <c r="G766" s="80"/>
      <c r="H766" s="80"/>
      <c r="I766" s="80"/>
      <c r="J766" s="80"/>
      <c r="K766" s="80"/>
      <c r="O766" s="25"/>
      <c r="P766" s="26"/>
      <c r="AA766" s="26"/>
      <c r="AC766" s="25"/>
    </row>
    <row r="767" spans="1:29" ht="12.75">
      <c r="A767" s="30"/>
      <c r="B767" s="6"/>
      <c r="C767" s="30"/>
      <c r="D767" s="15"/>
      <c r="F767" s="26"/>
      <c r="G767" s="80"/>
      <c r="H767" s="80"/>
      <c r="I767" s="80"/>
      <c r="J767" s="80"/>
      <c r="K767" s="80"/>
      <c r="O767" s="25"/>
      <c r="P767" s="26"/>
      <c r="AA767" s="26"/>
      <c r="AC767" s="25"/>
    </row>
    <row r="768" spans="1:29" ht="12.75">
      <c r="A768" s="30"/>
      <c r="B768" s="6"/>
      <c r="C768" s="30"/>
      <c r="D768" s="15"/>
      <c r="F768" s="26"/>
      <c r="G768" s="80"/>
      <c r="H768" s="80"/>
      <c r="I768" s="80"/>
      <c r="J768" s="80"/>
      <c r="K768" s="80"/>
      <c r="O768" s="25"/>
      <c r="P768" s="26"/>
      <c r="AA768" s="26"/>
      <c r="AC768" s="25"/>
    </row>
    <row r="769" spans="1:29" ht="12.75">
      <c r="A769" s="30"/>
      <c r="B769" s="6"/>
      <c r="C769" s="30"/>
      <c r="D769" s="15"/>
      <c r="F769" s="26"/>
      <c r="G769" s="80"/>
      <c r="H769" s="80"/>
      <c r="I769" s="80"/>
      <c r="J769" s="80"/>
      <c r="K769" s="80"/>
      <c r="O769" s="25"/>
      <c r="P769" s="26"/>
      <c r="AA769" s="26"/>
      <c r="AC769" s="25"/>
    </row>
    <row r="770" spans="1:29" ht="12.75">
      <c r="A770" s="30"/>
      <c r="B770" s="6"/>
      <c r="C770" s="30"/>
      <c r="D770" s="15"/>
      <c r="F770" s="26"/>
      <c r="G770" s="80"/>
      <c r="H770" s="80"/>
      <c r="I770" s="80"/>
      <c r="J770" s="80"/>
      <c r="K770" s="80"/>
      <c r="O770" s="25"/>
      <c r="P770" s="26"/>
      <c r="AA770" s="26"/>
      <c r="AC770" s="25"/>
    </row>
    <row r="771" spans="1:29" ht="12.75">
      <c r="A771" s="30"/>
      <c r="B771" s="6"/>
      <c r="C771" s="30"/>
      <c r="D771" s="15"/>
      <c r="F771" s="26"/>
      <c r="G771" s="80"/>
      <c r="H771" s="80"/>
      <c r="I771" s="80"/>
      <c r="J771" s="80"/>
      <c r="K771" s="80"/>
      <c r="O771" s="25"/>
      <c r="P771" s="26"/>
      <c r="AA771" s="26"/>
      <c r="AC771" s="25"/>
    </row>
    <row r="772" spans="1:29" ht="12.75">
      <c r="A772" s="30"/>
      <c r="B772" s="6"/>
      <c r="C772" s="30"/>
      <c r="D772" s="15"/>
      <c r="F772" s="26"/>
      <c r="G772" s="80"/>
      <c r="H772" s="80"/>
      <c r="I772" s="80"/>
      <c r="J772" s="80"/>
      <c r="K772" s="80"/>
      <c r="O772" s="25"/>
      <c r="P772" s="26"/>
      <c r="AA772" s="26"/>
      <c r="AC772" s="25"/>
    </row>
    <row r="773" spans="1:29" ht="12.75">
      <c r="A773" s="30"/>
      <c r="B773" s="6"/>
      <c r="C773" s="30"/>
      <c r="D773" s="15"/>
      <c r="F773" s="26"/>
      <c r="G773" s="80"/>
      <c r="H773" s="80"/>
      <c r="I773" s="80"/>
      <c r="J773" s="80"/>
      <c r="K773" s="80"/>
      <c r="O773" s="25"/>
      <c r="P773" s="26"/>
      <c r="AA773" s="26"/>
      <c r="AC773" s="25"/>
    </row>
    <row r="774" spans="1:29" ht="12.75">
      <c r="A774" s="30"/>
      <c r="B774" s="6"/>
      <c r="C774" s="30"/>
      <c r="D774" s="15"/>
      <c r="F774" s="26"/>
      <c r="G774" s="80"/>
      <c r="H774" s="80"/>
      <c r="I774" s="80"/>
      <c r="J774" s="80"/>
      <c r="K774" s="80"/>
      <c r="O774" s="25"/>
      <c r="P774" s="26"/>
      <c r="AA774" s="26"/>
      <c r="AC774" s="25"/>
    </row>
    <row r="775" spans="1:29" ht="12.75">
      <c r="A775" s="30"/>
      <c r="B775" s="6"/>
      <c r="C775" s="30"/>
      <c r="D775" s="15"/>
      <c r="F775" s="26"/>
      <c r="G775" s="80"/>
      <c r="H775" s="80"/>
      <c r="I775" s="80"/>
      <c r="J775" s="80"/>
      <c r="K775" s="80"/>
      <c r="O775" s="25"/>
      <c r="P775" s="26"/>
      <c r="AA775" s="26"/>
      <c r="AC775" s="25"/>
    </row>
    <row r="776" spans="1:29" ht="12.75">
      <c r="A776" s="30"/>
      <c r="B776" s="6"/>
      <c r="C776" s="30"/>
      <c r="D776" s="15"/>
      <c r="F776" s="26"/>
      <c r="G776" s="80"/>
      <c r="H776" s="80"/>
      <c r="I776" s="80"/>
      <c r="J776" s="80"/>
      <c r="K776" s="80"/>
      <c r="O776" s="25"/>
      <c r="P776" s="26"/>
      <c r="AA776" s="26"/>
      <c r="AC776" s="25"/>
    </row>
    <row r="777" spans="1:29" ht="12.75">
      <c r="A777" s="30"/>
      <c r="B777" s="6"/>
      <c r="C777" s="30"/>
      <c r="D777" s="15"/>
      <c r="F777" s="26"/>
      <c r="G777" s="80"/>
      <c r="H777" s="80"/>
      <c r="I777" s="80"/>
      <c r="J777" s="80"/>
      <c r="K777" s="80"/>
      <c r="O777" s="25"/>
      <c r="P777" s="26"/>
      <c r="AA777" s="26"/>
      <c r="AC777" s="25"/>
    </row>
    <row r="778" spans="1:29" ht="12.75">
      <c r="A778" s="30"/>
      <c r="B778" s="6"/>
      <c r="C778" s="30"/>
      <c r="D778" s="15"/>
      <c r="F778" s="26"/>
      <c r="G778" s="80"/>
      <c r="H778" s="80"/>
      <c r="I778" s="80"/>
      <c r="J778" s="80"/>
      <c r="K778" s="80"/>
      <c r="O778" s="25"/>
      <c r="P778" s="26"/>
      <c r="AA778" s="26"/>
      <c r="AC778" s="25"/>
    </row>
    <row r="779" spans="1:29" ht="12.75">
      <c r="A779" s="30"/>
      <c r="B779" s="6"/>
      <c r="C779" s="30"/>
      <c r="D779" s="15"/>
      <c r="F779" s="26"/>
      <c r="G779" s="80"/>
      <c r="H779" s="80"/>
      <c r="I779" s="80"/>
      <c r="J779" s="80"/>
      <c r="K779" s="80"/>
      <c r="O779" s="25"/>
      <c r="P779" s="26"/>
      <c r="AA779" s="26"/>
      <c r="AC779" s="25"/>
    </row>
    <row r="780" spans="1:29" ht="12.75">
      <c r="A780" s="30"/>
      <c r="B780" s="6"/>
      <c r="C780" s="30"/>
      <c r="D780" s="15"/>
      <c r="F780" s="26"/>
      <c r="G780" s="80"/>
      <c r="H780" s="80"/>
      <c r="I780" s="80"/>
      <c r="J780" s="80"/>
      <c r="K780" s="80"/>
      <c r="O780" s="25"/>
      <c r="P780" s="26"/>
      <c r="AA780" s="26"/>
      <c r="AC780" s="25"/>
    </row>
    <row r="781" spans="1:29" ht="12.75">
      <c r="A781" s="30"/>
      <c r="B781" s="6"/>
      <c r="C781" s="30"/>
      <c r="D781" s="15"/>
      <c r="F781" s="26"/>
      <c r="G781" s="80"/>
      <c r="H781" s="80"/>
      <c r="I781" s="80"/>
      <c r="J781" s="80"/>
      <c r="K781" s="80"/>
      <c r="O781" s="25"/>
      <c r="P781" s="26"/>
      <c r="AA781" s="26"/>
      <c r="AC781" s="25"/>
    </row>
    <row r="782" spans="1:29" ht="12.75">
      <c r="A782" s="30"/>
      <c r="B782" s="6"/>
      <c r="C782" s="30"/>
      <c r="D782" s="15"/>
      <c r="F782" s="26"/>
      <c r="G782" s="80"/>
      <c r="H782" s="80"/>
      <c r="I782" s="80"/>
      <c r="J782" s="80"/>
      <c r="K782" s="80"/>
      <c r="O782" s="25"/>
      <c r="P782" s="26"/>
      <c r="AA782" s="26"/>
      <c r="AC782" s="25"/>
    </row>
    <row r="783" spans="1:29" ht="12.75">
      <c r="A783" s="30"/>
      <c r="B783" s="6"/>
      <c r="C783" s="30"/>
      <c r="D783" s="15"/>
      <c r="F783" s="26"/>
      <c r="G783" s="80"/>
      <c r="H783" s="80"/>
      <c r="I783" s="80"/>
      <c r="J783" s="80"/>
      <c r="K783" s="80"/>
      <c r="O783" s="25"/>
      <c r="P783" s="26"/>
      <c r="AA783" s="26"/>
      <c r="AC783" s="25"/>
    </row>
    <row r="784" spans="1:29" ht="12.75">
      <c r="A784" s="30"/>
      <c r="B784" s="6"/>
      <c r="C784" s="30"/>
      <c r="D784" s="15"/>
      <c r="F784" s="26"/>
      <c r="G784" s="80"/>
      <c r="H784" s="80"/>
      <c r="I784" s="80"/>
      <c r="J784" s="80"/>
      <c r="K784" s="80"/>
      <c r="O784" s="25"/>
      <c r="P784" s="26"/>
      <c r="AA784" s="26"/>
      <c r="AC784" s="25"/>
    </row>
    <row r="785" spans="1:29" ht="12.75">
      <c r="A785" s="30"/>
      <c r="B785" s="6"/>
      <c r="C785" s="30"/>
      <c r="D785" s="15"/>
      <c r="F785" s="26"/>
      <c r="G785" s="80"/>
      <c r="H785" s="80"/>
      <c r="I785" s="80"/>
      <c r="J785" s="80"/>
      <c r="K785" s="80"/>
      <c r="O785" s="25"/>
      <c r="P785" s="26"/>
      <c r="AA785" s="26"/>
      <c r="AC785" s="25"/>
    </row>
    <row r="786" spans="1:29" ht="12.75">
      <c r="A786" s="30"/>
      <c r="B786" s="6"/>
      <c r="C786" s="30"/>
      <c r="D786" s="15"/>
      <c r="F786" s="26"/>
      <c r="G786" s="80"/>
      <c r="H786" s="80"/>
      <c r="I786" s="80"/>
      <c r="J786" s="80"/>
      <c r="K786" s="80"/>
      <c r="O786" s="25"/>
      <c r="P786" s="26"/>
      <c r="AA786" s="26"/>
      <c r="AC786" s="25"/>
    </row>
    <row r="787" spans="1:29" ht="12.75">
      <c r="A787" s="30"/>
      <c r="B787" s="6"/>
      <c r="C787" s="30"/>
      <c r="D787" s="15"/>
      <c r="F787" s="26"/>
      <c r="G787" s="80"/>
      <c r="H787" s="80"/>
      <c r="I787" s="80"/>
      <c r="J787" s="80"/>
      <c r="K787" s="80"/>
      <c r="O787" s="25"/>
      <c r="P787" s="26"/>
      <c r="AA787" s="26"/>
      <c r="AC787" s="25"/>
    </row>
    <row r="788" spans="1:29" ht="12.75">
      <c r="A788" s="30"/>
      <c r="B788" s="6"/>
      <c r="C788" s="30"/>
      <c r="D788" s="15"/>
      <c r="F788" s="26"/>
      <c r="G788" s="80"/>
      <c r="H788" s="80"/>
      <c r="I788" s="80"/>
      <c r="J788" s="80"/>
      <c r="K788" s="80"/>
      <c r="O788" s="25"/>
      <c r="P788" s="26"/>
      <c r="AA788" s="26"/>
      <c r="AC788" s="25"/>
    </row>
    <row r="789" spans="1:29" ht="12.75">
      <c r="A789" s="30"/>
      <c r="B789" s="6"/>
      <c r="C789" s="30"/>
      <c r="D789" s="15"/>
      <c r="F789" s="26"/>
      <c r="G789" s="80"/>
      <c r="H789" s="80"/>
      <c r="I789" s="80"/>
      <c r="J789" s="80"/>
      <c r="K789" s="80"/>
      <c r="O789" s="25"/>
      <c r="P789" s="26"/>
      <c r="AA789" s="26"/>
      <c r="AC789" s="25"/>
    </row>
    <row r="790" spans="1:29" ht="12.75">
      <c r="A790" s="30"/>
      <c r="B790" s="6"/>
      <c r="C790" s="30"/>
      <c r="D790" s="15"/>
      <c r="F790" s="26"/>
      <c r="G790" s="80"/>
      <c r="H790" s="80"/>
      <c r="I790" s="80"/>
      <c r="J790" s="80"/>
      <c r="K790" s="80"/>
      <c r="O790" s="25"/>
      <c r="P790" s="26"/>
      <c r="AA790" s="26"/>
      <c r="AC790" s="25"/>
    </row>
    <row r="791" spans="1:29" ht="12.75">
      <c r="A791" s="30"/>
      <c r="B791" s="6"/>
      <c r="C791" s="30"/>
      <c r="D791" s="15"/>
      <c r="F791" s="26"/>
      <c r="G791" s="80"/>
      <c r="H791" s="80"/>
      <c r="I791" s="80"/>
      <c r="J791" s="80"/>
      <c r="K791" s="80"/>
      <c r="O791" s="25"/>
      <c r="P791" s="26"/>
      <c r="AA791" s="26"/>
      <c r="AC791" s="25"/>
    </row>
    <row r="792" spans="1:29" ht="12.75">
      <c r="A792" s="30"/>
      <c r="B792" s="6"/>
      <c r="C792" s="30"/>
      <c r="D792" s="15"/>
      <c r="F792" s="26"/>
      <c r="G792" s="80"/>
      <c r="H792" s="80"/>
      <c r="I792" s="80"/>
      <c r="J792" s="80"/>
      <c r="K792" s="80"/>
      <c r="O792" s="25"/>
      <c r="P792" s="26"/>
      <c r="AA792" s="26"/>
      <c r="AC792" s="25"/>
    </row>
    <row r="793" spans="1:29" ht="12.75">
      <c r="A793" s="30"/>
      <c r="B793" s="6"/>
      <c r="C793" s="30"/>
      <c r="D793" s="15"/>
      <c r="F793" s="26"/>
      <c r="G793" s="80"/>
      <c r="H793" s="80"/>
      <c r="I793" s="80"/>
      <c r="J793" s="80"/>
      <c r="K793" s="80"/>
      <c r="O793" s="25"/>
      <c r="P793" s="26"/>
      <c r="AA793" s="26"/>
      <c r="AC793" s="25"/>
    </row>
    <row r="794" spans="1:29" ht="12.75">
      <c r="A794" s="30"/>
      <c r="B794" s="6"/>
      <c r="C794" s="30"/>
      <c r="D794" s="15"/>
      <c r="F794" s="26"/>
      <c r="G794" s="80"/>
      <c r="H794" s="80"/>
      <c r="I794" s="80"/>
      <c r="J794" s="80"/>
      <c r="K794" s="80"/>
      <c r="O794" s="25"/>
      <c r="P794" s="26"/>
      <c r="AA794" s="26"/>
      <c r="AC794" s="25"/>
    </row>
    <row r="795" spans="1:29" ht="12.75">
      <c r="A795" s="30"/>
      <c r="B795" s="6"/>
      <c r="C795" s="30"/>
      <c r="D795" s="15"/>
      <c r="F795" s="26"/>
      <c r="G795" s="80"/>
      <c r="H795" s="80"/>
      <c r="I795" s="80"/>
      <c r="J795" s="80"/>
      <c r="K795" s="80"/>
      <c r="O795" s="25"/>
      <c r="P795" s="26"/>
      <c r="AA795" s="26"/>
      <c r="AC795" s="25"/>
    </row>
    <row r="796" spans="1:29" ht="12.75">
      <c r="A796" s="30"/>
      <c r="B796" s="6"/>
      <c r="C796" s="30"/>
      <c r="D796" s="15"/>
      <c r="F796" s="26"/>
      <c r="G796" s="80"/>
      <c r="H796" s="80"/>
      <c r="I796" s="80"/>
      <c r="J796" s="80"/>
      <c r="K796" s="80"/>
      <c r="O796" s="25"/>
      <c r="P796" s="26"/>
      <c r="AA796" s="26"/>
      <c r="AC796" s="25"/>
    </row>
    <row r="797" spans="1:29" ht="12.75">
      <c r="A797" s="30"/>
      <c r="B797" s="6"/>
      <c r="C797" s="30"/>
      <c r="D797" s="15"/>
      <c r="F797" s="26"/>
      <c r="G797" s="80"/>
      <c r="H797" s="80"/>
      <c r="I797" s="80"/>
      <c r="J797" s="80"/>
      <c r="K797" s="80"/>
      <c r="O797" s="25"/>
      <c r="P797" s="26"/>
      <c r="AA797" s="26"/>
      <c r="AC797" s="25"/>
    </row>
    <row r="798" spans="1:29" ht="12.75">
      <c r="A798" s="30"/>
      <c r="B798" s="6"/>
      <c r="C798" s="30"/>
      <c r="D798" s="15"/>
      <c r="F798" s="26"/>
      <c r="G798" s="80"/>
      <c r="H798" s="80"/>
      <c r="I798" s="80"/>
      <c r="J798" s="80"/>
      <c r="K798" s="80"/>
      <c r="O798" s="25"/>
      <c r="P798" s="26"/>
      <c r="AA798" s="26"/>
      <c r="AC798" s="25"/>
    </row>
    <row r="799" spans="1:29" ht="12.75">
      <c r="A799" s="30"/>
      <c r="B799" s="6"/>
      <c r="C799" s="30"/>
      <c r="D799" s="15"/>
      <c r="F799" s="26"/>
      <c r="G799" s="80"/>
      <c r="H799" s="80"/>
      <c r="I799" s="80"/>
      <c r="J799" s="80"/>
      <c r="K799" s="80"/>
      <c r="O799" s="25"/>
      <c r="P799" s="26"/>
      <c r="AA799" s="26"/>
      <c r="AC799" s="25"/>
    </row>
    <row r="800" spans="1:29" ht="12.75">
      <c r="A800" s="30"/>
      <c r="B800" s="6"/>
      <c r="C800" s="30"/>
      <c r="D800" s="15"/>
      <c r="F800" s="26"/>
      <c r="G800" s="80"/>
      <c r="H800" s="80"/>
      <c r="I800" s="80"/>
      <c r="J800" s="80"/>
      <c r="K800" s="80"/>
      <c r="O800" s="25"/>
      <c r="P800" s="26"/>
      <c r="AA800" s="26"/>
      <c r="AC800" s="25"/>
    </row>
    <row r="801" spans="1:29" ht="12.75">
      <c r="A801" s="30"/>
      <c r="B801" s="6"/>
      <c r="C801" s="30"/>
      <c r="D801" s="15"/>
      <c r="F801" s="26"/>
      <c r="G801" s="80"/>
      <c r="H801" s="80"/>
      <c r="I801" s="80"/>
      <c r="J801" s="80"/>
      <c r="K801" s="80"/>
      <c r="O801" s="25"/>
      <c r="P801" s="26"/>
      <c r="AA801" s="26"/>
      <c r="AC801" s="25"/>
    </row>
    <row r="802" spans="1:29" ht="12.75">
      <c r="A802" s="30"/>
      <c r="B802" s="6"/>
      <c r="C802" s="30"/>
      <c r="D802" s="15"/>
      <c r="F802" s="26"/>
      <c r="G802" s="80"/>
      <c r="H802" s="80"/>
      <c r="I802" s="80"/>
      <c r="J802" s="80"/>
      <c r="K802" s="80"/>
      <c r="O802" s="25"/>
      <c r="P802" s="26"/>
      <c r="AA802" s="26"/>
      <c r="AC802" s="25"/>
    </row>
    <row r="803" spans="1:29" ht="12.75">
      <c r="A803" s="30"/>
      <c r="B803" s="6"/>
      <c r="C803" s="30"/>
      <c r="D803" s="15"/>
      <c r="F803" s="26"/>
      <c r="G803" s="80"/>
      <c r="H803" s="80"/>
      <c r="I803" s="80"/>
      <c r="J803" s="80"/>
      <c r="K803" s="80"/>
      <c r="O803" s="25"/>
      <c r="P803" s="26"/>
      <c r="AA803" s="26"/>
      <c r="AC803" s="25"/>
    </row>
    <row r="804" spans="1:29" ht="12.75">
      <c r="A804" s="30"/>
      <c r="B804" s="6"/>
      <c r="C804" s="30"/>
      <c r="D804" s="15"/>
      <c r="F804" s="26"/>
      <c r="G804" s="80"/>
      <c r="H804" s="80"/>
      <c r="I804" s="80"/>
      <c r="J804" s="80"/>
      <c r="K804" s="80"/>
      <c r="O804" s="25"/>
      <c r="P804" s="26"/>
      <c r="AA804" s="26"/>
      <c r="AC804" s="25"/>
    </row>
    <row r="805" spans="1:29" ht="12.75">
      <c r="A805" s="30"/>
      <c r="B805" s="6"/>
      <c r="C805" s="30"/>
      <c r="D805" s="15"/>
      <c r="F805" s="26"/>
      <c r="G805" s="80"/>
      <c r="H805" s="80"/>
      <c r="I805" s="80"/>
      <c r="J805" s="80"/>
      <c r="K805" s="80"/>
      <c r="O805" s="25"/>
      <c r="P805" s="26"/>
      <c r="AA805" s="26"/>
      <c r="AC805" s="25"/>
    </row>
    <row r="806" spans="1:29" ht="12.75">
      <c r="A806" s="30"/>
      <c r="B806" s="6"/>
      <c r="C806" s="30"/>
      <c r="D806" s="15"/>
      <c r="F806" s="26"/>
      <c r="G806" s="80"/>
      <c r="H806" s="80"/>
      <c r="I806" s="80"/>
      <c r="J806" s="80"/>
      <c r="K806" s="80"/>
      <c r="O806" s="25"/>
      <c r="P806" s="26"/>
      <c r="AA806" s="26"/>
      <c r="AC806" s="25"/>
    </row>
    <row r="807" spans="1:29" ht="12.75">
      <c r="A807" s="30"/>
      <c r="B807" s="6"/>
      <c r="C807" s="30"/>
      <c r="D807" s="15"/>
      <c r="F807" s="26"/>
      <c r="G807" s="80"/>
      <c r="H807" s="80"/>
      <c r="I807" s="80"/>
      <c r="J807" s="80"/>
      <c r="K807" s="80"/>
      <c r="O807" s="25"/>
      <c r="P807" s="26"/>
      <c r="AA807" s="26"/>
      <c r="AC807" s="25"/>
    </row>
    <row r="808" spans="1:29" ht="12.75">
      <c r="A808" s="30"/>
      <c r="B808" s="6"/>
      <c r="C808" s="30"/>
      <c r="D808" s="15"/>
      <c r="F808" s="26"/>
      <c r="G808" s="80"/>
      <c r="H808" s="80"/>
      <c r="I808" s="80"/>
      <c r="J808" s="80"/>
      <c r="K808" s="80"/>
      <c r="O808" s="25"/>
      <c r="P808" s="26"/>
      <c r="AA808" s="26"/>
      <c r="AC808" s="25"/>
    </row>
    <row r="809" spans="1:29" ht="12.75">
      <c r="A809" s="30"/>
      <c r="B809" s="6"/>
      <c r="C809" s="30"/>
      <c r="D809" s="15"/>
      <c r="F809" s="26"/>
      <c r="G809" s="80"/>
      <c r="H809" s="80"/>
      <c r="I809" s="80"/>
      <c r="J809" s="80"/>
      <c r="K809" s="80"/>
      <c r="O809" s="25"/>
      <c r="P809" s="26"/>
      <c r="AA809" s="26"/>
      <c r="AC809" s="25"/>
    </row>
    <row r="810" spans="1:29" ht="12.75">
      <c r="A810" s="30"/>
      <c r="B810" s="6"/>
      <c r="C810" s="30"/>
      <c r="D810" s="15"/>
      <c r="F810" s="26"/>
      <c r="G810" s="80"/>
      <c r="H810" s="80"/>
      <c r="I810" s="80"/>
      <c r="J810" s="80"/>
      <c r="K810" s="80"/>
      <c r="O810" s="25"/>
      <c r="P810" s="26"/>
      <c r="AA810" s="26"/>
      <c r="AC810" s="25"/>
    </row>
    <row r="811" spans="1:29" ht="12.75">
      <c r="A811" s="30"/>
      <c r="B811" s="6"/>
      <c r="C811" s="30"/>
      <c r="D811" s="15"/>
      <c r="F811" s="26"/>
      <c r="G811" s="80"/>
      <c r="H811" s="80"/>
      <c r="I811" s="80"/>
      <c r="J811" s="80"/>
      <c r="K811" s="80"/>
      <c r="O811" s="25"/>
      <c r="P811" s="26"/>
      <c r="AA811" s="26"/>
      <c r="AC811" s="25"/>
    </row>
    <row r="812" spans="1:29" ht="12.75">
      <c r="A812" s="30"/>
      <c r="B812" s="6"/>
      <c r="C812" s="30"/>
      <c r="D812" s="15"/>
      <c r="F812" s="26"/>
      <c r="G812" s="80"/>
      <c r="H812" s="80"/>
      <c r="I812" s="80"/>
      <c r="J812" s="80"/>
      <c r="K812" s="80"/>
      <c r="O812" s="25"/>
      <c r="P812" s="26"/>
      <c r="AA812" s="26"/>
      <c r="AC812" s="25"/>
    </row>
    <row r="813" spans="1:29" ht="12.75">
      <c r="A813" s="30"/>
      <c r="B813" s="6"/>
      <c r="C813" s="30"/>
      <c r="D813" s="15"/>
      <c r="F813" s="26"/>
      <c r="G813" s="80"/>
      <c r="H813" s="80"/>
      <c r="I813" s="80"/>
      <c r="J813" s="80"/>
      <c r="K813" s="80"/>
      <c r="O813" s="25"/>
      <c r="P813" s="26"/>
      <c r="AA813" s="26"/>
      <c r="AC813" s="25"/>
    </row>
    <row r="814" spans="1:29" ht="12.75">
      <c r="A814" s="30"/>
      <c r="B814" s="6"/>
      <c r="C814" s="30"/>
      <c r="D814" s="15"/>
      <c r="F814" s="26"/>
      <c r="G814" s="80"/>
      <c r="H814" s="80"/>
      <c r="I814" s="80"/>
      <c r="J814" s="80"/>
      <c r="K814" s="80"/>
      <c r="O814" s="25"/>
      <c r="P814" s="26"/>
      <c r="AA814" s="26"/>
      <c r="AC814" s="25"/>
    </row>
    <row r="815" spans="1:29" ht="12.75">
      <c r="A815" s="30"/>
      <c r="B815" s="6"/>
      <c r="C815" s="30"/>
      <c r="D815" s="15"/>
      <c r="F815" s="26"/>
      <c r="G815" s="80"/>
      <c r="H815" s="80"/>
      <c r="I815" s="80"/>
      <c r="J815" s="80"/>
      <c r="K815" s="80"/>
      <c r="O815" s="25"/>
      <c r="P815" s="26"/>
      <c r="AA815" s="26"/>
      <c r="AC815" s="25"/>
    </row>
    <row r="816" spans="1:29" ht="12.75">
      <c r="A816" s="30"/>
      <c r="B816" s="6"/>
      <c r="C816" s="30"/>
      <c r="D816" s="15"/>
      <c r="F816" s="26"/>
      <c r="G816" s="80"/>
      <c r="H816" s="80"/>
      <c r="I816" s="80"/>
      <c r="J816" s="80"/>
      <c r="K816" s="80"/>
      <c r="O816" s="25"/>
      <c r="P816" s="26"/>
      <c r="AA816" s="26"/>
      <c r="AC816" s="25"/>
    </row>
    <row r="817" spans="1:29" ht="12.75">
      <c r="A817" s="30"/>
      <c r="B817" s="6"/>
      <c r="C817" s="30"/>
      <c r="D817" s="15"/>
      <c r="F817" s="26"/>
      <c r="G817" s="80"/>
      <c r="H817" s="80"/>
      <c r="I817" s="80"/>
      <c r="J817" s="80"/>
      <c r="K817" s="80"/>
      <c r="O817" s="25"/>
      <c r="P817" s="26"/>
      <c r="AA817" s="26"/>
      <c r="AC817" s="25"/>
    </row>
    <row r="818" spans="1:29" ht="12.75">
      <c r="A818" s="30"/>
      <c r="B818" s="6"/>
      <c r="C818" s="30"/>
      <c r="D818" s="15"/>
      <c r="F818" s="26"/>
      <c r="G818" s="80"/>
      <c r="H818" s="80"/>
      <c r="I818" s="80"/>
      <c r="J818" s="80"/>
      <c r="K818" s="80"/>
      <c r="O818" s="25"/>
      <c r="P818" s="26"/>
      <c r="AA818" s="26"/>
      <c r="AC818" s="25"/>
    </row>
    <row r="819" spans="1:29" ht="12.75">
      <c r="A819" s="30"/>
      <c r="B819" s="6"/>
      <c r="C819" s="30"/>
      <c r="D819" s="15"/>
      <c r="F819" s="26"/>
      <c r="G819" s="80"/>
      <c r="H819" s="80"/>
      <c r="I819" s="80"/>
      <c r="J819" s="80"/>
      <c r="K819" s="80"/>
      <c r="O819" s="25"/>
      <c r="P819" s="26"/>
      <c r="AA819" s="26"/>
      <c r="AC819" s="25"/>
    </row>
    <row r="820" spans="1:29" ht="12.75">
      <c r="A820" s="30"/>
      <c r="B820" s="6"/>
      <c r="C820" s="30"/>
      <c r="D820" s="15"/>
      <c r="F820" s="26"/>
      <c r="G820" s="80"/>
      <c r="H820" s="80"/>
      <c r="I820" s="80"/>
      <c r="J820" s="80"/>
      <c r="K820" s="80"/>
      <c r="O820" s="25"/>
      <c r="P820" s="26"/>
      <c r="AA820" s="26"/>
      <c r="AC820" s="25"/>
    </row>
    <row r="821" spans="1:29" ht="12.75">
      <c r="A821" s="30"/>
      <c r="B821" s="6"/>
      <c r="C821" s="30"/>
      <c r="D821" s="15"/>
      <c r="F821" s="26"/>
      <c r="G821" s="80"/>
      <c r="H821" s="80"/>
      <c r="I821" s="80"/>
      <c r="J821" s="80"/>
      <c r="K821" s="80"/>
      <c r="O821" s="25"/>
      <c r="P821" s="26"/>
      <c r="AA821" s="26"/>
      <c r="AC821" s="25"/>
    </row>
    <row r="822" spans="1:29" ht="12.75">
      <c r="A822" s="30"/>
      <c r="B822" s="6"/>
      <c r="C822" s="30"/>
      <c r="D822" s="15"/>
      <c r="F822" s="26"/>
      <c r="G822" s="80"/>
      <c r="H822" s="80"/>
      <c r="I822" s="80"/>
      <c r="J822" s="80"/>
      <c r="K822" s="80"/>
      <c r="O822" s="25"/>
      <c r="P822" s="26"/>
      <c r="AA822" s="26"/>
      <c r="AC822" s="25"/>
    </row>
    <row r="823" spans="1:29" ht="12.75">
      <c r="A823" s="30"/>
      <c r="B823" s="6"/>
      <c r="C823" s="30"/>
      <c r="D823" s="15"/>
      <c r="F823" s="26"/>
      <c r="G823" s="80"/>
      <c r="H823" s="80"/>
      <c r="I823" s="80"/>
      <c r="J823" s="80"/>
      <c r="K823" s="80"/>
      <c r="O823" s="25"/>
      <c r="P823" s="26"/>
      <c r="AA823" s="26"/>
      <c r="AC823" s="25"/>
    </row>
    <row r="824" spans="1:29" ht="12.75">
      <c r="A824" s="30"/>
      <c r="B824" s="6"/>
      <c r="C824" s="30"/>
      <c r="D824" s="15"/>
      <c r="F824" s="26"/>
      <c r="G824" s="80"/>
      <c r="H824" s="80"/>
      <c r="I824" s="80"/>
      <c r="J824" s="80"/>
      <c r="K824" s="80"/>
      <c r="O824" s="25"/>
      <c r="P824" s="26"/>
      <c r="AA824" s="26"/>
      <c r="AC824" s="25"/>
    </row>
    <row r="825" spans="1:29" ht="12.75">
      <c r="A825" s="30"/>
      <c r="B825" s="6"/>
      <c r="C825" s="30"/>
      <c r="D825" s="15"/>
      <c r="F825" s="26"/>
      <c r="G825" s="80"/>
      <c r="H825" s="80"/>
      <c r="I825" s="80"/>
      <c r="J825" s="80"/>
      <c r="K825" s="80"/>
      <c r="O825" s="25"/>
      <c r="P825" s="26"/>
      <c r="AA825" s="26"/>
      <c r="AC825" s="25"/>
    </row>
    <row r="826" spans="1:29" ht="12.75">
      <c r="A826" s="30"/>
      <c r="B826" s="6"/>
      <c r="C826" s="30"/>
      <c r="D826" s="15"/>
      <c r="F826" s="26"/>
      <c r="G826" s="80"/>
      <c r="H826" s="80"/>
      <c r="I826" s="80"/>
      <c r="J826" s="80"/>
      <c r="K826" s="80"/>
      <c r="O826" s="25"/>
      <c r="P826" s="26"/>
      <c r="AA826" s="26"/>
      <c r="AC826" s="25"/>
    </row>
    <row r="827" spans="1:29" ht="12.75">
      <c r="A827" s="30"/>
      <c r="B827" s="6"/>
      <c r="C827" s="30"/>
      <c r="D827" s="15"/>
      <c r="F827" s="26"/>
      <c r="G827" s="80"/>
      <c r="H827" s="80"/>
      <c r="I827" s="80"/>
      <c r="J827" s="80"/>
      <c r="K827" s="80"/>
      <c r="O827" s="25"/>
      <c r="P827" s="26"/>
      <c r="AA827" s="26"/>
      <c r="AC827" s="25"/>
    </row>
    <row r="828" spans="1:29" ht="12.75">
      <c r="A828" s="30"/>
      <c r="B828" s="6"/>
      <c r="C828" s="30"/>
      <c r="D828" s="15"/>
      <c r="F828" s="26"/>
      <c r="G828" s="80"/>
      <c r="H828" s="80"/>
      <c r="I828" s="80"/>
      <c r="J828" s="80"/>
      <c r="K828" s="80"/>
      <c r="O828" s="25"/>
      <c r="P828" s="26"/>
      <c r="AA828" s="26"/>
      <c r="AC828" s="25"/>
    </row>
    <row r="829" spans="1:29" ht="12.75">
      <c r="A829" s="30"/>
      <c r="B829" s="6"/>
      <c r="C829" s="30"/>
      <c r="D829" s="15"/>
      <c r="F829" s="26"/>
      <c r="G829" s="80"/>
      <c r="H829" s="80"/>
      <c r="I829" s="80"/>
      <c r="J829" s="80"/>
      <c r="K829" s="80"/>
      <c r="O829" s="25"/>
      <c r="P829" s="26"/>
      <c r="AA829" s="26"/>
      <c r="AC829" s="25"/>
    </row>
    <row r="830" spans="1:29" ht="12.75">
      <c r="A830" s="30"/>
      <c r="B830" s="6"/>
      <c r="C830" s="30"/>
      <c r="D830" s="15"/>
      <c r="F830" s="26"/>
      <c r="G830" s="80"/>
      <c r="H830" s="80"/>
      <c r="I830" s="80"/>
      <c r="J830" s="80"/>
      <c r="K830" s="80"/>
      <c r="O830" s="25"/>
      <c r="P830" s="26"/>
      <c r="AA830" s="26"/>
      <c r="AC830" s="25"/>
    </row>
    <row r="831" spans="1:29" ht="12.75">
      <c r="A831" s="30"/>
      <c r="B831" s="6"/>
      <c r="C831" s="30"/>
      <c r="D831" s="15"/>
      <c r="F831" s="26"/>
      <c r="G831" s="80"/>
      <c r="H831" s="80"/>
      <c r="I831" s="80"/>
      <c r="J831" s="80"/>
      <c r="K831" s="80"/>
      <c r="O831" s="25"/>
      <c r="P831" s="26"/>
      <c r="AA831" s="26"/>
      <c r="AC831" s="25"/>
    </row>
    <row r="832" spans="1:29" ht="12.75">
      <c r="A832" s="30"/>
      <c r="B832" s="6"/>
      <c r="C832" s="30"/>
      <c r="D832" s="15"/>
      <c r="F832" s="26"/>
      <c r="G832" s="80"/>
      <c r="H832" s="80"/>
      <c r="I832" s="80"/>
      <c r="J832" s="80"/>
      <c r="K832" s="80"/>
      <c r="O832" s="25"/>
      <c r="P832" s="26"/>
      <c r="AA832" s="26"/>
      <c r="AC832" s="25"/>
    </row>
    <row r="833" spans="1:29" ht="12.75">
      <c r="A833" s="30"/>
      <c r="B833" s="6"/>
      <c r="C833" s="30"/>
      <c r="D833" s="15"/>
      <c r="F833" s="26"/>
      <c r="G833" s="80"/>
      <c r="H833" s="80"/>
      <c r="I833" s="80"/>
      <c r="J833" s="80"/>
      <c r="K833" s="80"/>
      <c r="O833" s="25"/>
      <c r="P833" s="26"/>
      <c r="AA833" s="26"/>
      <c r="AC833" s="25"/>
    </row>
    <row r="834" spans="1:29" ht="12.75">
      <c r="A834" s="30"/>
      <c r="B834" s="6"/>
      <c r="C834" s="30"/>
      <c r="D834" s="15"/>
      <c r="F834" s="26"/>
      <c r="G834" s="80"/>
      <c r="H834" s="80"/>
      <c r="I834" s="80"/>
      <c r="J834" s="80"/>
      <c r="K834" s="80"/>
      <c r="O834" s="25"/>
      <c r="P834" s="26"/>
      <c r="AA834" s="26"/>
      <c r="AC834" s="25"/>
    </row>
    <row r="835" spans="1:29" ht="12.75">
      <c r="A835" s="30"/>
      <c r="B835" s="6"/>
      <c r="C835" s="30"/>
      <c r="D835" s="15"/>
      <c r="F835" s="26"/>
      <c r="G835" s="80"/>
      <c r="H835" s="80"/>
      <c r="I835" s="80"/>
      <c r="J835" s="80"/>
      <c r="K835" s="80"/>
      <c r="O835" s="25"/>
      <c r="P835" s="26"/>
      <c r="AA835" s="26"/>
      <c r="AC835" s="25"/>
    </row>
    <row r="836" spans="1:29" ht="12.75">
      <c r="A836" s="30"/>
      <c r="B836" s="6"/>
      <c r="C836" s="30"/>
      <c r="D836" s="15"/>
      <c r="F836" s="26"/>
      <c r="G836" s="80"/>
      <c r="H836" s="80"/>
      <c r="I836" s="80"/>
      <c r="J836" s="80"/>
      <c r="K836" s="80"/>
      <c r="O836" s="25"/>
      <c r="P836" s="26"/>
      <c r="AA836" s="26"/>
      <c r="AC836" s="25"/>
    </row>
    <row r="837" spans="1:29" ht="12.75">
      <c r="A837" s="30"/>
      <c r="B837" s="6"/>
      <c r="C837" s="30"/>
      <c r="D837" s="15"/>
      <c r="F837" s="26"/>
      <c r="G837" s="80"/>
      <c r="H837" s="80"/>
      <c r="I837" s="80"/>
      <c r="J837" s="80"/>
      <c r="K837" s="80"/>
      <c r="O837" s="25"/>
      <c r="P837" s="26"/>
      <c r="AA837" s="26"/>
      <c r="AC837" s="25"/>
    </row>
    <row r="838" spans="1:29" ht="12.75">
      <c r="A838" s="30"/>
      <c r="B838" s="6"/>
      <c r="C838" s="30"/>
      <c r="D838" s="15"/>
      <c r="F838" s="26"/>
      <c r="G838" s="80"/>
      <c r="H838" s="80"/>
      <c r="I838" s="80"/>
      <c r="J838" s="80"/>
      <c r="K838" s="80"/>
      <c r="O838" s="25"/>
      <c r="P838" s="26"/>
      <c r="AA838" s="26"/>
      <c r="AC838" s="25"/>
    </row>
    <row r="839" spans="1:29" ht="12.75">
      <c r="A839" s="30"/>
      <c r="B839" s="6"/>
      <c r="C839" s="30"/>
      <c r="D839" s="15"/>
      <c r="F839" s="26"/>
      <c r="G839" s="80"/>
      <c r="H839" s="80"/>
      <c r="I839" s="80"/>
      <c r="J839" s="80"/>
      <c r="K839" s="80"/>
      <c r="O839" s="25"/>
      <c r="P839" s="26"/>
      <c r="AA839" s="26"/>
      <c r="AC839" s="25"/>
    </row>
    <row r="840" spans="1:29" ht="12.75">
      <c r="A840" s="30"/>
      <c r="B840" s="6"/>
      <c r="C840" s="30"/>
      <c r="D840" s="15"/>
      <c r="F840" s="26"/>
      <c r="G840" s="80"/>
      <c r="H840" s="80"/>
      <c r="I840" s="80"/>
      <c r="J840" s="80"/>
      <c r="K840" s="80"/>
      <c r="O840" s="25"/>
      <c r="P840" s="26"/>
      <c r="AA840" s="26"/>
      <c r="AC840" s="25"/>
    </row>
    <row r="841" spans="1:29" ht="12.75">
      <c r="A841" s="30"/>
      <c r="B841" s="6"/>
      <c r="C841" s="30"/>
      <c r="D841" s="15"/>
      <c r="F841" s="26"/>
      <c r="G841" s="80"/>
      <c r="H841" s="80"/>
      <c r="I841" s="80"/>
      <c r="J841" s="80"/>
      <c r="K841" s="80"/>
      <c r="O841" s="25"/>
      <c r="P841" s="26"/>
      <c r="AA841" s="26"/>
      <c r="AC841" s="25"/>
    </row>
    <row r="842" spans="1:29" ht="12.75">
      <c r="A842" s="30"/>
      <c r="B842" s="6"/>
      <c r="C842" s="30"/>
      <c r="D842" s="15"/>
      <c r="F842" s="26"/>
      <c r="G842" s="80"/>
      <c r="H842" s="80"/>
      <c r="I842" s="80"/>
      <c r="J842" s="80"/>
      <c r="K842" s="80"/>
      <c r="O842" s="25"/>
      <c r="P842" s="26"/>
      <c r="AA842" s="26"/>
      <c r="AC842" s="25"/>
    </row>
    <row r="843" spans="1:29" ht="12.75">
      <c r="A843" s="30"/>
      <c r="B843" s="6"/>
      <c r="C843" s="30"/>
      <c r="D843" s="15"/>
      <c r="F843" s="26"/>
      <c r="G843" s="80"/>
      <c r="H843" s="80"/>
      <c r="I843" s="80"/>
      <c r="J843" s="80"/>
      <c r="K843" s="80"/>
      <c r="O843" s="25"/>
      <c r="P843" s="26"/>
      <c r="AA843" s="26"/>
      <c r="AC843" s="25"/>
    </row>
    <row r="844" spans="1:29" ht="12.75">
      <c r="A844" s="30"/>
      <c r="B844" s="6"/>
      <c r="C844" s="30"/>
      <c r="D844" s="15"/>
      <c r="F844" s="26"/>
      <c r="G844" s="80"/>
      <c r="H844" s="80"/>
      <c r="I844" s="80"/>
      <c r="J844" s="80"/>
      <c r="K844" s="80"/>
      <c r="O844" s="25"/>
      <c r="P844" s="26"/>
      <c r="AA844" s="26"/>
      <c r="AC844" s="25"/>
    </row>
    <row r="845" spans="1:29" ht="12.75">
      <c r="A845" s="30"/>
      <c r="B845" s="6"/>
      <c r="C845" s="30"/>
      <c r="D845" s="15"/>
      <c r="F845" s="26"/>
      <c r="G845" s="80"/>
      <c r="H845" s="80"/>
      <c r="I845" s="80"/>
      <c r="J845" s="80"/>
      <c r="K845" s="80"/>
      <c r="O845" s="25"/>
      <c r="P845" s="26"/>
      <c r="AA845" s="26"/>
      <c r="AC845" s="25"/>
    </row>
    <row r="846" spans="1:29" ht="12.75">
      <c r="A846" s="30"/>
      <c r="B846" s="6"/>
      <c r="C846" s="30"/>
      <c r="D846" s="15"/>
      <c r="F846" s="26"/>
      <c r="G846" s="80"/>
      <c r="H846" s="80"/>
      <c r="I846" s="80"/>
      <c r="J846" s="80"/>
      <c r="K846" s="80"/>
      <c r="O846" s="25"/>
      <c r="P846" s="26"/>
      <c r="AA846" s="26"/>
      <c r="AC846" s="25"/>
    </row>
    <row r="847" spans="1:29" ht="12.75">
      <c r="A847" s="30"/>
      <c r="B847" s="6"/>
      <c r="C847" s="30"/>
      <c r="D847" s="15"/>
      <c r="F847" s="26"/>
      <c r="G847" s="80"/>
      <c r="H847" s="80"/>
      <c r="I847" s="80"/>
      <c r="J847" s="80"/>
      <c r="K847" s="80"/>
      <c r="O847" s="25"/>
      <c r="P847" s="26"/>
      <c r="AA847" s="26"/>
      <c r="AC847" s="25"/>
    </row>
    <row r="848" spans="1:29" ht="12.75">
      <c r="A848" s="30"/>
      <c r="B848" s="6"/>
      <c r="C848" s="30"/>
      <c r="D848" s="15"/>
      <c r="F848" s="26"/>
      <c r="G848" s="80"/>
      <c r="H848" s="80"/>
      <c r="I848" s="80"/>
      <c r="J848" s="80"/>
      <c r="K848" s="80"/>
      <c r="O848" s="25"/>
      <c r="P848" s="26"/>
      <c r="AA848" s="26"/>
      <c r="AC848" s="25"/>
    </row>
    <row r="849" spans="1:29" ht="12.75">
      <c r="A849" s="30"/>
      <c r="B849" s="6"/>
      <c r="C849" s="30"/>
      <c r="D849" s="15"/>
      <c r="F849" s="26"/>
      <c r="G849" s="80"/>
      <c r="H849" s="80"/>
      <c r="I849" s="80"/>
      <c r="J849" s="80"/>
      <c r="K849" s="80"/>
      <c r="O849" s="25"/>
      <c r="P849" s="26"/>
      <c r="AA849" s="26"/>
      <c r="AC849" s="25"/>
    </row>
    <row r="850" spans="1:29" ht="12.75">
      <c r="A850" s="30"/>
      <c r="B850" s="6"/>
      <c r="C850" s="30"/>
      <c r="D850" s="15"/>
      <c r="F850" s="26"/>
      <c r="G850" s="80"/>
      <c r="H850" s="80"/>
      <c r="I850" s="80"/>
      <c r="J850" s="80"/>
      <c r="K850" s="80"/>
      <c r="O850" s="25"/>
      <c r="P850" s="26"/>
      <c r="AA850" s="26"/>
      <c r="AC850" s="25"/>
    </row>
    <row r="851" spans="1:29" ht="12.75">
      <c r="A851" s="30"/>
      <c r="B851" s="6"/>
      <c r="C851" s="30"/>
      <c r="D851" s="15"/>
      <c r="F851" s="26"/>
      <c r="G851" s="80"/>
      <c r="H851" s="80"/>
      <c r="I851" s="80"/>
      <c r="J851" s="80"/>
      <c r="K851" s="80"/>
      <c r="O851" s="25"/>
      <c r="P851" s="26"/>
      <c r="AA851" s="26"/>
      <c r="AC851" s="25"/>
    </row>
    <row r="852" spans="1:29" ht="12.75">
      <c r="A852" s="30"/>
      <c r="B852" s="6"/>
      <c r="C852" s="30"/>
      <c r="D852" s="15"/>
      <c r="F852" s="26"/>
      <c r="G852" s="80"/>
      <c r="H852" s="80"/>
      <c r="I852" s="80"/>
      <c r="J852" s="80"/>
      <c r="K852" s="80"/>
      <c r="O852" s="25"/>
      <c r="P852" s="26"/>
      <c r="AA852" s="26"/>
      <c r="AC852" s="25"/>
    </row>
    <row r="853" spans="1:29" ht="12.75">
      <c r="A853" s="30"/>
      <c r="B853" s="6"/>
      <c r="C853" s="30"/>
      <c r="D853" s="15"/>
      <c r="F853" s="26"/>
      <c r="G853" s="80"/>
      <c r="H853" s="80"/>
      <c r="I853" s="80"/>
      <c r="J853" s="80"/>
      <c r="K853" s="80"/>
      <c r="O853" s="25"/>
      <c r="P853" s="26"/>
      <c r="AA853" s="26"/>
      <c r="AC853" s="25"/>
    </row>
    <row r="854" spans="1:29" ht="12.75">
      <c r="A854" s="30"/>
      <c r="B854" s="6"/>
      <c r="C854" s="30"/>
      <c r="D854" s="15"/>
      <c r="F854" s="26"/>
      <c r="G854" s="80"/>
      <c r="H854" s="80"/>
      <c r="I854" s="80"/>
      <c r="J854" s="80"/>
      <c r="K854" s="80"/>
      <c r="O854" s="25"/>
      <c r="P854" s="26"/>
      <c r="AA854" s="26"/>
      <c r="AC854" s="25"/>
    </row>
    <row r="855" spans="1:29" ht="12.75">
      <c r="A855" s="30"/>
      <c r="B855" s="6"/>
      <c r="C855" s="30"/>
      <c r="D855" s="15"/>
      <c r="F855" s="26"/>
      <c r="G855" s="80"/>
      <c r="H855" s="80"/>
      <c r="I855" s="80"/>
      <c r="J855" s="80"/>
      <c r="K855" s="80"/>
      <c r="O855" s="25"/>
      <c r="P855" s="26"/>
      <c r="AA855" s="26"/>
      <c r="AC855" s="25"/>
    </row>
    <row r="856" spans="1:29" ht="12.75">
      <c r="A856" s="30"/>
      <c r="B856" s="6"/>
      <c r="C856" s="30"/>
      <c r="D856" s="15"/>
      <c r="F856" s="26"/>
      <c r="G856" s="80"/>
      <c r="H856" s="80"/>
      <c r="I856" s="80"/>
      <c r="J856" s="80"/>
      <c r="K856" s="80"/>
      <c r="O856" s="25"/>
      <c r="P856" s="26"/>
      <c r="AA856" s="26"/>
      <c r="AC856" s="25"/>
    </row>
    <row r="857" spans="1:29" ht="12.75">
      <c r="A857" s="30"/>
      <c r="B857" s="6"/>
      <c r="C857" s="30"/>
      <c r="D857" s="15"/>
      <c r="F857" s="26"/>
      <c r="G857" s="80"/>
      <c r="H857" s="80"/>
      <c r="I857" s="80"/>
      <c r="J857" s="80"/>
      <c r="K857" s="80"/>
      <c r="O857" s="25"/>
      <c r="P857" s="26"/>
      <c r="AA857" s="26"/>
      <c r="AC857" s="25"/>
    </row>
    <row r="858" spans="1:29" ht="12.75">
      <c r="A858" s="30"/>
      <c r="B858" s="6"/>
      <c r="C858" s="30"/>
      <c r="D858" s="15"/>
      <c r="F858" s="26"/>
      <c r="G858" s="80"/>
      <c r="H858" s="80"/>
      <c r="I858" s="80"/>
      <c r="J858" s="80"/>
      <c r="K858" s="80"/>
      <c r="O858" s="25"/>
      <c r="P858" s="26"/>
      <c r="AA858" s="26"/>
      <c r="AC858" s="25"/>
    </row>
    <row r="859" spans="1:29" ht="12.75">
      <c r="A859" s="30"/>
      <c r="B859" s="6"/>
      <c r="C859" s="30"/>
      <c r="D859" s="15"/>
      <c r="F859" s="26"/>
      <c r="G859" s="80"/>
      <c r="H859" s="80"/>
      <c r="I859" s="80"/>
      <c r="J859" s="80"/>
      <c r="K859" s="80"/>
      <c r="O859" s="25"/>
      <c r="P859" s="26"/>
      <c r="AA859" s="26"/>
      <c r="AC859" s="25"/>
    </row>
    <row r="860" spans="1:29" ht="12.75">
      <c r="A860" s="30"/>
      <c r="B860" s="6"/>
      <c r="C860" s="30"/>
      <c r="D860" s="15"/>
      <c r="F860" s="26"/>
      <c r="G860" s="80"/>
      <c r="H860" s="80"/>
      <c r="I860" s="80"/>
      <c r="J860" s="80"/>
      <c r="K860" s="80"/>
      <c r="O860" s="25"/>
      <c r="P860" s="26"/>
      <c r="AA860" s="26"/>
      <c r="AC860" s="25"/>
    </row>
    <row r="861" spans="1:29" ht="12.75">
      <c r="A861" s="30"/>
      <c r="B861" s="6"/>
      <c r="C861" s="30"/>
      <c r="D861" s="15"/>
      <c r="F861" s="26"/>
      <c r="G861" s="80"/>
      <c r="H861" s="80"/>
      <c r="I861" s="80"/>
      <c r="J861" s="80"/>
      <c r="K861" s="80"/>
      <c r="O861" s="25"/>
      <c r="P861" s="26"/>
      <c r="AA861" s="26"/>
      <c r="AC861" s="25"/>
    </row>
    <row r="862" spans="1:29" ht="12.75">
      <c r="A862" s="30"/>
      <c r="B862" s="6"/>
      <c r="C862" s="30"/>
      <c r="D862" s="15"/>
      <c r="F862" s="26"/>
      <c r="G862" s="80"/>
      <c r="H862" s="80"/>
      <c r="I862" s="80"/>
      <c r="J862" s="80"/>
      <c r="K862" s="80"/>
      <c r="O862" s="25"/>
      <c r="P862" s="26"/>
      <c r="AA862" s="26"/>
      <c r="AC862" s="25"/>
    </row>
    <row r="863" spans="1:29" ht="12.75">
      <c r="A863" s="30"/>
      <c r="B863" s="6"/>
      <c r="C863" s="30"/>
      <c r="D863" s="15"/>
      <c r="F863" s="26"/>
      <c r="G863" s="80"/>
      <c r="H863" s="80"/>
      <c r="I863" s="80"/>
      <c r="J863" s="80"/>
      <c r="K863" s="80"/>
      <c r="O863" s="25"/>
      <c r="P863" s="26"/>
      <c r="AA863" s="26"/>
      <c r="AC863" s="25"/>
    </row>
    <row r="864" spans="1:29" ht="12.75">
      <c r="A864" s="30"/>
      <c r="B864" s="6"/>
      <c r="C864" s="30"/>
      <c r="D864" s="15"/>
      <c r="F864" s="26"/>
      <c r="G864" s="80"/>
      <c r="H864" s="80"/>
      <c r="I864" s="80"/>
      <c r="J864" s="80"/>
      <c r="K864" s="80"/>
      <c r="O864" s="25"/>
      <c r="P864" s="26"/>
      <c r="AA864" s="26"/>
      <c r="AC864" s="25"/>
    </row>
    <row r="865" spans="1:29" ht="12.75">
      <c r="A865" s="30"/>
      <c r="B865" s="6"/>
      <c r="C865" s="30"/>
      <c r="D865" s="15"/>
      <c r="F865" s="26"/>
      <c r="G865" s="80"/>
      <c r="H865" s="80"/>
      <c r="I865" s="80"/>
      <c r="J865" s="80"/>
      <c r="K865" s="80"/>
      <c r="O865" s="25"/>
      <c r="P865" s="26"/>
      <c r="AA865" s="26"/>
      <c r="AC865" s="25"/>
    </row>
    <row r="866" spans="1:29" ht="12.75">
      <c r="A866" s="30"/>
      <c r="B866" s="6"/>
      <c r="C866" s="30"/>
      <c r="D866" s="15"/>
      <c r="F866" s="26"/>
      <c r="G866" s="80"/>
      <c r="H866" s="80"/>
      <c r="I866" s="80"/>
      <c r="J866" s="80"/>
      <c r="K866" s="80"/>
      <c r="O866" s="25"/>
      <c r="P866" s="26"/>
      <c r="AA866" s="26"/>
      <c r="AC866" s="25"/>
    </row>
    <row r="867" spans="1:29" ht="12.75">
      <c r="A867" s="30"/>
      <c r="B867" s="6"/>
      <c r="C867" s="30"/>
      <c r="D867" s="15"/>
      <c r="F867" s="26"/>
      <c r="G867" s="80"/>
      <c r="H867" s="80"/>
      <c r="I867" s="80"/>
      <c r="J867" s="80"/>
      <c r="K867" s="80"/>
      <c r="O867" s="25"/>
      <c r="P867" s="26"/>
      <c r="AA867" s="26"/>
      <c r="AC867" s="25"/>
    </row>
    <row r="868" spans="1:29" ht="12.75">
      <c r="A868" s="30"/>
      <c r="B868" s="6"/>
      <c r="C868" s="30"/>
      <c r="D868" s="15"/>
      <c r="F868" s="26"/>
      <c r="G868" s="80"/>
      <c r="H868" s="80"/>
      <c r="I868" s="80"/>
      <c r="J868" s="80"/>
      <c r="K868" s="80"/>
      <c r="O868" s="25"/>
      <c r="P868" s="26"/>
      <c r="AA868" s="26"/>
      <c r="AC868" s="25"/>
    </row>
    <row r="869" spans="1:29" ht="12.75">
      <c r="A869" s="30"/>
      <c r="B869" s="6"/>
      <c r="C869" s="30"/>
      <c r="D869" s="15"/>
      <c r="F869" s="26"/>
      <c r="G869" s="80"/>
      <c r="H869" s="80"/>
      <c r="I869" s="80"/>
      <c r="J869" s="80"/>
      <c r="K869" s="80"/>
      <c r="O869" s="25"/>
      <c r="P869" s="26"/>
      <c r="AA869" s="26"/>
      <c r="AC869" s="25"/>
    </row>
    <row r="870" spans="1:29" ht="12.75">
      <c r="A870" s="30"/>
      <c r="B870" s="6"/>
      <c r="C870" s="30"/>
      <c r="D870" s="15"/>
      <c r="F870" s="26"/>
      <c r="G870" s="80"/>
      <c r="H870" s="80"/>
      <c r="I870" s="80"/>
      <c r="J870" s="80"/>
      <c r="K870" s="80"/>
      <c r="O870" s="25"/>
      <c r="P870" s="26"/>
      <c r="AA870" s="26"/>
      <c r="AC870" s="25"/>
    </row>
    <row r="871" spans="1:29" ht="12.75">
      <c r="A871" s="30"/>
      <c r="B871" s="6"/>
      <c r="C871" s="30"/>
      <c r="D871" s="15"/>
      <c r="F871" s="26"/>
      <c r="G871" s="80"/>
      <c r="H871" s="80"/>
      <c r="I871" s="80"/>
      <c r="J871" s="80"/>
      <c r="K871" s="80"/>
      <c r="O871" s="25"/>
      <c r="P871" s="26"/>
      <c r="AA871" s="26"/>
      <c r="AC871" s="25"/>
    </row>
    <row r="872" spans="1:29" ht="12.75">
      <c r="A872" s="30"/>
      <c r="B872" s="6"/>
      <c r="C872" s="30"/>
      <c r="D872" s="15"/>
      <c r="F872" s="26"/>
      <c r="G872" s="80"/>
      <c r="H872" s="80"/>
      <c r="I872" s="80"/>
      <c r="J872" s="80"/>
      <c r="K872" s="80"/>
      <c r="O872" s="25"/>
      <c r="P872" s="26"/>
      <c r="AA872" s="26"/>
      <c r="AC872" s="25"/>
    </row>
    <row r="873" spans="1:29" ht="12.75">
      <c r="A873" s="30"/>
      <c r="B873" s="6"/>
      <c r="C873" s="30"/>
      <c r="D873" s="15"/>
      <c r="F873" s="26"/>
      <c r="G873" s="80"/>
      <c r="H873" s="80"/>
      <c r="I873" s="80"/>
      <c r="J873" s="80"/>
      <c r="K873" s="80"/>
      <c r="O873" s="25"/>
      <c r="P873" s="26"/>
      <c r="AA873" s="26"/>
      <c r="AC873" s="25"/>
    </row>
    <row r="874" spans="1:29" ht="12.75">
      <c r="A874" s="30"/>
      <c r="B874" s="6"/>
      <c r="C874" s="30"/>
      <c r="D874" s="15"/>
      <c r="F874" s="26"/>
      <c r="G874" s="80"/>
      <c r="H874" s="80"/>
      <c r="I874" s="80"/>
      <c r="J874" s="80"/>
      <c r="K874" s="80"/>
      <c r="O874" s="25"/>
      <c r="P874" s="26"/>
      <c r="AA874" s="26"/>
      <c r="AC874" s="25"/>
    </row>
    <row r="875" spans="1:29" ht="12.75">
      <c r="A875" s="30"/>
      <c r="B875" s="6"/>
      <c r="C875" s="30"/>
      <c r="D875" s="15"/>
      <c r="F875" s="26"/>
      <c r="G875" s="80"/>
      <c r="H875" s="80"/>
      <c r="I875" s="80"/>
      <c r="J875" s="80"/>
      <c r="K875" s="80"/>
      <c r="O875" s="25"/>
      <c r="P875" s="26"/>
      <c r="AA875" s="26"/>
      <c r="AC875" s="25"/>
    </row>
    <row r="876" spans="1:29" ht="12.75">
      <c r="A876" s="30"/>
      <c r="B876" s="6"/>
      <c r="C876" s="30"/>
      <c r="D876" s="15"/>
      <c r="F876" s="26"/>
      <c r="G876" s="80"/>
      <c r="H876" s="80"/>
      <c r="I876" s="80"/>
      <c r="J876" s="80"/>
      <c r="K876" s="80"/>
      <c r="O876" s="25"/>
      <c r="P876" s="26"/>
      <c r="AA876" s="26"/>
      <c r="AC876" s="25"/>
    </row>
    <row r="877" spans="1:29" ht="12.75">
      <c r="A877" s="30"/>
      <c r="B877" s="6"/>
      <c r="C877" s="30"/>
      <c r="D877" s="15"/>
      <c r="F877" s="26"/>
      <c r="G877" s="80"/>
      <c r="H877" s="80"/>
      <c r="I877" s="80"/>
      <c r="J877" s="80"/>
      <c r="K877" s="80"/>
      <c r="O877" s="25"/>
      <c r="P877" s="26"/>
      <c r="AA877" s="26"/>
      <c r="AC877" s="25"/>
    </row>
    <row r="878" spans="1:29" ht="12.75">
      <c r="A878" s="30"/>
      <c r="B878" s="6"/>
      <c r="C878" s="30"/>
      <c r="D878" s="15"/>
      <c r="F878" s="26"/>
      <c r="G878" s="80"/>
      <c r="H878" s="80"/>
      <c r="I878" s="80"/>
      <c r="J878" s="80"/>
      <c r="K878" s="80"/>
      <c r="O878" s="25"/>
      <c r="P878" s="26"/>
      <c r="AA878" s="26"/>
      <c r="AC878" s="25"/>
    </row>
    <row r="879" spans="1:29" ht="12.75">
      <c r="A879" s="30"/>
      <c r="B879" s="6"/>
      <c r="C879" s="30"/>
      <c r="D879" s="15"/>
      <c r="F879" s="26"/>
      <c r="G879" s="80"/>
      <c r="H879" s="80"/>
      <c r="I879" s="80"/>
      <c r="J879" s="80"/>
      <c r="K879" s="80"/>
      <c r="O879" s="25"/>
      <c r="P879" s="26"/>
      <c r="AA879" s="26"/>
      <c r="AC879" s="25"/>
    </row>
    <row r="880" spans="1:29" ht="12.75">
      <c r="A880" s="30"/>
      <c r="B880" s="6"/>
      <c r="C880" s="30"/>
      <c r="D880" s="15"/>
      <c r="F880" s="26"/>
      <c r="G880" s="80"/>
      <c r="H880" s="80"/>
      <c r="I880" s="80"/>
      <c r="J880" s="80"/>
      <c r="K880" s="80"/>
      <c r="O880" s="25"/>
      <c r="P880" s="26"/>
      <c r="AA880" s="26"/>
      <c r="AC880" s="25"/>
    </row>
    <row r="881" spans="1:29" ht="12.75">
      <c r="A881" s="30"/>
      <c r="B881" s="6"/>
      <c r="C881" s="30"/>
      <c r="D881" s="15"/>
      <c r="F881" s="26"/>
      <c r="G881" s="80"/>
      <c r="H881" s="80"/>
      <c r="I881" s="80"/>
      <c r="J881" s="80"/>
      <c r="K881" s="80"/>
      <c r="O881" s="25"/>
      <c r="P881" s="26"/>
      <c r="AA881" s="26"/>
      <c r="AC881" s="25"/>
    </row>
    <row r="882" spans="1:29" ht="12.75">
      <c r="A882" s="30"/>
      <c r="B882" s="6"/>
      <c r="C882" s="30"/>
      <c r="D882" s="15"/>
      <c r="F882" s="26"/>
      <c r="G882" s="80"/>
      <c r="H882" s="80"/>
      <c r="I882" s="80"/>
      <c r="J882" s="80"/>
      <c r="K882" s="80"/>
      <c r="O882" s="25"/>
      <c r="P882" s="26"/>
      <c r="AA882" s="26"/>
      <c r="AC882" s="25"/>
    </row>
    <row r="883" spans="1:29" ht="12.75">
      <c r="A883" s="30"/>
      <c r="B883" s="6"/>
      <c r="C883" s="30"/>
      <c r="D883" s="15"/>
      <c r="F883" s="26"/>
      <c r="G883" s="80"/>
      <c r="H883" s="80"/>
      <c r="I883" s="80"/>
      <c r="J883" s="80"/>
      <c r="K883" s="80"/>
      <c r="O883" s="25"/>
      <c r="P883" s="26"/>
      <c r="AA883" s="26"/>
      <c r="AC883" s="25"/>
    </row>
    <row r="884" spans="1:29" ht="12.75">
      <c r="A884" s="30"/>
      <c r="B884" s="6"/>
      <c r="C884" s="30"/>
      <c r="D884" s="15"/>
      <c r="F884" s="26"/>
      <c r="G884" s="80"/>
      <c r="H884" s="80"/>
      <c r="I884" s="80"/>
      <c r="J884" s="80"/>
      <c r="K884" s="80"/>
      <c r="O884" s="25"/>
      <c r="P884" s="26"/>
      <c r="AA884" s="26"/>
      <c r="AC884" s="25"/>
    </row>
    <row r="885" spans="1:29" ht="12.75">
      <c r="A885" s="30"/>
      <c r="B885" s="6"/>
      <c r="C885" s="30"/>
      <c r="D885" s="15"/>
      <c r="F885" s="26"/>
      <c r="G885" s="80"/>
      <c r="H885" s="80"/>
      <c r="I885" s="80"/>
      <c r="J885" s="80"/>
      <c r="K885" s="80"/>
      <c r="O885" s="25"/>
      <c r="P885" s="26"/>
      <c r="AA885" s="26"/>
      <c r="AC885" s="25"/>
    </row>
    <row r="886" spans="1:29" ht="12.75">
      <c r="A886" s="30"/>
      <c r="B886" s="6"/>
      <c r="C886" s="30"/>
      <c r="D886" s="15"/>
      <c r="F886" s="26"/>
      <c r="G886" s="80"/>
      <c r="H886" s="80"/>
      <c r="I886" s="80"/>
      <c r="J886" s="80"/>
      <c r="K886" s="80"/>
      <c r="O886" s="25"/>
      <c r="P886" s="26"/>
      <c r="AA886" s="26"/>
      <c r="AC886" s="25"/>
    </row>
    <row r="887" spans="1:29" ht="12.75">
      <c r="A887" s="30"/>
      <c r="B887" s="6"/>
      <c r="C887" s="30"/>
      <c r="D887" s="15"/>
      <c r="F887" s="26"/>
      <c r="G887" s="80"/>
      <c r="H887" s="80"/>
      <c r="I887" s="80"/>
      <c r="J887" s="80"/>
      <c r="K887" s="80"/>
      <c r="O887" s="25"/>
      <c r="P887" s="26"/>
      <c r="AA887" s="26"/>
      <c r="AC887" s="25"/>
    </row>
    <row r="888" spans="1:29" ht="12.75">
      <c r="A888" s="30"/>
      <c r="B888" s="6"/>
      <c r="C888" s="30"/>
      <c r="D888" s="15"/>
      <c r="F888" s="26"/>
      <c r="G888" s="80"/>
      <c r="H888" s="80"/>
      <c r="I888" s="80"/>
      <c r="J888" s="80"/>
      <c r="K888" s="80"/>
      <c r="O888" s="25"/>
      <c r="P888" s="26"/>
      <c r="AA888" s="26"/>
      <c r="AC888" s="25"/>
    </row>
    <row r="889" spans="1:29" ht="12.75">
      <c r="A889" s="30"/>
      <c r="B889" s="6"/>
      <c r="C889" s="30"/>
      <c r="D889" s="15"/>
      <c r="F889" s="26"/>
      <c r="G889" s="80"/>
      <c r="H889" s="80"/>
      <c r="I889" s="80"/>
      <c r="J889" s="80"/>
      <c r="K889" s="80"/>
      <c r="O889" s="25"/>
      <c r="P889" s="26"/>
      <c r="AA889" s="26"/>
      <c r="AC889" s="25"/>
    </row>
    <row r="890" spans="1:29" ht="12.75">
      <c r="A890" s="30"/>
      <c r="B890" s="6"/>
      <c r="C890" s="30"/>
      <c r="D890" s="15"/>
      <c r="F890" s="26"/>
      <c r="G890" s="80"/>
      <c r="H890" s="80"/>
      <c r="I890" s="80"/>
      <c r="J890" s="80"/>
      <c r="K890" s="80"/>
      <c r="O890" s="25"/>
      <c r="P890" s="26"/>
      <c r="AA890" s="26"/>
      <c r="AC890" s="25"/>
    </row>
    <row r="891" spans="1:29" ht="12.75">
      <c r="A891" s="30"/>
      <c r="B891" s="6"/>
      <c r="C891" s="30"/>
      <c r="D891" s="15"/>
      <c r="F891" s="26"/>
      <c r="G891" s="80"/>
      <c r="H891" s="80"/>
      <c r="I891" s="80"/>
      <c r="J891" s="80"/>
      <c r="K891" s="80"/>
      <c r="O891" s="25"/>
      <c r="P891" s="26"/>
      <c r="AA891" s="26"/>
      <c r="AC891" s="25"/>
    </row>
    <row r="892" spans="1:29" ht="12.75">
      <c r="A892" s="30"/>
      <c r="B892" s="6"/>
      <c r="C892" s="30"/>
      <c r="D892" s="15"/>
      <c r="F892" s="26"/>
      <c r="G892" s="80"/>
      <c r="H892" s="80"/>
      <c r="I892" s="80"/>
      <c r="J892" s="80"/>
      <c r="K892" s="80"/>
      <c r="O892" s="25"/>
      <c r="P892" s="26"/>
      <c r="AA892" s="26"/>
      <c r="AC892" s="25"/>
    </row>
    <row r="893" spans="1:29" ht="12.75">
      <c r="A893" s="30"/>
      <c r="B893" s="6"/>
      <c r="C893" s="30"/>
      <c r="D893" s="15"/>
      <c r="F893" s="26"/>
      <c r="G893" s="80"/>
      <c r="H893" s="80"/>
      <c r="I893" s="80"/>
      <c r="J893" s="80"/>
      <c r="K893" s="80"/>
      <c r="O893" s="25"/>
      <c r="P893" s="26"/>
      <c r="AA893" s="26"/>
      <c r="AC893" s="25"/>
    </row>
    <row r="894" spans="1:29" ht="12.75">
      <c r="A894" s="30"/>
      <c r="B894" s="6"/>
      <c r="C894" s="30"/>
      <c r="D894" s="15"/>
      <c r="F894" s="26"/>
      <c r="G894" s="80"/>
      <c r="H894" s="80"/>
      <c r="I894" s="80"/>
      <c r="J894" s="80"/>
      <c r="K894" s="80"/>
      <c r="O894" s="25"/>
      <c r="P894" s="26"/>
      <c r="AA894" s="26"/>
      <c r="AC894" s="25"/>
    </row>
    <row r="895" spans="1:29" ht="12.75">
      <c r="A895" s="30"/>
      <c r="B895" s="6"/>
      <c r="C895" s="30"/>
      <c r="D895" s="15"/>
      <c r="F895" s="26"/>
      <c r="G895" s="80"/>
      <c r="H895" s="80"/>
      <c r="I895" s="80"/>
      <c r="J895" s="80"/>
      <c r="K895" s="80"/>
      <c r="O895" s="25"/>
      <c r="P895" s="26"/>
      <c r="AA895" s="26"/>
      <c r="AC895" s="25"/>
    </row>
    <row r="896" spans="1:29" ht="12.75">
      <c r="A896" s="30"/>
      <c r="B896" s="6"/>
      <c r="C896" s="30"/>
      <c r="D896" s="15"/>
      <c r="F896" s="26"/>
      <c r="G896" s="80"/>
      <c r="H896" s="80"/>
      <c r="I896" s="80"/>
      <c r="J896" s="80"/>
      <c r="K896" s="80"/>
      <c r="O896" s="25"/>
      <c r="P896" s="26"/>
      <c r="AA896" s="26"/>
      <c r="AC896" s="25"/>
    </row>
    <row r="897" spans="1:29" ht="12.75">
      <c r="A897" s="30"/>
      <c r="B897" s="6"/>
      <c r="C897" s="30"/>
      <c r="D897" s="15"/>
      <c r="F897" s="26"/>
      <c r="G897" s="80"/>
      <c r="H897" s="80"/>
      <c r="I897" s="80"/>
      <c r="J897" s="80"/>
      <c r="K897" s="80"/>
      <c r="O897" s="25"/>
      <c r="P897" s="26"/>
      <c r="AA897" s="26"/>
      <c r="AC897" s="25"/>
    </row>
    <row r="898" spans="1:29" ht="12.75">
      <c r="A898" s="30"/>
      <c r="B898" s="6"/>
      <c r="C898" s="30"/>
      <c r="D898" s="15"/>
      <c r="F898" s="26"/>
      <c r="G898" s="80"/>
      <c r="H898" s="80"/>
      <c r="I898" s="80"/>
      <c r="J898" s="80"/>
      <c r="K898" s="80"/>
      <c r="O898" s="25"/>
      <c r="P898" s="26"/>
      <c r="AA898" s="26"/>
      <c r="AC898" s="25"/>
    </row>
    <row r="899" spans="1:29" ht="12.75">
      <c r="A899" s="30"/>
      <c r="B899" s="6"/>
      <c r="C899" s="30"/>
      <c r="D899" s="15"/>
      <c r="F899" s="26"/>
      <c r="G899" s="80"/>
      <c r="H899" s="80"/>
      <c r="I899" s="80"/>
      <c r="J899" s="80"/>
      <c r="K899" s="80"/>
      <c r="O899" s="25"/>
      <c r="P899" s="26"/>
      <c r="AA899" s="26"/>
      <c r="AC899" s="25"/>
    </row>
    <row r="900" spans="1:29" ht="12.75">
      <c r="A900" s="30"/>
      <c r="B900" s="6"/>
      <c r="C900" s="30"/>
      <c r="D900" s="15"/>
      <c r="F900" s="26"/>
      <c r="G900" s="80"/>
      <c r="H900" s="80"/>
      <c r="I900" s="80"/>
      <c r="J900" s="80"/>
      <c r="K900" s="80"/>
      <c r="O900" s="25"/>
      <c r="P900" s="26"/>
      <c r="AA900" s="26"/>
      <c r="AC900" s="25"/>
    </row>
    <row r="901" spans="1:29" ht="12.75">
      <c r="A901" s="30"/>
      <c r="B901" s="6"/>
      <c r="C901" s="30"/>
      <c r="D901" s="15"/>
      <c r="F901" s="26"/>
      <c r="G901" s="80"/>
      <c r="H901" s="80"/>
      <c r="I901" s="80"/>
      <c r="J901" s="80"/>
      <c r="K901" s="80"/>
      <c r="O901" s="25"/>
      <c r="P901" s="26"/>
      <c r="AA901" s="26"/>
      <c r="AC901" s="25"/>
    </row>
    <row r="902" spans="1:29" ht="12.75">
      <c r="A902" s="30"/>
      <c r="B902" s="6"/>
      <c r="C902" s="30"/>
      <c r="D902" s="15"/>
      <c r="F902" s="26"/>
      <c r="G902" s="80"/>
      <c r="H902" s="80"/>
      <c r="I902" s="80"/>
      <c r="J902" s="80"/>
      <c r="K902" s="80"/>
      <c r="O902" s="25"/>
      <c r="P902" s="26"/>
      <c r="AA902" s="26"/>
      <c r="AC902" s="25"/>
    </row>
    <row r="903" spans="1:29" ht="12.75">
      <c r="A903" s="30"/>
      <c r="B903" s="6"/>
      <c r="C903" s="30"/>
      <c r="D903" s="15"/>
      <c r="F903" s="26"/>
      <c r="G903" s="80"/>
      <c r="H903" s="80"/>
      <c r="I903" s="80"/>
      <c r="J903" s="80"/>
      <c r="K903" s="80"/>
      <c r="O903" s="25"/>
      <c r="P903" s="26"/>
      <c r="AA903" s="26"/>
      <c r="AC903" s="25"/>
    </row>
    <row r="904" spans="1:29" ht="12.75">
      <c r="A904" s="30"/>
      <c r="B904" s="6"/>
      <c r="C904" s="30"/>
      <c r="D904" s="15"/>
      <c r="F904" s="26"/>
      <c r="G904" s="80"/>
      <c r="H904" s="80"/>
      <c r="I904" s="80"/>
      <c r="J904" s="80"/>
      <c r="K904" s="80"/>
      <c r="O904" s="25"/>
      <c r="P904" s="26"/>
      <c r="AA904" s="26"/>
      <c r="AC904" s="25"/>
    </row>
    <row r="905" spans="1:29" ht="12.75">
      <c r="A905" s="30"/>
      <c r="B905" s="6"/>
      <c r="C905" s="30"/>
      <c r="D905" s="15"/>
      <c r="F905" s="26"/>
      <c r="G905" s="80"/>
      <c r="H905" s="80"/>
      <c r="I905" s="80"/>
      <c r="J905" s="80"/>
      <c r="K905" s="80"/>
      <c r="O905" s="25"/>
      <c r="P905" s="26"/>
      <c r="AA905" s="26"/>
      <c r="AC905" s="25"/>
    </row>
    <row r="906" spans="1:29" ht="12.75">
      <c r="A906" s="30"/>
      <c r="B906" s="6"/>
      <c r="C906" s="30"/>
      <c r="D906" s="15"/>
      <c r="F906" s="26"/>
      <c r="G906" s="80"/>
      <c r="H906" s="80"/>
      <c r="I906" s="80"/>
      <c r="J906" s="80"/>
      <c r="K906" s="80"/>
      <c r="O906" s="25"/>
      <c r="P906" s="26"/>
      <c r="AA906" s="26"/>
      <c r="AC906" s="25"/>
    </row>
    <row r="907" spans="1:29" ht="12.75">
      <c r="A907" s="30"/>
      <c r="B907" s="6"/>
      <c r="C907" s="30"/>
      <c r="D907" s="15"/>
      <c r="F907" s="26"/>
      <c r="G907" s="80"/>
      <c r="H907" s="80"/>
      <c r="I907" s="80"/>
      <c r="J907" s="80"/>
      <c r="K907" s="80"/>
      <c r="O907" s="25"/>
      <c r="P907" s="26"/>
      <c r="AA907" s="26"/>
      <c r="AC907" s="25"/>
    </row>
    <row r="908" spans="1:29" ht="12.75">
      <c r="A908" s="30"/>
      <c r="B908" s="6"/>
      <c r="C908" s="30"/>
      <c r="D908" s="15"/>
      <c r="F908" s="26"/>
      <c r="G908" s="80"/>
      <c r="H908" s="80"/>
      <c r="I908" s="80"/>
      <c r="J908" s="80"/>
      <c r="K908" s="80"/>
      <c r="O908" s="25"/>
      <c r="P908" s="26"/>
      <c r="AA908" s="26"/>
      <c r="AC908" s="25"/>
    </row>
    <row r="909" spans="1:29" ht="12.75">
      <c r="A909" s="30"/>
      <c r="B909" s="6"/>
      <c r="C909" s="30"/>
      <c r="D909" s="15"/>
      <c r="F909" s="26"/>
      <c r="G909" s="80"/>
      <c r="H909" s="80"/>
      <c r="I909" s="80"/>
      <c r="J909" s="80"/>
      <c r="K909" s="80"/>
      <c r="O909" s="25"/>
      <c r="P909" s="26"/>
      <c r="AA909" s="26"/>
      <c r="AC909" s="25"/>
    </row>
    <row r="910" spans="1:29" ht="12.75">
      <c r="A910" s="30"/>
      <c r="B910" s="6"/>
      <c r="C910" s="30"/>
      <c r="D910" s="15"/>
      <c r="F910" s="26"/>
      <c r="G910" s="80"/>
      <c r="H910" s="80"/>
      <c r="I910" s="80"/>
      <c r="J910" s="80"/>
      <c r="K910" s="80"/>
      <c r="O910" s="25"/>
      <c r="P910" s="26"/>
      <c r="AA910" s="26"/>
      <c r="AC910" s="25"/>
    </row>
    <row r="911" spans="1:29" ht="12.75">
      <c r="A911" s="30"/>
      <c r="B911" s="6"/>
      <c r="C911" s="30"/>
      <c r="D911" s="15"/>
      <c r="F911" s="26"/>
      <c r="G911" s="80"/>
      <c r="H911" s="80"/>
      <c r="I911" s="80"/>
      <c r="J911" s="80"/>
      <c r="K911" s="80"/>
      <c r="O911" s="25"/>
      <c r="P911" s="26"/>
      <c r="AA911" s="26"/>
      <c r="AC911" s="25"/>
    </row>
    <row r="912" spans="1:29" ht="12.75">
      <c r="A912" s="30"/>
      <c r="B912" s="6"/>
      <c r="C912" s="30"/>
      <c r="D912" s="15"/>
      <c r="F912" s="26"/>
      <c r="G912" s="80"/>
      <c r="H912" s="80"/>
      <c r="I912" s="80"/>
      <c r="J912" s="80"/>
      <c r="K912" s="80"/>
      <c r="O912" s="25"/>
      <c r="P912" s="26"/>
      <c r="AA912" s="26"/>
      <c r="AC912" s="25"/>
    </row>
    <row r="913" spans="1:29" ht="12.75">
      <c r="A913" s="30"/>
      <c r="B913" s="6"/>
      <c r="C913" s="30"/>
      <c r="D913" s="15"/>
      <c r="F913" s="26"/>
      <c r="G913" s="80"/>
      <c r="H913" s="80"/>
      <c r="I913" s="80"/>
      <c r="J913" s="80"/>
      <c r="K913" s="80"/>
      <c r="O913" s="25"/>
      <c r="P913" s="26"/>
      <c r="AA913" s="26"/>
      <c r="AC913" s="25"/>
    </row>
    <row r="914" spans="1:29" ht="12.75">
      <c r="A914" s="30"/>
      <c r="B914" s="6"/>
      <c r="C914" s="30"/>
      <c r="D914" s="15"/>
      <c r="F914" s="26"/>
      <c r="G914" s="80"/>
      <c r="H914" s="80"/>
      <c r="I914" s="80"/>
      <c r="J914" s="80"/>
      <c r="K914" s="80"/>
      <c r="O914" s="25"/>
      <c r="P914" s="26"/>
      <c r="AA914" s="26"/>
      <c r="AC914" s="25"/>
    </row>
    <row r="915" spans="1:29" ht="12.75">
      <c r="A915" s="30"/>
      <c r="B915" s="6"/>
      <c r="C915" s="30"/>
      <c r="D915" s="15"/>
      <c r="F915" s="26"/>
      <c r="G915" s="80"/>
      <c r="H915" s="80"/>
      <c r="I915" s="80"/>
      <c r="J915" s="80"/>
      <c r="K915" s="80"/>
      <c r="O915" s="25"/>
      <c r="P915" s="26"/>
      <c r="AA915" s="26"/>
      <c r="AC915" s="25"/>
    </row>
    <row r="916" spans="1:29" ht="12.75">
      <c r="A916" s="30"/>
      <c r="B916" s="6"/>
      <c r="C916" s="30"/>
      <c r="D916" s="15"/>
      <c r="F916" s="26"/>
      <c r="G916" s="80"/>
      <c r="H916" s="80"/>
      <c r="I916" s="80"/>
      <c r="J916" s="80"/>
      <c r="K916" s="80"/>
      <c r="O916" s="25"/>
      <c r="P916" s="26"/>
      <c r="AA916" s="26"/>
      <c r="AC916" s="25"/>
    </row>
    <row r="917" spans="1:29" ht="12.75">
      <c r="A917" s="30"/>
      <c r="B917" s="6"/>
      <c r="C917" s="30"/>
      <c r="D917" s="15"/>
      <c r="F917" s="26"/>
      <c r="G917" s="80"/>
      <c r="H917" s="80"/>
      <c r="I917" s="80"/>
      <c r="J917" s="80"/>
      <c r="K917" s="80"/>
      <c r="O917" s="25"/>
      <c r="P917" s="26"/>
      <c r="AA917" s="26"/>
      <c r="AC917" s="25"/>
    </row>
    <row r="918" spans="1:29" ht="12.75">
      <c r="A918" s="30"/>
      <c r="B918" s="6"/>
      <c r="C918" s="30"/>
      <c r="D918" s="15"/>
      <c r="F918" s="26"/>
      <c r="G918" s="80"/>
      <c r="H918" s="80"/>
      <c r="I918" s="80"/>
      <c r="J918" s="80"/>
      <c r="K918" s="80"/>
      <c r="O918" s="25"/>
      <c r="P918" s="26"/>
      <c r="AA918" s="26"/>
      <c r="AC918" s="25"/>
    </row>
    <row r="919" spans="1:29" ht="12.75">
      <c r="A919" s="30"/>
      <c r="B919" s="6"/>
      <c r="C919" s="30"/>
      <c r="D919" s="15"/>
      <c r="F919" s="26"/>
      <c r="G919" s="80"/>
      <c r="H919" s="80"/>
      <c r="I919" s="80"/>
      <c r="J919" s="80"/>
      <c r="K919" s="80"/>
      <c r="O919" s="25"/>
      <c r="P919" s="26"/>
      <c r="AA919" s="26"/>
      <c r="AC919" s="25"/>
    </row>
    <row r="920" spans="1:29" ht="12.75">
      <c r="A920" s="30"/>
      <c r="B920" s="6"/>
      <c r="C920" s="30"/>
      <c r="D920" s="15"/>
      <c r="F920" s="26"/>
      <c r="G920" s="80"/>
      <c r="H920" s="80"/>
      <c r="I920" s="80"/>
      <c r="J920" s="80"/>
      <c r="K920" s="80"/>
      <c r="O920" s="25"/>
      <c r="P920" s="26"/>
      <c r="AA920" s="26"/>
      <c r="AC920" s="25"/>
    </row>
    <row r="921" spans="1:29" ht="12.75">
      <c r="A921" s="30"/>
      <c r="B921" s="6"/>
      <c r="C921" s="30"/>
      <c r="D921" s="15"/>
      <c r="F921" s="26"/>
      <c r="G921" s="80"/>
      <c r="H921" s="80"/>
      <c r="I921" s="80"/>
      <c r="J921" s="80"/>
      <c r="K921" s="80"/>
      <c r="O921" s="25"/>
      <c r="P921" s="26"/>
      <c r="AA921" s="26"/>
      <c r="AC921" s="25"/>
    </row>
    <row r="922" spans="1:29" ht="12.75">
      <c r="A922" s="30"/>
      <c r="B922" s="6"/>
      <c r="C922" s="30"/>
      <c r="D922" s="15"/>
      <c r="F922" s="26"/>
      <c r="G922" s="80"/>
      <c r="H922" s="80"/>
      <c r="I922" s="80"/>
      <c r="J922" s="80"/>
      <c r="K922" s="80"/>
      <c r="O922" s="25"/>
      <c r="P922" s="26"/>
      <c r="AA922" s="26"/>
      <c r="AC922" s="25"/>
    </row>
    <row r="923" spans="1:29" ht="12.75">
      <c r="A923" s="30"/>
      <c r="B923" s="6"/>
      <c r="C923" s="30"/>
      <c r="D923" s="15"/>
      <c r="F923" s="26"/>
      <c r="G923" s="80"/>
      <c r="H923" s="80"/>
      <c r="I923" s="80"/>
      <c r="J923" s="80"/>
      <c r="K923" s="80"/>
      <c r="O923" s="25"/>
      <c r="P923" s="26"/>
      <c r="AA923" s="26"/>
      <c r="AC923" s="25"/>
    </row>
    <row r="924" spans="1:29" ht="12.75">
      <c r="A924" s="30"/>
      <c r="B924" s="6"/>
      <c r="C924" s="30"/>
      <c r="D924" s="15"/>
      <c r="F924" s="26"/>
      <c r="G924" s="80"/>
      <c r="H924" s="80"/>
      <c r="I924" s="80"/>
      <c r="J924" s="80"/>
      <c r="K924" s="80"/>
      <c r="O924" s="25"/>
      <c r="P924" s="26"/>
      <c r="AA924" s="26"/>
      <c r="AC924" s="25"/>
    </row>
    <row r="925" spans="1:29" ht="12.75">
      <c r="A925" s="30"/>
      <c r="B925" s="6"/>
      <c r="C925" s="30"/>
      <c r="D925" s="15"/>
      <c r="F925" s="26"/>
      <c r="G925" s="80"/>
      <c r="H925" s="80"/>
      <c r="I925" s="80"/>
      <c r="J925" s="80"/>
      <c r="K925" s="80"/>
      <c r="O925" s="25"/>
      <c r="P925" s="26"/>
      <c r="AA925" s="26"/>
      <c r="AC925" s="25"/>
    </row>
    <row r="926" spans="1:29" ht="12.75">
      <c r="A926" s="30"/>
      <c r="B926" s="6"/>
      <c r="C926" s="30"/>
      <c r="D926" s="15"/>
      <c r="F926" s="26"/>
      <c r="G926" s="80"/>
      <c r="H926" s="80"/>
      <c r="I926" s="80"/>
      <c r="J926" s="80"/>
      <c r="K926" s="80"/>
      <c r="O926" s="25"/>
      <c r="P926" s="26"/>
      <c r="AA926" s="26"/>
      <c r="AC926" s="25"/>
    </row>
    <row r="927" spans="1:29" ht="12.75">
      <c r="A927" s="30"/>
      <c r="B927" s="6"/>
      <c r="C927" s="30"/>
      <c r="D927" s="15"/>
      <c r="F927" s="26"/>
      <c r="G927" s="80"/>
      <c r="H927" s="80"/>
      <c r="I927" s="80"/>
      <c r="J927" s="80"/>
      <c r="K927" s="80"/>
      <c r="O927" s="25"/>
      <c r="P927" s="26"/>
      <c r="AA927" s="26"/>
      <c r="AC927" s="25"/>
    </row>
    <row r="928" spans="1:29" ht="12.75">
      <c r="A928" s="30"/>
      <c r="B928" s="6"/>
      <c r="C928" s="30"/>
      <c r="D928" s="15"/>
      <c r="F928" s="26"/>
      <c r="G928" s="80"/>
      <c r="H928" s="80"/>
      <c r="I928" s="80"/>
      <c r="J928" s="80"/>
      <c r="K928" s="80"/>
      <c r="O928" s="25"/>
      <c r="P928" s="26"/>
      <c r="AA928" s="26"/>
      <c r="AC928" s="25"/>
    </row>
    <row r="929" spans="1:29" ht="12.75">
      <c r="A929" s="30"/>
      <c r="B929" s="6"/>
      <c r="C929" s="30"/>
      <c r="D929" s="15"/>
      <c r="F929" s="26"/>
      <c r="G929" s="80"/>
      <c r="H929" s="80"/>
      <c r="I929" s="80"/>
      <c r="J929" s="80"/>
      <c r="K929" s="80"/>
      <c r="O929" s="25"/>
      <c r="P929" s="26"/>
      <c r="AA929" s="26"/>
      <c r="AC929" s="25"/>
    </row>
    <row r="930" spans="1:29" ht="12.75">
      <c r="A930" s="30"/>
      <c r="B930" s="6"/>
      <c r="C930" s="30"/>
      <c r="D930" s="15"/>
      <c r="F930" s="26"/>
      <c r="G930" s="80"/>
      <c r="H930" s="80"/>
      <c r="I930" s="80"/>
      <c r="J930" s="80"/>
      <c r="K930" s="80"/>
      <c r="O930" s="25"/>
      <c r="P930" s="26"/>
      <c r="AA930" s="26"/>
      <c r="AC930" s="25"/>
    </row>
    <row r="931" spans="1:29" ht="12.75">
      <c r="A931" s="30"/>
      <c r="B931" s="6"/>
      <c r="C931" s="30"/>
      <c r="D931" s="15"/>
      <c r="F931" s="26"/>
      <c r="G931" s="80"/>
      <c r="H931" s="80"/>
      <c r="I931" s="80"/>
      <c r="J931" s="80"/>
      <c r="K931" s="80"/>
      <c r="O931" s="25"/>
      <c r="P931" s="26"/>
      <c r="AA931" s="26"/>
      <c r="AC931" s="25"/>
    </row>
    <row r="932" spans="1:29" ht="12.75">
      <c r="A932" s="30"/>
      <c r="B932" s="6"/>
      <c r="C932" s="30"/>
      <c r="D932" s="15"/>
      <c r="F932" s="26"/>
      <c r="G932" s="80"/>
      <c r="H932" s="80"/>
      <c r="I932" s="80"/>
      <c r="J932" s="80"/>
      <c r="K932" s="80"/>
      <c r="O932" s="25"/>
      <c r="P932" s="26"/>
      <c r="AA932" s="26"/>
      <c r="AC932" s="25"/>
    </row>
    <row r="933" spans="1:29" ht="12.75">
      <c r="A933" s="30"/>
      <c r="B933" s="6"/>
      <c r="C933" s="30"/>
      <c r="D933" s="15"/>
      <c r="F933" s="26"/>
      <c r="G933" s="80"/>
      <c r="H933" s="80"/>
      <c r="I933" s="80"/>
      <c r="J933" s="80"/>
      <c r="K933" s="80"/>
      <c r="O933" s="25"/>
      <c r="P933" s="26"/>
      <c r="AA933" s="26"/>
      <c r="AC933" s="25"/>
    </row>
    <row r="934" spans="1:29" ht="12.75">
      <c r="A934" s="30"/>
      <c r="B934" s="6"/>
      <c r="C934" s="30"/>
      <c r="D934" s="15"/>
      <c r="F934" s="26"/>
      <c r="G934" s="80"/>
      <c r="H934" s="80"/>
      <c r="I934" s="80"/>
      <c r="J934" s="80"/>
      <c r="K934" s="80"/>
      <c r="O934" s="25"/>
      <c r="P934" s="26"/>
      <c r="AA934" s="26"/>
      <c r="AC934" s="25"/>
    </row>
    <row r="935" spans="1:29" ht="12.75">
      <c r="A935" s="30"/>
      <c r="B935" s="6"/>
      <c r="C935" s="30"/>
      <c r="D935" s="15"/>
      <c r="F935" s="26"/>
      <c r="G935" s="80"/>
      <c r="H935" s="80"/>
      <c r="I935" s="80"/>
      <c r="J935" s="80"/>
      <c r="K935" s="80"/>
      <c r="O935" s="25"/>
      <c r="P935" s="26"/>
      <c r="AA935" s="26"/>
      <c r="AC935" s="25"/>
    </row>
    <row r="936" spans="1:29" ht="12.75">
      <c r="A936" s="30"/>
      <c r="B936" s="6"/>
      <c r="C936" s="30"/>
      <c r="D936" s="15"/>
      <c r="F936" s="26"/>
      <c r="G936" s="80"/>
      <c r="H936" s="80"/>
      <c r="I936" s="80"/>
      <c r="J936" s="80"/>
      <c r="K936" s="80"/>
      <c r="O936" s="25"/>
      <c r="P936" s="26"/>
      <c r="AA936" s="26"/>
      <c r="AC936" s="25"/>
    </row>
    <row r="937" spans="1:29" ht="12.75">
      <c r="A937" s="30"/>
      <c r="B937" s="6"/>
      <c r="C937" s="30"/>
      <c r="D937" s="15"/>
      <c r="F937" s="26"/>
      <c r="G937" s="80"/>
      <c r="H937" s="80"/>
      <c r="I937" s="80"/>
      <c r="J937" s="80"/>
      <c r="K937" s="80"/>
      <c r="O937" s="25"/>
      <c r="P937" s="26"/>
      <c r="AA937" s="26"/>
      <c r="AC937" s="25"/>
    </row>
    <row r="938" spans="1:29" ht="12.75">
      <c r="A938" s="30"/>
      <c r="B938" s="6"/>
      <c r="C938" s="30"/>
      <c r="D938" s="15"/>
      <c r="F938" s="26"/>
      <c r="G938" s="80"/>
      <c r="H938" s="80"/>
      <c r="I938" s="80"/>
      <c r="J938" s="80"/>
      <c r="K938" s="80"/>
      <c r="O938" s="25"/>
      <c r="P938" s="26"/>
      <c r="AA938" s="26"/>
      <c r="AC938" s="25"/>
    </row>
    <row r="939" spans="1:29" ht="12.75">
      <c r="A939" s="30"/>
      <c r="B939" s="6"/>
      <c r="C939" s="30"/>
      <c r="D939" s="15"/>
      <c r="F939" s="26"/>
      <c r="G939" s="80"/>
      <c r="H939" s="80"/>
      <c r="I939" s="80"/>
      <c r="J939" s="80"/>
      <c r="K939" s="80"/>
      <c r="O939" s="25"/>
      <c r="P939" s="26"/>
      <c r="AA939" s="26"/>
      <c r="AC939" s="25"/>
    </row>
    <row r="940" spans="1:29" ht="12.75">
      <c r="A940" s="30"/>
      <c r="B940" s="6"/>
      <c r="C940" s="30"/>
      <c r="D940" s="15"/>
      <c r="F940" s="26"/>
      <c r="G940" s="80"/>
      <c r="H940" s="80"/>
      <c r="I940" s="80"/>
      <c r="J940" s="80"/>
      <c r="K940" s="80"/>
      <c r="O940" s="25"/>
      <c r="P940" s="26"/>
      <c r="AA940" s="26"/>
      <c r="AC940" s="25"/>
    </row>
    <row r="941" spans="1:29" ht="12.75">
      <c r="A941" s="30"/>
      <c r="B941" s="6"/>
      <c r="C941" s="30"/>
      <c r="D941" s="15"/>
      <c r="F941" s="26"/>
      <c r="G941" s="80"/>
      <c r="H941" s="80"/>
      <c r="I941" s="80"/>
      <c r="J941" s="80"/>
      <c r="K941" s="80"/>
      <c r="O941" s="25"/>
      <c r="P941" s="26"/>
      <c r="AA941" s="26"/>
      <c r="AC941" s="25"/>
    </row>
    <row r="942" spans="1:29" ht="12.75">
      <c r="A942" s="30"/>
      <c r="B942" s="6"/>
      <c r="C942" s="30"/>
      <c r="D942" s="15"/>
      <c r="F942" s="26"/>
      <c r="G942" s="80"/>
      <c r="H942" s="80"/>
      <c r="I942" s="80"/>
      <c r="J942" s="80"/>
      <c r="K942" s="80"/>
      <c r="O942" s="25"/>
      <c r="P942" s="26"/>
      <c r="AA942" s="26"/>
      <c r="AC942" s="25"/>
    </row>
    <row r="943" spans="1:29" ht="12.75">
      <c r="A943" s="30"/>
      <c r="B943" s="6"/>
      <c r="C943" s="30"/>
      <c r="D943" s="15"/>
      <c r="F943" s="26"/>
      <c r="G943" s="80"/>
      <c r="H943" s="80"/>
      <c r="I943" s="80"/>
      <c r="J943" s="80"/>
      <c r="K943" s="80"/>
      <c r="O943" s="25"/>
      <c r="P943" s="26"/>
      <c r="AA943" s="26"/>
      <c r="AC943" s="25"/>
    </row>
    <row r="944" spans="1:29" ht="12.75">
      <c r="A944" s="30"/>
      <c r="B944" s="6"/>
      <c r="C944" s="30"/>
      <c r="D944" s="15"/>
      <c r="F944" s="26"/>
      <c r="G944" s="80"/>
      <c r="H944" s="80"/>
      <c r="I944" s="80"/>
      <c r="J944" s="80"/>
      <c r="K944" s="80"/>
      <c r="O944" s="25"/>
      <c r="P944" s="26"/>
      <c r="AA944" s="26"/>
      <c r="AC944" s="25"/>
    </row>
    <row r="945" spans="1:29" ht="12.75">
      <c r="A945" s="30"/>
      <c r="B945" s="6"/>
      <c r="C945" s="30"/>
      <c r="D945" s="15"/>
      <c r="F945" s="26"/>
      <c r="G945" s="80"/>
      <c r="H945" s="80"/>
      <c r="I945" s="80"/>
      <c r="J945" s="80"/>
      <c r="K945" s="80"/>
      <c r="O945" s="25"/>
      <c r="P945" s="26"/>
      <c r="AA945" s="26"/>
      <c r="AC945" s="25"/>
    </row>
    <row r="946" spans="1:29" ht="12.75">
      <c r="A946" s="30"/>
      <c r="B946" s="6"/>
      <c r="C946" s="30"/>
      <c r="D946" s="15"/>
      <c r="F946" s="26"/>
      <c r="G946" s="80"/>
      <c r="H946" s="80"/>
      <c r="I946" s="80"/>
      <c r="J946" s="80"/>
      <c r="K946" s="80"/>
      <c r="O946" s="25"/>
      <c r="P946" s="26"/>
      <c r="AA946" s="26"/>
      <c r="AC946" s="25"/>
    </row>
    <row r="947" spans="1:29" ht="12.75">
      <c r="A947" s="30"/>
      <c r="B947" s="6"/>
      <c r="C947" s="30"/>
      <c r="D947" s="15"/>
      <c r="F947" s="26"/>
      <c r="G947" s="80"/>
      <c r="H947" s="80"/>
      <c r="I947" s="80"/>
      <c r="J947" s="80"/>
      <c r="K947" s="80"/>
      <c r="O947" s="25"/>
      <c r="P947" s="26"/>
      <c r="AA947" s="26"/>
      <c r="AC947" s="25"/>
    </row>
    <row r="948" spans="1:29" ht="12.75">
      <c r="A948" s="30"/>
      <c r="B948" s="6"/>
      <c r="C948" s="30"/>
      <c r="D948" s="15"/>
      <c r="F948" s="26"/>
      <c r="G948" s="80"/>
      <c r="H948" s="80"/>
      <c r="I948" s="80"/>
      <c r="J948" s="80"/>
      <c r="K948" s="80"/>
      <c r="O948" s="25"/>
      <c r="P948" s="26"/>
      <c r="AA948" s="26"/>
      <c r="AC948" s="25"/>
    </row>
    <row r="949" spans="1:29" ht="12.75">
      <c r="A949" s="30"/>
      <c r="B949" s="6"/>
      <c r="C949" s="30"/>
      <c r="D949" s="15"/>
      <c r="F949" s="26"/>
      <c r="G949" s="80"/>
      <c r="H949" s="80"/>
      <c r="I949" s="80"/>
      <c r="J949" s="80"/>
      <c r="K949" s="80"/>
      <c r="O949" s="25"/>
      <c r="P949" s="26"/>
      <c r="AA949" s="26"/>
      <c r="AC949" s="25"/>
    </row>
    <row r="950" spans="1:29" ht="12.75">
      <c r="A950" s="30"/>
      <c r="B950" s="6"/>
      <c r="C950" s="30"/>
      <c r="D950" s="15"/>
      <c r="F950" s="26"/>
      <c r="G950" s="80"/>
      <c r="H950" s="80"/>
      <c r="I950" s="80"/>
      <c r="J950" s="80"/>
      <c r="K950" s="80"/>
      <c r="O950" s="25"/>
      <c r="P950" s="26"/>
      <c r="AA950" s="26"/>
      <c r="AC950" s="25"/>
    </row>
    <row r="951" spans="1:29" ht="12.75">
      <c r="A951" s="30"/>
      <c r="B951" s="6"/>
      <c r="C951" s="30"/>
      <c r="D951" s="15"/>
      <c r="F951" s="26"/>
      <c r="G951" s="80"/>
      <c r="H951" s="80"/>
      <c r="I951" s="80"/>
      <c r="J951" s="80"/>
      <c r="K951" s="80"/>
      <c r="O951" s="25"/>
      <c r="P951" s="26"/>
      <c r="AA951" s="26"/>
      <c r="AC951" s="25"/>
    </row>
    <row r="952" spans="1:29" ht="12.75">
      <c r="A952" s="30"/>
      <c r="B952" s="6"/>
      <c r="C952" s="30"/>
      <c r="D952" s="15"/>
      <c r="F952" s="26"/>
      <c r="G952" s="80"/>
      <c r="H952" s="80"/>
      <c r="I952" s="80"/>
      <c r="J952" s="80"/>
      <c r="K952" s="80"/>
      <c r="O952" s="25"/>
      <c r="P952" s="26"/>
      <c r="AA952" s="26"/>
      <c r="AC952" s="25"/>
    </row>
    <row r="953" spans="1:29" ht="12.75">
      <c r="A953" s="30"/>
      <c r="B953" s="6"/>
      <c r="C953" s="30"/>
      <c r="D953" s="15"/>
      <c r="F953" s="26"/>
      <c r="G953" s="80"/>
      <c r="H953" s="80"/>
      <c r="I953" s="80"/>
      <c r="J953" s="80"/>
      <c r="K953" s="80"/>
      <c r="O953" s="25"/>
      <c r="P953" s="26"/>
      <c r="AA953" s="26"/>
      <c r="AC953" s="25"/>
    </row>
    <row r="954" spans="1:29" ht="12.75">
      <c r="A954" s="30"/>
      <c r="B954" s="6"/>
      <c r="C954" s="30"/>
      <c r="D954" s="15"/>
      <c r="F954" s="26"/>
      <c r="G954" s="80"/>
      <c r="H954" s="80"/>
      <c r="I954" s="80"/>
      <c r="J954" s="80"/>
      <c r="K954" s="80"/>
      <c r="O954" s="25"/>
      <c r="P954" s="26"/>
      <c r="AA954" s="26"/>
      <c r="AC954" s="25"/>
    </row>
    <row r="955" spans="1:29" ht="12.75">
      <c r="A955" s="30"/>
      <c r="B955" s="6"/>
      <c r="C955" s="30"/>
      <c r="D955" s="15"/>
      <c r="F955" s="26"/>
      <c r="G955" s="80"/>
      <c r="H955" s="80"/>
      <c r="I955" s="80"/>
      <c r="J955" s="80"/>
      <c r="K955" s="80"/>
      <c r="O955" s="25"/>
      <c r="P955" s="26"/>
      <c r="AA955" s="26"/>
      <c r="AC955" s="25"/>
    </row>
    <row r="956" spans="1:29" ht="12.75">
      <c r="A956" s="30"/>
      <c r="B956" s="6"/>
      <c r="C956" s="30"/>
      <c r="D956" s="15"/>
      <c r="F956" s="26"/>
      <c r="G956" s="80"/>
      <c r="H956" s="80"/>
      <c r="I956" s="80"/>
      <c r="J956" s="80"/>
      <c r="K956" s="80"/>
      <c r="O956" s="25"/>
      <c r="P956" s="26"/>
      <c r="AA956" s="26"/>
      <c r="AC956" s="25"/>
    </row>
    <row r="957" spans="1:29" ht="12.75">
      <c r="A957" s="30"/>
      <c r="B957" s="6"/>
      <c r="C957" s="30"/>
      <c r="D957" s="15"/>
      <c r="F957" s="26"/>
      <c r="G957" s="80"/>
      <c r="H957" s="80"/>
      <c r="I957" s="80"/>
      <c r="J957" s="80"/>
      <c r="K957" s="80"/>
      <c r="O957" s="25"/>
      <c r="P957" s="26"/>
      <c r="AA957" s="26"/>
      <c r="AC957" s="25"/>
    </row>
    <row r="958" spans="1:29" ht="12.75">
      <c r="A958" s="30"/>
      <c r="B958" s="6"/>
      <c r="C958" s="30"/>
      <c r="D958" s="15"/>
      <c r="F958" s="26"/>
      <c r="G958" s="80"/>
      <c r="H958" s="80"/>
      <c r="I958" s="80"/>
      <c r="J958" s="80"/>
      <c r="K958" s="80"/>
      <c r="O958" s="25"/>
      <c r="P958" s="26"/>
      <c r="AA958" s="26"/>
      <c r="AC958" s="25"/>
    </row>
    <row r="959" spans="1:29" ht="12.75">
      <c r="A959" s="30"/>
      <c r="B959" s="6"/>
      <c r="C959" s="30"/>
      <c r="D959" s="15"/>
      <c r="F959" s="26"/>
      <c r="G959" s="80"/>
      <c r="H959" s="80"/>
      <c r="I959" s="80"/>
      <c r="J959" s="80"/>
      <c r="K959" s="80"/>
      <c r="O959" s="25"/>
      <c r="P959" s="26"/>
      <c r="AA959" s="26"/>
      <c r="AC959" s="25"/>
    </row>
    <row r="960" spans="1:29" ht="12.75">
      <c r="A960" s="30"/>
      <c r="B960" s="6"/>
      <c r="C960" s="30"/>
      <c r="D960" s="15"/>
      <c r="F960" s="26"/>
      <c r="G960" s="80"/>
      <c r="H960" s="80"/>
      <c r="I960" s="80"/>
      <c r="J960" s="80"/>
      <c r="K960" s="80"/>
      <c r="O960" s="25"/>
      <c r="P960" s="26"/>
      <c r="AA960" s="26"/>
      <c r="AC960" s="25"/>
    </row>
    <row r="961" spans="1:29" ht="12.75">
      <c r="A961" s="30"/>
      <c r="B961" s="6"/>
      <c r="C961" s="30"/>
      <c r="D961" s="15"/>
      <c r="F961" s="26"/>
      <c r="G961" s="80"/>
      <c r="H961" s="80"/>
      <c r="I961" s="80"/>
      <c r="J961" s="80"/>
      <c r="K961" s="80"/>
      <c r="O961" s="25"/>
      <c r="P961" s="26"/>
      <c r="AA961" s="26"/>
      <c r="AC961" s="25"/>
    </row>
    <row r="962" spans="1:29" ht="12.75">
      <c r="A962" s="30"/>
      <c r="B962" s="6"/>
      <c r="C962" s="30"/>
      <c r="D962" s="15"/>
      <c r="F962" s="26"/>
      <c r="G962" s="80"/>
      <c r="H962" s="80"/>
      <c r="I962" s="80"/>
      <c r="J962" s="80"/>
      <c r="K962" s="80"/>
      <c r="O962" s="25"/>
      <c r="P962" s="26"/>
      <c r="AA962" s="26"/>
      <c r="AC962" s="25"/>
    </row>
    <row r="963" spans="1:29" ht="12.75">
      <c r="A963" s="30"/>
      <c r="B963" s="6"/>
      <c r="C963" s="30"/>
      <c r="D963" s="15"/>
      <c r="F963" s="26"/>
      <c r="G963" s="80"/>
      <c r="H963" s="80"/>
      <c r="I963" s="80"/>
      <c r="J963" s="80"/>
      <c r="K963" s="80"/>
      <c r="O963" s="25"/>
      <c r="P963" s="26"/>
      <c r="AA963" s="26"/>
      <c r="AC963" s="25"/>
    </row>
    <row r="964" spans="1:29" ht="12.75">
      <c r="A964" s="30"/>
      <c r="B964" s="6"/>
      <c r="C964" s="30"/>
      <c r="D964" s="15"/>
      <c r="F964" s="26"/>
      <c r="G964" s="80"/>
      <c r="H964" s="80"/>
      <c r="I964" s="80"/>
      <c r="J964" s="80"/>
      <c r="K964" s="80"/>
      <c r="O964" s="25"/>
      <c r="P964" s="26"/>
      <c r="AA964" s="26"/>
      <c r="AC964" s="25"/>
    </row>
    <row r="965" spans="1:29" ht="12.75">
      <c r="A965" s="30"/>
      <c r="B965" s="6"/>
      <c r="C965" s="30"/>
      <c r="D965" s="15"/>
      <c r="F965" s="26"/>
      <c r="G965" s="80"/>
      <c r="H965" s="80"/>
      <c r="I965" s="80"/>
      <c r="J965" s="80"/>
      <c r="K965" s="80"/>
      <c r="O965" s="25"/>
      <c r="P965" s="26"/>
      <c r="AA965" s="26"/>
      <c r="AC965" s="25"/>
    </row>
    <row r="966" spans="1:29" ht="12.75">
      <c r="A966" s="30"/>
      <c r="B966" s="6"/>
      <c r="C966" s="30"/>
      <c r="D966" s="15"/>
      <c r="F966" s="26"/>
      <c r="G966" s="80"/>
      <c r="H966" s="80"/>
      <c r="I966" s="80"/>
      <c r="J966" s="80"/>
      <c r="K966" s="80"/>
      <c r="O966" s="25"/>
      <c r="P966" s="26"/>
      <c r="AA966" s="26"/>
      <c r="AC966" s="25"/>
    </row>
    <row r="967" spans="1:29" ht="12.75">
      <c r="A967" s="30"/>
      <c r="B967" s="6"/>
      <c r="C967" s="30"/>
      <c r="D967" s="15"/>
      <c r="F967" s="26"/>
      <c r="G967" s="80"/>
      <c r="H967" s="80"/>
      <c r="I967" s="80"/>
      <c r="J967" s="80"/>
      <c r="K967" s="80"/>
      <c r="O967" s="25"/>
      <c r="P967" s="26"/>
      <c r="AA967" s="26"/>
      <c r="AC967" s="25"/>
    </row>
    <row r="968" spans="1:29" ht="12.75">
      <c r="A968" s="30"/>
      <c r="B968" s="6"/>
      <c r="C968" s="30"/>
      <c r="D968" s="15"/>
      <c r="F968" s="26"/>
      <c r="G968" s="80"/>
      <c r="H968" s="80"/>
      <c r="I968" s="80"/>
      <c r="J968" s="80"/>
      <c r="K968" s="80"/>
      <c r="O968" s="25"/>
      <c r="P968" s="26"/>
      <c r="AA968" s="26"/>
      <c r="AC968" s="25"/>
    </row>
    <row r="969" spans="1:29" ht="12.75">
      <c r="A969" s="30"/>
      <c r="B969" s="6"/>
      <c r="C969" s="30"/>
      <c r="D969" s="15"/>
      <c r="F969" s="26"/>
      <c r="G969" s="80"/>
      <c r="H969" s="80"/>
      <c r="I969" s="80"/>
      <c r="J969" s="80"/>
      <c r="K969" s="80"/>
      <c r="O969" s="25"/>
      <c r="P969" s="26"/>
      <c r="AA969" s="26"/>
      <c r="AC969" s="25"/>
    </row>
    <row r="970" spans="1:29" ht="12.75">
      <c r="A970" s="30"/>
      <c r="B970" s="6"/>
      <c r="C970" s="30"/>
      <c r="D970" s="15"/>
      <c r="F970" s="26"/>
      <c r="G970" s="80"/>
      <c r="H970" s="80"/>
      <c r="I970" s="80"/>
      <c r="J970" s="80"/>
      <c r="K970" s="80"/>
      <c r="O970" s="25"/>
      <c r="P970" s="26"/>
      <c r="AA970" s="26"/>
      <c r="AC970" s="25"/>
    </row>
    <row r="971" spans="1:29" ht="12.75">
      <c r="A971" s="30"/>
      <c r="B971" s="6"/>
      <c r="C971" s="30"/>
      <c r="D971" s="15"/>
      <c r="F971" s="26"/>
      <c r="G971" s="80"/>
      <c r="H971" s="80"/>
      <c r="I971" s="80"/>
      <c r="J971" s="80"/>
      <c r="K971" s="80"/>
      <c r="O971" s="25"/>
      <c r="P971" s="26"/>
      <c r="AA971" s="26"/>
      <c r="AC971" s="25"/>
    </row>
    <row r="972" spans="1:29" ht="12.75">
      <c r="A972" s="30"/>
      <c r="B972" s="6"/>
      <c r="C972" s="30"/>
      <c r="D972" s="15"/>
      <c r="F972" s="26"/>
      <c r="G972" s="80"/>
      <c r="H972" s="80"/>
      <c r="I972" s="80"/>
      <c r="J972" s="80"/>
      <c r="K972" s="80"/>
      <c r="O972" s="25"/>
      <c r="P972" s="26"/>
      <c r="AA972" s="26"/>
      <c r="AC972" s="25"/>
    </row>
    <row r="973" spans="1:29" ht="12.75">
      <c r="A973" s="30"/>
      <c r="B973" s="6"/>
      <c r="C973" s="30"/>
      <c r="D973" s="15"/>
      <c r="F973" s="26"/>
      <c r="G973" s="80"/>
      <c r="H973" s="80"/>
      <c r="I973" s="80"/>
      <c r="J973" s="80"/>
      <c r="K973" s="80"/>
      <c r="O973" s="25"/>
      <c r="P973" s="26"/>
      <c r="AA973" s="26"/>
      <c r="AC973" s="25"/>
    </row>
    <row r="974" spans="1:29" ht="12.75">
      <c r="A974" s="30"/>
      <c r="B974" s="6"/>
      <c r="C974" s="30"/>
      <c r="D974" s="15"/>
      <c r="F974" s="26"/>
      <c r="G974" s="80"/>
      <c r="H974" s="80"/>
      <c r="I974" s="80"/>
      <c r="J974" s="80"/>
      <c r="K974" s="80"/>
      <c r="O974" s="25"/>
      <c r="P974" s="26"/>
      <c r="AA974" s="26"/>
      <c r="AC974" s="25"/>
    </row>
    <row r="975" spans="1:29" ht="12.75">
      <c r="A975" s="30"/>
      <c r="B975" s="6"/>
      <c r="C975" s="30"/>
      <c r="D975" s="15"/>
      <c r="F975" s="26"/>
      <c r="G975" s="80"/>
      <c r="H975" s="80"/>
      <c r="I975" s="80"/>
      <c r="J975" s="80"/>
      <c r="K975" s="80"/>
      <c r="O975" s="25"/>
      <c r="P975" s="26"/>
      <c r="AA975" s="26"/>
      <c r="AC975" s="25"/>
    </row>
    <row r="976" spans="1:29" ht="12.75">
      <c r="A976" s="30"/>
      <c r="B976" s="6"/>
      <c r="C976" s="30"/>
      <c r="D976" s="15"/>
      <c r="F976" s="26"/>
      <c r="G976" s="80"/>
      <c r="H976" s="80"/>
      <c r="I976" s="80"/>
      <c r="J976" s="80"/>
      <c r="K976" s="80"/>
      <c r="O976" s="25"/>
      <c r="P976" s="26"/>
      <c r="AA976" s="26"/>
      <c r="AC976" s="25"/>
    </row>
    <row r="977" spans="1:29" ht="12.75">
      <c r="A977" s="30"/>
      <c r="B977" s="6"/>
      <c r="C977" s="30"/>
      <c r="D977" s="15"/>
      <c r="F977" s="26"/>
      <c r="G977" s="80"/>
      <c r="H977" s="80"/>
      <c r="I977" s="80"/>
      <c r="J977" s="80"/>
      <c r="K977" s="80"/>
      <c r="O977" s="25"/>
      <c r="P977" s="26"/>
      <c r="AA977" s="26"/>
      <c r="AC977" s="25"/>
    </row>
    <row r="978" spans="1:29" ht="12.75">
      <c r="A978" s="30"/>
      <c r="B978" s="6"/>
      <c r="C978" s="30"/>
      <c r="D978" s="15"/>
      <c r="F978" s="26"/>
      <c r="G978" s="80"/>
      <c r="H978" s="80"/>
      <c r="I978" s="80"/>
      <c r="J978" s="80"/>
      <c r="K978" s="80"/>
      <c r="O978" s="25"/>
      <c r="P978" s="26"/>
      <c r="AA978" s="26"/>
      <c r="AC978" s="25"/>
    </row>
    <row r="979" spans="1:29" ht="12.75">
      <c r="A979" s="30"/>
      <c r="B979" s="6"/>
      <c r="C979" s="30"/>
      <c r="D979" s="15"/>
      <c r="F979" s="26"/>
      <c r="G979" s="80"/>
      <c r="H979" s="80"/>
      <c r="I979" s="80"/>
      <c r="J979" s="80"/>
      <c r="K979" s="80"/>
      <c r="O979" s="25"/>
      <c r="P979" s="26"/>
      <c r="AA979" s="26"/>
      <c r="AC979" s="25"/>
    </row>
    <row r="980" spans="1:29" ht="12.75">
      <c r="A980" s="30"/>
      <c r="B980" s="6"/>
      <c r="C980" s="30"/>
      <c r="D980" s="15"/>
      <c r="F980" s="26"/>
      <c r="G980" s="80"/>
      <c r="H980" s="80"/>
      <c r="I980" s="80"/>
      <c r="J980" s="80"/>
      <c r="K980" s="80"/>
      <c r="O980" s="25"/>
      <c r="P980" s="26"/>
      <c r="AA980" s="26"/>
      <c r="AC980" s="25"/>
    </row>
    <row r="981" spans="1:29" ht="12.75">
      <c r="A981" s="30"/>
      <c r="B981" s="6"/>
      <c r="C981" s="30"/>
      <c r="D981" s="15"/>
      <c r="F981" s="26"/>
      <c r="G981" s="80"/>
      <c r="H981" s="80"/>
      <c r="I981" s="80"/>
      <c r="J981" s="80"/>
      <c r="K981" s="80"/>
      <c r="O981" s="25"/>
      <c r="P981" s="26"/>
      <c r="AA981" s="26"/>
      <c r="AC981" s="25"/>
    </row>
    <row r="982" spans="1:29" ht="12.75">
      <c r="A982" s="30"/>
      <c r="B982" s="6"/>
      <c r="C982" s="30"/>
      <c r="D982" s="15"/>
      <c r="F982" s="26"/>
      <c r="G982" s="80"/>
      <c r="H982" s="80"/>
      <c r="I982" s="80"/>
      <c r="J982" s="80"/>
      <c r="K982" s="80"/>
      <c r="O982" s="25"/>
      <c r="P982" s="26"/>
      <c r="AA982" s="26"/>
      <c r="AC982" s="25"/>
    </row>
    <row r="983" spans="1:29" ht="12.75">
      <c r="A983" s="30"/>
      <c r="B983" s="6"/>
      <c r="C983" s="30"/>
      <c r="D983" s="15"/>
      <c r="F983" s="26"/>
      <c r="G983" s="80"/>
      <c r="H983" s="80"/>
      <c r="I983" s="80"/>
      <c r="J983" s="80"/>
      <c r="K983" s="80"/>
      <c r="O983" s="25"/>
      <c r="P983" s="26"/>
      <c r="AA983" s="26"/>
      <c r="AC983" s="25"/>
    </row>
    <row r="984" spans="1:29" ht="12.75">
      <c r="A984" s="30"/>
      <c r="B984" s="6"/>
      <c r="C984" s="30"/>
      <c r="D984" s="15"/>
      <c r="F984" s="26"/>
      <c r="G984" s="80"/>
      <c r="H984" s="80"/>
      <c r="I984" s="80"/>
      <c r="J984" s="80"/>
      <c r="K984" s="80"/>
      <c r="O984" s="25"/>
      <c r="P984" s="26"/>
      <c r="AA984" s="26"/>
      <c r="AC984" s="25"/>
    </row>
    <row r="985" spans="1:29" ht="12.75">
      <c r="A985" s="30"/>
      <c r="B985" s="6"/>
      <c r="C985" s="30"/>
      <c r="D985" s="15"/>
      <c r="F985" s="26"/>
      <c r="G985" s="80"/>
      <c r="H985" s="80"/>
      <c r="I985" s="80"/>
      <c r="J985" s="80"/>
      <c r="K985" s="80"/>
      <c r="O985" s="25"/>
      <c r="P985" s="26"/>
      <c r="AA985" s="26"/>
      <c r="AC985" s="25"/>
    </row>
    <row r="986" spans="1:29" ht="12.75">
      <c r="A986" s="30"/>
      <c r="B986" s="6"/>
      <c r="C986" s="30"/>
      <c r="D986" s="15"/>
      <c r="F986" s="26"/>
      <c r="G986" s="80"/>
      <c r="H986" s="80"/>
      <c r="I986" s="80"/>
      <c r="J986" s="80"/>
      <c r="K986" s="80"/>
      <c r="O986" s="25"/>
      <c r="P986" s="26"/>
      <c r="AA986" s="26"/>
      <c r="AC986" s="25"/>
    </row>
    <row r="987" spans="1:29" ht="12.75">
      <c r="A987" s="30"/>
      <c r="B987" s="6"/>
      <c r="C987" s="30"/>
      <c r="D987" s="15"/>
      <c r="F987" s="26"/>
      <c r="G987" s="80"/>
      <c r="H987" s="80"/>
      <c r="I987" s="80"/>
      <c r="J987" s="80"/>
      <c r="K987" s="80"/>
      <c r="O987" s="25"/>
      <c r="P987" s="26"/>
      <c r="AA987" s="26"/>
      <c r="AC987" s="25"/>
    </row>
    <row r="988" spans="1:29" ht="12.75">
      <c r="A988" s="30"/>
      <c r="B988" s="6"/>
      <c r="C988" s="30"/>
      <c r="D988" s="15"/>
      <c r="F988" s="26"/>
      <c r="G988" s="80"/>
      <c r="H988" s="80"/>
      <c r="I988" s="80"/>
      <c r="J988" s="80"/>
      <c r="K988" s="80"/>
      <c r="O988" s="25"/>
      <c r="P988" s="26"/>
      <c r="AA988" s="26"/>
      <c r="AC988" s="25"/>
    </row>
    <row r="989" spans="1:29" ht="12.75">
      <c r="A989" s="30"/>
      <c r="B989" s="6"/>
      <c r="C989" s="30"/>
      <c r="D989" s="15"/>
      <c r="F989" s="26"/>
      <c r="G989" s="80"/>
      <c r="H989" s="80"/>
      <c r="I989" s="80"/>
      <c r="J989" s="80"/>
      <c r="K989" s="80"/>
      <c r="O989" s="25"/>
      <c r="P989" s="26"/>
      <c r="AA989" s="26"/>
      <c r="AC989" s="25"/>
    </row>
    <row r="990" spans="1:29" ht="12.75">
      <c r="A990" s="30"/>
      <c r="B990" s="6"/>
      <c r="C990" s="30"/>
      <c r="D990" s="15"/>
      <c r="F990" s="26"/>
      <c r="G990" s="80"/>
      <c r="H990" s="80"/>
      <c r="I990" s="80"/>
      <c r="J990" s="80"/>
      <c r="K990" s="80"/>
      <c r="O990" s="25"/>
      <c r="P990" s="26"/>
      <c r="AA990" s="26"/>
      <c r="AC990" s="25"/>
    </row>
    <row r="991" spans="1:29" ht="12.75">
      <c r="A991" s="30"/>
      <c r="B991" s="6"/>
      <c r="C991" s="30"/>
      <c r="D991" s="15"/>
      <c r="F991" s="26"/>
      <c r="G991" s="80"/>
      <c r="H991" s="80"/>
      <c r="I991" s="80"/>
      <c r="J991" s="80"/>
      <c r="K991" s="80"/>
      <c r="O991" s="25"/>
      <c r="P991" s="26"/>
      <c r="AA991" s="26"/>
      <c r="AC991" s="25"/>
    </row>
    <row r="992" spans="1:29" ht="12.75">
      <c r="A992" s="30"/>
      <c r="B992" s="6"/>
      <c r="C992" s="30"/>
      <c r="D992" s="15"/>
      <c r="F992" s="26"/>
      <c r="G992" s="80"/>
      <c r="H992" s="80"/>
      <c r="I992" s="80"/>
      <c r="J992" s="80"/>
      <c r="K992" s="80"/>
      <c r="O992" s="25"/>
      <c r="P992" s="26"/>
      <c r="AA992" s="26"/>
      <c r="AC992" s="25"/>
    </row>
    <row r="993" spans="1:29" ht="12.75">
      <c r="A993" s="30"/>
      <c r="B993" s="6"/>
      <c r="C993" s="30"/>
      <c r="D993" s="15"/>
      <c r="F993" s="26"/>
      <c r="G993" s="80"/>
      <c r="H993" s="80"/>
      <c r="I993" s="80"/>
      <c r="J993" s="80"/>
      <c r="K993" s="80"/>
      <c r="O993" s="25"/>
      <c r="P993" s="26"/>
      <c r="AA993" s="26"/>
      <c r="AC993" s="25"/>
    </row>
    <row r="994" spans="1:29" ht="12.75">
      <c r="A994" s="30"/>
      <c r="B994" s="6"/>
      <c r="C994" s="30"/>
      <c r="D994" s="15"/>
      <c r="F994" s="26"/>
      <c r="G994" s="80"/>
      <c r="H994" s="80"/>
      <c r="I994" s="80"/>
      <c r="J994" s="80"/>
      <c r="K994" s="80"/>
      <c r="O994" s="25"/>
      <c r="P994" s="26"/>
      <c r="AA994" s="26"/>
      <c r="AC994" s="25"/>
    </row>
    <row r="995" spans="1:29" ht="12.75">
      <c r="A995" s="30"/>
      <c r="B995" s="6"/>
      <c r="C995" s="30"/>
      <c r="D995" s="15"/>
      <c r="F995" s="26"/>
      <c r="G995" s="80"/>
      <c r="H995" s="80"/>
      <c r="I995" s="80"/>
      <c r="J995" s="80"/>
      <c r="K995" s="80"/>
      <c r="O995" s="25"/>
      <c r="P995" s="26"/>
      <c r="AA995" s="26"/>
      <c r="AC995" s="25"/>
    </row>
    <row r="996" spans="1:29" ht="12.75">
      <c r="A996" s="30"/>
      <c r="B996" s="6"/>
      <c r="C996" s="30"/>
      <c r="D996" s="15"/>
      <c r="F996" s="26"/>
      <c r="G996" s="80"/>
      <c r="H996" s="80"/>
      <c r="I996" s="80"/>
      <c r="J996" s="80"/>
      <c r="K996" s="80"/>
      <c r="O996" s="25"/>
      <c r="P996" s="26"/>
      <c r="AA996" s="26"/>
      <c r="AC996" s="25"/>
    </row>
    <row r="997" spans="1:29" ht="12.75">
      <c r="A997" s="30"/>
      <c r="B997" s="6"/>
      <c r="C997" s="30"/>
      <c r="D997" s="15"/>
      <c r="F997" s="26"/>
      <c r="G997" s="80"/>
      <c r="H997" s="80"/>
      <c r="I997" s="80"/>
      <c r="J997" s="80"/>
      <c r="K997" s="80"/>
      <c r="O997" s="25"/>
      <c r="P997" s="26"/>
      <c r="AA997" s="26"/>
      <c r="AC997" s="25"/>
    </row>
    <row r="998" spans="1:29" ht="12.75">
      <c r="A998" s="30"/>
      <c r="B998" s="6"/>
      <c r="C998" s="30"/>
      <c r="D998" s="15"/>
      <c r="F998" s="26"/>
      <c r="G998" s="80"/>
      <c r="H998" s="80"/>
      <c r="I998" s="80"/>
      <c r="J998" s="80"/>
      <c r="K998" s="80"/>
      <c r="O998" s="25"/>
      <c r="P998" s="26"/>
      <c r="AA998" s="26"/>
      <c r="AC998" s="25"/>
    </row>
    <row r="999" spans="1:29" ht="12.75">
      <c r="A999" s="30"/>
      <c r="B999" s="6"/>
      <c r="C999" s="30"/>
      <c r="D999" s="15"/>
      <c r="F999" s="26"/>
      <c r="G999" s="80"/>
      <c r="H999" s="80"/>
      <c r="I999" s="80"/>
      <c r="J999" s="80"/>
      <c r="K999" s="80"/>
      <c r="O999" s="25"/>
      <c r="P999" s="26"/>
      <c r="AA999" s="26"/>
      <c r="AC999" s="25"/>
    </row>
    <row r="1000" spans="1:29" ht="12.75">
      <c r="A1000" s="30"/>
      <c r="B1000" s="6"/>
      <c r="C1000" s="30"/>
      <c r="D1000" s="15"/>
      <c r="F1000" s="26"/>
      <c r="G1000" s="80"/>
      <c r="H1000" s="80"/>
      <c r="I1000" s="80"/>
      <c r="J1000" s="80"/>
      <c r="K1000" s="80"/>
      <c r="O1000" s="25"/>
      <c r="P1000" s="26"/>
      <c r="AA1000" s="26"/>
      <c r="AC1000" s="25"/>
    </row>
  </sheetData>
  <mergeCells count="4">
    <mergeCell ref="A1:C1"/>
    <mergeCell ref="F1:O1"/>
    <mergeCell ref="P1:Z1"/>
    <mergeCell ref="AA1:AC1"/>
  </mergeCells>
  <conditionalFormatting sqref="F3:F1000">
    <cfRule type="colorScale" priority="1">
      <colorScale>
        <cfvo type="formula" val="0"/>
        <cfvo type="percentile" val="50"/>
        <cfvo type="max"/>
        <color rgb="FFE67C73"/>
        <color rgb="FFFFFFFF"/>
        <color rgb="FF57BB8A"/>
      </colorScale>
    </cfRule>
  </conditionalFormatting>
  <conditionalFormatting sqref="G3:G1000">
    <cfRule type="colorScale" priority="2">
      <colorScale>
        <cfvo type="formula" val="0"/>
        <cfvo type="percentile" val="50"/>
        <cfvo type="max"/>
        <color rgb="FFE67C73"/>
        <color rgb="FFFFFFFF"/>
        <color rgb="FF57BB8A"/>
      </colorScale>
    </cfRule>
  </conditionalFormatting>
  <conditionalFormatting sqref="H3:H1000">
    <cfRule type="colorScale" priority="4">
      <colorScale>
        <cfvo type="formula" val="0"/>
        <cfvo type="percentile" val="50"/>
        <cfvo type="max"/>
        <color rgb="FFE67C73"/>
        <color rgb="FFFFFFFF"/>
        <color rgb="FF57BB8A"/>
      </colorScale>
    </cfRule>
  </conditionalFormatting>
  <conditionalFormatting sqref="I3:I1000">
    <cfRule type="colorScale" priority="11">
      <colorScale>
        <cfvo type="formula" val="0"/>
        <cfvo type="percentile" val="50"/>
        <cfvo type="max"/>
        <color rgb="FFE67C73"/>
        <color rgb="FFFFFFFF"/>
        <color rgb="FF57BB8A"/>
      </colorScale>
    </cfRule>
  </conditionalFormatting>
  <conditionalFormatting sqref="J3:J1000">
    <cfRule type="colorScale" priority="12">
      <colorScale>
        <cfvo type="formula" val="0"/>
        <cfvo type="percentile" val="50"/>
        <cfvo type="max"/>
        <color rgb="FFE67C73"/>
        <color rgb="FFFFFFFF"/>
        <color rgb="FF57BB8A"/>
      </colorScale>
    </cfRule>
  </conditionalFormatting>
  <conditionalFormatting sqref="K3:K1000">
    <cfRule type="colorScale" priority="22">
      <colorScale>
        <cfvo type="min"/>
        <cfvo type="percentile" val="50"/>
        <cfvo type="max"/>
        <color rgb="FFE67C73"/>
        <color rgb="FFFFFFFF"/>
        <color rgb="FF57BB8A"/>
      </colorScale>
    </cfRule>
  </conditionalFormatting>
  <conditionalFormatting sqref="L3:L58">
    <cfRule type="colorScale" priority="3">
      <colorScale>
        <cfvo type="formula" val="0"/>
        <cfvo type="formula" val="0.5"/>
        <cfvo type="formula" val="1"/>
        <color rgb="FFE67C73"/>
        <color rgb="FFFFFFFF"/>
        <color rgb="FF57BB8A"/>
      </colorScale>
    </cfRule>
  </conditionalFormatting>
  <conditionalFormatting sqref="M3:M1000">
    <cfRule type="colorScale" priority="13">
      <colorScale>
        <cfvo type="formula" val="0"/>
        <cfvo type="percentile" val="50"/>
        <cfvo type="max"/>
        <color rgb="FFE67C73"/>
        <color rgb="FFFFFFFF"/>
        <color rgb="FF57BB8A"/>
      </colorScale>
    </cfRule>
  </conditionalFormatting>
  <conditionalFormatting sqref="N3:N1000">
    <cfRule type="colorScale" priority="14">
      <colorScale>
        <cfvo type="formula" val="0"/>
        <cfvo type="percentile" val="50"/>
        <cfvo type="max"/>
        <color rgb="FFE67C73"/>
        <color rgb="FFFFFFFF"/>
        <color rgb="FF57BB8A"/>
      </colorScale>
    </cfRule>
  </conditionalFormatting>
  <conditionalFormatting sqref="O3:O1000">
    <cfRule type="colorScale" priority="5">
      <colorScale>
        <cfvo type="formula" val="0"/>
        <cfvo type="formula" val="0.5"/>
        <cfvo type="formula" val="1"/>
        <color rgb="FFE67C73"/>
        <color rgb="FFFFFFFF"/>
        <color rgb="FF57BB8A"/>
      </colorScale>
    </cfRule>
  </conditionalFormatting>
  <conditionalFormatting sqref="P3:P1000">
    <cfRule type="colorScale" priority="6">
      <colorScale>
        <cfvo type="formula" val="0"/>
        <cfvo type="percentile" val="50"/>
        <cfvo type="max"/>
        <color rgb="FFE67C73"/>
        <color rgb="FFFFFFFF"/>
        <color rgb="FF57BB8A"/>
      </colorScale>
    </cfRule>
  </conditionalFormatting>
  <conditionalFormatting sqref="Q3:Q1000">
    <cfRule type="colorScale" priority="8">
      <colorScale>
        <cfvo type="formula" val="0"/>
        <cfvo type="percentile" val="50"/>
        <cfvo type="max"/>
        <color rgb="FFE67C73"/>
        <color rgb="FFFFFFFF"/>
        <color rgb="FF57BB8A"/>
      </colorScale>
    </cfRule>
  </conditionalFormatting>
  <conditionalFormatting sqref="R3:R1000">
    <cfRule type="colorScale" priority="9">
      <colorScale>
        <cfvo type="formula" val="0"/>
        <cfvo type="percentile" val="50"/>
        <cfvo type="max"/>
        <color rgb="FFE67C73"/>
        <color rgb="FFFFFFFF"/>
        <color rgb="FF57BB8A"/>
      </colorScale>
    </cfRule>
  </conditionalFormatting>
  <conditionalFormatting sqref="S3:S1000">
    <cfRule type="colorScale" priority="15">
      <colorScale>
        <cfvo type="formula" val="0"/>
        <cfvo type="percentile" val="50"/>
        <cfvo type="max"/>
        <color rgb="FFE67C73"/>
        <color rgb="FFFFFFFF"/>
        <color rgb="FF57BB8A"/>
      </colorScale>
    </cfRule>
  </conditionalFormatting>
  <conditionalFormatting sqref="T3:T1000">
    <cfRule type="colorScale" priority="21">
      <colorScale>
        <cfvo type="min"/>
        <cfvo type="percentile" val="50"/>
        <cfvo type="max"/>
        <color rgb="FFE67C73"/>
        <color rgb="FFFFFFFF"/>
        <color rgb="FF57BB8A"/>
      </colorScale>
    </cfRule>
  </conditionalFormatting>
  <conditionalFormatting sqref="U3:U58">
    <cfRule type="colorScale" priority="7">
      <colorScale>
        <cfvo type="formula" val="0"/>
        <cfvo type="formula" val="0.5"/>
        <cfvo type="formula" val="1"/>
        <color rgb="FFE67C73"/>
        <color rgb="FFFFFFFF"/>
        <color rgb="FF57BB8A"/>
      </colorScale>
    </cfRule>
  </conditionalFormatting>
  <conditionalFormatting sqref="V3:V1000">
    <cfRule type="colorScale" priority="16">
      <colorScale>
        <cfvo type="formula" val="0"/>
        <cfvo type="percentile" val="50"/>
        <cfvo type="max"/>
        <color rgb="FFE67C73"/>
        <color rgb="FFFFFFFF"/>
        <color rgb="FF57BB8A"/>
      </colorScale>
    </cfRule>
  </conditionalFormatting>
  <conditionalFormatting sqref="W3:W1000">
    <cfRule type="colorScale" priority="17">
      <colorScale>
        <cfvo type="formula" val="0"/>
        <cfvo type="percentile" val="50"/>
        <cfvo type="max"/>
        <color rgb="FFE67C73"/>
        <color rgb="FFFFFFFF"/>
        <color rgb="FF57BB8A"/>
      </colorScale>
    </cfRule>
  </conditionalFormatting>
  <conditionalFormatting sqref="X3:X1000">
    <cfRule type="colorScale" priority="18">
      <colorScale>
        <cfvo type="formula" val="0"/>
        <cfvo type="formula" val="0.5"/>
        <cfvo type="formula" val="1"/>
        <color rgb="FFE67C73"/>
        <color rgb="FFFFFFFF"/>
        <color rgb="FF57BB8A"/>
      </colorScale>
    </cfRule>
  </conditionalFormatting>
  <conditionalFormatting sqref="Y3:Y1000">
    <cfRule type="colorScale" priority="19">
      <colorScale>
        <cfvo type="formula" val="0"/>
        <cfvo type="percentile" val="50"/>
        <cfvo type="max"/>
        <color rgb="FFE67C73"/>
        <color rgb="FFFFFFFF"/>
        <color rgb="FF57BB8A"/>
      </colorScale>
    </cfRule>
  </conditionalFormatting>
  <conditionalFormatting sqref="Z3:Z1000">
    <cfRule type="colorScale" priority="20">
      <colorScale>
        <cfvo type="formula" val="0"/>
        <cfvo type="percentile" val="50"/>
        <cfvo type="max"/>
        <color rgb="FFE67C73"/>
        <color rgb="FFFFFFFF"/>
        <color rgb="FF57BB8A"/>
      </colorScale>
    </cfRule>
  </conditionalFormatting>
  <conditionalFormatting sqref="AB3:AB1000">
    <cfRule type="colorScale" priority="10">
      <colorScale>
        <cfvo type="formula" val="0"/>
        <cfvo type="formula" val="0.5"/>
        <cfvo type="formula" val="1"/>
        <color rgb="FFE67C73"/>
        <color rgb="FFFFFFFF"/>
        <color rgb="FF57BB8A"/>
      </colorScale>
    </cfRule>
  </conditionalFormatting>
  <dataValidations count="1">
    <dataValidation type="list" allowBlank="1" showErrorMessage="1" sqref="A1" xr:uid="{00000000-0002-0000-0400-000000000000}">
      <formula1>"Practice,Qualifications,All"</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T66"/>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5703125" defaultRowHeight="15.75" customHeight="1"/>
  <cols>
    <col min="1" max="3" width="18.85546875" customWidth="1"/>
    <col min="4" max="4" width="21.85546875" customWidth="1"/>
    <col min="5" max="5" width="26.85546875" customWidth="1"/>
    <col min="6" max="6" width="37.5703125" customWidth="1"/>
    <col min="7" max="7" width="18.85546875" customWidth="1"/>
    <col min="8" max="8" width="32" customWidth="1"/>
    <col min="9" max="9" width="19.28515625" customWidth="1"/>
    <col min="10" max="13" width="18.85546875" customWidth="1"/>
    <col min="14" max="14" width="22.42578125" customWidth="1"/>
    <col min="15" max="15" width="22.140625" customWidth="1"/>
    <col min="16" max="16" width="21.42578125" customWidth="1"/>
    <col min="17" max="23" width="18.85546875" customWidth="1"/>
  </cols>
  <sheetData>
    <row r="1" spans="1:20">
      <c r="A1" s="126" t="s">
        <v>121</v>
      </c>
      <c r="B1" s="127" t="s">
        <v>122</v>
      </c>
      <c r="C1" s="127" t="s">
        <v>123</v>
      </c>
      <c r="D1" s="127" t="s">
        <v>124</v>
      </c>
      <c r="E1" s="127" t="s">
        <v>125</v>
      </c>
      <c r="F1" s="127" t="s">
        <v>126</v>
      </c>
      <c r="G1" s="128" t="s">
        <v>127</v>
      </c>
      <c r="H1" s="128" t="s">
        <v>128</v>
      </c>
      <c r="I1" s="127" t="s">
        <v>129</v>
      </c>
      <c r="J1" s="127" t="s">
        <v>130</v>
      </c>
      <c r="K1" s="127" t="s">
        <v>131</v>
      </c>
      <c r="L1" s="127" t="s">
        <v>132</v>
      </c>
      <c r="M1" s="127" t="s">
        <v>133</v>
      </c>
      <c r="N1" s="128" t="s">
        <v>134</v>
      </c>
      <c r="O1" s="128" t="s">
        <v>135</v>
      </c>
      <c r="P1" s="128" t="s">
        <v>136</v>
      </c>
      <c r="Q1" s="127" t="s">
        <v>137</v>
      </c>
      <c r="R1" s="127" t="s">
        <v>104</v>
      </c>
      <c r="S1" s="127" t="s">
        <v>138</v>
      </c>
      <c r="T1" s="129" t="s">
        <v>139</v>
      </c>
    </row>
    <row r="2" spans="1:20">
      <c r="A2" s="130">
        <v>45743.423487048611</v>
      </c>
      <c r="C2" s="131" t="s">
        <v>140</v>
      </c>
      <c r="D2" s="131" t="s">
        <v>141</v>
      </c>
      <c r="E2" s="131" t="s">
        <v>141</v>
      </c>
      <c r="F2" s="131" t="s">
        <v>142</v>
      </c>
      <c r="G2" s="131">
        <v>3</v>
      </c>
      <c r="H2" s="131">
        <v>4</v>
      </c>
      <c r="I2" s="131">
        <v>4</v>
      </c>
      <c r="J2" s="131" t="s">
        <v>143</v>
      </c>
      <c r="K2" s="131" t="s">
        <v>144</v>
      </c>
      <c r="N2" s="131">
        <v>3</v>
      </c>
      <c r="O2" s="131">
        <v>3</v>
      </c>
      <c r="P2" s="131">
        <v>3</v>
      </c>
      <c r="Q2" s="131" t="s">
        <v>145</v>
      </c>
      <c r="R2" s="131">
        <f ca="1">IFERROR(__xludf.DUMMYFUNCTION("VALUE(REGEXEXTRACT(C2,""\d+""))"),2472)</f>
        <v>2472</v>
      </c>
      <c r="S2" s="131">
        <f t="shared" ref="S2:S66" si="0">AVERAGE(H2,N2,O2,P2)</f>
        <v>3.25</v>
      </c>
    </row>
    <row r="3" spans="1:20">
      <c r="A3" s="132">
        <v>45743.429395810184</v>
      </c>
      <c r="C3" s="133" t="s">
        <v>146</v>
      </c>
      <c r="D3" s="133" t="s">
        <v>141</v>
      </c>
      <c r="E3" s="133" t="s">
        <v>141</v>
      </c>
      <c r="G3" s="133">
        <v>2</v>
      </c>
      <c r="H3" s="133">
        <v>4</v>
      </c>
      <c r="I3" s="133">
        <v>4</v>
      </c>
      <c r="J3" s="133" t="s">
        <v>143</v>
      </c>
      <c r="K3" s="133" t="s">
        <v>147</v>
      </c>
      <c r="L3" s="133" t="s">
        <v>148</v>
      </c>
      <c r="N3" s="133">
        <v>3</v>
      </c>
      <c r="P3" s="133">
        <v>4</v>
      </c>
      <c r="Q3" s="133" t="s">
        <v>145</v>
      </c>
      <c r="R3" s="133">
        <f ca="1">IFERROR(__xludf.DUMMYFUNCTION("VALUE(REGEXEXTRACT(C3,""\d+""))"),6909)</f>
        <v>6909</v>
      </c>
      <c r="S3" s="133">
        <f t="shared" si="0"/>
        <v>3.6666666666666665</v>
      </c>
    </row>
    <row r="4" spans="1:20">
      <c r="A4" s="130">
        <v>45743.44234603009</v>
      </c>
      <c r="C4" s="131" t="s">
        <v>149</v>
      </c>
      <c r="D4" s="131" t="s">
        <v>141</v>
      </c>
      <c r="E4" s="131" t="s">
        <v>141</v>
      </c>
      <c r="G4" s="131">
        <v>3</v>
      </c>
      <c r="H4" s="131">
        <v>4</v>
      </c>
      <c r="I4" s="131">
        <v>4</v>
      </c>
      <c r="J4" s="131" t="s">
        <v>143</v>
      </c>
      <c r="K4" s="131" t="s">
        <v>150</v>
      </c>
      <c r="L4" s="131" t="s">
        <v>151</v>
      </c>
      <c r="N4" s="131">
        <v>4</v>
      </c>
      <c r="O4" s="131">
        <v>4</v>
      </c>
      <c r="P4" s="131">
        <v>4</v>
      </c>
      <c r="Q4" s="131" t="s">
        <v>145</v>
      </c>
      <c r="R4" s="131">
        <f ca="1">IFERROR(__xludf.DUMMYFUNCTION("VALUE(REGEXEXTRACT(C4,""\d+""))"),2227)</f>
        <v>2227</v>
      </c>
      <c r="S4" s="131">
        <f t="shared" si="0"/>
        <v>4</v>
      </c>
    </row>
    <row r="5" spans="1:20">
      <c r="A5" s="132">
        <v>45743.449456631948</v>
      </c>
      <c r="C5" s="133" t="s">
        <v>152</v>
      </c>
      <c r="D5" s="133" t="s">
        <v>153</v>
      </c>
      <c r="E5" s="133" t="s">
        <v>153</v>
      </c>
      <c r="F5" s="133" t="s">
        <v>154</v>
      </c>
      <c r="G5" s="133">
        <v>3</v>
      </c>
      <c r="H5" s="133">
        <v>4</v>
      </c>
      <c r="I5" s="133">
        <v>3</v>
      </c>
      <c r="J5" s="133" t="s">
        <v>143</v>
      </c>
      <c r="K5" s="133" t="s">
        <v>155</v>
      </c>
      <c r="M5" s="133" t="s">
        <v>156</v>
      </c>
      <c r="N5" s="133">
        <v>4</v>
      </c>
      <c r="O5" s="133">
        <v>4</v>
      </c>
      <c r="P5" s="133">
        <v>4</v>
      </c>
      <c r="Q5" s="133" t="s">
        <v>145</v>
      </c>
      <c r="R5" s="133">
        <f ca="1">IFERROR(__xludf.DUMMYFUNCTION("VALUE(REGEXEXTRACT(C5,""\d+""))"),2181)</f>
        <v>2181</v>
      </c>
      <c r="S5" s="133">
        <f t="shared" si="0"/>
        <v>4</v>
      </c>
    </row>
    <row r="6" spans="1:20">
      <c r="A6" s="130">
        <v>45743.510819386574</v>
      </c>
      <c r="C6" s="131" t="s">
        <v>157</v>
      </c>
      <c r="D6" s="131" t="s">
        <v>141</v>
      </c>
      <c r="E6" s="131" t="s">
        <v>141</v>
      </c>
      <c r="F6" s="131" t="s">
        <v>158</v>
      </c>
      <c r="G6" s="131">
        <v>3</v>
      </c>
      <c r="H6" s="131">
        <v>4</v>
      </c>
      <c r="I6" s="131">
        <v>4</v>
      </c>
      <c r="J6" s="131" t="s">
        <v>143</v>
      </c>
      <c r="K6" s="131" t="s">
        <v>159</v>
      </c>
      <c r="L6" s="131" t="s">
        <v>160</v>
      </c>
      <c r="M6" s="131" t="s">
        <v>161</v>
      </c>
      <c r="N6" s="131">
        <v>4</v>
      </c>
      <c r="P6" s="131">
        <v>3</v>
      </c>
      <c r="Q6" s="131" t="s">
        <v>145</v>
      </c>
      <c r="R6" s="131">
        <f ca="1">IFERROR(__xludf.DUMMYFUNCTION("VALUE(REGEXEXTRACT(C6,""\d+""))"),2450)</f>
        <v>2450</v>
      </c>
      <c r="S6" s="131">
        <f t="shared" si="0"/>
        <v>3.6666666666666665</v>
      </c>
    </row>
    <row r="7" spans="1:20">
      <c r="A7" s="132">
        <v>45743.523570231482</v>
      </c>
      <c r="C7" s="133" t="s">
        <v>162</v>
      </c>
      <c r="D7" s="133" t="s">
        <v>141</v>
      </c>
      <c r="E7" s="133" t="s">
        <v>141</v>
      </c>
      <c r="F7" s="133" t="s">
        <v>163</v>
      </c>
      <c r="G7" s="133">
        <v>4</v>
      </c>
      <c r="H7" s="133">
        <v>4</v>
      </c>
      <c r="I7" s="133">
        <v>4</v>
      </c>
      <c r="J7" s="133" t="s">
        <v>143</v>
      </c>
      <c r="L7" s="133" t="s">
        <v>164</v>
      </c>
      <c r="N7" s="133">
        <v>4</v>
      </c>
      <c r="P7" s="133">
        <v>3</v>
      </c>
      <c r="Q7" s="133" t="s">
        <v>145</v>
      </c>
      <c r="R7" s="133">
        <f ca="1">IFERROR(__xludf.DUMMYFUNCTION("VALUE(REGEXEXTRACT(C7,""\d+""))"),3018)</f>
        <v>3018</v>
      </c>
      <c r="S7" s="133">
        <f t="shared" si="0"/>
        <v>3.6666666666666665</v>
      </c>
    </row>
    <row r="8" spans="1:20">
      <c r="A8" s="130">
        <v>45743.532764189818</v>
      </c>
      <c r="C8" s="131" t="s">
        <v>165</v>
      </c>
      <c r="D8" s="131" t="s">
        <v>141</v>
      </c>
      <c r="E8" s="131" t="s">
        <v>141</v>
      </c>
      <c r="G8" s="131">
        <v>2</v>
      </c>
      <c r="H8" s="131">
        <v>2</v>
      </c>
      <c r="I8" s="131">
        <v>3</v>
      </c>
      <c r="J8" s="131" t="s">
        <v>143</v>
      </c>
      <c r="K8" s="131" t="s">
        <v>166</v>
      </c>
      <c r="L8" s="131" t="s">
        <v>167</v>
      </c>
      <c r="M8" s="131" t="s">
        <v>168</v>
      </c>
      <c r="N8" s="131">
        <v>2</v>
      </c>
      <c r="O8" s="131">
        <v>3</v>
      </c>
      <c r="P8" s="131">
        <v>2</v>
      </c>
      <c r="Q8" s="131" t="s">
        <v>145</v>
      </c>
      <c r="R8" s="131">
        <f ca="1">IFERROR(__xludf.DUMMYFUNCTION("VALUE(REGEXEXTRACT(C8,""\d+""))"),2207)</f>
        <v>2207</v>
      </c>
      <c r="S8" s="131">
        <f t="shared" si="0"/>
        <v>2.25</v>
      </c>
    </row>
    <row r="9" spans="1:20">
      <c r="A9" s="132">
        <v>45743.539058622686</v>
      </c>
      <c r="C9" s="133" t="s">
        <v>169</v>
      </c>
      <c r="D9" s="133" t="s">
        <v>141</v>
      </c>
      <c r="E9" s="133" t="s">
        <v>141</v>
      </c>
      <c r="G9" s="133">
        <v>3</v>
      </c>
      <c r="H9" s="133">
        <v>3</v>
      </c>
      <c r="I9" s="133">
        <v>4</v>
      </c>
      <c r="J9" s="133" t="s">
        <v>143</v>
      </c>
      <c r="K9" s="133" t="s">
        <v>144</v>
      </c>
      <c r="M9" s="133" t="s">
        <v>170</v>
      </c>
      <c r="N9" s="133">
        <v>3</v>
      </c>
      <c r="O9" s="133">
        <v>3</v>
      </c>
      <c r="P9" s="133">
        <v>3</v>
      </c>
      <c r="Q9" s="133" t="s">
        <v>145</v>
      </c>
      <c r="R9" s="133">
        <f ca="1">IFERROR(__xludf.DUMMYFUNCTION("VALUE(REGEXEXTRACT(C9,""\d+""))"),3454)</f>
        <v>3454</v>
      </c>
      <c r="S9" s="133">
        <f t="shared" si="0"/>
        <v>3</v>
      </c>
    </row>
    <row r="10" spans="1:20">
      <c r="A10" s="130">
        <v>45743.557871249999</v>
      </c>
      <c r="C10" s="131" t="s">
        <v>171</v>
      </c>
      <c r="D10" s="131" t="s">
        <v>141</v>
      </c>
      <c r="E10" s="131" t="s">
        <v>153</v>
      </c>
      <c r="F10" s="131" t="s">
        <v>172</v>
      </c>
      <c r="G10" s="131">
        <v>3</v>
      </c>
      <c r="H10" s="131">
        <v>4</v>
      </c>
      <c r="I10" s="131">
        <v>3</v>
      </c>
      <c r="J10" s="131" t="s">
        <v>143</v>
      </c>
      <c r="K10" s="131" t="s">
        <v>173</v>
      </c>
      <c r="M10" s="131" t="s">
        <v>174</v>
      </c>
      <c r="N10" s="131">
        <v>3</v>
      </c>
      <c r="O10" s="131">
        <v>3</v>
      </c>
      <c r="P10" s="131">
        <v>4</v>
      </c>
      <c r="Q10" s="131" t="s">
        <v>145</v>
      </c>
      <c r="R10" s="131">
        <f ca="1">IFERROR(__xludf.DUMMYFUNCTION("VALUE(REGEXEXTRACT(C10,""\d+""))"),3297)</f>
        <v>3297</v>
      </c>
      <c r="S10" s="131">
        <f t="shared" si="0"/>
        <v>3.5</v>
      </c>
    </row>
    <row r="11" spans="1:20">
      <c r="A11" s="132">
        <v>45743.585970486107</v>
      </c>
      <c r="C11" s="133" t="s">
        <v>175</v>
      </c>
      <c r="D11" s="133" t="s">
        <v>141</v>
      </c>
      <c r="E11" s="133" t="s">
        <v>141</v>
      </c>
      <c r="G11" s="133">
        <v>4</v>
      </c>
      <c r="H11" s="133">
        <v>3</v>
      </c>
      <c r="I11" s="133">
        <v>4</v>
      </c>
      <c r="J11" s="133" t="s">
        <v>143</v>
      </c>
      <c r="K11" s="133" t="s">
        <v>176</v>
      </c>
      <c r="L11" s="133" t="s">
        <v>177</v>
      </c>
      <c r="M11" s="133" t="s">
        <v>168</v>
      </c>
      <c r="N11" s="133">
        <v>3</v>
      </c>
      <c r="P11" s="133">
        <v>3</v>
      </c>
      <c r="Q11" s="133" t="s">
        <v>145</v>
      </c>
      <c r="R11" s="133">
        <f ca="1">IFERROR(__xludf.DUMMYFUNCTION("VALUE(REGEXEXTRACT(C11,""\d+""))"),2846)</f>
        <v>2846</v>
      </c>
      <c r="S11" s="133">
        <f t="shared" si="0"/>
        <v>3</v>
      </c>
    </row>
    <row r="12" spans="1:20">
      <c r="A12" s="130">
        <v>45743.601081944449</v>
      </c>
      <c r="C12" s="131" t="s">
        <v>178</v>
      </c>
      <c r="D12" s="131" t="s">
        <v>141</v>
      </c>
      <c r="E12" s="131" t="s">
        <v>141</v>
      </c>
      <c r="G12" s="131">
        <v>3</v>
      </c>
      <c r="H12" s="131">
        <v>4</v>
      </c>
      <c r="I12" s="131">
        <v>4</v>
      </c>
      <c r="J12" s="131" t="s">
        <v>143</v>
      </c>
      <c r="K12" s="131" t="s">
        <v>179</v>
      </c>
      <c r="M12" s="131" t="s">
        <v>174</v>
      </c>
      <c r="N12" s="131">
        <v>3</v>
      </c>
      <c r="Q12" s="131" t="s">
        <v>145</v>
      </c>
      <c r="R12" s="131">
        <f ca="1">IFERROR(__xludf.DUMMYFUNCTION("VALUE(REGEXEXTRACT(C12,""\d+""))"),3082)</f>
        <v>3082</v>
      </c>
      <c r="S12" s="131">
        <f t="shared" si="0"/>
        <v>3.5</v>
      </c>
    </row>
    <row r="13" spans="1:20">
      <c r="A13" s="132">
        <v>45743.634044456019</v>
      </c>
      <c r="C13" s="133" t="s">
        <v>180</v>
      </c>
      <c r="D13" s="133" t="s">
        <v>141</v>
      </c>
      <c r="E13" s="133" t="s">
        <v>141</v>
      </c>
      <c r="G13" s="133">
        <v>3</v>
      </c>
      <c r="H13" s="133">
        <v>3</v>
      </c>
      <c r="I13" s="133">
        <v>4</v>
      </c>
      <c r="J13" s="133" t="s">
        <v>143</v>
      </c>
      <c r="L13" s="133" t="s">
        <v>181</v>
      </c>
      <c r="M13" s="133" t="s">
        <v>182</v>
      </c>
      <c r="N13" s="133">
        <v>3</v>
      </c>
      <c r="Q13" s="133" t="s">
        <v>145</v>
      </c>
      <c r="R13" s="133">
        <f ca="1">IFERROR(__xludf.DUMMYFUNCTION("VALUE(REGEXEXTRACT(C13,""\d+""))"),5271)</f>
        <v>5271</v>
      </c>
      <c r="S13" s="133">
        <f t="shared" si="0"/>
        <v>3</v>
      </c>
    </row>
    <row r="14" spans="1:20">
      <c r="A14" s="130">
        <v>45743.657114965274</v>
      </c>
      <c r="C14" s="131" t="s">
        <v>183</v>
      </c>
      <c r="D14" s="131" t="s">
        <v>141</v>
      </c>
      <c r="E14" s="131" t="s">
        <v>141</v>
      </c>
      <c r="G14" s="131">
        <v>4</v>
      </c>
      <c r="H14" s="131">
        <v>4</v>
      </c>
      <c r="I14" s="131">
        <v>4</v>
      </c>
      <c r="J14" s="131" t="s">
        <v>143</v>
      </c>
      <c r="K14" s="131" t="s">
        <v>184</v>
      </c>
      <c r="N14" s="131">
        <v>4</v>
      </c>
      <c r="O14" s="131">
        <v>4</v>
      </c>
      <c r="P14" s="131">
        <v>4</v>
      </c>
      <c r="Q14" s="131" t="s">
        <v>145</v>
      </c>
      <c r="R14" s="131">
        <f ca="1">IFERROR(__xludf.DUMMYFUNCTION("VALUE(REGEXEXTRACT(C14,""\d+""))"),2847)</f>
        <v>2847</v>
      </c>
      <c r="S14" s="131">
        <f t="shared" si="0"/>
        <v>4</v>
      </c>
    </row>
    <row r="15" spans="1:20">
      <c r="A15" s="132">
        <v>45743.672163692128</v>
      </c>
      <c r="C15" s="133" t="s">
        <v>185</v>
      </c>
      <c r="D15" s="133" t="s">
        <v>141</v>
      </c>
      <c r="E15" s="133" t="s">
        <v>141</v>
      </c>
      <c r="G15" s="133">
        <v>3</v>
      </c>
      <c r="H15" s="133">
        <v>4</v>
      </c>
      <c r="I15" s="133">
        <v>4</v>
      </c>
      <c r="J15" s="133" t="s">
        <v>143</v>
      </c>
      <c r="N15" s="133">
        <v>4</v>
      </c>
      <c r="P15" s="133">
        <v>4</v>
      </c>
      <c r="Q15" s="133" t="s">
        <v>145</v>
      </c>
      <c r="R15" s="133">
        <f ca="1">IFERROR(__xludf.DUMMYFUNCTION("VALUE(REGEXEXTRACT(C15,""\d+""))"),5996)</f>
        <v>5996</v>
      </c>
      <c r="S15" s="133">
        <f t="shared" si="0"/>
        <v>4</v>
      </c>
    </row>
    <row r="16" spans="1:20">
      <c r="A16" s="130">
        <v>45743.680274027778</v>
      </c>
      <c r="C16" s="131" t="s">
        <v>186</v>
      </c>
      <c r="D16" s="131" t="s">
        <v>141</v>
      </c>
      <c r="E16" s="131" t="s">
        <v>141</v>
      </c>
      <c r="G16" s="131">
        <v>3</v>
      </c>
      <c r="H16" s="131">
        <v>3</v>
      </c>
      <c r="I16" s="131">
        <v>4</v>
      </c>
      <c r="J16" s="131" t="s">
        <v>143</v>
      </c>
      <c r="M16" s="131" t="s">
        <v>182</v>
      </c>
      <c r="N16" s="131">
        <v>4</v>
      </c>
      <c r="Q16" s="131" t="s">
        <v>145</v>
      </c>
      <c r="R16" s="131">
        <f ca="1">IFERROR(__xludf.DUMMYFUNCTION("VALUE(REGEXEXTRACT(C16,""\d+""))"),2498)</f>
        <v>2498</v>
      </c>
      <c r="S16" s="131">
        <f t="shared" si="0"/>
        <v>3.5</v>
      </c>
    </row>
    <row r="17" spans="1:20">
      <c r="A17" s="132">
        <v>45743.689778391199</v>
      </c>
      <c r="C17" s="133" t="s">
        <v>187</v>
      </c>
      <c r="D17" s="133" t="s">
        <v>141</v>
      </c>
      <c r="E17" s="133" t="s">
        <v>141</v>
      </c>
      <c r="G17" s="133">
        <v>3</v>
      </c>
      <c r="H17" s="133">
        <v>3</v>
      </c>
      <c r="I17" s="133">
        <v>4</v>
      </c>
      <c r="J17" s="133" t="s">
        <v>188</v>
      </c>
      <c r="M17" s="133" t="s">
        <v>189</v>
      </c>
      <c r="N17" s="133">
        <v>4</v>
      </c>
      <c r="P17" s="133">
        <v>3</v>
      </c>
      <c r="Q17" s="133" t="s">
        <v>145</v>
      </c>
      <c r="R17" s="133">
        <f ca="1">IFERROR(__xludf.DUMMYFUNCTION("VALUE(REGEXEXTRACT(C17,""\d+""))"),3926)</f>
        <v>3926</v>
      </c>
      <c r="S17" s="133">
        <f t="shared" si="0"/>
        <v>3.3333333333333335</v>
      </c>
    </row>
    <row r="18" spans="1:20">
      <c r="A18" s="130">
        <v>45743.706097534727</v>
      </c>
      <c r="C18" s="131" t="s">
        <v>190</v>
      </c>
      <c r="D18" s="131" t="s">
        <v>141</v>
      </c>
      <c r="E18" s="131" t="s">
        <v>141</v>
      </c>
      <c r="G18" s="131">
        <v>3</v>
      </c>
      <c r="H18" s="131">
        <v>4</v>
      </c>
      <c r="I18" s="131">
        <v>4</v>
      </c>
      <c r="J18" s="131" t="s">
        <v>143</v>
      </c>
      <c r="L18" s="131" t="s">
        <v>191</v>
      </c>
      <c r="M18" s="131" t="s">
        <v>182</v>
      </c>
      <c r="N18" s="131">
        <v>4</v>
      </c>
      <c r="O18" s="131">
        <v>4</v>
      </c>
      <c r="Q18" s="131" t="s">
        <v>145</v>
      </c>
      <c r="R18" s="131">
        <f ca="1">IFERROR(__xludf.DUMMYFUNCTION("VALUE(REGEXEXTRACT(C18,""\d+""))"),3755)</f>
        <v>3755</v>
      </c>
      <c r="S18" s="131">
        <f t="shared" si="0"/>
        <v>4</v>
      </c>
    </row>
    <row r="19" spans="1:20">
      <c r="A19" s="132">
        <v>45743.72499905093</v>
      </c>
      <c r="C19" s="133" t="s">
        <v>192</v>
      </c>
      <c r="D19" s="133" t="s">
        <v>141</v>
      </c>
      <c r="E19" s="133" t="s">
        <v>141</v>
      </c>
      <c r="F19" s="133" t="s">
        <v>193</v>
      </c>
      <c r="G19" s="133">
        <v>3</v>
      </c>
      <c r="H19" s="133">
        <v>3</v>
      </c>
      <c r="I19" s="133">
        <v>2</v>
      </c>
      <c r="J19" s="133" t="s">
        <v>143</v>
      </c>
      <c r="M19" s="133" t="s">
        <v>168</v>
      </c>
      <c r="N19" s="133">
        <v>3</v>
      </c>
      <c r="Q19" s="133" t="s">
        <v>145</v>
      </c>
      <c r="R19" s="133">
        <f ca="1">IFERROR(__xludf.DUMMYFUNCTION("VALUE(REGEXEXTRACT(C19,""\d+""))"),3891)</f>
        <v>3891</v>
      </c>
      <c r="S19" s="133">
        <f t="shared" si="0"/>
        <v>3</v>
      </c>
    </row>
    <row r="20" spans="1:20">
      <c r="A20" s="130">
        <v>45743.734522013889</v>
      </c>
      <c r="C20" s="131" t="s">
        <v>194</v>
      </c>
      <c r="D20" s="131" t="s">
        <v>141</v>
      </c>
      <c r="E20" s="131" t="s">
        <v>141</v>
      </c>
      <c r="F20" s="131" t="s">
        <v>195</v>
      </c>
      <c r="G20" s="131">
        <v>3</v>
      </c>
      <c r="H20" s="131">
        <v>4</v>
      </c>
      <c r="I20" s="131">
        <v>4</v>
      </c>
      <c r="J20" s="131" t="s">
        <v>143</v>
      </c>
      <c r="K20" s="131" t="s">
        <v>144</v>
      </c>
      <c r="M20" s="131" t="s">
        <v>174</v>
      </c>
      <c r="N20" s="131">
        <v>4</v>
      </c>
      <c r="O20" s="131">
        <v>3</v>
      </c>
      <c r="P20" s="131">
        <v>3</v>
      </c>
      <c r="Q20" s="131" t="s">
        <v>145</v>
      </c>
      <c r="R20" s="131">
        <f ca="1">IFERROR(__xludf.DUMMYFUNCTION("VALUE(REGEXEXTRACT(C20,""\d+""))"),3038)</f>
        <v>3038</v>
      </c>
      <c r="S20" s="131">
        <f t="shared" si="0"/>
        <v>3.5</v>
      </c>
    </row>
    <row r="21" spans="1:20">
      <c r="A21" s="132">
        <v>45743.745640543981</v>
      </c>
      <c r="C21" s="133" t="s">
        <v>196</v>
      </c>
      <c r="D21" s="133" t="s">
        <v>141</v>
      </c>
      <c r="E21" s="133" t="s">
        <v>153</v>
      </c>
      <c r="G21" s="133">
        <v>2</v>
      </c>
      <c r="H21" s="133">
        <v>3</v>
      </c>
      <c r="I21" s="133">
        <v>3</v>
      </c>
      <c r="J21" s="133" t="s">
        <v>188</v>
      </c>
      <c r="L21" s="133" t="s">
        <v>197</v>
      </c>
      <c r="M21" s="133" t="s">
        <v>198</v>
      </c>
      <c r="N21" s="133">
        <v>2</v>
      </c>
      <c r="Q21" s="133" t="s">
        <v>145</v>
      </c>
      <c r="R21" s="133">
        <f ca="1">IFERROR(__xludf.DUMMYFUNCTION("VALUE(REGEXEXTRACT(C21,""\d+""))"),3745)</f>
        <v>3745</v>
      </c>
      <c r="S21" s="133">
        <f t="shared" si="0"/>
        <v>2.5</v>
      </c>
    </row>
    <row r="22" spans="1:20">
      <c r="A22" s="130">
        <v>45743.767235509258</v>
      </c>
      <c r="C22" s="131" t="s">
        <v>199</v>
      </c>
      <c r="D22" s="131" t="s">
        <v>141</v>
      </c>
      <c r="E22" s="131" t="s">
        <v>141</v>
      </c>
      <c r="G22" s="131">
        <v>3</v>
      </c>
      <c r="H22" s="131">
        <v>3</v>
      </c>
      <c r="I22" s="131">
        <v>4</v>
      </c>
      <c r="J22" s="131" t="s">
        <v>143</v>
      </c>
      <c r="M22" s="131" t="s">
        <v>200</v>
      </c>
      <c r="O22" s="131">
        <v>4</v>
      </c>
      <c r="Q22" s="131" t="s">
        <v>145</v>
      </c>
      <c r="R22" s="131">
        <f ca="1">IFERROR(__xludf.DUMMYFUNCTION("VALUE(REGEXEXTRACT(C22,""\d+""))"),7850)</f>
        <v>7850</v>
      </c>
      <c r="S22" s="131">
        <f t="shared" si="0"/>
        <v>3.5</v>
      </c>
    </row>
    <row r="23" spans="1:20">
      <c r="A23" s="132"/>
      <c r="B23" s="133"/>
      <c r="C23" s="133"/>
      <c r="D23" s="133"/>
      <c r="E23" s="133"/>
      <c r="F23" s="133"/>
      <c r="G23" s="133"/>
      <c r="H23" s="133"/>
      <c r="I23" s="133"/>
      <c r="J23" s="133"/>
      <c r="K23" s="133"/>
      <c r="L23" s="133"/>
      <c r="M23" s="133"/>
      <c r="N23" s="133"/>
      <c r="O23" s="133"/>
      <c r="P23" s="133"/>
      <c r="Q23" s="133"/>
      <c r="R23" s="133" t="str">
        <f ca="1">IFERROR(__xludf.DUMMYFUNCTION("VALUE(REGEXEXTRACT(C23,""\d+""))"),"#N/A")</f>
        <v>#N/A</v>
      </c>
      <c r="S23" s="133" t="e">
        <f t="shared" si="0"/>
        <v>#DIV/0!</v>
      </c>
      <c r="T23" s="134"/>
    </row>
    <row r="24" spans="1:20">
      <c r="A24" s="130"/>
      <c r="B24" s="131"/>
      <c r="C24" s="131"/>
      <c r="D24" s="131"/>
      <c r="E24" s="131"/>
      <c r="F24" s="131"/>
      <c r="G24" s="131"/>
      <c r="H24" s="131"/>
      <c r="I24" s="131"/>
      <c r="J24" s="131"/>
      <c r="K24" s="131"/>
      <c r="L24" s="131"/>
      <c r="M24" s="131"/>
      <c r="N24" s="131"/>
      <c r="O24" s="131"/>
      <c r="P24" s="131"/>
      <c r="Q24" s="131"/>
      <c r="R24" s="131" t="str">
        <f ca="1">IFERROR(__xludf.DUMMYFUNCTION("VALUE(REGEXEXTRACT(C24,""\d+""))"),"#N/A")</f>
        <v>#N/A</v>
      </c>
      <c r="S24" s="131" t="e">
        <f t="shared" si="0"/>
        <v>#DIV/0!</v>
      </c>
      <c r="T24" s="135"/>
    </row>
    <row r="25" spans="1:20">
      <c r="A25" s="132"/>
      <c r="B25" s="133"/>
      <c r="C25" s="133"/>
      <c r="D25" s="133"/>
      <c r="E25" s="133"/>
      <c r="F25" s="133"/>
      <c r="G25" s="133"/>
      <c r="H25" s="133"/>
      <c r="I25" s="133"/>
      <c r="J25" s="133"/>
      <c r="K25" s="133"/>
      <c r="L25" s="133"/>
      <c r="M25" s="133"/>
      <c r="N25" s="133"/>
      <c r="O25" s="133"/>
      <c r="P25" s="133"/>
      <c r="Q25" s="133"/>
      <c r="R25" s="133" t="str">
        <f ca="1">IFERROR(__xludf.DUMMYFUNCTION("VALUE(REGEXEXTRACT(C25,""\d+""))"),"#N/A")</f>
        <v>#N/A</v>
      </c>
      <c r="S25" s="133" t="e">
        <f t="shared" si="0"/>
        <v>#DIV/0!</v>
      </c>
      <c r="T25" s="134"/>
    </row>
    <row r="26" spans="1:20">
      <c r="A26" s="130"/>
      <c r="B26" s="131"/>
      <c r="C26" s="131"/>
      <c r="D26" s="131"/>
      <c r="E26" s="131"/>
      <c r="F26" s="131"/>
      <c r="G26" s="131"/>
      <c r="H26" s="131"/>
      <c r="I26" s="131"/>
      <c r="J26" s="131"/>
      <c r="K26" s="131"/>
      <c r="L26" s="131"/>
      <c r="M26" s="131"/>
      <c r="N26" s="131"/>
      <c r="O26" s="131"/>
      <c r="P26" s="131"/>
      <c r="Q26" s="131"/>
      <c r="R26" s="131" t="str">
        <f ca="1">IFERROR(__xludf.DUMMYFUNCTION("VALUE(REGEXEXTRACT(C26,""\d+""))"),"#N/A")</f>
        <v>#N/A</v>
      </c>
      <c r="S26" s="131" t="e">
        <f t="shared" si="0"/>
        <v>#DIV/0!</v>
      </c>
      <c r="T26" s="135"/>
    </row>
    <row r="27" spans="1:20">
      <c r="A27" s="132"/>
      <c r="B27" s="133"/>
      <c r="C27" s="133"/>
      <c r="D27" s="133"/>
      <c r="E27" s="133"/>
      <c r="F27" s="133"/>
      <c r="G27" s="133"/>
      <c r="H27" s="133"/>
      <c r="I27" s="133"/>
      <c r="J27" s="133"/>
      <c r="K27" s="133"/>
      <c r="L27" s="133"/>
      <c r="M27" s="133"/>
      <c r="N27" s="133"/>
      <c r="O27" s="133"/>
      <c r="P27" s="133"/>
      <c r="Q27" s="133"/>
      <c r="R27" s="133" t="str">
        <f ca="1">IFERROR(__xludf.DUMMYFUNCTION("VALUE(REGEXEXTRACT(C27,""\d+""))"),"#N/A")</f>
        <v>#N/A</v>
      </c>
      <c r="S27" s="133" t="e">
        <f t="shared" si="0"/>
        <v>#DIV/0!</v>
      </c>
      <c r="T27" s="134"/>
    </row>
    <row r="28" spans="1:20">
      <c r="A28" s="130"/>
      <c r="B28" s="131"/>
      <c r="C28" s="131"/>
      <c r="D28" s="131"/>
      <c r="E28" s="131"/>
      <c r="F28" s="131"/>
      <c r="G28" s="131"/>
      <c r="H28" s="131"/>
      <c r="I28" s="131"/>
      <c r="J28" s="131"/>
      <c r="K28" s="131"/>
      <c r="L28" s="131"/>
      <c r="M28" s="131"/>
      <c r="N28" s="131"/>
      <c r="O28" s="131"/>
      <c r="P28" s="131"/>
      <c r="Q28" s="131"/>
      <c r="R28" s="131" t="str">
        <f ca="1">IFERROR(__xludf.DUMMYFUNCTION("VALUE(REGEXEXTRACT(C28,""\d+""))"),"#N/A")</f>
        <v>#N/A</v>
      </c>
      <c r="S28" s="131" t="e">
        <f t="shared" si="0"/>
        <v>#DIV/0!</v>
      </c>
      <c r="T28" s="135"/>
    </row>
    <row r="29" spans="1:20">
      <c r="A29" s="132"/>
      <c r="B29" s="133"/>
      <c r="C29" s="133"/>
      <c r="D29" s="133"/>
      <c r="E29" s="133"/>
      <c r="F29" s="133"/>
      <c r="G29" s="133"/>
      <c r="H29" s="133"/>
      <c r="I29" s="133"/>
      <c r="J29" s="133"/>
      <c r="K29" s="133"/>
      <c r="L29" s="133"/>
      <c r="M29" s="133"/>
      <c r="N29" s="133"/>
      <c r="O29" s="133"/>
      <c r="P29" s="133"/>
      <c r="Q29" s="133"/>
      <c r="R29" s="133" t="str">
        <f ca="1">IFERROR(__xludf.DUMMYFUNCTION("VALUE(REGEXEXTRACT(C29,""\d+""))"),"#N/A")</f>
        <v>#N/A</v>
      </c>
      <c r="S29" s="133" t="e">
        <f t="shared" si="0"/>
        <v>#DIV/0!</v>
      </c>
      <c r="T29" s="134"/>
    </row>
    <row r="30" spans="1:20">
      <c r="A30" s="130"/>
      <c r="B30" s="131"/>
      <c r="C30" s="131"/>
      <c r="D30" s="131"/>
      <c r="E30" s="131"/>
      <c r="F30" s="131"/>
      <c r="G30" s="131"/>
      <c r="H30" s="131"/>
      <c r="I30" s="131"/>
      <c r="J30" s="131"/>
      <c r="K30" s="131"/>
      <c r="L30" s="131"/>
      <c r="M30" s="131"/>
      <c r="N30" s="131"/>
      <c r="O30" s="131"/>
      <c r="P30" s="131"/>
      <c r="Q30" s="131"/>
      <c r="R30" s="131" t="str">
        <f ca="1">IFERROR(__xludf.DUMMYFUNCTION("VALUE(REGEXEXTRACT(C30,""\d+""))"),"#N/A")</f>
        <v>#N/A</v>
      </c>
      <c r="S30" s="131" t="e">
        <f t="shared" si="0"/>
        <v>#DIV/0!</v>
      </c>
      <c r="T30" s="135"/>
    </row>
    <row r="31" spans="1:20">
      <c r="A31" s="132"/>
      <c r="B31" s="133"/>
      <c r="C31" s="133"/>
      <c r="D31" s="133"/>
      <c r="E31" s="133"/>
      <c r="F31" s="133"/>
      <c r="G31" s="133"/>
      <c r="H31" s="133"/>
      <c r="I31" s="133"/>
      <c r="J31" s="133"/>
      <c r="K31" s="133"/>
      <c r="L31" s="133"/>
      <c r="M31" s="133"/>
      <c r="N31" s="133"/>
      <c r="O31" s="133"/>
      <c r="P31" s="133"/>
      <c r="Q31" s="133"/>
      <c r="R31" s="133" t="str">
        <f ca="1">IFERROR(__xludf.DUMMYFUNCTION("VALUE(REGEXEXTRACT(C31,""\d+""))"),"#N/A")</f>
        <v>#N/A</v>
      </c>
      <c r="S31" s="133" t="e">
        <f t="shared" si="0"/>
        <v>#DIV/0!</v>
      </c>
      <c r="T31" s="134"/>
    </row>
    <row r="32" spans="1:20">
      <c r="A32" s="130"/>
      <c r="B32" s="131"/>
      <c r="C32" s="131"/>
      <c r="D32" s="131"/>
      <c r="E32" s="131"/>
      <c r="F32" s="131"/>
      <c r="G32" s="131"/>
      <c r="H32" s="131"/>
      <c r="I32" s="131"/>
      <c r="J32" s="131"/>
      <c r="K32" s="131"/>
      <c r="L32" s="131"/>
      <c r="M32" s="131"/>
      <c r="N32" s="131"/>
      <c r="O32" s="131"/>
      <c r="P32" s="131"/>
      <c r="Q32" s="131"/>
      <c r="R32" s="131" t="str">
        <f ca="1">IFERROR(__xludf.DUMMYFUNCTION("VALUE(REGEXEXTRACT(C32,""\d+""))"),"#N/A")</f>
        <v>#N/A</v>
      </c>
      <c r="S32" s="131" t="e">
        <f t="shared" si="0"/>
        <v>#DIV/0!</v>
      </c>
      <c r="T32" s="135"/>
    </row>
    <row r="33" spans="1:20">
      <c r="A33" s="132"/>
      <c r="B33" s="133"/>
      <c r="C33" s="133"/>
      <c r="D33" s="133"/>
      <c r="E33" s="133"/>
      <c r="F33" s="133"/>
      <c r="G33" s="133"/>
      <c r="H33" s="133"/>
      <c r="I33" s="133"/>
      <c r="J33" s="133"/>
      <c r="K33" s="133"/>
      <c r="L33" s="133"/>
      <c r="M33" s="133"/>
      <c r="N33" s="133"/>
      <c r="O33" s="133"/>
      <c r="P33" s="133"/>
      <c r="Q33" s="133"/>
      <c r="R33" s="133" t="str">
        <f ca="1">IFERROR(__xludf.DUMMYFUNCTION("VALUE(REGEXEXTRACT(C33,""\d+""))"),"#N/A")</f>
        <v>#N/A</v>
      </c>
      <c r="S33" s="133" t="e">
        <f t="shared" si="0"/>
        <v>#DIV/0!</v>
      </c>
      <c r="T33" s="134"/>
    </row>
    <row r="34" spans="1:20">
      <c r="A34" s="130"/>
      <c r="B34" s="131"/>
      <c r="C34" s="131"/>
      <c r="D34" s="131"/>
      <c r="E34" s="131"/>
      <c r="F34" s="131"/>
      <c r="G34" s="131"/>
      <c r="H34" s="131"/>
      <c r="I34" s="131"/>
      <c r="J34" s="131"/>
      <c r="K34" s="131"/>
      <c r="L34" s="131"/>
      <c r="M34" s="131"/>
      <c r="N34" s="131"/>
      <c r="O34" s="131"/>
      <c r="P34" s="131"/>
      <c r="Q34" s="131"/>
      <c r="R34" s="131" t="str">
        <f ca="1">IFERROR(__xludf.DUMMYFUNCTION("VALUE(REGEXEXTRACT(C34,""\d+""))"),"#N/A")</f>
        <v>#N/A</v>
      </c>
      <c r="S34" s="131" t="e">
        <f t="shared" si="0"/>
        <v>#DIV/0!</v>
      </c>
      <c r="T34" s="135"/>
    </row>
    <row r="35" spans="1:20">
      <c r="A35" s="132"/>
      <c r="B35" s="133"/>
      <c r="C35" s="133"/>
      <c r="D35" s="133"/>
      <c r="E35" s="133"/>
      <c r="F35" s="133"/>
      <c r="G35" s="133"/>
      <c r="H35" s="133"/>
      <c r="I35" s="133"/>
      <c r="J35" s="133"/>
      <c r="K35" s="133"/>
      <c r="L35" s="133"/>
      <c r="M35" s="133"/>
      <c r="N35" s="133"/>
      <c r="O35" s="133"/>
      <c r="P35" s="133"/>
      <c r="Q35" s="133"/>
      <c r="R35" s="133" t="str">
        <f ca="1">IFERROR(__xludf.DUMMYFUNCTION("VALUE(REGEXEXTRACT(C35,""\d+""))"),"#N/A")</f>
        <v>#N/A</v>
      </c>
      <c r="S35" s="133" t="e">
        <f t="shared" si="0"/>
        <v>#DIV/0!</v>
      </c>
      <c r="T35" s="134"/>
    </row>
    <row r="36" spans="1:20">
      <c r="A36" s="130"/>
      <c r="B36" s="131"/>
      <c r="C36" s="131"/>
      <c r="D36" s="131"/>
      <c r="E36" s="131"/>
      <c r="F36" s="131"/>
      <c r="G36" s="131"/>
      <c r="H36" s="131"/>
      <c r="I36" s="131"/>
      <c r="J36" s="131"/>
      <c r="K36" s="131"/>
      <c r="L36" s="131"/>
      <c r="M36" s="131"/>
      <c r="N36" s="131"/>
      <c r="O36" s="131"/>
      <c r="P36" s="131"/>
      <c r="Q36" s="131"/>
      <c r="R36" s="131" t="str">
        <f ca="1">IFERROR(__xludf.DUMMYFUNCTION("VALUE(REGEXEXTRACT(C36,""\d+""))"),"#N/A")</f>
        <v>#N/A</v>
      </c>
      <c r="S36" s="131" t="e">
        <f t="shared" si="0"/>
        <v>#DIV/0!</v>
      </c>
      <c r="T36" s="135"/>
    </row>
    <row r="37" spans="1:20">
      <c r="A37" s="132"/>
      <c r="B37" s="133"/>
      <c r="C37" s="133"/>
      <c r="D37" s="133"/>
      <c r="E37" s="133"/>
      <c r="F37" s="133"/>
      <c r="G37" s="133"/>
      <c r="H37" s="133"/>
      <c r="I37" s="133"/>
      <c r="J37" s="133"/>
      <c r="K37" s="133"/>
      <c r="L37" s="133"/>
      <c r="M37" s="133"/>
      <c r="N37" s="133"/>
      <c r="O37" s="133"/>
      <c r="P37" s="133"/>
      <c r="Q37" s="133"/>
      <c r="R37" s="133" t="str">
        <f ca="1">IFERROR(__xludf.DUMMYFUNCTION("VALUE(REGEXEXTRACT(C37,""\d+""))"),"#N/A")</f>
        <v>#N/A</v>
      </c>
      <c r="S37" s="133" t="e">
        <f t="shared" si="0"/>
        <v>#DIV/0!</v>
      </c>
      <c r="T37" s="134"/>
    </row>
    <row r="38" spans="1:20">
      <c r="A38" s="130"/>
      <c r="B38" s="131"/>
      <c r="C38" s="131"/>
      <c r="D38" s="131"/>
      <c r="E38" s="131"/>
      <c r="F38" s="131"/>
      <c r="G38" s="131"/>
      <c r="H38" s="131"/>
      <c r="I38" s="131"/>
      <c r="J38" s="131"/>
      <c r="K38" s="131"/>
      <c r="L38" s="131"/>
      <c r="M38" s="131"/>
      <c r="N38" s="131"/>
      <c r="O38" s="131"/>
      <c r="P38" s="131"/>
      <c r="Q38" s="131"/>
      <c r="R38" s="131" t="str">
        <f ca="1">IFERROR(__xludf.DUMMYFUNCTION("VALUE(REGEXEXTRACT(C38,""\d+""))"),"#N/A")</f>
        <v>#N/A</v>
      </c>
      <c r="S38" s="131" t="e">
        <f t="shared" si="0"/>
        <v>#DIV/0!</v>
      </c>
      <c r="T38" s="135"/>
    </row>
    <row r="39" spans="1:20">
      <c r="A39" s="132"/>
      <c r="B39" s="133"/>
      <c r="C39" s="133"/>
      <c r="D39" s="133"/>
      <c r="E39" s="133"/>
      <c r="F39" s="133"/>
      <c r="G39" s="133"/>
      <c r="H39" s="133"/>
      <c r="I39" s="133"/>
      <c r="J39" s="133"/>
      <c r="K39" s="133"/>
      <c r="L39" s="133"/>
      <c r="M39" s="133"/>
      <c r="N39" s="133"/>
      <c r="O39" s="133"/>
      <c r="P39" s="133"/>
      <c r="Q39" s="133"/>
      <c r="R39" s="133" t="str">
        <f ca="1">IFERROR(__xludf.DUMMYFUNCTION("VALUE(REGEXEXTRACT(C39,""\d+""))"),"#N/A")</f>
        <v>#N/A</v>
      </c>
      <c r="S39" s="133" t="e">
        <f t="shared" si="0"/>
        <v>#DIV/0!</v>
      </c>
      <c r="T39" s="134"/>
    </row>
    <row r="40" spans="1:20">
      <c r="A40" s="130"/>
      <c r="B40" s="131"/>
      <c r="C40" s="131"/>
      <c r="D40" s="131"/>
      <c r="E40" s="131"/>
      <c r="F40" s="131"/>
      <c r="G40" s="131"/>
      <c r="H40" s="131"/>
      <c r="I40" s="131"/>
      <c r="J40" s="131"/>
      <c r="K40" s="131"/>
      <c r="L40" s="131"/>
      <c r="M40" s="131"/>
      <c r="N40" s="131"/>
      <c r="O40" s="131"/>
      <c r="P40" s="131"/>
      <c r="Q40" s="131"/>
      <c r="R40" s="131" t="str">
        <f ca="1">IFERROR(__xludf.DUMMYFUNCTION("VALUE(REGEXEXTRACT(C40,""\d+""))"),"#N/A")</f>
        <v>#N/A</v>
      </c>
      <c r="S40" s="131" t="e">
        <f t="shared" si="0"/>
        <v>#DIV/0!</v>
      </c>
      <c r="T40" s="135"/>
    </row>
    <row r="41" spans="1:20">
      <c r="A41" s="132"/>
      <c r="B41" s="133"/>
      <c r="C41" s="133"/>
      <c r="D41" s="133"/>
      <c r="E41" s="133"/>
      <c r="F41" s="133"/>
      <c r="G41" s="133"/>
      <c r="H41" s="133"/>
      <c r="I41" s="133"/>
      <c r="J41" s="133"/>
      <c r="K41" s="133"/>
      <c r="L41" s="133"/>
      <c r="M41" s="133"/>
      <c r="N41" s="133"/>
      <c r="O41" s="133"/>
      <c r="P41" s="133"/>
      <c r="Q41" s="133"/>
      <c r="R41" s="133" t="str">
        <f ca="1">IFERROR(__xludf.DUMMYFUNCTION("VALUE(REGEXEXTRACT(C41,""\d+""))"),"#N/A")</f>
        <v>#N/A</v>
      </c>
      <c r="S41" s="133" t="e">
        <f t="shared" si="0"/>
        <v>#DIV/0!</v>
      </c>
      <c r="T41" s="134"/>
    </row>
    <row r="42" spans="1:20">
      <c r="A42" s="130"/>
      <c r="B42" s="131"/>
      <c r="C42" s="131"/>
      <c r="D42" s="131"/>
      <c r="E42" s="131"/>
      <c r="F42" s="131"/>
      <c r="G42" s="131"/>
      <c r="H42" s="131"/>
      <c r="I42" s="131"/>
      <c r="J42" s="131"/>
      <c r="K42" s="131"/>
      <c r="L42" s="131"/>
      <c r="M42" s="131"/>
      <c r="N42" s="131"/>
      <c r="O42" s="131"/>
      <c r="P42" s="131"/>
      <c r="Q42" s="131"/>
      <c r="R42" s="131" t="str">
        <f ca="1">IFERROR(__xludf.DUMMYFUNCTION("VALUE(REGEXEXTRACT(C42,""\d+""))"),"#N/A")</f>
        <v>#N/A</v>
      </c>
      <c r="S42" s="131" t="e">
        <f t="shared" si="0"/>
        <v>#DIV/0!</v>
      </c>
      <c r="T42" s="135"/>
    </row>
    <row r="43" spans="1:20">
      <c r="A43" s="132"/>
      <c r="B43" s="133"/>
      <c r="C43" s="133"/>
      <c r="D43" s="133"/>
      <c r="E43" s="133"/>
      <c r="F43" s="133"/>
      <c r="G43" s="133"/>
      <c r="H43" s="133"/>
      <c r="I43" s="133"/>
      <c r="J43" s="133"/>
      <c r="K43" s="133"/>
      <c r="L43" s="133"/>
      <c r="M43" s="133"/>
      <c r="N43" s="133"/>
      <c r="O43" s="133"/>
      <c r="P43" s="133"/>
      <c r="Q43" s="133"/>
      <c r="R43" s="133" t="str">
        <f ca="1">IFERROR(__xludf.DUMMYFUNCTION("VALUE(REGEXEXTRACT(C43,""\d+""))"),"#N/A")</f>
        <v>#N/A</v>
      </c>
      <c r="S43" s="133" t="e">
        <f t="shared" si="0"/>
        <v>#DIV/0!</v>
      </c>
      <c r="T43" s="134"/>
    </row>
    <row r="44" spans="1:20">
      <c r="A44" s="130"/>
      <c r="B44" s="131"/>
      <c r="C44" s="131"/>
      <c r="D44" s="131"/>
      <c r="E44" s="131"/>
      <c r="F44" s="131"/>
      <c r="G44" s="131"/>
      <c r="H44" s="131"/>
      <c r="I44" s="131"/>
      <c r="J44" s="131"/>
      <c r="K44" s="131"/>
      <c r="L44" s="131"/>
      <c r="M44" s="131"/>
      <c r="N44" s="131"/>
      <c r="O44" s="131"/>
      <c r="P44" s="131"/>
      <c r="Q44" s="131"/>
      <c r="R44" s="131" t="str">
        <f ca="1">IFERROR(__xludf.DUMMYFUNCTION("VALUE(REGEXEXTRACT(C44,""\d+""))"),"#N/A")</f>
        <v>#N/A</v>
      </c>
      <c r="S44" s="131" t="e">
        <f t="shared" si="0"/>
        <v>#DIV/0!</v>
      </c>
      <c r="T44" s="135"/>
    </row>
    <row r="45" spans="1:20">
      <c r="A45" s="132"/>
      <c r="B45" s="133"/>
      <c r="C45" s="133"/>
      <c r="D45" s="133"/>
      <c r="E45" s="133"/>
      <c r="F45" s="133"/>
      <c r="G45" s="133"/>
      <c r="H45" s="133"/>
      <c r="I45" s="133"/>
      <c r="J45" s="133"/>
      <c r="K45" s="133"/>
      <c r="L45" s="133"/>
      <c r="M45" s="133"/>
      <c r="N45" s="133"/>
      <c r="O45" s="133"/>
      <c r="P45" s="133"/>
      <c r="Q45" s="133"/>
      <c r="R45" s="133" t="str">
        <f ca="1">IFERROR(__xludf.DUMMYFUNCTION("VALUE(REGEXEXTRACT(C45,""\d+""))"),"#N/A")</f>
        <v>#N/A</v>
      </c>
      <c r="S45" s="133" t="e">
        <f t="shared" si="0"/>
        <v>#DIV/0!</v>
      </c>
      <c r="T45" s="134"/>
    </row>
    <row r="46" spans="1:20">
      <c r="A46" s="130"/>
      <c r="B46" s="131"/>
      <c r="C46" s="131"/>
      <c r="D46" s="131"/>
      <c r="E46" s="131"/>
      <c r="F46" s="131"/>
      <c r="G46" s="131"/>
      <c r="H46" s="131"/>
      <c r="I46" s="131"/>
      <c r="J46" s="131"/>
      <c r="K46" s="131"/>
      <c r="L46" s="131"/>
      <c r="M46" s="131"/>
      <c r="N46" s="131"/>
      <c r="O46" s="131"/>
      <c r="P46" s="131"/>
      <c r="Q46" s="131"/>
      <c r="R46" s="131" t="str">
        <f ca="1">IFERROR(__xludf.DUMMYFUNCTION("VALUE(REGEXEXTRACT(C46,""\d+""))"),"#N/A")</f>
        <v>#N/A</v>
      </c>
      <c r="S46" s="131" t="e">
        <f t="shared" si="0"/>
        <v>#DIV/0!</v>
      </c>
      <c r="T46" s="135"/>
    </row>
    <row r="47" spans="1:20">
      <c r="A47" s="132"/>
      <c r="B47" s="133"/>
      <c r="C47" s="133"/>
      <c r="D47" s="133"/>
      <c r="E47" s="133"/>
      <c r="F47" s="133"/>
      <c r="G47" s="133"/>
      <c r="H47" s="133"/>
      <c r="I47" s="133"/>
      <c r="J47" s="133"/>
      <c r="K47" s="133"/>
      <c r="L47" s="133"/>
      <c r="M47" s="133"/>
      <c r="N47" s="133"/>
      <c r="O47" s="133"/>
      <c r="P47" s="133"/>
      <c r="Q47" s="133"/>
      <c r="R47" s="133" t="str">
        <f ca="1">IFERROR(__xludf.DUMMYFUNCTION("VALUE(REGEXEXTRACT(C47,""\d+""))"),"#N/A")</f>
        <v>#N/A</v>
      </c>
      <c r="S47" s="133" t="e">
        <f t="shared" si="0"/>
        <v>#DIV/0!</v>
      </c>
      <c r="T47" s="134"/>
    </row>
    <row r="48" spans="1:20">
      <c r="A48" s="130"/>
      <c r="B48" s="131"/>
      <c r="C48" s="131"/>
      <c r="D48" s="131"/>
      <c r="E48" s="131"/>
      <c r="F48" s="131"/>
      <c r="G48" s="131"/>
      <c r="H48" s="131"/>
      <c r="I48" s="131"/>
      <c r="J48" s="131"/>
      <c r="K48" s="131"/>
      <c r="L48" s="131"/>
      <c r="M48" s="131"/>
      <c r="N48" s="131"/>
      <c r="O48" s="131"/>
      <c r="P48" s="131"/>
      <c r="Q48" s="131"/>
      <c r="R48" s="131" t="str">
        <f ca="1">IFERROR(__xludf.DUMMYFUNCTION("VALUE(REGEXEXTRACT(C48,""\d+""))"),"#N/A")</f>
        <v>#N/A</v>
      </c>
      <c r="S48" s="131" t="e">
        <f t="shared" si="0"/>
        <v>#DIV/0!</v>
      </c>
      <c r="T48" s="135"/>
    </row>
    <row r="49" spans="1:20">
      <c r="A49" s="132"/>
      <c r="B49" s="133"/>
      <c r="C49" s="133"/>
      <c r="D49" s="133"/>
      <c r="E49" s="133"/>
      <c r="F49" s="133"/>
      <c r="G49" s="133"/>
      <c r="H49" s="133"/>
      <c r="I49" s="133"/>
      <c r="J49" s="133"/>
      <c r="K49" s="133"/>
      <c r="L49" s="133"/>
      <c r="M49" s="133"/>
      <c r="N49" s="133"/>
      <c r="O49" s="133"/>
      <c r="P49" s="133"/>
      <c r="Q49" s="133"/>
      <c r="R49" s="133" t="str">
        <f ca="1">IFERROR(__xludf.DUMMYFUNCTION("VALUE(REGEXEXTRACT(C49,""\d+""))"),"#N/A")</f>
        <v>#N/A</v>
      </c>
      <c r="S49" s="133" t="e">
        <f t="shared" si="0"/>
        <v>#DIV/0!</v>
      </c>
      <c r="T49" s="134"/>
    </row>
    <row r="50" spans="1:20">
      <c r="A50" s="130"/>
      <c r="B50" s="131"/>
      <c r="C50" s="131"/>
      <c r="D50" s="131"/>
      <c r="E50" s="131"/>
      <c r="F50" s="131"/>
      <c r="G50" s="131"/>
      <c r="H50" s="131"/>
      <c r="I50" s="131"/>
      <c r="J50" s="131"/>
      <c r="K50" s="131"/>
      <c r="L50" s="131"/>
      <c r="M50" s="131"/>
      <c r="N50" s="131"/>
      <c r="O50" s="131"/>
      <c r="P50" s="131"/>
      <c r="Q50" s="131"/>
      <c r="R50" s="131" t="str">
        <f ca="1">IFERROR(__xludf.DUMMYFUNCTION("VALUE(REGEXEXTRACT(C50,""\d+""))"),"#N/A")</f>
        <v>#N/A</v>
      </c>
      <c r="S50" s="131" t="e">
        <f t="shared" si="0"/>
        <v>#DIV/0!</v>
      </c>
      <c r="T50" s="135"/>
    </row>
    <row r="51" spans="1:20">
      <c r="A51" s="132"/>
      <c r="B51" s="133"/>
      <c r="C51" s="133"/>
      <c r="D51" s="133"/>
      <c r="E51" s="133"/>
      <c r="F51" s="133"/>
      <c r="G51" s="133"/>
      <c r="H51" s="133"/>
      <c r="I51" s="133"/>
      <c r="J51" s="133"/>
      <c r="K51" s="133"/>
      <c r="L51" s="133"/>
      <c r="M51" s="133"/>
      <c r="N51" s="133"/>
      <c r="O51" s="133"/>
      <c r="P51" s="133"/>
      <c r="Q51" s="133"/>
      <c r="R51" s="133" t="str">
        <f ca="1">IFERROR(__xludf.DUMMYFUNCTION("VALUE(REGEXEXTRACT(C51,""\d+""))"),"#N/A")</f>
        <v>#N/A</v>
      </c>
      <c r="S51" s="133" t="e">
        <f t="shared" si="0"/>
        <v>#DIV/0!</v>
      </c>
      <c r="T51" s="134"/>
    </row>
    <row r="52" spans="1:20">
      <c r="A52" s="130"/>
      <c r="B52" s="131"/>
      <c r="C52" s="131"/>
      <c r="D52" s="131"/>
      <c r="E52" s="131"/>
      <c r="F52" s="131"/>
      <c r="G52" s="131"/>
      <c r="H52" s="131"/>
      <c r="I52" s="131"/>
      <c r="J52" s="131"/>
      <c r="K52" s="131"/>
      <c r="L52" s="131"/>
      <c r="M52" s="131"/>
      <c r="N52" s="131"/>
      <c r="O52" s="131"/>
      <c r="P52" s="131"/>
      <c r="Q52" s="131"/>
      <c r="R52" s="131" t="str">
        <f ca="1">IFERROR(__xludf.DUMMYFUNCTION("VALUE(REGEXEXTRACT(C52,""\d+""))"),"#N/A")</f>
        <v>#N/A</v>
      </c>
      <c r="S52" s="131" t="e">
        <f t="shared" si="0"/>
        <v>#DIV/0!</v>
      </c>
      <c r="T52" s="135"/>
    </row>
    <row r="53" spans="1:20">
      <c r="A53" s="132"/>
      <c r="B53" s="133"/>
      <c r="C53" s="133"/>
      <c r="D53" s="133"/>
      <c r="E53" s="133"/>
      <c r="F53" s="133"/>
      <c r="G53" s="133"/>
      <c r="H53" s="133"/>
      <c r="I53" s="133"/>
      <c r="J53" s="133"/>
      <c r="K53" s="133"/>
      <c r="L53" s="133"/>
      <c r="M53" s="133"/>
      <c r="N53" s="133"/>
      <c r="O53" s="133"/>
      <c r="P53" s="133"/>
      <c r="Q53" s="133"/>
      <c r="R53" s="133" t="str">
        <f ca="1">IFERROR(__xludf.DUMMYFUNCTION("VALUE(REGEXEXTRACT(C53,""\d+""))"),"#N/A")</f>
        <v>#N/A</v>
      </c>
      <c r="S53" s="133" t="e">
        <f t="shared" si="0"/>
        <v>#DIV/0!</v>
      </c>
      <c r="T53" s="134"/>
    </row>
    <row r="54" spans="1:20">
      <c r="A54" s="130"/>
      <c r="B54" s="131"/>
      <c r="C54" s="131"/>
      <c r="D54" s="131"/>
      <c r="E54" s="131"/>
      <c r="F54" s="131"/>
      <c r="G54" s="131"/>
      <c r="H54" s="131"/>
      <c r="I54" s="131"/>
      <c r="J54" s="131"/>
      <c r="K54" s="131"/>
      <c r="L54" s="131"/>
      <c r="M54" s="131"/>
      <c r="N54" s="131"/>
      <c r="O54" s="131"/>
      <c r="P54" s="131"/>
      <c r="Q54" s="131"/>
      <c r="R54" s="131" t="str">
        <f ca="1">IFERROR(__xludf.DUMMYFUNCTION("VALUE(REGEXEXTRACT(C54,""\d+""))"),"#N/A")</f>
        <v>#N/A</v>
      </c>
      <c r="S54" s="131" t="e">
        <f t="shared" si="0"/>
        <v>#DIV/0!</v>
      </c>
      <c r="T54" s="135"/>
    </row>
    <row r="55" spans="1:20">
      <c r="A55" s="132"/>
      <c r="B55" s="133"/>
      <c r="C55" s="133"/>
      <c r="D55" s="133"/>
      <c r="E55" s="133"/>
      <c r="F55" s="133"/>
      <c r="G55" s="133"/>
      <c r="H55" s="133"/>
      <c r="I55" s="133"/>
      <c r="J55" s="133"/>
      <c r="K55" s="133"/>
      <c r="L55" s="133"/>
      <c r="M55" s="133"/>
      <c r="N55" s="133"/>
      <c r="O55" s="133"/>
      <c r="P55" s="133"/>
      <c r="Q55" s="133"/>
      <c r="R55" s="133" t="str">
        <f ca="1">IFERROR(__xludf.DUMMYFUNCTION("VALUE(REGEXEXTRACT(C55,""\d+""))"),"#N/A")</f>
        <v>#N/A</v>
      </c>
      <c r="S55" s="133" t="e">
        <f t="shared" si="0"/>
        <v>#DIV/0!</v>
      </c>
      <c r="T55" s="134"/>
    </row>
    <row r="56" spans="1:20">
      <c r="A56" s="130"/>
      <c r="B56" s="131"/>
      <c r="C56" s="131"/>
      <c r="D56" s="131"/>
      <c r="E56" s="131"/>
      <c r="F56" s="131"/>
      <c r="G56" s="131"/>
      <c r="H56" s="131"/>
      <c r="I56" s="131"/>
      <c r="J56" s="131"/>
      <c r="K56" s="131"/>
      <c r="L56" s="131"/>
      <c r="M56" s="131"/>
      <c r="N56" s="131"/>
      <c r="O56" s="131"/>
      <c r="P56" s="131"/>
      <c r="Q56" s="131"/>
      <c r="R56" s="131" t="str">
        <f ca="1">IFERROR(__xludf.DUMMYFUNCTION("VALUE(REGEXEXTRACT(C56,""\d+""))"),"#N/A")</f>
        <v>#N/A</v>
      </c>
      <c r="S56" s="131" t="e">
        <f t="shared" si="0"/>
        <v>#DIV/0!</v>
      </c>
      <c r="T56" s="135"/>
    </row>
    <row r="57" spans="1:20">
      <c r="A57" s="132"/>
      <c r="B57" s="133"/>
      <c r="C57" s="133"/>
      <c r="D57" s="133"/>
      <c r="E57" s="133"/>
      <c r="F57" s="133"/>
      <c r="G57" s="133"/>
      <c r="H57" s="133"/>
      <c r="I57" s="133"/>
      <c r="J57" s="133"/>
      <c r="K57" s="133"/>
      <c r="L57" s="133"/>
      <c r="M57" s="133"/>
      <c r="N57" s="133"/>
      <c r="O57" s="133"/>
      <c r="P57" s="133"/>
      <c r="Q57" s="133"/>
      <c r="R57" s="133" t="str">
        <f ca="1">IFERROR(__xludf.DUMMYFUNCTION("VALUE(REGEXEXTRACT(C57,""\d+""))"),"#N/A")</f>
        <v>#N/A</v>
      </c>
      <c r="S57" s="133" t="e">
        <f t="shared" si="0"/>
        <v>#DIV/0!</v>
      </c>
      <c r="T57" s="134"/>
    </row>
    <row r="58" spans="1:20">
      <c r="A58" s="130"/>
      <c r="B58" s="131"/>
      <c r="C58" s="131"/>
      <c r="D58" s="131"/>
      <c r="E58" s="131"/>
      <c r="F58" s="131"/>
      <c r="G58" s="131"/>
      <c r="H58" s="131"/>
      <c r="I58" s="131"/>
      <c r="J58" s="131"/>
      <c r="K58" s="131"/>
      <c r="L58" s="131"/>
      <c r="M58" s="131"/>
      <c r="N58" s="131"/>
      <c r="O58" s="131"/>
      <c r="P58" s="131"/>
      <c r="Q58" s="131"/>
      <c r="R58" s="131" t="str">
        <f ca="1">IFERROR(__xludf.DUMMYFUNCTION("VALUE(REGEXEXTRACT(C58,""\d+""))"),"#N/A")</f>
        <v>#N/A</v>
      </c>
      <c r="S58" s="131" t="e">
        <f t="shared" si="0"/>
        <v>#DIV/0!</v>
      </c>
      <c r="T58" s="135"/>
    </row>
    <row r="59" spans="1:20">
      <c r="A59" s="132"/>
      <c r="B59" s="133"/>
      <c r="C59" s="133"/>
      <c r="D59" s="133"/>
      <c r="E59" s="133"/>
      <c r="F59" s="133"/>
      <c r="G59" s="133"/>
      <c r="H59" s="133"/>
      <c r="I59" s="133"/>
      <c r="J59" s="133"/>
      <c r="K59" s="133"/>
      <c r="L59" s="133"/>
      <c r="M59" s="133"/>
      <c r="N59" s="133"/>
      <c r="O59" s="133"/>
      <c r="P59" s="133"/>
      <c r="Q59" s="133"/>
      <c r="R59" s="133" t="str">
        <f ca="1">IFERROR(__xludf.DUMMYFUNCTION("VALUE(REGEXEXTRACT(C59,""\d+""))"),"#N/A")</f>
        <v>#N/A</v>
      </c>
      <c r="S59" s="133" t="e">
        <f t="shared" si="0"/>
        <v>#DIV/0!</v>
      </c>
      <c r="T59" s="134"/>
    </row>
    <row r="60" spans="1:20">
      <c r="A60" s="130"/>
      <c r="B60" s="131"/>
      <c r="C60" s="131"/>
      <c r="D60" s="131"/>
      <c r="E60" s="131"/>
      <c r="F60" s="131"/>
      <c r="G60" s="131"/>
      <c r="H60" s="131"/>
      <c r="I60" s="131"/>
      <c r="J60" s="131"/>
      <c r="K60" s="131"/>
      <c r="L60" s="131"/>
      <c r="M60" s="131"/>
      <c r="N60" s="131"/>
      <c r="O60" s="131"/>
      <c r="P60" s="131"/>
      <c r="Q60" s="131"/>
      <c r="R60" s="131" t="str">
        <f ca="1">IFERROR(__xludf.DUMMYFUNCTION("VALUE(REGEXEXTRACT(C60,""\d+""))"),"#N/A")</f>
        <v>#N/A</v>
      </c>
      <c r="S60" s="131" t="e">
        <f t="shared" si="0"/>
        <v>#DIV/0!</v>
      </c>
      <c r="T60" s="135"/>
    </row>
    <row r="61" spans="1:20">
      <c r="A61" s="132"/>
      <c r="B61" s="133"/>
      <c r="C61" s="133"/>
      <c r="D61" s="133"/>
      <c r="E61" s="133"/>
      <c r="F61" s="133"/>
      <c r="G61" s="133"/>
      <c r="H61" s="133"/>
      <c r="I61" s="133"/>
      <c r="J61" s="133"/>
      <c r="K61" s="133"/>
      <c r="L61" s="133"/>
      <c r="M61" s="133"/>
      <c r="N61" s="133"/>
      <c r="O61" s="133"/>
      <c r="P61" s="133"/>
      <c r="Q61" s="133"/>
      <c r="R61" s="133" t="str">
        <f ca="1">IFERROR(__xludf.DUMMYFUNCTION("VALUE(REGEXEXTRACT(C61,""\d+""))"),"#N/A")</f>
        <v>#N/A</v>
      </c>
      <c r="S61" s="133" t="e">
        <f t="shared" si="0"/>
        <v>#DIV/0!</v>
      </c>
      <c r="T61" s="134"/>
    </row>
    <row r="62" spans="1:20">
      <c r="A62" s="130"/>
      <c r="B62" s="131"/>
      <c r="C62" s="131"/>
      <c r="D62" s="131"/>
      <c r="E62" s="131"/>
      <c r="F62" s="131"/>
      <c r="G62" s="131"/>
      <c r="H62" s="131"/>
      <c r="I62" s="131"/>
      <c r="J62" s="131"/>
      <c r="K62" s="131"/>
      <c r="L62" s="131"/>
      <c r="M62" s="131"/>
      <c r="N62" s="131"/>
      <c r="O62" s="131"/>
      <c r="P62" s="131"/>
      <c r="Q62" s="131"/>
      <c r="R62" s="131" t="str">
        <f ca="1">IFERROR(__xludf.DUMMYFUNCTION("VALUE(REGEXEXTRACT(C62,""\d+""))"),"#N/A")</f>
        <v>#N/A</v>
      </c>
      <c r="S62" s="131" t="e">
        <f t="shared" si="0"/>
        <v>#DIV/0!</v>
      </c>
      <c r="T62" s="135"/>
    </row>
    <row r="63" spans="1:20">
      <c r="A63" s="132"/>
      <c r="B63" s="133"/>
      <c r="C63" s="133"/>
      <c r="D63" s="133"/>
      <c r="E63" s="133"/>
      <c r="F63" s="133"/>
      <c r="G63" s="133"/>
      <c r="H63" s="133"/>
      <c r="I63" s="133"/>
      <c r="J63" s="133"/>
      <c r="K63" s="133"/>
      <c r="L63" s="133"/>
      <c r="M63" s="133"/>
      <c r="N63" s="133"/>
      <c r="O63" s="133"/>
      <c r="P63" s="133"/>
      <c r="Q63" s="133"/>
      <c r="R63" s="133" t="str">
        <f ca="1">IFERROR(__xludf.DUMMYFUNCTION("VALUE(REGEXEXTRACT(C63,""\d+""))"),"#N/A")</f>
        <v>#N/A</v>
      </c>
      <c r="S63" s="133" t="e">
        <f t="shared" si="0"/>
        <v>#DIV/0!</v>
      </c>
      <c r="T63" s="134"/>
    </row>
    <row r="64" spans="1:20">
      <c r="A64" s="130"/>
      <c r="B64" s="131"/>
      <c r="C64" s="131"/>
      <c r="D64" s="131"/>
      <c r="E64" s="131"/>
      <c r="F64" s="131"/>
      <c r="G64" s="131"/>
      <c r="H64" s="131"/>
      <c r="I64" s="131"/>
      <c r="J64" s="131"/>
      <c r="K64" s="131"/>
      <c r="L64" s="131"/>
      <c r="M64" s="131"/>
      <c r="N64" s="131"/>
      <c r="O64" s="131"/>
      <c r="P64" s="131"/>
      <c r="Q64" s="131"/>
      <c r="R64" s="131" t="str">
        <f ca="1">IFERROR(__xludf.DUMMYFUNCTION("VALUE(REGEXEXTRACT(C64,""\d+""))"),"#N/A")</f>
        <v>#N/A</v>
      </c>
      <c r="S64" s="131" t="e">
        <f t="shared" si="0"/>
        <v>#DIV/0!</v>
      </c>
      <c r="T64" s="135"/>
    </row>
    <row r="65" spans="1:20">
      <c r="A65" s="132"/>
      <c r="B65" s="133"/>
      <c r="C65" s="133"/>
      <c r="D65" s="133"/>
      <c r="E65" s="133"/>
      <c r="F65" s="133"/>
      <c r="G65" s="133"/>
      <c r="H65" s="133"/>
      <c r="I65" s="133"/>
      <c r="J65" s="133"/>
      <c r="K65" s="133"/>
      <c r="L65" s="133"/>
      <c r="M65" s="133"/>
      <c r="N65" s="133"/>
      <c r="O65" s="133"/>
      <c r="P65" s="133"/>
      <c r="Q65" s="133"/>
      <c r="R65" s="133" t="str">
        <f ca="1">IFERROR(__xludf.DUMMYFUNCTION("VALUE(REGEXEXTRACT(C65,""\d+""))"),"#N/A")</f>
        <v>#N/A</v>
      </c>
      <c r="S65" s="133" t="e">
        <f t="shared" si="0"/>
        <v>#DIV/0!</v>
      </c>
      <c r="T65" s="134"/>
    </row>
    <row r="66" spans="1:20">
      <c r="A66" s="136"/>
      <c r="B66" s="137"/>
      <c r="C66" s="137"/>
      <c r="D66" s="137"/>
      <c r="E66" s="137"/>
      <c r="F66" s="137"/>
      <c r="G66" s="137"/>
      <c r="H66" s="137"/>
      <c r="I66" s="137"/>
      <c r="J66" s="137"/>
      <c r="K66" s="137"/>
      <c r="L66" s="137"/>
      <c r="M66" s="137"/>
      <c r="N66" s="137"/>
      <c r="O66" s="137"/>
      <c r="P66" s="137"/>
      <c r="Q66" s="137"/>
      <c r="R66" s="137" t="str">
        <f ca="1">IFERROR(__xludf.DUMMYFUNCTION("VALUE(REGEXEXTRACT(C66,""\d+""))"),"#N/A")</f>
        <v>#N/A</v>
      </c>
      <c r="S66" s="137" t="e">
        <f t="shared" si="0"/>
        <v>#DIV/0!</v>
      </c>
      <c r="T66" s="138"/>
    </row>
  </sheetData>
  <hyperlinks>
    <hyperlink ref="G1" r:id="rId1" location="heading=h.p06yq51kyfqn" xr:uid="{00000000-0004-0000-0500-000000000000}"/>
    <hyperlink ref="H1" r:id="rId2" location="heading=h.p06yq51kyfqn" xr:uid="{00000000-0004-0000-0500-000001000000}"/>
    <hyperlink ref="N1" r:id="rId3" location="heading=h.p06yq51kyfqn" xr:uid="{00000000-0004-0000-0500-000002000000}"/>
    <hyperlink ref="O1" r:id="rId4" location="heading=h.p06yq51kyfqn" xr:uid="{00000000-0004-0000-0500-000003000000}"/>
    <hyperlink ref="P1" r:id="rId5" location="heading=h.p06yq51kyfqn" xr:uid="{00000000-0004-0000-0500-000004000000}"/>
  </hyperlinks>
  <pageMargins left="0.7" right="0.7" top="0.75" bottom="0.75" header="0.3" footer="0.3"/>
  <tableParts count="1">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A82"/>
  <sheetViews>
    <sheetView workbookViewId="0"/>
  </sheetViews>
  <sheetFormatPr defaultColWidth="12.5703125" defaultRowHeight="15.75" customHeight="1"/>
  <cols>
    <col min="1" max="1" width="10.140625" customWidth="1"/>
    <col min="2" max="2" width="11.42578125" customWidth="1"/>
    <col min="3" max="3" width="12.28515625" customWidth="1"/>
    <col min="4" max="5" width="13" customWidth="1"/>
    <col min="6" max="6" width="20.85546875" customWidth="1"/>
    <col min="7" max="7" width="24.7109375" customWidth="1"/>
    <col min="8" max="8" width="27.7109375" customWidth="1"/>
    <col min="9" max="9" width="20.85546875" customWidth="1"/>
    <col min="10" max="10" width="16.85546875" customWidth="1"/>
    <col min="11" max="11" width="19.7109375" customWidth="1"/>
    <col min="12" max="12" width="15.28515625" customWidth="1"/>
    <col min="13" max="13" width="21.140625" customWidth="1"/>
    <col min="14" max="14" width="21.85546875" customWidth="1"/>
    <col min="15" max="15" width="21.140625" customWidth="1"/>
    <col min="16" max="16" width="21.85546875" customWidth="1"/>
    <col min="17" max="17" width="21.140625" customWidth="1"/>
    <col min="18" max="18" width="21.85546875" customWidth="1"/>
    <col min="19" max="19" width="382.42578125" customWidth="1"/>
    <col min="20" max="20" width="21" customWidth="1"/>
    <col min="21" max="21" width="23.28515625" customWidth="1"/>
    <col min="22" max="22" width="17.42578125" customWidth="1"/>
    <col min="23" max="23" width="21.42578125" customWidth="1"/>
    <col min="24" max="24" width="382.42578125" customWidth="1"/>
    <col min="25" max="25" width="22.28515625" customWidth="1"/>
    <col min="26" max="26" width="18.7109375" customWidth="1"/>
    <col min="27" max="27" width="22.5703125" customWidth="1"/>
    <col min="28" max="28" width="18.28515625" customWidth="1"/>
    <col min="29" max="29" width="20.42578125" customWidth="1"/>
    <col min="30" max="30" width="21" customWidth="1"/>
    <col min="31" max="31" width="25.42578125" customWidth="1"/>
    <col min="32" max="32" width="24.140625" customWidth="1"/>
    <col min="33" max="33" width="24.42578125" customWidth="1"/>
    <col min="34" max="34" width="25" customWidth="1"/>
    <col min="35" max="35" width="26.42578125" customWidth="1"/>
    <col min="36" max="36" width="16.7109375" customWidth="1"/>
    <col min="37" max="37" width="20.28515625" customWidth="1"/>
    <col min="38" max="42" width="18.7109375" customWidth="1"/>
    <col min="43" max="43" width="17.140625" customWidth="1"/>
    <col min="44" max="44" width="11.140625" customWidth="1"/>
    <col min="45" max="45" width="17.5703125" customWidth="1"/>
    <col min="46" max="46" width="15.28515625" customWidth="1"/>
    <col min="47" max="47" width="21.140625" customWidth="1"/>
    <col min="48" max="48" width="21.85546875" customWidth="1"/>
    <col min="49" max="49" width="21.140625" customWidth="1"/>
    <col min="50" max="50" width="21.85546875" customWidth="1"/>
    <col min="51" max="51" width="21.140625" customWidth="1"/>
    <col min="52" max="52" width="21.85546875" customWidth="1"/>
    <col min="53" max="53" width="382.42578125" customWidth="1"/>
    <col min="54" max="54" width="21" customWidth="1"/>
    <col min="55" max="55" width="23.28515625" customWidth="1"/>
    <col min="56" max="56" width="17.42578125" customWidth="1"/>
    <col min="57" max="57" width="21.42578125" customWidth="1"/>
    <col min="58" max="58" width="382.42578125" customWidth="1"/>
    <col min="59" max="59" width="22.28515625" customWidth="1"/>
    <col min="60" max="60" width="18.7109375" customWidth="1"/>
    <col min="61" max="61" width="22.5703125" customWidth="1"/>
    <col min="62" max="62" width="18.28515625" customWidth="1"/>
    <col min="63" max="63" width="20.42578125" customWidth="1"/>
    <col min="64" max="64" width="21" customWidth="1"/>
    <col min="65" max="65" width="25.42578125" customWidth="1"/>
    <col min="66" max="66" width="24.140625" customWidth="1"/>
    <col min="67" max="67" width="24.42578125" customWidth="1"/>
    <col min="68" max="68" width="25" customWidth="1"/>
    <col min="69" max="69" width="26.42578125" customWidth="1"/>
    <col min="70" max="70" width="16.7109375" customWidth="1"/>
    <col min="71" max="71" width="20.28515625" customWidth="1"/>
    <col min="72" max="76" width="18.7109375" customWidth="1"/>
    <col min="77" max="77" width="17.140625" customWidth="1"/>
    <col min="78" max="78" width="11.140625" customWidth="1"/>
    <col min="79" max="79" width="17.5703125" customWidth="1"/>
  </cols>
  <sheetData>
    <row r="1" spans="1:79">
      <c r="A1" s="6" t="s">
        <v>201</v>
      </c>
      <c r="B1" s="6" t="s">
        <v>202</v>
      </c>
      <c r="C1" s="6" t="s">
        <v>203</v>
      </c>
      <c r="D1" s="6" t="s">
        <v>204</v>
      </c>
      <c r="E1" s="6" t="s">
        <v>205</v>
      </c>
      <c r="F1" s="6" t="s">
        <v>206</v>
      </c>
      <c r="G1" s="6" t="s">
        <v>207</v>
      </c>
      <c r="H1" s="6" t="s">
        <v>208</v>
      </c>
      <c r="I1" s="6" t="s">
        <v>209</v>
      </c>
      <c r="J1" s="6" t="s">
        <v>210</v>
      </c>
      <c r="K1" s="6" t="s">
        <v>211</v>
      </c>
      <c r="L1" s="6" t="s">
        <v>212</v>
      </c>
      <c r="M1" s="6" t="s">
        <v>213</v>
      </c>
      <c r="N1" s="6" t="s">
        <v>214</v>
      </c>
      <c r="O1" s="6" t="s">
        <v>215</v>
      </c>
      <c r="P1" s="6" t="s">
        <v>216</v>
      </c>
      <c r="Q1" s="6" t="s">
        <v>217</v>
      </c>
      <c r="R1" s="6" t="s">
        <v>218</v>
      </c>
      <c r="S1" s="6" t="s">
        <v>219</v>
      </c>
      <c r="T1" s="6" t="s">
        <v>220</v>
      </c>
      <c r="U1" s="6" t="s">
        <v>221</v>
      </c>
      <c r="V1" s="6" t="s">
        <v>222</v>
      </c>
      <c r="W1" s="6" t="s">
        <v>223</v>
      </c>
      <c r="X1" s="6" t="s">
        <v>224</v>
      </c>
      <c r="Y1" s="6" t="s">
        <v>225</v>
      </c>
      <c r="Z1" s="6" t="s">
        <v>226</v>
      </c>
      <c r="AA1" s="6" t="s">
        <v>227</v>
      </c>
      <c r="AB1" s="6" t="s">
        <v>228</v>
      </c>
      <c r="AC1" s="6" t="s">
        <v>229</v>
      </c>
      <c r="AD1" s="6" t="s">
        <v>230</v>
      </c>
      <c r="AE1" s="6" t="s">
        <v>231</v>
      </c>
      <c r="AF1" s="6" t="s">
        <v>232</v>
      </c>
      <c r="AG1" s="6" t="s">
        <v>233</v>
      </c>
      <c r="AH1" s="6" t="s">
        <v>234</v>
      </c>
      <c r="AI1" s="6" t="s">
        <v>235</v>
      </c>
      <c r="AJ1" s="6" t="s">
        <v>236</v>
      </c>
      <c r="AK1" s="6" t="s">
        <v>237</v>
      </c>
      <c r="AL1" s="6" t="s">
        <v>238</v>
      </c>
      <c r="AM1" s="6" t="s">
        <v>239</v>
      </c>
      <c r="AN1" s="6" t="s">
        <v>240</v>
      </c>
      <c r="AO1" s="6" t="s">
        <v>241</v>
      </c>
      <c r="AP1" s="6" t="s">
        <v>242</v>
      </c>
      <c r="AQ1" s="6" t="s">
        <v>243</v>
      </c>
      <c r="AR1" s="6" t="s">
        <v>244</v>
      </c>
      <c r="AS1" s="6" t="s">
        <v>245</v>
      </c>
      <c r="AT1" s="6" t="s">
        <v>246</v>
      </c>
      <c r="AU1" s="6" t="s">
        <v>247</v>
      </c>
      <c r="AV1" s="6" t="s">
        <v>248</v>
      </c>
      <c r="AW1" s="6" t="s">
        <v>249</v>
      </c>
      <c r="AX1" s="6" t="s">
        <v>250</v>
      </c>
      <c r="AY1" s="6" t="s">
        <v>251</v>
      </c>
      <c r="AZ1" s="6" t="s">
        <v>252</v>
      </c>
      <c r="BA1" s="6" t="s">
        <v>253</v>
      </c>
      <c r="BB1" s="6" t="s">
        <v>254</v>
      </c>
      <c r="BC1" s="6" t="s">
        <v>255</v>
      </c>
      <c r="BD1" s="6" t="s">
        <v>256</v>
      </c>
      <c r="BE1" s="6" t="s">
        <v>257</v>
      </c>
      <c r="BF1" s="6" t="s">
        <v>258</v>
      </c>
      <c r="BG1" s="6" t="s">
        <v>259</v>
      </c>
      <c r="BH1" s="6" t="s">
        <v>260</v>
      </c>
      <c r="BI1" s="6" t="s">
        <v>261</v>
      </c>
      <c r="BJ1" s="6" t="s">
        <v>262</v>
      </c>
      <c r="BK1" s="6" t="s">
        <v>263</v>
      </c>
      <c r="BL1" s="6" t="s">
        <v>264</v>
      </c>
      <c r="BM1" s="6" t="s">
        <v>265</v>
      </c>
      <c r="BN1" s="6" t="s">
        <v>266</v>
      </c>
      <c r="BO1" s="6" t="s">
        <v>267</v>
      </c>
      <c r="BP1" s="6" t="s">
        <v>268</v>
      </c>
      <c r="BQ1" s="6" t="s">
        <v>269</v>
      </c>
      <c r="BR1" s="6" t="s">
        <v>270</v>
      </c>
      <c r="BS1" s="6" t="s">
        <v>271</v>
      </c>
      <c r="BT1" s="6" t="s">
        <v>272</v>
      </c>
      <c r="BU1" s="6" t="s">
        <v>273</v>
      </c>
      <c r="BV1" s="6" t="s">
        <v>274</v>
      </c>
      <c r="BW1" s="6" t="s">
        <v>275</v>
      </c>
      <c r="BX1" s="6" t="s">
        <v>276</v>
      </c>
      <c r="BY1" s="6" t="s">
        <v>277</v>
      </c>
      <c r="BZ1" s="6" t="s">
        <v>278</v>
      </c>
      <c r="CA1" s="6" t="s">
        <v>279</v>
      </c>
    </row>
    <row r="2" spans="1:79">
      <c r="A2" s="6" t="s">
        <v>280</v>
      </c>
      <c r="B2" s="6">
        <v>1</v>
      </c>
      <c r="C2" s="6">
        <v>1</v>
      </c>
      <c r="D2" s="6">
        <v>-1</v>
      </c>
      <c r="F2" s="6" t="b">
        <v>1</v>
      </c>
      <c r="G2" s="6">
        <v>3</v>
      </c>
      <c r="H2" s="6">
        <v>4</v>
      </c>
      <c r="I2" s="6">
        <v>3</v>
      </c>
      <c r="J2" s="6">
        <v>0</v>
      </c>
      <c r="K2" s="6">
        <v>1</v>
      </c>
      <c r="L2" s="6" t="s">
        <v>281</v>
      </c>
      <c r="M2" s="6" t="s">
        <v>141</v>
      </c>
      <c r="N2" s="6" t="s">
        <v>282</v>
      </c>
      <c r="O2" s="6" t="s">
        <v>141</v>
      </c>
      <c r="P2" s="6" t="s">
        <v>283</v>
      </c>
      <c r="Q2" s="6" t="s">
        <v>153</v>
      </c>
      <c r="R2" s="6" t="s">
        <v>283</v>
      </c>
      <c r="S2" s="6" t="s">
        <v>284</v>
      </c>
      <c r="T2" s="6">
        <v>0</v>
      </c>
      <c r="U2" s="6">
        <v>6</v>
      </c>
      <c r="V2" s="6">
        <v>6</v>
      </c>
      <c r="W2" s="6">
        <v>0</v>
      </c>
      <c r="X2" s="6" t="s">
        <v>285</v>
      </c>
      <c r="Y2" s="6">
        <v>7</v>
      </c>
      <c r="Z2" s="6">
        <v>48</v>
      </c>
      <c r="AA2" s="6">
        <v>14</v>
      </c>
      <c r="AB2" s="6">
        <v>32</v>
      </c>
      <c r="AC2" s="6">
        <v>5</v>
      </c>
      <c r="AD2" s="6">
        <v>2</v>
      </c>
      <c r="AE2" s="6">
        <v>2</v>
      </c>
      <c r="AF2" s="6" t="b">
        <v>0</v>
      </c>
      <c r="AG2" s="6" t="b">
        <v>0</v>
      </c>
      <c r="AH2" s="6" t="b">
        <v>0</v>
      </c>
      <c r="AI2" s="6" t="b">
        <v>1</v>
      </c>
      <c r="AJ2" s="6">
        <v>0</v>
      </c>
      <c r="AK2" s="6">
        <v>2</v>
      </c>
      <c r="AL2" s="6" t="b">
        <v>0</v>
      </c>
      <c r="AM2" s="6" t="b">
        <v>0</v>
      </c>
      <c r="AN2" s="6" t="b">
        <v>0</v>
      </c>
      <c r="AO2" s="6" t="b">
        <v>0</v>
      </c>
      <c r="AP2" s="6">
        <v>0</v>
      </c>
      <c r="AQ2" s="6">
        <v>0</v>
      </c>
      <c r="AR2" s="6">
        <v>0</v>
      </c>
      <c r="AS2" s="6">
        <v>54</v>
      </c>
      <c r="AT2" s="6" t="s">
        <v>286</v>
      </c>
      <c r="AU2" s="6" t="s">
        <v>153</v>
      </c>
      <c r="AV2" s="6" t="s">
        <v>283</v>
      </c>
      <c r="AW2" s="6" t="s">
        <v>153</v>
      </c>
      <c r="AX2" s="6" t="s">
        <v>282</v>
      </c>
      <c r="AY2" s="6" t="s">
        <v>141</v>
      </c>
      <c r="AZ2" s="6" t="s">
        <v>282</v>
      </c>
      <c r="BA2" s="6" t="s">
        <v>287</v>
      </c>
      <c r="BB2" s="6">
        <v>2</v>
      </c>
      <c r="BC2" s="6">
        <v>3</v>
      </c>
      <c r="BD2" s="6">
        <v>9</v>
      </c>
      <c r="BE2" s="6">
        <v>6</v>
      </c>
      <c r="BF2" s="6" t="s">
        <v>288</v>
      </c>
      <c r="BG2" s="6">
        <v>10</v>
      </c>
      <c r="BH2" s="6">
        <v>55</v>
      </c>
      <c r="BI2" s="6">
        <v>35</v>
      </c>
      <c r="BJ2" s="6">
        <v>16</v>
      </c>
      <c r="BK2" s="6">
        <v>1</v>
      </c>
      <c r="BL2" s="6">
        <v>2</v>
      </c>
      <c r="BM2" s="6">
        <v>4</v>
      </c>
      <c r="BN2" s="6" t="b">
        <v>0</v>
      </c>
      <c r="BO2" s="6" t="b">
        <v>0</v>
      </c>
      <c r="BP2" s="6" t="b">
        <v>0</v>
      </c>
      <c r="BQ2" s="6" t="b">
        <v>0</v>
      </c>
      <c r="BR2" s="6">
        <v>0</v>
      </c>
      <c r="BS2" s="6">
        <v>0</v>
      </c>
      <c r="BT2" s="6" t="b">
        <v>0</v>
      </c>
      <c r="BU2" s="6" t="b">
        <v>0</v>
      </c>
      <c r="BV2" s="6" t="b">
        <v>0</v>
      </c>
      <c r="BW2" s="6" t="b">
        <v>0</v>
      </c>
      <c r="BX2" s="6">
        <v>0</v>
      </c>
      <c r="BY2" s="6">
        <v>12</v>
      </c>
      <c r="BZ2" s="6">
        <v>3</v>
      </c>
      <c r="CA2" s="6">
        <v>76</v>
      </c>
    </row>
    <row r="3" spans="1:79">
      <c r="A3" s="6" t="s">
        <v>280</v>
      </c>
      <c r="B3" s="6">
        <v>2</v>
      </c>
      <c r="C3" s="6">
        <v>2</v>
      </c>
      <c r="D3" s="6">
        <v>-1</v>
      </c>
      <c r="F3" s="6" t="b">
        <v>0</v>
      </c>
      <c r="G3" s="6">
        <v>3</v>
      </c>
      <c r="H3" s="6">
        <v>4</v>
      </c>
      <c r="I3" s="6">
        <v>4</v>
      </c>
      <c r="J3" s="6">
        <v>0</v>
      </c>
      <c r="K3" s="6">
        <v>1</v>
      </c>
      <c r="L3" s="6" t="s">
        <v>281</v>
      </c>
      <c r="M3" s="6" t="s">
        <v>141</v>
      </c>
      <c r="N3" s="6" t="s">
        <v>283</v>
      </c>
      <c r="O3" s="6" t="s">
        <v>153</v>
      </c>
      <c r="P3" s="6" t="s">
        <v>282</v>
      </c>
      <c r="Q3" s="6" t="s">
        <v>153</v>
      </c>
      <c r="R3" s="6" t="s">
        <v>283</v>
      </c>
      <c r="S3" s="6" t="s">
        <v>289</v>
      </c>
      <c r="T3" s="6">
        <v>0</v>
      </c>
      <c r="U3" s="6">
        <v>3</v>
      </c>
      <c r="V3" s="6">
        <v>3</v>
      </c>
      <c r="W3" s="6">
        <v>0</v>
      </c>
      <c r="X3" s="6" t="s">
        <v>290</v>
      </c>
      <c r="Y3" s="6">
        <v>11</v>
      </c>
      <c r="Z3" s="6">
        <v>57</v>
      </c>
      <c r="AA3" s="6">
        <v>55</v>
      </c>
      <c r="AB3" s="6">
        <v>0</v>
      </c>
      <c r="AC3" s="6">
        <v>0</v>
      </c>
      <c r="AD3" s="6">
        <v>0</v>
      </c>
      <c r="AE3" s="6">
        <v>2</v>
      </c>
      <c r="AF3" s="6" t="b">
        <v>0</v>
      </c>
      <c r="AG3" s="6" t="b">
        <v>0</v>
      </c>
      <c r="AH3" s="6" t="b">
        <v>1</v>
      </c>
      <c r="AI3" s="6" t="b">
        <v>0</v>
      </c>
      <c r="AJ3" s="6">
        <v>0</v>
      </c>
      <c r="AK3" s="6">
        <v>1</v>
      </c>
      <c r="AL3" s="6" t="b">
        <v>0</v>
      </c>
      <c r="AM3" s="6" t="b">
        <v>0</v>
      </c>
      <c r="AN3" s="6" t="b">
        <v>0</v>
      </c>
      <c r="AO3" s="6" t="b">
        <v>0</v>
      </c>
      <c r="AP3" s="6">
        <v>0</v>
      </c>
      <c r="AQ3" s="6">
        <v>12</v>
      </c>
      <c r="AR3" s="6">
        <v>4</v>
      </c>
      <c r="AS3" s="6">
        <v>72</v>
      </c>
      <c r="AT3" s="6" t="s">
        <v>286</v>
      </c>
      <c r="AU3" s="6" t="s">
        <v>153</v>
      </c>
      <c r="AV3" s="6" t="s">
        <v>282</v>
      </c>
      <c r="AW3" s="6" t="s">
        <v>141</v>
      </c>
      <c r="AX3" s="6" t="s">
        <v>282</v>
      </c>
      <c r="AY3" s="6" t="s">
        <v>141</v>
      </c>
      <c r="AZ3" s="6" t="s">
        <v>282</v>
      </c>
      <c r="BA3" s="6" t="s">
        <v>291</v>
      </c>
      <c r="BB3" s="6">
        <v>0</v>
      </c>
      <c r="BC3" s="6">
        <v>6</v>
      </c>
      <c r="BD3" s="6">
        <v>6</v>
      </c>
      <c r="BE3" s="6">
        <v>0</v>
      </c>
      <c r="BF3" s="6" t="s">
        <v>292</v>
      </c>
      <c r="BG3" s="6">
        <v>5</v>
      </c>
      <c r="BH3" s="6">
        <v>31</v>
      </c>
      <c r="BI3" s="6">
        <v>25</v>
      </c>
      <c r="BJ3" s="6">
        <v>0</v>
      </c>
      <c r="BK3" s="6">
        <v>0</v>
      </c>
      <c r="BL3" s="6">
        <v>0</v>
      </c>
      <c r="BM3" s="6">
        <v>6</v>
      </c>
      <c r="BN3" s="6" t="b">
        <v>0</v>
      </c>
      <c r="BO3" s="6" t="b">
        <v>0</v>
      </c>
      <c r="BP3" s="6" t="b">
        <v>0</v>
      </c>
      <c r="BQ3" s="6" t="b">
        <v>0</v>
      </c>
      <c r="BR3" s="6">
        <v>0</v>
      </c>
      <c r="BS3" s="6">
        <v>2</v>
      </c>
      <c r="BT3" s="6" t="b">
        <v>0</v>
      </c>
      <c r="BU3" s="6" t="b">
        <v>0</v>
      </c>
      <c r="BV3" s="6" t="b">
        <v>1</v>
      </c>
      <c r="BW3" s="6" t="b">
        <v>0</v>
      </c>
      <c r="BX3" s="6">
        <v>0</v>
      </c>
      <c r="BY3" s="6">
        <v>6</v>
      </c>
      <c r="BZ3" s="6">
        <v>0</v>
      </c>
      <c r="CA3" s="6">
        <v>43</v>
      </c>
    </row>
    <row r="4" spans="1:79">
      <c r="A4" s="6" t="s">
        <v>280</v>
      </c>
      <c r="B4" s="6">
        <v>3</v>
      </c>
      <c r="C4" s="6">
        <v>1</v>
      </c>
      <c r="D4" s="6">
        <v>-1</v>
      </c>
      <c r="F4" s="6" t="b">
        <v>0</v>
      </c>
      <c r="G4" s="6">
        <v>3</v>
      </c>
      <c r="H4" s="6">
        <v>4</v>
      </c>
      <c r="I4" s="6">
        <v>4</v>
      </c>
      <c r="J4" s="6">
        <v>0</v>
      </c>
      <c r="K4" s="6">
        <v>1</v>
      </c>
      <c r="L4" s="6" t="s">
        <v>281</v>
      </c>
      <c r="M4" s="6" t="s">
        <v>141</v>
      </c>
      <c r="N4" s="6" t="s">
        <v>293</v>
      </c>
      <c r="O4" s="6" t="s">
        <v>153</v>
      </c>
      <c r="P4" s="6" t="s">
        <v>282</v>
      </c>
      <c r="Q4" s="6" t="s">
        <v>141</v>
      </c>
      <c r="R4" s="6" t="s">
        <v>283</v>
      </c>
      <c r="S4" s="6" t="s">
        <v>294</v>
      </c>
      <c r="T4" s="6">
        <v>0</v>
      </c>
      <c r="U4" s="6">
        <v>6</v>
      </c>
      <c r="V4" s="6">
        <v>6</v>
      </c>
      <c r="W4" s="6">
        <v>0</v>
      </c>
      <c r="X4" s="6" t="s">
        <v>295</v>
      </c>
      <c r="Y4" s="6">
        <v>4</v>
      </c>
      <c r="Z4" s="6">
        <v>35</v>
      </c>
      <c r="AA4" s="6">
        <v>17</v>
      </c>
      <c r="AB4" s="6">
        <v>4</v>
      </c>
      <c r="AC4" s="6">
        <v>1</v>
      </c>
      <c r="AD4" s="6">
        <v>0</v>
      </c>
      <c r="AE4" s="6">
        <v>14</v>
      </c>
      <c r="AF4" s="6" t="b">
        <v>0</v>
      </c>
      <c r="AG4" s="6" t="b">
        <v>0</v>
      </c>
      <c r="AH4" s="6" t="b">
        <v>1</v>
      </c>
      <c r="AI4" s="6" t="b">
        <v>0</v>
      </c>
      <c r="AJ4" s="6">
        <v>0</v>
      </c>
      <c r="AK4" s="6">
        <v>0</v>
      </c>
      <c r="AL4" s="6" t="b">
        <v>0</v>
      </c>
      <c r="AM4" s="6" t="b">
        <v>0</v>
      </c>
      <c r="AN4" s="6" t="b">
        <v>0</v>
      </c>
      <c r="AO4" s="6" t="b">
        <v>0</v>
      </c>
      <c r="AP4" s="6">
        <v>0</v>
      </c>
      <c r="AQ4" s="6">
        <v>2</v>
      </c>
      <c r="AR4" s="6">
        <v>1</v>
      </c>
      <c r="AS4" s="6">
        <v>43</v>
      </c>
      <c r="AT4" s="6" t="s">
        <v>286</v>
      </c>
      <c r="AU4" s="6" t="s">
        <v>141</v>
      </c>
      <c r="AV4" s="6" t="s">
        <v>282</v>
      </c>
      <c r="AW4" s="6" t="s">
        <v>153</v>
      </c>
      <c r="AX4" s="6" t="s">
        <v>282</v>
      </c>
      <c r="AY4" s="6" t="s">
        <v>141</v>
      </c>
      <c r="AZ4" s="6" t="s">
        <v>282</v>
      </c>
      <c r="BA4" s="6" t="s">
        <v>296</v>
      </c>
      <c r="BB4" s="6">
        <v>2</v>
      </c>
      <c r="BC4" s="6">
        <v>6</v>
      </c>
      <c r="BD4" s="6">
        <v>20</v>
      </c>
      <c r="BE4" s="6">
        <v>14</v>
      </c>
      <c r="BF4" s="6" t="s">
        <v>297</v>
      </c>
      <c r="BG4" s="6">
        <v>10</v>
      </c>
      <c r="BH4" s="6">
        <v>53</v>
      </c>
      <c r="BI4" s="6">
        <v>35</v>
      </c>
      <c r="BJ4" s="6">
        <v>12</v>
      </c>
      <c r="BK4" s="6">
        <v>0</v>
      </c>
      <c r="BL4" s="6">
        <v>2</v>
      </c>
      <c r="BM4" s="6">
        <v>6</v>
      </c>
      <c r="BN4" s="6" t="b">
        <v>0</v>
      </c>
      <c r="BO4" s="6" t="b">
        <v>0</v>
      </c>
      <c r="BP4" s="6" t="b">
        <v>0</v>
      </c>
      <c r="BQ4" s="6" t="b">
        <v>0</v>
      </c>
      <c r="BR4" s="6">
        <v>1</v>
      </c>
      <c r="BS4" s="6">
        <v>0</v>
      </c>
      <c r="BT4" s="6" t="b">
        <v>0</v>
      </c>
      <c r="BU4" s="6" t="b">
        <v>0</v>
      </c>
      <c r="BV4" s="6" t="b">
        <v>0</v>
      </c>
      <c r="BW4" s="6" t="b">
        <v>0</v>
      </c>
      <c r="BX4" s="6">
        <v>0</v>
      </c>
      <c r="BY4" s="6">
        <v>0</v>
      </c>
      <c r="BZ4" s="6">
        <v>3</v>
      </c>
      <c r="CA4" s="6">
        <v>73</v>
      </c>
    </row>
    <row r="5" spans="1:79">
      <c r="A5" s="6" t="s">
        <v>280</v>
      </c>
      <c r="B5" s="6">
        <v>4</v>
      </c>
      <c r="C5" s="6">
        <v>2</v>
      </c>
      <c r="D5" s="6">
        <v>-1</v>
      </c>
      <c r="F5" s="6" t="b">
        <v>0</v>
      </c>
      <c r="G5" s="6">
        <v>3</v>
      </c>
      <c r="H5" s="6">
        <v>4</v>
      </c>
      <c r="I5" s="6">
        <v>4</v>
      </c>
      <c r="J5" s="6">
        <v>0</v>
      </c>
      <c r="K5" s="6">
        <v>1</v>
      </c>
      <c r="L5" s="6" t="s">
        <v>281</v>
      </c>
      <c r="M5" s="6" t="s">
        <v>141</v>
      </c>
      <c r="N5" s="6" t="s">
        <v>282</v>
      </c>
      <c r="O5" s="6" t="s">
        <v>141</v>
      </c>
      <c r="P5" s="6" t="s">
        <v>282</v>
      </c>
      <c r="Q5" s="6" t="s">
        <v>141</v>
      </c>
      <c r="R5" s="6" t="s">
        <v>282</v>
      </c>
      <c r="S5" s="6" t="s">
        <v>298</v>
      </c>
      <c r="T5" s="6">
        <v>1</v>
      </c>
      <c r="U5" s="6">
        <v>9</v>
      </c>
      <c r="V5" s="6">
        <v>16</v>
      </c>
      <c r="W5" s="6">
        <v>7</v>
      </c>
      <c r="X5" s="6" t="s">
        <v>299</v>
      </c>
      <c r="Y5" s="6">
        <v>9</v>
      </c>
      <c r="Z5" s="6">
        <v>57</v>
      </c>
      <c r="AA5" s="6">
        <v>41</v>
      </c>
      <c r="AB5" s="6">
        <v>10</v>
      </c>
      <c r="AC5" s="6">
        <v>1</v>
      </c>
      <c r="AD5" s="6">
        <v>1</v>
      </c>
      <c r="AE5" s="6">
        <v>6</v>
      </c>
      <c r="AF5" s="6" t="b">
        <v>1</v>
      </c>
      <c r="AG5" s="6" t="b">
        <v>0</v>
      </c>
      <c r="AH5" s="6" t="b">
        <v>1</v>
      </c>
      <c r="AI5" s="6" t="b">
        <v>0</v>
      </c>
      <c r="AJ5" s="6">
        <v>0</v>
      </c>
      <c r="AK5" s="6">
        <v>0</v>
      </c>
      <c r="AL5" s="6" t="b">
        <v>0</v>
      </c>
      <c r="AM5" s="6" t="b">
        <v>0</v>
      </c>
      <c r="AN5" s="6" t="b">
        <v>0</v>
      </c>
      <c r="AO5" s="6" t="b">
        <v>0</v>
      </c>
      <c r="AP5" s="6">
        <v>0</v>
      </c>
      <c r="AQ5" s="6">
        <v>12</v>
      </c>
      <c r="AR5" s="6">
        <v>5</v>
      </c>
      <c r="AS5" s="6">
        <v>85</v>
      </c>
      <c r="AT5" s="6" t="s">
        <v>286</v>
      </c>
      <c r="AU5" s="6" t="s">
        <v>141</v>
      </c>
      <c r="AV5" s="6" t="s">
        <v>282</v>
      </c>
      <c r="AW5" s="6" t="s">
        <v>153</v>
      </c>
      <c r="AX5" s="6" t="s">
        <v>293</v>
      </c>
      <c r="AY5" s="6" t="s">
        <v>153</v>
      </c>
      <c r="AZ5" s="6" t="s">
        <v>283</v>
      </c>
      <c r="BA5" s="6" t="s">
        <v>300</v>
      </c>
      <c r="BB5" s="6">
        <v>0</v>
      </c>
      <c r="BC5" s="6">
        <v>3</v>
      </c>
      <c r="BD5" s="6">
        <v>3</v>
      </c>
      <c r="BE5" s="6">
        <v>0</v>
      </c>
      <c r="BF5" s="6" t="s">
        <v>301</v>
      </c>
      <c r="BG5" s="6">
        <v>5</v>
      </c>
      <c r="BH5" s="6">
        <v>43</v>
      </c>
      <c r="BI5" s="6">
        <v>25</v>
      </c>
      <c r="BJ5" s="6">
        <v>4</v>
      </c>
      <c r="BK5" s="6">
        <v>1</v>
      </c>
      <c r="BL5" s="6">
        <v>0</v>
      </c>
      <c r="BM5" s="6">
        <v>14</v>
      </c>
      <c r="BN5" s="6" t="b">
        <v>0</v>
      </c>
      <c r="BO5" s="6" t="b">
        <v>0</v>
      </c>
      <c r="BP5" s="6" t="b">
        <v>1</v>
      </c>
      <c r="BQ5" s="6" t="b">
        <v>0</v>
      </c>
      <c r="BR5" s="6">
        <v>0</v>
      </c>
      <c r="BS5" s="6">
        <v>2</v>
      </c>
      <c r="BT5" s="6" t="b">
        <v>0</v>
      </c>
      <c r="BU5" s="6" t="b">
        <v>0</v>
      </c>
      <c r="BV5" s="6" t="b">
        <v>1</v>
      </c>
      <c r="BW5" s="6" t="b">
        <v>0</v>
      </c>
      <c r="BX5" s="6">
        <v>0</v>
      </c>
      <c r="BY5" s="6">
        <v>0</v>
      </c>
      <c r="BZ5" s="6">
        <v>1</v>
      </c>
      <c r="CA5" s="6">
        <v>46</v>
      </c>
    </row>
    <row r="6" spans="1:79">
      <c r="A6" s="6" t="s">
        <v>280</v>
      </c>
      <c r="B6" s="6">
        <v>5</v>
      </c>
      <c r="C6" s="6">
        <v>1</v>
      </c>
      <c r="D6" s="6">
        <v>-1</v>
      </c>
      <c r="F6" s="6" t="b">
        <v>0</v>
      </c>
      <c r="G6" s="6">
        <v>3</v>
      </c>
      <c r="H6" s="6">
        <v>4</v>
      </c>
      <c r="I6" s="6">
        <v>4</v>
      </c>
      <c r="J6" s="6">
        <v>0</v>
      </c>
      <c r="K6" s="6">
        <v>1</v>
      </c>
      <c r="L6" s="6" t="s">
        <v>281</v>
      </c>
      <c r="M6" s="6" t="s">
        <v>141</v>
      </c>
      <c r="N6" s="6" t="s">
        <v>282</v>
      </c>
      <c r="O6" s="6" t="s">
        <v>141</v>
      </c>
      <c r="P6" s="6" t="s">
        <v>283</v>
      </c>
      <c r="Q6" s="6" t="s">
        <v>141</v>
      </c>
      <c r="R6" s="6" t="s">
        <v>282</v>
      </c>
      <c r="S6" s="6" t="s">
        <v>302</v>
      </c>
      <c r="T6" s="6">
        <v>0</v>
      </c>
      <c r="U6" s="6">
        <v>9</v>
      </c>
      <c r="V6" s="6">
        <v>9</v>
      </c>
      <c r="W6" s="6">
        <v>0</v>
      </c>
      <c r="X6" s="6" t="s">
        <v>303</v>
      </c>
      <c r="Y6" s="6">
        <v>8</v>
      </c>
      <c r="Z6" s="6">
        <v>40</v>
      </c>
      <c r="AA6" s="6">
        <v>36</v>
      </c>
      <c r="AB6" s="6">
        <v>0</v>
      </c>
      <c r="AC6" s="6">
        <v>0</v>
      </c>
      <c r="AD6" s="6">
        <v>0</v>
      </c>
      <c r="AE6" s="6">
        <v>4</v>
      </c>
      <c r="AF6" s="6" t="b">
        <v>0</v>
      </c>
      <c r="AG6" s="6" t="b">
        <v>0</v>
      </c>
      <c r="AH6" s="6" t="b">
        <v>1</v>
      </c>
      <c r="AI6" s="6" t="b">
        <v>0</v>
      </c>
      <c r="AJ6" s="6">
        <v>0</v>
      </c>
      <c r="AK6" s="6">
        <v>0</v>
      </c>
      <c r="AL6" s="6" t="b">
        <v>0</v>
      </c>
      <c r="AM6" s="6" t="b">
        <v>0</v>
      </c>
      <c r="AN6" s="6" t="b">
        <v>0</v>
      </c>
      <c r="AO6" s="6" t="b">
        <v>0</v>
      </c>
      <c r="AP6" s="6">
        <v>0</v>
      </c>
      <c r="AQ6" s="6">
        <v>18</v>
      </c>
      <c r="AR6" s="6">
        <v>1</v>
      </c>
      <c r="AS6" s="6">
        <v>67</v>
      </c>
      <c r="AT6" s="6" t="s">
        <v>286</v>
      </c>
      <c r="AU6" s="6" t="s">
        <v>153</v>
      </c>
      <c r="AV6" s="6" t="s">
        <v>282</v>
      </c>
      <c r="AW6" s="6" t="s">
        <v>141</v>
      </c>
      <c r="AX6" s="6" t="s">
        <v>283</v>
      </c>
      <c r="AY6" s="6" t="s">
        <v>153</v>
      </c>
      <c r="AZ6" s="6" t="s">
        <v>282</v>
      </c>
      <c r="BA6" s="6" t="s">
        <v>304</v>
      </c>
      <c r="BB6" s="6">
        <v>0</v>
      </c>
      <c r="BC6" s="6">
        <v>3</v>
      </c>
      <c r="BD6" s="6">
        <v>3</v>
      </c>
      <c r="BE6" s="6">
        <v>0</v>
      </c>
      <c r="BF6" s="6" t="s">
        <v>305</v>
      </c>
      <c r="BG6" s="6">
        <v>17</v>
      </c>
      <c r="BH6" s="6">
        <v>80</v>
      </c>
      <c r="BI6" s="6">
        <v>76</v>
      </c>
      <c r="BJ6" s="6">
        <v>0</v>
      </c>
      <c r="BK6" s="6">
        <v>0</v>
      </c>
      <c r="BL6" s="6">
        <v>0</v>
      </c>
      <c r="BM6" s="6">
        <v>4</v>
      </c>
      <c r="BN6" s="6" t="b">
        <v>0</v>
      </c>
      <c r="BO6" s="6" t="b">
        <v>0</v>
      </c>
      <c r="BP6" s="6" t="b">
        <v>0</v>
      </c>
      <c r="BQ6" s="6" t="b">
        <v>0</v>
      </c>
      <c r="BR6" s="6">
        <v>0</v>
      </c>
      <c r="BS6" s="6">
        <v>3</v>
      </c>
      <c r="BT6" s="6" t="b">
        <v>0</v>
      </c>
      <c r="BU6" s="6" t="b">
        <v>0</v>
      </c>
      <c r="BV6" s="6" t="b">
        <v>1</v>
      </c>
      <c r="BW6" s="6" t="b">
        <v>0</v>
      </c>
      <c r="BX6" s="6">
        <v>0</v>
      </c>
      <c r="BY6" s="6">
        <v>0</v>
      </c>
      <c r="BZ6" s="6">
        <v>3</v>
      </c>
      <c r="CA6" s="6">
        <v>83</v>
      </c>
    </row>
    <row r="7" spans="1:79">
      <c r="A7" s="6" t="s">
        <v>280</v>
      </c>
      <c r="B7" s="6">
        <v>6</v>
      </c>
      <c r="C7" s="6">
        <v>2</v>
      </c>
      <c r="D7" s="6">
        <v>-1</v>
      </c>
      <c r="F7" s="6" t="b">
        <v>0</v>
      </c>
      <c r="G7" s="6">
        <v>3</v>
      </c>
      <c r="H7" s="6">
        <v>4</v>
      </c>
      <c r="I7" s="6">
        <v>4</v>
      </c>
      <c r="J7" s="6">
        <v>0</v>
      </c>
      <c r="K7" s="6">
        <v>1</v>
      </c>
      <c r="L7" s="6" t="s">
        <v>281</v>
      </c>
      <c r="M7" s="6" t="s">
        <v>141</v>
      </c>
      <c r="N7" s="6" t="s">
        <v>293</v>
      </c>
      <c r="O7" s="6" t="s">
        <v>141</v>
      </c>
      <c r="P7" s="6" t="s">
        <v>283</v>
      </c>
      <c r="Q7" s="6" t="s">
        <v>141</v>
      </c>
      <c r="R7" s="6" t="s">
        <v>282</v>
      </c>
      <c r="S7" s="6" t="s">
        <v>306</v>
      </c>
      <c r="T7" s="6">
        <v>0</v>
      </c>
      <c r="U7" s="6">
        <v>9</v>
      </c>
      <c r="V7" s="6">
        <v>9</v>
      </c>
      <c r="W7" s="6">
        <v>0</v>
      </c>
      <c r="X7" s="6" t="s">
        <v>307</v>
      </c>
      <c r="Y7" s="6">
        <v>17</v>
      </c>
      <c r="Z7" s="6">
        <v>95</v>
      </c>
      <c r="AA7" s="6">
        <v>69</v>
      </c>
      <c r="AB7" s="6">
        <v>12</v>
      </c>
      <c r="AC7" s="6">
        <v>0</v>
      </c>
      <c r="AD7" s="6">
        <v>2</v>
      </c>
      <c r="AE7" s="6">
        <v>14</v>
      </c>
      <c r="AF7" s="6" t="b">
        <v>0</v>
      </c>
      <c r="AG7" s="6" t="b">
        <v>0</v>
      </c>
      <c r="AH7" s="6" t="b">
        <v>1</v>
      </c>
      <c r="AI7" s="6" t="b">
        <v>1</v>
      </c>
      <c r="AJ7" s="6">
        <v>0</v>
      </c>
      <c r="AK7" s="6">
        <v>0</v>
      </c>
      <c r="AL7" s="6" t="b">
        <v>0</v>
      </c>
      <c r="AM7" s="6" t="b">
        <v>0</v>
      </c>
      <c r="AN7" s="6" t="b">
        <v>0</v>
      </c>
      <c r="AO7" s="6" t="b">
        <v>0</v>
      </c>
      <c r="AP7" s="6">
        <v>0</v>
      </c>
      <c r="AQ7" s="6">
        <v>6</v>
      </c>
      <c r="AR7" s="6">
        <v>4</v>
      </c>
      <c r="AS7" s="6">
        <v>110</v>
      </c>
      <c r="AT7" s="6" t="s">
        <v>286</v>
      </c>
      <c r="AU7" s="6" t="s">
        <v>153</v>
      </c>
      <c r="AV7" s="6" t="s">
        <v>282</v>
      </c>
      <c r="AW7" s="6" t="s">
        <v>153</v>
      </c>
      <c r="AX7" s="6" t="s">
        <v>282</v>
      </c>
      <c r="AY7" s="6" t="s">
        <v>141</v>
      </c>
      <c r="AZ7" s="6" t="s">
        <v>282</v>
      </c>
      <c r="BA7" s="6" t="s">
        <v>308</v>
      </c>
      <c r="BB7" s="6">
        <v>1</v>
      </c>
      <c r="BC7" s="6">
        <v>3</v>
      </c>
      <c r="BD7" s="6">
        <v>6</v>
      </c>
      <c r="BE7" s="6">
        <v>3</v>
      </c>
      <c r="BF7" s="6" t="s">
        <v>309</v>
      </c>
      <c r="BG7" s="6">
        <v>6</v>
      </c>
      <c r="BH7" s="6">
        <v>40</v>
      </c>
      <c r="BI7" s="6">
        <v>26</v>
      </c>
      <c r="BJ7" s="6">
        <v>8</v>
      </c>
      <c r="BK7" s="6">
        <v>2</v>
      </c>
      <c r="BL7" s="6">
        <v>0</v>
      </c>
      <c r="BM7" s="6">
        <v>6</v>
      </c>
      <c r="BN7" s="6" t="b">
        <v>0</v>
      </c>
      <c r="BO7" s="6" t="b">
        <v>0</v>
      </c>
      <c r="BP7" s="6" t="b">
        <v>0</v>
      </c>
      <c r="BQ7" s="6" t="b">
        <v>0</v>
      </c>
      <c r="BR7" s="6">
        <v>0</v>
      </c>
      <c r="BS7" s="6">
        <v>1</v>
      </c>
      <c r="BT7" s="6" t="b">
        <v>0</v>
      </c>
      <c r="BU7" s="6" t="b">
        <v>0</v>
      </c>
      <c r="BV7" s="6" t="b">
        <v>0</v>
      </c>
      <c r="BW7" s="6" t="b">
        <v>0</v>
      </c>
      <c r="BX7" s="6">
        <v>0</v>
      </c>
      <c r="BY7" s="6">
        <v>0</v>
      </c>
      <c r="BZ7" s="6">
        <v>0</v>
      </c>
      <c r="CA7" s="6">
        <v>46</v>
      </c>
    </row>
    <row r="8" spans="1:79">
      <c r="A8" s="6" t="s">
        <v>280</v>
      </c>
      <c r="B8" s="6">
        <v>7</v>
      </c>
      <c r="C8" s="6">
        <v>1</v>
      </c>
      <c r="D8" s="6">
        <v>-1</v>
      </c>
      <c r="F8" s="6" t="b">
        <v>0</v>
      </c>
      <c r="G8" s="6">
        <v>3</v>
      </c>
      <c r="H8" s="6">
        <v>4</v>
      </c>
      <c r="I8" s="6">
        <v>4</v>
      </c>
      <c r="J8" s="6">
        <v>0</v>
      </c>
      <c r="K8" s="6">
        <v>1</v>
      </c>
      <c r="L8" s="6" t="s">
        <v>281</v>
      </c>
      <c r="M8" s="6" t="s">
        <v>141</v>
      </c>
      <c r="N8" s="6" t="s">
        <v>282</v>
      </c>
      <c r="O8" s="6" t="s">
        <v>141</v>
      </c>
      <c r="P8" s="6" t="s">
        <v>282</v>
      </c>
      <c r="Q8" s="6" t="s">
        <v>141</v>
      </c>
      <c r="R8" s="6" t="s">
        <v>283</v>
      </c>
      <c r="S8" s="6" t="s">
        <v>310</v>
      </c>
      <c r="T8" s="6">
        <v>1</v>
      </c>
      <c r="U8" s="6">
        <v>9</v>
      </c>
      <c r="V8" s="6">
        <v>12</v>
      </c>
      <c r="W8" s="6">
        <v>3</v>
      </c>
      <c r="X8" s="6" t="s">
        <v>311</v>
      </c>
      <c r="Y8" s="6">
        <v>10</v>
      </c>
      <c r="Z8" s="6">
        <v>43</v>
      </c>
      <c r="AA8" s="6">
        <v>31</v>
      </c>
      <c r="AB8" s="6">
        <v>8</v>
      </c>
      <c r="AC8" s="6">
        <v>2</v>
      </c>
      <c r="AD8" s="6">
        <v>0</v>
      </c>
      <c r="AE8" s="6">
        <v>4</v>
      </c>
      <c r="AF8" s="6" t="b">
        <v>1</v>
      </c>
      <c r="AG8" s="6" t="b">
        <v>0</v>
      </c>
      <c r="AH8" s="6" t="b">
        <v>0</v>
      </c>
      <c r="AI8" s="6" t="b">
        <v>0</v>
      </c>
      <c r="AJ8" s="6">
        <v>0</v>
      </c>
      <c r="AK8" s="6">
        <v>1</v>
      </c>
      <c r="AL8" s="6" t="b">
        <v>0</v>
      </c>
      <c r="AM8" s="6" t="b">
        <v>0</v>
      </c>
      <c r="AN8" s="6" t="b">
        <v>0</v>
      </c>
      <c r="AO8" s="6" t="b">
        <v>0</v>
      </c>
      <c r="AP8" s="6">
        <v>0</v>
      </c>
      <c r="AQ8" s="6">
        <v>6</v>
      </c>
      <c r="AR8" s="6">
        <v>1</v>
      </c>
      <c r="AS8" s="6">
        <v>61</v>
      </c>
      <c r="AT8" s="6" t="s">
        <v>286</v>
      </c>
      <c r="AU8" s="6" t="s">
        <v>141</v>
      </c>
      <c r="AV8" s="6" t="s">
        <v>283</v>
      </c>
      <c r="AW8" s="6" t="s">
        <v>141</v>
      </c>
      <c r="AX8" s="6" t="s">
        <v>282</v>
      </c>
      <c r="AY8" s="6" t="s">
        <v>141</v>
      </c>
      <c r="AZ8" s="6" t="s">
        <v>282</v>
      </c>
      <c r="BA8" s="6" t="s">
        <v>312</v>
      </c>
      <c r="BB8" s="6">
        <v>1</v>
      </c>
      <c r="BC8" s="6">
        <v>9</v>
      </c>
      <c r="BD8" s="6">
        <v>16</v>
      </c>
      <c r="BE8" s="6">
        <v>7</v>
      </c>
      <c r="BF8" s="6" t="s">
        <v>313</v>
      </c>
      <c r="BG8" s="6">
        <v>12</v>
      </c>
      <c r="BH8" s="6">
        <v>56</v>
      </c>
      <c r="BI8" s="6">
        <v>40</v>
      </c>
      <c r="BJ8" s="6">
        <v>12</v>
      </c>
      <c r="BK8" s="6">
        <v>0</v>
      </c>
      <c r="BL8" s="6">
        <v>2</v>
      </c>
      <c r="BM8" s="6">
        <v>4</v>
      </c>
      <c r="BN8" s="6" t="b">
        <v>1</v>
      </c>
      <c r="BO8" s="6" t="b">
        <v>0</v>
      </c>
      <c r="BP8" s="6" t="b">
        <v>0</v>
      </c>
      <c r="BQ8" s="6" t="b">
        <v>0</v>
      </c>
      <c r="BR8" s="6">
        <v>0</v>
      </c>
      <c r="BS8" s="6">
        <v>1</v>
      </c>
      <c r="BT8" s="6" t="b">
        <v>0</v>
      </c>
      <c r="BU8" s="6" t="b">
        <v>0</v>
      </c>
      <c r="BV8" s="6" t="b">
        <v>0</v>
      </c>
      <c r="BW8" s="6" t="b">
        <v>0</v>
      </c>
      <c r="BX8" s="6">
        <v>0</v>
      </c>
      <c r="BY8" s="6">
        <v>6</v>
      </c>
      <c r="BZ8" s="6">
        <v>4</v>
      </c>
      <c r="CA8" s="6">
        <v>78</v>
      </c>
    </row>
    <row r="9" spans="1:79">
      <c r="A9" s="6" t="s">
        <v>280</v>
      </c>
      <c r="B9" s="6">
        <v>8</v>
      </c>
      <c r="C9" s="6">
        <v>1</v>
      </c>
      <c r="D9" s="6">
        <v>-1</v>
      </c>
      <c r="F9" s="6" t="b">
        <v>0</v>
      </c>
      <c r="G9" s="6">
        <v>3</v>
      </c>
      <c r="H9" s="6">
        <v>4</v>
      </c>
      <c r="I9" s="6">
        <v>4</v>
      </c>
      <c r="J9" s="6">
        <v>0</v>
      </c>
      <c r="K9" s="6">
        <v>1</v>
      </c>
      <c r="L9" s="6" t="s">
        <v>281</v>
      </c>
      <c r="M9" s="6" t="s">
        <v>141</v>
      </c>
      <c r="N9" s="6" t="s">
        <v>282</v>
      </c>
      <c r="O9" s="6" t="s">
        <v>153</v>
      </c>
      <c r="P9" s="6" t="s">
        <v>282</v>
      </c>
      <c r="Q9" s="6" t="s">
        <v>141</v>
      </c>
      <c r="R9" s="6" t="s">
        <v>282</v>
      </c>
      <c r="S9" s="6" t="s">
        <v>314</v>
      </c>
      <c r="T9" s="6">
        <v>0</v>
      </c>
      <c r="U9" s="6">
        <v>6</v>
      </c>
      <c r="V9" s="6">
        <v>6</v>
      </c>
      <c r="W9" s="6">
        <v>0</v>
      </c>
      <c r="X9" s="6" t="s">
        <v>315</v>
      </c>
      <c r="Y9" s="6">
        <v>3</v>
      </c>
      <c r="Z9" s="6">
        <v>17</v>
      </c>
      <c r="AA9" s="6">
        <v>11</v>
      </c>
      <c r="AB9" s="6">
        <v>0</v>
      </c>
      <c r="AC9" s="6">
        <v>0</v>
      </c>
      <c r="AD9" s="6">
        <v>0</v>
      </c>
      <c r="AE9" s="6">
        <v>6</v>
      </c>
      <c r="AF9" s="6" t="b">
        <v>0</v>
      </c>
      <c r="AG9" s="6" t="b">
        <v>0</v>
      </c>
      <c r="AH9" s="6" t="b">
        <v>0</v>
      </c>
      <c r="AI9" s="6" t="b">
        <v>0</v>
      </c>
      <c r="AJ9" s="6">
        <v>0</v>
      </c>
      <c r="AK9" s="6">
        <v>1</v>
      </c>
      <c r="AL9" s="6" t="b">
        <v>0</v>
      </c>
      <c r="AM9" s="6" t="b">
        <v>0</v>
      </c>
      <c r="AN9" s="6" t="b">
        <v>1</v>
      </c>
      <c r="AO9" s="6" t="b">
        <v>0</v>
      </c>
      <c r="AP9" s="6">
        <v>0</v>
      </c>
      <c r="AQ9" s="6">
        <v>6</v>
      </c>
      <c r="AR9" s="6">
        <v>0</v>
      </c>
      <c r="AS9" s="6">
        <v>29</v>
      </c>
      <c r="AT9" s="6" t="s">
        <v>286</v>
      </c>
      <c r="AU9" s="6" t="s">
        <v>141</v>
      </c>
      <c r="AV9" s="6" t="s">
        <v>282</v>
      </c>
      <c r="AW9" s="6" t="s">
        <v>141</v>
      </c>
      <c r="AX9" s="6" t="s">
        <v>283</v>
      </c>
      <c r="AY9" s="6" t="s">
        <v>153</v>
      </c>
      <c r="AZ9" s="6" t="s">
        <v>283</v>
      </c>
      <c r="BA9" s="6" t="s">
        <v>316</v>
      </c>
      <c r="BB9" s="6">
        <v>1</v>
      </c>
      <c r="BC9" s="6">
        <v>6</v>
      </c>
      <c r="BD9" s="6">
        <v>13</v>
      </c>
      <c r="BE9" s="6">
        <v>7</v>
      </c>
      <c r="BF9" s="6" t="s">
        <v>317</v>
      </c>
      <c r="BG9" s="6">
        <v>8</v>
      </c>
      <c r="BH9" s="6">
        <v>24</v>
      </c>
      <c r="BI9" s="6">
        <v>22</v>
      </c>
      <c r="BJ9" s="6">
        <v>0</v>
      </c>
      <c r="BK9" s="6">
        <v>0</v>
      </c>
      <c r="BL9" s="6">
        <v>0</v>
      </c>
      <c r="BM9" s="6">
        <v>2</v>
      </c>
      <c r="BN9" s="6" t="b">
        <v>0</v>
      </c>
      <c r="BO9" s="6" t="b">
        <v>0</v>
      </c>
      <c r="BP9" s="6" t="b">
        <v>1</v>
      </c>
      <c r="BQ9" s="6" t="b">
        <v>0</v>
      </c>
      <c r="BR9" s="6">
        <v>0</v>
      </c>
      <c r="BS9" s="6">
        <v>1</v>
      </c>
      <c r="BT9" s="6" t="b">
        <v>0</v>
      </c>
      <c r="BU9" s="6" t="b">
        <v>0</v>
      </c>
      <c r="BV9" s="6" t="b">
        <v>0</v>
      </c>
      <c r="BW9" s="6" t="b">
        <v>0</v>
      </c>
      <c r="BX9" s="6">
        <v>0</v>
      </c>
      <c r="BY9" s="6">
        <v>6</v>
      </c>
      <c r="BZ9" s="6">
        <v>4</v>
      </c>
      <c r="CA9" s="6">
        <v>43</v>
      </c>
    </row>
    <row r="10" spans="1:79">
      <c r="A10" s="6" t="s">
        <v>280</v>
      </c>
      <c r="B10" s="6">
        <v>9</v>
      </c>
      <c r="C10" s="6">
        <v>1</v>
      </c>
      <c r="D10" s="6">
        <v>-1</v>
      </c>
      <c r="F10" s="6" t="b">
        <v>0</v>
      </c>
      <c r="G10" s="6">
        <v>3</v>
      </c>
      <c r="H10" s="6">
        <v>4</v>
      </c>
      <c r="I10" s="6">
        <v>4</v>
      </c>
      <c r="J10" s="6">
        <v>0</v>
      </c>
      <c r="K10" s="6">
        <v>1</v>
      </c>
      <c r="L10" s="6" t="s">
        <v>281</v>
      </c>
      <c r="M10" s="6" t="s">
        <v>141</v>
      </c>
      <c r="N10" s="6" t="s">
        <v>282</v>
      </c>
      <c r="O10" s="6" t="s">
        <v>153</v>
      </c>
      <c r="P10" s="6" t="s">
        <v>283</v>
      </c>
      <c r="Q10" s="6" t="s">
        <v>141</v>
      </c>
      <c r="R10" s="6" t="s">
        <v>282</v>
      </c>
      <c r="S10" s="6" t="s">
        <v>318</v>
      </c>
      <c r="T10" s="6">
        <v>0</v>
      </c>
      <c r="U10" s="6">
        <v>6</v>
      </c>
      <c r="V10" s="6">
        <v>6</v>
      </c>
      <c r="W10" s="6">
        <v>0</v>
      </c>
      <c r="X10" s="6" t="s">
        <v>319</v>
      </c>
      <c r="Y10" s="6">
        <v>1</v>
      </c>
      <c r="Z10" s="6">
        <v>7</v>
      </c>
      <c r="AA10" s="6">
        <v>3</v>
      </c>
      <c r="AB10" s="6">
        <v>0</v>
      </c>
      <c r="AC10" s="6">
        <v>0</v>
      </c>
      <c r="AD10" s="6">
        <v>0</v>
      </c>
      <c r="AE10" s="6">
        <v>4</v>
      </c>
      <c r="AF10" s="6" t="b">
        <v>0</v>
      </c>
      <c r="AG10" s="6" t="b">
        <v>0</v>
      </c>
      <c r="AH10" s="6" t="b">
        <v>1</v>
      </c>
      <c r="AI10" s="6" t="b">
        <v>0</v>
      </c>
      <c r="AJ10" s="6">
        <v>0</v>
      </c>
      <c r="AK10" s="6">
        <v>0</v>
      </c>
      <c r="AL10" s="6" t="b">
        <v>0</v>
      </c>
      <c r="AM10" s="6" t="b">
        <v>0</v>
      </c>
      <c r="AN10" s="6" t="b">
        <v>0</v>
      </c>
      <c r="AO10" s="6" t="b">
        <v>0</v>
      </c>
      <c r="AP10" s="6">
        <v>0</v>
      </c>
      <c r="AQ10" s="6">
        <v>14</v>
      </c>
      <c r="AR10" s="6">
        <v>1</v>
      </c>
      <c r="AS10" s="6">
        <v>27</v>
      </c>
      <c r="AT10" s="6" t="s">
        <v>286</v>
      </c>
      <c r="AU10" s="6" t="s">
        <v>141</v>
      </c>
      <c r="AV10" s="6" t="s">
        <v>283</v>
      </c>
      <c r="AW10" s="6" t="s">
        <v>141</v>
      </c>
      <c r="AX10" s="6" t="s">
        <v>282</v>
      </c>
      <c r="AY10" s="6" t="s">
        <v>153</v>
      </c>
      <c r="AZ10" s="6" t="s">
        <v>282</v>
      </c>
      <c r="BA10" s="6" t="s">
        <v>320</v>
      </c>
      <c r="BB10" s="6">
        <v>1</v>
      </c>
      <c r="BC10" s="6">
        <v>6</v>
      </c>
      <c r="BD10" s="6">
        <v>13</v>
      </c>
      <c r="BE10" s="6">
        <v>7</v>
      </c>
      <c r="BF10" s="6" t="s">
        <v>321</v>
      </c>
      <c r="BG10" s="6">
        <v>5</v>
      </c>
      <c r="BH10" s="6">
        <v>25</v>
      </c>
      <c r="BI10" s="6">
        <v>21</v>
      </c>
      <c r="BJ10" s="6">
        <v>0</v>
      </c>
      <c r="BK10" s="6">
        <v>0</v>
      </c>
      <c r="BL10" s="6">
        <v>0</v>
      </c>
      <c r="BM10" s="6">
        <v>4</v>
      </c>
      <c r="BN10" s="6" t="b">
        <v>0</v>
      </c>
      <c r="BO10" s="6" t="b">
        <v>0</v>
      </c>
      <c r="BP10" s="6" t="b">
        <v>0</v>
      </c>
      <c r="BQ10" s="6" t="b">
        <v>0</v>
      </c>
      <c r="BR10" s="6">
        <v>1</v>
      </c>
      <c r="BS10" s="6">
        <v>2</v>
      </c>
      <c r="BT10" s="6" t="b">
        <v>0</v>
      </c>
      <c r="BU10" s="6" t="b">
        <v>0</v>
      </c>
      <c r="BV10" s="6" t="b">
        <v>1</v>
      </c>
      <c r="BW10" s="6" t="b">
        <v>0</v>
      </c>
      <c r="BX10" s="6">
        <v>0</v>
      </c>
      <c r="BY10" s="6">
        <v>0</v>
      </c>
      <c r="BZ10" s="6">
        <v>3</v>
      </c>
      <c r="CA10" s="6">
        <v>38</v>
      </c>
    </row>
    <row r="11" spans="1:79">
      <c r="A11" s="6" t="s">
        <v>280</v>
      </c>
      <c r="B11" s="6">
        <v>10</v>
      </c>
      <c r="C11" s="6">
        <v>1</v>
      </c>
      <c r="D11" s="6">
        <v>-1</v>
      </c>
      <c r="F11" s="6" t="b">
        <v>0</v>
      </c>
      <c r="G11" s="6">
        <v>3</v>
      </c>
      <c r="H11" s="6">
        <v>4</v>
      </c>
      <c r="I11" s="6">
        <v>4</v>
      </c>
      <c r="J11" s="6">
        <v>0</v>
      </c>
      <c r="K11" s="6">
        <v>1</v>
      </c>
      <c r="L11" s="6" t="s">
        <v>281</v>
      </c>
      <c r="M11" s="6" t="s">
        <v>141</v>
      </c>
      <c r="N11" s="6" t="s">
        <v>282</v>
      </c>
      <c r="O11" s="6" t="s">
        <v>141</v>
      </c>
      <c r="P11" s="6" t="s">
        <v>282</v>
      </c>
      <c r="Q11" s="6" t="s">
        <v>141</v>
      </c>
      <c r="R11" s="6" t="s">
        <v>282</v>
      </c>
      <c r="S11" s="6" t="s">
        <v>322</v>
      </c>
      <c r="T11" s="6">
        <v>1</v>
      </c>
      <c r="U11" s="6">
        <v>9</v>
      </c>
      <c r="V11" s="6">
        <v>12</v>
      </c>
      <c r="W11" s="6">
        <v>3</v>
      </c>
      <c r="X11" s="6" t="s">
        <v>323</v>
      </c>
      <c r="Y11" s="6">
        <v>8</v>
      </c>
      <c r="Z11" s="6">
        <v>43</v>
      </c>
      <c r="AA11" s="6">
        <v>25</v>
      </c>
      <c r="AB11" s="6">
        <v>12</v>
      </c>
      <c r="AC11" s="6">
        <v>3</v>
      </c>
      <c r="AD11" s="6">
        <v>0</v>
      </c>
      <c r="AE11" s="6">
        <v>6</v>
      </c>
      <c r="AF11" s="6" t="b">
        <v>1</v>
      </c>
      <c r="AG11" s="6" t="b">
        <v>0</v>
      </c>
      <c r="AH11" s="6" t="b">
        <v>0</v>
      </c>
      <c r="AI11" s="6" t="b">
        <v>0</v>
      </c>
      <c r="AJ11" s="6">
        <v>0</v>
      </c>
      <c r="AK11" s="6">
        <v>0</v>
      </c>
      <c r="AL11" s="6" t="b">
        <v>0</v>
      </c>
      <c r="AM11" s="6" t="b">
        <v>0</v>
      </c>
      <c r="AN11" s="6" t="b">
        <v>0</v>
      </c>
      <c r="AO11" s="6" t="b">
        <v>0</v>
      </c>
      <c r="AP11" s="6">
        <v>0</v>
      </c>
      <c r="AQ11" s="6">
        <v>14</v>
      </c>
      <c r="AR11" s="6">
        <v>1</v>
      </c>
      <c r="AS11" s="6">
        <v>69</v>
      </c>
      <c r="AT11" s="6" t="s">
        <v>286</v>
      </c>
      <c r="AU11" s="6" t="s">
        <v>141</v>
      </c>
      <c r="AV11" s="6" t="s">
        <v>282</v>
      </c>
      <c r="AW11" s="6" t="s">
        <v>141</v>
      </c>
      <c r="AX11" s="6" t="s">
        <v>282</v>
      </c>
      <c r="AY11" s="6" t="s">
        <v>141</v>
      </c>
      <c r="AZ11" s="6" t="s">
        <v>283</v>
      </c>
      <c r="BA11" s="6" t="s">
        <v>324</v>
      </c>
      <c r="BB11" s="6">
        <v>0</v>
      </c>
      <c r="BC11" s="6">
        <v>9</v>
      </c>
      <c r="BD11" s="6">
        <v>9</v>
      </c>
      <c r="BE11" s="6">
        <v>0</v>
      </c>
      <c r="BF11" s="6" t="s">
        <v>325</v>
      </c>
      <c r="BG11" s="6">
        <v>12</v>
      </c>
      <c r="BH11" s="6">
        <v>61</v>
      </c>
      <c r="BI11" s="6">
        <v>57</v>
      </c>
      <c r="BJ11" s="6">
        <v>0</v>
      </c>
      <c r="BK11" s="6">
        <v>0</v>
      </c>
      <c r="BL11" s="6">
        <v>0</v>
      </c>
      <c r="BM11" s="6">
        <v>4</v>
      </c>
      <c r="BN11" s="6" t="b">
        <v>0</v>
      </c>
      <c r="BO11" s="6" t="b">
        <v>0</v>
      </c>
      <c r="BP11" s="6" t="b">
        <v>0</v>
      </c>
      <c r="BQ11" s="6" t="b">
        <v>0</v>
      </c>
      <c r="BR11" s="6">
        <v>1</v>
      </c>
      <c r="BS11" s="6">
        <v>2</v>
      </c>
      <c r="BT11" s="6" t="b">
        <v>0</v>
      </c>
      <c r="BU11" s="6" t="b">
        <v>0</v>
      </c>
      <c r="BV11" s="6" t="b">
        <v>0</v>
      </c>
      <c r="BW11" s="6" t="b">
        <v>0</v>
      </c>
      <c r="BX11" s="6">
        <v>0</v>
      </c>
      <c r="BY11" s="6">
        <v>0</v>
      </c>
      <c r="BZ11" s="6">
        <v>3</v>
      </c>
      <c r="CA11" s="6">
        <v>70</v>
      </c>
    </row>
    <row r="12" spans="1:79">
      <c r="A12" s="6" t="s">
        <v>280</v>
      </c>
      <c r="B12" s="6">
        <v>11</v>
      </c>
      <c r="C12" s="6">
        <v>2</v>
      </c>
      <c r="D12" s="6">
        <v>-1</v>
      </c>
      <c r="F12" s="6" t="b">
        <v>0</v>
      </c>
      <c r="G12" s="6">
        <v>3</v>
      </c>
      <c r="H12" s="6">
        <v>4</v>
      </c>
      <c r="I12" s="6">
        <v>4</v>
      </c>
      <c r="J12" s="6">
        <v>0</v>
      </c>
      <c r="K12" s="6">
        <v>1</v>
      </c>
      <c r="L12" s="6" t="s">
        <v>281</v>
      </c>
      <c r="M12" s="6" t="s">
        <v>141</v>
      </c>
      <c r="N12" s="6" t="s">
        <v>293</v>
      </c>
      <c r="O12" s="6" t="s">
        <v>141</v>
      </c>
      <c r="P12" s="6" t="s">
        <v>293</v>
      </c>
      <c r="Q12" s="6" t="s">
        <v>141</v>
      </c>
      <c r="R12" s="6" t="s">
        <v>283</v>
      </c>
      <c r="S12" s="6" t="s">
        <v>326</v>
      </c>
      <c r="T12" s="6">
        <v>0</v>
      </c>
      <c r="U12" s="6">
        <v>9</v>
      </c>
      <c r="V12" s="6">
        <v>9</v>
      </c>
      <c r="W12" s="6">
        <v>0</v>
      </c>
      <c r="X12" s="6" t="s">
        <v>327</v>
      </c>
      <c r="Y12" s="6">
        <v>16</v>
      </c>
      <c r="Z12" s="6">
        <v>109</v>
      </c>
      <c r="AA12" s="6">
        <v>73</v>
      </c>
      <c r="AB12" s="6">
        <v>12</v>
      </c>
      <c r="AC12" s="6">
        <v>0</v>
      </c>
      <c r="AD12" s="6">
        <v>2</v>
      </c>
      <c r="AE12" s="6">
        <v>24</v>
      </c>
      <c r="AF12" s="6" t="b">
        <v>0</v>
      </c>
      <c r="AG12" s="6" t="b">
        <v>0</v>
      </c>
      <c r="AH12" s="6" t="b">
        <v>1</v>
      </c>
      <c r="AI12" s="6" t="b">
        <v>1</v>
      </c>
      <c r="AJ12" s="6">
        <v>0</v>
      </c>
      <c r="AK12" s="6">
        <v>0</v>
      </c>
      <c r="AL12" s="6" t="b">
        <v>0</v>
      </c>
      <c r="AM12" s="6" t="b">
        <v>0</v>
      </c>
      <c r="AN12" s="6" t="b">
        <v>0</v>
      </c>
      <c r="AO12" s="6" t="b">
        <v>0</v>
      </c>
      <c r="AP12" s="6">
        <v>0</v>
      </c>
      <c r="AQ12" s="6">
        <v>0</v>
      </c>
      <c r="AR12" s="6">
        <v>4</v>
      </c>
      <c r="AS12" s="6">
        <v>118</v>
      </c>
      <c r="AT12" s="6" t="s">
        <v>286</v>
      </c>
      <c r="AU12" s="6" t="s">
        <v>141</v>
      </c>
      <c r="AV12" s="6" t="s">
        <v>282</v>
      </c>
      <c r="AW12" s="6" t="s">
        <v>141</v>
      </c>
      <c r="AX12" s="6" t="s">
        <v>282</v>
      </c>
      <c r="AY12" s="6" t="s">
        <v>141</v>
      </c>
      <c r="AZ12" s="6" t="s">
        <v>282</v>
      </c>
      <c r="BA12" s="6" t="s">
        <v>328</v>
      </c>
      <c r="BB12" s="6">
        <v>0</v>
      </c>
      <c r="BC12" s="6">
        <v>9</v>
      </c>
      <c r="BD12" s="6">
        <v>9</v>
      </c>
      <c r="BE12" s="6">
        <v>0</v>
      </c>
      <c r="BF12" s="6" t="s">
        <v>329</v>
      </c>
      <c r="BG12" s="6">
        <v>2</v>
      </c>
      <c r="BH12" s="6">
        <v>18</v>
      </c>
      <c r="BI12" s="6">
        <v>4</v>
      </c>
      <c r="BJ12" s="6">
        <v>8</v>
      </c>
      <c r="BK12" s="6">
        <v>2</v>
      </c>
      <c r="BL12" s="6">
        <v>0</v>
      </c>
      <c r="BM12" s="6">
        <v>6</v>
      </c>
      <c r="BN12" s="6" t="b">
        <v>0</v>
      </c>
      <c r="BO12" s="6" t="b">
        <v>0</v>
      </c>
      <c r="BP12" s="6" t="b">
        <v>0</v>
      </c>
      <c r="BQ12" s="6" t="b">
        <v>0</v>
      </c>
      <c r="BR12" s="6">
        <v>0</v>
      </c>
      <c r="BS12" s="6">
        <v>0</v>
      </c>
      <c r="BT12" s="6" t="b">
        <v>0</v>
      </c>
      <c r="BU12" s="6" t="b">
        <v>0</v>
      </c>
      <c r="BV12" s="6" t="b">
        <v>0</v>
      </c>
      <c r="BW12" s="6" t="b">
        <v>0</v>
      </c>
      <c r="BX12" s="6">
        <v>0</v>
      </c>
      <c r="BY12" s="6">
        <v>0</v>
      </c>
      <c r="BZ12" s="6">
        <v>0</v>
      </c>
      <c r="CA12" s="6">
        <v>27</v>
      </c>
    </row>
    <row r="13" spans="1:79">
      <c r="A13" s="6" t="s">
        <v>280</v>
      </c>
      <c r="B13" s="6">
        <v>12</v>
      </c>
      <c r="C13" s="6">
        <v>1</v>
      </c>
      <c r="D13" s="6">
        <v>-1</v>
      </c>
      <c r="F13" s="6" t="b">
        <v>0</v>
      </c>
      <c r="G13" s="6">
        <v>3</v>
      </c>
      <c r="H13" s="6">
        <v>4</v>
      </c>
      <c r="I13" s="6">
        <v>4</v>
      </c>
      <c r="J13" s="6">
        <v>0</v>
      </c>
      <c r="K13" s="6">
        <v>1</v>
      </c>
      <c r="L13" s="6" t="s">
        <v>281</v>
      </c>
      <c r="M13" s="6" t="s">
        <v>141</v>
      </c>
      <c r="N13" s="6" t="s">
        <v>283</v>
      </c>
      <c r="O13" s="6" t="s">
        <v>141</v>
      </c>
      <c r="P13" s="6" t="s">
        <v>282</v>
      </c>
      <c r="Q13" s="6" t="s">
        <v>141</v>
      </c>
      <c r="R13" s="6" t="s">
        <v>282</v>
      </c>
      <c r="S13" s="6" t="s">
        <v>330</v>
      </c>
      <c r="T13" s="6">
        <v>0</v>
      </c>
      <c r="U13" s="6">
        <v>9</v>
      </c>
      <c r="V13" s="6">
        <v>9</v>
      </c>
      <c r="W13" s="6">
        <v>0</v>
      </c>
      <c r="X13" s="6" t="s">
        <v>331</v>
      </c>
      <c r="Y13" s="6">
        <v>11</v>
      </c>
      <c r="Z13" s="6">
        <v>62</v>
      </c>
      <c r="AA13" s="6">
        <v>44</v>
      </c>
      <c r="AB13" s="6">
        <v>14</v>
      </c>
      <c r="AC13" s="6">
        <v>2</v>
      </c>
      <c r="AD13" s="6">
        <v>1</v>
      </c>
      <c r="AE13" s="6">
        <v>4</v>
      </c>
      <c r="AF13" s="6" t="b">
        <v>0</v>
      </c>
      <c r="AG13" s="6" t="b">
        <v>0</v>
      </c>
      <c r="AH13" s="6" t="b">
        <v>0</v>
      </c>
      <c r="AI13" s="6" t="b">
        <v>0</v>
      </c>
      <c r="AJ13" s="6">
        <v>2</v>
      </c>
      <c r="AK13" s="6">
        <v>0</v>
      </c>
      <c r="AL13" s="6" t="b">
        <v>0</v>
      </c>
      <c r="AM13" s="6" t="b">
        <v>0</v>
      </c>
      <c r="AN13" s="6" t="b">
        <v>0</v>
      </c>
      <c r="AO13" s="6" t="b">
        <v>0</v>
      </c>
      <c r="AP13" s="6">
        <v>0</v>
      </c>
      <c r="AQ13" s="6">
        <v>0</v>
      </c>
      <c r="AR13" s="6">
        <v>0</v>
      </c>
      <c r="AS13" s="6">
        <v>71</v>
      </c>
      <c r="AT13" s="6" t="s">
        <v>286</v>
      </c>
      <c r="AU13" s="6" t="s">
        <v>141</v>
      </c>
      <c r="AV13" s="6" t="s">
        <v>282</v>
      </c>
      <c r="AW13" s="6" t="s">
        <v>141</v>
      </c>
      <c r="AX13" s="6" t="s">
        <v>282</v>
      </c>
      <c r="AY13" s="6" t="s">
        <v>153</v>
      </c>
      <c r="AZ13" s="6" t="s">
        <v>282</v>
      </c>
      <c r="BA13" s="6" t="s">
        <v>332</v>
      </c>
      <c r="BB13" s="6">
        <v>2</v>
      </c>
      <c r="BC13" s="6">
        <v>6</v>
      </c>
      <c r="BD13" s="6">
        <v>20</v>
      </c>
      <c r="BE13" s="6">
        <v>14</v>
      </c>
      <c r="BF13" s="6" t="s">
        <v>333</v>
      </c>
      <c r="BG13" s="6">
        <v>18</v>
      </c>
      <c r="BH13" s="6">
        <v>101</v>
      </c>
      <c r="BI13" s="6">
        <v>75</v>
      </c>
      <c r="BJ13" s="6">
        <v>20</v>
      </c>
      <c r="BK13" s="6">
        <v>2</v>
      </c>
      <c r="BL13" s="6">
        <v>2</v>
      </c>
      <c r="BM13" s="6">
        <v>6</v>
      </c>
      <c r="BN13" s="6" t="b">
        <v>0</v>
      </c>
      <c r="BO13" s="6" t="b">
        <v>0</v>
      </c>
      <c r="BP13" s="6" t="b">
        <v>0</v>
      </c>
      <c r="BQ13" s="6" t="b">
        <v>0</v>
      </c>
      <c r="BR13" s="6">
        <v>0</v>
      </c>
      <c r="BS13" s="6">
        <v>0</v>
      </c>
      <c r="BT13" s="6" t="b">
        <v>0</v>
      </c>
      <c r="BU13" s="6" t="b">
        <v>0</v>
      </c>
      <c r="BV13" s="6" t="b">
        <v>0</v>
      </c>
      <c r="BW13" s="6" t="b">
        <v>0</v>
      </c>
      <c r="BX13" s="6">
        <v>0</v>
      </c>
      <c r="BY13" s="6">
        <v>4</v>
      </c>
      <c r="BZ13" s="6">
        <v>3</v>
      </c>
      <c r="CA13" s="6">
        <v>125</v>
      </c>
    </row>
    <row r="14" spans="1:79">
      <c r="A14" s="6" t="s">
        <v>280</v>
      </c>
      <c r="B14" s="6">
        <v>13</v>
      </c>
      <c r="C14" s="6">
        <v>2</v>
      </c>
      <c r="D14" s="6">
        <v>-1</v>
      </c>
      <c r="F14" s="6" t="b">
        <v>0</v>
      </c>
      <c r="G14" s="6">
        <v>3</v>
      </c>
      <c r="H14" s="6">
        <v>4</v>
      </c>
      <c r="I14" s="6">
        <v>4</v>
      </c>
      <c r="J14" s="6">
        <v>0</v>
      </c>
      <c r="K14" s="6">
        <v>1</v>
      </c>
      <c r="L14" s="6" t="s">
        <v>281</v>
      </c>
      <c r="M14" s="6" t="s">
        <v>153</v>
      </c>
      <c r="N14" s="6" t="s">
        <v>282</v>
      </c>
      <c r="O14" s="6" t="s">
        <v>141</v>
      </c>
      <c r="P14" s="6" t="s">
        <v>293</v>
      </c>
      <c r="Q14" s="6" t="s">
        <v>141</v>
      </c>
      <c r="R14" s="6" t="s">
        <v>282</v>
      </c>
      <c r="S14" s="6" t="s">
        <v>334</v>
      </c>
      <c r="T14" s="6">
        <v>1</v>
      </c>
      <c r="U14" s="6">
        <v>6</v>
      </c>
      <c r="V14" s="6">
        <v>9</v>
      </c>
      <c r="W14" s="6">
        <v>3</v>
      </c>
      <c r="X14" s="6" t="s">
        <v>335</v>
      </c>
      <c r="Y14" s="6">
        <v>16</v>
      </c>
      <c r="Z14" s="6">
        <v>72</v>
      </c>
      <c r="AA14" s="6">
        <v>50</v>
      </c>
      <c r="AB14" s="6">
        <v>6</v>
      </c>
      <c r="AC14" s="6">
        <v>0</v>
      </c>
      <c r="AD14" s="6">
        <v>1</v>
      </c>
      <c r="AE14" s="6">
        <v>16</v>
      </c>
      <c r="AF14" s="6" t="b">
        <v>0</v>
      </c>
      <c r="AG14" s="6" t="b">
        <v>0</v>
      </c>
      <c r="AH14" s="6" t="b">
        <v>1</v>
      </c>
      <c r="AI14" s="6" t="b">
        <v>0</v>
      </c>
      <c r="AJ14" s="6">
        <v>0</v>
      </c>
      <c r="AK14" s="6">
        <v>0</v>
      </c>
      <c r="AL14" s="6" t="b">
        <v>0</v>
      </c>
      <c r="AM14" s="6" t="b">
        <v>0</v>
      </c>
      <c r="AN14" s="6" t="b">
        <v>0</v>
      </c>
      <c r="AO14" s="6" t="b">
        <v>0</v>
      </c>
      <c r="AP14" s="6">
        <v>0</v>
      </c>
      <c r="AQ14" s="6">
        <v>6</v>
      </c>
      <c r="AR14" s="6">
        <v>4</v>
      </c>
      <c r="AS14" s="6">
        <v>87</v>
      </c>
      <c r="AT14" s="6" t="s">
        <v>286</v>
      </c>
      <c r="AU14" s="6" t="s">
        <v>141</v>
      </c>
      <c r="AV14" s="6" t="s">
        <v>282</v>
      </c>
      <c r="AW14" s="6" t="s">
        <v>141</v>
      </c>
      <c r="AX14" s="6" t="s">
        <v>282</v>
      </c>
      <c r="AY14" s="6" t="s">
        <v>141</v>
      </c>
      <c r="AZ14" s="6" t="s">
        <v>282</v>
      </c>
      <c r="BA14" s="6" t="s">
        <v>336</v>
      </c>
      <c r="BB14" s="6">
        <v>1</v>
      </c>
      <c r="BC14" s="6">
        <v>9</v>
      </c>
      <c r="BD14" s="6">
        <v>12</v>
      </c>
      <c r="BE14" s="6">
        <v>3</v>
      </c>
      <c r="BF14" s="6" t="s">
        <v>337</v>
      </c>
      <c r="BG14" s="6">
        <v>6</v>
      </c>
      <c r="BH14" s="6">
        <v>31</v>
      </c>
      <c r="BI14" s="6">
        <v>21</v>
      </c>
      <c r="BJ14" s="6">
        <v>4</v>
      </c>
      <c r="BK14" s="6">
        <v>1</v>
      </c>
      <c r="BL14" s="6">
        <v>0</v>
      </c>
      <c r="BM14" s="6">
        <v>6</v>
      </c>
      <c r="BN14" s="6" t="b">
        <v>1</v>
      </c>
      <c r="BO14" s="6" t="b">
        <v>0</v>
      </c>
      <c r="BP14" s="6" t="b">
        <v>0</v>
      </c>
      <c r="BQ14" s="6" t="b">
        <v>0</v>
      </c>
      <c r="BR14" s="6">
        <v>0</v>
      </c>
      <c r="BS14" s="6">
        <v>1</v>
      </c>
      <c r="BT14" s="6" t="b">
        <v>0</v>
      </c>
      <c r="BU14" s="6" t="b">
        <v>0</v>
      </c>
      <c r="BV14" s="6" t="b">
        <v>0</v>
      </c>
      <c r="BW14" s="6" t="b">
        <v>0</v>
      </c>
      <c r="BX14" s="6">
        <v>0</v>
      </c>
      <c r="BY14" s="6">
        <v>0</v>
      </c>
      <c r="BZ14" s="6">
        <v>1</v>
      </c>
      <c r="CA14" s="6">
        <v>43</v>
      </c>
    </row>
    <row r="15" spans="1:79">
      <c r="A15" s="6" t="s">
        <v>280</v>
      </c>
      <c r="B15" s="6">
        <v>14</v>
      </c>
      <c r="C15" s="6">
        <v>2</v>
      </c>
      <c r="D15" s="6">
        <v>-1</v>
      </c>
      <c r="F15" s="6" t="b">
        <v>1</v>
      </c>
      <c r="G15" s="6">
        <v>3</v>
      </c>
      <c r="H15" s="6">
        <v>4</v>
      </c>
      <c r="I15" s="6">
        <v>3</v>
      </c>
      <c r="J15" s="6">
        <v>0</v>
      </c>
      <c r="K15" s="6">
        <v>1</v>
      </c>
      <c r="L15" s="6" t="s">
        <v>281</v>
      </c>
      <c r="M15" s="6" t="s">
        <v>141</v>
      </c>
      <c r="N15" s="6" t="s">
        <v>282</v>
      </c>
      <c r="O15" s="6" t="s">
        <v>141</v>
      </c>
      <c r="P15" s="6" t="s">
        <v>282</v>
      </c>
      <c r="Q15" s="6" t="s">
        <v>141</v>
      </c>
      <c r="R15" s="6" t="s">
        <v>283</v>
      </c>
      <c r="S15" s="6" t="s">
        <v>338</v>
      </c>
      <c r="T15" s="6">
        <v>2</v>
      </c>
      <c r="U15" s="6">
        <v>9</v>
      </c>
      <c r="V15" s="6">
        <v>23</v>
      </c>
      <c r="W15" s="6">
        <v>14</v>
      </c>
      <c r="X15" s="6" t="s">
        <v>339</v>
      </c>
      <c r="Y15" s="6">
        <v>23</v>
      </c>
      <c r="Z15" s="6">
        <v>128</v>
      </c>
      <c r="AA15" s="6">
        <v>96</v>
      </c>
      <c r="AB15" s="6">
        <v>28</v>
      </c>
      <c r="AC15" s="6">
        <v>4</v>
      </c>
      <c r="AD15" s="6">
        <v>2</v>
      </c>
      <c r="AE15" s="6">
        <v>4</v>
      </c>
      <c r="AF15" s="6" t="b">
        <v>1</v>
      </c>
      <c r="AG15" s="6" t="b">
        <v>1</v>
      </c>
      <c r="AH15" s="6" t="b">
        <v>0</v>
      </c>
      <c r="AI15" s="6" t="b">
        <v>1</v>
      </c>
      <c r="AJ15" s="6">
        <v>0</v>
      </c>
      <c r="AK15" s="6">
        <v>2</v>
      </c>
      <c r="AL15" s="6" t="b">
        <v>0</v>
      </c>
      <c r="AM15" s="6" t="b">
        <v>0</v>
      </c>
      <c r="AN15" s="6" t="b">
        <v>1</v>
      </c>
      <c r="AO15" s="6" t="b">
        <v>0</v>
      </c>
      <c r="AP15" s="6">
        <v>0</v>
      </c>
      <c r="AQ15" s="6">
        <v>0</v>
      </c>
      <c r="AR15" s="6">
        <v>5</v>
      </c>
      <c r="AS15" s="6">
        <v>151</v>
      </c>
      <c r="AT15" s="6" t="s">
        <v>286</v>
      </c>
      <c r="AU15" s="6" t="s">
        <v>141</v>
      </c>
      <c r="AV15" s="6" t="s">
        <v>282</v>
      </c>
      <c r="AW15" s="6" t="s">
        <v>141</v>
      </c>
      <c r="AX15" s="6" t="s">
        <v>282</v>
      </c>
      <c r="AY15" s="6" t="s">
        <v>141</v>
      </c>
      <c r="AZ15" s="6" t="s">
        <v>283</v>
      </c>
      <c r="BA15" s="6" t="s">
        <v>340</v>
      </c>
      <c r="BB15" s="6">
        <v>0</v>
      </c>
      <c r="BC15" s="6">
        <v>9</v>
      </c>
      <c r="BD15" s="6">
        <v>9</v>
      </c>
      <c r="BE15" s="6">
        <v>0</v>
      </c>
      <c r="BF15" s="6" t="s">
        <v>341</v>
      </c>
      <c r="BG15" s="6">
        <v>13</v>
      </c>
      <c r="BH15" s="6">
        <v>91</v>
      </c>
      <c r="BI15" s="6">
        <v>59</v>
      </c>
      <c r="BJ15" s="6">
        <v>28</v>
      </c>
      <c r="BK15" s="6">
        <v>1</v>
      </c>
      <c r="BL15" s="6">
        <v>4</v>
      </c>
      <c r="BM15" s="6">
        <v>4</v>
      </c>
      <c r="BN15" s="6" t="b">
        <v>0</v>
      </c>
      <c r="BO15" s="6" t="b">
        <v>0</v>
      </c>
      <c r="BP15" s="6" t="b">
        <v>1</v>
      </c>
      <c r="BQ15" s="6" t="b">
        <v>0</v>
      </c>
      <c r="BR15" s="6">
        <v>0</v>
      </c>
      <c r="BS15" s="6">
        <v>0</v>
      </c>
      <c r="BT15" s="6" t="b">
        <v>0</v>
      </c>
      <c r="BU15" s="6" t="b">
        <v>0</v>
      </c>
      <c r="BV15" s="6" t="b">
        <v>0</v>
      </c>
      <c r="BW15" s="6" t="b">
        <v>0</v>
      </c>
      <c r="BX15" s="6">
        <v>0</v>
      </c>
      <c r="BY15" s="6">
        <v>12</v>
      </c>
      <c r="BZ15" s="6">
        <v>1</v>
      </c>
      <c r="CA15" s="6">
        <v>112</v>
      </c>
    </row>
    <row r="16" spans="1:79">
      <c r="A16" s="6" t="s">
        <v>280</v>
      </c>
      <c r="B16" s="6">
        <v>15</v>
      </c>
      <c r="C16" s="6">
        <v>1</v>
      </c>
      <c r="D16" s="6">
        <v>-1</v>
      </c>
      <c r="F16" s="6" t="b">
        <v>0</v>
      </c>
      <c r="G16" s="6">
        <v>3</v>
      </c>
      <c r="H16" s="6">
        <v>4</v>
      </c>
      <c r="I16" s="6">
        <v>4</v>
      </c>
      <c r="J16" s="6">
        <v>0</v>
      </c>
      <c r="K16" s="6">
        <v>1</v>
      </c>
      <c r="L16" s="6" t="s">
        <v>281</v>
      </c>
      <c r="M16" s="6" t="s">
        <v>141</v>
      </c>
      <c r="N16" s="6" t="s">
        <v>282</v>
      </c>
      <c r="O16" s="6" t="s">
        <v>141</v>
      </c>
      <c r="P16" s="6" t="s">
        <v>282</v>
      </c>
      <c r="Q16" s="6" t="s">
        <v>141</v>
      </c>
      <c r="R16" s="6" t="s">
        <v>282</v>
      </c>
      <c r="S16" s="6" t="s">
        <v>342</v>
      </c>
      <c r="T16" s="6">
        <v>0</v>
      </c>
      <c r="U16" s="6">
        <v>9</v>
      </c>
      <c r="V16" s="6">
        <v>9</v>
      </c>
      <c r="W16" s="6">
        <v>0</v>
      </c>
      <c r="X16" s="6" t="s">
        <v>343</v>
      </c>
      <c r="Y16" s="6">
        <v>6</v>
      </c>
      <c r="Z16" s="6">
        <v>18</v>
      </c>
      <c r="AA16" s="6">
        <v>12</v>
      </c>
      <c r="AB16" s="6">
        <v>0</v>
      </c>
      <c r="AC16" s="6">
        <v>0</v>
      </c>
      <c r="AD16" s="6">
        <v>0</v>
      </c>
      <c r="AE16" s="6">
        <v>6</v>
      </c>
      <c r="AF16" s="6" t="b">
        <v>0</v>
      </c>
      <c r="AG16" s="6" t="b">
        <v>0</v>
      </c>
      <c r="AH16" s="6" t="b">
        <v>0</v>
      </c>
      <c r="AI16" s="6" t="b">
        <v>0</v>
      </c>
      <c r="AJ16" s="6">
        <v>1</v>
      </c>
      <c r="AK16" s="6">
        <v>1</v>
      </c>
      <c r="AL16" s="6" t="b">
        <v>0</v>
      </c>
      <c r="AM16" s="6" t="b">
        <v>0</v>
      </c>
      <c r="AN16" s="6" t="b">
        <v>0</v>
      </c>
      <c r="AO16" s="6" t="b">
        <v>0</v>
      </c>
      <c r="AP16" s="6">
        <v>0</v>
      </c>
      <c r="AQ16" s="6">
        <v>12</v>
      </c>
      <c r="AR16" s="6">
        <v>0</v>
      </c>
      <c r="AS16" s="6">
        <v>39</v>
      </c>
      <c r="AT16" s="6" t="s">
        <v>286</v>
      </c>
      <c r="AU16" s="6" t="s">
        <v>141</v>
      </c>
      <c r="AV16" s="6" t="s">
        <v>283</v>
      </c>
      <c r="AW16" s="6" t="s">
        <v>141</v>
      </c>
      <c r="AX16" s="6" t="s">
        <v>283</v>
      </c>
      <c r="AY16" s="6" t="s">
        <v>141</v>
      </c>
      <c r="AZ16" s="6" t="s">
        <v>283</v>
      </c>
      <c r="BA16" s="6" t="s">
        <v>344</v>
      </c>
      <c r="BB16" s="6">
        <v>1</v>
      </c>
      <c r="BC16" s="6">
        <v>9</v>
      </c>
      <c r="BD16" s="6">
        <v>16</v>
      </c>
      <c r="BE16" s="6">
        <v>7</v>
      </c>
      <c r="BF16" s="6" t="s">
        <v>345</v>
      </c>
      <c r="BG16" s="6">
        <v>3</v>
      </c>
      <c r="BH16" s="6">
        <v>31</v>
      </c>
      <c r="BI16" s="6">
        <v>15</v>
      </c>
      <c r="BJ16" s="6">
        <v>16</v>
      </c>
      <c r="BK16" s="6">
        <v>4</v>
      </c>
      <c r="BL16" s="6">
        <v>0</v>
      </c>
      <c r="BM16" s="6">
        <v>0</v>
      </c>
      <c r="BN16" s="6" t="b">
        <v>1</v>
      </c>
      <c r="BO16" s="6" t="b">
        <v>0</v>
      </c>
      <c r="BP16" s="6" t="b">
        <v>0</v>
      </c>
      <c r="BQ16" s="6" t="b">
        <v>0</v>
      </c>
      <c r="BR16" s="6">
        <v>0</v>
      </c>
      <c r="BS16" s="6">
        <v>2</v>
      </c>
      <c r="BT16" s="6" t="b">
        <v>0</v>
      </c>
      <c r="BU16" s="6" t="b">
        <v>0</v>
      </c>
      <c r="BV16" s="6" t="b">
        <v>0</v>
      </c>
      <c r="BW16" s="6" t="b">
        <v>0</v>
      </c>
      <c r="BX16" s="6">
        <v>0</v>
      </c>
      <c r="BY16" s="6">
        <v>8</v>
      </c>
      <c r="BZ16" s="6">
        <v>4</v>
      </c>
      <c r="CA16" s="6">
        <v>55</v>
      </c>
    </row>
    <row r="17" spans="1:79">
      <c r="A17" s="6" t="s">
        <v>280</v>
      </c>
      <c r="B17" s="6">
        <v>16</v>
      </c>
      <c r="C17" s="6">
        <v>2</v>
      </c>
      <c r="D17" s="6">
        <v>-1</v>
      </c>
      <c r="F17" s="6" t="b">
        <v>0</v>
      </c>
      <c r="G17" s="6">
        <v>3</v>
      </c>
      <c r="H17" s="6">
        <v>4</v>
      </c>
      <c r="I17" s="6">
        <v>4</v>
      </c>
      <c r="J17" s="6">
        <v>0</v>
      </c>
      <c r="K17" s="6">
        <v>1</v>
      </c>
      <c r="L17" s="6" t="s">
        <v>281</v>
      </c>
      <c r="M17" s="6" t="s">
        <v>153</v>
      </c>
      <c r="N17" s="6" t="s">
        <v>282</v>
      </c>
      <c r="O17" s="6" t="s">
        <v>141</v>
      </c>
      <c r="P17" s="6" t="s">
        <v>293</v>
      </c>
      <c r="Q17" s="6" t="s">
        <v>141</v>
      </c>
      <c r="R17" s="6" t="s">
        <v>282</v>
      </c>
      <c r="S17" s="6" t="s">
        <v>346</v>
      </c>
      <c r="T17" s="6">
        <v>0</v>
      </c>
      <c r="U17" s="6">
        <v>6</v>
      </c>
      <c r="V17" s="6">
        <v>6</v>
      </c>
      <c r="W17" s="6">
        <v>0</v>
      </c>
      <c r="X17" s="6" t="s">
        <v>347</v>
      </c>
      <c r="Y17" s="6">
        <v>9</v>
      </c>
      <c r="Z17" s="6">
        <v>72</v>
      </c>
      <c r="AA17" s="6">
        <v>32</v>
      </c>
      <c r="AB17" s="6">
        <v>24</v>
      </c>
      <c r="AC17" s="6">
        <v>0</v>
      </c>
      <c r="AD17" s="6">
        <v>4</v>
      </c>
      <c r="AE17" s="6">
        <v>16</v>
      </c>
      <c r="AF17" s="6" t="b">
        <v>0</v>
      </c>
      <c r="AG17" s="6" t="b">
        <v>0</v>
      </c>
      <c r="AH17" s="6" t="b">
        <v>1</v>
      </c>
      <c r="AI17" s="6" t="b">
        <v>1</v>
      </c>
      <c r="AJ17" s="6">
        <v>1</v>
      </c>
      <c r="AK17" s="6">
        <v>1</v>
      </c>
      <c r="AL17" s="6" t="b">
        <v>0</v>
      </c>
      <c r="AM17" s="6" t="b">
        <v>0</v>
      </c>
      <c r="AN17" s="6" t="b">
        <v>0</v>
      </c>
      <c r="AO17" s="6" t="b">
        <v>0</v>
      </c>
      <c r="AP17" s="6">
        <v>0</v>
      </c>
      <c r="AQ17" s="6">
        <v>12</v>
      </c>
      <c r="AR17" s="6">
        <v>4</v>
      </c>
      <c r="AS17" s="6">
        <v>90</v>
      </c>
      <c r="AT17" s="6" t="s">
        <v>286</v>
      </c>
      <c r="AU17" s="6" t="s">
        <v>141</v>
      </c>
      <c r="AV17" s="6" t="s">
        <v>283</v>
      </c>
      <c r="AW17" s="6" t="s">
        <v>141</v>
      </c>
      <c r="AX17" s="6" t="s">
        <v>282</v>
      </c>
      <c r="AY17" s="6" t="s">
        <v>141</v>
      </c>
      <c r="AZ17" s="6" t="s">
        <v>282</v>
      </c>
      <c r="BA17" s="6" t="s">
        <v>348</v>
      </c>
      <c r="BB17" s="6">
        <v>0</v>
      </c>
      <c r="BC17" s="6">
        <v>9</v>
      </c>
      <c r="BD17" s="6">
        <v>9</v>
      </c>
      <c r="BE17" s="6">
        <v>0</v>
      </c>
      <c r="BF17" s="6" t="s">
        <v>349</v>
      </c>
      <c r="BG17" s="6">
        <v>3</v>
      </c>
      <c r="BH17" s="6">
        <v>29</v>
      </c>
      <c r="BI17" s="6">
        <v>13</v>
      </c>
      <c r="BJ17" s="6">
        <v>12</v>
      </c>
      <c r="BK17" s="6">
        <v>3</v>
      </c>
      <c r="BL17" s="6">
        <v>0</v>
      </c>
      <c r="BM17" s="6">
        <v>4</v>
      </c>
      <c r="BN17" s="6" t="b">
        <v>0</v>
      </c>
      <c r="BO17" s="6" t="b">
        <v>0</v>
      </c>
      <c r="BP17" s="6" t="b">
        <v>0</v>
      </c>
      <c r="BQ17" s="6" t="b">
        <v>0</v>
      </c>
      <c r="BR17" s="6">
        <v>0</v>
      </c>
      <c r="BS17" s="6">
        <v>2</v>
      </c>
      <c r="BT17" s="6" t="b">
        <v>0</v>
      </c>
      <c r="BU17" s="6" t="b">
        <v>0</v>
      </c>
      <c r="BV17" s="6" t="b">
        <v>0</v>
      </c>
      <c r="BW17" s="6" t="b">
        <v>0</v>
      </c>
      <c r="BX17" s="6">
        <v>0</v>
      </c>
      <c r="BY17" s="6">
        <v>8</v>
      </c>
      <c r="BZ17" s="6">
        <v>0</v>
      </c>
      <c r="CA17" s="6">
        <v>46</v>
      </c>
    </row>
    <row r="18" spans="1:79">
      <c r="A18" s="6" t="s">
        <v>280</v>
      </c>
      <c r="B18" s="6">
        <v>17</v>
      </c>
      <c r="C18" s="6">
        <v>1</v>
      </c>
      <c r="D18" s="6">
        <v>-1</v>
      </c>
      <c r="F18" s="6" t="b">
        <v>0</v>
      </c>
      <c r="G18" s="6">
        <v>3</v>
      </c>
      <c r="H18" s="6">
        <v>4</v>
      </c>
      <c r="I18" s="6">
        <v>4</v>
      </c>
      <c r="J18" s="6">
        <v>0</v>
      </c>
      <c r="K18" s="6">
        <v>1</v>
      </c>
      <c r="L18" s="6" t="s">
        <v>281</v>
      </c>
      <c r="M18" s="6" t="s">
        <v>141</v>
      </c>
      <c r="N18" s="6" t="s">
        <v>283</v>
      </c>
      <c r="O18" s="6" t="s">
        <v>141</v>
      </c>
      <c r="P18" s="6" t="s">
        <v>282</v>
      </c>
      <c r="Q18" s="6" t="s">
        <v>141</v>
      </c>
      <c r="R18" s="6" t="s">
        <v>282</v>
      </c>
      <c r="S18" s="6" t="s">
        <v>350</v>
      </c>
      <c r="T18" s="6">
        <v>0</v>
      </c>
      <c r="U18" s="6">
        <v>9</v>
      </c>
      <c r="V18" s="6">
        <v>9</v>
      </c>
      <c r="W18" s="6">
        <v>0</v>
      </c>
      <c r="X18" s="6" t="s">
        <v>351</v>
      </c>
      <c r="Y18" s="6">
        <v>5</v>
      </c>
      <c r="Z18" s="6">
        <v>17</v>
      </c>
      <c r="AA18" s="6">
        <v>13</v>
      </c>
      <c r="AB18" s="6">
        <v>0</v>
      </c>
      <c r="AC18" s="6">
        <v>0</v>
      </c>
      <c r="AD18" s="6">
        <v>0</v>
      </c>
      <c r="AE18" s="6">
        <v>4</v>
      </c>
      <c r="AF18" s="6" t="b">
        <v>0</v>
      </c>
      <c r="AG18" s="6" t="b">
        <v>0</v>
      </c>
      <c r="AH18" s="6" t="b">
        <v>0</v>
      </c>
      <c r="AI18" s="6" t="b">
        <v>0</v>
      </c>
      <c r="AJ18" s="6">
        <v>1</v>
      </c>
      <c r="AK18" s="6">
        <v>0</v>
      </c>
      <c r="AL18" s="6" t="b">
        <v>0</v>
      </c>
      <c r="AM18" s="6" t="b">
        <v>0</v>
      </c>
      <c r="AN18" s="6" t="b">
        <v>0</v>
      </c>
      <c r="AO18" s="6" t="b">
        <v>0</v>
      </c>
      <c r="AP18" s="6">
        <v>0</v>
      </c>
      <c r="AQ18" s="6">
        <v>0</v>
      </c>
      <c r="AR18" s="6">
        <v>0</v>
      </c>
      <c r="AS18" s="6">
        <v>26</v>
      </c>
      <c r="AT18" s="6" t="s">
        <v>286</v>
      </c>
      <c r="AU18" s="6" t="s">
        <v>153</v>
      </c>
      <c r="AV18" s="6" t="s">
        <v>283</v>
      </c>
      <c r="AW18" s="6" t="s">
        <v>141</v>
      </c>
      <c r="AX18" s="6" t="s">
        <v>293</v>
      </c>
      <c r="AY18" s="6" t="s">
        <v>141</v>
      </c>
      <c r="AZ18" s="6" t="s">
        <v>282</v>
      </c>
      <c r="BA18" s="6" t="s">
        <v>352</v>
      </c>
      <c r="BB18" s="6">
        <v>1</v>
      </c>
      <c r="BC18" s="6">
        <v>6</v>
      </c>
      <c r="BD18" s="6">
        <v>13</v>
      </c>
      <c r="BE18" s="6">
        <v>7</v>
      </c>
      <c r="BF18" s="6" t="s">
        <v>353</v>
      </c>
      <c r="BG18" s="6">
        <v>12</v>
      </c>
      <c r="BH18" s="6">
        <v>62</v>
      </c>
      <c r="BI18" s="6">
        <v>48</v>
      </c>
      <c r="BJ18" s="6">
        <v>0</v>
      </c>
      <c r="BK18" s="6">
        <v>0</v>
      </c>
      <c r="BL18" s="6">
        <v>0</v>
      </c>
      <c r="BM18" s="6">
        <v>14</v>
      </c>
      <c r="BN18" s="6" t="b">
        <v>1</v>
      </c>
      <c r="BO18" s="6" t="b">
        <v>0</v>
      </c>
      <c r="BP18" s="6" t="b">
        <v>1</v>
      </c>
      <c r="BQ18" s="6" t="b">
        <v>0</v>
      </c>
      <c r="BR18" s="6">
        <v>0</v>
      </c>
      <c r="BS18" s="6">
        <v>0</v>
      </c>
      <c r="BT18" s="6" t="b">
        <v>0</v>
      </c>
      <c r="BU18" s="6" t="b">
        <v>0</v>
      </c>
      <c r="BV18" s="6" t="b">
        <v>0</v>
      </c>
      <c r="BW18" s="6" t="b">
        <v>0</v>
      </c>
      <c r="BX18" s="6">
        <v>0</v>
      </c>
      <c r="BY18" s="6">
        <v>2</v>
      </c>
      <c r="BZ18" s="6">
        <v>5</v>
      </c>
      <c r="CA18" s="6">
        <v>77</v>
      </c>
    </row>
    <row r="19" spans="1:79">
      <c r="A19" s="6" t="s">
        <v>280</v>
      </c>
      <c r="B19" s="6">
        <v>18</v>
      </c>
      <c r="C19" s="6">
        <v>2</v>
      </c>
      <c r="D19" s="6">
        <v>-1</v>
      </c>
      <c r="F19" s="6" t="b">
        <v>0</v>
      </c>
      <c r="G19" s="6">
        <v>3</v>
      </c>
      <c r="H19" s="6">
        <v>4</v>
      </c>
      <c r="I19" s="6">
        <v>4</v>
      </c>
      <c r="J19" s="6">
        <v>0</v>
      </c>
      <c r="K19" s="6">
        <v>1</v>
      </c>
      <c r="L19" s="6" t="s">
        <v>281</v>
      </c>
      <c r="M19" s="6" t="s">
        <v>141</v>
      </c>
      <c r="N19" s="6" t="s">
        <v>282</v>
      </c>
      <c r="O19" s="6" t="s">
        <v>141</v>
      </c>
      <c r="P19" s="6" t="s">
        <v>282</v>
      </c>
      <c r="Q19" s="6" t="s">
        <v>153</v>
      </c>
      <c r="R19" s="6" t="s">
        <v>282</v>
      </c>
      <c r="S19" s="6" t="s">
        <v>354</v>
      </c>
      <c r="T19" s="6">
        <v>1</v>
      </c>
      <c r="U19" s="6">
        <v>6</v>
      </c>
      <c r="V19" s="6">
        <v>13</v>
      </c>
      <c r="W19" s="6">
        <v>7</v>
      </c>
      <c r="X19" s="6" t="s">
        <v>355</v>
      </c>
      <c r="Y19" s="6">
        <v>12</v>
      </c>
      <c r="Z19" s="6">
        <v>58</v>
      </c>
      <c r="AA19" s="6">
        <v>52</v>
      </c>
      <c r="AB19" s="6">
        <v>0</v>
      </c>
      <c r="AC19" s="6">
        <v>0</v>
      </c>
      <c r="AD19" s="6">
        <v>0</v>
      </c>
      <c r="AE19" s="6">
        <v>6</v>
      </c>
      <c r="AF19" s="6" t="b">
        <v>0</v>
      </c>
      <c r="AG19" s="6" t="b">
        <v>0</v>
      </c>
      <c r="AH19" s="6" t="b">
        <v>1</v>
      </c>
      <c r="AI19" s="6" t="b">
        <v>0</v>
      </c>
      <c r="AJ19" s="6">
        <v>0</v>
      </c>
      <c r="AK19" s="6">
        <v>1</v>
      </c>
      <c r="AL19" s="6" t="b">
        <v>0</v>
      </c>
      <c r="AM19" s="6" t="b">
        <v>0</v>
      </c>
      <c r="AN19" s="6" t="b">
        <v>0</v>
      </c>
      <c r="AO19" s="6" t="b">
        <v>0</v>
      </c>
      <c r="AP19" s="6">
        <v>0</v>
      </c>
      <c r="AQ19" s="6">
        <v>8</v>
      </c>
      <c r="AR19" s="6">
        <v>4</v>
      </c>
      <c r="AS19" s="6">
        <v>79</v>
      </c>
      <c r="AT19" s="6" t="s">
        <v>286</v>
      </c>
      <c r="AU19" s="6" t="s">
        <v>153</v>
      </c>
      <c r="AV19" s="6" t="s">
        <v>283</v>
      </c>
      <c r="AW19" s="6" t="s">
        <v>141</v>
      </c>
      <c r="AX19" s="6" t="s">
        <v>282</v>
      </c>
      <c r="AY19" s="6" t="s">
        <v>141</v>
      </c>
      <c r="AZ19" s="6" t="s">
        <v>282</v>
      </c>
      <c r="BA19" s="6" t="s">
        <v>356</v>
      </c>
      <c r="BB19" s="6">
        <v>0</v>
      </c>
      <c r="BC19" s="6">
        <v>6</v>
      </c>
      <c r="BD19" s="6">
        <v>6</v>
      </c>
      <c r="BE19" s="6">
        <v>0</v>
      </c>
      <c r="BF19" s="6" t="s">
        <v>357</v>
      </c>
      <c r="BG19" s="6">
        <v>7</v>
      </c>
      <c r="BH19" s="6">
        <v>34</v>
      </c>
      <c r="BI19" s="6">
        <v>30</v>
      </c>
      <c r="BJ19" s="6">
        <v>0</v>
      </c>
      <c r="BK19" s="6">
        <v>0</v>
      </c>
      <c r="BL19" s="6">
        <v>0</v>
      </c>
      <c r="BM19" s="6">
        <v>4</v>
      </c>
      <c r="BN19" s="6" t="b">
        <v>0</v>
      </c>
      <c r="BO19" s="6" t="b">
        <v>0</v>
      </c>
      <c r="BP19" s="6" t="b">
        <v>0</v>
      </c>
      <c r="BQ19" s="6" t="b">
        <v>0</v>
      </c>
      <c r="BR19" s="6">
        <v>1</v>
      </c>
      <c r="BS19" s="6">
        <v>1</v>
      </c>
      <c r="BT19" s="6" t="b">
        <v>0</v>
      </c>
      <c r="BU19" s="6" t="b">
        <v>0</v>
      </c>
      <c r="BV19" s="6" t="b">
        <v>1</v>
      </c>
      <c r="BW19" s="6" t="b">
        <v>0</v>
      </c>
      <c r="BX19" s="6">
        <v>0</v>
      </c>
      <c r="BY19" s="6">
        <v>6</v>
      </c>
      <c r="BZ19" s="6">
        <v>0</v>
      </c>
      <c r="CA19" s="6">
        <v>46</v>
      </c>
    </row>
    <row r="20" spans="1:79">
      <c r="A20" s="6" t="s">
        <v>280</v>
      </c>
      <c r="B20" s="6">
        <v>19</v>
      </c>
      <c r="C20" s="6">
        <v>2</v>
      </c>
      <c r="D20" s="6">
        <v>-1</v>
      </c>
      <c r="F20" s="6" t="b">
        <v>0</v>
      </c>
      <c r="G20" s="6">
        <v>3</v>
      </c>
      <c r="H20" s="6">
        <v>4</v>
      </c>
      <c r="I20" s="6">
        <v>4</v>
      </c>
      <c r="J20" s="6">
        <v>0</v>
      </c>
      <c r="K20" s="6">
        <v>1</v>
      </c>
      <c r="L20" s="6" t="s">
        <v>281</v>
      </c>
      <c r="M20" s="6" t="s">
        <v>141</v>
      </c>
      <c r="N20" s="6" t="s">
        <v>293</v>
      </c>
      <c r="O20" s="6" t="s">
        <v>141</v>
      </c>
      <c r="P20" s="6" t="s">
        <v>293</v>
      </c>
      <c r="Q20" s="6" t="s">
        <v>141</v>
      </c>
      <c r="R20" s="6" t="s">
        <v>283</v>
      </c>
      <c r="S20" s="6" t="s">
        <v>358</v>
      </c>
      <c r="T20" s="6">
        <v>4</v>
      </c>
      <c r="U20" s="6">
        <v>9</v>
      </c>
      <c r="V20" s="6">
        <v>33</v>
      </c>
      <c r="W20" s="6">
        <v>24</v>
      </c>
      <c r="X20" s="6" t="s">
        <v>359</v>
      </c>
      <c r="Y20" s="6">
        <v>12</v>
      </c>
      <c r="Z20" s="6">
        <v>78</v>
      </c>
      <c r="AA20" s="6">
        <v>46</v>
      </c>
      <c r="AB20" s="6">
        <v>8</v>
      </c>
      <c r="AC20" s="6">
        <v>2</v>
      </c>
      <c r="AD20" s="6">
        <v>0</v>
      </c>
      <c r="AE20" s="6">
        <v>24</v>
      </c>
      <c r="AF20" s="6" t="b">
        <v>1</v>
      </c>
      <c r="AG20" s="6" t="b">
        <v>0</v>
      </c>
      <c r="AH20" s="6" t="b">
        <v>1</v>
      </c>
      <c r="AI20" s="6" t="b">
        <v>0</v>
      </c>
      <c r="AJ20" s="6">
        <v>0</v>
      </c>
      <c r="AK20" s="6">
        <v>0</v>
      </c>
      <c r="AL20" s="6" t="b">
        <v>0</v>
      </c>
      <c r="AM20" s="6" t="b">
        <v>0</v>
      </c>
      <c r="AN20" s="6" t="b">
        <v>0</v>
      </c>
      <c r="AO20" s="6" t="b">
        <v>0</v>
      </c>
      <c r="AP20" s="6">
        <v>0</v>
      </c>
      <c r="AQ20" s="6">
        <v>6</v>
      </c>
      <c r="AR20" s="6">
        <v>5</v>
      </c>
      <c r="AS20" s="6">
        <v>117</v>
      </c>
      <c r="AT20" s="6" t="s">
        <v>286</v>
      </c>
      <c r="AU20" s="6" t="s">
        <v>141</v>
      </c>
      <c r="AV20" s="6" t="s">
        <v>283</v>
      </c>
      <c r="AW20" s="6" t="s">
        <v>141</v>
      </c>
      <c r="AX20" s="6" t="s">
        <v>282</v>
      </c>
      <c r="AY20" s="6" t="s">
        <v>141</v>
      </c>
      <c r="AZ20" s="6" t="s">
        <v>282</v>
      </c>
      <c r="BA20" s="6" t="s">
        <v>360</v>
      </c>
      <c r="BB20" s="6">
        <v>1</v>
      </c>
      <c r="BC20" s="6">
        <v>9</v>
      </c>
      <c r="BD20" s="6">
        <v>12</v>
      </c>
      <c r="BE20" s="6">
        <v>3</v>
      </c>
      <c r="BF20" s="6" t="s">
        <v>361</v>
      </c>
      <c r="BG20" s="6">
        <v>15</v>
      </c>
      <c r="BH20" s="6">
        <v>36</v>
      </c>
      <c r="BI20" s="6">
        <v>32</v>
      </c>
      <c r="BJ20" s="6">
        <v>0</v>
      </c>
      <c r="BK20" s="6">
        <v>0</v>
      </c>
      <c r="BL20" s="6">
        <v>0</v>
      </c>
      <c r="BM20" s="6">
        <v>4</v>
      </c>
      <c r="BN20" s="6" t="b">
        <v>1</v>
      </c>
      <c r="BO20" s="6" t="b">
        <v>0</v>
      </c>
      <c r="BP20" s="6" t="b">
        <v>0</v>
      </c>
      <c r="BQ20" s="6" t="b">
        <v>0</v>
      </c>
      <c r="BR20" s="6">
        <v>0</v>
      </c>
      <c r="BS20" s="6">
        <v>1</v>
      </c>
      <c r="BT20" s="6" t="b">
        <v>0</v>
      </c>
      <c r="BU20" s="6" t="b">
        <v>0</v>
      </c>
      <c r="BV20" s="6" t="b">
        <v>0</v>
      </c>
      <c r="BW20" s="6" t="b">
        <v>0</v>
      </c>
      <c r="BX20" s="6">
        <v>0</v>
      </c>
      <c r="BY20" s="6">
        <v>0</v>
      </c>
      <c r="BZ20" s="6">
        <v>1</v>
      </c>
      <c r="CA20" s="6">
        <v>48</v>
      </c>
    </row>
    <row r="21" spans="1:79">
      <c r="A21" s="6" t="s">
        <v>280</v>
      </c>
      <c r="B21" s="6">
        <v>20</v>
      </c>
      <c r="C21" s="6">
        <v>2</v>
      </c>
      <c r="D21" s="6">
        <v>-1</v>
      </c>
      <c r="F21" s="6" t="b">
        <v>0</v>
      </c>
      <c r="G21" s="6">
        <v>3</v>
      </c>
      <c r="H21" s="6">
        <v>4</v>
      </c>
      <c r="I21" s="6">
        <v>4</v>
      </c>
      <c r="J21" s="6">
        <v>0</v>
      </c>
      <c r="K21" s="6">
        <v>1</v>
      </c>
      <c r="L21" s="6" t="s">
        <v>281</v>
      </c>
      <c r="M21" s="6" t="s">
        <v>141</v>
      </c>
      <c r="N21" s="6" t="s">
        <v>282</v>
      </c>
      <c r="O21" s="6" t="s">
        <v>141</v>
      </c>
      <c r="P21" s="6" t="s">
        <v>282</v>
      </c>
      <c r="Q21" s="6" t="s">
        <v>141</v>
      </c>
      <c r="R21" s="6" t="s">
        <v>282</v>
      </c>
      <c r="S21" s="6" t="s">
        <v>362</v>
      </c>
      <c r="T21" s="6">
        <v>0</v>
      </c>
      <c r="U21" s="6">
        <v>9</v>
      </c>
      <c r="V21" s="6">
        <v>9</v>
      </c>
      <c r="W21" s="6">
        <v>0</v>
      </c>
      <c r="X21" s="6" t="s">
        <v>363</v>
      </c>
      <c r="Y21" s="6">
        <v>17</v>
      </c>
      <c r="Z21" s="6">
        <v>80</v>
      </c>
      <c r="AA21" s="6">
        <v>62</v>
      </c>
      <c r="AB21" s="6">
        <v>12</v>
      </c>
      <c r="AC21" s="6">
        <v>0</v>
      </c>
      <c r="AD21" s="6">
        <v>2</v>
      </c>
      <c r="AE21" s="6">
        <v>6</v>
      </c>
      <c r="AF21" s="6" t="b">
        <v>0</v>
      </c>
      <c r="AG21" s="6" t="b">
        <v>0</v>
      </c>
      <c r="AH21" s="6" t="b">
        <v>1</v>
      </c>
      <c r="AI21" s="6" t="b">
        <v>1</v>
      </c>
      <c r="AJ21" s="6">
        <v>0</v>
      </c>
      <c r="AK21" s="6">
        <v>0</v>
      </c>
      <c r="AL21" s="6" t="b">
        <v>0</v>
      </c>
      <c r="AM21" s="6" t="b">
        <v>0</v>
      </c>
      <c r="AN21" s="6" t="b">
        <v>0</v>
      </c>
      <c r="AO21" s="6" t="b">
        <v>0</v>
      </c>
      <c r="AP21" s="6">
        <v>0</v>
      </c>
      <c r="AQ21" s="6">
        <v>6</v>
      </c>
      <c r="AR21" s="6">
        <v>4</v>
      </c>
      <c r="AS21" s="6">
        <v>95</v>
      </c>
      <c r="AT21" s="6" t="s">
        <v>286</v>
      </c>
      <c r="AU21" s="6" t="s">
        <v>141</v>
      </c>
      <c r="AV21" s="6" t="s">
        <v>282</v>
      </c>
      <c r="AW21" s="6" t="s">
        <v>141</v>
      </c>
      <c r="AX21" s="6" t="s">
        <v>293</v>
      </c>
      <c r="AY21" s="6" t="s">
        <v>141</v>
      </c>
      <c r="AZ21" s="6" t="s">
        <v>282</v>
      </c>
      <c r="BA21" s="6" t="s">
        <v>364</v>
      </c>
      <c r="BB21" s="6">
        <v>1</v>
      </c>
      <c r="BC21" s="6">
        <v>9</v>
      </c>
      <c r="BD21" s="6">
        <v>13</v>
      </c>
      <c r="BE21" s="6">
        <v>4</v>
      </c>
      <c r="BF21" s="6" t="s">
        <v>365</v>
      </c>
      <c r="BG21" s="6">
        <v>11</v>
      </c>
      <c r="BH21" s="6">
        <v>75</v>
      </c>
      <c r="BI21" s="6">
        <v>55</v>
      </c>
      <c r="BJ21" s="6">
        <v>4</v>
      </c>
      <c r="BK21" s="6">
        <v>1</v>
      </c>
      <c r="BL21" s="6">
        <v>0</v>
      </c>
      <c r="BM21" s="6">
        <v>16</v>
      </c>
      <c r="BN21" s="6" t="b">
        <v>1</v>
      </c>
      <c r="BO21" s="6" t="b">
        <v>0</v>
      </c>
      <c r="BP21" s="6" t="b">
        <v>1</v>
      </c>
      <c r="BQ21" s="6" t="b">
        <v>0</v>
      </c>
      <c r="BR21" s="6">
        <v>0</v>
      </c>
      <c r="BS21" s="6">
        <v>1</v>
      </c>
      <c r="BT21" s="6" t="b">
        <v>0</v>
      </c>
      <c r="BU21" s="6" t="b">
        <v>0</v>
      </c>
      <c r="BV21" s="6" t="b">
        <v>1</v>
      </c>
      <c r="BW21" s="6" t="b">
        <v>0</v>
      </c>
      <c r="BX21" s="6">
        <v>0</v>
      </c>
      <c r="BY21" s="6">
        <v>0</v>
      </c>
      <c r="BZ21" s="6">
        <v>2</v>
      </c>
      <c r="CA21" s="6">
        <v>88</v>
      </c>
    </row>
    <row r="22" spans="1:79">
      <c r="A22" s="6" t="s">
        <v>280</v>
      </c>
      <c r="B22" s="6">
        <v>21</v>
      </c>
      <c r="C22" s="6">
        <v>1</v>
      </c>
      <c r="D22" s="6">
        <v>-1</v>
      </c>
      <c r="F22" s="6" t="b">
        <v>1</v>
      </c>
      <c r="G22" s="6">
        <v>3</v>
      </c>
      <c r="H22" s="6">
        <v>4</v>
      </c>
      <c r="I22" s="6">
        <v>3</v>
      </c>
      <c r="J22" s="6">
        <v>0</v>
      </c>
      <c r="K22" s="6">
        <v>1</v>
      </c>
      <c r="L22" s="6" t="s">
        <v>281</v>
      </c>
      <c r="M22" s="6" t="s">
        <v>153</v>
      </c>
      <c r="N22" s="6" t="s">
        <v>283</v>
      </c>
      <c r="O22" s="6" t="s">
        <v>141</v>
      </c>
      <c r="P22" s="6" t="s">
        <v>282</v>
      </c>
      <c r="Q22" s="6" t="s">
        <v>141</v>
      </c>
      <c r="R22" s="6" t="s">
        <v>282</v>
      </c>
      <c r="S22" s="6" t="s">
        <v>366</v>
      </c>
      <c r="T22" s="6">
        <v>0</v>
      </c>
      <c r="U22" s="6">
        <v>6</v>
      </c>
      <c r="V22" s="6">
        <v>6</v>
      </c>
      <c r="W22" s="6">
        <v>0</v>
      </c>
      <c r="X22" s="6" t="s">
        <v>367</v>
      </c>
      <c r="Y22" s="6">
        <v>5</v>
      </c>
      <c r="Z22" s="6">
        <v>52</v>
      </c>
      <c r="AA22" s="6">
        <v>10</v>
      </c>
      <c r="AB22" s="6">
        <v>38</v>
      </c>
      <c r="AC22" s="6">
        <v>5</v>
      </c>
      <c r="AD22" s="6">
        <v>3</v>
      </c>
      <c r="AE22" s="6">
        <v>4</v>
      </c>
      <c r="AF22" s="6" t="b">
        <v>0</v>
      </c>
      <c r="AG22" s="6" t="b">
        <v>0</v>
      </c>
      <c r="AH22" s="6" t="b">
        <v>0</v>
      </c>
      <c r="AI22" s="6" t="b">
        <v>1</v>
      </c>
      <c r="AJ22" s="6">
        <v>0</v>
      </c>
      <c r="AK22" s="6">
        <v>0</v>
      </c>
      <c r="AL22" s="6" t="b">
        <v>0</v>
      </c>
      <c r="AM22" s="6" t="b">
        <v>0</v>
      </c>
      <c r="AN22" s="6" t="b">
        <v>0</v>
      </c>
      <c r="AO22" s="6" t="b">
        <v>0</v>
      </c>
      <c r="AP22" s="6">
        <v>0</v>
      </c>
      <c r="AQ22" s="6">
        <v>0</v>
      </c>
      <c r="AR22" s="6">
        <v>0</v>
      </c>
      <c r="AS22" s="6">
        <v>58</v>
      </c>
      <c r="AT22" s="6" t="s">
        <v>286</v>
      </c>
      <c r="AU22" s="6" t="s">
        <v>141</v>
      </c>
      <c r="AV22" s="6" t="s">
        <v>293</v>
      </c>
      <c r="AW22" s="6" t="s">
        <v>153</v>
      </c>
      <c r="AX22" s="6" t="s">
        <v>282</v>
      </c>
      <c r="AY22" s="6" t="s">
        <v>141</v>
      </c>
      <c r="AZ22" s="6" t="s">
        <v>282</v>
      </c>
      <c r="BA22" s="6" t="s">
        <v>368</v>
      </c>
      <c r="BB22" s="6">
        <v>1</v>
      </c>
      <c r="BC22" s="6">
        <v>6</v>
      </c>
      <c r="BD22" s="6">
        <v>13</v>
      </c>
      <c r="BE22" s="6">
        <v>7</v>
      </c>
      <c r="BF22" s="6" t="s">
        <v>369</v>
      </c>
      <c r="BG22" s="6">
        <v>16</v>
      </c>
      <c r="BH22" s="6">
        <v>110</v>
      </c>
      <c r="BI22" s="6">
        <v>74</v>
      </c>
      <c r="BJ22" s="6">
        <v>20</v>
      </c>
      <c r="BK22" s="6">
        <v>2</v>
      </c>
      <c r="BL22" s="6">
        <v>2</v>
      </c>
      <c r="BM22" s="6">
        <v>16</v>
      </c>
      <c r="BN22" s="6" t="b">
        <v>1</v>
      </c>
      <c r="BO22" s="6" t="b">
        <v>0</v>
      </c>
      <c r="BP22" s="6" t="b">
        <v>1</v>
      </c>
      <c r="BQ22" s="6" t="b">
        <v>0</v>
      </c>
      <c r="BR22" s="6">
        <v>0</v>
      </c>
      <c r="BS22" s="6">
        <v>0</v>
      </c>
      <c r="BT22" s="6" t="b">
        <v>0</v>
      </c>
      <c r="BU22" s="6" t="b">
        <v>0</v>
      </c>
      <c r="BV22" s="6" t="b">
        <v>0</v>
      </c>
      <c r="BW22" s="6" t="b">
        <v>0</v>
      </c>
      <c r="BX22" s="6">
        <v>0</v>
      </c>
      <c r="BY22" s="6">
        <v>0</v>
      </c>
      <c r="BZ22" s="6">
        <v>5</v>
      </c>
      <c r="CA22" s="6">
        <v>123</v>
      </c>
    </row>
    <row r="23" spans="1:79">
      <c r="A23" s="6" t="s">
        <v>280</v>
      </c>
      <c r="B23" s="6">
        <v>22</v>
      </c>
      <c r="C23" s="6">
        <v>2</v>
      </c>
      <c r="D23" s="6">
        <v>-1</v>
      </c>
      <c r="F23" s="6" t="b">
        <v>0</v>
      </c>
      <c r="G23" s="6">
        <v>3</v>
      </c>
      <c r="H23" s="6">
        <v>4</v>
      </c>
      <c r="I23" s="6">
        <v>4</v>
      </c>
      <c r="J23" s="6">
        <v>0</v>
      </c>
      <c r="K23" s="6">
        <v>1</v>
      </c>
      <c r="L23" s="6" t="s">
        <v>281</v>
      </c>
      <c r="M23" s="6" t="s">
        <v>141</v>
      </c>
      <c r="N23" s="6" t="s">
        <v>282</v>
      </c>
      <c r="O23" s="6" t="s">
        <v>153</v>
      </c>
      <c r="P23" s="6" t="s">
        <v>283</v>
      </c>
      <c r="Q23" s="6" t="s">
        <v>141</v>
      </c>
      <c r="R23" s="6" t="s">
        <v>282</v>
      </c>
      <c r="S23" s="6" t="s">
        <v>370</v>
      </c>
      <c r="T23" s="6">
        <v>0</v>
      </c>
      <c r="U23" s="6">
        <v>6</v>
      </c>
      <c r="V23" s="6">
        <v>6</v>
      </c>
      <c r="W23" s="6">
        <v>0</v>
      </c>
      <c r="X23" s="6" t="s">
        <v>371</v>
      </c>
      <c r="Y23" s="6">
        <v>7</v>
      </c>
      <c r="Z23" s="6">
        <v>61</v>
      </c>
      <c r="AA23" s="6">
        <v>27</v>
      </c>
      <c r="AB23" s="6">
        <v>30</v>
      </c>
      <c r="AC23" s="6">
        <v>0</v>
      </c>
      <c r="AD23" s="6">
        <v>5</v>
      </c>
      <c r="AE23" s="6">
        <v>4</v>
      </c>
      <c r="AF23" s="6" t="b">
        <v>0</v>
      </c>
      <c r="AG23" s="6" t="b">
        <v>0</v>
      </c>
      <c r="AH23" s="6" t="b">
        <v>0</v>
      </c>
      <c r="AI23" s="6" t="b">
        <v>1</v>
      </c>
      <c r="AJ23" s="6">
        <v>0</v>
      </c>
      <c r="AK23" s="6">
        <v>0</v>
      </c>
      <c r="AL23" s="6" t="b">
        <v>0</v>
      </c>
      <c r="AM23" s="6" t="b">
        <v>0</v>
      </c>
      <c r="AN23" s="6" t="b">
        <v>0</v>
      </c>
      <c r="AO23" s="6" t="b">
        <v>0</v>
      </c>
      <c r="AP23" s="6">
        <v>0</v>
      </c>
      <c r="AQ23" s="6">
        <v>6</v>
      </c>
      <c r="AR23" s="6">
        <v>3</v>
      </c>
      <c r="AS23" s="6">
        <v>73</v>
      </c>
      <c r="AT23" s="6" t="s">
        <v>286</v>
      </c>
      <c r="AU23" s="6" t="s">
        <v>141</v>
      </c>
      <c r="AV23" s="6" t="s">
        <v>282</v>
      </c>
      <c r="AW23" s="6" t="s">
        <v>141</v>
      </c>
      <c r="AX23" s="6" t="s">
        <v>293</v>
      </c>
      <c r="AY23" s="6" t="s">
        <v>141</v>
      </c>
      <c r="AZ23" s="6" t="s">
        <v>282</v>
      </c>
      <c r="BA23" s="6" t="s">
        <v>372</v>
      </c>
      <c r="BB23" s="6">
        <v>0</v>
      </c>
      <c r="BC23" s="6">
        <v>9</v>
      </c>
      <c r="BD23" s="6">
        <v>9</v>
      </c>
      <c r="BE23" s="6">
        <v>0</v>
      </c>
      <c r="BF23" s="6" t="s">
        <v>373</v>
      </c>
      <c r="BG23" s="6">
        <v>6</v>
      </c>
      <c r="BH23" s="6">
        <v>63</v>
      </c>
      <c r="BI23" s="6">
        <v>27</v>
      </c>
      <c r="BJ23" s="6">
        <v>20</v>
      </c>
      <c r="BK23" s="6">
        <v>5</v>
      </c>
      <c r="BL23" s="6">
        <v>0</v>
      </c>
      <c r="BM23" s="6">
        <v>16</v>
      </c>
      <c r="BN23" s="6" t="b">
        <v>0</v>
      </c>
      <c r="BO23" s="6" t="b">
        <v>0</v>
      </c>
      <c r="BP23" s="6" t="b">
        <v>1</v>
      </c>
      <c r="BQ23" s="6" t="b">
        <v>0</v>
      </c>
      <c r="BR23" s="6">
        <v>0</v>
      </c>
      <c r="BS23" s="6">
        <v>1</v>
      </c>
      <c r="BT23" s="6" t="b">
        <v>0</v>
      </c>
      <c r="BU23" s="6" t="b">
        <v>0</v>
      </c>
      <c r="BV23" s="6" t="b">
        <v>0</v>
      </c>
      <c r="BW23" s="6" t="b">
        <v>0</v>
      </c>
      <c r="BX23" s="6">
        <v>0</v>
      </c>
      <c r="BY23" s="6">
        <v>0</v>
      </c>
      <c r="BZ23" s="6">
        <v>1</v>
      </c>
      <c r="CA23" s="6">
        <v>72</v>
      </c>
    </row>
    <row r="24" spans="1:79">
      <c r="A24" s="6" t="s">
        <v>280</v>
      </c>
      <c r="B24" s="6">
        <v>23</v>
      </c>
      <c r="C24" s="6">
        <v>2</v>
      </c>
      <c r="D24" s="6">
        <v>-1</v>
      </c>
      <c r="F24" s="6" t="b">
        <v>0</v>
      </c>
      <c r="G24" s="6">
        <v>3</v>
      </c>
      <c r="H24" s="6">
        <v>4</v>
      </c>
      <c r="I24" s="6">
        <v>4</v>
      </c>
      <c r="J24" s="6">
        <v>0</v>
      </c>
      <c r="K24" s="6">
        <v>1</v>
      </c>
      <c r="L24" s="6" t="s">
        <v>281</v>
      </c>
      <c r="M24" s="6" t="s">
        <v>141</v>
      </c>
      <c r="N24" s="6" t="s">
        <v>282</v>
      </c>
      <c r="O24" s="6" t="s">
        <v>141</v>
      </c>
      <c r="P24" s="6" t="s">
        <v>282</v>
      </c>
      <c r="Q24" s="6" t="s">
        <v>153</v>
      </c>
      <c r="R24" s="6" t="s">
        <v>283</v>
      </c>
      <c r="S24" s="6" t="s">
        <v>374</v>
      </c>
      <c r="T24" s="6">
        <v>1</v>
      </c>
      <c r="U24" s="6">
        <v>6</v>
      </c>
      <c r="V24" s="6">
        <v>13</v>
      </c>
      <c r="W24" s="6">
        <v>7</v>
      </c>
      <c r="X24" s="6" t="s">
        <v>375</v>
      </c>
      <c r="Y24" s="6">
        <v>15</v>
      </c>
      <c r="Z24" s="6">
        <v>74</v>
      </c>
      <c r="AA24" s="6">
        <v>70</v>
      </c>
      <c r="AB24" s="6">
        <v>0</v>
      </c>
      <c r="AC24" s="6">
        <v>0</v>
      </c>
      <c r="AD24" s="6">
        <v>0</v>
      </c>
      <c r="AE24" s="6">
        <v>4</v>
      </c>
      <c r="AF24" s="6" t="b">
        <v>1</v>
      </c>
      <c r="AG24" s="6" t="b">
        <v>0</v>
      </c>
      <c r="AH24" s="6" t="b">
        <v>0</v>
      </c>
      <c r="AI24" s="6" t="b">
        <v>0</v>
      </c>
      <c r="AJ24" s="6">
        <v>0</v>
      </c>
      <c r="AK24" s="6">
        <v>0</v>
      </c>
      <c r="AL24" s="6" t="b">
        <v>0</v>
      </c>
      <c r="AM24" s="6" t="b">
        <v>0</v>
      </c>
      <c r="AN24" s="6" t="b">
        <v>0</v>
      </c>
      <c r="AO24" s="6" t="b">
        <v>0</v>
      </c>
      <c r="AP24" s="6">
        <v>0</v>
      </c>
      <c r="AQ24" s="6">
        <v>0</v>
      </c>
      <c r="AR24" s="6">
        <v>4</v>
      </c>
      <c r="AS24" s="6">
        <v>87</v>
      </c>
      <c r="AT24" s="6" t="s">
        <v>286</v>
      </c>
      <c r="AU24" s="6" t="s">
        <v>141</v>
      </c>
      <c r="AV24" s="6" t="s">
        <v>282</v>
      </c>
      <c r="AW24" s="6" t="s">
        <v>141</v>
      </c>
      <c r="AX24" s="6" t="s">
        <v>282</v>
      </c>
      <c r="AY24" s="6" t="s">
        <v>141</v>
      </c>
      <c r="AZ24" s="6" t="s">
        <v>283</v>
      </c>
      <c r="BA24" s="6" t="s">
        <v>376</v>
      </c>
      <c r="BB24" s="6">
        <v>1</v>
      </c>
      <c r="BC24" s="6">
        <v>9</v>
      </c>
      <c r="BD24" s="6">
        <v>16</v>
      </c>
      <c r="BE24" s="6">
        <v>7</v>
      </c>
      <c r="BF24" s="6" t="s">
        <v>377</v>
      </c>
      <c r="BG24" s="6">
        <v>12</v>
      </c>
      <c r="BH24" s="6">
        <v>59</v>
      </c>
      <c r="BI24" s="6">
        <v>55</v>
      </c>
      <c r="BJ24" s="6">
        <v>0</v>
      </c>
      <c r="BK24" s="6">
        <v>0</v>
      </c>
      <c r="BL24" s="6">
        <v>0</v>
      </c>
      <c r="BM24" s="6">
        <v>4</v>
      </c>
      <c r="BN24" s="6" t="b">
        <v>1</v>
      </c>
      <c r="BO24" s="6" t="b">
        <v>0</v>
      </c>
      <c r="BP24" s="6" t="b">
        <v>0</v>
      </c>
      <c r="BQ24" s="6" t="b">
        <v>0</v>
      </c>
      <c r="BR24" s="6">
        <v>0</v>
      </c>
      <c r="BS24" s="6">
        <v>0</v>
      </c>
      <c r="BT24" s="6" t="b">
        <v>0</v>
      </c>
      <c r="BU24" s="6" t="b">
        <v>0</v>
      </c>
      <c r="BV24" s="6" t="b">
        <v>0</v>
      </c>
      <c r="BW24" s="6" t="b">
        <v>0</v>
      </c>
      <c r="BX24" s="6">
        <v>0</v>
      </c>
      <c r="BY24" s="6">
        <v>0</v>
      </c>
      <c r="BZ24" s="6">
        <v>1</v>
      </c>
      <c r="CA24" s="6">
        <v>75</v>
      </c>
    </row>
    <row r="25" spans="1:79">
      <c r="A25" s="6" t="s">
        <v>280</v>
      </c>
      <c r="B25" s="6">
        <v>24</v>
      </c>
      <c r="C25" s="6">
        <v>1</v>
      </c>
      <c r="D25" s="6">
        <v>-1</v>
      </c>
      <c r="F25" s="6" t="b">
        <v>0</v>
      </c>
      <c r="G25" s="6">
        <v>3</v>
      </c>
      <c r="H25" s="6">
        <v>4</v>
      </c>
      <c r="I25" s="6">
        <v>4</v>
      </c>
      <c r="J25" s="6">
        <v>0</v>
      </c>
      <c r="K25" s="6">
        <v>1</v>
      </c>
      <c r="L25" s="6" t="s">
        <v>281</v>
      </c>
      <c r="M25" s="6" t="s">
        <v>141</v>
      </c>
      <c r="N25" s="6" t="s">
        <v>282</v>
      </c>
      <c r="O25" s="6" t="s">
        <v>141</v>
      </c>
      <c r="P25" s="6" t="s">
        <v>378</v>
      </c>
      <c r="Q25" s="6" t="s">
        <v>141</v>
      </c>
      <c r="R25" s="6" t="s">
        <v>282</v>
      </c>
      <c r="S25" s="6" t="s">
        <v>379</v>
      </c>
      <c r="T25" s="6">
        <v>1</v>
      </c>
      <c r="U25" s="6">
        <v>9</v>
      </c>
      <c r="V25" s="6">
        <v>12</v>
      </c>
      <c r="W25" s="6">
        <v>3</v>
      </c>
      <c r="X25" s="6" t="s">
        <v>380</v>
      </c>
      <c r="Y25" s="6">
        <v>2</v>
      </c>
      <c r="Z25" s="6">
        <v>14</v>
      </c>
      <c r="AA25" s="6">
        <v>4</v>
      </c>
      <c r="AB25" s="6">
        <v>0</v>
      </c>
      <c r="AC25" s="6">
        <v>0</v>
      </c>
      <c r="AD25" s="6">
        <v>0</v>
      </c>
      <c r="AE25" s="6">
        <v>10</v>
      </c>
      <c r="AF25" s="6" t="b">
        <v>1</v>
      </c>
      <c r="AG25" s="6" t="b">
        <v>0</v>
      </c>
      <c r="AH25" s="6" t="b">
        <v>0</v>
      </c>
      <c r="AI25" s="6" t="b">
        <v>0</v>
      </c>
      <c r="AJ25" s="6">
        <v>0</v>
      </c>
      <c r="AK25" s="6">
        <v>1</v>
      </c>
      <c r="AL25" s="6" t="b">
        <v>0</v>
      </c>
      <c r="AM25" s="6" t="b">
        <v>0</v>
      </c>
      <c r="AN25" s="6" t="b">
        <v>0</v>
      </c>
      <c r="AO25" s="6" t="b">
        <v>0</v>
      </c>
      <c r="AP25" s="6">
        <v>0</v>
      </c>
      <c r="AQ25" s="6">
        <v>0</v>
      </c>
      <c r="AR25" s="6">
        <v>1</v>
      </c>
      <c r="AS25" s="6">
        <v>26</v>
      </c>
      <c r="AT25" s="6" t="s">
        <v>286</v>
      </c>
      <c r="AU25" s="6" t="s">
        <v>153</v>
      </c>
      <c r="AV25" s="6" t="s">
        <v>283</v>
      </c>
      <c r="AW25" s="6" t="s">
        <v>141</v>
      </c>
      <c r="AX25" s="6" t="s">
        <v>282</v>
      </c>
      <c r="AY25" s="6" t="s">
        <v>153</v>
      </c>
      <c r="AZ25" s="6" t="s">
        <v>283</v>
      </c>
      <c r="BA25" s="6" t="s">
        <v>381</v>
      </c>
      <c r="BB25" s="6">
        <v>0</v>
      </c>
      <c r="BC25" s="6">
        <v>3</v>
      </c>
      <c r="BD25" s="6">
        <v>3</v>
      </c>
      <c r="BE25" s="6">
        <v>0</v>
      </c>
      <c r="BF25" s="6" t="s">
        <v>382</v>
      </c>
      <c r="BG25" s="6">
        <v>8</v>
      </c>
      <c r="BH25" s="6">
        <v>42</v>
      </c>
      <c r="BI25" s="6">
        <v>40</v>
      </c>
      <c r="BJ25" s="6">
        <v>0</v>
      </c>
      <c r="BK25" s="6">
        <v>0</v>
      </c>
      <c r="BL25" s="6">
        <v>0</v>
      </c>
      <c r="BM25" s="6">
        <v>2</v>
      </c>
      <c r="BN25" s="6" t="b">
        <v>0</v>
      </c>
      <c r="BO25" s="6" t="b">
        <v>0</v>
      </c>
      <c r="BP25" s="6" t="b">
        <v>0</v>
      </c>
      <c r="BQ25" s="6" t="b">
        <v>0</v>
      </c>
      <c r="BR25" s="6">
        <v>0</v>
      </c>
      <c r="BS25" s="6">
        <v>0</v>
      </c>
      <c r="BT25" s="6" t="b">
        <v>0</v>
      </c>
      <c r="BU25" s="6" t="b">
        <v>0</v>
      </c>
      <c r="BV25" s="6" t="b">
        <v>0</v>
      </c>
      <c r="BW25" s="6" t="b">
        <v>0</v>
      </c>
      <c r="BX25" s="6">
        <v>0</v>
      </c>
      <c r="BY25" s="6">
        <v>6</v>
      </c>
      <c r="BZ25" s="6">
        <v>3</v>
      </c>
      <c r="CA25" s="6">
        <v>51</v>
      </c>
    </row>
    <row r="26" spans="1:79">
      <c r="A26" s="6" t="s">
        <v>280</v>
      </c>
      <c r="B26" s="6">
        <v>25</v>
      </c>
      <c r="C26" s="6">
        <v>1</v>
      </c>
      <c r="D26" s="6">
        <v>-1</v>
      </c>
      <c r="F26" s="6" t="b">
        <v>0</v>
      </c>
      <c r="G26" s="6">
        <v>3</v>
      </c>
      <c r="H26" s="6">
        <v>4</v>
      </c>
      <c r="I26" s="6">
        <v>4</v>
      </c>
      <c r="J26" s="6">
        <v>0</v>
      </c>
      <c r="K26" s="6">
        <v>1</v>
      </c>
      <c r="L26" s="6" t="s">
        <v>281</v>
      </c>
      <c r="M26" s="6" t="s">
        <v>141</v>
      </c>
      <c r="N26" s="6" t="s">
        <v>282</v>
      </c>
      <c r="O26" s="6" t="s">
        <v>141</v>
      </c>
      <c r="P26" s="6" t="s">
        <v>282</v>
      </c>
      <c r="Q26" s="6" t="s">
        <v>141</v>
      </c>
      <c r="R26" s="6" t="s">
        <v>282</v>
      </c>
      <c r="S26" s="6" t="s">
        <v>383</v>
      </c>
      <c r="T26" s="6">
        <v>0</v>
      </c>
      <c r="U26" s="6">
        <v>9</v>
      </c>
      <c r="V26" s="6">
        <v>9</v>
      </c>
      <c r="W26" s="6">
        <v>0</v>
      </c>
      <c r="X26" s="6" t="s">
        <v>384</v>
      </c>
      <c r="Y26" s="6">
        <v>10</v>
      </c>
      <c r="Z26" s="6">
        <v>57</v>
      </c>
      <c r="AA26" s="6">
        <v>37</v>
      </c>
      <c r="AB26" s="6">
        <v>14</v>
      </c>
      <c r="AC26" s="6">
        <v>2</v>
      </c>
      <c r="AD26" s="6">
        <v>1</v>
      </c>
      <c r="AE26" s="6">
        <v>6</v>
      </c>
      <c r="AF26" s="6" t="b">
        <v>0</v>
      </c>
      <c r="AG26" s="6" t="b">
        <v>0</v>
      </c>
      <c r="AH26" s="6" t="b">
        <v>0</v>
      </c>
      <c r="AI26" s="6" t="b">
        <v>0</v>
      </c>
      <c r="AJ26" s="6">
        <v>0</v>
      </c>
      <c r="AK26" s="6">
        <v>1</v>
      </c>
      <c r="AL26" s="6" t="b">
        <v>0</v>
      </c>
      <c r="AM26" s="6" t="b">
        <v>0</v>
      </c>
      <c r="AN26" s="6" t="b">
        <v>0</v>
      </c>
      <c r="AO26" s="6" t="b">
        <v>0</v>
      </c>
      <c r="AP26" s="6">
        <v>0</v>
      </c>
      <c r="AQ26" s="6">
        <v>0</v>
      </c>
      <c r="AR26" s="6">
        <v>0</v>
      </c>
      <c r="AS26" s="6">
        <v>66</v>
      </c>
      <c r="AT26" s="6" t="s">
        <v>286</v>
      </c>
      <c r="AU26" s="6" t="s">
        <v>141</v>
      </c>
      <c r="AV26" s="6" t="s">
        <v>282</v>
      </c>
      <c r="AW26" s="6" t="s">
        <v>141</v>
      </c>
      <c r="AX26" s="6" t="s">
        <v>282</v>
      </c>
      <c r="AY26" s="6" t="s">
        <v>141</v>
      </c>
      <c r="AZ26" s="6" t="s">
        <v>282</v>
      </c>
      <c r="BA26" s="6" t="s">
        <v>385</v>
      </c>
      <c r="BB26" s="6">
        <v>1</v>
      </c>
      <c r="BC26" s="6">
        <v>9</v>
      </c>
      <c r="BD26" s="6">
        <v>16</v>
      </c>
      <c r="BE26" s="6">
        <v>7</v>
      </c>
      <c r="BF26" s="6" t="s">
        <v>386</v>
      </c>
      <c r="BG26" s="6">
        <v>14</v>
      </c>
      <c r="BH26" s="6">
        <v>86</v>
      </c>
      <c r="BI26" s="6">
        <v>56</v>
      </c>
      <c r="BJ26" s="6">
        <v>24</v>
      </c>
      <c r="BK26" s="6">
        <v>3</v>
      </c>
      <c r="BL26" s="6">
        <v>2</v>
      </c>
      <c r="BM26" s="6">
        <v>6</v>
      </c>
      <c r="BN26" s="6" t="b">
        <v>1</v>
      </c>
      <c r="BO26" s="6" t="b">
        <v>0</v>
      </c>
      <c r="BP26" s="6" t="b">
        <v>0</v>
      </c>
      <c r="BQ26" s="6" t="b">
        <v>0</v>
      </c>
      <c r="BR26" s="6">
        <v>0</v>
      </c>
      <c r="BS26" s="6">
        <v>0</v>
      </c>
      <c r="BT26" s="6" t="b">
        <v>0</v>
      </c>
      <c r="BU26" s="6" t="b">
        <v>0</v>
      </c>
      <c r="BV26" s="6" t="b">
        <v>0</v>
      </c>
      <c r="BW26" s="6" t="b">
        <v>0</v>
      </c>
      <c r="BX26" s="6">
        <v>0</v>
      </c>
      <c r="BY26" s="6">
        <v>6</v>
      </c>
      <c r="BZ26" s="6">
        <v>4</v>
      </c>
      <c r="CA26" s="6">
        <v>108</v>
      </c>
    </row>
    <row r="27" spans="1:79">
      <c r="A27" s="6" t="s">
        <v>280</v>
      </c>
      <c r="B27" s="6">
        <v>26</v>
      </c>
      <c r="C27" s="6">
        <v>2</v>
      </c>
      <c r="D27" s="6">
        <v>-1</v>
      </c>
      <c r="F27" s="6" t="b">
        <v>0</v>
      </c>
      <c r="G27" s="6">
        <v>3</v>
      </c>
      <c r="H27" s="6">
        <v>4</v>
      </c>
      <c r="I27" s="6">
        <v>4</v>
      </c>
      <c r="J27" s="6">
        <v>0</v>
      </c>
      <c r="K27" s="6">
        <v>1</v>
      </c>
      <c r="L27" s="6" t="s">
        <v>281</v>
      </c>
      <c r="M27" s="6" t="s">
        <v>141</v>
      </c>
      <c r="N27" s="6" t="s">
        <v>282</v>
      </c>
      <c r="O27" s="6" t="s">
        <v>141</v>
      </c>
      <c r="P27" s="6" t="s">
        <v>282</v>
      </c>
      <c r="Q27" s="6" t="s">
        <v>141</v>
      </c>
      <c r="R27" s="6" t="s">
        <v>283</v>
      </c>
      <c r="S27" s="6" t="s">
        <v>387</v>
      </c>
      <c r="T27" s="6">
        <v>0</v>
      </c>
      <c r="U27" s="6">
        <v>9</v>
      </c>
      <c r="V27" s="6">
        <v>9</v>
      </c>
      <c r="W27" s="6">
        <v>0</v>
      </c>
      <c r="X27" s="6" t="s">
        <v>388</v>
      </c>
      <c r="Y27" s="6">
        <v>11</v>
      </c>
      <c r="Z27" s="6">
        <v>51</v>
      </c>
      <c r="AA27" s="6">
        <v>39</v>
      </c>
      <c r="AB27" s="6">
        <v>8</v>
      </c>
      <c r="AC27" s="6">
        <v>2</v>
      </c>
      <c r="AD27" s="6">
        <v>0</v>
      </c>
      <c r="AE27" s="6">
        <v>4</v>
      </c>
      <c r="AF27" s="6" t="b">
        <v>0</v>
      </c>
      <c r="AG27" s="6" t="b">
        <v>0</v>
      </c>
      <c r="AH27" s="6" t="b">
        <v>0</v>
      </c>
      <c r="AI27" s="6" t="b">
        <v>0</v>
      </c>
      <c r="AJ27" s="6">
        <v>0</v>
      </c>
      <c r="AK27" s="6">
        <v>0</v>
      </c>
      <c r="AL27" s="6" t="b">
        <v>0</v>
      </c>
      <c r="AM27" s="6" t="b">
        <v>0</v>
      </c>
      <c r="AN27" s="6" t="b">
        <v>0</v>
      </c>
      <c r="AO27" s="6" t="b">
        <v>0</v>
      </c>
      <c r="AP27" s="6">
        <v>0</v>
      </c>
      <c r="AQ27" s="6">
        <v>0</v>
      </c>
      <c r="AR27" s="6">
        <v>3</v>
      </c>
      <c r="AS27" s="6">
        <v>60</v>
      </c>
      <c r="AT27" s="6" t="s">
        <v>286</v>
      </c>
      <c r="AU27" s="6" t="s">
        <v>153</v>
      </c>
      <c r="AV27" s="6" t="s">
        <v>282</v>
      </c>
      <c r="AW27" s="6" t="s">
        <v>141</v>
      </c>
      <c r="AX27" s="6" t="s">
        <v>283</v>
      </c>
      <c r="AY27" s="6" t="s">
        <v>141</v>
      </c>
      <c r="AZ27" s="6" t="s">
        <v>282</v>
      </c>
      <c r="BA27" s="6" t="s">
        <v>389</v>
      </c>
      <c r="BB27" s="6">
        <v>0</v>
      </c>
      <c r="BC27" s="6">
        <v>6</v>
      </c>
      <c r="BD27" s="6">
        <v>6</v>
      </c>
      <c r="BE27" s="6">
        <v>0</v>
      </c>
      <c r="BF27" s="6" t="s">
        <v>390</v>
      </c>
      <c r="BG27" s="6">
        <v>5</v>
      </c>
      <c r="BH27" s="6">
        <v>31</v>
      </c>
      <c r="BI27" s="6">
        <v>15</v>
      </c>
      <c r="BJ27" s="6">
        <v>12</v>
      </c>
      <c r="BK27" s="6">
        <v>0</v>
      </c>
      <c r="BL27" s="6">
        <v>2</v>
      </c>
      <c r="BM27" s="6">
        <v>4</v>
      </c>
      <c r="BN27" s="6" t="b">
        <v>0</v>
      </c>
      <c r="BO27" s="6" t="b">
        <v>0</v>
      </c>
      <c r="BP27" s="6" t="b">
        <v>0</v>
      </c>
      <c r="BQ27" s="6" t="b">
        <v>0</v>
      </c>
      <c r="BR27" s="6">
        <v>0</v>
      </c>
      <c r="BS27" s="6">
        <v>0</v>
      </c>
      <c r="BT27" s="6" t="b">
        <v>0</v>
      </c>
      <c r="BU27" s="6" t="b">
        <v>0</v>
      </c>
      <c r="BV27" s="6" t="b">
        <v>0</v>
      </c>
      <c r="BW27" s="6" t="b">
        <v>0</v>
      </c>
      <c r="BX27" s="6">
        <v>0</v>
      </c>
      <c r="BY27" s="6">
        <v>0</v>
      </c>
      <c r="BZ27" s="6">
        <v>0</v>
      </c>
      <c r="CA27" s="6">
        <v>37</v>
      </c>
    </row>
    <row r="28" spans="1:79">
      <c r="A28" s="6" t="s">
        <v>280</v>
      </c>
      <c r="B28" s="6">
        <v>27</v>
      </c>
      <c r="C28" s="6">
        <v>1</v>
      </c>
      <c r="D28" s="6">
        <v>-1</v>
      </c>
      <c r="F28" s="6" t="b">
        <v>0</v>
      </c>
      <c r="G28" s="6">
        <v>3</v>
      </c>
      <c r="H28" s="6">
        <v>4</v>
      </c>
      <c r="I28" s="6">
        <v>4</v>
      </c>
      <c r="J28" s="6">
        <v>0</v>
      </c>
      <c r="K28" s="6">
        <v>1</v>
      </c>
      <c r="L28" s="6" t="s">
        <v>281</v>
      </c>
      <c r="M28" s="6" t="s">
        <v>141</v>
      </c>
      <c r="N28" s="6" t="s">
        <v>293</v>
      </c>
      <c r="O28" s="6" t="s">
        <v>141</v>
      </c>
      <c r="P28" s="6" t="s">
        <v>282</v>
      </c>
      <c r="Q28" s="6" t="s">
        <v>141</v>
      </c>
      <c r="R28" s="6" t="s">
        <v>282</v>
      </c>
      <c r="S28" s="6" t="s">
        <v>391</v>
      </c>
      <c r="T28" s="6">
        <v>1</v>
      </c>
      <c r="U28" s="6">
        <v>9</v>
      </c>
      <c r="V28" s="6">
        <v>12</v>
      </c>
      <c r="W28" s="6">
        <v>3</v>
      </c>
      <c r="X28" s="6" t="s">
        <v>392</v>
      </c>
      <c r="Y28" s="6">
        <v>4</v>
      </c>
      <c r="Z28" s="6">
        <v>32</v>
      </c>
      <c r="AA28" s="6">
        <v>16</v>
      </c>
      <c r="AB28" s="6">
        <v>0</v>
      </c>
      <c r="AC28" s="6">
        <v>0</v>
      </c>
      <c r="AD28" s="6">
        <v>0</v>
      </c>
      <c r="AE28" s="6">
        <v>16</v>
      </c>
      <c r="AF28" s="6" t="b">
        <v>1</v>
      </c>
      <c r="AG28" s="6" t="b">
        <v>0</v>
      </c>
      <c r="AH28" s="6" t="b">
        <v>1</v>
      </c>
      <c r="AI28" s="6" t="b">
        <v>0</v>
      </c>
      <c r="AJ28" s="6">
        <v>0</v>
      </c>
      <c r="AK28" s="6">
        <v>1</v>
      </c>
      <c r="AL28" s="6" t="b">
        <v>0</v>
      </c>
      <c r="AM28" s="6" t="b">
        <v>0</v>
      </c>
      <c r="AN28" s="6" t="b">
        <v>0</v>
      </c>
      <c r="AO28" s="6" t="b">
        <v>0</v>
      </c>
      <c r="AP28" s="6">
        <v>0</v>
      </c>
      <c r="AQ28" s="6">
        <v>0</v>
      </c>
      <c r="AR28" s="6">
        <v>2</v>
      </c>
      <c r="AS28" s="6">
        <v>44</v>
      </c>
      <c r="AT28" s="6" t="s">
        <v>286</v>
      </c>
      <c r="AU28" s="6" t="s">
        <v>153</v>
      </c>
      <c r="AV28" s="6" t="s">
        <v>282</v>
      </c>
      <c r="AW28" s="6" t="s">
        <v>153</v>
      </c>
      <c r="AX28" s="6" t="s">
        <v>283</v>
      </c>
      <c r="AY28" s="6" t="s">
        <v>141</v>
      </c>
      <c r="AZ28" s="6" t="s">
        <v>293</v>
      </c>
      <c r="BA28" s="6" t="s">
        <v>393</v>
      </c>
      <c r="BB28" s="6">
        <v>2</v>
      </c>
      <c r="BC28" s="6">
        <v>3</v>
      </c>
      <c r="BD28" s="6">
        <v>17</v>
      </c>
      <c r="BE28" s="6">
        <v>14</v>
      </c>
      <c r="BF28" s="6" t="s">
        <v>394</v>
      </c>
      <c r="BG28" s="6">
        <v>10</v>
      </c>
      <c r="BH28" s="6">
        <v>64</v>
      </c>
      <c r="BI28" s="6">
        <v>50</v>
      </c>
      <c r="BJ28" s="6">
        <v>0</v>
      </c>
      <c r="BK28" s="6">
        <v>0</v>
      </c>
      <c r="BL28" s="6">
        <v>0</v>
      </c>
      <c r="BM28" s="6">
        <v>14</v>
      </c>
      <c r="BN28" s="6" t="b">
        <v>0</v>
      </c>
      <c r="BO28" s="6" t="b">
        <v>0</v>
      </c>
      <c r="BP28" s="6" t="b">
        <v>1</v>
      </c>
      <c r="BQ28" s="6" t="b">
        <v>0</v>
      </c>
      <c r="BR28" s="6">
        <v>0</v>
      </c>
      <c r="BS28" s="6">
        <v>0</v>
      </c>
      <c r="BT28" s="6" t="b">
        <v>0</v>
      </c>
      <c r="BU28" s="6" t="b">
        <v>0</v>
      </c>
      <c r="BV28" s="6" t="b">
        <v>0</v>
      </c>
      <c r="BW28" s="6" t="b">
        <v>0</v>
      </c>
      <c r="BX28" s="6">
        <v>0</v>
      </c>
      <c r="BY28" s="6">
        <v>6</v>
      </c>
      <c r="BZ28" s="6">
        <v>4</v>
      </c>
      <c r="CA28" s="6">
        <v>87</v>
      </c>
    </row>
    <row r="29" spans="1:79">
      <c r="A29" s="6" t="s">
        <v>280</v>
      </c>
      <c r="B29" s="6">
        <v>28</v>
      </c>
      <c r="C29" s="6">
        <v>1</v>
      </c>
      <c r="D29" s="6">
        <v>-1</v>
      </c>
      <c r="F29" s="6" t="b">
        <v>0</v>
      </c>
      <c r="G29" s="6">
        <v>3</v>
      </c>
      <c r="H29" s="6">
        <v>4</v>
      </c>
      <c r="I29" s="6">
        <v>4</v>
      </c>
      <c r="J29" s="6">
        <v>0</v>
      </c>
      <c r="K29" s="6">
        <v>1</v>
      </c>
      <c r="L29" s="6" t="s">
        <v>281</v>
      </c>
      <c r="M29" s="6" t="s">
        <v>141</v>
      </c>
      <c r="N29" s="6" t="s">
        <v>282</v>
      </c>
      <c r="O29" s="6" t="s">
        <v>153</v>
      </c>
      <c r="P29" s="6" t="s">
        <v>282</v>
      </c>
      <c r="Q29" s="6" t="s">
        <v>141</v>
      </c>
      <c r="R29" s="6" t="s">
        <v>283</v>
      </c>
      <c r="S29" s="6" t="s">
        <v>395</v>
      </c>
      <c r="T29" s="6">
        <v>0</v>
      </c>
      <c r="U29" s="6">
        <v>6</v>
      </c>
      <c r="V29" s="6">
        <v>6</v>
      </c>
      <c r="W29" s="6">
        <v>0</v>
      </c>
      <c r="X29" s="6" t="s">
        <v>396</v>
      </c>
      <c r="Y29" s="6">
        <v>12</v>
      </c>
      <c r="Z29" s="6">
        <v>66</v>
      </c>
      <c r="AA29" s="6">
        <v>30</v>
      </c>
      <c r="AB29" s="6">
        <v>32</v>
      </c>
      <c r="AC29" s="6">
        <v>5</v>
      </c>
      <c r="AD29" s="6">
        <v>2</v>
      </c>
      <c r="AE29" s="6">
        <v>4</v>
      </c>
      <c r="AF29" s="6" t="b">
        <v>0</v>
      </c>
      <c r="AG29" s="6" t="b">
        <v>0</v>
      </c>
      <c r="AH29" s="6" t="b">
        <v>0</v>
      </c>
      <c r="AI29" s="6" t="b">
        <v>1</v>
      </c>
      <c r="AJ29" s="6">
        <v>0</v>
      </c>
      <c r="AK29" s="6">
        <v>2</v>
      </c>
      <c r="AL29" s="6" t="b">
        <v>0</v>
      </c>
      <c r="AM29" s="6" t="b">
        <v>0</v>
      </c>
      <c r="AN29" s="6" t="b">
        <v>1</v>
      </c>
      <c r="AO29" s="6" t="b">
        <v>0</v>
      </c>
      <c r="AP29" s="6">
        <v>0</v>
      </c>
      <c r="AQ29" s="6">
        <v>0</v>
      </c>
      <c r="AR29" s="6">
        <v>0</v>
      </c>
      <c r="AS29" s="6">
        <v>72</v>
      </c>
      <c r="AT29" s="6" t="s">
        <v>286</v>
      </c>
      <c r="AU29" s="6" t="s">
        <v>141</v>
      </c>
      <c r="AV29" s="6" t="s">
        <v>282</v>
      </c>
      <c r="AW29" s="6" t="s">
        <v>141</v>
      </c>
      <c r="AX29" s="6" t="s">
        <v>283</v>
      </c>
      <c r="AY29" s="6" t="s">
        <v>141</v>
      </c>
      <c r="AZ29" s="6" t="s">
        <v>293</v>
      </c>
      <c r="BA29" s="6" t="s">
        <v>397</v>
      </c>
      <c r="BB29" s="6">
        <v>2</v>
      </c>
      <c r="BC29" s="6">
        <v>9</v>
      </c>
      <c r="BD29" s="6">
        <v>23</v>
      </c>
      <c r="BE29" s="6">
        <v>14</v>
      </c>
      <c r="BF29" s="6" t="s">
        <v>398</v>
      </c>
      <c r="BG29" s="6">
        <v>18</v>
      </c>
      <c r="BH29" s="6">
        <v>101</v>
      </c>
      <c r="BI29" s="6">
        <v>71</v>
      </c>
      <c r="BJ29" s="6">
        <v>16</v>
      </c>
      <c r="BK29" s="6">
        <v>4</v>
      </c>
      <c r="BL29" s="6">
        <v>0</v>
      </c>
      <c r="BM29" s="6">
        <v>14</v>
      </c>
      <c r="BN29" s="6" t="b">
        <v>1</v>
      </c>
      <c r="BO29" s="6" t="b">
        <v>0</v>
      </c>
      <c r="BP29" s="6" t="b">
        <v>1</v>
      </c>
      <c r="BQ29" s="6" t="b">
        <v>0</v>
      </c>
      <c r="BR29" s="6">
        <v>0</v>
      </c>
      <c r="BS29" s="6">
        <v>0</v>
      </c>
      <c r="BT29" s="6" t="b">
        <v>0</v>
      </c>
      <c r="BU29" s="6" t="b">
        <v>0</v>
      </c>
      <c r="BV29" s="6" t="b">
        <v>0</v>
      </c>
      <c r="BW29" s="6" t="b">
        <v>0</v>
      </c>
      <c r="BX29" s="6">
        <v>0</v>
      </c>
      <c r="BY29" s="6">
        <v>12</v>
      </c>
      <c r="BZ29" s="6">
        <v>5</v>
      </c>
      <c r="CA29" s="6">
        <v>136</v>
      </c>
    </row>
    <row r="30" spans="1:79">
      <c r="A30" s="6" t="s">
        <v>280</v>
      </c>
      <c r="B30" s="6">
        <v>29</v>
      </c>
      <c r="C30" s="6">
        <v>2</v>
      </c>
      <c r="D30" s="6">
        <v>-1</v>
      </c>
      <c r="F30" s="6" t="b">
        <v>0</v>
      </c>
      <c r="G30" s="6">
        <v>3</v>
      </c>
      <c r="H30" s="6">
        <v>4</v>
      </c>
      <c r="I30" s="6">
        <v>4</v>
      </c>
      <c r="J30" s="6">
        <v>0</v>
      </c>
      <c r="K30" s="6">
        <v>1</v>
      </c>
      <c r="L30" s="6" t="s">
        <v>281</v>
      </c>
      <c r="M30" s="6" t="s">
        <v>141</v>
      </c>
      <c r="N30" s="6" t="s">
        <v>293</v>
      </c>
      <c r="O30" s="6" t="s">
        <v>153</v>
      </c>
      <c r="P30" s="6" t="s">
        <v>283</v>
      </c>
      <c r="Q30" s="6" t="s">
        <v>141</v>
      </c>
      <c r="R30" s="6" t="s">
        <v>282</v>
      </c>
      <c r="S30" s="6" t="s">
        <v>399</v>
      </c>
      <c r="T30" s="6">
        <v>1</v>
      </c>
      <c r="U30" s="6">
        <v>6</v>
      </c>
      <c r="V30" s="6">
        <v>9</v>
      </c>
      <c r="W30" s="6">
        <v>3</v>
      </c>
      <c r="X30" s="6" t="s">
        <v>400</v>
      </c>
      <c r="Y30" s="6">
        <v>11</v>
      </c>
      <c r="Z30" s="6">
        <v>51</v>
      </c>
      <c r="AA30" s="6">
        <v>37</v>
      </c>
      <c r="AB30" s="6">
        <v>0</v>
      </c>
      <c r="AC30" s="6">
        <v>0</v>
      </c>
      <c r="AD30" s="6">
        <v>0</v>
      </c>
      <c r="AE30" s="6">
        <v>14</v>
      </c>
      <c r="AF30" s="6" t="b">
        <v>1</v>
      </c>
      <c r="AG30" s="6" t="b">
        <v>0</v>
      </c>
      <c r="AH30" s="6" t="b">
        <v>1</v>
      </c>
      <c r="AI30" s="6" t="b">
        <v>0</v>
      </c>
      <c r="AJ30" s="6">
        <v>0</v>
      </c>
      <c r="AK30" s="6">
        <v>1</v>
      </c>
      <c r="AL30" s="6" t="b">
        <v>0</v>
      </c>
      <c r="AM30" s="6" t="b">
        <v>0</v>
      </c>
      <c r="AN30" s="6" t="b">
        <v>0</v>
      </c>
      <c r="AO30" s="6" t="b">
        <v>1</v>
      </c>
      <c r="AP30" s="6">
        <v>0</v>
      </c>
      <c r="AQ30" s="6">
        <v>0</v>
      </c>
      <c r="AR30" s="6">
        <v>5</v>
      </c>
      <c r="AS30" s="6">
        <v>60</v>
      </c>
      <c r="AT30" s="6" t="s">
        <v>286</v>
      </c>
      <c r="AU30" s="6" t="s">
        <v>141</v>
      </c>
      <c r="AV30" s="6" t="s">
        <v>282</v>
      </c>
      <c r="AW30" s="6" t="s">
        <v>141</v>
      </c>
      <c r="AX30" s="6" t="s">
        <v>282</v>
      </c>
      <c r="AY30" s="6" t="s">
        <v>141</v>
      </c>
      <c r="AZ30" s="6" t="s">
        <v>282</v>
      </c>
      <c r="BA30" s="6" t="s">
        <v>401</v>
      </c>
      <c r="BB30" s="6">
        <v>1</v>
      </c>
      <c r="BC30" s="6">
        <v>9</v>
      </c>
      <c r="BD30" s="6">
        <v>12</v>
      </c>
      <c r="BE30" s="6">
        <v>3</v>
      </c>
      <c r="BF30" s="6" t="s">
        <v>402</v>
      </c>
      <c r="BG30" s="6">
        <v>14</v>
      </c>
      <c r="BH30" s="6">
        <v>40</v>
      </c>
      <c r="BI30" s="6">
        <v>34</v>
      </c>
      <c r="BJ30" s="6">
        <v>0</v>
      </c>
      <c r="BK30" s="6">
        <v>0</v>
      </c>
      <c r="BL30" s="6">
        <v>0</v>
      </c>
      <c r="BM30" s="6">
        <v>6</v>
      </c>
      <c r="BN30" s="6" t="b">
        <v>1</v>
      </c>
      <c r="BO30" s="6" t="b">
        <v>0</v>
      </c>
      <c r="BP30" s="6" t="b">
        <v>1</v>
      </c>
      <c r="BQ30" s="6" t="b">
        <v>0</v>
      </c>
      <c r="BR30" s="6">
        <v>0</v>
      </c>
      <c r="BS30" s="6">
        <v>0</v>
      </c>
      <c r="BT30" s="6" t="b">
        <v>0</v>
      </c>
      <c r="BU30" s="6" t="b">
        <v>0</v>
      </c>
      <c r="BV30" s="6" t="b">
        <v>0</v>
      </c>
      <c r="BW30" s="6" t="b">
        <v>0</v>
      </c>
      <c r="BX30" s="6">
        <v>0</v>
      </c>
      <c r="BY30" s="6">
        <v>6</v>
      </c>
      <c r="BZ30" s="6">
        <v>2</v>
      </c>
      <c r="CA30" s="6">
        <v>58</v>
      </c>
    </row>
    <row r="31" spans="1:79">
      <c r="A31" s="6" t="s">
        <v>280</v>
      </c>
      <c r="B31" s="6">
        <v>30</v>
      </c>
      <c r="C31" s="6">
        <v>2</v>
      </c>
      <c r="D31" s="6">
        <v>-1</v>
      </c>
      <c r="F31" s="6" t="b">
        <v>0</v>
      </c>
      <c r="G31" s="6">
        <v>3</v>
      </c>
      <c r="H31" s="6">
        <v>4</v>
      </c>
      <c r="I31" s="6">
        <v>4</v>
      </c>
      <c r="J31" s="6">
        <v>0</v>
      </c>
      <c r="K31" s="6">
        <v>1</v>
      </c>
      <c r="L31" s="6" t="s">
        <v>281</v>
      </c>
      <c r="M31" s="6" t="s">
        <v>141</v>
      </c>
      <c r="N31" s="6" t="s">
        <v>282</v>
      </c>
      <c r="O31" s="6" t="s">
        <v>141</v>
      </c>
      <c r="P31" s="6" t="s">
        <v>293</v>
      </c>
      <c r="Q31" s="6" t="s">
        <v>141</v>
      </c>
      <c r="R31" s="6" t="s">
        <v>282</v>
      </c>
      <c r="S31" s="6" t="s">
        <v>403</v>
      </c>
      <c r="T31" s="6">
        <v>0</v>
      </c>
      <c r="U31" s="6">
        <v>9</v>
      </c>
      <c r="V31" s="6">
        <v>9</v>
      </c>
      <c r="W31" s="6">
        <v>0</v>
      </c>
      <c r="X31" s="6" t="s">
        <v>404</v>
      </c>
      <c r="Y31" s="6">
        <v>11</v>
      </c>
      <c r="Z31" s="6">
        <v>65</v>
      </c>
      <c r="AA31" s="6">
        <v>49</v>
      </c>
      <c r="AB31" s="6">
        <v>0</v>
      </c>
      <c r="AC31" s="6">
        <v>0</v>
      </c>
      <c r="AD31" s="6">
        <v>0</v>
      </c>
      <c r="AE31" s="6">
        <v>16</v>
      </c>
      <c r="AF31" s="6" t="b">
        <v>0</v>
      </c>
      <c r="AG31" s="6" t="b">
        <v>0</v>
      </c>
      <c r="AH31" s="6" t="b">
        <v>1</v>
      </c>
      <c r="AI31" s="6" t="b">
        <v>0</v>
      </c>
      <c r="AJ31" s="6">
        <v>0</v>
      </c>
      <c r="AK31" s="6">
        <v>0</v>
      </c>
      <c r="AL31" s="6" t="b">
        <v>0</v>
      </c>
      <c r="AM31" s="6" t="b">
        <v>0</v>
      </c>
      <c r="AN31" s="6" t="b">
        <v>0</v>
      </c>
      <c r="AO31" s="6" t="b">
        <v>0</v>
      </c>
      <c r="AP31" s="6">
        <v>0</v>
      </c>
      <c r="AQ31" s="6">
        <v>0</v>
      </c>
      <c r="AR31" s="6">
        <v>4</v>
      </c>
      <c r="AS31" s="6">
        <v>74</v>
      </c>
      <c r="AT31" s="6" t="s">
        <v>286</v>
      </c>
      <c r="AU31" s="6" t="s">
        <v>141</v>
      </c>
      <c r="AV31" s="6" t="s">
        <v>282</v>
      </c>
      <c r="AW31" s="6" t="s">
        <v>141</v>
      </c>
      <c r="AX31" s="6" t="s">
        <v>282</v>
      </c>
      <c r="AY31" s="6" t="s">
        <v>153</v>
      </c>
      <c r="AZ31" s="6" t="s">
        <v>282</v>
      </c>
      <c r="BA31" s="6" t="s">
        <v>405</v>
      </c>
      <c r="BB31" s="6">
        <v>2</v>
      </c>
      <c r="BC31" s="6">
        <v>6</v>
      </c>
      <c r="BD31" s="6">
        <v>16</v>
      </c>
      <c r="BE31" s="6">
        <v>10</v>
      </c>
      <c r="BF31" s="6" t="s">
        <v>406</v>
      </c>
      <c r="BG31" s="6">
        <v>12</v>
      </c>
      <c r="BH31" s="6">
        <v>48</v>
      </c>
      <c r="BI31" s="6">
        <v>42</v>
      </c>
      <c r="BJ31" s="6">
        <v>0</v>
      </c>
      <c r="BK31" s="6">
        <v>0</v>
      </c>
      <c r="BL31" s="6">
        <v>0</v>
      </c>
      <c r="BM31" s="6">
        <v>6</v>
      </c>
      <c r="BN31" s="6" t="b">
        <v>0</v>
      </c>
      <c r="BO31" s="6" t="b">
        <v>0</v>
      </c>
      <c r="BP31" s="6" t="b">
        <v>0</v>
      </c>
      <c r="BQ31" s="6" t="b">
        <v>0</v>
      </c>
      <c r="BR31" s="6">
        <v>0</v>
      </c>
      <c r="BS31" s="6">
        <v>0</v>
      </c>
      <c r="BT31" s="6" t="b">
        <v>0</v>
      </c>
      <c r="BU31" s="6" t="b">
        <v>0</v>
      </c>
      <c r="BV31" s="6" t="b">
        <v>0</v>
      </c>
      <c r="BW31" s="6" t="b">
        <v>0</v>
      </c>
      <c r="BX31" s="6">
        <v>0</v>
      </c>
      <c r="BY31" s="6">
        <v>0</v>
      </c>
      <c r="BZ31" s="6">
        <v>0</v>
      </c>
      <c r="CA31" s="6">
        <v>64</v>
      </c>
    </row>
    <row r="32" spans="1:79">
      <c r="A32" s="6" t="s">
        <v>280</v>
      </c>
      <c r="B32" s="6">
        <v>31</v>
      </c>
      <c r="C32" s="6">
        <v>2</v>
      </c>
      <c r="D32" s="6">
        <v>-1</v>
      </c>
      <c r="F32" s="6" t="b">
        <v>0</v>
      </c>
      <c r="G32" s="6">
        <v>3</v>
      </c>
      <c r="H32" s="6">
        <v>4</v>
      </c>
      <c r="I32" s="6">
        <v>4</v>
      </c>
      <c r="J32" s="6">
        <v>0</v>
      </c>
      <c r="K32" s="6">
        <v>1</v>
      </c>
      <c r="L32" s="6" t="s">
        <v>281</v>
      </c>
      <c r="M32" s="6" t="s">
        <v>141</v>
      </c>
      <c r="N32" s="6" t="s">
        <v>283</v>
      </c>
      <c r="O32" s="6" t="s">
        <v>141</v>
      </c>
      <c r="P32" s="6" t="s">
        <v>283</v>
      </c>
      <c r="Q32" s="6" t="s">
        <v>141</v>
      </c>
      <c r="R32" s="6" t="s">
        <v>283</v>
      </c>
      <c r="S32" s="6" t="s">
        <v>407</v>
      </c>
      <c r="T32" s="6">
        <v>1</v>
      </c>
      <c r="U32" s="6">
        <v>9</v>
      </c>
      <c r="V32" s="6">
        <v>12</v>
      </c>
      <c r="W32" s="6">
        <v>3</v>
      </c>
      <c r="X32" s="6" t="s">
        <v>408</v>
      </c>
      <c r="Y32" s="6">
        <v>13</v>
      </c>
      <c r="Z32" s="6">
        <v>71</v>
      </c>
      <c r="AA32" s="6">
        <v>53</v>
      </c>
      <c r="AB32" s="6">
        <v>18</v>
      </c>
      <c r="AC32" s="6">
        <v>0</v>
      </c>
      <c r="AD32" s="6">
        <v>3</v>
      </c>
      <c r="AE32" s="6">
        <v>0</v>
      </c>
      <c r="AF32" s="6" t="b">
        <v>1</v>
      </c>
      <c r="AG32" s="6" t="b">
        <v>0</v>
      </c>
      <c r="AH32" s="6" t="b">
        <v>0</v>
      </c>
      <c r="AI32" s="6" t="b">
        <v>1</v>
      </c>
      <c r="AJ32" s="6">
        <v>1</v>
      </c>
      <c r="AK32" s="6">
        <v>0</v>
      </c>
      <c r="AL32" s="6" t="b">
        <v>0</v>
      </c>
      <c r="AM32" s="6" t="b">
        <v>0</v>
      </c>
      <c r="AN32" s="6" t="b">
        <v>0</v>
      </c>
      <c r="AO32" s="6" t="b">
        <v>0</v>
      </c>
      <c r="AP32" s="6">
        <v>0</v>
      </c>
      <c r="AQ32" s="6">
        <v>6</v>
      </c>
      <c r="AR32" s="6">
        <v>4</v>
      </c>
      <c r="AS32" s="6">
        <v>89</v>
      </c>
      <c r="AT32" s="6" t="s">
        <v>286</v>
      </c>
      <c r="AU32" s="6" t="s">
        <v>153</v>
      </c>
      <c r="AV32" s="6" t="s">
        <v>283</v>
      </c>
      <c r="AW32" s="6" t="s">
        <v>141</v>
      </c>
      <c r="AX32" s="6" t="s">
        <v>282</v>
      </c>
      <c r="AY32" s="6" t="s">
        <v>141</v>
      </c>
      <c r="AZ32" s="6" t="s">
        <v>282</v>
      </c>
      <c r="BA32" s="6" t="s">
        <v>409</v>
      </c>
      <c r="BB32" s="6">
        <v>0</v>
      </c>
      <c r="BC32" s="6">
        <v>6</v>
      </c>
      <c r="BD32" s="6">
        <v>6</v>
      </c>
      <c r="BE32" s="6">
        <v>0</v>
      </c>
      <c r="BF32" s="6" t="s">
        <v>410</v>
      </c>
      <c r="BG32" s="6">
        <v>9</v>
      </c>
      <c r="BH32" s="6">
        <v>53</v>
      </c>
      <c r="BI32" s="6">
        <v>37</v>
      </c>
      <c r="BJ32" s="6">
        <v>12</v>
      </c>
      <c r="BK32" s="6">
        <v>3</v>
      </c>
      <c r="BL32" s="6">
        <v>0</v>
      </c>
      <c r="BM32" s="6">
        <v>4</v>
      </c>
      <c r="BN32" s="6" t="b">
        <v>0</v>
      </c>
      <c r="BO32" s="6" t="b">
        <v>0</v>
      </c>
      <c r="BP32" s="6" t="b">
        <v>0</v>
      </c>
      <c r="BQ32" s="6" t="b">
        <v>0</v>
      </c>
      <c r="BR32" s="6">
        <v>0</v>
      </c>
      <c r="BS32" s="6">
        <v>1</v>
      </c>
      <c r="BT32" s="6" t="b">
        <v>0</v>
      </c>
      <c r="BU32" s="6" t="b">
        <v>0</v>
      </c>
      <c r="BV32" s="6" t="b">
        <v>0</v>
      </c>
      <c r="BW32" s="6" t="b">
        <v>0</v>
      </c>
      <c r="BX32" s="6">
        <v>0</v>
      </c>
      <c r="BY32" s="6">
        <v>2</v>
      </c>
      <c r="BZ32" s="6">
        <v>0</v>
      </c>
      <c r="CA32" s="6">
        <v>61</v>
      </c>
    </row>
    <row r="33" spans="1:79">
      <c r="A33" s="6" t="s">
        <v>280</v>
      </c>
      <c r="B33" s="6">
        <v>32</v>
      </c>
      <c r="C33" s="6">
        <v>2</v>
      </c>
      <c r="D33" s="6">
        <v>-1</v>
      </c>
      <c r="F33" s="6" t="b">
        <v>0</v>
      </c>
      <c r="G33" s="6">
        <v>3</v>
      </c>
      <c r="H33" s="6">
        <v>4</v>
      </c>
      <c r="I33" s="6">
        <v>4</v>
      </c>
      <c r="J33" s="6">
        <v>0</v>
      </c>
      <c r="K33" s="6">
        <v>1</v>
      </c>
      <c r="L33" s="6" t="s">
        <v>281</v>
      </c>
      <c r="M33" s="6" t="s">
        <v>141</v>
      </c>
      <c r="N33" s="6" t="s">
        <v>293</v>
      </c>
      <c r="O33" s="6" t="s">
        <v>141</v>
      </c>
      <c r="P33" s="6" t="s">
        <v>283</v>
      </c>
      <c r="Q33" s="6" t="s">
        <v>141</v>
      </c>
      <c r="R33" s="6" t="s">
        <v>282</v>
      </c>
      <c r="S33" s="6" t="s">
        <v>411</v>
      </c>
      <c r="T33" s="6">
        <v>2</v>
      </c>
      <c r="U33" s="6">
        <v>9</v>
      </c>
      <c r="V33" s="6">
        <v>23</v>
      </c>
      <c r="W33" s="6">
        <v>14</v>
      </c>
      <c r="X33" s="6" t="s">
        <v>412</v>
      </c>
      <c r="Y33" s="6">
        <v>4</v>
      </c>
      <c r="Z33" s="6">
        <v>54</v>
      </c>
      <c r="AA33" s="6">
        <v>20</v>
      </c>
      <c r="AB33" s="6">
        <v>20</v>
      </c>
      <c r="AC33" s="6">
        <v>5</v>
      </c>
      <c r="AD33" s="6">
        <v>0</v>
      </c>
      <c r="AE33" s="6">
        <v>14</v>
      </c>
      <c r="AF33" s="6" t="b">
        <v>1</v>
      </c>
      <c r="AG33" s="6" t="b">
        <v>0</v>
      </c>
      <c r="AH33" s="6" t="b">
        <v>1</v>
      </c>
      <c r="AI33" s="6" t="b">
        <v>0</v>
      </c>
      <c r="AJ33" s="6">
        <v>0</v>
      </c>
      <c r="AK33" s="6">
        <v>1</v>
      </c>
      <c r="AL33" s="6" t="b">
        <v>0</v>
      </c>
      <c r="AM33" s="6" t="b">
        <v>0</v>
      </c>
      <c r="AN33" s="6" t="b">
        <v>0</v>
      </c>
      <c r="AO33" s="6" t="b">
        <v>0</v>
      </c>
      <c r="AP33" s="6">
        <v>0</v>
      </c>
      <c r="AQ33" s="6">
        <v>24</v>
      </c>
      <c r="AR33" s="6">
        <v>5</v>
      </c>
      <c r="AS33" s="6">
        <v>101</v>
      </c>
      <c r="AT33" s="6" t="s">
        <v>286</v>
      </c>
      <c r="AU33" s="6" t="s">
        <v>153</v>
      </c>
      <c r="AV33" s="6" t="s">
        <v>282</v>
      </c>
      <c r="AW33" s="6" t="s">
        <v>153</v>
      </c>
      <c r="AX33" s="6" t="s">
        <v>283</v>
      </c>
      <c r="AY33" s="6" t="s">
        <v>141</v>
      </c>
      <c r="AZ33" s="6" t="s">
        <v>293</v>
      </c>
      <c r="BA33" s="6" t="s">
        <v>413</v>
      </c>
      <c r="BB33" s="6">
        <v>0</v>
      </c>
      <c r="BC33" s="6">
        <v>3</v>
      </c>
      <c r="BD33" s="6">
        <v>3</v>
      </c>
      <c r="BE33" s="6">
        <v>0</v>
      </c>
      <c r="BF33" s="6" t="s">
        <v>414</v>
      </c>
      <c r="BG33" s="6">
        <v>4</v>
      </c>
      <c r="BH33" s="6">
        <v>59</v>
      </c>
      <c r="BI33" s="6">
        <v>15</v>
      </c>
      <c r="BJ33" s="6">
        <v>30</v>
      </c>
      <c r="BK33" s="6">
        <v>0</v>
      </c>
      <c r="BL33" s="6">
        <v>5</v>
      </c>
      <c r="BM33" s="6">
        <v>14</v>
      </c>
      <c r="BN33" s="6" t="b">
        <v>0</v>
      </c>
      <c r="BO33" s="6" t="b">
        <v>0</v>
      </c>
      <c r="BP33" s="6" t="b">
        <v>1</v>
      </c>
      <c r="BQ33" s="6" t="b">
        <v>0</v>
      </c>
      <c r="BR33" s="6">
        <v>0</v>
      </c>
      <c r="BS33" s="6">
        <v>4</v>
      </c>
      <c r="BT33" s="6" t="b">
        <v>0</v>
      </c>
      <c r="BU33" s="6" t="b">
        <v>0</v>
      </c>
      <c r="BV33" s="6" t="b">
        <v>0</v>
      </c>
      <c r="BW33" s="6" t="b">
        <v>0</v>
      </c>
      <c r="BX33" s="6">
        <v>0</v>
      </c>
      <c r="BY33" s="6">
        <v>6</v>
      </c>
      <c r="BZ33" s="6">
        <v>1</v>
      </c>
      <c r="CA33" s="6">
        <v>68</v>
      </c>
    </row>
    <row r="34" spans="1:79">
      <c r="A34" s="6" t="s">
        <v>280</v>
      </c>
      <c r="B34" s="6">
        <v>33</v>
      </c>
      <c r="C34" s="6">
        <v>1</v>
      </c>
      <c r="D34" s="6">
        <v>-1</v>
      </c>
      <c r="F34" s="6" t="b">
        <v>1</v>
      </c>
      <c r="G34" s="6">
        <v>3</v>
      </c>
      <c r="H34" s="6">
        <v>4</v>
      </c>
      <c r="I34" s="6">
        <v>3</v>
      </c>
      <c r="J34" s="6">
        <v>0</v>
      </c>
      <c r="K34" s="6">
        <v>1</v>
      </c>
      <c r="L34" s="6" t="s">
        <v>281</v>
      </c>
      <c r="M34" s="6" t="s">
        <v>141</v>
      </c>
      <c r="N34" s="6" t="s">
        <v>282</v>
      </c>
      <c r="O34" s="6" t="s">
        <v>141</v>
      </c>
      <c r="P34" s="6" t="s">
        <v>282</v>
      </c>
      <c r="Q34" s="6" t="s">
        <v>141</v>
      </c>
      <c r="R34" s="6" t="s">
        <v>282</v>
      </c>
      <c r="S34" s="6" t="s">
        <v>415</v>
      </c>
      <c r="T34" s="6">
        <v>0</v>
      </c>
      <c r="U34" s="6">
        <v>9</v>
      </c>
      <c r="V34" s="6">
        <v>9</v>
      </c>
      <c r="W34" s="6">
        <v>0</v>
      </c>
      <c r="X34" s="6" t="s">
        <v>416</v>
      </c>
      <c r="Y34" s="6">
        <v>13</v>
      </c>
      <c r="Z34" s="6">
        <v>85</v>
      </c>
      <c r="AA34" s="6">
        <v>55</v>
      </c>
      <c r="AB34" s="6">
        <v>24</v>
      </c>
      <c r="AC34" s="6">
        <v>3</v>
      </c>
      <c r="AD34" s="6">
        <v>2</v>
      </c>
      <c r="AE34" s="6">
        <v>6</v>
      </c>
      <c r="AF34" s="6" t="b">
        <v>0</v>
      </c>
      <c r="AG34" s="6" t="b">
        <v>0</v>
      </c>
      <c r="AH34" s="6" t="b">
        <v>0</v>
      </c>
      <c r="AI34" s="6" t="b">
        <v>1</v>
      </c>
      <c r="AJ34" s="6">
        <v>0</v>
      </c>
      <c r="AK34" s="6">
        <v>0</v>
      </c>
      <c r="AL34" s="6" t="b">
        <v>0</v>
      </c>
      <c r="AM34" s="6" t="b">
        <v>0</v>
      </c>
      <c r="AN34" s="6" t="b">
        <v>0</v>
      </c>
      <c r="AO34" s="6" t="b">
        <v>0</v>
      </c>
      <c r="AP34" s="6">
        <v>0</v>
      </c>
      <c r="AQ34" s="6">
        <v>0</v>
      </c>
      <c r="AR34" s="6">
        <v>0</v>
      </c>
      <c r="AS34" s="6">
        <v>94</v>
      </c>
      <c r="AT34" s="6" t="s">
        <v>286</v>
      </c>
      <c r="AU34" s="6" t="s">
        <v>141</v>
      </c>
      <c r="AV34" s="6" t="s">
        <v>293</v>
      </c>
      <c r="AW34" s="6" t="s">
        <v>141</v>
      </c>
      <c r="AX34" s="6" t="s">
        <v>282</v>
      </c>
      <c r="AY34" s="6" t="s">
        <v>141</v>
      </c>
      <c r="AZ34" s="6" t="s">
        <v>282</v>
      </c>
      <c r="BA34" s="6" t="s">
        <v>417</v>
      </c>
      <c r="BB34" s="6">
        <v>1</v>
      </c>
      <c r="BC34" s="6">
        <v>9</v>
      </c>
      <c r="BD34" s="6">
        <v>16</v>
      </c>
      <c r="BE34" s="6">
        <v>7</v>
      </c>
      <c r="BF34" s="6" t="s">
        <v>418</v>
      </c>
      <c r="BG34" s="6">
        <v>16</v>
      </c>
      <c r="BH34" s="6">
        <v>101</v>
      </c>
      <c r="BI34" s="6">
        <v>65</v>
      </c>
      <c r="BJ34" s="6">
        <v>20</v>
      </c>
      <c r="BK34" s="6">
        <v>2</v>
      </c>
      <c r="BL34" s="6">
        <v>2</v>
      </c>
      <c r="BM34" s="6">
        <v>16</v>
      </c>
      <c r="BN34" s="6" t="b">
        <v>1</v>
      </c>
      <c r="BO34" s="6" t="b">
        <v>0</v>
      </c>
      <c r="BP34" s="6" t="b">
        <v>1</v>
      </c>
      <c r="BQ34" s="6" t="b">
        <v>0</v>
      </c>
      <c r="BR34" s="6">
        <v>0</v>
      </c>
      <c r="BS34" s="6">
        <v>0</v>
      </c>
      <c r="BT34" s="6" t="b">
        <v>0</v>
      </c>
      <c r="BU34" s="6" t="b">
        <v>0</v>
      </c>
      <c r="BV34" s="6" t="b">
        <v>0</v>
      </c>
      <c r="BW34" s="6" t="b">
        <v>0</v>
      </c>
      <c r="BX34" s="6">
        <v>0</v>
      </c>
      <c r="BY34" s="6">
        <v>0</v>
      </c>
      <c r="BZ34" s="6">
        <v>5</v>
      </c>
      <c r="CA34" s="6">
        <v>117</v>
      </c>
    </row>
    <row r="35" spans="1:79">
      <c r="A35" s="6" t="s">
        <v>280</v>
      </c>
      <c r="B35" s="6">
        <v>34</v>
      </c>
      <c r="C35" s="6">
        <v>2</v>
      </c>
      <c r="D35" s="6">
        <v>-1</v>
      </c>
      <c r="F35" s="6" t="b">
        <v>0</v>
      </c>
      <c r="G35" s="6">
        <v>3</v>
      </c>
      <c r="H35" s="6">
        <v>4</v>
      </c>
      <c r="I35" s="6">
        <v>4</v>
      </c>
      <c r="J35" s="6">
        <v>0</v>
      </c>
      <c r="K35" s="6">
        <v>1</v>
      </c>
      <c r="L35" s="6" t="s">
        <v>281</v>
      </c>
      <c r="M35" s="6" t="s">
        <v>141</v>
      </c>
      <c r="N35" s="6" t="s">
        <v>283</v>
      </c>
      <c r="O35" s="6" t="s">
        <v>141</v>
      </c>
      <c r="P35" s="6" t="s">
        <v>293</v>
      </c>
      <c r="Q35" s="6" t="s">
        <v>141</v>
      </c>
      <c r="R35" s="6" t="s">
        <v>282</v>
      </c>
      <c r="S35" s="6" t="s">
        <v>419</v>
      </c>
      <c r="T35" s="6">
        <v>1</v>
      </c>
      <c r="U35" s="6">
        <v>9</v>
      </c>
      <c r="V35" s="6">
        <v>12</v>
      </c>
      <c r="W35" s="6">
        <v>3</v>
      </c>
      <c r="X35" s="6" t="s">
        <v>420</v>
      </c>
      <c r="Y35" s="6">
        <v>10</v>
      </c>
      <c r="Z35" s="6">
        <v>45</v>
      </c>
      <c r="AA35" s="6">
        <v>27</v>
      </c>
      <c r="AB35" s="6">
        <v>4</v>
      </c>
      <c r="AC35" s="6">
        <v>1</v>
      </c>
      <c r="AD35" s="6">
        <v>0</v>
      </c>
      <c r="AE35" s="6">
        <v>14</v>
      </c>
      <c r="AF35" s="6" t="b">
        <v>1</v>
      </c>
      <c r="AG35" s="6" t="b">
        <v>0</v>
      </c>
      <c r="AH35" s="6" t="b">
        <v>1</v>
      </c>
      <c r="AI35" s="6" t="b">
        <v>0</v>
      </c>
      <c r="AJ35" s="6">
        <v>0</v>
      </c>
      <c r="AK35" s="6">
        <v>0</v>
      </c>
      <c r="AL35" s="6" t="b">
        <v>0</v>
      </c>
      <c r="AM35" s="6" t="b">
        <v>0</v>
      </c>
      <c r="AN35" s="6" t="b">
        <v>0</v>
      </c>
      <c r="AO35" s="6" t="b">
        <v>0</v>
      </c>
      <c r="AP35" s="6">
        <v>0</v>
      </c>
      <c r="AQ35" s="6">
        <v>12</v>
      </c>
      <c r="AR35" s="6">
        <v>5</v>
      </c>
      <c r="AS35" s="6">
        <v>69</v>
      </c>
      <c r="AT35" s="6" t="s">
        <v>286</v>
      </c>
      <c r="AU35" s="6" t="s">
        <v>141</v>
      </c>
      <c r="AV35" s="6" t="s">
        <v>282</v>
      </c>
      <c r="AW35" s="6" t="s">
        <v>141</v>
      </c>
      <c r="AX35" s="6" t="s">
        <v>293</v>
      </c>
      <c r="AY35" s="6" t="s">
        <v>141</v>
      </c>
      <c r="AZ35" s="6" t="s">
        <v>378</v>
      </c>
      <c r="BA35" s="6" t="s">
        <v>421</v>
      </c>
      <c r="BB35" s="6">
        <v>0</v>
      </c>
      <c r="BC35" s="6">
        <v>9</v>
      </c>
      <c r="BD35" s="6">
        <v>9</v>
      </c>
      <c r="BE35" s="6">
        <v>0</v>
      </c>
      <c r="BF35" s="6" t="s">
        <v>422</v>
      </c>
      <c r="BG35" s="6">
        <v>3</v>
      </c>
      <c r="BH35" s="6">
        <v>38</v>
      </c>
      <c r="BI35" s="6">
        <v>12</v>
      </c>
      <c r="BJ35" s="6">
        <v>6</v>
      </c>
      <c r="BK35" s="6">
        <v>0</v>
      </c>
      <c r="BL35" s="6">
        <v>1</v>
      </c>
      <c r="BM35" s="6">
        <v>20</v>
      </c>
      <c r="BN35" s="6" t="b">
        <v>0</v>
      </c>
      <c r="BO35" s="6" t="b">
        <v>0</v>
      </c>
      <c r="BP35" s="6" t="b">
        <v>1</v>
      </c>
      <c r="BQ35" s="6" t="b">
        <v>0</v>
      </c>
      <c r="BR35" s="6">
        <v>0</v>
      </c>
      <c r="BS35" s="6">
        <v>2</v>
      </c>
      <c r="BT35" s="6" t="b">
        <v>0</v>
      </c>
      <c r="BU35" s="6" t="b">
        <v>0</v>
      </c>
      <c r="BV35" s="6" t="b">
        <v>0</v>
      </c>
      <c r="BW35" s="6" t="b">
        <v>0</v>
      </c>
      <c r="BX35" s="6">
        <v>0</v>
      </c>
      <c r="BY35" s="6">
        <v>0</v>
      </c>
      <c r="BZ35" s="6">
        <v>1</v>
      </c>
      <c r="CA35" s="6">
        <v>47</v>
      </c>
    </row>
    <row r="36" spans="1:79">
      <c r="A36" s="6" t="s">
        <v>280</v>
      </c>
      <c r="B36" s="6">
        <v>35</v>
      </c>
      <c r="C36" s="6">
        <v>2</v>
      </c>
      <c r="D36" s="6">
        <v>-1</v>
      </c>
      <c r="F36" s="6" t="b">
        <v>1</v>
      </c>
      <c r="G36" s="6">
        <v>3</v>
      </c>
      <c r="H36" s="6">
        <v>4</v>
      </c>
      <c r="I36" s="6">
        <v>3</v>
      </c>
      <c r="J36" s="6">
        <v>0</v>
      </c>
      <c r="K36" s="6">
        <v>1</v>
      </c>
      <c r="L36" s="6" t="s">
        <v>281</v>
      </c>
      <c r="M36" s="6" t="s">
        <v>141</v>
      </c>
      <c r="N36" s="6" t="s">
        <v>282</v>
      </c>
      <c r="O36" s="6" t="s">
        <v>141</v>
      </c>
      <c r="P36" s="6" t="s">
        <v>283</v>
      </c>
      <c r="Q36" s="6" t="s">
        <v>141</v>
      </c>
      <c r="R36" s="6" t="s">
        <v>282</v>
      </c>
      <c r="S36" s="6" t="s">
        <v>423</v>
      </c>
      <c r="T36" s="6">
        <v>3</v>
      </c>
      <c r="U36" s="6">
        <v>9</v>
      </c>
      <c r="V36" s="6">
        <v>30</v>
      </c>
      <c r="W36" s="6">
        <v>21</v>
      </c>
      <c r="X36" s="6" t="s">
        <v>424</v>
      </c>
      <c r="Y36" s="6">
        <v>20</v>
      </c>
      <c r="Z36" s="6">
        <v>102</v>
      </c>
      <c r="AA36" s="6">
        <v>78</v>
      </c>
      <c r="AB36" s="6">
        <v>20</v>
      </c>
      <c r="AC36" s="6">
        <v>2</v>
      </c>
      <c r="AD36" s="6">
        <v>2</v>
      </c>
      <c r="AE36" s="6">
        <v>4</v>
      </c>
      <c r="AF36" s="6" t="b">
        <v>1</v>
      </c>
      <c r="AG36" s="6" t="b">
        <v>1</v>
      </c>
      <c r="AH36" s="6" t="b">
        <v>0</v>
      </c>
      <c r="AI36" s="6" t="b">
        <v>1</v>
      </c>
      <c r="AJ36" s="6">
        <v>0</v>
      </c>
      <c r="AK36" s="6">
        <v>0</v>
      </c>
      <c r="AL36" s="6" t="b">
        <v>0</v>
      </c>
      <c r="AM36" s="6" t="b">
        <v>0</v>
      </c>
      <c r="AN36" s="6" t="b">
        <v>0</v>
      </c>
      <c r="AO36" s="6" t="b">
        <v>0</v>
      </c>
      <c r="AP36" s="6">
        <v>0</v>
      </c>
      <c r="AQ36" s="6">
        <v>6</v>
      </c>
      <c r="AR36" s="6">
        <v>5</v>
      </c>
      <c r="AS36" s="6">
        <v>138</v>
      </c>
      <c r="AT36" s="6" t="s">
        <v>286</v>
      </c>
      <c r="AU36" s="6" t="s">
        <v>141</v>
      </c>
      <c r="AV36" s="6" t="s">
        <v>282</v>
      </c>
      <c r="AW36" s="6" t="s">
        <v>141</v>
      </c>
      <c r="AX36" s="6" t="s">
        <v>282</v>
      </c>
      <c r="AY36" s="6" t="s">
        <v>153</v>
      </c>
      <c r="AZ36" s="6" t="s">
        <v>282</v>
      </c>
      <c r="BA36" s="6" t="s">
        <v>425</v>
      </c>
      <c r="BB36" s="6">
        <v>2</v>
      </c>
      <c r="BC36" s="6">
        <v>6</v>
      </c>
      <c r="BD36" s="6">
        <v>20</v>
      </c>
      <c r="BE36" s="6">
        <v>14</v>
      </c>
      <c r="BF36" s="6" t="s">
        <v>426</v>
      </c>
      <c r="BG36" s="6">
        <v>16</v>
      </c>
      <c r="BH36" s="6">
        <v>110</v>
      </c>
      <c r="BI36" s="6">
        <v>72</v>
      </c>
      <c r="BJ36" s="6">
        <v>32</v>
      </c>
      <c r="BK36" s="6">
        <v>5</v>
      </c>
      <c r="BL36" s="6">
        <v>2</v>
      </c>
      <c r="BM36" s="6">
        <v>6</v>
      </c>
      <c r="BN36" s="6" t="b">
        <v>0</v>
      </c>
      <c r="BO36" s="6" t="b">
        <v>0</v>
      </c>
      <c r="BP36" s="6" t="b">
        <v>0</v>
      </c>
      <c r="BQ36" s="6" t="b">
        <v>0</v>
      </c>
      <c r="BR36" s="6">
        <v>0</v>
      </c>
      <c r="BS36" s="6">
        <v>1</v>
      </c>
      <c r="BT36" s="6" t="b">
        <v>0</v>
      </c>
      <c r="BU36" s="6" t="b">
        <v>0</v>
      </c>
      <c r="BV36" s="6" t="b">
        <v>0</v>
      </c>
      <c r="BW36" s="6" t="b">
        <v>0</v>
      </c>
      <c r="BX36" s="6">
        <v>0</v>
      </c>
      <c r="BY36" s="6">
        <v>0</v>
      </c>
      <c r="BZ36" s="6">
        <v>0</v>
      </c>
      <c r="CA36" s="6">
        <v>130</v>
      </c>
    </row>
    <row r="37" spans="1:79">
      <c r="A37" s="6" t="s">
        <v>280</v>
      </c>
      <c r="B37" s="6">
        <v>36</v>
      </c>
      <c r="C37" s="6">
        <v>1</v>
      </c>
      <c r="D37" s="6">
        <v>-1</v>
      </c>
      <c r="F37" s="6" t="b">
        <v>0</v>
      </c>
      <c r="G37" s="6">
        <v>3</v>
      </c>
      <c r="H37" s="6">
        <v>4</v>
      </c>
      <c r="I37" s="6">
        <v>4</v>
      </c>
      <c r="J37" s="6">
        <v>0</v>
      </c>
      <c r="K37" s="6">
        <v>1</v>
      </c>
      <c r="L37" s="6" t="s">
        <v>281</v>
      </c>
      <c r="M37" s="6" t="s">
        <v>141</v>
      </c>
      <c r="N37" s="6" t="s">
        <v>283</v>
      </c>
      <c r="O37" s="6" t="s">
        <v>153</v>
      </c>
      <c r="P37" s="6" t="s">
        <v>282</v>
      </c>
      <c r="Q37" s="6" t="s">
        <v>141</v>
      </c>
      <c r="R37" s="6" t="s">
        <v>282</v>
      </c>
      <c r="S37" s="6" t="s">
        <v>427</v>
      </c>
      <c r="T37" s="6">
        <v>1</v>
      </c>
      <c r="U37" s="6">
        <v>6</v>
      </c>
      <c r="V37" s="6">
        <v>9</v>
      </c>
      <c r="W37" s="6">
        <v>3</v>
      </c>
      <c r="X37" s="6" t="s">
        <v>428</v>
      </c>
      <c r="Y37" s="6">
        <v>3</v>
      </c>
      <c r="Z37" s="6">
        <v>12</v>
      </c>
      <c r="AA37" s="6">
        <v>8</v>
      </c>
      <c r="AB37" s="6">
        <v>0</v>
      </c>
      <c r="AC37" s="6">
        <v>0</v>
      </c>
      <c r="AD37" s="6">
        <v>0</v>
      </c>
      <c r="AE37" s="6">
        <v>4</v>
      </c>
      <c r="AF37" s="6" t="b">
        <v>0</v>
      </c>
      <c r="AG37" s="6" t="b">
        <v>0</v>
      </c>
      <c r="AH37" s="6" t="b">
        <v>0</v>
      </c>
      <c r="AI37" s="6" t="b">
        <v>0</v>
      </c>
      <c r="AJ37" s="6">
        <v>0</v>
      </c>
      <c r="AK37" s="6">
        <v>0</v>
      </c>
      <c r="AL37" s="6" t="b">
        <v>0</v>
      </c>
      <c r="AM37" s="6" t="b">
        <v>0</v>
      </c>
      <c r="AN37" s="6" t="b">
        <v>0</v>
      </c>
      <c r="AO37" s="6" t="b">
        <v>0</v>
      </c>
      <c r="AP37" s="6">
        <v>0</v>
      </c>
      <c r="AQ37" s="6">
        <v>6</v>
      </c>
      <c r="AR37" s="6">
        <v>0</v>
      </c>
      <c r="AS37" s="6">
        <v>27</v>
      </c>
      <c r="AT37" s="6" t="s">
        <v>286</v>
      </c>
      <c r="AU37" s="6" t="s">
        <v>141</v>
      </c>
      <c r="AV37" s="6" t="s">
        <v>282</v>
      </c>
      <c r="AW37" s="6" t="s">
        <v>141</v>
      </c>
      <c r="AX37" s="6" t="s">
        <v>283</v>
      </c>
      <c r="AY37" s="6" t="s">
        <v>141</v>
      </c>
      <c r="AZ37" s="6" t="s">
        <v>282</v>
      </c>
      <c r="BA37" s="6" t="s">
        <v>429</v>
      </c>
      <c r="BB37" s="6">
        <v>0</v>
      </c>
      <c r="BC37" s="6">
        <v>9</v>
      </c>
      <c r="BD37" s="6">
        <v>9</v>
      </c>
      <c r="BE37" s="6">
        <v>0</v>
      </c>
      <c r="BF37" s="6" t="s">
        <v>430</v>
      </c>
      <c r="BG37" s="6">
        <v>3</v>
      </c>
      <c r="BH37" s="6">
        <v>19</v>
      </c>
      <c r="BI37" s="6">
        <v>15</v>
      </c>
      <c r="BJ37" s="6">
        <v>0</v>
      </c>
      <c r="BK37" s="6">
        <v>0</v>
      </c>
      <c r="BL37" s="6">
        <v>0</v>
      </c>
      <c r="BM37" s="6">
        <v>4</v>
      </c>
      <c r="BN37" s="6" t="b">
        <v>0</v>
      </c>
      <c r="BO37" s="6" t="b">
        <v>0</v>
      </c>
      <c r="BP37" s="6" t="b">
        <v>0</v>
      </c>
      <c r="BQ37" s="6" t="b">
        <v>0</v>
      </c>
      <c r="BR37" s="6">
        <v>0</v>
      </c>
      <c r="BS37" s="6">
        <v>1</v>
      </c>
      <c r="BT37" s="6" t="b">
        <v>0</v>
      </c>
      <c r="BU37" s="6" t="b">
        <v>0</v>
      </c>
      <c r="BV37" s="6" t="b">
        <v>0</v>
      </c>
      <c r="BW37" s="6" t="b">
        <v>0</v>
      </c>
      <c r="BX37" s="6">
        <v>0</v>
      </c>
      <c r="BY37" s="6">
        <v>0</v>
      </c>
      <c r="BZ37" s="6">
        <v>3</v>
      </c>
      <c r="CA37" s="6">
        <v>28</v>
      </c>
    </row>
    <row r="38" spans="1:79">
      <c r="A38" s="6" t="s">
        <v>280</v>
      </c>
      <c r="B38" s="6">
        <v>37</v>
      </c>
      <c r="C38" s="6">
        <v>2</v>
      </c>
      <c r="D38" s="6">
        <v>-1</v>
      </c>
      <c r="F38" s="6" t="b">
        <v>0</v>
      </c>
      <c r="G38" s="6">
        <v>3</v>
      </c>
      <c r="H38" s="6">
        <v>4</v>
      </c>
      <c r="I38" s="6">
        <v>4</v>
      </c>
      <c r="J38" s="6">
        <v>0</v>
      </c>
      <c r="K38" s="6">
        <v>1</v>
      </c>
      <c r="L38" s="6" t="s">
        <v>281</v>
      </c>
      <c r="M38" s="6" t="s">
        <v>141</v>
      </c>
      <c r="N38" s="6" t="s">
        <v>282</v>
      </c>
      <c r="O38" s="6" t="s">
        <v>141</v>
      </c>
      <c r="P38" s="6" t="s">
        <v>282</v>
      </c>
      <c r="Q38" s="6" t="s">
        <v>141</v>
      </c>
      <c r="R38" s="6" t="s">
        <v>282</v>
      </c>
      <c r="S38" s="6" t="s">
        <v>431</v>
      </c>
      <c r="T38" s="6">
        <v>1</v>
      </c>
      <c r="U38" s="6">
        <v>9</v>
      </c>
      <c r="V38" s="6">
        <v>16</v>
      </c>
      <c r="W38" s="6">
        <v>7</v>
      </c>
      <c r="X38" s="6" t="s">
        <v>432</v>
      </c>
      <c r="Y38" s="6">
        <v>12</v>
      </c>
      <c r="Z38" s="6">
        <v>64</v>
      </c>
      <c r="AA38" s="6">
        <v>58</v>
      </c>
      <c r="AB38" s="6">
        <v>0</v>
      </c>
      <c r="AC38" s="6">
        <v>0</v>
      </c>
      <c r="AD38" s="6">
        <v>0</v>
      </c>
      <c r="AE38" s="6">
        <v>6</v>
      </c>
      <c r="AF38" s="6" t="b">
        <v>1</v>
      </c>
      <c r="AG38" s="6" t="b">
        <v>0</v>
      </c>
      <c r="AH38" s="6" t="b">
        <v>0</v>
      </c>
      <c r="AI38" s="6" t="b">
        <v>0</v>
      </c>
      <c r="AJ38" s="6">
        <v>0</v>
      </c>
      <c r="AK38" s="6">
        <v>0</v>
      </c>
      <c r="AL38" s="6" t="b">
        <v>0</v>
      </c>
      <c r="AM38" s="6" t="b">
        <v>0</v>
      </c>
      <c r="AN38" s="6" t="b">
        <v>0</v>
      </c>
      <c r="AO38" s="6" t="b">
        <v>0</v>
      </c>
      <c r="AP38" s="6">
        <v>0</v>
      </c>
      <c r="AQ38" s="6">
        <v>0</v>
      </c>
      <c r="AR38" s="6">
        <v>4</v>
      </c>
      <c r="AS38" s="6">
        <v>80</v>
      </c>
      <c r="AT38" s="6" t="s">
        <v>286</v>
      </c>
      <c r="AU38" s="6" t="s">
        <v>141</v>
      </c>
      <c r="AV38" s="6" t="s">
        <v>282</v>
      </c>
      <c r="AW38" s="6" t="s">
        <v>141</v>
      </c>
      <c r="AX38" s="6" t="s">
        <v>282</v>
      </c>
      <c r="AY38" s="6" t="s">
        <v>141</v>
      </c>
      <c r="AZ38" s="6" t="s">
        <v>378</v>
      </c>
      <c r="BA38" s="6" t="s">
        <v>433</v>
      </c>
      <c r="BB38" s="6">
        <v>1</v>
      </c>
      <c r="BC38" s="6">
        <v>9</v>
      </c>
      <c r="BD38" s="6">
        <v>12</v>
      </c>
      <c r="BE38" s="6">
        <v>3</v>
      </c>
      <c r="BF38" s="6" t="s">
        <v>434</v>
      </c>
      <c r="BG38" s="6">
        <v>16</v>
      </c>
      <c r="BH38" s="6">
        <v>55</v>
      </c>
      <c r="BI38" s="6">
        <v>45</v>
      </c>
      <c r="BJ38" s="6">
        <v>0</v>
      </c>
      <c r="BK38" s="6">
        <v>0</v>
      </c>
      <c r="BL38" s="6">
        <v>0</v>
      </c>
      <c r="BM38" s="6">
        <v>10</v>
      </c>
      <c r="BN38" s="6" t="b">
        <v>1</v>
      </c>
      <c r="BO38" s="6" t="b">
        <v>0</v>
      </c>
      <c r="BP38" s="6" t="b">
        <v>0</v>
      </c>
      <c r="BQ38" s="6" t="b">
        <v>0</v>
      </c>
      <c r="BR38" s="6">
        <v>0</v>
      </c>
      <c r="BS38" s="6">
        <v>0</v>
      </c>
      <c r="BT38" s="6" t="b">
        <v>0</v>
      </c>
      <c r="BU38" s="6" t="b">
        <v>0</v>
      </c>
      <c r="BV38" s="6" t="b">
        <v>0</v>
      </c>
      <c r="BW38" s="6" t="b">
        <v>0</v>
      </c>
      <c r="BX38" s="6">
        <v>0</v>
      </c>
      <c r="BY38" s="6">
        <v>0</v>
      </c>
      <c r="BZ38" s="6">
        <v>1</v>
      </c>
      <c r="CA38" s="6">
        <v>67</v>
      </c>
    </row>
    <row r="39" spans="1:79">
      <c r="A39" s="6" t="s">
        <v>280</v>
      </c>
      <c r="B39" s="6">
        <v>38</v>
      </c>
      <c r="C39" s="6">
        <v>2</v>
      </c>
      <c r="D39" s="6">
        <v>-1</v>
      </c>
      <c r="F39" s="6" t="b">
        <v>0</v>
      </c>
      <c r="G39" s="6">
        <v>3</v>
      </c>
      <c r="H39" s="6">
        <v>4</v>
      </c>
      <c r="I39" s="6">
        <v>4</v>
      </c>
      <c r="J39" s="6">
        <v>0</v>
      </c>
      <c r="K39" s="6">
        <v>1</v>
      </c>
      <c r="L39" s="6" t="s">
        <v>281</v>
      </c>
      <c r="M39" s="6" t="s">
        <v>141</v>
      </c>
      <c r="N39" s="6" t="s">
        <v>282</v>
      </c>
      <c r="O39" s="6" t="s">
        <v>141</v>
      </c>
      <c r="P39" s="6" t="s">
        <v>283</v>
      </c>
      <c r="Q39" s="6" t="s">
        <v>141</v>
      </c>
      <c r="R39" s="6" t="s">
        <v>283</v>
      </c>
      <c r="S39" s="6" t="s">
        <v>435</v>
      </c>
      <c r="T39" s="6">
        <v>0</v>
      </c>
      <c r="U39" s="6">
        <v>9</v>
      </c>
      <c r="V39" s="6">
        <v>9</v>
      </c>
      <c r="W39" s="6">
        <v>0</v>
      </c>
      <c r="X39" s="6" t="s">
        <v>436</v>
      </c>
      <c r="Y39" s="6">
        <v>25</v>
      </c>
      <c r="Z39" s="6">
        <v>118</v>
      </c>
      <c r="AA39" s="6">
        <v>96</v>
      </c>
      <c r="AB39" s="6">
        <v>20</v>
      </c>
      <c r="AC39" s="6">
        <v>2</v>
      </c>
      <c r="AD39" s="6">
        <v>2</v>
      </c>
      <c r="AE39" s="6">
        <v>2</v>
      </c>
      <c r="AF39" s="6" t="b">
        <v>0</v>
      </c>
      <c r="AG39" s="6" t="b">
        <v>0</v>
      </c>
      <c r="AH39" s="6" t="b">
        <v>0</v>
      </c>
      <c r="AI39" s="6" t="b">
        <v>1</v>
      </c>
      <c r="AJ39" s="6">
        <v>0</v>
      </c>
      <c r="AK39" s="6">
        <v>0</v>
      </c>
      <c r="AL39" s="6" t="b">
        <v>0</v>
      </c>
      <c r="AM39" s="6" t="b">
        <v>0</v>
      </c>
      <c r="AN39" s="6" t="b">
        <v>0</v>
      </c>
      <c r="AO39" s="6" t="b">
        <v>0</v>
      </c>
      <c r="AP39" s="6">
        <v>0</v>
      </c>
      <c r="AQ39" s="6">
        <v>0</v>
      </c>
      <c r="AR39" s="6">
        <v>3</v>
      </c>
      <c r="AS39" s="6">
        <v>127</v>
      </c>
      <c r="AT39" s="6" t="s">
        <v>286</v>
      </c>
      <c r="AU39" s="6" t="s">
        <v>141</v>
      </c>
      <c r="AV39" s="6" t="s">
        <v>293</v>
      </c>
      <c r="AW39" s="6" t="s">
        <v>141</v>
      </c>
      <c r="AX39" s="6" t="s">
        <v>282</v>
      </c>
      <c r="AY39" s="6" t="s">
        <v>141</v>
      </c>
      <c r="AZ39" s="6" t="s">
        <v>282</v>
      </c>
      <c r="BA39" s="6" t="s">
        <v>437</v>
      </c>
      <c r="BB39" s="6">
        <v>1</v>
      </c>
      <c r="BC39" s="6">
        <v>9</v>
      </c>
      <c r="BD39" s="6">
        <v>16</v>
      </c>
      <c r="BE39" s="6">
        <v>7</v>
      </c>
      <c r="BF39" s="6" t="s">
        <v>438</v>
      </c>
      <c r="BG39" s="6">
        <v>11</v>
      </c>
      <c r="BH39" s="6">
        <v>54</v>
      </c>
      <c r="BI39" s="6">
        <v>32</v>
      </c>
      <c r="BJ39" s="6">
        <v>6</v>
      </c>
      <c r="BK39" s="6">
        <v>0</v>
      </c>
      <c r="BL39" s="6">
        <v>1</v>
      </c>
      <c r="BM39" s="6">
        <v>16</v>
      </c>
      <c r="BN39" s="6" t="b">
        <v>1</v>
      </c>
      <c r="BO39" s="6" t="b">
        <v>0</v>
      </c>
      <c r="BP39" s="6" t="b">
        <v>1</v>
      </c>
      <c r="BQ39" s="6" t="b">
        <v>0</v>
      </c>
      <c r="BR39" s="6">
        <v>0</v>
      </c>
      <c r="BS39" s="6">
        <v>0</v>
      </c>
      <c r="BT39" s="6" t="b">
        <v>0</v>
      </c>
      <c r="BU39" s="6" t="b">
        <v>0</v>
      </c>
      <c r="BV39" s="6" t="b">
        <v>0</v>
      </c>
      <c r="BW39" s="6" t="b">
        <v>0</v>
      </c>
      <c r="BX39" s="6">
        <v>0</v>
      </c>
      <c r="BY39" s="6">
        <v>0</v>
      </c>
      <c r="BZ39" s="6">
        <v>2</v>
      </c>
      <c r="CA39" s="6">
        <v>70</v>
      </c>
    </row>
    <row r="40" spans="1:79">
      <c r="A40" s="6" t="s">
        <v>280</v>
      </c>
      <c r="B40" s="6">
        <v>39</v>
      </c>
      <c r="C40" s="6">
        <v>2</v>
      </c>
      <c r="D40" s="6">
        <v>-1</v>
      </c>
      <c r="F40" s="6" t="b">
        <v>1</v>
      </c>
      <c r="G40" s="6">
        <v>3</v>
      </c>
      <c r="H40" s="6">
        <v>4</v>
      </c>
      <c r="I40" s="6">
        <v>3</v>
      </c>
      <c r="J40" s="6">
        <v>0</v>
      </c>
      <c r="K40" s="6">
        <v>1</v>
      </c>
      <c r="L40" s="6" t="s">
        <v>281</v>
      </c>
      <c r="M40" s="6" t="s">
        <v>141</v>
      </c>
      <c r="N40" s="6" t="s">
        <v>293</v>
      </c>
      <c r="O40" s="6" t="s">
        <v>141</v>
      </c>
      <c r="P40" s="6" t="s">
        <v>282</v>
      </c>
      <c r="Q40" s="6" t="s">
        <v>141</v>
      </c>
      <c r="R40" s="6" t="s">
        <v>293</v>
      </c>
      <c r="S40" s="6" t="s">
        <v>439</v>
      </c>
      <c r="T40" s="6">
        <v>1</v>
      </c>
      <c r="U40" s="6">
        <v>9</v>
      </c>
      <c r="V40" s="6">
        <v>16</v>
      </c>
      <c r="W40" s="6">
        <v>7</v>
      </c>
      <c r="X40" s="6" t="s">
        <v>440</v>
      </c>
      <c r="Y40" s="6">
        <v>5</v>
      </c>
      <c r="Z40" s="6">
        <v>71</v>
      </c>
      <c r="AA40" s="6">
        <v>25</v>
      </c>
      <c r="AB40" s="6">
        <v>20</v>
      </c>
      <c r="AC40" s="6">
        <v>2</v>
      </c>
      <c r="AD40" s="6">
        <v>2</v>
      </c>
      <c r="AE40" s="6">
        <v>26</v>
      </c>
      <c r="AF40" s="6" t="b">
        <v>1</v>
      </c>
      <c r="AG40" s="6" t="b">
        <v>0</v>
      </c>
      <c r="AH40" s="6" t="b">
        <v>1</v>
      </c>
      <c r="AI40" s="6" t="b">
        <v>1</v>
      </c>
      <c r="AJ40" s="6">
        <v>0</v>
      </c>
      <c r="AK40" s="6">
        <v>0</v>
      </c>
      <c r="AL40" s="6" t="b">
        <v>0</v>
      </c>
      <c r="AM40" s="6" t="b">
        <v>0</v>
      </c>
      <c r="AN40" s="6" t="b">
        <v>0</v>
      </c>
      <c r="AO40" s="6" t="b">
        <v>0</v>
      </c>
      <c r="AP40" s="6">
        <v>0</v>
      </c>
      <c r="AQ40" s="6">
        <v>14</v>
      </c>
      <c r="AR40" s="6">
        <v>5</v>
      </c>
      <c r="AS40" s="6">
        <v>101</v>
      </c>
      <c r="AT40" s="6" t="s">
        <v>286</v>
      </c>
      <c r="AU40" s="6" t="s">
        <v>141</v>
      </c>
      <c r="AV40" s="6" t="s">
        <v>283</v>
      </c>
      <c r="AW40" s="6" t="s">
        <v>141</v>
      </c>
      <c r="AX40" s="6" t="s">
        <v>282</v>
      </c>
      <c r="AY40" s="6" t="s">
        <v>141</v>
      </c>
      <c r="AZ40" s="6" t="s">
        <v>282</v>
      </c>
      <c r="BA40" s="6" t="s">
        <v>441</v>
      </c>
      <c r="BB40" s="6">
        <v>1</v>
      </c>
      <c r="BC40" s="6">
        <v>9</v>
      </c>
      <c r="BD40" s="6">
        <v>13</v>
      </c>
      <c r="BE40" s="6">
        <v>4</v>
      </c>
      <c r="BF40" s="6" t="s">
        <v>442</v>
      </c>
      <c r="BG40" s="6">
        <v>9</v>
      </c>
      <c r="BH40" s="6">
        <v>61</v>
      </c>
      <c r="BI40" s="6">
        <v>33</v>
      </c>
      <c r="BJ40" s="6">
        <v>24</v>
      </c>
      <c r="BK40" s="6">
        <v>3</v>
      </c>
      <c r="BL40" s="6">
        <v>2</v>
      </c>
      <c r="BM40" s="6">
        <v>4</v>
      </c>
      <c r="BN40" s="6" t="b">
        <v>1</v>
      </c>
      <c r="BO40" s="6" t="b">
        <v>0</v>
      </c>
      <c r="BP40" s="6" t="b">
        <v>0</v>
      </c>
      <c r="BQ40" s="6" t="b">
        <v>0</v>
      </c>
      <c r="BR40" s="6">
        <v>1</v>
      </c>
      <c r="BS40" s="6">
        <v>2</v>
      </c>
      <c r="BT40" s="6" t="b">
        <v>0</v>
      </c>
      <c r="BU40" s="6" t="b">
        <v>0</v>
      </c>
      <c r="BV40" s="6" t="b">
        <v>0</v>
      </c>
      <c r="BW40" s="6" t="b">
        <v>0</v>
      </c>
      <c r="BX40" s="6">
        <v>0</v>
      </c>
      <c r="BY40" s="6">
        <v>0</v>
      </c>
      <c r="BZ40" s="6">
        <v>1</v>
      </c>
      <c r="CA40" s="6">
        <v>74</v>
      </c>
    </row>
    <row r="41" spans="1:79">
      <c r="A41" s="6" t="s">
        <v>280</v>
      </c>
      <c r="B41" s="6">
        <v>40</v>
      </c>
      <c r="C41" s="6">
        <v>2</v>
      </c>
      <c r="D41" s="6">
        <v>-1</v>
      </c>
      <c r="F41" s="6" t="b">
        <v>0</v>
      </c>
      <c r="G41" s="6">
        <v>3</v>
      </c>
      <c r="H41" s="6">
        <v>4</v>
      </c>
      <c r="I41" s="6">
        <v>4</v>
      </c>
      <c r="J41" s="6">
        <v>0</v>
      </c>
      <c r="K41" s="6">
        <v>1</v>
      </c>
      <c r="L41" s="6" t="s">
        <v>281</v>
      </c>
      <c r="M41" s="6" t="s">
        <v>141</v>
      </c>
      <c r="N41" s="6" t="s">
        <v>282</v>
      </c>
      <c r="O41" s="6" t="s">
        <v>141</v>
      </c>
      <c r="P41" s="6" t="s">
        <v>282</v>
      </c>
      <c r="Q41" s="6" t="s">
        <v>141</v>
      </c>
      <c r="R41" s="6" t="s">
        <v>293</v>
      </c>
      <c r="S41" s="6" t="s">
        <v>443</v>
      </c>
      <c r="T41" s="6">
        <v>1</v>
      </c>
      <c r="U41" s="6">
        <v>9</v>
      </c>
      <c r="V41" s="6">
        <v>12</v>
      </c>
      <c r="W41" s="6">
        <v>3</v>
      </c>
      <c r="X41" s="6" t="s">
        <v>444</v>
      </c>
      <c r="Y41" s="6">
        <v>8</v>
      </c>
      <c r="Z41" s="6">
        <v>52</v>
      </c>
      <c r="AA41" s="6">
        <v>36</v>
      </c>
      <c r="AB41" s="6">
        <v>0</v>
      </c>
      <c r="AC41" s="6">
        <v>0</v>
      </c>
      <c r="AD41" s="6">
        <v>0</v>
      </c>
      <c r="AE41" s="6">
        <v>16</v>
      </c>
      <c r="AF41" s="6" t="b">
        <v>1</v>
      </c>
      <c r="AG41" s="6" t="b">
        <v>0</v>
      </c>
      <c r="AH41" s="6" t="b">
        <v>1</v>
      </c>
      <c r="AI41" s="6" t="b">
        <v>0</v>
      </c>
      <c r="AJ41" s="6">
        <v>1</v>
      </c>
      <c r="AK41" s="6">
        <v>0</v>
      </c>
      <c r="AL41" s="6" t="b">
        <v>0</v>
      </c>
      <c r="AM41" s="6" t="b">
        <v>0</v>
      </c>
      <c r="AN41" s="6" t="b">
        <v>0</v>
      </c>
      <c r="AO41" s="6" t="b">
        <v>0</v>
      </c>
      <c r="AP41" s="6">
        <v>0</v>
      </c>
      <c r="AQ41" s="6">
        <v>0</v>
      </c>
      <c r="AR41" s="6">
        <v>5</v>
      </c>
      <c r="AS41" s="6">
        <v>64</v>
      </c>
      <c r="AT41" s="6" t="s">
        <v>286</v>
      </c>
      <c r="AU41" s="6" t="s">
        <v>141</v>
      </c>
      <c r="AV41" s="6" t="s">
        <v>282</v>
      </c>
      <c r="AW41" s="6" t="s">
        <v>141</v>
      </c>
      <c r="AX41" s="6" t="s">
        <v>282</v>
      </c>
      <c r="AY41" s="6" t="s">
        <v>141</v>
      </c>
      <c r="AZ41" s="6" t="s">
        <v>282</v>
      </c>
      <c r="BA41" s="6" t="s">
        <v>445</v>
      </c>
      <c r="BB41" s="6">
        <v>1</v>
      </c>
      <c r="BC41" s="6">
        <v>9</v>
      </c>
      <c r="BD41" s="6">
        <v>12</v>
      </c>
      <c r="BE41" s="6">
        <v>3</v>
      </c>
      <c r="BF41" s="6" t="s">
        <v>446</v>
      </c>
      <c r="BG41" s="6">
        <v>7</v>
      </c>
      <c r="BH41" s="6">
        <v>35</v>
      </c>
      <c r="BI41" s="6">
        <v>29</v>
      </c>
      <c r="BJ41" s="6">
        <v>0</v>
      </c>
      <c r="BK41" s="6">
        <v>0</v>
      </c>
      <c r="BL41" s="6">
        <v>0</v>
      </c>
      <c r="BM41" s="6">
        <v>6</v>
      </c>
      <c r="BN41" s="6" t="b">
        <v>1</v>
      </c>
      <c r="BO41" s="6" t="b">
        <v>0</v>
      </c>
      <c r="BP41" s="6" t="b">
        <v>0</v>
      </c>
      <c r="BQ41" s="6" t="b">
        <v>0</v>
      </c>
      <c r="BR41" s="6">
        <v>0</v>
      </c>
      <c r="BS41" s="6">
        <v>0</v>
      </c>
      <c r="BT41" s="6" t="b">
        <v>0</v>
      </c>
      <c r="BU41" s="6" t="b">
        <v>0</v>
      </c>
      <c r="BV41" s="6" t="b">
        <v>0</v>
      </c>
      <c r="BW41" s="6" t="b">
        <v>0</v>
      </c>
      <c r="BX41" s="6">
        <v>0</v>
      </c>
      <c r="BY41" s="6">
        <v>2</v>
      </c>
      <c r="BZ41" s="6">
        <v>1</v>
      </c>
      <c r="CA41" s="6">
        <v>49</v>
      </c>
    </row>
    <row r="42" spans="1:79">
      <c r="A42" s="6" t="s">
        <v>280</v>
      </c>
      <c r="B42" s="6">
        <v>41</v>
      </c>
      <c r="C42" s="6">
        <v>1</v>
      </c>
      <c r="D42" s="6">
        <v>-1</v>
      </c>
      <c r="F42" s="6" t="b">
        <v>0</v>
      </c>
      <c r="G42" s="6">
        <v>3</v>
      </c>
      <c r="H42" s="6">
        <v>4</v>
      </c>
      <c r="I42" s="6">
        <v>4</v>
      </c>
      <c r="J42" s="6">
        <v>0</v>
      </c>
      <c r="K42" s="6">
        <v>1</v>
      </c>
      <c r="L42" s="6" t="s">
        <v>281</v>
      </c>
      <c r="M42" s="6" t="s">
        <v>141</v>
      </c>
      <c r="N42" s="6" t="s">
        <v>282</v>
      </c>
      <c r="O42" s="6" t="s">
        <v>141</v>
      </c>
      <c r="P42" s="6" t="s">
        <v>282</v>
      </c>
      <c r="Q42" s="6" t="s">
        <v>141</v>
      </c>
      <c r="R42" s="6" t="s">
        <v>282</v>
      </c>
      <c r="S42" s="6" t="s">
        <v>447</v>
      </c>
      <c r="T42" s="6">
        <v>0</v>
      </c>
      <c r="U42" s="6">
        <v>9</v>
      </c>
      <c r="V42" s="6">
        <v>9</v>
      </c>
      <c r="W42" s="6">
        <v>0</v>
      </c>
      <c r="X42" s="6" t="s">
        <v>448</v>
      </c>
      <c r="Y42" s="6">
        <v>7</v>
      </c>
      <c r="Z42" s="6">
        <v>32</v>
      </c>
      <c r="AA42" s="6">
        <v>26</v>
      </c>
      <c r="AB42" s="6">
        <v>0</v>
      </c>
      <c r="AC42" s="6">
        <v>0</v>
      </c>
      <c r="AD42" s="6">
        <v>0</v>
      </c>
      <c r="AE42" s="6">
        <v>6</v>
      </c>
      <c r="AF42" s="6" t="b">
        <v>0</v>
      </c>
      <c r="AG42" s="6" t="b">
        <v>0</v>
      </c>
      <c r="AH42" s="6" t="b">
        <v>0</v>
      </c>
      <c r="AI42" s="6" t="b">
        <v>0</v>
      </c>
      <c r="AJ42" s="6">
        <v>0</v>
      </c>
      <c r="AK42" s="6">
        <v>0</v>
      </c>
      <c r="AL42" s="6" t="b">
        <v>0</v>
      </c>
      <c r="AM42" s="6" t="b">
        <v>0</v>
      </c>
      <c r="AN42" s="6" t="b">
        <v>0</v>
      </c>
      <c r="AO42" s="6" t="b">
        <v>0</v>
      </c>
      <c r="AP42" s="6">
        <v>0</v>
      </c>
      <c r="AQ42" s="6">
        <v>0</v>
      </c>
      <c r="AR42" s="6">
        <v>0</v>
      </c>
      <c r="AS42" s="6">
        <v>41</v>
      </c>
      <c r="AT42" s="6" t="s">
        <v>286</v>
      </c>
      <c r="AU42" s="6" t="s">
        <v>141</v>
      </c>
      <c r="AV42" s="6" t="s">
        <v>282</v>
      </c>
      <c r="AW42" s="6" t="s">
        <v>141</v>
      </c>
      <c r="AX42" s="6" t="s">
        <v>283</v>
      </c>
      <c r="AY42" s="6" t="s">
        <v>141</v>
      </c>
      <c r="AZ42" s="6" t="s">
        <v>282</v>
      </c>
      <c r="BA42" s="6" t="s">
        <v>449</v>
      </c>
      <c r="BB42" s="6">
        <v>2</v>
      </c>
      <c r="BC42" s="6">
        <v>9</v>
      </c>
      <c r="BD42" s="6">
        <v>19</v>
      </c>
      <c r="BE42" s="6">
        <v>10</v>
      </c>
      <c r="BF42" s="6" t="s">
        <v>450</v>
      </c>
      <c r="BG42" s="6">
        <v>15</v>
      </c>
      <c r="BH42" s="6">
        <v>57</v>
      </c>
      <c r="BI42" s="6">
        <v>53</v>
      </c>
      <c r="BJ42" s="6">
        <v>0</v>
      </c>
      <c r="BK42" s="6">
        <v>0</v>
      </c>
      <c r="BL42" s="6">
        <v>0</v>
      </c>
      <c r="BM42" s="6">
        <v>4</v>
      </c>
      <c r="BN42" s="6" t="b">
        <v>1</v>
      </c>
      <c r="BO42" s="6" t="b">
        <v>0</v>
      </c>
      <c r="BP42" s="6" t="b">
        <v>0</v>
      </c>
      <c r="BQ42" s="6" t="b">
        <v>0</v>
      </c>
      <c r="BR42" s="6">
        <v>0</v>
      </c>
      <c r="BS42" s="6">
        <v>0</v>
      </c>
      <c r="BT42" s="6" t="b">
        <v>0</v>
      </c>
      <c r="BU42" s="6" t="b">
        <v>0</v>
      </c>
      <c r="BV42" s="6" t="b">
        <v>0</v>
      </c>
      <c r="BW42" s="6" t="b">
        <v>0</v>
      </c>
      <c r="BX42" s="6">
        <v>0</v>
      </c>
      <c r="BY42" s="6">
        <v>0</v>
      </c>
      <c r="BZ42" s="6">
        <v>4</v>
      </c>
      <c r="CA42" s="6">
        <v>76</v>
      </c>
    </row>
    <row r="43" spans="1:79">
      <c r="A43" s="6" t="s">
        <v>280</v>
      </c>
      <c r="B43" s="6">
        <v>42</v>
      </c>
      <c r="C43" s="6">
        <v>2</v>
      </c>
      <c r="D43" s="6">
        <v>-1</v>
      </c>
      <c r="F43" s="6" t="b">
        <v>0</v>
      </c>
      <c r="G43" s="6">
        <v>3</v>
      </c>
      <c r="H43" s="6">
        <v>4</v>
      </c>
      <c r="I43" s="6">
        <v>4</v>
      </c>
      <c r="J43" s="6">
        <v>0</v>
      </c>
      <c r="K43" s="6">
        <v>1</v>
      </c>
      <c r="L43" s="6" t="s">
        <v>281</v>
      </c>
      <c r="M43" s="6" t="s">
        <v>141</v>
      </c>
      <c r="N43" s="6" t="s">
        <v>282</v>
      </c>
      <c r="O43" s="6" t="s">
        <v>153</v>
      </c>
      <c r="P43" s="6" t="s">
        <v>282</v>
      </c>
      <c r="Q43" s="6" t="s">
        <v>141</v>
      </c>
      <c r="R43" s="6" t="s">
        <v>283</v>
      </c>
      <c r="S43" s="6" t="s">
        <v>451</v>
      </c>
      <c r="T43" s="6">
        <v>0</v>
      </c>
      <c r="U43" s="6">
        <v>6</v>
      </c>
      <c r="V43" s="6">
        <v>6</v>
      </c>
      <c r="W43" s="6">
        <v>0</v>
      </c>
      <c r="X43" s="6" t="s">
        <v>452</v>
      </c>
      <c r="Y43" s="6">
        <v>6</v>
      </c>
      <c r="Z43" s="6">
        <v>28</v>
      </c>
      <c r="AA43" s="6">
        <v>24</v>
      </c>
      <c r="AB43" s="6">
        <v>0</v>
      </c>
      <c r="AC43" s="6">
        <v>0</v>
      </c>
      <c r="AD43" s="6">
        <v>0</v>
      </c>
      <c r="AE43" s="6">
        <v>4</v>
      </c>
      <c r="AF43" s="6" t="b">
        <v>0</v>
      </c>
      <c r="AG43" s="6" t="b">
        <v>0</v>
      </c>
      <c r="AH43" s="6" t="b">
        <v>0</v>
      </c>
      <c r="AI43" s="6" t="b">
        <v>0</v>
      </c>
      <c r="AJ43" s="6">
        <v>0</v>
      </c>
      <c r="AK43" s="6">
        <v>0</v>
      </c>
      <c r="AL43" s="6" t="b">
        <v>0</v>
      </c>
      <c r="AM43" s="6" t="b">
        <v>0</v>
      </c>
      <c r="AN43" s="6" t="b">
        <v>0</v>
      </c>
      <c r="AO43" s="6" t="b">
        <v>0</v>
      </c>
      <c r="AP43" s="6">
        <v>0</v>
      </c>
      <c r="AQ43" s="6">
        <v>0</v>
      </c>
      <c r="AR43" s="6">
        <v>3</v>
      </c>
      <c r="AS43" s="6">
        <v>34</v>
      </c>
      <c r="AT43" s="6" t="s">
        <v>286</v>
      </c>
      <c r="AU43" s="6" t="s">
        <v>141</v>
      </c>
      <c r="AV43" s="6" t="s">
        <v>282</v>
      </c>
      <c r="AW43" s="6" t="s">
        <v>153</v>
      </c>
      <c r="AX43" s="6" t="s">
        <v>282</v>
      </c>
      <c r="AY43" s="6" t="s">
        <v>141</v>
      </c>
      <c r="AZ43" s="6" t="s">
        <v>283</v>
      </c>
      <c r="BA43" s="6" t="s">
        <v>453</v>
      </c>
      <c r="BB43" s="6">
        <v>0</v>
      </c>
      <c r="BC43" s="6">
        <v>6</v>
      </c>
      <c r="BD43" s="6">
        <v>6</v>
      </c>
      <c r="BE43" s="6">
        <v>0</v>
      </c>
      <c r="BF43" s="6" t="s">
        <v>454</v>
      </c>
      <c r="BG43" s="6">
        <v>6</v>
      </c>
      <c r="BH43" s="6">
        <v>24</v>
      </c>
      <c r="BI43" s="6">
        <v>20</v>
      </c>
      <c r="BJ43" s="6">
        <v>0</v>
      </c>
      <c r="BK43" s="6">
        <v>0</v>
      </c>
      <c r="BL43" s="6">
        <v>0</v>
      </c>
      <c r="BM43" s="6">
        <v>4</v>
      </c>
      <c r="BN43" s="6" t="b">
        <v>0</v>
      </c>
      <c r="BO43" s="6" t="b">
        <v>0</v>
      </c>
      <c r="BP43" s="6" t="b">
        <v>0</v>
      </c>
      <c r="BQ43" s="6" t="b">
        <v>0</v>
      </c>
      <c r="BR43" s="6">
        <v>0</v>
      </c>
      <c r="BS43" s="6">
        <v>0</v>
      </c>
      <c r="BT43" s="6" t="b">
        <v>0</v>
      </c>
      <c r="BU43" s="6" t="b">
        <v>0</v>
      </c>
      <c r="BV43" s="6" t="b">
        <v>0</v>
      </c>
      <c r="BW43" s="6" t="b">
        <v>0</v>
      </c>
      <c r="BX43" s="6">
        <v>0</v>
      </c>
      <c r="BY43" s="6">
        <v>0</v>
      </c>
      <c r="BZ43" s="6">
        <v>0</v>
      </c>
      <c r="CA43" s="6">
        <v>30</v>
      </c>
    </row>
    <row r="44" spans="1:79">
      <c r="A44" s="6" t="s">
        <v>280</v>
      </c>
      <c r="B44" s="6">
        <v>43</v>
      </c>
      <c r="C44" s="6">
        <v>1</v>
      </c>
      <c r="D44" s="6">
        <v>-1</v>
      </c>
      <c r="F44" s="6" t="b">
        <v>0</v>
      </c>
      <c r="G44" s="6">
        <v>3</v>
      </c>
      <c r="H44" s="6">
        <v>4</v>
      </c>
      <c r="I44" s="6">
        <v>4</v>
      </c>
      <c r="J44" s="6">
        <v>0</v>
      </c>
      <c r="K44" s="6">
        <v>1</v>
      </c>
      <c r="L44" s="6" t="s">
        <v>281</v>
      </c>
      <c r="M44" s="6" t="s">
        <v>141</v>
      </c>
      <c r="N44" s="6" t="s">
        <v>282</v>
      </c>
      <c r="O44" s="6" t="s">
        <v>141</v>
      </c>
      <c r="P44" s="6" t="s">
        <v>283</v>
      </c>
      <c r="Q44" s="6" t="s">
        <v>141</v>
      </c>
      <c r="R44" s="6" t="s">
        <v>282</v>
      </c>
      <c r="S44" s="6" t="s">
        <v>455</v>
      </c>
      <c r="T44" s="6">
        <v>1</v>
      </c>
      <c r="U44" s="6">
        <v>9</v>
      </c>
      <c r="V44" s="6">
        <v>12</v>
      </c>
      <c r="W44" s="6">
        <v>3</v>
      </c>
      <c r="X44" s="6" t="s">
        <v>456</v>
      </c>
      <c r="Y44" s="6">
        <v>6</v>
      </c>
      <c r="Z44" s="6">
        <v>32</v>
      </c>
      <c r="AA44" s="6">
        <v>14</v>
      </c>
      <c r="AB44" s="6">
        <v>14</v>
      </c>
      <c r="AC44" s="6">
        <v>2</v>
      </c>
      <c r="AD44" s="6">
        <v>1</v>
      </c>
      <c r="AE44" s="6">
        <v>4</v>
      </c>
      <c r="AF44" s="6" t="b">
        <v>1</v>
      </c>
      <c r="AG44" s="6" t="b">
        <v>0</v>
      </c>
      <c r="AH44" s="6" t="b">
        <v>0</v>
      </c>
      <c r="AI44" s="6" t="b">
        <v>0</v>
      </c>
      <c r="AJ44" s="6">
        <v>0</v>
      </c>
      <c r="AK44" s="6">
        <v>0</v>
      </c>
      <c r="AL44" s="6" t="b">
        <v>0</v>
      </c>
      <c r="AM44" s="6" t="b">
        <v>0</v>
      </c>
      <c r="AN44" s="6" t="b">
        <v>0</v>
      </c>
      <c r="AO44" s="6" t="b">
        <v>0</v>
      </c>
      <c r="AP44" s="6">
        <v>0</v>
      </c>
      <c r="AQ44" s="6">
        <v>0</v>
      </c>
      <c r="AR44" s="6">
        <v>1</v>
      </c>
      <c r="AS44" s="6">
        <v>44</v>
      </c>
      <c r="AT44" s="6" t="s">
        <v>286</v>
      </c>
      <c r="AU44" s="6" t="s">
        <v>141</v>
      </c>
      <c r="AV44" s="6" t="s">
        <v>283</v>
      </c>
      <c r="AW44" s="6" t="s">
        <v>141</v>
      </c>
      <c r="AX44" s="6" t="s">
        <v>293</v>
      </c>
      <c r="AY44" s="6" t="s">
        <v>141</v>
      </c>
      <c r="AZ44" s="6" t="s">
        <v>293</v>
      </c>
      <c r="BA44" s="6" t="s">
        <v>457</v>
      </c>
      <c r="BB44" s="6">
        <v>2</v>
      </c>
      <c r="BC44" s="6">
        <v>9</v>
      </c>
      <c r="BD44" s="6">
        <v>23</v>
      </c>
      <c r="BE44" s="6">
        <v>14</v>
      </c>
      <c r="BF44" s="6" t="s">
        <v>458</v>
      </c>
      <c r="BG44" s="6">
        <v>12</v>
      </c>
      <c r="BH44" s="6">
        <v>91</v>
      </c>
      <c r="BI44" s="6">
        <v>51</v>
      </c>
      <c r="BJ44" s="6">
        <v>16</v>
      </c>
      <c r="BK44" s="6">
        <v>1</v>
      </c>
      <c r="BL44" s="6">
        <v>2</v>
      </c>
      <c r="BM44" s="6">
        <v>24</v>
      </c>
      <c r="BN44" s="6" t="b">
        <v>1</v>
      </c>
      <c r="BO44" s="6" t="b">
        <v>0</v>
      </c>
      <c r="BP44" s="6" t="b">
        <v>1</v>
      </c>
      <c r="BQ44" s="6" t="b">
        <v>0</v>
      </c>
      <c r="BR44" s="6">
        <v>0</v>
      </c>
      <c r="BS44" s="6">
        <v>0</v>
      </c>
      <c r="BT44" s="6" t="b">
        <v>0</v>
      </c>
      <c r="BU44" s="6" t="b">
        <v>0</v>
      </c>
      <c r="BV44" s="6" t="b">
        <v>0</v>
      </c>
      <c r="BW44" s="6" t="b">
        <v>0</v>
      </c>
      <c r="BX44" s="6">
        <v>0</v>
      </c>
      <c r="BY44" s="6">
        <v>0</v>
      </c>
      <c r="BZ44" s="6">
        <v>5</v>
      </c>
      <c r="CA44" s="6">
        <v>114</v>
      </c>
    </row>
    <row r="45" spans="1:79">
      <c r="A45" s="6" t="s">
        <v>280</v>
      </c>
      <c r="B45" s="6">
        <v>44</v>
      </c>
      <c r="C45" s="6">
        <v>2</v>
      </c>
      <c r="D45" s="6">
        <v>-1</v>
      </c>
      <c r="F45" s="6" t="b">
        <v>0</v>
      </c>
      <c r="G45" s="6">
        <v>3</v>
      </c>
      <c r="H45" s="6">
        <v>4</v>
      </c>
      <c r="I45" s="6">
        <v>4</v>
      </c>
      <c r="J45" s="6">
        <v>0</v>
      </c>
      <c r="K45" s="6">
        <v>1</v>
      </c>
      <c r="L45" s="6" t="s">
        <v>281</v>
      </c>
      <c r="M45" s="6" t="s">
        <v>141</v>
      </c>
      <c r="N45" s="6" t="s">
        <v>282</v>
      </c>
      <c r="O45" s="6" t="s">
        <v>153</v>
      </c>
      <c r="P45" s="6" t="s">
        <v>282</v>
      </c>
      <c r="Q45" s="6" t="s">
        <v>141</v>
      </c>
      <c r="R45" s="6" t="s">
        <v>283</v>
      </c>
      <c r="S45" s="6" t="s">
        <v>459</v>
      </c>
      <c r="T45" s="6">
        <v>3</v>
      </c>
      <c r="U45" s="6">
        <v>6</v>
      </c>
      <c r="V45" s="6">
        <v>27</v>
      </c>
      <c r="W45" s="6">
        <v>21</v>
      </c>
      <c r="X45" s="6" t="s">
        <v>460</v>
      </c>
      <c r="Y45" s="6">
        <v>17</v>
      </c>
      <c r="Z45" s="6">
        <v>92</v>
      </c>
      <c r="AA45" s="6">
        <v>72</v>
      </c>
      <c r="AB45" s="6">
        <v>16</v>
      </c>
      <c r="AC45" s="6">
        <v>4</v>
      </c>
      <c r="AD45" s="6">
        <v>0</v>
      </c>
      <c r="AE45" s="6">
        <v>4</v>
      </c>
      <c r="AF45" s="6" t="b">
        <v>0</v>
      </c>
      <c r="AG45" s="6" t="b">
        <v>0</v>
      </c>
      <c r="AH45" s="6" t="b">
        <v>0</v>
      </c>
      <c r="AI45" s="6" t="b">
        <v>0</v>
      </c>
      <c r="AJ45" s="6">
        <v>0</v>
      </c>
      <c r="AK45" s="6">
        <v>2</v>
      </c>
      <c r="AL45" s="6" t="b">
        <v>0</v>
      </c>
      <c r="AM45" s="6" t="b">
        <v>0</v>
      </c>
      <c r="AN45" s="6" t="b">
        <v>0</v>
      </c>
      <c r="AO45" s="6" t="b">
        <v>0</v>
      </c>
      <c r="AP45" s="6">
        <v>0</v>
      </c>
      <c r="AQ45" s="6">
        <v>6</v>
      </c>
      <c r="AR45" s="6">
        <v>3</v>
      </c>
      <c r="AS45" s="6">
        <v>125</v>
      </c>
      <c r="AT45" s="6" t="s">
        <v>286</v>
      </c>
      <c r="AU45" s="6" t="s">
        <v>141</v>
      </c>
      <c r="AV45" s="6" t="s">
        <v>282</v>
      </c>
      <c r="AW45" s="6" t="s">
        <v>141</v>
      </c>
      <c r="AX45" s="6" t="s">
        <v>282</v>
      </c>
      <c r="AY45" s="6" t="s">
        <v>141</v>
      </c>
      <c r="AZ45" s="6" t="s">
        <v>283</v>
      </c>
      <c r="BA45" s="6" t="s">
        <v>461</v>
      </c>
      <c r="BB45" s="6">
        <v>1</v>
      </c>
      <c r="BC45" s="6">
        <v>9</v>
      </c>
      <c r="BD45" s="6">
        <v>12</v>
      </c>
      <c r="BE45" s="6">
        <v>3</v>
      </c>
      <c r="BF45" s="6" t="s">
        <v>462</v>
      </c>
      <c r="BG45" s="6">
        <v>11</v>
      </c>
      <c r="BH45" s="6">
        <v>51</v>
      </c>
      <c r="BI45" s="6">
        <v>47</v>
      </c>
      <c r="BJ45" s="6">
        <v>0</v>
      </c>
      <c r="BK45" s="6">
        <v>0</v>
      </c>
      <c r="BL45" s="6">
        <v>0</v>
      </c>
      <c r="BM45" s="6">
        <v>4</v>
      </c>
      <c r="BN45" s="6" t="b">
        <v>1</v>
      </c>
      <c r="BO45" s="6" t="b">
        <v>0</v>
      </c>
      <c r="BP45" s="6" t="b">
        <v>0</v>
      </c>
      <c r="BQ45" s="6" t="b">
        <v>0</v>
      </c>
      <c r="BR45" s="6">
        <v>0</v>
      </c>
      <c r="BS45" s="6">
        <v>1</v>
      </c>
      <c r="BT45" s="6" t="b">
        <v>0</v>
      </c>
      <c r="BU45" s="6" t="b">
        <v>0</v>
      </c>
      <c r="BV45" s="6" t="b">
        <v>0</v>
      </c>
      <c r="BW45" s="6" t="b">
        <v>0</v>
      </c>
      <c r="BX45" s="6">
        <v>0</v>
      </c>
      <c r="BY45" s="6">
        <v>12</v>
      </c>
      <c r="BZ45" s="6">
        <v>1</v>
      </c>
      <c r="CA45" s="6">
        <v>75</v>
      </c>
    </row>
    <row r="46" spans="1:79">
      <c r="A46" s="6" t="s">
        <v>280</v>
      </c>
      <c r="B46" s="6">
        <v>45</v>
      </c>
      <c r="C46" s="6">
        <v>2</v>
      </c>
      <c r="D46" s="6">
        <v>-1</v>
      </c>
      <c r="F46" s="6" t="b">
        <v>0</v>
      </c>
      <c r="G46" s="6">
        <v>3</v>
      </c>
      <c r="H46" s="6">
        <v>4</v>
      </c>
      <c r="I46" s="6">
        <v>4</v>
      </c>
      <c r="J46" s="6">
        <v>0</v>
      </c>
      <c r="K46" s="6">
        <v>1</v>
      </c>
      <c r="L46" s="6" t="s">
        <v>281</v>
      </c>
      <c r="M46" s="6" t="s">
        <v>141</v>
      </c>
      <c r="N46" s="6" t="s">
        <v>293</v>
      </c>
      <c r="O46" s="6" t="s">
        <v>141</v>
      </c>
      <c r="P46" s="6" t="s">
        <v>293</v>
      </c>
      <c r="Q46" s="6" t="s">
        <v>141</v>
      </c>
      <c r="R46" s="6" t="s">
        <v>282</v>
      </c>
      <c r="S46" s="6" t="s">
        <v>463</v>
      </c>
      <c r="T46" s="6">
        <v>2</v>
      </c>
      <c r="U46" s="6">
        <v>9</v>
      </c>
      <c r="V46" s="6">
        <v>23</v>
      </c>
      <c r="W46" s="6">
        <v>14</v>
      </c>
      <c r="X46" s="6" t="s">
        <v>464</v>
      </c>
      <c r="Y46" s="6">
        <v>14</v>
      </c>
      <c r="Z46" s="6">
        <v>100</v>
      </c>
      <c r="AA46" s="6">
        <v>62</v>
      </c>
      <c r="AB46" s="6">
        <v>12</v>
      </c>
      <c r="AC46" s="6">
        <v>3</v>
      </c>
      <c r="AD46" s="6">
        <v>0</v>
      </c>
      <c r="AE46" s="6">
        <v>26</v>
      </c>
      <c r="AF46" s="6" t="b">
        <v>1</v>
      </c>
      <c r="AG46" s="6" t="b">
        <v>0</v>
      </c>
      <c r="AH46" s="6" t="b">
        <v>1</v>
      </c>
      <c r="AI46" s="6" t="b">
        <v>0</v>
      </c>
      <c r="AJ46" s="6">
        <v>0</v>
      </c>
      <c r="AK46" s="6">
        <v>0</v>
      </c>
      <c r="AL46" s="6" t="b">
        <v>0</v>
      </c>
      <c r="AM46" s="6" t="b">
        <v>0</v>
      </c>
      <c r="AN46" s="6" t="b">
        <v>0</v>
      </c>
      <c r="AO46" s="6" t="b">
        <v>0</v>
      </c>
      <c r="AP46" s="6">
        <v>0</v>
      </c>
      <c r="AQ46" s="6">
        <v>0</v>
      </c>
      <c r="AR46" s="6">
        <v>5</v>
      </c>
      <c r="AS46" s="6">
        <v>123</v>
      </c>
      <c r="AT46" s="6" t="s">
        <v>286</v>
      </c>
      <c r="AU46" s="6" t="s">
        <v>141</v>
      </c>
      <c r="AV46" s="6" t="s">
        <v>282</v>
      </c>
      <c r="AW46" s="6" t="s">
        <v>141</v>
      </c>
      <c r="AX46" s="6" t="s">
        <v>282</v>
      </c>
      <c r="AY46" s="6" t="s">
        <v>141</v>
      </c>
      <c r="AZ46" s="6" t="s">
        <v>282</v>
      </c>
      <c r="BA46" s="6" t="s">
        <v>465</v>
      </c>
      <c r="BB46" s="6">
        <v>2</v>
      </c>
      <c r="BC46" s="6">
        <v>9</v>
      </c>
      <c r="BD46" s="6">
        <v>19</v>
      </c>
      <c r="BE46" s="6">
        <v>10</v>
      </c>
      <c r="BF46" s="6" t="s">
        <v>466</v>
      </c>
      <c r="BG46" s="6">
        <v>7</v>
      </c>
      <c r="BH46" s="6">
        <v>23</v>
      </c>
      <c r="BI46" s="6">
        <v>17</v>
      </c>
      <c r="BJ46" s="6">
        <v>0</v>
      </c>
      <c r="BK46" s="6">
        <v>0</v>
      </c>
      <c r="BL46" s="6">
        <v>0</v>
      </c>
      <c r="BM46" s="6">
        <v>6</v>
      </c>
      <c r="BN46" s="6" t="b">
        <v>1</v>
      </c>
      <c r="BO46" s="6" t="b">
        <v>0</v>
      </c>
      <c r="BP46" s="6" t="b">
        <v>0</v>
      </c>
      <c r="BQ46" s="6" t="b">
        <v>0</v>
      </c>
      <c r="BR46" s="6">
        <v>0</v>
      </c>
      <c r="BS46" s="6">
        <v>0</v>
      </c>
      <c r="BT46" s="6" t="b">
        <v>0</v>
      </c>
      <c r="BU46" s="6" t="b">
        <v>0</v>
      </c>
      <c r="BV46" s="6" t="b">
        <v>0</v>
      </c>
      <c r="BW46" s="6" t="b">
        <v>0</v>
      </c>
      <c r="BX46" s="6">
        <v>0</v>
      </c>
      <c r="BY46" s="6">
        <v>0</v>
      </c>
      <c r="BZ46" s="6">
        <v>1</v>
      </c>
      <c r="CA46" s="6">
        <v>42</v>
      </c>
    </row>
    <row r="47" spans="1:79">
      <c r="A47" s="6" t="s">
        <v>280</v>
      </c>
      <c r="B47" s="6">
        <v>46</v>
      </c>
      <c r="C47" s="6">
        <v>1</v>
      </c>
      <c r="D47" s="6">
        <v>-1</v>
      </c>
      <c r="F47" s="6" t="b">
        <v>0</v>
      </c>
      <c r="G47" s="6">
        <v>3</v>
      </c>
      <c r="H47" s="6">
        <v>4</v>
      </c>
      <c r="I47" s="6">
        <v>4</v>
      </c>
      <c r="J47" s="6">
        <v>0</v>
      </c>
      <c r="K47" s="6">
        <v>1</v>
      </c>
      <c r="L47" s="6" t="s">
        <v>281</v>
      </c>
      <c r="M47" s="6" t="s">
        <v>141</v>
      </c>
      <c r="N47" s="6" t="s">
        <v>282</v>
      </c>
      <c r="O47" s="6" t="s">
        <v>141</v>
      </c>
      <c r="P47" s="6" t="s">
        <v>282</v>
      </c>
      <c r="Q47" s="6" t="s">
        <v>141</v>
      </c>
      <c r="R47" s="6" t="s">
        <v>282</v>
      </c>
      <c r="S47" s="6" t="s">
        <v>467</v>
      </c>
      <c r="T47" s="6">
        <v>0</v>
      </c>
      <c r="U47" s="6">
        <v>9</v>
      </c>
      <c r="V47" s="6">
        <v>9</v>
      </c>
      <c r="W47" s="6">
        <v>0</v>
      </c>
      <c r="X47" s="6" t="s">
        <v>468</v>
      </c>
      <c r="Y47" s="6">
        <v>10</v>
      </c>
      <c r="Z47" s="6">
        <v>56</v>
      </c>
      <c r="AA47" s="6">
        <v>38</v>
      </c>
      <c r="AB47" s="6">
        <v>12</v>
      </c>
      <c r="AC47" s="6">
        <v>0</v>
      </c>
      <c r="AD47" s="6">
        <v>2</v>
      </c>
      <c r="AE47" s="6">
        <v>6</v>
      </c>
      <c r="AF47" s="6" t="b">
        <v>0</v>
      </c>
      <c r="AG47" s="6" t="b">
        <v>0</v>
      </c>
      <c r="AH47" s="6" t="b">
        <v>0</v>
      </c>
      <c r="AI47" s="6" t="b">
        <v>1</v>
      </c>
      <c r="AJ47" s="6">
        <v>0</v>
      </c>
      <c r="AK47" s="6">
        <v>1</v>
      </c>
      <c r="AL47" s="6" t="b">
        <v>0</v>
      </c>
      <c r="AM47" s="6" t="b">
        <v>0</v>
      </c>
      <c r="AN47" s="6" t="b">
        <v>0</v>
      </c>
      <c r="AO47" s="6" t="b">
        <v>0</v>
      </c>
      <c r="AP47" s="6">
        <v>0</v>
      </c>
      <c r="AQ47" s="6">
        <v>0</v>
      </c>
      <c r="AR47" s="6">
        <v>0</v>
      </c>
      <c r="AS47" s="6">
        <v>65</v>
      </c>
      <c r="AT47" s="6" t="s">
        <v>286</v>
      </c>
      <c r="AU47" s="6" t="s">
        <v>141</v>
      </c>
      <c r="AV47" s="6" t="s">
        <v>282</v>
      </c>
      <c r="AW47" s="6" t="s">
        <v>141</v>
      </c>
      <c r="AX47" s="6" t="s">
        <v>283</v>
      </c>
      <c r="AY47" s="6" t="s">
        <v>141</v>
      </c>
      <c r="AZ47" s="6" t="s">
        <v>282</v>
      </c>
      <c r="BA47" s="6" t="s">
        <v>469</v>
      </c>
      <c r="BB47" s="6">
        <v>2</v>
      </c>
      <c r="BC47" s="6">
        <v>9</v>
      </c>
      <c r="BD47" s="6">
        <v>19</v>
      </c>
      <c r="BE47" s="6">
        <v>10</v>
      </c>
      <c r="BF47" s="6" t="s">
        <v>470</v>
      </c>
      <c r="BG47" s="6">
        <v>17</v>
      </c>
      <c r="BH47" s="6">
        <v>68</v>
      </c>
      <c r="BI47" s="6">
        <v>64</v>
      </c>
      <c r="BJ47" s="6">
        <v>0</v>
      </c>
      <c r="BK47" s="6">
        <v>0</v>
      </c>
      <c r="BL47" s="6">
        <v>0</v>
      </c>
      <c r="BM47" s="6">
        <v>4</v>
      </c>
      <c r="BN47" s="6" t="b">
        <v>1</v>
      </c>
      <c r="BO47" s="6" t="b">
        <v>0</v>
      </c>
      <c r="BP47" s="6" t="b">
        <v>0</v>
      </c>
      <c r="BQ47" s="6" t="b">
        <v>0</v>
      </c>
      <c r="BR47" s="6">
        <v>0</v>
      </c>
      <c r="BS47" s="6">
        <v>0</v>
      </c>
      <c r="BT47" s="6" t="b">
        <v>0</v>
      </c>
      <c r="BU47" s="6" t="b">
        <v>0</v>
      </c>
      <c r="BV47" s="6" t="b">
        <v>0</v>
      </c>
      <c r="BW47" s="6" t="b">
        <v>0</v>
      </c>
      <c r="BX47" s="6">
        <v>0</v>
      </c>
      <c r="BY47" s="6">
        <v>6</v>
      </c>
      <c r="BZ47" s="6">
        <v>4</v>
      </c>
      <c r="CA47" s="6">
        <v>93</v>
      </c>
    </row>
    <row r="48" spans="1:79">
      <c r="A48" s="6" t="s">
        <v>280</v>
      </c>
      <c r="B48" s="6">
        <v>47</v>
      </c>
      <c r="C48" s="6">
        <v>1</v>
      </c>
      <c r="D48" s="6">
        <v>-1</v>
      </c>
      <c r="F48" s="6" t="b">
        <v>1</v>
      </c>
      <c r="G48" s="6">
        <v>3</v>
      </c>
      <c r="H48" s="6">
        <v>4</v>
      </c>
      <c r="I48" s="6">
        <v>3</v>
      </c>
      <c r="J48" s="6">
        <v>0</v>
      </c>
      <c r="K48" s="6">
        <v>1</v>
      </c>
      <c r="L48" s="6" t="s">
        <v>281</v>
      </c>
      <c r="M48" s="6" t="s">
        <v>141</v>
      </c>
      <c r="N48" s="6" t="s">
        <v>282</v>
      </c>
      <c r="O48" s="6" t="s">
        <v>141</v>
      </c>
      <c r="P48" s="6" t="s">
        <v>282</v>
      </c>
      <c r="Q48" s="6" t="s">
        <v>141</v>
      </c>
      <c r="R48" s="6" t="s">
        <v>283</v>
      </c>
      <c r="S48" s="6" t="s">
        <v>471</v>
      </c>
      <c r="T48" s="6">
        <v>1</v>
      </c>
      <c r="U48" s="6">
        <v>9</v>
      </c>
      <c r="V48" s="6">
        <v>16</v>
      </c>
      <c r="W48" s="6">
        <v>7</v>
      </c>
      <c r="X48" s="6" t="s">
        <v>472</v>
      </c>
      <c r="Y48" s="6">
        <v>13</v>
      </c>
      <c r="Z48" s="6">
        <v>72</v>
      </c>
      <c r="AA48" s="6">
        <v>48</v>
      </c>
      <c r="AB48" s="6">
        <v>20</v>
      </c>
      <c r="AC48" s="6">
        <v>2</v>
      </c>
      <c r="AD48" s="6">
        <v>2</v>
      </c>
      <c r="AE48" s="6">
        <v>4</v>
      </c>
      <c r="AF48" s="6" t="b">
        <v>1</v>
      </c>
      <c r="AG48" s="6" t="b">
        <v>0</v>
      </c>
      <c r="AH48" s="6" t="b">
        <v>0</v>
      </c>
      <c r="AI48" s="6" t="b">
        <v>1</v>
      </c>
      <c r="AJ48" s="6">
        <v>0</v>
      </c>
      <c r="AK48" s="6">
        <v>0</v>
      </c>
      <c r="AL48" s="6" t="b">
        <v>0</v>
      </c>
      <c r="AM48" s="6" t="b">
        <v>0</v>
      </c>
      <c r="AN48" s="6" t="b">
        <v>0</v>
      </c>
      <c r="AO48" s="6" t="b">
        <v>0</v>
      </c>
      <c r="AP48" s="6">
        <v>0</v>
      </c>
      <c r="AQ48" s="6">
        <v>0</v>
      </c>
      <c r="AR48" s="6">
        <v>1</v>
      </c>
      <c r="AS48" s="6">
        <v>88</v>
      </c>
      <c r="AT48" s="6" t="s">
        <v>286</v>
      </c>
      <c r="AU48" s="6" t="s">
        <v>141</v>
      </c>
      <c r="AV48" s="6" t="s">
        <v>282</v>
      </c>
      <c r="AW48" s="6" t="s">
        <v>141</v>
      </c>
      <c r="AX48" s="6" t="s">
        <v>293</v>
      </c>
      <c r="AY48" s="6" t="s">
        <v>141</v>
      </c>
      <c r="AZ48" s="6" t="s">
        <v>283</v>
      </c>
      <c r="BA48" s="6" t="s">
        <v>473</v>
      </c>
      <c r="BB48" s="6">
        <v>1</v>
      </c>
      <c r="BC48" s="6">
        <v>9</v>
      </c>
      <c r="BD48" s="6">
        <v>16</v>
      </c>
      <c r="BE48" s="6">
        <v>7</v>
      </c>
      <c r="BF48" s="6" t="s">
        <v>474</v>
      </c>
      <c r="BG48" s="6">
        <v>16</v>
      </c>
      <c r="BH48" s="6">
        <v>97</v>
      </c>
      <c r="BI48" s="6">
        <v>63</v>
      </c>
      <c r="BJ48" s="6">
        <v>20</v>
      </c>
      <c r="BK48" s="6">
        <v>2</v>
      </c>
      <c r="BL48" s="6">
        <v>2</v>
      </c>
      <c r="BM48" s="6">
        <v>14</v>
      </c>
      <c r="BN48" s="6" t="b">
        <v>1</v>
      </c>
      <c r="BO48" s="6" t="b">
        <v>0</v>
      </c>
      <c r="BP48" s="6" t="b">
        <v>1</v>
      </c>
      <c r="BQ48" s="6" t="b">
        <v>0</v>
      </c>
      <c r="BR48" s="6">
        <v>0</v>
      </c>
      <c r="BS48" s="6">
        <v>0</v>
      </c>
      <c r="BT48" s="6" t="b">
        <v>0</v>
      </c>
      <c r="BU48" s="6" t="b">
        <v>0</v>
      </c>
      <c r="BV48" s="6" t="b">
        <v>0</v>
      </c>
      <c r="BW48" s="6" t="b">
        <v>0</v>
      </c>
      <c r="BX48" s="6">
        <v>0</v>
      </c>
      <c r="BY48" s="6">
        <v>0</v>
      </c>
      <c r="BZ48" s="6">
        <v>5</v>
      </c>
      <c r="CA48" s="6">
        <v>113</v>
      </c>
    </row>
    <row r="49" spans="1:79">
      <c r="A49" s="6" t="s">
        <v>280</v>
      </c>
      <c r="B49" s="6">
        <v>48</v>
      </c>
      <c r="C49" s="6">
        <v>1</v>
      </c>
      <c r="D49" s="6">
        <v>-1</v>
      </c>
      <c r="F49" s="6" t="b">
        <v>0</v>
      </c>
      <c r="G49" s="6">
        <v>3</v>
      </c>
      <c r="H49" s="6">
        <v>4</v>
      </c>
      <c r="I49" s="6">
        <v>4</v>
      </c>
      <c r="J49" s="6">
        <v>0</v>
      </c>
      <c r="K49" s="6">
        <v>1</v>
      </c>
      <c r="L49" s="6" t="s">
        <v>281</v>
      </c>
      <c r="M49" s="6" t="s">
        <v>141</v>
      </c>
      <c r="N49" s="6" t="s">
        <v>293</v>
      </c>
      <c r="O49" s="6" t="s">
        <v>141</v>
      </c>
      <c r="P49" s="6" t="s">
        <v>282</v>
      </c>
      <c r="Q49" s="6" t="s">
        <v>141</v>
      </c>
      <c r="R49" s="6" t="s">
        <v>282</v>
      </c>
      <c r="S49" s="6" t="s">
        <v>475</v>
      </c>
      <c r="T49" s="6">
        <v>1</v>
      </c>
      <c r="U49" s="6">
        <v>9</v>
      </c>
      <c r="V49" s="6">
        <v>12</v>
      </c>
      <c r="W49" s="6">
        <v>3</v>
      </c>
      <c r="X49" s="6" t="s">
        <v>476</v>
      </c>
      <c r="Y49" s="6">
        <v>14</v>
      </c>
      <c r="Z49" s="6">
        <v>70</v>
      </c>
      <c r="AA49" s="6">
        <v>46</v>
      </c>
      <c r="AB49" s="6">
        <v>8</v>
      </c>
      <c r="AC49" s="6">
        <v>2</v>
      </c>
      <c r="AD49" s="6">
        <v>0</v>
      </c>
      <c r="AE49" s="6">
        <v>16</v>
      </c>
      <c r="AF49" s="6" t="b">
        <v>1</v>
      </c>
      <c r="AG49" s="6" t="b">
        <v>0</v>
      </c>
      <c r="AH49" s="6" t="b">
        <v>1</v>
      </c>
      <c r="AI49" s="6" t="b">
        <v>0</v>
      </c>
      <c r="AJ49" s="6">
        <v>0</v>
      </c>
      <c r="AK49" s="6">
        <v>0</v>
      </c>
      <c r="AL49" s="6" t="b">
        <v>0</v>
      </c>
      <c r="AM49" s="6" t="b">
        <v>0</v>
      </c>
      <c r="AN49" s="6" t="b">
        <v>0</v>
      </c>
      <c r="AO49" s="6" t="b">
        <v>0</v>
      </c>
      <c r="AP49" s="6">
        <v>0</v>
      </c>
      <c r="AQ49" s="6">
        <v>0</v>
      </c>
      <c r="AR49" s="6">
        <v>2</v>
      </c>
      <c r="AS49" s="6">
        <v>82</v>
      </c>
      <c r="AT49" s="6" t="s">
        <v>286</v>
      </c>
      <c r="AU49" s="6" t="s">
        <v>141</v>
      </c>
      <c r="AV49" s="6" t="s">
        <v>282</v>
      </c>
      <c r="AW49" s="6" t="s">
        <v>141</v>
      </c>
      <c r="AX49" s="6" t="s">
        <v>283</v>
      </c>
      <c r="AY49" s="6" t="s">
        <v>141</v>
      </c>
      <c r="AZ49" s="6" t="s">
        <v>282</v>
      </c>
      <c r="BA49" s="6" t="s">
        <v>477</v>
      </c>
      <c r="BB49" s="6">
        <v>0</v>
      </c>
      <c r="BC49" s="6">
        <v>9</v>
      </c>
      <c r="BD49" s="6">
        <v>9</v>
      </c>
      <c r="BE49" s="6">
        <v>0</v>
      </c>
      <c r="BF49" s="6" t="s">
        <v>478</v>
      </c>
      <c r="BG49" s="6">
        <v>14</v>
      </c>
      <c r="BH49" s="6">
        <v>82</v>
      </c>
      <c r="BI49" s="6">
        <v>60</v>
      </c>
      <c r="BJ49" s="6">
        <v>18</v>
      </c>
      <c r="BK49" s="6">
        <v>0</v>
      </c>
      <c r="BL49" s="6">
        <v>3</v>
      </c>
      <c r="BM49" s="6">
        <v>4</v>
      </c>
      <c r="BN49" s="6" t="b">
        <v>0</v>
      </c>
      <c r="BO49" s="6" t="b">
        <v>0</v>
      </c>
      <c r="BP49" s="6" t="b">
        <v>0</v>
      </c>
      <c r="BQ49" s="6" t="b">
        <v>0</v>
      </c>
      <c r="BR49" s="6">
        <v>0</v>
      </c>
      <c r="BS49" s="6">
        <v>0</v>
      </c>
      <c r="BT49" s="6" t="b">
        <v>0</v>
      </c>
      <c r="BU49" s="6" t="b">
        <v>0</v>
      </c>
      <c r="BV49" s="6" t="b">
        <v>0</v>
      </c>
      <c r="BW49" s="6" t="b">
        <v>0</v>
      </c>
      <c r="BX49" s="6">
        <v>0</v>
      </c>
      <c r="BY49" s="6">
        <v>0</v>
      </c>
      <c r="BZ49" s="6">
        <v>3</v>
      </c>
      <c r="CA49" s="6">
        <v>91</v>
      </c>
    </row>
    <row r="50" spans="1:79">
      <c r="A50" s="6" t="s">
        <v>280</v>
      </c>
      <c r="B50" s="6">
        <v>49</v>
      </c>
      <c r="C50" s="6">
        <v>2</v>
      </c>
      <c r="D50" s="6">
        <v>-1</v>
      </c>
      <c r="F50" s="6" t="b">
        <v>1</v>
      </c>
      <c r="G50" s="6">
        <v>3</v>
      </c>
      <c r="H50" s="6">
        <v>4</v>
      </c>
      <c r="I50" s="6">
        <v>3</v>
      </c>
      <c r="J50" s="6">
        <v>0</v>
      </c>
      <c r="K50" s="6">
        <v>1</v>
      </c>
      <c r="L50" s="6" t="s">
        <v>281</v>
      </c>
      <c r="M50" s="6" t="s">
        <v>141</v>
      </c>
      <c r="N50" s="6" t="s">
        <v>282</v>
      </c>
      <c r="O50" s="6" t="s">
        <v>141</v>
      </c>
      <c r="P50" s="6" t="s">
        <v>282</v>
      </c>
      <c r="Q50" s="6" t="s">
        <v>141</v>
      </c>
      <c r="R50" s="6" t="s">
        <v>282</v>
      </c>
      <c r="S50" s="6" t="s">
        <v>479</v>
      </c>
      <c r="T50" s="6">
        <v>2</v>
      </c>
      <c r="U50" s="6">
        <v>9</v>
      </c>
      <c r="V50" s="6">
        <v>23</v>
      </c>
      <c r="W50" s="6">
        <v>14</v>
      </c>
      <c r="X50" s="6" t="s">
        <v>480</v>
      </c>
      <c r="Y50" s="6">
        <v>9</v>
      </c>
      <c r="Z50" s="6">
        <v>65</v>
      </c>
      <c r="AA50" s="6">
        <v>39</v>
      </c>
      <c r="AB50" s="6">
        <v>20</v>
      </c>
      <c r="AC50" s="6">
        <v>2</v>
      </c>
      <c r="AD50" s="6">
        <v>2</v>
      </c>
      <c r="AE50" s="6">
        <v>6</v>
      </c>
      <c r="AF50" s="6" t="b">
        <v>1</v>
      </c>
      <c r="AG50" s="6" t="b">
        <v>0</v>
      </c>
      <c r="AH50" s="6" t="b">
        <v>0</v>
      </c>
      <c r="AI50" s="6" t="b">
        <v>1</v>
      </c>
      <c r="AJ50" s="6">
        <v>0</v>
      </c>
      <c r="AK50" s="6">
        <v>0</v>
      </c>
      <c r="AL50" s="6" t="b">
        <v>0</v>
      </c>
      <c r="AM50" s="6" t="b">
        <v>0</v>
      </c>
      <c r="AN50" s="6" t="b">
        <v>0</v>
      </c>
      <c r="AO50" s="6" t="b">
        <v>0</v>
      </c>
      <c r="AP50" s="6">
        <v>0</v>
      </c>
      <c r="AQ50" s="6">
        <v>0</v>
      </c>
      <c r="AR50" s="6">
        <v>4</v>
      </c>
      <c r="AS50" s="6">
        <v>88</v>
      </c>
      <c r="AT50" s="6" t="s">
        <v>286</v>
      </c>
      <c r="AU50" s="6" t="s">
        <v>141</v>
      </c>
      <c r="AV50" s="6" t="s">
        <v>282</v>
      </c>
      <c r="AW50" s="6" t="s">
        <v>141</v>
      </c>
      <c r="AX50" s="6" t="s">
        <v>282</v>
      </c>
      <c r="AY50" s="6" t="s">
        <v>141</v>
      </c>
      <c r="AZ50" s="6" t="s">
        <v>282</v>
      </c>
      <c r="BA50" s="6" t="s">
        <v>481</v>
      </c>
      <c r="BB50" s="6">
        <v>0</v>
      </c>
      <c r="BC50" s="6">
        <v>9</v>
      </c>
      <c r="BD50" s="6">
        <v>9</v>
      </c>
      <c r="BE50" s="6">
        <v>0</v>
      </c>
      <c r="BF50" s="6" t="s">
        <v>482</v>
      </c>
      <c r="BG50" s="6">
        <v>13</v>
      </c>
      <c r="BH50" s="6">
        <v>65</v>
      </c>
      <c r="BI50" s="6">
        <v>39</v>
      </c>
      <c r="BJ50" s="6">
        <v>20</v>
      </c>
      <c r="BK50" s="6">
        <v>2</v>
      </c>
      <c r="BL50" s="6">
        <v>2</v>
      </c>
      <c r="BM50" s="6">
        <v>6</v>
      </c>
      <c r="BN50" s="6" t="b">
        <v>0</v>
      </c>
      <c r="BO50" s="6" t="b">
        <v>0</v>
      </c>
      <c r="BP50" s="6" t="b">
        <v>0</v>
      </c>
      <c r="BQ50" s="6" t="b">
        <v>0</v>
      </c>
      <c r="BR50" s="6">
        <v>0</v>
      </c>
      <c r="BS50" s="6">
        <v>0</v>
      </c>
      <c r="BT50" s="6" t="b">
        <v>0</v>
      </c>
      <c r="BU50" s="6" t="b">
        <v>0</v>
      </c>
      <c r="BV50" s="6" t="b">
        <v>0</v>
      </c>
      <c r="BW50" s="6" t="b">
        <v>0</v>
      </c>
      <c r="BX50" s="6">
        <v>0</v>
      </c>
      <c r="BY50" s="6">
        <v>0</v>
      </c>
      <c r="BZ50" s="6">
        <v>0</v>
      </c>
      <c r="CA50" s="6">
        <v>74</v>
      </c>
    </row>
    <row r="51" spans="1:79">
      <c r="A51" s="6" t="s">
        <v>280</v>
      </c>
      <c r="B51" s="6">
        <v>50</v>
      </c>
      <c r="C51" s="6">
        <v>1</v>
      </c>
      <c r="D51" s="6">
        <v>-1</v>
      </c>
      <c r="F51" s="6" t="b">
        <v>0</v>
      </c>
      <c r="G51" s="6">
        <v>3</v>
      </c>
      <c r="H51" s="6">
        <v>4</v>
      </c>
      <c r="I51" s="6">
        <v>4</v>
      </c>
      <c r="J51" s="6">
        <v>0</v>
      </c>
      <c r="K51" s="6">
        <v>1</v>
      </c>
      <c r="L51" s="6" t="s">
        <v>281</v>
      </c>
      <c r="M51" s="6" t="s">
        <v>141</v>
      </c>
      <c r="N51" s="6" t="s">
        <v>283</v>
      </c>
      <c r="O51" s="6" t="s">
        <v>141</v>
      </c>
      <c r="P51" s="6" t="s">
        <v>282</v>
      </c>
      <c r="Q51" s="6" t="s">
        <v>141</v>
      </c>
      <c r="R51" s="6" t="s">
        <v>283</v>
      </c>
      <c r="S51" s="6" t="s">
        <v>483</v>
      </c>
      <c r="T51" s="6">
        <v>1</v>
      </c>
      <c r="U51" s="6">
        <v>9</v>
      </c>
      <c r="V51" s="6">
        <v>12</v>
      </c>
      <c r="W51" s="6">
        <v>3</v>
      </c>
      <c r="X51" s="6" t="s">
        <v>484</v>
      </c>
      <c r="Y51" s="6">
        <v>8</v>
      </c>
      <c r="Z51" s="6">
        <v>19</v>
      </c>
      <c r="AA51" s="6">
        <v>17</v>
      </c>
      <c r="AB51" s="6">
        <v>0</v>
      </c>
      <c r="AC51" s="6">
        <v>0</v>
      </c>
      <c r="AD51" s="6">
        <v>0</v>
      </c>
      <c r="AE51" s="6">
        <v>2</v>
      </c>
      <c r="AF51" s="6" t="b">
        <v>1</v>
      </c>
      <c r="AG51" s="6" t="b">
        <v>0</v>
      </c>
      <c r="AH51" s="6" t="b">
        <v>0</v>
      </c>
      <c r="AI51" s="6" t="b">
        <v>0</v>
      </c>
      <c r="AJ51" s="6">
        <v>0</v>
      </c>
      <c r="AK51" s="6">
        <v>0</v>
      </c>
      <c r="AL51" s="6" t="b">
        <v>0</v>
      </c>
      <c r="AM51" s="6" t="b">
        <v>0</v>
      </c>
      <c r="AN51" s="6" t="b">
        <v>0</v>
      </c>
      <c r="AO51" s="6" t="b">
        <v>0</v>
      </c>
      <c r="AP51" s="6">
        <v>0</v>
      </c>
      <c r="AQ51" s="6">
        <v>0</v>
      </c>
      <c r="AR51" s="6">
        <v>1</v>
      </c>
      <c r="AS51" s="6">
        <v>31</v>
      </c>
      <c r="AT51" s="6" t="s">
        <v>286</v>
      </c>
      <c r="AU51" s="6" t="s">
        <v>141</v>
      </c>
      <c r="AV51" s="6" t="s">
        <v>282</v>
      </c>
      <c r="AW51" s="6" t="s">
        <v>153</v>
      </c>
      <c r="AX51" s="6" t="s">
        <v>283</v>
      </c>
      <c r="AY51" s="6" t="s">
        <v>141</v>
      </c>
      <c r="AZ51" s="6" t="s">
        <v>282</v>
      </c>
      <c r="BA51" s="6" t="s">
        <v>485</v>
      </c>
      <c r="BB51" s="6">
        <v>1</v>
      </c>
      <c r="BC51" s="6">
        <v>6</v>
      </c>
      <c r="BD51" s="6">
        <v>9</v>
      </c>
      <c r="BE51" s="6">
        <v>3</v>
      </c>
      <c r="BF51" s="6" t="s">
        <v>486</v>
      </c>
      <c r="BG51" s="6">
        <v>10</v>
      </c>
      <c r="BH51" s="6">
        <v>54</v>
      </c>
      <c r="BI51" s="6">
        <v>50</v>
      </c>
      <c r="BJ51" s="6">
        <v>0</v>
      </c>
      <c r="BK51" s="6">
        <v>0</v>
      </c>
      <c r="BL51" s="6">
        <v>0</v>
      </c>
      <c r="BM51" s="6">
        <v>4</v>
      </c>
      <c r="BN51" s="6" t="b">
        <v>1</v>
      </c>
      <c r="BO51" s="6" t="b">
        <v>0</v>
      </c>
      <c r="BP51" s="6" t="b">
        <v>0</v>
      </c>
      <c r="BQ51" s="6" t="b">
        <v>0</v>
      </c>
      <c r="BR51" s="6">
        <v>0</v>
      </c>
      <c r="BS51" s="6">
        <v>0</v>
      </c>
      <c r="BT51" s="6" t="b">
        <v>0</v>
      </c>
      <c r="BU51" s="6" t="b">
        <v>0</v>
      </c>
      <c r="BV51" s="6" t="b">
        <v>0</v>
      </c>
      <c r="BW51" s="6" t="b">
        <v>0</v>
      </c>
      <c r="BX51" s="6">
        <v>0</v>
      </c>
      <c r="BY51" s="6">
        <v>0</v>
      </c>
      <c r="BZ51" s="6">
        <v>4</v>
      </c>
      <c r="CA51" s="6">
        <v>63</v>
      </c>
    </row>
    <row r="52" spans="1:79">
      <c r="A52" s="6" t="s">
        <v>280</v>
      </c>
      <c r="B52" s="6">
        <v>51</v>
      </c>
      <c r="C52" s="6">
        <v>2</v>
      </c>
      <c r="D52" s="6">
        <v>-1</v>
      </c>
      <c r="F52" s="6" t="b">
        <v>0</v>
      </c>
      <c r="G52" s="6">
        <v>3</v>
      </c>
      <c r="H52" s="6">
        <v>4</v>
      </c>
      <c r="I52" s="6">
        <v>4</v>
      </c>
      <c r="J52" s="6">
        <v>0</v>
      </c>
      <c r="K52" s="6">
        <v>1</v>
      </c>
      <c r="L52" s="6" t="s">
        <v>281</v>
      </c>
      <c r="M52" s="6" t="s">
        <v>141</v>
      </c>
      <c r="N52" s="6" t="s">
        <v>282</v>
      </c>
      <c r="O52" s="6" t="s">
        <v>141</v>
      </c>
      <c r="P52" s="6" t="s">
        <v>282</v>
      </c>
      <c r="Q52" s="6" t="s">
        <v>141</v>
      </c>
      <c r="R52" s="6" t="s">
        <v>282</v>
      </c>
      <c r="S52" s="6" t="s">
        <v>487</v>
      </c>
      <c r="T52" s="6">
        <v>1</v>
      </c>
      <c r="U52" s="6">
        <v>9</v>
      </c>
      <c r="V52" s="6">
        <v>16</v>
      </c>
      <c r="W52" s="6">
        <v>7</v>
      </c>
      <c r="X52" s="6" t="s">
        <v>488</v>
      </c>
      <c r="Y52" s="6">
        <v>11</v>
      </c>
      <c r="Z52" s="6">
        <v>55</v>
      </c>
      <c r="AA52" s="6">
        <v>49</v>
      </c>
      <c r="AB52" s="6">
        <v>0</v>
      </c>
      <c r="AC52" s="6">
        <v>0</v>
      </c>
      <c r="AD52" s="6">
        <v>0</v>
      </c>
      <c r="AE52" s="6">
        <v>6</v>
      </c>
      <c r="AF52" s="6" t="b">
        <v>1</v>
      </c>
      <c r="AG52" s="6" t="b">
        <v>0</v>
      </c>
      <c r="AH52" s="6" t="b">
        <v>0</v>
      </c>
      <c r="AI52" s="6" t="b">
        <v>0</v>
      </c>
      <c r="AJ52" s="6">
        <v>0</v>
      </c>
      <c r="AK52" s="6">
        <v>1</v>
      </c>
      <c r="AL52" s="6" t="b">
        <v>0</v>
      </c>
      <c r="AM52" s="6" t="b">
        <v>0</v>
      </c>
      <c r="AN52" s="6" t="b">
        <v>0</v>
      </c>
      <c r="AO52" s="6" t="b">
        <v>0</v>
      </c>
      <c r="AP52" s="6">
        <v>0</v>
      </c>
      <c r="AQ52" s="6">
        <v>0</v>
      </c>
      <c r="AR52" s="6">
        <v>4</v>
      </c>
      <c r="AS52" s="6">
        <v>71</v>
      </c>
      <c r="AT52" s="6" t="s">
        <v>286</v>
      </c>
      <c r="AU52" s="6" t="s">
        <v>141</v>
      </c>
      <c r="AV52" s="6" t="s">
        <v>293</v>
      </c>
      <c r="AW52" s="6" t="s">
        <v>141</v>
      </c>
      <c r="AX52" s="6" t="s">
        <v>283</v>
      </c>
      <c r="AY52" s="6" t="s">
        <v>141</v>
      </c>
      <c r="AZ52" s="6" t="s">
        <v>282</v>
      </c>
      <c r="BA52" s="6" t="s">
        <v>489</v>
      </c>
      <c r="BB52" s="6">
        <v>1</v>
      </c>
      <c r="BC52" s="6">
        <v>9</v>
      </c>
      <c r="BD52" s="6">
        <v>12</v>
      </c>
      <c r="BE52" s="6">
        <v>3</v>
      </c>
      <c r="BF52" s="6" t="s">
        <v>490</v>
      </c>
      <c r="BG52" s="6">
        <v>11</v>
      </c>
      <c r="BH52" s="6">
        <v>51</v>
      </c>
      <c r="BI52" s="6">
        <v>37</v>
      </c>
      <c r="BJ52" s="6">
        <v>0</v>
      </c>
      <c r="BK52" s="6">
        <v>0</v>
      </c>
      <c r="BL52" s="6">
        <v>0</v>
      </c>
      <c r="BM52" s="6">
        <v>14</v>
      </c>
      <c r="BN52" s="6" t="b">
        <v>1</v>
      </c>
      <c r="BO52" s="6" t="b">
        <v>0</v>
      </c>
      <c r="BP52" s="6" t="b">
        <v>1</v>
      </c>
      <c r="BQ52" s="6" t="b">
        <v>0</v>
      </c>
      <c r="BR52" s="6">
        <v>0</v>
      </c>
      <c r="BS52" s="6">
        <v>0</v>
      </c>
      <c r="BT52" s="6" t="b">
        <v>0</v>
      </c>
      <c r="BU52" s="6" t="b">
        <v>0</v>
      </c>
      <c r="BV52" s="6" t="b">
        <v>0</v>
      </c>
      <c r="BW52" s="6" t="b">
        <v>0</v>
      </c>
      <c r="BX52" s="6">
        <v>0</v>
      </c>
      <c r="BY52" s="6">
        <v>6</v>
      </c>
      <c r="BZ52" s="6">
        <v>2</v>
      </c>
      <c r="CA52" s="6">
        <v>69</v>
      </c>
    </row>
    <row r="53" spans="1:79">
      <c r="A53" s="6" t="s">
        <v>280</v>
      </c>
      <c r="B53" s="6">
        <v>52</v>
      </c>
      <c r="C53" s="6">
        <v>2</v>
      </c>
      <c r="D53" s="6">
        <v>-1</v>
      </c>
      <c r="F53" s="6" t="b">
        <v>1</v>
      </c>
      <c r="G53" s="6">
        <v>3</v>
      </c>
      <c r="H53" s="6">
        <v>4</v>
      </c>
      <c r="I53" s="6">
        <v>3</v>
      </c>
      <c r="J53" s="6">
        <v>0</v>
      </c>
      <c r="K53" s="6">
        <v>1</v>
      </c>
      <c r="L53" s="6" t="s">
        <v>281</v>
      </c>
      <c r="M53" s="6" t="s">
        <v>141</v>
      </c>
      <c r="N53" s="6" t="s">
        <v>293</v>
      </c>
      <c r="O53" s="6" t="s">
        <v>141</v>
      </c>
      <c r="P53" s="6" t="s">
        <v>283</v>
      </c>
      <c r="Q53" s="6" t="s">
        <v>141</v>
      </c>
      <c r="R53" s="6" t="s">
        <v>293</v>
      </c>
      <c r="S53" s="6" t="s">
        <v>491</v>
      </c>
      <c r="T53" s="6">
        <v>3</v>
      </c>
      <c r="U53" s="6">
        <v>9</v>
      </c>
      <c r="V53" s="6">
        <v>30</v>
      </c>
      <c r="W53" s="6">
        <v>21</v>
      </c>
      <c r="X53" s="6" t="s">
        <v>492</v>
      </c>
      <c r="Y53" s="6">
        <v>15</v>
      </c>
      <c r="Z53" s="6">
        <v>111</v>
      </c>
      <c r="AA53" s="6">
        <v>63</v>
      </c>
      <c r="AB53" s="6">
        <v>24</v>
      </c>
      <c r="AC53" s="6">
        <v>3</v>
      </c>
      <c r="AD53" s="6">
        <v>2</v>
      </c>
      <c r="AE53" s="6">
        <v>24</v>
      </c>
      <c r="AF53" s="6" t="b">
        <v>1</v>
      </c>
      <c r="AG53" s="6" t="b">
        <v>0</v>
      </c>
      <c r="AH53" s="6" t="b">
        <v>1</v>
      </c>
      <c r="AI53" s="6" t="b">
        <v>1</v>
      </c>
      <c r="AJ53" s="6">
        <v>0</v>
      </c>
      <c r="AK53" s="6">
        <v>0</v>
      </c>
      <c r="AL53" s="6" t="b">
        <v>0</v>
      </c>
      <c r="AM53" s="6" t="b">
        <v>0</v>
      </c>
      <c r="AN53" s="6" t="b">
        <v>0</v>
      </c>
      <c r="AO53" s="6" t="b">
        <v>0</v>
      </c>
      <c r="AP53" s="6">
        <v>0</v>
      </c>
      <c r="AQ53" s="6">
        <v>0</v>
      </c>
      <c r="AR53" s="6">
        <v>5</v>
      </c>
      <c r="AS53" s="6">
        <v>141</v>
      </c>
      <c r="AT53" s="6" t="s">
        <v>286</v>
      </c>
      <c r="AU53" s="6" t="s">
        <v>141</v>
      </c>
      <c r="AV53" s="6" t="s">
        <v>282</v>
      </c>
      <c r="AW53" s="6" t="s">
        <v>153</v>
      </c>
      <c r="AX53" s="6" t="s">
        <v>283</v>
      </c>
      <c r="AY53" s="6" t="s">
        <v>141</v>
      </c>
      <c r="AZ53" s="6" t="s">
        <v>293</v>
      </c>
      <c r="BA53" s="6" t="s">
        <v>493</v>
      </c>
      <c r="BB53" s="6">
        <v>1</v>
      </c>
      <c r="BC53" s="6">
        <v>6</v>
      </c>
      <c r="BD53" s="6">
        <v>10</v>
      </c>
      <c r="BE53" s="6">
        <v>4</v>
      </c>
      <c r="BF53" s="6" t="s">
        <v>494</v>
      </c>
      <c r="BG53" s="6">
        <v>10</v>
      </c>
      <c r="BH53" s="6">
        <v>80</v>
      </c>
      <c r="BI53" s="6">
        <v>46</v>
      </c>
      <c r="BJ53" s="6">
        <v>20</v>
      </c>
      <c r="BK53" s="6">
        <v>2</v>
      </c>
      <c r="BL53" s="6">
        <v>2</v>
      </c>
      <c r="BM53" s="6">
        <v>14</v>
      </c>
      <c r="BN53" s="6" t="b">
        <v>0</v>
      </c>
      <c r="BO53" s="6" t="b">
        <v>0</v>
      </c>
      <c r="BP53" s="6" t="b">
        <v>1</v>
      </c>
      <c r="BQ53" s="6" t="b">
        <v>0</v>
      </c>
      <c r="BR53" s="6">
        <v>0</v>
      </c>
      <c r="BS53" s="6">
        <v>0</v>
      </c>
      <c r="BT53" s="6" t="b">
        <v>0</v>
      </c>
      <c r="BU53" s="6" t="b">
        <v>0</v>
      </c>
      <c r="BV53" s="6" t="b">
        <v>0</v>
      </c>
      <c r="BW53" s="6" t="b">
        <v>0</v>
      </c>
      <c r="BX53" s="6">
        <v>0</v>
      </c>
      <c r="BY53" s="6">
        <v>0</v>
      </c>
      <c r="BZ53" s="6">
        <v>1</v>
      </c>
      <c r="CA53" s="6">
        <v>90</v>
      </c>
    </row>
    <row r="54" spans="1:79">
      <c r="A54" s="6" t="s">
        <v>280</v>
      </c>
      <c r="B54" s="6">
        <v>53</v>
      </c>
      <c r="C54" s="6">
        <v>1</v>
      </c>
      <c r="D54" s="6">
        <v>-1</v>
      </c>
      <c r="F54" s="6" t="b">
        <v>0</v>
      </c>
      <c r="G54" s="6">
        <v>3</v>
      </c>
      <c r="H54" s="6">
        <v>4</v>
      </c>
      <c r="I54" s="6">
        <v>4</v>
      </c>
      <c r="J54" s="6">
        <v>0</v>
      </c>
      <c r="K54" s="6">
        <v>1</v>
      </c>
      <c r="L54" s="6" t="s">
        <v>281</v>
      </c>
      <c r="M54" s="6" t="s">
        <v>141</v>
      </c>
      <c r="N54" s="6" t="s">
        <v>282</v>
      </c>
      <c r="O54" s="6" t="s">
        <v>141</v>
      </c>
      <c r="P54" s="6" t="s">
        <v>282</v>
      </c>
      <c r="Q54" s="6" t="s">
        <v>153</v>
      </c>
      <c r="R54" s="6" t="s">
        <v>283</v>
      </c>
      <c r="S54" s="6" t="s">
        <v>495</v>
      </c>
      <c r="T54" s="6">
        <v>0</v>
      </c>
      <c r="U54" s="6">
        <v>6</v>
      </c>
      <c r="V54" s="6">
        <v>6</v>
      </c>
      <c r="W54" s="6">
        <v>0</v>
      </c>
      <c r="X54" s="6" t="s">
        <v>496</v>
      </c>
      <c r="Y54" s="6">
        <v>9</v>
      </c>
      <c r="Z54" s="6">
        <v>42</v>
      </c>
      <c r="AA54" s="6">
        <v>38</v>
      </c>
      <c r="AB54" s="6">
        <v>0</v>
      </c>
      <c r="AC54" s="6">
        <v>0</v>
      </c>
      <c r="AD54" s="6">
        <v>0</v>
      </c>
      <c r="AE54" s="6">
        <v>4</v>
      </c>
      <c r="AF54" s="6" t="b">
        <v>0</v>
      </c>
      <c r="AG54" s="6" t="b">
        <v>0</v>
      </c>
      <c r="AH54" s="6" t="b">
        <v>1</v>
      </c>
      <c r="AI54" s="6" t="b">
        <v>0</v>
      </c>
      <c r="AJ54" s="6">
        <v>0</v>
      </c>
      <c r="AK54" s="6">
        <v>0</v>
      </c>
      <c r="AL54" s="6" t="b">
        <v>0</v>
      </c>
      <c r="AM54" s="6" t="b">
        <v>0</v>
      </c>
      <c r="AN54" s="6" t="b">
        <v>0</v>
      </c>
      <c r="AO54" s="6" t="b">
        <v>0</v>
      </c>
      <c r="AP54" s="6">
        <v>0</v>
      </c>
      <c r="AQ54" s="6">
        <v>36</v>
      </c>
      <c r="AR54" s="6">
        <v>1</v>
      </c>
      <c r="AS54" s="6">
        <v>84</v>
      </c>
      <c r="AT54" s="6" t="s">
        <v>286</v>
      </c>
      <c r="AU54" s="6" t="s">
        <v>141</v>
      </c>
      <c r="AV54" s="6" t="s">
        <v>293</v>
      </c>
      <c r="AW54" s="6" t="s">
        <v>141</v>
      </c>
      <c r="AX54" s="6" t="s">
        <v>282</v>
      </c>
      <c r="AY54" s="6" t="s">
        <v>141</v>
      </c>
      <c r="AZ54" s="6" t="s">
        <v>283</v>
      </c>
      <c r="BA54" s="6" t="s">
        <v>497</v>
      </c>
      <c r="BB54" s="6">
        <v>2</v>
      </c>
      <c r="BC54" s="6">
        <v>9</v>
      </c>
      <c r="BD54" s="6">
        <v>19</v>
      </c>
      <c r="BE54" s="6">
        <v>10</v>
      </c>
      <c r="BF54" s="6" t="s">
        <v>498</v>
      </c>
      <c r="BG54" s="6">
        <v>11</v>
      </c>
      <c r="BH54" s="6">
        <v>69</v>
      </c>
      <c r="BI54" s="6">
        <v>55</v>
      </c>
      <c r="BJ54" s="6">
        <v>0</v>
      </c>
      <c r="BK54" s="6">
        <v>0</v>
      </c>
      <c r="BL54" s="6">
        <v>0</v>
      </c>
      <c r="BM54" s="6">
        <v>14</v>
      </c>
      <c r="BN54" s="6" t="b">
        <v>1</v>
      </c>
      <c r="BO54" s="6" t="b">
        <v>0</v>
      </c>
      <c r="BP54" s="6" t="b">
        <v>1</v>
      </c>
      <c r="BQ54" s="6" t="b">
        <v>0</v>
      </c>
      <c r="BR54" s="6">
        <v>0</v>
      </c>
      <c r="BS54" s="6">
        <v>6</v>
      </c>
      <c r="BT54" s="6" t="b">
        <v>0</v>
      </c>
      <c r="BU54" s="6" t="b">
        <v>0</v>
      </c>
      <c r="BV54" s="6" t="b">
        <v>0</v>
      </c>
      <c r="BW54" s="6" t="b">
        <v>1</v>
      </c>
      <c r="BX54" s="6">
        <v>0</v>
      </c>
      <c r="BY54" s="6">
        <v>0</v>
      </c>
      <c r="BZ54" s="6">
        <v>5</v>
      </c>
      <c r="CA54" s="6">
        <v>88</v>
      </c>
    </row>
    <row r="55" spans="1:79">
      <c r="A55" s="6" t="s">
        <v>280</v>
      </c>
      <c r="B55" s="6">
        <v>54</v>
      </c>
      <c r="C55" s="6">
        <v>2</v>
      </c>
      <c r="D55" s="6">
        <v>-1</v>
      </c>
      <c r="F55" s="6" t="b">
        <v>0</v>
      </c>
      <c r="G55" s="6">
        <v>3</v>
      </c>
      <c r="H55" s="6">
        <v>4</v>
      </c>
      <c r="I55" s="6">
        <v>4</v>
      </c>
      <c r="J55" s="6">
        <v>0</v>
      </c>
      <c r="K55" s="6">
        <v>1</v>
      </c>
      <c r="L55" s="6" t="s">
        <v>281</v>
      </c>
      <c r="M55" s="6" t="s">
        <v>153</v>
      </c>
      <c r="N55" s="6" t="s">
        <v>283</v>
      </c>
      <c r="O55" s="6" t="s">
        <v>141</v>
      </c>
      <c r="P55" s="6" t="s">
        <v>282</v>
      </c>
      <c r="Q55" s="6" t="s">
        <v>141</v>
      </c>
      <c r="R55" s="6" t="s">
        <v>282</v>
      </c>
      <c r="S55" s="6" t="s">
        <v>499</v>
      </c>
      <c r="T55" s="6">
        <v>1</v>
      </c>
      <c r="U55" s="6">
        <v>6</v>
      </c>
      <c r="V55" s="6">
        <v>13</v>
      </c>
      <c r="W55" s="6">
        <v>7</v>
      </c>
      <c r="X55" s="6" t="s">
        <v>500</v>
      </c>
      <c r="Y55" s="6">
        <v>8</v>
      </c>
      <c r="Z55" s="6">
        <v>50</v>
      </c>
      <c r="AA55" s="6">
        <v>40</v>
      </c>
      <c r="AB55" s="6">
        <v>6</v>
      </c>
      <c r="AC55" s="6">
        <v>0</v>
      </c>
      <c r="AD55" s="6">
        <v>1</v>
      </c>
      <c r="AE55" s="6">
        <v>4</v>
      </c>
      <c r="AF55" s="6" t="b">
        <v>1</v>
      </c>
      <c r="AG55" s="6" t="b">
        <v>0</v>
      </c>
      <c r="AH55" s="6" t="b">
        <v>0</v>
      </c>
      <c r="AI55" s="6" t="b">
        <v>0</v>
      </c>
      <c r="AJ55" s="6">
        <v>0</v>
      </c>
      <c r="AK55" s="6">
        <v>0</v>
      </c>
      <c r="AL55" s="6" t="b">
        <v>0</v>
      </c>
      <c r="AM55" s="6" t="b">
        <v>0</v>
      </c>
      <c r="AN55" s="6" t="b">
        <v>0</v>
      </c>
      <c r="AO55" s="6" t="b">
        <v>0</v>
      </c>
      <c r="AP55" s="6">
        <v>0</v>
      </c>
      <c r="AQ55" s="6">
        <v>6</v>
      </c>
      <c r="AR55" s="6">
        <v>4</v>
      </c>
      <c r="AS55" s="6">
        <v>69</v>
      </c>
      <c r="AT55" s="6" t="s">
        <v>286</v>
      </c>
      <c r="AU55" s="6" t="s">
        <v>141</v>
      </c>
      <c r="AV55" s="6" t="s">
        <v>282</v>
      </c>
      <c r="AW55" s="6" t="s">
        <v>141</v>
      </c>
      <c r="AX55" s="6" t="s">
        <v>283</v>
      </c>
      <c r="AY55" s="6" t="s">
        <v>153</v>
      </c>
      <c r="AZ55" s="6" t="s">
        <v>282</v>
      </c>
      <c r="BA55" s="6" t="s">
        <v>501</v>
      </c>
      <c r="BB55" s="6">
        <v>1</v>
      </c>
      <c r="BC55" s="6">
        <v>6</v>
      </c>
      <c r="BD55" s="6">
        <v>9</v>
      </c>
      <c r="BE55" s="6">
        <v>3</v>
      </c>
      <c r="BF55" s="6" t="s">
        <v>502</v>
      </c>
      <c r="BG55" s="6">
        <v>6</v>
      </c>
      <c r="BH55" s="6">
        <v>30</v>
      </c>
      <c r="BI55" s="6">
        <v>22</v>
      </c>
      <c r="BJ55" s="6">
        <v>4</v>
      </c>
      <c r="BK55" s="6">
        <v>1</v>
      </c>
      <c r="BL55" s="6">
        <v>0</v>
      </c>
      <c r="BM55" s="6">
        <v>4</v>
      </c>
      <c r="BN55" s="6" t="b">
        <v>0</v>
      </c>
      <c r="BO55" s="6" t="b">
        <v>0</v>
      </c>
      <c r="BP55" s="6" t="b">
        <v>0</v>
      </c>
      <c r="BQ55" s="6" t="b">
        <v>0</v>
      </c>
      <c r="BR55" s="6">
        <v>0</v>
      </c>
      <c r="BS55" s="6">
        <v>1</v>
      </c>
      <c r="BT55" s="6" t="b">
        <v>0</v>
      </c>
      <c r="BU55" s="6" t="b">
        <v>0</v>
      </c>
      <c r="BV55" s="6" t="b">
        <v>0</v>
      </c>
      <c r="BW55" s="6" t="b">
        <v>0</v>
      </c>
      <c r="BX55" s="6">
        <v>0</v>
      </c>
      <c r="BY55" s="6">
        <v>0</v>
      </c>
      <c r="BZ55" s="6">
        <v>0</v>
      </c>
      <c r="CA55" s="6">
        <v>39</v>
      </c>
    </row>
    <row r="56" spans="1:79">
      <c r="A56" s="6" t="s">
        <v>280</v>
      </c>
      <c r="B56" s="6">
        <v>55</v>
      </c>
      <c r="C56" s="6">
        <v>2</v>
      </c>
      <c r="D56" s="6">
        <v>-1</v>
      </c>
      <c r="F56" s="6" t="b">
        <v>1</v>
      </c>
      <c r="G56" s="6">
        <v>3</v>
      </c>
      <c r="H56" s="6">
        <v>4</v>
      </c>
      <c r="I56" s="6">
        <v>3</v>
      </c>
      <c r="J56" s="6">
        <v>0</v>
      </c>
      <c r="K56" s="6">
        <v>1</v>
      </c>
      <c r="L56" s="6" t="s">
        <v>281</v>
      </c>
      <c r="M56" s="6" t="s">
        <v>141</v>
      </c>
      <c r="N56" s="6" t="s">
        <v>293</v>
      </c>
      <c r="O56" s="6" t="s">
        <v>141</v>
      </c>
      <c r="P56" s="6" t="s">
        <v>293</v>
      </c>
      <c r="Q56" s="6" t="s">
        <v>141</v>
      </c>
      <c r="R56" s="6" t="s">
        <v>282</v>
      </c>
      <c r="S56" s="6" t="s">
        <v>503</v>
      </c>
      <c r="T56" s="6">
        <v>1</v>
      </c>
      <c r="U56" s="6">
        <v>9</v>
      </c>
      <c r="V56" s="6">
        <v>12</v>
      </c>
      <c r="W56" s="6">
        <v>3</v>
      </c>
      <c r="X56" s="6" t="s">
        <v>504</v>
      </c>
      <c r="Y56" s="6">
        <v>14</v>
      </c>
      <c r="Z56" s="6">
        <v>99</v>
      </c>
      <c r="AA56" s="6">
        <v>53</v>
      </c>
      <c r="AB56" s="6">
        <v>20</v>
      </c>
      <c r="AC56" s="6">
        <v>2</v>
      </c>
      <c r="AD56" s="6">
        <v>2</v>
      </c>
      <c r="AE56" s="6">
        <v>26</v>
      </c>
      <c r="AF56" s="6" t="b">
        <v>1</v>
      </c>
      <c r="AG56" s="6" t="b">
        <v>1</v>
      </c>
      <c r="AH56" s="6" t="b">
        <v>1</v>
      </c>
      <c r="AI56" s="6" t="b">
        <v>1</v>
      </c>
      <c r="AJ56" s="6">
        <v>0</v>
      </c>
      <c r="AK56" s="6">
        <v>0</v>
      </c>
      <c r="AL56" s="6" t="b">
        <v>0</v>
      </c>
      <c r="AM56" s="6" t="b">
        <v>0</v>
      </c>
      <c r="AN56" s="6" t="b">
        <v>0</v>
      </c>
      <c r="AO56" s="6" t="b">
        <v>0</v>
      </c>
      <c r="AP56" s="6">
        <v>0</v>
      </c>
      <c r="AQ56" s="6">
        <v>0</v>
      </c>
      <c r="AR56" s="6">
        <v>6</v>
      </c>
      <c r="AS56" s="6">
        <v>111</v>
      </c>
      <c r="AT56" s="6" t="s">
        <v>286</v>
      </c>
      <c r="AU56" s="6" t="s">
        <v>141</v>
      </c>
      <c r="AV56" s="6" t="s">
        <v>282</v>
      </c>
      <c r="AW56" s="6" t="s">
        <v>141</v>
      </c>
      <c r="AX56" s="6" t="s">
        <v>282</v>
      </c>
      <c r="AY56" s="6" t="s">
        <v>141</v>
      </c>
      <c r="AZ56" s="6" t="s">
        <v>282</v>
      </c>
      <c r="BA56" s="6" t="s">
        <v>505</v>
      </c>
      <c r="BB56" s="6">
        <v>0</v>
      </c>
      <c r="BC56" s="6">
        <v>9</v>
      </c>
      <c r="BD56" s="6">
        <v>9</v>
      </c>
      <c r="BE56" s="6">
        <v>0</v>
      </c>
      <c r="BF56" s="6" t="s">
        <v>506</v>
      </c>
      <c r="BG56" s="6">
        <v>18</v>
      </c>
      <c r="BH56" s="6">
        <v>82</v>
      </c>
      <c r="BI56" s="6">
        <v>56</v>
      </c>
      <c r="BJ56" s="6">
        <v>20</v>
      </c>
      <c r="BK56" s="6">
        <v>2</v>
      </c>
      <c r="BL56" s="6">
        <v>2</v>
      </c>
      <c r="BM56" s="6">
        <v>6</v>
      </c>
      <c r="BN56" s="6" t="b">
        <v>0</v>
      </c>
      <c r="BO56" s="6" t="b">
        <v>0</v>
      </c>
      <c r="BP56" s="6" t="b">
        <v>0</v>
      </c>
      <c r="BQ56" s="6" t="b">
        <v>0</v>
      </c>
      <c r="BR56" s="6">
        <v>0</v>
      </c>
      <c r="BS56" s="6">
        <v>0</v>
      </c>
      <c r="BT56" s="6" t="b">
        <v>0</v>
      </c>
      <c r="BU56" s="6" t="b">
        <v>0</v>
      </c>
      <c r="BV56" s="6" t="b">
        <v>0</v>
      </c>
      <c r="BW56" s="6" t="b">
        <v>0</v>
      </c>
      <c r="BX56" s="6">
        <v>0</v>
      </c>
      <c r="BY56" s="6">
        <v>0</v>
      </c>
      <c r="BZ56" s="6">
        <v>0</v>
      </c>
      <c r="CA56" s="6">
        <v>91</v>
      </c>
    </row>
    <row r="57" spans="1:79">
      <c r="A57" s="6" t="s">
        <v>280</v>
      </c>
      <c r="B57" s="6">
        <v>56</v>
      </c>
      <c r="C57" s="6">
        <v>2</v>
      </c>
      <c r="D57" s="6">
        <v>-1</v>
      </c>
      <c r="F57" s="6" t="b">
        <v>0</v>
      </c>
      <c r="G57" s="6">
        <v>3</v>
      </c>
      <c r="H57" s="6">
        <v>4</v>
      </c>
      <c r="I57" s="6">
        <v>4</v>
      </c>
      <c r="J57" s="6">
        <v>0</v>
      </c>
      <c r="K57" s="6">
        <v>1</v>
      </c>
      <c r="L57" s="6" t="s">
        <v>281</v>
      </c>
      <c r="M57" s="6" t="s">
        <v>141</v>
      </c>
      <c r="N57" s="6" t="s">
        <v>283</v>
      </c>
      <c r="O57" s="6" t="s">
        <v>141</v>
      </c>
      <c r="P57" s="6" t="s">
        <v>283</v>
      </c>
      <c r="Q57" s="6" t="s">
        <v>141</v>
      </c>
      <c r="R57" s="6" t="s">
        <v>282</v>
      </c>
      <c r="S57" s="6" t="s">
        <v>507</v>
      </c>
      <c r="T57" s="6">
        <v>1</v>
      </c>
      <c r="U57" s="6">
        <v>9</v>
      </c>
      <c r="V57" s="6">
        <v>16</v>
      </c>
      <c r="W57" s="6">
        <v>7</v>
      </c>
      <c r="X57" s="6" t="s">
        <v>508</v>
      </c>
      <c r="Y57" s="6">
        <v>14</v>
      </c>
      <c r="Z57" s="6">
        <v>66</v>
      </c>
      <c r="AA57" s="6">
        <v>64</v>
      </c>
      <c r="AB57" s="6">
        <v>0</v>
      </c>
      <c r="AC57" s="6">
        <v>0</v>
      </c>
      <c r="AD57" s="6">
        <v>0</v>
      </c>
      <c r="AE57" s="6">
        <v>2</v>
      </c>
      <c r="AF57" s="6" t="b">
        <v>1</v>
      </c>
      <c r="AG57" s="6" t="b">
        <v>0</v>
      </c>
      <c r="AH57" s="6" t="b">
        <v>0</v>
      </c>
      <c r="AI57" s="6" t="b">
        <v>0</v>
      </c>
      <c r="AJ57" s="6">
        <v>2</v>
      </c>
      <c r="AK57" s="6">
        <v>1</v>
      </c>
      <c r="AL57" s="6" t="b">
        <v>0</v>
      </c>
      <c r="AM57" s="6" t="b">
        <v>0</v>
      </c>
      <c r="AN57" s="6" t="b">
        <v>0</v>
      </c>
      <c r="AO57" s="6" t="b">
        <v>0</v>
      </c>
      <c r="AP57" s="6">
        <v>0</v>
      </c>
      <c r="AQ57" s="6">
        <v>6</v>
      </c>
      <c r="AR57" s="6">
        <v>4</v>
      </c>
      <c r="AS57" s="6">
        <v>88</v>
      </c>
      <c r="AT57" s="6" t="s">
        <v>286</v>
      </c>
      <c r="AU57" s="6" t="s">
        <v>141</v>
      </c>
      <c r="AV57" s="6" t="s">
        <v>282</v>
      </c>
      <c r="AW57" s="6" t="s">
        <v>141</v>
      </c>
      <c r="AX57" s="6" t="s">
        <v>283</v>
      </c>
      <c r="AY57" s="6" t="s">
        <v>141</v>
      </c>
      <c r="AZ57" s="6" t="s">
        <v>282</v>
      </c>
      <c r="BA57" s="6" t="s">
        <v>509</v>
      </c>
      <c r="BB57" s="6">
        <v>0</v>
      </c>
      <c r="BC57" s="6">
        <v>9</v>
      </c>
      <c r="BD57" s="6">
        <v>9</v>
      </c>
      <c r="BE57" s="6">
        <v>0</v>
      </c>
      <c r="BF57" s="6" t="s">
        <v>510</v>
      </c>
      <c r="BG57" s="6">
        <v>15</v>
      </c>
      <c r="BH57" s="6">
        <v>66</v>
      </c>
      <c r="BI57" s="6">
        <v>62</v>
      </c>
      <c r="BJ57" s="6">
        <v>0</v>
      </c>
      <c r="BK57" s="6">
        <v>0</v>
      </c>
      <c r="BL57" s="6">
        <v>0</v>
      </c>
      <c r="BM57" s="6">
        <v>4</v>
      </c>
      <c r="BN57" s="6" t="b">
        <v>0</v>
      </c>
      <c r="BO57" s="6" t="b">
        <v>0</v>
      </c>
      <c r="BP57" s="6" t="b">
        <v>0</v>
      </c>
      <c r="BQ57" s="6" t="b">
        <v>0</v>
      </c>
      <c r="BR57" s="6">
        <v>0</v>
      </c>
      <c r="BS57" s="6">
        <v>1</v>
      </c>
      <c r="BT57" s="6" t="b">
        <v>0</v>
      </c>
      <c r="BU57" s="6" t="b">
        <v>0</v>
      </c>
      <c r="BV57" s="6" t="b">
        <v>0</v>
      </c>
      <c r="BW57" s="6" t="b">
        <v>0</v>
      </c>
      <c r="BX57" s="6">
        <v>0</v>
      </c>
      <c r="BY57" s="6">
        <v>10</v>
      </c>
      <c r="BZ57" s="6">
        <v>0</v>
      </c>
      <c r="CA57" s="6">
        <v>85</v>
      </c>
    </row>
    <row r="58" spans="1:79">
      <c r="A58" s="6" t="s">
        <v>280</v>
      </c>
      <c r="B58" s="6">
        <v>57</v>
      </c>
      <c r="C58" s="6">
        <v>2</v>
      </c>
      <c r="D58" s="6">
        <v>-1</v>
      </c>
      <c r="F58" s="6" t="b">
        <v>0</v>
      </c>
      <c r="G58" s="6">
        <v>3</v>
      </c>
      <c r="H58" s="6">
        <v>4</v>
      </c>
      <c r="I58" s="6">
        <v>4</v>
      </c>
      <c r="J58" s="6">
        <v>0</v>
      </c>
      <c r="K58" s="6">
        <v>1</v>
      </c>
      <c r="L58" s="6" t="s">
        <v>281</v>
      </c>
      <c r="M58" s="6" t="s">
        <v>141</v>
      </c>
      <c r="N58" s="6" t="s">
        <v>282</v>
      </c>
      <c r="O58" s="6" t="s">
        <v>141</v>
      </c>
      <c r="P58" s="6" t="s">
        <v>282</v>
      </c>
      <c r="Q58" s="6" t="s">
        <v>141</v>
      </c>
      <c r="R58" s="6" t="s">
        <v>282</v>
      </c>
      <c r="S58" s="6" t="s">
        <v>511</v>
      </c>
      <c r="T58" s="6">
        <v>1</v>
      </c>
      <c r="U58" s="6">
        <v>9</v>
      </c>
      <c r="V58" s="6">
        <v>12</v>
      </c>
      <c r="W58" s="6">
        <v>3</v>
      </c>
      <c r="X58" s="6" t="s">
        <v>512</v>
      </c>
      <c r="Y58" s="6">
        <v>20</v>
      </c>
      <c r="Z58" s="6">
        <v>76</v>
      </c>
      <c r="AA58" s="6">
        <v>70</v>
      </c>
      <c r="AB58" s="6">
        <v>0</v>
      </c>
      <c r="AC58" s="6">
        <v>0</v>
      </c>
      <c r="AD58" s="6">
        <v>0</v>
      </c>
      <c r="AE58" s="6">
        <v>6</v>
      </c>
      <c r="AF58" s="6" t="b">
        <v>1</v>
      </c>
      <c r="AG58" s="6" t="b">
        <v>0</v>
      </c>
      <c r="AH58" s="6" t="b">
        <v>0</v>
      </c>
      <c r="AI58" s="6" t="b">
        <v>0</v>
      </c>
      <c r="AJ58" s="6">
        <v>4</v>
      </c>
      <c r="AK58" s="6">
        <v>0</v>
      </c>
      <c r="AL58" s="6" t="b">
        <v>0</v>
      </c>
      <c r="AM58" s="6" t="b">
        <v>0</v>
      </c>
      <c r="AN58" s="6" t="b">
        <v>0</v>
      </c>
      <c r="AO58" s="6" t="b">
        <v>0</v>
      </c>
      <c r="AP58" s="6">
        <v>0</v>
      </c>
      <c r="AQ58" s="6">
        <v>0</v>
      </c>
      <c r="AR58" s="6">
        <v>4</v>
      </c>
      <c r="AS58" s="6">
        <v>88</v>
      </c>
      <c r="AT58" s="6" t="s">
        <v>286</v>
      </c>
      <c r="AU58" s="6" t="s">
        <v>141</v>
      </c>
      <c r="AV58" s="6" t="s">
        <v>282</v>
      </c>
      <c r="AW58" s="6" t="s">
        <v>141</v>
      </c>
      <c r="AX58" s="6" t="s">
        <v>283</v>
      </c>
      <c r="AY58" s="6" t="s">
        <v>153</v>
      </c>
      <c r="AZ58" s="6" t="s">
        <v>283</v>
      </c>
      <c r="BA58" s="6" t="s">
        <v>513</v>
      </c>
      <c r="BB58" s="6">
        <v>1</v>
      </c>
      <c r="BC58" s="6">
        <v>6</v>
      </c>
      <c r="BD58" s="6">
        <v>9</v>
      </c>
      <c r="BE58" s="6">
        <v>3</v>
      </c>
      <c r="BF58" s="6" t="s">
        <v>514</v>
      </c>
      <c r="BG58" s="6">
        <v>8</v>
      </c>
      <c r="BH58" s="6">
        <v>32</v>
      </c>
      <c r="BI58" s="6">
        <v>30</v>
      </c>
      <c r="BJ58" s="6">
        <v>0</v>
      </c>
      <c r="BK58" s="6">
        <v>0</v>
      </c>
      <c r="BL58" s="6">
        <v>0</v>
      </c>
      <c r="BM58" s="6">
        <v>2</v>
      </c>
      <c r="BN58" s="6" t="b">
        <v>0</v>
      </c>
      <c r="BO58" s="6" t="b">
        <v>0</v>
      </c>
      <c r="BP58" s="6" t="b">
        <v>0</v>
      </c>
      <c r="BQ58" s="6" t="b">
        <v>0</v>
      </c>
      <c r="BR58" s="6">
        <v>0</v>
      </c>
      <c r="BS58" s="6">
        <v>0</v>
      </c>
      <c r="BT58" s="6" t="b">
        <v>0</v>
      </c>
      <c r="BU58" s="6" t="b">
        <v>0</v>
      </c>
      <c r="BV58" s="6" t="b">
        <v>0</v>
      </c>
      <c r="BW58" s="6" t="b">
        <v>0</v>
      </c>
      <c r="BX58" s="6">
        <v>0</v>
      </c>
      <c r="BY58" s="6">
        <v>8</v>
      </c>
      <c r="BZ58" s="6">
        <v>0</v>
      </c>
      <c r="CA58" s="6">
        <v>49</v>
      </c>
    </row>
    <row r="59" spans="1:79">
      <c r="A59" s="6" t="s">
        <v>280</v>
      </c>
      <c r="B59" s="6">
        <v>58</v>
      </c>
      <c r="C59" s="6">
        <v>1</v>
      </c>
      <c r="D59" s="6">
        <v>-1</v>
      </c>
      <c r="F59" s="6" t="b">
        <v>0</v>
      </c>
      <c r="G59" s="6">
        <v>3</v>
      </c>
      <c r="H59" s="6">
        <v>4</v>
      </c>
      <c r="I59" s="6">
        <v>4</v>
      </c>
      <c r="J59" s="6">
        <v>0</v>
      </c>
      <c r="K59" s="6">
        <v>1</v>
      </c>
      <c r="L59" s="6" t="s">
        <v>281</v>
      </c>
      <c r="M59" s="6" t="s">
        <v>141</v>
      </c>
      <c r="N59" s="6" t="s">
        <v>282</v>
      </c>
      <c r="O59" s="6" t="s">
        <v>141</v>
      </c>
      <c r="P59" s="6" t="s">
        <v>293</v>
      </c>
      <c r="Q59" s="6" t="s">
        <v>141</v>
      </c>
      <c r="R59" s="6" t="s">
        <v>293</v>
      </c>
      <c r="S59" s="6" t="s">
        <v>515</v>
      </c>
      <c r="T59" s="6">
        <v>4</v>
      </c>
      <c r="U59" s="6">
        <v>9</v>
      </c>
      <c r="V59" s="6">
        <v>34</v>
      </c>
      <c r="W59" s="6">
        <v>25</v>
      </c>
      <c r="X59" s="6" t="s">
        <v>516</v>
      </c>
      <c r="Y59" s="6">
        <v>5</v>
      </c>
      <c r="Z59" s="6">
        <v>61</v>
      </c>
      <c r="AA59" s="6">
        <v>25</v>
      </c>
      <c r="AB59" s="6">
        <v>10</v>
      </c>
      <c r="AC59" s="6">
        <v>1</v>
      </c>
      <c r="AD59" s="6">
        <v>1</v>
      </c>
      <c r="AE59" s="6">
        <v>26</v>
      </c>
      <c r="AF59" s="6" t="b">
        <v>1</v>
      </c>
      <c r="AG59" s="6" t="b">
        <v>0</v>
      </c>
      <c r="AH59" s="6" t="b">
        <v>1</v>
      </c>
      <c r="AI59" s="6" t="b">
        <v>0</v>
      </c>
      <c r="AJ59" s="6">
        <v>0</v>
      </c>
      <c r="AK59" s="6">
        <v>0</v>
      </c>
      <c r="AL59" s="6" t="b">
        <v>0</v>
      </c>
      <c r="AM59" s="6" t="b">
        <v>0</v>
      </c>
      <c r="AN59" s="6" t="b">
        <v>0</v>
      </c>
      <c r="AO59" s="6" t="b">
        <v>0</v>
      </c>
      <c r="AP59" s="6">
        <v>0</v>
      </c>
      <c r="AQ59" s="6">
        <v>0</v>
      </c>
      <c r="AR59" s="6">
        <v>2</v>
      </c>
      <c r="AS59" s="6">
        <v>95</v>
      </c>
      <c r="AT59" s="6" t="s">
        <v>286</v>
      </c>
      <c r="AU59" s="6" t="s">
        <v>141</v>
      </c>
      <c r="AV59" s="6" t="s">
        <v>282</v>
      </c>
      <c r="AW59" s="6" t="s">
        <v>141</v>
      </c>
      <c r="AX59" s="6" t="s">
        <v>293</v>
      </c>
      <c r="AY59" s="6" t="s">
        <v>141</v>
      </c>
      <c r="AZ59" s="6" t="s">
        <v>282</v>
      </c>
      <c r="BA59" s="6" t="s">
        <v>517</v>
      </c>
      <c r="BB59" s="6">
        <v>3</v>
      </c>
      <c r="BC59" s="6">
        <v>9</v>
      </c>
      <c r="BD59" s="6">
        <v>26</v>
      </c>
      <c r="BE59" s="6">
        <v>17</v>
      </c>
      <c r="BF59" s="6" t="s">
        <v>518</v>
      </c>
      <c r="BG59" s="6">
        <v>20</v>
      </c>
      <c r="BH59" s="6">
        <v>82</v>
      </c>
      <c r="BI59" s="6">
        <v>58</v>
      </c>
      <c r="BJ59" s="6">
        <v>8</v>
      </c>
      <c r="BK59" s="6">
        <v>2</v>
      </c>
      <c r="BL59" s="6">
        <v>0</v>
      </c>
      <c r="BM59" s="6">
        <v>16</v>
      </c>
      <c r="BN59" s="6" t="b">
        <v>1</v>
      </c>
      <c r="BO59" s="6" t="b">
        <v>0</v>
      </c>
      <c r="BP59" s="6" t="b">
        <v>1</v>
      </c>
      <c r="BQ59" s="6" t="b">
        <v>0</v>
      </c>
      <c r="BR59" s="6">
        <v>0</v>
      </c>
      <c r="BS59" s="6">
        <v>0</v>
      </c>
      <c r="BT59" s="6" t="b">
        <v>0</v>
      </c>
      <c r="BU59" s="6" t="b">
        <v>0</v>
      </c>
      <c r="BV59" s="6" t="b">
        <v>0</v>
      </c>
      <c r="BW59" s="6" t="b">
        <v>0</v>
      </c>
      <c r="BX59" s="6">
        <v>0</v>
      </c>
      <c r="BY59" s="6">
        <v>0</v>
      </c>
      <c r="BZ59" s="6">
        <v>5</v>
      </c>
      <c r="CA59" s="6">
        <v>108</v>
      </c>
    </row>
    <row r="60" spans="1:79">
      <c r="A60" s="6" t="s">
        <v>280</v>
      </c>
      <c r="B60" s="6">
        <v>59</v>
      </c>
      <c r="C60" s="6">
        <v>2</v>
      </c>
      <c r="D60" s="6">
        <v>-1</v>
      </c>
      <c r="F60" s="6" t="b">
        <v>0</v>
      </c>
      <c r="G60" s="6">
        <v>3</v>
      </c>
      <c r="H60" s="6">
        <v>4</v>
      </c>
      <c r="I60" s="6">
        <v>4</v>
      </c>
      <c r="J60" s="6">
        <v>0</v>
      </c>
      <c r="K60" s="6">
        <v>1</v>
      </c>
      <c r="L60" s="6" t="s">
        <v>281</v>
      </c>
      <c r="M60" s="6" t="s">
        <v>141</v>
      </c>
      <c r="N60" s="6" t="s">
        <v>282</v>
      </c>
      <c r="O60" s="6" t="s">
        <v>141</v>
      </c>
      <c r="P60" s="6" t="s">
        <v>283</v>
      </c>
      <c r="Q60" s="6" t="s">
        <v>141</v>
      </c>
      <c r="R60" s="6" t="s">
        <v>293</v>
      </c>
      <c r="S60" s="6" t="s">
        <v>519</v>
      </c>
      <c r="T60" s="6">
        <v>0</v>
      </c>
      <c r="U60" s="6">
        <v>9</v>
      </c>
      <c r="V60" s="6">
        <v>9</v>
      </c>
      <c r="W60" s="6">
        <v>0</v>
      </c>
      <c r="X60" s="6" t="s">
        <v>520</v>
      </c>
      <c r="Y60" s="6">
        <v>9</v>
      </c>
      <c r="Z60" s="6">
        <v>67</v>
      </c>
      <c r="AA60" s="6">
        <v>43</v>
      </c>
      <c r="AB60" s="6">
        <v>10</v>
      </c>
      <c r="AC60" s="6">
        <v>1</v>
      </c>
      <c r="AD60" s="6">
        <v>1</v>
      </c>
      <c r="AE60" s="6">
        <v>14</v>
      </c>
      <c r="AF60" s="6" t="b">
        <v>0</v>
      </c>
      <c r="AG60" s="6" t="b">
        <v>0</v>
      </c>
      <c r="AH60" s="6" t="b">
        <v>1</v>
      </c>
      <c r="AI60" s="6" t="b">
        <v>0</v>
      </c>
      <c r="AJ60" s="6">
        <v>0</v>
      </c>
      <c r="AK60" s="6">
        <v>0</v>
      </c>
      <c r="AL60" s="6" t="b">
        <v>0</v>
      </c>
      <c r="AM60" s="6" t="b">
        <v>0</v>
      </c>
      <c r="AN60" s="6" t="b">
        <v>0</v>
      </c>
      <c r="AO60" s="6" t="b">
        <v>0</v>
      </c>
      <c r="AP60" s="6">
        <v>0</v>
      </c>
      <c r="AQ60" s="6">
        <v>2</v>
      </c>
      <c r="AR60" s="6">
        <v>4</v>
      </c>
      <c r="AS60" s="6">
        <v>78</v>
      </c>
      <c r="AT60" s="6" t="s">
        <v>286</v>
      </c>
      <c r="AU60" s="6" t="s">
        <v>141</v>
      </c>
      <c r="AV60" s="6" t="s">
        <v>282</v>
      </c>
      <c r="AW60" s="6" t="s">
        <v>141</v>
      </c>
      <c r="AX60" s="6" t="s">
        <v>282</v>
      </c>
      <c r="AY60" s="6" t="s">
        <v>141</v>
      </c>
      <c r="AZ60" s="6" t="s">
        <v>293</v>
      </c>
      <c r="BA60" s="6" t="s">
        <v>521</v>
      </c>
      <c r="BB60" s="6">
        <v>0</v>
      </c>
      <c r="BC60" s="6">
        <v>9</v>
      </c>
      <c r="BD60" s="6">
        <v>9</v>
      </c>
      <c r="BE60" s="6">
        <v>0</v>
      </c>
      <c r="BF60" s="6" t="s">
        <v>522</v>
      </c>
      <c r="BG60" s="6">
        <v>7</v>
      </c>
      <c r="BH60" s="6">
        <v>57</v>
      </c>
      <c r="BI60" s="6">
        <v>35</v>
      </c>
      <c r="BJ60" s="6">
        <v>6</v>
      </c>
      <c r="BK60" s="6">
        <v>0</v>
      </c>
      <c r="BL60" s="6">
        <v>1</v>
      </c>
      <c r="BM60" s="6">
        <v>16</v>
      </c>
      <c r="BN60" s="6" t="b">
        <v>0</v>
      </c>
      <c r="BO60" s="6" t="b">
        <v>0</v>
      </c>
      <c r="BP60" s="6" t="b">
        <v>1</v>
      </c>
      <c r="BQ60" s="6" t="b">
        <v>0</v>
      </c>
      <c r="BR60" s="6">
        <v>1</v>
      </c>
      <c r="BS60" s="6">
        <v>0</v>
      </c>
      <c r="BT60" s="6" t="b">
        <v>0</v>
      </c>
      <c r="BU60" s="6" t="b">
        <v>0</v>
      </c>
      <c r="BV60" s="6" t="b">
        <v>0</v>
      </c>
      <c r="BW60" s="6" t="b">
        <v>0</v>
      </c>
      <c r="BX60" s="6">
        <v>0</v>
      </c>
      <c r="BY60" s="6">
        <v>0</v>
      </c>
      <c r="BZ60" s="6">
        <v>1</v>
      </c>
      <c r="CA60" s="6">
        <v>66</v>
      </c>
    </row>
    <row r="61" spans="1:79">
      <c r="A61" s="6" t="s">
        <v>280</v>
      </c>
      <c r="B61" s="6">
        <v>60</v>
      </c>
      <c r="C61" s="6">
        <v>1</v>
      </c>
      <c r="D61" s="6">
        <v>-1</v>
      </c>
      <c r="F61" s="6" t="b">
        <v>0</v>
      </c>
      <c r="G61" s="6">
        <v>3</v>
      </c>
      <c r="H61" s="6">
        <v>4</v>
      </c>
      <c r="I61" s="6">
        <v>4</v>
      </c>
      <c r="J61" s="6">
        <v>0</v>
      </c>
      <c r="K61" s="6">
        <v>1</v>
      </c>
      <c r="L61" s="6" t="s">
        <v>281</v>
      </c>
      <c r="M61" s="6" t="s">
        <v>141</v>
      </c>
      <c r="N61" s="6" t="s">
        <v>283</v>
      </c>
      <c r="O61" s="6" t="s">
        <v>141</v>
      </c>
      <c r="P61" s="6" t="s">
        <v>283</v>
      </c>
      <c r="Q61" s="6" t="s">
        <v>141</v>
      </c>
      <c r="R61" s="6" t="s">
        <v>283</v>
      </c>
      <c r="S61" s="6" t="s">
        <v>523</v>
      </c>
      <c r="T61" s="6">
        <v>1</v>
      </c>
      <c r="U61" s="6">
        <v>9</v>
      </c>
      <c r="V61" s="6">
        <v>12</v>
      </c>
      <c r="W61" s="6">
        <v>3</v>
      </c>
      <c r="X61" s="6" t="s">
        <v>524</v>
      </c>
      <c r="Y61" s="6">
        <v>5</v>
      </c>
      <c r="Z61" s="6">
        <v>10</v>
      </c>
      <c r="AA61" s="6">
        <v>10</v>
      </c>
      <c r="AB61" s="6">
        <v>0</v>
      </c>
      <c r="AC61" s="6">
        <v>0</v>
      </c>
      <c r="AD61" s="6">
        <v>0</v>
      </c>
      <c r="AE61" s="6">
        <v>0</v>
      </c>
      <c r="AF61" s="6" t="b">
        <v>1</v>
      </c>
      <c r="AG61" s="6" t="b">
        <v>0</v>
      </c>
      <c r="AH61" s="6" t="b">
        <v>0</v>
      </c>
      <c r="AI61" s="6" t="b">
        <v>0</v>
      </c>
      <c r="AJ61" s="6">
        <v>3</v>
      </c>
      <c r="AK61" s="6">
        <v>1</v>
      </c>
      <c r="AL61" s="6" t="b">
        <v>0</v>
      </c>
      <c r="AM61" s="6" t="b">
        <v>0</v>
      </c>
      <c r="AN61" s="6" t="b">
        <v>0</v>
      </c>
      <c r="AO61" s="6" t="b">
        <v>0</v>
      </c>
      <c r="AP61" s="6">
        <v>0</v>
      </c>
      <c r="AQ61" s="6">
        <v>0</v>
      </c>
      <c r="AR61" s="6">
        <v>1</v>
      </c>
      <c r="AS61" s="6">
        <v>22</v>
      </c>
      <c r="AT61" s="6" t="s">
        <v>286</v>
      </c>
      <c r="AU61" s="6" t="s">
        <v>153</v>
      </c>
      <c r="AV61" s="6" t="s">
        <v>282</v>
      </c>
      <c r="AW61" s="6" t="s">
        <v>141</v>
      </c>
      <c r="AX61" s="6" t="s">
        <v>293</v>
      </c>
      <c r="AY61" s="6" t="s">
        <v>141</v>
      </c>
      <c r="AZ61" s="6" t="s">
        <v>283</v>
      </c>
      <c r="BA61" s="6" t="s">
        <v>525</v>
      </c>
      <c r="BB61" s="6">
        <v>2</v>
      </c>
      <c r="BC61" s="6">
        <v>6</v>
      </c>
      <c r="BD61" s="6">
        <v>20</v>
      </c>
      <c r="BE61" s="6">
        <v>14</v>
      </c>
      <c r="BF61" s="6" t="s">
        <v>526</v>
      </c>
      <c r="BG61" s="6">
        <v>7</v>
      </c>
      <c r="BH61" s="6">
        <v>41</v>
      </c>
      <c r="BI61" s="6">
        <v>27</v>
      </c>
      <c r="BJ61" s="6">
        <v>0</v>
      </c>
      <c r="BK61" s="6">
        <v>0</v>
      </c>
      <c r="BL61" s="6">
        <v>0</v>
      </c>
      <c r="BM61" s="6">
        <v>14</v>
      </c>
      <c r="BN61" s="6" t="b">
        <v>0</v>
      </c>
      <c r="BO61" s="6" t="b">
        <v>0</v>
      </c>
      <c r="BP61" s="6" t="b">
        <v>1</v>
      </c>
      <c r="BQ61" s="6" t="b">
        <v>0</v>
      </c>
      <c r="BR61" s="6">
        <v>0</v>
      </c>
      <c r="BS61" s="6">
        <v>0</v>
      </c>
      <c r="BT61" s="6" t="b">
        <v>0</v>
      </c>
      <c r="BU61" s="6" t="b">
        <v>0</v>
      </c>
      <c r="BV61" s="6" t="b">
        <v>0</v>
      </c>
      <c r="BW61" s="6" t="b">
        <v>0</v>
      </c>
      <c r="BX61" s="6">
        <v>0</v>
      </c>
      <c r="BY61" s="6">
        <v>12</v>
      </c>
      <c r="BZ61" s="6">
        <v>4</v>
      </c>
      <c r="CA61" s="6">
        <v>73</v>
      </c>
    </row>
    <row r="62" spans="1:79">
      <c r="A62" s="6" t="s">
        <v>280</v>
      </c>
      <c r="B62" s="6">
        <v>61</v>
      </c>
      <c r="C62" s="6">
        <v>1</v>
      </c>
      <c r="D62" s="6">
        <v>-1</v>
      </c>
      <c r="F62" s="6" t="b">
        <v>0</v>
      </c>
      <c r="G62" s="6">
        <v>3</v>
      </c>
      <c r="H62" s="6">
        <v>4</v>
      </c>
      <c r="I62" s="6">
        <v>4</v>
      </c>
      <c r="J62" s="6">
        <v>0</v>
      </c>
      <c r="K62" s="6">
        <v>1</v>
      </c>
      <c r="L62" s="6" t="s">
        <v>281</v>
      </c>
      <c r="M62" s="6" t="s">
        <v>141</v>
      </c>
      <c r="N62" s="6" t="s">
        <v>283</v>
      </c>
      <c r="O62" s="6" t="s">
        <v>141</v>
      </c>
      <c r="P62" s="6" t="s">
        <v>293</v>
      </c>
      <c r="Q62" s="6" t="s">
        <v>153</v>
      </c>
      <c r="R62" s="6" t="s">
        <v>282</v>
      </c>
      <c r="S62" s="6" t="s">
        <v>527</v>
      </c>
      <c r="T62" s="6">
        <v>0</v>
      </c>
      <c r="U62" s="6">
        <v>6</v>
      </c>
      <c r="V62" s="6">
        <v>6</v>
      </c>
      <c r="W62" s="6">
        <v>0</v>
      </c>
      <c r="X62" s="6" t="s">
        <v>528</v>
      </c>
      <c r="Y62" s="6">
        <v>2</v>
      </c>
      <c r="Z62" s="6">
        <v>18</v>
      </c>
      <c r="AA62" s="6">
        <v>4</v>
      </c>
      <c r="AB62" s="6">
        <v>0</v>
      </c>
      <c r="AC62" s="6">
        <v>0</v>
      </c>
      <c r="AD62" s="6">
        <v>0</v>
      </c>
      <c r="AE62" s="6">
        <v>14</v>
      </c>
      <c r="AF62" s="6" t="b">
        <v>0</v>
      </c>
      <c r="AG62" s="6" t="b">
        <v>0</v>
      </c>
      <c r="AH62" s="6" t="b">
        <v>1</v>
      </c>
      <c r="AI62" s="6" t="b">
        <v>0</v>
      </c>
      <c r="AJ62" s="6">
        <v>0</v>
      </c>
      <c r="AK62" s="6">
        <v>1</v>
      </c>
      <c r="AL62" s="6" t="b">
        <v>0</v>
      </c>
      <c r="AM62" s="6" t="b">
        <v>0</v>
      </c>
      <c r="AN62" s="6" t="b">
        <v>0</v>
      </c>
      <c r="AO62" s="6" t="b">
        <v>0</v>
      </c>
      <c r="AP62" s="6">
        <v>0</v>
      </c>
      <c r="AQ62" s="6">
        <v>0</v>
      </c>
      <c r="AR62" s="6">
        <v>1</v>
      </c>
      <c r="AS62" s="6">
        <v>24</v>
      </c>
      <c r="AT62" s="6" t="s">
        <v>286</v>
      </c>
      <c r="AU62" s="6" t="s">
        <v>141</v>
      </c>
      <c r="AV62" s="6" t="s">
        <v>283</v>
      </c>
      <c r="AW62" s="6" t="s">
        <v>141</v>
      </c>
      <c r="AX62" s="6" t="s">
        <v>283</v>
      </c>
      <c r="AY62" s="6" t="s">
        <v>141</v>
      </c>
      <c r="AZ62" s="6" t="s">
        <v>282</v>
      </c>
      <c r="BA62" s="6" t="s">
        <v>529</v>
      </c>
      <c r="BB62" s="6">
        <v>2</v>
      </c>
      <c r="BC62" s="6">
        <v>9</v>
      </c>
      <c r="BD62" s="6">
        <v>23</v>
      </c>
      <c r="BE62" s="6">
        <v>14</v>
      </c>
      <c r="BF62" s="6" t="s">
        <v>530</v>
      </c>
      <c r="BG62" s="6">
        <v>21</v>
      </c>
      <c r="BH62" s="6">
        <v>76</v>
      </c>
      <c r="BI62" s="6">
        <v>74</v>
      </c>
      <c r="BJ62" s="6">
        <v>0</v>
      </c>
      <c r="BK62" s="6">
        <v>0</v>
      </c>
      <c r="BL62" s="6">
        <v>0</v>
      </c>
      <c r="BM62" s="6">
        <v>2</v>
      </c>
      <c r="BN62" s="6" t="b">
        <v>1</v>
      </c>
      <c r="BO62" s="6" t="b">
        <v>1</v>
      </c>
      <c r="BP62" s="6" t="b">
        <v>0</v>
      </c>
      <c r="BQ62" s="6" t="b">
        <v>0</v>
      </c>
      <c r="BR62" s="6">
        <v>0</v>
      </c>
      <c r="BS62" s="6">
        <v>0</v>
      </c>
      <c r="BT62" s="6" t="b">
        <v>0</v>
      </c>
      <c r="BU62" s="6" t="b">
        <v>0</v>
      </c>
      <c r="BV62" s="6" t="b">
        <v>0</v>
      </c>
      <c r="BW62" s="6" t="b">
        <v>0</v>
      </c>
      <c r="BX62" s="6">
        <v>0</v>
      </c>
      <c r="BY62" s="6">
        <v>6</v>
      </c>
      <c r="BZ62" s="6">
        <v>5</v>
      </c>
      <c r="CA62" s="6">
        <v>105</v>
      </c>
    </row>
    <row r="63" spans="1:79">
      <c r="A63" s="6" t="s">
        <v>280</v>
      </c>
      <c r="B63" s="6">
        <v>62</v>
      </c>
      <c r="C63" s="6">
        <v>1</v>
      </c>
      <c r="D63" s="6">
        <v>-1</v>
      </c>
      <c r="F63" s="6" t="b">
        <v>0</v>
      </c>
      <c r="G63" s="6">
        <v>3</v>
      </c>
      <c r="H63" s="6">
        <v>4</v>
      </c>
      <c r="I63" s="6">
        <v>4</v>
      </c>
      <c r="J63" s="6">
        <v>0</v>
      </c>
      <c r="K63" s="6">
        <v>1</v>
      </c>
      <c r="L63" s="6" t="s">
        <v>281</v>
      </c>
      <c r="M63" s="6" t="s">
        <v>141</v>
      </c>
      <c r="N63" s="6" t="s">
        <v>282</v>
      </c>
      <c r="O63" s="6" t="s">
        <v>141</v>
      </c>
      <c r="P63" s="6" t="s">
        <v>282</v>
      </c>
      <c r="Q63" s="6" t="s">
        <v>141</v>
      </c>
      <c r="R63" s="6" t="s">
        <v>283</v>
      </c>
      <c r="S63" s="6" t="s">
        <v>531</v>
      </c>
      <c r="T63" s="6">
        <v>1</v>
      </c>
      <c r="U63" s="6">
        <v>9</v>
      </c>
      <c r="V63" s="6">
        <v>12</v>
      </c>
      <c r="W63" s="6">
        <v>3</v>
      </c>
      <c r="X63" s="6" t="s">
        <v>532</v>
      </c>
      <c r="Y63" s="6">
        <v>10</v>
      </c>
      <c r="Z63" s="6">
        <v>42</v>
      </c>
      <c r="AA63" s="6">
        <v>38</v>
      </c>
      <c r="AB63" s="6">
        <v>0</v>
      </c>
      <c r="AC63" s="6">
        <v>0</v>
      </c>
      <c r="AD63" s="6">
        <v>0</v>
      </c>
      <c r="AE63" s="6">
        <v>4</v>
      </c>
      <c r="AF63" s="6" t="b">
        <v>1</v>
      </c>
      <c r="AG63" s="6" t="b">
        <v>0</v>
      </c>
      <c r="AH63" s="6" t="b">
        <v>0</v>
      </c>
      <c r="AI63" s="6" t="b">
        <v>0</v>
      </c>
      <c r="AJ63" s="6">
        <v>0</v>
      </c>
      <c r="AK63" s="6">
        <v>0</v>
      </c>
      <c r="AL63" s="6" t="b">
        <v>0</v>
      </c>
      <c r="AM63" s="6" t="b">
        <v>0</v>
      </c>
      <c r="AN63" s="6" t="b">
        <v>0</v>
      </c>
      <c r="AO63" s="6" t="b">
        <v>0</v>
      </c>
      <c r="AP63" s="6">
        <v>0</v>
      </c>
      <c r="AQ63" s="6">
        <v>18</v>
      </c>
      <c r="AR63" s="6">
        <v>1</v>
      </c>
      <c r="AS63" s="6">
        <v>72</v>
      </c>
      <c r="AT63" s="6" t="s">
        <v>286</v>
      </c>
      <c r="AU63" s="6" t="s">
        <v>141</v>
      </c>
      <c r="AV63" s="6" t="s">
        <v>282</v>
      </c>
      <c r="AW63" s="6" t="s">
        <v>141</v>
      </c>
      <c r="AX63" s="6" t="s">
        <v>293</v>
      </c>
      <c r="AY63" s="6" t="s">
        <v>141</v>
      </c>
      <c r="AZ63" s="6" t="s">
        <v>283</v>
      </c>
      <c r="BA63" s="6" t="s">
        <v>533</v>
      </c>
      <c r="BB63" s="6">
        <v>1</v>
      </c>
      <c r="BC63" s="6">
        <v>9</v>
      </c>
      <c r="BD63" s="6">
        <v>16</v>
      </c>
      <c r="BE63" s="6">
        <v>7</v>
      </c>
      <c r="BF63" s="6" t="s">
        <v>534</v>
      </c>
      <c r="BG63" s="6">
        <v>15</v>
      </c>
      <c r="BH63" s="6">
        <v>83</v>
      </c>
      <c r="BI63" s="6">
        <v>61</v>
      </c>
      <c r="BJ63" s="6">
        <v>8</v>
      </c>
      <c r="BK63" s="6">
        <v>2</v>
      </c>
      <c r="BL63" s="6">
        <v>0</v>
      </c>
      <c r="BM63" s="6">
        <v>14</v>
      </c>
      <c r="BN63" s="6" t="b">
        <v>1</v>
      </c>
      <c r="BO63" s="6" t="b">
        <v>0</v>
      </c>
      <c r="BP63" s="6" t="b">
        <v>1</v>
      </c>
      <c r="BQ63" s="6" t="b">
        <v>0</v>
      </c>
      <c r="BR63" s="6">
        <v>0</v>
      </c>
      <c r="BS63" s="6">
        <v>3</v>
      </c>
      <c r="BT63" s="6" t="b">
        <v>0</v>
      </c>
      <c r="BU63" s="6" t="b">
        <v>0</v>
      </c>
      <c r="BV63" s="6" t="b">
        <v>0</v>
      </c>
      <c r="BW63" s="6" t="b">
        <v>0</v>
      </c>
      <c r="BX63" s="6">
        <v>0</v>
      </c>
      <c r="BY63" s="6">
        <v>0</v>
      </c>
      <c r="BZ63" s="6">
        <v>5</v>
      </c>
      <c r="CA63" s="6">
        <v>99</v>
      </c>
    </row>
    <row r="64" spans="1:79">
      <c r="A64" s="6" t="s">
        <v>280</v>
      </c>
      <c r="B64" s="6">
        <v>63</v>
      </c>
      <c r="C64" s="6">
        <v>2</v>
      </c>
      <c r="D64" s="6">
        <v>-1</v>
      </c>
      <c r="F64" s="6" t="b">
        <v>1</v>
      </c>
      <c r="G64" s="6">
        <v>3</v>
      </c>
      <c r="H64" s="6">
        <v>4</v>
      </c>
      <c r="I64" s="6">
        <v>3</v>
      </c>
      <c r="J64" s="6">
        <v>0</v>
      </c>
      <c r="K64" s="6">
        <v>1</v>
      </c>
      <c r="L64" s="6" t="s">
        <v>281</v>
      </c>
      <c r="M64" s="6" t="s">
        <v>141</v>
      </c>
      <c r="N64" s="6" t="s">
        <v>283</v>
      </c>
      <c r="O64" s="6" t="s">
        <v>141</v>
      </c>
      <c r="P64" s="6" t="s">
        <v>293</v>
      </c>
      <c r="Q64" s="6" t="s">
        <v>141</v>
      </c>
      <c r="R64" s="6" t="s">
        <v>282</v>
      </c>
      <c r="S64" s="6" t="s">
        <v>535</v>
      </c>
      <c r="T64" s="6">
        <v>2</v>
      </c>
      <c r="U64" s="6">
        <v>9</v>
      </c>
      <c r="V64" s="6">
        <v>19</v>
      </c>
      <c r="W64" s="6">
        <v>10</v>
      </c>
      <c r="X64" s="6" t="s">
        <v>536</v>
      </c>
      <c r="Y64" s="6">
        <v>11</v>
      </c>
      <c r="Z64" s="6">
        <v>70</v>
      </c>
      <c r="AA64" s="6">
        <v>36</v>
      </c>
      <c r="AB64" s="6">
        <v>20</v>
      </c>
      <c r="AC64" s="6">
        <v>2</v>
      </c>
      <c r="AD64" s="6">
        <v>2</v>
      </c>
      <c r="AE64" s="6">
        <v>14</v>
      </c>
      <c r="AF64" s="6" t="b">
        <v>1</v>
      </c>
      <c r="AG64" s="6" t="b">
        <v>0</v>
      </c>
      <c r="AH64" s="6" t="b">
        <v>1</v>
      </c>
      <c r="AI64" s="6" t="b">
        <v>1</v>
      </c>
      <c r="AJ64" s="6">
        <v>0</v>
      </c>
      <c r="AK64" s="6">
        <v>0</v>
      </c>
      <c r="AL64" s="6" t="b">
        <v>0</v>
      </c>
      <c r="AM64" s="6" t="b">
        <v>0</v>
      </c>
      <c r="AN64" s="6" t="b">
        <v>0</v>
      </c>
      <c r="AO64" s="6" t="b">
        <v>0</v>
      </c>
      <c r="AP64" s="6">
        <v>0</v>
      </c>
      <c r="AQ64" s="6">
        <v>6</v>
      </c>
      <c r="AR64" s="6">
        <v>5</v>
      </c>
      <c r="AS64" s="6">
        <v>95</v>
      </c>
      <c r="AT64" s="6" t="s">
        <v>286</v>
      </c>
      <c r="AU64" s="6" t="s">
        <v>141</v>
      </c>
      <c r="AV64" s="6" t="s">
        <v>283</v>
      </c>
      <c r="AW64" s="6" t="s">
        <v>141</v>
      </c>
      <c r="AX64" s="6" t="s">
        <v>378</v>
      </c>
      <c r="AY64" s="6" t="s">
        <v>141</v>
      </c>
      <c r="AZ64" s="6" t="s">
        <v>282</v>
      </c>
      <c r="BA64" s="6" t="s">
        <v>537</v>
      </c>
      <c r="BB64" s="6">
        <v>1</v>
      </c>
      <c r="BC64" s="6">
        <v>9</v>
      </c>
      <c r="BD64" s="6">
        <v>12</v>
      </c>
      <c r="BE64" s="6">
        <v>3</v>
      </c>
      <c r="BF64" s="6" t="s">
        <v>538</v>
      </c>
      <c r="BG64" s="6">
        <v>4</v>
      </c>
      <c r="BH64" s="6">
        <v>42</v>
      </c>
      <c r="BI64" s="6">
        <v>14</v>
      </c>
      <c r="BJ64" s="6">
        <v>20</v>
      </c>
      <c r="BK64" s="6">
        <v>2</v>
      </c>
      <c r="BL64" s="6">
        <v>2</v>
      </c>
      <c r="BM64" s="6">
        <v>8</v>
      </c>
      <c r="BN64" s="6" t="b">
        <v>1</v>
      </c>
      <c r="BO64" s="6" t="b">
        <v>0</v>
      </c>
      <c r="BP64" s="6" t="b">
        <v>0</v>
      </c>
      <c r="BQ64" s="6" t="b">
        <v>0</v>
      </c>
      <c r="BR64" s="6">
        <v>0</v>
      </c>
      <c r="BS64" s="6">
        <v>1</v>
      </c>
      <c r="BT64" s="6" t="b">
        <v>0</v>
      </c>
      <c r="BU64" s="6" t="b">
        <v>0</v>
      </c>
      <c r="BV64" s="6" t="b">
        <v>0</v>
      </c>
      <c r="BW64" s="6" t="b">
        <v>0</v>
      </c>
      <c r="BX64" s="6">
        <v>0</v>
      </c>
      <c r="BY64" s="6">
        <v>0</v>
      </c>
      <c r="BZ64" s="6">
        <v>1</v>
      </c>
      <c r="CA64" s="6">
        <v>54</v>
      </c>
    </row>
    <row r="65" spans="1:79">
      <c r="A65" s="6" t="s">
        <v>280</v>
      </c>
      <c r="B65" s="6">
        <v>64</v>
      </c>
      <c r="C65" s="6">
        <v>2</v>
      </c>
      <c r="D65" s="6">
        <v>-1</v>
      </c>
      <c r="F65" s="6" t="b">
        <v>0</v>
      </c>
      <c r="G65" s="6">
        <v>3</v>
      </c>
      <c r="H65" s="6">
        <v>4</v>
      </c>
      <c r="I65" s="6">
        <v>4</v>
      </c>
      <c r="J65" s="6">
        <v>0</v>
      </c>
      <c r="K65" s="6">
        <v>1</v>
      </c>
      <c r="L65" s="6" t="s">
        <v>281</v>
      </c>
      <c r="M65" s="6" t="s">
        <v>153</v>
      </c>
      <c r="N65" s="6" t="s">
        <v>282</v>
      </c>
      <c r="O65" s="6" t="s">
        <v>141</v>
      </c>
      <c r="P65" s="6" t="s">
        <v>283</v>
      </c>
      <c r="Q65" s="6" t="s">
        <v>141</v>
      </c>
      <c r="R65" s="6" t="s">
        <v>282</v>
      </c>
      <c r="S65" s="6" t="s">
        <v>539</v>
      </c>
      <c r="T65" s="6">
        <v>0</v>
      </c>
      <c r="U65" s="6">
        <v>6</v>
      </c>
      <c r="V65" s="6">
        <v>6</v>
      </c>
      <c r="W65" s="6">
        <v>0</v>
      </c>
      <c r="X65" s="6" t="s">
        <v>540</v>
      </c>
      <c r="Y65" s="6">
        <v>15</v>
      </c>
      <c r="Z65" s="6">
        <v>78</v>
      </c>
      <c r="AA65" s="6">
        <v>68</v>
      </c>
      <c r="AB65" s="6">
        <v>6</v>
      </c>
      <c r="AC65" s="6">
        <v>0</v>
      </c>
      <c r="AD65" s="6">
        <v>1</v>
      </c>
      <c r="AE65" s="6">
        <v>4</v>
      </c>
      <c r="AF65" s="6" t="b">
        <v>0</v>
      </c>
      <c r="AG65" s="6" t="b">
        <v>0</v>
      </c>
      <c r="AH65" s="6" t="b">
        <v>1</v>
      </c>
      <c r="AI65" s="6" t="b">
        <v>0</v>
      </c>
      <c r="AJ65" s="6">
        <v>0</v>
      </c>
      <c r="AK65" s="6">
        <v>0</v>
      </c>
      <c r="AL65" s="6" t="b">
        <v>0</v>
      </c>
      <c r="AM65" s="6" t="b">
        <v>0</v>
      </c>
      <c r="AN65" s="6" t="b">
        <v>0</v>
      </c>
      <c r="AO65" s="6" t="b">
        <v>0</v>
      </c>
      <c r="AP65" s="6">
        <v>0</v>
      </c>
      <c r="AQ65" s="6">
        <v>18</v>
      </c>
      <c r="AR65" s="6">
        <v>4</v>
      </c>
      <c r="AS65" s="6">
        <v>102</v>
      </c>
      <c r="AT65" s="6" t="s">
        <v>286</v>
      </c>
      <c r="AU65" s="6" t="s">
        <v>153</v>
      </c>
      <c r="AV65" s="6" t="s">
        <v>282</v>
      </c>
      <c r="AW65" s="6" t="s">
        <v>141</v>
      </c>
      <c r="AX65" s="6" t="s">
        <v>283</v>
      </c>
      <c r="AY65" s="6" t="s">
        <v>141</v>
      </c>
      <c r="AZ65" s="6" t="s">
        <v>293</v>
      </c>
      <c r="BA65" s="6" t="s">
        <v>541</v>
      </c>
      <c r="BB65" s="6">
        <v>3</v>
      </c>
      <c r="BC65" s="6">
        <v>6</v>
      </c>
      <c r="BD65" s="6">
        <v>17</v>
      </c>
      <c r="BE65" s="6">
        <v>11</v>
      </c>
      <c r="BF65" s="6" t="s">
        <v>542</v>
      </c>
      <c r="BG65" s="6">
        <v>11</v>
      </c>
      <c r="BH65" s="6">
        <v>69</v>
      </c>
      <c r="BI65" s="6">
        <v>39</v>
      </c>
      <c r="BJ65" s="6">
        <v>16</v>
      </c>
      <c r="BK65" s="6">
        <v>1</v>
      </c>
      <c r="BL65" s="6">
        <v>2</v>
      </c>
      <c r="BM65" s="6">
        <v>14</v>
      </c>
      <c r="BN65" s="6" t="b">
        <v>0</v>
      </c>
      <c r="BO65" s="6" t="b">
        <v>0</v>
      </c>
      <c r="BP65" s="6" t="b">
        <v>1</v>
      </c>
      <c r="BQ65" s="6" t="b">
        <v>0</v>
      </c>
      <c r="BR65" s="6">
        <v>0</v>
      </c>
      <c r="BS65" s="6">
        <v>3</v>
      </c>
      <c r="BT65" s="6" t="b">
        <v>0</v>
      </c>
      <c r="BU65" s="6" t="b">
        <v>0</v>
      </c>
      <c r="BV65" s="6" t="b">
        <v>1</v>
      </c>
      <c r="BW65" s="6" t="b">
        <v>0</v>
      </c>
      <c r="BX65" s="6">
        <v>0</v>
      </c>
      <c r="BY65" s="6">
        <v>0</v>
      </c>
      <c r="BZ65" s="6">
        <v>1</v>
      </c>
      <c r="CA65" s="6">
        <v>86</v>
      </c>
    </row>
    <row r="66" spans="1:79">
      <c r="A66" s="6" t="s">
        <v>280</v>
      </c>
      <c r="B66" s="6">
        <v>65</v>
      </c>
      <c r="C66" s="6">
        <v>1</v>
      </c>
      <c r="D66" s="6">
        <v>-1</v>
      </c>
      <c r="F66" s="6" t="b">
        <v>1</v>
      </c>
      <c r="G66" s="6">
        <v>3</v>
      </c>
      <c r="H66" s="6">
        <v>4</v>
      </c>
      <c r="I66" s="6">
        <v>3</v>
      </c>
      <c r="J66" s="6">
        <v>0</v>
      </c>
      <c r="K66" s="6">
        <v>1</v>
      </c>
      <c r="L66" s="6" t="s">
        <v>281</v>
      </c>
      <c r="M66" s="6" t="s">
        <v>141</v>
      </c>
      <c r="N66" s="6" t="s">
        <v>282</v>
      </c>
      <c r="O66" s="6" t="s">
        <v>141</v>
      </c>
      <c r="P66" s="6" t="s">
        <v>283</v>
      </c>
      <c r="Q66" s="6" t="s">
        <v>141</v>
      </c>
      <c r="R66" s="6" t="s">
        <v>283</v>
      </c>
      <c r="S66" s="6" t="s">
        <v>543</v>
      </c>
      <c r="T66" s="6">
        <v>1</v>
      </c>
      <c r="U66" s="6">
        <v>9</v>
      </c>
      <c r="V66" s="6">
        <v>16</v>
      </c>
      <c r="W66" s="6">
        <v>7</v>
      </c>
      <c r="X66" s="6" t="s">
        <v>544</v>
      </c>
      <c r="Y66" s="6">
        <v>16</v>
      </c>
      <c r="Z66" s="6">
        <v>97</v>
      </c>
      <c r="AA66" s="6">
        <v>67</v>
      </c>
      <c r="AB66" s="6">
        <v>28</v>
      </c>
      <c r="AC66" s="6">
        <v>1</v>
      </c>
      <c r="AD66" s="6">
        <v>4</v>
      </c>
      <c r="AE66" s="6">
        <v>2</v>
      </c>
      <c r="AF66" s="6" t="b">
        <v>1</v>
      </c>
      <c r="AG66" s="6" t="b">
        <v>0</v>
      </c>
      <c r="AH66" s="6" t="b">
        <v>0</v>
      </c>
      <c r="AI66" s="6" t="b">
        <v>1</v>
      </c>
      <c r="AJ66" s="6">
        <v>0</v>
      </c>
      <c r="AK66" s="6">
        <v>0</v>
      </c>
      <c r="AL66" s="6" t="b">
        <v>0</v>
      </c>
      <c r="AM66" s="6" t="b">
        <v>0</v>
      </c>
      <c r="AN66" s="6" t="b">
        <v>0</v>
      </c>
      <c r="AO66" s="6" t="b">
        <v>0</v>
      </c>
      <c r="AP66" s="6">
        <v>0</v>
      </c>
      <c r="AQ66" s="6">
        <v>0</v>
      </c>
      <c r="AR66" s="6">
        <v>1</v>
      </c>
      <c r="AS66" s="6">
        <v>113</v>
      </c>
      <c r="AT66" s="6" t="s">
        <v>286</v>
      </c>
      <c r="AU66" s="6" t="s">
        <v>141</v>
      </c>
      <c r="AV66" s="6" t="s">
        <v>282</v>
      </c>
      <c r="AW66" s="6" t="s">
        <v>141</v>
      </c>
      <c r="AX66" s="6" t="s">
        <v>293</v>
      </c>
      <c r="AY66" s="6" t="s">
        <v>141</v>
      </c>
      <c r="AZ66" s="6" t="s">
        <v>282</v>
      </c>
      <c r="BA66" s="6" t="s">
        <v>545</v>
      </c>
      <c r="BB66" s="6">
        <v>3</v>
      </c>
      <c r="BC66" s="6">
        <v>9</v>
      </c>
      <c r="BD66" s="6">
        <v>30</v>
      </c>
      <c r="BE66" s="6">
        <v>21</v>
      </c>
      <c r="BF66" s="6" t="s">
        <v>546</v>
      </c>
      <c r="BG66" s="6">
        <v>19</v>
      </c>
      <c r="BH66" s="6">
        <v>123</v>
      </c>
      <c r="BI66" s="6">
        <v>75</v>
      </c>
      <c r="BJ66" s="6">
        <v>32</v>
      </c>
      <c r="BK66" s="6">
        <v>5</v>
      </c>
      <c r="BL66" s="6">
        <v>2</v>
      </c>
      <c r="BM66" s="6">
        <v>16</v>
      </c>
      <c r="BN66" s="6" t="b">
        <v>1</v>
      </c>
      <c r="BO66" s="6" t="b">
        <v>1</v>
      </c>
      <c r="BP66" s="6" t="b">
        <v>1</v>
      </c>
      <c r="BQ66" s="6" t="b">
        <v>0</v>
      </c>
      <c r="BR66" s="6">
        <v>0</v>
      </c>
      <c r="BS66" s="6">
        <v>0</v>
      </c>
      <c r="BT66" s="6" t="b">
        <v>0</v>
      </c>
      <c r="BU66" s="6" t="b">
        <v>0</v>
      </c>
      <c r="BV66" s="6" t="b">
        <v>0</v>
      </c>
      <c r="BW66" s="6" t="b">
        <v>0</v>
      </c>
      <c r="BX66" s="6">
        <v>0</v>
      </c>
      <c r="BY66" s="6">
        <v>0</v>
      </c>
      <c r="BZ66" s="6">
        <v>6</v>
      </c>
      <c r="CA66" s="6">
        <v>153</v>
      </c>
    </row>
    <row r="67" spans="1:79">
      <c r="A67" s="6" t="s">
        <v>280</v>
      </c>
      <c r="B67" s="6">
        <v>66</v>
      </c>
      <c r="C67" s="6">
        <v>2</v>
      </c>
      <c r="D67" s="6">
        <v>-1</v>
      </c>
      <c r="F67" s="6" t="b">
        <v>0</v>
      </c>
      <c r="G67" s="6">
        <v>3</v>
      </c>
      <c r="H67" s="6">
        <v>4</v>
      </c>
      <c r="I67" s="6">
        <v>4</v>
      </c>
      <c r="J67" s="6">
        <v>0</v>
      </c>
      <c r="K67" s="6">
        <v>1</v>
      </c>
      <c r="L67" s="6" t="s">
        <v>281</v>
      </c>
      <c r="M67" s="6" t="s">
        <v>153</v>
      </c>
      <c r="N67" s="6" t="s">
        <v>282</v>
      </c>
      <c r="O67" s="6" t="s">
        <v>141</v>
      </c>
      <c r="P67" s="6" t="s">
        <v>283</v>
      </c>
      <c r="Q67" s="6" t="s">
        <v>141</v>
      </c>
      <c r="R67" s="6" t="s">
        <v>283</v>
      </c>
      <c r="S67" s="6" t="s">
        <v>547</v>
      </c>
      <c r="T67" s="6">
        <v>1</v>
      </c>
      <c r="U67" s="6">
        <v>6</v>
      </c>
      <c r="V67" s="6">
        <v>9</v>
      </c>
      <c r="W67" s="6">
        <v>3</v>
      </c>
      <c r="X67" s="6" t="s">
        <v>548</v>
      </c>
      <c r="Y67" s="6">
        <v>12</v>
      </c>
      <c r="Z67" s="6">
        <v>29</v>
      </c>
      <c r="AA67" s="6">
        <v>27</v>
      </c>
      <c r="AB67" s="6">
        <v>0</v>
      </c>
      <c r="AC67" s="6">
        <v>0</v>
      </c>
      <c r="AD67" s="6">
        <v>0</v>
      </c>
      <c r="AE67" s="6">
        <v>2</v>
      </c>
      <c r="AF67" s="6" t="b">
        <v>0</v>
      </c>
      <c r="AG67" s="6" t="b">
        <v>0</v>
      </c>
      <c r="AH67" s="6" t="b">
        <v>0</v>
      </c>
      <c r="AI67" s="6" t="b">
        <v>0</v>
      </c>
      <c r="AJ67" s="6">
        <v>0</v>
      </c>
      <c r="AK67" s="6">
        <v>0</v>
      </c>
      <c r="AL67" s="6" t="b">
        <v>0</v>
      </c>
      <c r="AM67" s="6" t="b">
        <v>0</v>
      </c>
      <c r="AN67" s="6" t="b">
        <v>0</v>
      </c>
      <c r="AO67" s="6" t="b">
        <v>0</v>
      </c>
      <c r="AP67" s="6">
        <v>0</v>
      </c>
      <c r="AQ67" s="6">
        <v>0</v>
      </c>
      <c r="AR67" s="6">
        <v>3</v>
      </c>
      <c r="AS67" s="6">
        <v>38</v>
      </c>
      <c r="AT67" s="6" t="s">
        <v>286</v>
      </c>
      <c r="AU67" s="6" t="s">
        <v>141</v>
      </c>
      <c r="AV67" s="6" t="s">
        <v>282</v>
      </c>
      <c r="AW67" s="6" t="s">
        <v>141</v>
      </c>
      <c r="AX67" s="6" t="s">
        <v>282</v>
      </c>
      <c r="AY67" s="6" t="s">
        <v>141</v>
      </c>
      <c r="AZ67" s="6" t="s">
        <v>283</v>
      </c>
      <c r="BA67" s="6" t="s">
        <v>549</v>
      </c>
      <c r="BB67" s="6">
        <v>0</v>
      </c>
      <c r="BC67" s="6">
        <v>9</v>
      </c>
      <c r="BD67" s="6">
        <v>9</v>
      </c>
      <c r="BE67" s="6">
        <v>0</v>
      </c>
      <c r="BF67" s="6" t="s">
        <v>550</v>
      </c>
      <c r="BG67" s="6">
        <v>5</v>
      </c>
      <c r="BH67" s="6">
        <v>17</v>
      </c>
      <c r="BI67" s="6">
        <v>13</v>
      </c>
      <c r="BJ67" s="6">
        <v>0</v>
      </c>
      <c r="BK67" s="6">
        <v>0</v>
      </c>
      <c r="BL67" s="6">
        <v>0</v>
      </c>
      <c r="BM67" s="6">
        <v>4</v>
      </c>
      <c r="BN67" s="6" t="b">
        <v>0</v>
      </c>
      <c r="BO67" s="6" t="b">
        <v>0</v>
      </c>
      <c r="BP67" s="6" t="b">
        <v>0</v>
      </c>
      <c r="BQ67" s="6" t="b">
        <v>0</v>
      </c>
      <c r="BR67" s="6">
        <v>0</v>
      </c>
      <c r="BS67" s="6">
        <v>0</v>
      </c>
      <c r="BT67" s="6" t="b">
        <v>0</v>
      </c>
      <c r="BU67" s="6" t="b">
        <v>0</v>
      </c>
      <c r="BV67" s="6" t="b">
        <v>0</v>
      </c>
      <c r="BW67" s="6" t="b">
        <v>0</v>
      </c>
      <c r="BX67" s="6">
        <v>0</v>
      </c>
      <c r="BY67" s="6">
        <v>0</v>
      </c>
      <c r="BZ67" s="6">
        <v>0</v>
      </c>
      <c r="CA67" s="6">
        <v>26</v>
      </c>
    </row>
    <row r="68" spans="1:79">
      <c r="A68" s="6" t="s">
        <v>280</v>
      </c>
      <c r="B68" s="6">
        <v>67</v>
      </c>
      <c r="C68" s="6">
        <v>2</v>
      </c>
      <c r="D68" s="6">
        <v>-1</v>
      </c>
      <c r="F68" s="6" t="b">
        <v>0</v>
      </c>
      <c r="G68" s="6">
        <v>3</v>
      </c>
      <c r="H68" s="6">
        <v>4</v>
      </c>
      <c r="I68" s="6">
        <v>4</v>
      </c>
      <c r="J68" s="6">
        <v>0</v>
      </c>
      <c r="K68" s="6">
        <v>1</v>
      </c>
      <c r="L68" s="6" t="s">
        <v>281</v>
      </c>
      <c r="M68" s="6" t="s">
        <v>141</v>
      </c>
      <c r="N68" s="6" t="s">
        <v>282</v>
      </c>
      <c r="O68" s="6" t="s">
        <v>141</v>
      </c>
      <c r="P68" s="6" t="s">
        <v>293</v>
      </c>
      <c r="Q68" s="6" t="s">
        <v>141</v>
      </c>
      <c r="R68" s="6" t="s">
        <v>293</v>
      </c>
      <c r="S68" s="6" t="s">
        <v>551</v>
      </c>
      <c r="T68" s="6">
        <v>1</v>
      </c>
      <c r="U68" s="6">
        <v>9</v>
      </c>
      <c r="V68" s="6">
        <v>12</v>
      </c>
      <c r="W68" s="6">
        <v>3</v>
      </c>
      <c r="X68" s="6" t="s">
        <v>552</v>
      </c>
      <c r="Y68" s="6">
        <v>16</v>
      </c>
      <c r="Z68" s="6">
        <v>98</v>
      </c>
      <c r="AA68" s="6">
        <v>72</v>
      </c>
      <c r="AB68" s="6">
        <v>0</v>
      </c>
      <c r="AC68" s="6">
        <v>0</v>
      </c>
      <c r="AD68" s="6">
        <v>0</v>
      </c>
      <c r="AE68" s="6">
        <v>26</v>
      </c>
      <c r="AF68" s="6" t="b">
        <v>1</v>
      </c>
      <c r="AG68" s="6" t="b">
        <v>0</v>
      </c>
      <c r="AH68" s="6" t="b">
        <v>1</v>
      </c>
      <c r="AI68" s="6" t="b">
        <v>0</v>
      </c>
      <c r="AJ68" s="6">
        <v>1</v>
      </c>
      <c r="AK68" s="6">
        <v>0</v>
      </c>
      <c r="AL68" s="6" t="b">
        <v>0</v>
      </c>
      <c r="AM68" s="6" t="b">
        <v>0</v>
      </c>
      <c r="AN68" s="6" t="b">
        <v>0</v>
      </c>
      <c r="AO68" s="6" t="b">
        <v>0</v>
      </c>
      <c r="AP68" s="6">
        <v>0</v>
      </c>
      <c r="AQ68" s="6">
        <v>12</v>
      </c>
      <c r="AR68" s="6">
        <v>5</v>
      </c>
      <c r="AS68" s="6">
        <v>122</v>
      </c>
      <c r="AT68" s="6" t="s">
        <v>286</v>
      </c>
      <c r="AU68" s="6" t="s">
        <v>141</v>
      </c>
      <c r="AV68" s="6" t="s">
        <v>282</v>
      </c>
      <c r="AW68" s="6" t="s">
        <v>141</v>
      </c>
      <c r="AX68" s="6" t="s">
        <v>282</v>
      </c>
      <c r="AY68" s="6" t="s">
        <v>141</v>
      </c>
      <c r="AZ68" s="6" t="s">
        <v>282</v>
      </c>
      <c r="BA68" s="6" t="s">
        <v>553</v>
      </c>
      <c r="BB68" s="6">
        <v>1</v>
      </c>
      <c r="BC68" s="6">
        <v>9</v>
      </c>
      <c r="BD68" s="6">
        <v>16</v>
      </c>
      <c r="BE68" s="6">
        <v>7</v>
      </c>
      <c r="BF68" s="6" t="s">
        <v>554</v>
      </c>
      <c r="BG68" s="6">
        <v>8</v>
      </c>
      <c r="BH68" s="6">
        <v>42</v>
      </c>
      <c r="BI68" s="6">
        <v>36</v>
      </c>
      <c r="BJ68" s="6">
        <v>0</v>
      </c>
      <c r="BK68" s="6">
        <v>0</v>
      </c>
      <c r="BL68" s="6">
        <v>0</v>
      </c>
      <c r="BM68" s="6">
        <v>6</v>
      </c>
      <c r="BN68" s="6" t="b">
        <v>1</v>
      </c>
      <c r="BO68" s="6" t="b">
        <v>0</v>
      </c>
      <c r="BP68" s="6" t="b">
        <v>0</v>
      </c>
      <c r="BQ68" s="6" t="b">
        <v>0</v>
      </c>
      <c r="BR68" s="6">
        <v>0</v>
      </c>
      <c r="BS68" s="6">
        <v>2</v>
      </c>
      <c r="BT68" s="6" t="b">
        <v>0</v>
      </c>
      <c r="BU68" s="6" t="b">
        <v>0</v>
      </c>
      <c r="BV68" s="6" t="b">
        <v>0</v>
      </c>
      <c r="BW68" s="6" t="b">
        <v>0</v>
      </c>
      <c r="BX68" s="6">
        <v>0</v>
      </c>
      <c r="BY68" s="6">
        <v>2</v>
      </c>
      <c r="BZ68" s="6">
        <v>1</v>
      </c>
      <c r="CA68" s="6">
        <v>60</v>
      </c>
    </row>
    <row r="69" spans="1:79">
      <c r="A69" s="6" t="s">
        <v>280</v>
      </c>
      <c r="B69" s="6">
        <v>68</v>
      </c>
      <c r="C69" s="6">
        <v>2</v>
      </c>
      <c r="D69" s="6">
        <v>-1</v>
      </c>
      <c r="F69" s="6" t="b">
        <v>0</v>
      </c>
      <c r="G69" s="6">
        <v>3</v>
      </c>
      <c r="H69" s="6">
        <v>4</v>
      </c>
      <c r="I69" s="6">
        <v>4</v>
      </c>
      <c r="J69" s="6">
        <v>0</v>
      </c>
      <c r="K69" s="6">
        <v>1</v>
      </c>
      <c r="L69" s="6" t="s">
        <v>281</v>
      </c>
      <c r="M69" s="6" t="s">
        <v>141</v>
      </c>
      <c r="N69" s="6" t="s">
        <v>282</v>
      </c>
      <c r="O69" s="6" t="s">
        <v>141</v>
      </c>
      <c r="P69" s="6" t="s">
        <v>283</v>
      </c>
      <c r="Q69" s="6" t="s">
        <v>141</v>
      </c>
      <c r="R69" s="6" t="s">
        <v>282</v>
      </c>
      <c r="S69" s="6" t="s">
        <v>555</v>
      </c>
      <c r="T69" s="6">
        <v>2</v>
      </c>
      <c r="U69" s="6">
        <v>9</v>
      </c>
      <c r="V69" s="6">
        <v>19</v>
      </c>
      <c r="W69" s="6">
        <v>10</v>
      </c>
      <c r="X69" s="6" t="s">
        <v>556</v>
      </c>
      <c r="Y69" s="6">
        <v>20</v>
      </c>
      <c r="Z69" s="6">
        <v>82</v>
      </c>
      <c r="AA69" s="6">
        <v>64</v>
      </c>
      <c r="AB69" s="6">
        <v>14</v>
      </c>
      <c r="AC69" s="6">
        <v>2</v>
      </c>
      <c r="AD69" s="6">
        <v>1</v>
      </c>
      <c r="AE69" s="6">
        <v>4</v>
      </c>
      <c r="AF69" s="6" t="b">
        <v>1</v>
      </c>
      <c r="AG69" s="6" t="b">
        <v>0</v>
      </c>
      <c r="AH69" s="6" t="b">
        <v>0</v>
      </c>
      <c r="AI69" s="6" t="b">
        <v>0</v>
      </c>
      <c r="AJ69" s="6">
        <v>2</v>
      </c>
      <c r="AK69" s="6">
        <v>1</v>
      </c>
      <c r="AL69" s="6" t="b">
        <v>0</v>
      </c>
      <c r="AM69" s="6" t="b">
        <v>0</v>
      </c>
      <c r="AN69" s="6" t="b">
        <v>0</v>
      </c>
      <c r="AO69" s="6" t="b">
        <v>0</v>
      </c>
      <c r="AP69" s="6">
        <v>0</v>
      </c>
      <c r="AQ69" s="6">
        <v>6</v>
      </c>
      <c r="AR69" s="6">
        <v>4</v>
      </c>
      <c r="AS69" s="6">
        <v>107</v>
      </c>
      <c r="AT69" s="6" t="s">
        <v>286</v>
      </c>
      <c r="AU69" s="6" t="s">
        <v>153</v>
      </c>
      <c r="AV69" s="6" t="s">
        <v>282</v>
      </c>
      <c r="AW69" s="6" t="s">
        <v>141</v>
      </c>
      <c r="AX69" s="6" t="s">
        <v>283</v>
      </c>
      <c r="AY69" s="6" t="s">
        <v>141</v>
      </c>
      <c r="AZ69" s="6" t="s">
        <v>282</v>
      </c>
      <c r="BA69" s="6" t="s">
        <v>557</v>
      </c>
      <c r="BB69" s="6">
        <v>0</v>
      </c>
      <c r="BC69" s="6">
        <v>6</v>
      </c>
      <c r="BD69" s="6">
        <v>6</v>
      </c>
      <c r="BE69" s="6">
        <v>0</v>
      </c>
      <c r="BF69" s="6" t="s">
        <v>558</v>
      </c>
      <c r="BG69" s="6">
        <v>1</v>
      </c>
      <c r="BH69" s="6">
        <v>35</v>
      </c>
      <c r="BI69" s="6">
        <v>3</v>
      </c>
      <c r="BJ69" s="6">
        <v>28</v>
      </c>
      <c r="BK69" s="6">
        <v>7</v>
      </c>
      <c r="BL69" s="6">
        <v>0</v>
      </c>
      <c r="BM69" s="6">
        <v>4</v>
      </c>
      <c r="BN69" s="6" t="b">
        <v>0</v>
      </c>
      <c r="BO69" s="6" t="b">
        <v>0</v>
      </c>
      <c r="BP69" s="6" t="b">
        <v>0</v>
      </c>
      <c r="BQ69" s="6" t="b">
        <v>0</v>
      </c>
      <c r="BR69" s="6">
        <v>0</v>
      </c>
      <c r="BS69" s="6">
        <v>1</v>
      </c>
      <c r="BT69" s="6" t="b">
        <v>0</v>
      </c>
      <c r="BU69" s="6" t="b">
        <v>0</v>
      </c>
      <c r="BV69" s="6" t="b">
        <v>0</v>
      </c>
      <c r="BW69" s="6" t="b">
        <v>0</v>
      </c>
      <c r="BX69" s="6">
        <v>0</v>
      </c>
      <c r="BY69" s="6">
        <v>10</v>
      </c>
      <c r="BZ69" s="6">
        <v>0</v>
      </c>
      <c r="CA69" s="6">
        <v>51</v>
      </c>
    </row>
    <row r="70" spans="1:79">
      <c r="A70" s="6" t="s">
        <v>280</v>
      </c>
      <c r="B70" s="6">
        <v>69</v>
      </c>
      <c r="C70" s="6">
        <v>1</v>
      </c>
      <c r="D70" s="6">
        <v>-1</v>
      </c>
      <c r="F70" s="6" t="b">
        <v>0</v>
      </c>
      <c r="G70" s="6">
        <v>3</v>
      </c>
      <c r="H70" s="6">
        <v>4</v>
      </c>
      <c r="I70" s="6">
        <v>4</v>
      </c>
      <c r="J70" s="6">
        <v>0</v>
      </c>
      <c r="K70" s="6">
        <v>1</v>
      </c>
      <c r="L70" s="6" t="s">
        <v>281</v>
      </c>
      <c r="M70" s="6" t="s">
        <v>141</v>
      </c>
      <c r="N70" s="6" t="s">
        <v>283</v>
      </c>
      <c r="O70" s="6" t="s">
        <v>141</v>
      </c>
      <c r="P70" s="6" t="s">
        <v>283</v>
      </c>
      <c r="Q70" s="6" t="s">
        <v>141</v>
      </c>
      <c r="R70" s="6" t="s">
        <v>283</v>
      </c>
      <c r="S70" s="6" t="s">
        <v>559</v>
      </c>
      <c r="T70" s="6">
        <v>1</v>
      </c>
      <c r="U70" s="6">
        <v>9</v>
      </c>
      <c r="V70" s="6">
        <v>12</v>
      </c>
      <c r="W70" s="6">
        <v>3</v>
      </c>
      <c r="X70" s="6" t="s">
        <v>560</v>
      </c>
      <c r="Y70" s="6">
        <v>11</v>
      </c>
      <c r="Z70" s="6">
        <v>52</v>
      </c>
      <c r="AA70" s="6">
        <v>48</v>
      </c>
      <c r="AB70" s="6">
        <v>4</v>
      </c>
      <c r="AC70" s="6">
        <v>1</v>
      </c>
      <c r="AD70" s="6">
        <v>0</v>
      </c>
      <c r="AE70" s="6">
        <v>0</v>
      </c>
      <c r="AF70" s="6" t="b">
        <v>1</v>
      </c>
      <c r="AG70" s="6" t="b">
        <v>0</v>
      </c>
      <c r="AH70" s="6" t="b">
        <v>0</v>
      </c>
      <c r="AI70" s="6" t="b">
        <v>0</v>
      </c>
      <c r="AJ70" s="6">
        <v>0</v>
      </c>
      <c r="AK70" s="6">
        <v>0</v>
      </c>
      <c r="AL70" s="6" t="b">
        <v>0</v>
      </c>
      <c r="AM70" s="6" t="b">
        <v>0</v>
      </c>
      <c r="AN70" s="6" t="b">
        <v>0</v>
      </c>
      <c r="AO70" s="6" t="b">
        <v>0</v>
      </c>
      <c r="AP70" s="6">
        <v>0</v>
      </c>
      <c r="AQ70" s="6">
        <v>8</v>
      </c>
      <c r="AR70" s="6">
        <v>1</v>
      </c>
      <c r="AS70" s="6">
        <v>72</v>
      </c>
      <c r="AT70" s="6" t="s">
        <v>286</v>
      </c>
      <c r="AU70" s="6" t="s">
        <v>141</v>
      </c>
      <c r="AV70" s="6" t="s">
        <v>293</v>
      </c>
      <c r="AW70" s="6" t="s">
        <v>141</v>
      </c>
      <c r="AX70" s="6" t="s">
        <v>293</v>
      </c>
      <c r="AY70" s="6" t="s">
        <v>141</v>
      </c>
      <c r="AZ70" s="6" t="s">
        <v>282</v>
      </c>
      <c r="BA70" s="6" t="s">
        <v>561</v>
      </c>
      <c r="BB70" s="6">
        <v>1</v>
      </c>
      <c r="BC70" s="6">
        <v>9</v>
      </c>
      <c r="BD70" s="6">
        <v>16</v>
      </c>
      <c r="BE70" s="6">
        <v>7</v>
      </c>
      <c r="BF70" s="6" t="s">
        <v>562</v>
      </c>
      <c r="BG70" s="6">
        <v>11</v>
      </c>
      <c r="BH70" s="6">
        <v>84</v>
      </c>
      <c r="BI70" s="6">
        <v>52</v>
      </c>
      <c r="BJ70" s="6">
        <v>6</v>
      </c>
      <c r="BK70" s="6">
        <v>0</v>
      </c>
      <c r="BL70" s="6">
        <v>1</v>
      </c>
      <c r="BM70" s="6">
        <v>26</v>
      </c>
      <c r="BN70" s="6" t="b">
        <v>1</v>
      </c>
      <c r="BO70" s="6" t="b">
        <v>0</v>
      </c>
      <c r="BP70" s="6" t="b">
        <v>1</v>
      </c>
      <c r="BQ70" s="6" t="b">
        <v>0</v>
      </c>
      <c r="BR70" s="6">
        <v>1</v>
      </c>
      <c r="BS70" s="6">
        <v>1</v>
      </c>
      <c r="BT70" s="6" t="b">
        <v>0</v>
      </c>
      <c r="BU70" s="6" t="b">
        <v>0</v>
      </c>
      <c r="BV70" s="6" t="b">
        <v>0</v>
      </c>
      <c r="BW70" s="6" t="b">
        <v>0</v>
      </c>
      <c r="BX70" s="6">
        <v>0</v>
      </c>
      <c r="BY70" s="6">
        <v>0</v>
      </c>
      <c r="BZ70" s="6">
        <v>5</v>
      </c>
      <c r="CA70" s="6">
        <v>100</v>
      </c>
    </row>
    <row r="71" spans="1:79">
      <c r="A71" s="6" t="s">
        <v>280</v>
      </c>
      <c r="B71" s="6">
        <v>70</v>
      </c>
      <c r="C71" s="6">
        <v>1</v>
      </c>
      <c r="D71" s="6">
        <v>-1</v>
      </c>
      <c r="F71" s="6" t="b">
        <v>0</v>
      </c>
      <c r="G71" s="6">
        <v>3</v>
      </c>
      <c r="H71" s="6">
        <v>4</v>
      </c>
      <c r="I71" s="6">
        <v>4</v>
      </c>
      <c r="J71" s="6">
        <v>0</v>
      </c>
      <c r="K71" s="6">
        <v>1</v>
      </c>
      <c r="L71" s="6" t="s">
        <v>281</v>
      </c>
      <c r="M71" s="6" t="s">
        <v>141</v>
      </c>
      <c r="N71" s="6" t="s">
        <v>282</v>
      </c>
      <c r="O71" s="6" t="s">
        <v>141</v>
      </c>
      <c r="P71" s="6" t="s">
        <v>293</v>
      </c>
      <c r="Q71" s="6" t="s">
        <v>141</v>
      </c>
      <c r="R71" s="6" t="s">
        <v>283</v>
      </c>
      <c r="S71" s="6" t="s">
        <v>563</v>
      </c>
      <c r="T71" s="6">
        <v>0</v>
      </c>
      <c r="U71" s="6">
        <v>9</v>
      </c>
      <c r="V71" s="6">
        <v>9</v>
      </c>
      <c r="W71" s="6">
        <v>0</v>
      </c>
      <c r="X71" s="6" t="s">
        <v>564</v>
      </c>
      <c r="Y71" s="6">
        <v>11</v>
      </c>
      <c r="Z71" s="6">
        <v>86</v>
      </c>
      <c r="AA71" s="6">
        <v>44</v>
      </c>
      <c r="AB71" s="6">
        <v>28</v>
      </c>
      <c r="AC71" s="6">
        <v>7</v>
      </c>
      <c r="AD71" s="6">
        <v>0</v>
      </c>
      <c r="AE71" s="6">
        <v>14</v>
      </c>
      <c r="AF71" s="6" t="b">
        <v>0</v>
      </c>
      <c r="AG71" s="6" t="b">
        <v>0</v>
      </c>
      <c r="AH71" s="6" t="b">
        <v>1</v>
      </c>
      <c r="AI71" s="6" t="b">
        <v>0</v>
      </c>
      <c r="AJ71" s="6">
        <v>0</v>
      </c>
      <c r="AK71" s="6">
        <v>2</v>
      </c>
      <c r="AL71" s="6" t="b">
        <v>0</v>
      </c>
      <c r="AM71" s="6" t="b">
        <v>0</v>
      </c>
      <c r="AN71" s="6" t="b">
        <v>0</v>
      </c>
      <c r="AO71" s="6" t="b">
        <v>0</v>
      </c>
      <c r="AP71" s="6">
        <v>0</v>
      </c>
      <c r="AQ71" s="6">
        <v>2</v>
      </c>
      <c r="AR71" s="6">
        <v>1</v>
      </c>
      <c r="AS71" s="6">
        <v>97</v>
      </c>
      <c r="AT71" s="6" t="s">
        <v>286</v>
      </c>
      <c r="AU71" s="6" t="s">
        <v>141</v>
      </c>
      <c r="AV71" s="6" t="s">
        <v>283</v>
      </c>
      <c r="AW71" s="6" t="s">
        <v>141</v>
      </c>
      <c r="AX71" s="6" t="s">
        <v>282</v>
      </c>
      <c r="AY71" s="6" t="s">
        <v>141</v>
      </c>
      <c r="AZ71" s="6" t="s">
        <v>282</v>
      </c>
      <c r="BA71" s="6" t="s">
        <v>565</v>
      </c>
      <c r="BB71" s="6">
        <v>3</v>
      </c>
      <c r="BC71" s="6">
        <v>9</v>
      </c>
      <c r="BD71" s="6">
        <v>18</v>
      </c>
      <c r="BE71" s="6">
        <v>9</v>
      </c>
      <c r="BF71" s="6" t="s">
        <v>566</v>
      </c>
      <c r="BG71" s="6">
        <v>18</v>
      </c>
      <c r="BH71" s="6">
        <v>80</v>
      </c>
      <c r="BI71" s="6">
        <v>64</v>
      </c>
      <c r="BJ71" s="6">
        <v>12</v>
      </c>
      <c r="BK71" s="6">
        <v>0</v>
      </c>
      <c r="BL71" s="6">
        <v>2</v>
      </c>
      <c r="BM71" s="6">
        <v>4</v>
      </c>
      <c r="BN71" s="6" t="b">
        <v>1</v>
      </c>
      <c r="BO71" s="6" t="b">
        <v>0</v>
      </c>
      <c r="BP71" s="6" t="b">
        <v>0</v>
      </c>
      <c r="BQ71" s="6" t="b">
        <v>0</v>
      </c>
      <c r="BR71" s="6">
        <v>1</v>
      </c>
      <c r="BS71" s="6">
        <v>0</v>
      </c>
      <c r="BT71" s="6" t="b">
        <v>0</v>
      </c>
      <c r="BU71" s="6" t="b">
        <v>0</v>
      </c>
      <c r="BV71" s="6" t="b">
        <v>0</v>
      </c>
      <c r="BW71" s="6" t="b">
        <v>0</v>
      </c>
      <c r="BX71" s="6">
        <v>0</v>
      </c>
      <c r="BY71" s="6">
        <v>12</v>
      </c>
      <c r="BZ71" s="6">
        <v>4</v>
      </c>
      <c r="CA71" s="6">
        <v>110</v>
      </c>
    </row>
    <row r="72" spans="1:79">
      <c r="A72" s="6" t="s">
        <v>280</v>
      </c>
      <c r="B72" s="6">
        <v>71</v>
      </c>
      <c r="C72" s="6">
        <v>2</v>
      </c>
      <c r="D72" s="6">
        <v>-1</v>
      </c>
      <c r="F72" s="6" t="b">
        <v>1</v>
      </c>
      <c r="G72" s="6">
        <v>3</v>
      </c>
      <c r="H72" s="6">
        <v>4</v>
      </c>
      <c r="I72" s="6">
        <v>3</v>
      </c>
      <c r="J72" s="6">
        <v>0</v>
      </c>
      <c r="K72" s="6">
        <v>1</v>
      </c>
      <c r="L72" s="6" t="s">
        <v>281</v>
      </c>
      <c r="M72" s="6" t="s">
        <v>141</v>
      </c>
      <c r="N72" s="6" t="s">
        <v>282</v>
      </c>
      <c r="O72" s="6" t="s">
        <v>153</v>
      </c>
      <c r="P72" s="6" t="s">
        <v>282</v>
      </c>
      <c r="Q72" s="6" t="s">
        <v>141</v>
      </c>
      <c r="R72" s="6" t="s">
        <v>283</v>
      </c>
      <c r="S72" s="6" t="s">
        <v>567</v>
      </c>
      <c r="T72" s="6">
        <v>1</v>
      </c>
      <c r="U72" s="6">
        <v>6</v>
      </c>
      <c r="V72" s="6">
        <v>13</v>
      </c>
      <c r="W72" s="6">
        <v>7</v>
      </c>
      <c r="X72" s="6" t="s">
        <v>568</v>
      </c>
      <c r="Y72" s="6">
        <v>19</v>
      </c>
      <c r="Z72" s="6">
        <v>94</v>
      </c>
      <c r="AA72" s="6">
        <v>70</v>
      </c>
      <c r="AB72" s="6">
        <v>20</v>
      </c>
      <c r="AC72" s="6">
        <v>2</v>
      </c>
      <c r="AD72" s="6">
        <v>2</v>
      </c>
      <c r="AE72" s="6">
        <v>4</v>
      </c>
      <c r="AF72" s="6" t="b">
        <v>0</v>
      </c>
      <c r="AG72" s="6" t="b">
        <v>0</v>
      </c>
      <c r="AH72" s="6" t="b">
        <v>0</v>
      </c>
      <c r="AI72" s="6" t="b">
        <v>1</v>
      </c>
      <c r="AJ72" s="6">
        <v>0</v>
      </c>
      <c r="AK72" s="6">
        <v>0</v>
      </c>
      <c r="AL72" s="6" t="b">
        <v>0</v>
      </c>
      <c r="AM72" s="6" t="b">
        <v>0</v>
      </c>
      <c r="AN72" s="6" t="b">
        <v>0</v>
      </c>
      <c r="AO72" s="6" t="b">
        <v>0</v>
      </c>
      <c r="AP72" s="6">
        <v>0</v>
      </c>
      <c r="AQ72" s="6">
        <v>0</v>
      </c>
      <c r="AR72" s="6">
        <v>3</v>
      </c>
      <c r="AS72" s="6">
        <v>107</v>
      </c>
      <c r="AT72" s="6" t="s">
        <v>286</v>
      </c>
      <c r="AU72" s="6" t="s">
        <v>141</v>
      </c>
      <c r="AV72" s="6" t="s">
        <v>293</v>
      </c>
      <c r="AW72" s="6" t="s">
        <v>141</v>
      </c>
      <c r="AX72" s="6" t="s">
        <v>378</v>
      </c>
      <c r="AY72" s="6" t="s">
        <v>141</v>
      </c>
      <c r="AZ72" s="6" t="s">
        <v>282</v>
      </c>
      <c r="BA72" s="6" t="s">
        <v>569</v>
      </c>
      <c r="BB72" s="6">
        <v>0</v>
      </c>
      <c r="BC72" s="6">
        <v>9</v>
      </c>
      <c r="BD72" s="6">
        <v>9</v>
      </c>
      <c r="BE72" s="6">
        <v>0</v>
      </c>
      <c r="BF72" s="6" t="s">
        <v>570</v>
      </c>
      <c r="BG72" s="6">
        <v>5</v>
      </c>
      <c r="BH72" s="6">
        <v>57</v>
      </c>
      <c r="BI72" s="6">
        <v>17</v>
      </c>
      <c r="BJ72" s="6">
        <v>20</v>
      </c>
      <c r="BK72" s="6">
        <v>2</v>
      </c>
      <c r="BL72" s="6">
        <v>2</v>
      </c>
      <c r="BM72" s="6">
        <v>20</v>
      </c>
      <c r="BN72" s="6" t="b">
        <v>0</v>
      </c>
      <c r="BO72" s="6" t="b">
        <v>0</v>
      </c>
      <c r="BP72" s="6" t="b">
        <v>1</v>
      </c>
      <c r="BQ72" s="6" t="b">
        <v>0</v>
      </c>
      <c r="BR72" s="6">
        <v>0</v>
      </c>
      <c r="BS72" s="6">
        <v>0</v>
      </c>
      <c r="BT72" s="6" t="b">
        <v>0</v>
      </c>
      <c r="BU72" s="6" t="b">
        <v>0</v>
      </c>
      <c r="BV72" s="6" t="b">
        <v>0</v>
      </c>
      <c r="BW72" s="6" t="b">
        <v>0</v>
      </c>
      <c r="BX72" s="6">
        <v>0</v>
      </c>
      <c r="BY72" s="6">
        <v>0</v>
      </c>
      <c r="BZ72" s="6">
        <v>1</v>
      </c>
      <c r="CA72" s="6">
        <v>66</v>
      </c>
    </row>
    <row r="73" spans="1:79">
      <c r="A73" s="6" t="s">
        <v>280</v>
      </c>
      <c r="B73" s="6">
        <v>72</v>
      </c>
      <c r="C73" s="6">
        <v>1</v>
      </c>
      <c r="D73" s="6">
        <v>-1</v>
      </c>
      <c r="F73" s="6" t="b">
        <v>0</v>
      </c>
      <c r="G73" s="6">
        <v>3</v>
      </c>
      <c r="H73" s="6">
        <v>4</v>
      </c>
      <c r="I73" s="6">
        <v>4</v>
      </c>
      <c r="J73" s="6">
        <v>0</v>
      </c>
      <c r="K73" s="6">
        <v>1</v>
      </c>
      <c r="L73" s="6" t="s">
        <v>281</v>
      </c>
      <c r="M73" s="6" t="s">
        <v>153</v>
      </c>
      <c r="N73" s="6" t="s">
        <v>282</v>
      </c>
      <c r="O73" s="6" t="s">
        <v>141</v>
      </c>
      <c r="P73" s="6" t="s">
        <v>282</v>
      </c>
      <c r="Q73" s="6" t="s">
        <v>141</v>
      </c>
      <c r="R73" s="6" t="s">
        <v>282</v>
      </c>
      <c r="S73" s="6" t="s">
        <v>571</v>
      </c>
      <c r="T73" s="6">
        <v>1</v>
      </c>
      <c r="U73" s="6">
        <v>6</v>
      </c>
      <c r="V73" s="6">
        <v>13</v>
      </c>
      <c r="W73" s="6">
        <v>7</v>
      </c>
      <c r="X73" s="6" t="s">
        <v>572</v>
      </c>
      <c r="Y73" s="6">
        <v>13</v>
      </c>
      <c r="Z73" s="6">
        <v>61</v>
      </c>
      <c r="AA73" s="6">
        <v>55</v>
      </c>
      <c r="AB73" s="6">
        <v>0</v>
      </c>
      <c r="AC73" s="6">
        <v>0</v>
      </c>
      <c r="AD73" s="6">
        <v>0</v>
      </c>
      <c r="AE73" s="6">
        <v>6</v>
      </c>
      <c r="AF73" s="6" t="b">
        <v>0</v>
      </c>
      <c r="AG73" s="6" t="b">
        <v>0</v>
      </c>
      <c r="AH73" s="6" t="b">
        <v>0</v>
      </c>
      <c r="AI73" s="6" t="b">
        <v>0</v>
      </c>
      <c r="AJ73" s="6">
        <v>0</v>
      </c>
      <c r="AK73" s="6">
        <v>0</v>
      </c>
      <c r="AL73" s="6" t="b">
        <v>0</v>
      </c>
      <c r="AM73" s="6" t="b">
        <v>0</v>
      </c>
      <c r="AN73" s="6" t="b">
        <v>0</v>
      </c>
      <c r="AO73" s="6" t="b">
        <v>0</v>
      </c>
      <c r="AP73" s="6">
        <v>0</v>
      </c>
      <c r="AQ73" s="6">
        <v>2</v>
      </c>
      <c r="AR73" s="6">
        <v>0</v>
      </c>
      <c r="AS73" s="6">
        <v>76</v>
      </c>
      <c r="AT73" s="6" t="s">
        <v>286</v>
      </c>
      <c r="AU73" s="6" t="s">
        <v>141</v>
      </c>
      <c r="AV73" s="6" t="s">
        <v>282</v>
      </c>
      <c r="AW73" s="6" t="s">
        <v>141</v>
      </c>
      <c r="AX73" s="6" t="s">
        <v>282</v>
      </c>
      <c r="AY73" s="6" t="s">
        <v>141</v>
      </c>
      <c r="AZ73" s="6" t="s">
        <v>283</v>
      </c>
      <c r="BA73" s="6" t="s">
        <v>573</v>
      </c>
      <c r="BB73" s="6">
        <v>2</v>
      </c>
      <c r="BC73" s="6">
        <v>9</v>
      </c>
      <c r="BD73" s="6">
        <v>23</v>
      </c>
      <c r="BE73" s="6">
        <v>14</v>
      </c>
      <c r="BF73" s="6" t="s">
        <v>574</v>
      </c>
      <c r="BG73" s="6">
        <v>13</v>
      </c>
      <c r="BH73" s="6">
        <v>60</v>
      </c>
      <c r="BI73" s="6">
        <v>56</v>
      </c>
      <c r="BJ73" s="6">
        <v>0</v>
      </c>
      <c r="BK73" s="6">
        <v>0</v>
      </c>
      <c r="BL73" s="6">
        <v>0</v>
      </c>
      <c r="BM73" s="6">
        <v>4</v>
      </c>
      <c r="BN73" s="6" t="b">
        <v>1</v>
      </c>
      <c r="BO73" s="6" t="b">
        <v>0</v>
      </c>
      <c r="BP73" s="6" t="b">
        <v>0</v>
      </c>
      <c r="BQ73" s="6" t="b">
        <v>0</v>
      </c>
      <c r="BR73" s="6">
        <v>1</v>
      </c>
      <c r="BS73" s="6">
        <v>0</v>
      </c>
      <c r="BT73" s="6" t="b">
        <v>0</v>
      </c>
      <c r="BU73" s="6" t="b">
        <v>0</v>
      </c>
      <c r="BV73" s="6" t="b">
        <v>0</v>
      </c>
      <c r="BW73" s="6" t="b">
        <v>0</v>
      </c>
      <c r="BX73" s="6">
        <v>0</v>
      </c>
      <c r="BY73" s="6">
        <v>0</v>
      </c>
      <c r="BZ73" s="6">
        <v>4</v>
      </c>
      <c r="CA73" s="6">
        <v>83</v>
      </c>
    </row>
    <row r="74" spans="1:79">
      <c r="A74" s="6" t="s">
        <v>280</v>
      </c>
      <c r="B74" s="6">
        <v>73</v>
      </c>
      <c r="C74" s="6">
        <v>1</v>
      </c>
      <c r="D74" s="6">
        <v>-1</v>
      </c>
      <c r="F74" s="6" t="b">
        <v>0</v>
      </c>
      <c r="G74" s="6">
        <v>3</v>
      </c>
      <c r="H74" s="6">
        <v>4</v>
      </c>
      <c r="I74" s="6">
        <v>4</v>
      </c>
      <c r="J74" s="6">
        <v>0</v>
      </c>
      <c r="K74" s="6">
        <v>1</v>
      </c>
      <c r="L74" s="6" t="s">
        <v>281</v>
      </c>
      <c r="M74" s="6" t="s">
        <v>141</v>
      </c>
      <c r="N74" s="6" t="s">
        <v>282</v>
      </c>
      <c r="O74" s="6" t="s">
        <v>141</v>
      </c>
      <c r="P74" s="6" t="s">
        <v>282</v>
      </c>
      <c r="Q74" s="6" t="s">
        <v>141</v>
      </c>
      <c r="R74" s="6" t="s">
        <v>282</v>
      </c>
      <c r="S74" s="6" t="s">
        <v>575</v>
      </c>
      <c r="T74" s="6">
        <v>1</v>
      </c>
      <c r="U74" s="6">
        <v>9</v>
      </c>
      <c r="V74" s="6">
        <v>16</v>
      </c>
      <c r="W74" s="6">
        <v>7</v>
      </c>
      <c r="X74" s="6" t="s">
        <v>576</v>
      </c>
      <c r="Y74" s="6">
        <v>20</v>
      </c>
      <c r="Z74" s="6">
        <v>74</v>
      </c>
      <c r="AA74" s="6">
        <v>68</v>
      </c>
      <c r="AB74" s="6">
        <v>0</v>
      </c>
      <c r="AC74" s="6">
        <v>0</v>
      </c>
      <c r="AD74" s="6">
        <v>0</v>
      </c>
      <c r="AE74" s="6">
        <v>6</v>
      </c>
      <c r="AF74" s="6" t="b">
        <v>1</v>
      </c>
      <c r="AG74" s="6" t="b">
        <v>1</v>
      </c>
      <c r="AH74" s="6" t="b">
        <v>0</v>
      </c>
      <c r="AI74" s="6" t="b">
        <v>0</v>
      </c>
      <c r="AJ74" s="6">
        <v>0</v>
      </c>
      <c r="AK74" s="6">
        <v>0</v>
      </c>
      <c r="AL74" s="6" t="b">
        <v>0</v>
      </c>
      <c r="AM74" s="6" t="b">
        <v>0</v>
      </c>
      <c r="AN74" s="6" t="b">
        <v>0</v>
      </c>
      <c r="AO74" s="6" t="b">
        <v>0</v>
      </c>
      <c r="AP74" s="6">
        <v>0</v>
      </c>
      <c r="AQ74" s="6">
        <v>0</v>
      </c>
      <c r="AR74" s="6">
        <v>2</v>
      </c>
      <c r="AS74" s="6">
        <v>90</v>
      </c>
      <c r="AT74" s="6" t="s">
        <v>286</v>
      </c>
      <c r="AU74" s="6" t="s">
        <v>141</v>
      </c>
      <c r="AV74" s="6" t="s">
        <v>282</v>
      </c>
      <c r="AW74" s="6" t="s">
        <v>141</v>
      </c>
      <c r="AX74" s="6" t="s">
        <v>283</v>
      </c>
      <c r="AY74" s="6" t="s">
        <v>141</v>
      </c>
      <c r="AZ74" s="6" t="s">
        <v>293</v>
      </c>
      <c r="BA74" s="6" t="s">
        <v>577</v>
      </c>
      <c r="BB74" s="6">
        <v>3</v>
      </c>
      <c r="BC74" s="6">
        <v>9</v>
      </c>
      <c r="BD74" s="6">
        <v>24</v>
      </c>
      <c r="BE74" s="6">
        <v>15</v>
      </c>
      <c r="BF74" s="6" t="s">
        <v>578</v>
      </c>
      <c r="BG74" s="6">
        <v>19</v>
      </c>
      <c r="BH74" s="6">
        <v>101</v>
      </c>
      <c r="BI74" s="6">
        <v>81</v>
      </c>
      <c r="BJ74" s="6">
        <v>6</v>
      </c>
      <c r="BK74" s="6">
        <v>0</v>
      </c>
      <c r="BL74" s="6">
        <v>1</v>
      </c>
      <c r="BM74" s="6">
        <v>14</v>
      </c>
      <c r="BN74" s="6" t="b">
        <v>1</v>
      </c>
      <c r="BO74" s="6" t="b">
        <v>0</v>
      </c>
      <c r="BP74" s="6" t="b">
        <v>1</v>
      </c>
      <c r="BQ74" s="6" t="b">
        <v>0</v>
      </c>
      <c r="BR74" s="6">
        <v>0</v>
      </c>
      <c r="BS74" s="6">
        <v>0</v>
      </c>
      <c r="BT74" s="6" t="b">
        <v>0</v>
      </c>
      <c r="BU74" s="6" t="b">
        <v>0</v>
      </c>
      <c r="BV74" s="6" t="b">
        <v>0</v>
      </c>
      <c r="BW74" s="6" t="b">
        <v>0</v>
      </c>
      <c r="BX74" s="6">
        <v>0</v>
      </c>
      <c r="BY74" s="6">
        <v>0</v>
      </c>
      <c r="BZ74" s="6">
        <v>5</v>
      </c>
      <c r="CA74" s="6">
        <v>125</v>
      </c>
    </row>
    <row r="75" spans="1:79">
      <c r="A75" s="6" t="s">
        <v>280</v>
      </c>
      <c r="B75" s="6">
        <v>74</v>
      </c>
      <c r="C75" s="6">
        <v>1</v>
      </c>
      <c r="D75" s="6">
        <v>-1</v>
      </c>
      <c r="F75" s="6" t="b">
        <v>0</v>
      </c>
      <c r="G75" s="6">
        <v>3</v>
      </c>
      <c r="H75" s="6">
        <v>4</v>
      </c>
      <c r="I75" s="6">
        <v>4</v>
      </c>
      <c r="J75" s="6">
        <v>0</v>
      </c>
      <c r="K75" s="6">
        <v>1</v>
      </c>
      <c r="L75" s="6" t="s">
        <v>281</v>
      </c>
      <c r="M75" s="6" t="s">
        <v>141</v>
      </c>
      <c r="N75" s="6" t="s">
        <v>282</v>
      </c>
      <c r="O75" s="6" t="s">
        <v>153</v>
      </c>
      <c r="P75" s="6" t="s">
        <v>282</v>
      </c>
      <c r="Q75" s="6" t="s">
        <v>141</v>
      </c>
      <c r="R75" s="6" t="s">
        <v>282</v>
      </c>
      <c r="S75" s="6" t="s">
        <v>579</v>
      </c>
      <c r="T75" s="6">
        <v>0</v>
      </c>
      <c r="U75" s="6">
        <v>6</v>
      </c>
      <c r="V75" s="6">
        <v>6</v>
      </c>
      <c r="W75" s="6">
        <v>0</v>
      </c>
      <c r="X75" s="6" t="s">
        <v>580</v>
      </c>
      <c r="Y75" s="6">
        <v>5</v>
      </c>
      <c r="Z75" s="6">
        <v>28</v>
      </c>
      <c r="AA75" s="6">
        <v>22</v>
      </c>
      <c r="AB75" s="6">
        <v>0</v>
      </c>
      <c r="AC75" s="6">
        <v>0</v>
      </c>
      <c r="AD75" s="6">
        <v>0</v>
      </c>
      <c r="AE75" s="6">
        <v>6</v>
      </c>
      <c r="AF75" s="6" t="b">
        <v>0</v>
      </c>
      <c r="AG75" s="6" t="b">
        <v>0</v>
      </c>
      <c r="AH75" s="6" t="b">
        <v>0</v>
      </c>
      <c r="AI75" s="6" t="b">
        <v>0</v>
      </c>
      <c r="AJ75" s="6">
        <v>0</v>
      </c>
      <c r="AK75" s="6">
        <v>3</v>
      </c>
      <c r="AL75" s="6" t="b">
        <v>0</v>
      </c>
      <c r="AM75" s="6" t="b">
        <v>0</v>
      </c>
      <c r="AN75" s="6" t="b">
        <v>0</v>
      </c>
      <c r="AO75" s="6" t="b">
        <v>1</v>
      </c>
      <c r="AP75" s="6">
        <v>0</v>
      </c>
      <c r="AQ75" s="6">
        <v>6</v>
      </c>
      <c r="AR75" s="6">
        <v>0</v>
      </c>
      <c r="AS75" s="6">
        <v>40</v>
      </c>
      <c r="AT75" s="6" t="s">
        <v>286</v>
      </c>
      <c r="AU75" s="6" t="s">
        <v>141</v>
      </c>
      <c r="AV75" s="6" t="s">
        <v>283</v>
      </c>
      <c r="AW75" s="6" t="s">
        <v>141</v>
      </c>
      <c r="AX75" s="6" t="s">
        <v>282</v>
      </c>
      <c r="AY75" s="6" t="s">
        <v>141</v>
      </c>
      <c r="AZ75" s="6" t="s">
        <v>283</v>
      </c>
      <c r="BA75" s="6" t="s">
        <v>581</v>
      </c>
      <c r="BB75" s="6">
        <v>0</v>
      </c>
      <c r="BC75" s="6">
        <v>9</v>
      </c>
      <c r="BD75" s="6">
        <v>9</v>
      </c>
      <c r="BE75" s="6">
        <v>0</v>
      </c>
      <c r="BF75" s="6" t="s">
        <v>582</v>
      </c>
      <c r="BG75" s="6">
        <v>15</v>
      </c>
      <c r="BH75" s="6">
        <v>40</v>
      </c>
      <c r="BI75" s="6">
        <v>38</v>
      </c>
      <c r="BJ75" s="6">
        <v>0</v>
      </c>
      <c r="BK75" s="6">
        <v>0</v>
      </c>
      <c r="BL75" s="6">
        <v>0</v>
      </c>
      <c r="BM75" s="6">
        <v>2</v>
      </c>
      <c r="BN75" s="6" t="b">
        <v>0</v>
      </c>
      <c r="BO75" s="6" t="b">
        <v>0</v>
      </c>
      <c r="BP75" s="6" t="b">
        <v>1</v>
      </c>
      <c r="BQ75" s="6" t="b">
        <v>0</v>
      </c>
      <c r="BR75" s="6">
        <v>0</v>
      </c>
      <c r="BS75" s="6">
        <v>1</v>
      </c>
      <c r="BT75" s="6" t="b">
        <v>0</v>
      </c>
      <c r="BU75" s="6" t="b">
        <v>0</v>
      </c>
      <c r="BV75" s="6" t="b">
        <v>0</v>
      </c>
      <c r="BW75" s="6" t="b">
        <v>0</v>
      </c>
      <c r="BX75" s="6">
        <v>0</v>
      </c>
      <c r="BY75" s="6">
        <v>18</v>
      </c>
      <c r="BZ75" s="6">
        <v>4</v>
      </c>
      <c r="CA75" s="6">
        <v>67</v>
      </c>
    </row>
    <row r="76" spans="1:79">
      <c r="A76" s="6" t="s">
        <v>280</v>
      </c>
      <c r="B76" s="6">
        <v>75</v>
      </c>
      <c r="C76" s="6">
        <v>2</v>
      </c>
      <c r="D76" s="6">
        <v>-1</v>
      </c>
      <c r="F76" s="6" t="b">
        <v>0</v>
      </c>
      <c r="G76" s="6">
        <v>3</v>
      </c>
      <c r="H76" s="6">
        <v>4</v>
      </c>
      <c r="I76" s="6">
        <v>4</v>
      </c>
      <c r="J76" s="6">
        <v>0</v>
      </c>
      <c r="K76" s="6">
        <v>1</v>
      </c>
      <c r="L76" s="6" t="s">
        <v>281</v>
      </c>
      <c r="M76" s="6" t="s">
        <v>141</v>
      </c>
      <c r="N76" s="6" t="s">
        <v>282</v>
      </c>
      <c r="O76" s="6" t="s">
        <v>141</v>
      </c>
      <c r="P76" s="6" t="s">
        <v>282</v>
      </c>
      <c r="Q76" s="6" t="s">
        <v>141</v>
      </c>
      <c r="R76" s="6" t="s">
        <v>282</v>
      </c>
      <c r="S76" s="6" t="s">
        <v>583</v>
      </c>
      <c r="T76" s="6">
        <v>1</v>
      </c>
      <c r="U76" s="6">
        <v>9</v>
      </c>
      <c r="V76" s="6">
        <v>12</v>
      </c>
      <c r="W76" s="6">
        <v>3</v>
      </c>
      <c r="X76" s="6" t="s">
        <v>584</v>
      </c>
      <c r="Y76" s="6">
        <v>18</v>
      </c>
      <c r="Z76" s="6">
        <v>78</v>
      </c>
      <c r="AA76" s="6">
        <v>72</v>
      </c>
      <c r="AB76" s="6">
        <v>0</v>
      </c>
      <c r="AC76" s="6">
        <v>0</v>
      </c>
      <c r="AD76" s="6">
        <v>0</v>
      </c>
      <c r="AE76" s="6">
        <v>6</v>
      </c>
      <c r="AF76" s="6" t="b">
        <v>1</v>
      </c>
      <c r="AG76" s="6" t="b">
        <v>0</v>
      </c>
      <c r="AH76" s="6" t="b">
        <v>0</v>
      </c>
      <c r="AI76" s="6" t="b">
        <v>0</v>
      </c>
      <c r="AJ76" s="6">
        <v>0</v>
      </c>
      <c r="AK76" s="6">
        <v>0</v>
      </c>
      <c r="AL76" s="6" t="b">
        <v>0</v>
      </c>
      <c r="AM76" s="6" t="b">
        <v>0</v>
      </c>
      <c r="AN76" s="6" t="b">
        <v>0</v>
      </c>
      <c r="AO76" s="6" t="b">
        <v>0</v>
      </c>
      <c r="AP76" s="6">
        <v>0</v>
      </c>
      <c r="AQ76" s="6">
        <v>0</v>
      </c>
      <c r="AR76" s="6">
        <v>4</v>
      </c>
      <c r="AS76" s="6">
        <v>90</v>
      </c>
      <c r="AT76" s="6" t="s">
        <v>286</v>
      </c>
      <c r="AU76" s="6" t="s">
        <v>153</v>
      </c>
      <c r="AV76" s="6" t="s">
        <v>283</v>
      </c>
      <c r="AW76" s="6" t="s">
        <v>141</v>
      </c>
      <c r="AX76" s="6" t="s">
        <v>283</v>
      </c>
      <c r="AY76" s="6" t="s">
        <v>141</v>
      </c>
      <c r="AZ76" s="6" t="s">
        <v>293</v>
      </c>
      <c r="BA76" s="6" t="s">
        <v>585</v>
      </c>
      <c r="BB76" s="6">
        <v>1</v>
      </c>
      <c r="BC76" s="6">
        <v>6</v>
      </c>
      <c r="BD76" s="6">
        <v>13</v>
      </c>
      <c r="BE76" s="6">
        <v>7</v>
      </c>
      <c r="BF76" s="6" t="s">
        <v>586</v>
      </c>
      <c r="BG76" s="6">
        <v>9</v>
      </c>
      <c r="BH76" s="6">
        <v>57</v>
      </c>
      <c r="BI76" s="6">
        <v>45</v>
      </c>
      <c r="BJ76" s="6">
        <v>0</v>
      </c>
      <c r="BK76" s="6">
        <v>0</v>
      </c>
      <c r="BL76" s="6">
        <v>0</v>
      </c>
      <c r="BM76" s="6">
        <v>12</v>
      </c>
      <c r="BN76" s="6" t="b">
        <v>0</v>
      </c>
      <c r="BO76" s="6" t="b">
        <v>0</v>
      </c>
      <c r="BP76" s="6" t="b">
        <v>0</v>
      </c>
      <c r="BQ76" s="6" t="b">
        <v>0</v>
      </c>
      <c r="BR76" s="6">
        <v>0</v>
      </c>
      <c r="BS76" s="6">
        <v>0</v>
      </c>
      <c r="BT76" s="6" t="b">
        <v>0</v>
      </c>
      <c r="BU76" s="6" t="b">
        <v>0</v>
      </c>
      <c r="BV76" s="6" t="b">
        <v>0</v>
      </c>
      <c r="BW76" s="6" t="b">
        <v>0</v>
      </c>
      <c r="BX76" s="6">
        <v>0</v>
      </c>
      <c r="BY76" s="6">
        <v>0</v>
      </c>
      <c r="BZ76" s="6">
        <v>0</v>
      </c>
      <c r="CA76" s="6">
        <v>70</v>
      </c>
    </row>
    <row r="77" spans="1:79">
      <c r="A77" s="6" t="s">
        <v>280</v>
      </c>
      <c r="B77" s="6">
        <v>76</v>
      </c>
      <c r="C77" s="6">
        <v>2</v>
      </c>
      <c r="D77" s="6">
        <v>-1</v>
      </c>
      <c r="F77" s="6" t="b">
        <v>0</v>
      </c>
      <c r="G77" s="6">
        <v>3</v>
      </c>
      <c r="H77" s="6">
        <v>4</v>
      </c>
      <c r="I77" s="6">
        <v>4</v>
      </c>
      <c r="J77" s="6">
        <v>0</v>
      </c>
      <c r="K77" s="6">
        <v>1</v>
      </c>
      <c r="L77" s="6" t="s">
        <v>281</v>
      </c>
      <c r="M77" s="6" t="s">
        <v>141</v>
      </c>
      <c r="N77" s="6" t="s">
        <v>282</v>
      </c>
      <c r="O77" s="6" t="s">
        <v>141</v>
      </c>
      <c r="P77" s="6" t="s">
        <v>293</v>
      </c>
      <c r="Q77" s="6" t="s">
        <v>141</v>
      </c>
      <c r="R77" s="6" t="s">
        <v>293</v>
      </c>
      <c r="S77" s="6" t="s">
        <v>587</v>
      </c>
      <c r="T77" s="6">
        <v>1</v>
      </c>
      <c r="U77" s="6">
        <v>9</v>
      </c>
      <c r="V77" s="6">
        <v>16</v>
      </c>
      <c r="W77" s="6">
        <v>7</v>
      </c>
      <c r="X77" s="6" t="s">
        <v>588</v>
      </c>
      <c r="Y77" s="6">
        <v>17</v>
      </c>
      <c r="Z77" s="6">
        <v>114</v>
      </c>
      <c r="AA77" s="6">
        <v>76</v>
      </c>
      <c r="AB77" s="6">
        <v>12</v>
      </c>
      <c r="AC77" s="6">
        <v>3</v>
      </c>
      <c r="AD77" s="6">
        <v>0</v>
      </c>
      <c r="AE77" s="6">
        <v>26</v>
      </c>
      <c r="AF77" s="6" t="b">
        <v>1</v>
      </c>
      <c r="AG77" s="6" t="b">
        <v>0</v>
      </c>
      <c r="AH77" s="6" t="b">
        <v>1</v>
      </c>
      <c r="AI77" s="6" t="b">
        <v>0</v>
      </c>
      <c r="AJ77" s="6">
        <v>1</v>
      </c>
      <c r="AK77" s="6">
        <v>0</v>
      </c>
      <c r="AL77" s="6" t="b">
        <v>0</v>
      </c>
      <c r="AM77" s="6" t="b">
        <v>0</v>
      </c>
      <c r="AN77" s="6" t="b">
        <v>0</v>
      </c>
      <c r="AO77" s="6" t="b">
        <v>0</v>
      </c>
      <c r="AP77" s="6">
        <v>0</v>
      </c>
      <c r="AQ77" s="6">
        <v>0</v>
      </c>
      <c r="AR77" s="6">
        <v>5</v>
      </c>
      <c r="AS77" s="6">
        <v>130</v>
      </c>
      <c r="AT77" s="6" t="s">
        <v>286</v>
      </c>
      <c r="AU77" s="6" t="s">
        <v>141</v>
      </c>
      <c r="AV77" s="6" t="s">
        <v>282</v>
      </c>
      <c r="AW77" s="6" t="s">
        <v>141</v>
      </c>
      <c r="AX77" s="6" t="s">
        <v>282</v>
      </c>
      <c r="AY77" s="6" t="s">
        <v>141</v>
      </c>
      <c r="AZ77" s="6" t="s">
        <v>282</v>
      </c>
      <c r="BA77" s="6" t="s">
        <v>589</v>
      </c>
      <c r="BB77" s="6">
        <v>0</v>
      </c>
      <c r="BC77" s="6">
        <v>9</v>
      </c>
      <c r="BD77" s="6">
        <v>9</v>
      </c>
      <c r="BE77" s="6">
        <v>0</v>
      </c>
      <c r="BF77" s="6" t="s">
        <v>590</v>
      </c>
      <c r="BG77" s="6">
        <v>8</v>
      </c>
      <c r="BH77" s="6">
        <v>44</v>
      </c>
      <c r="BI77" s="6">
        <v>38</v>
      </c>
      <c r="BJ77" s="6">
        <v>0</v>
      </c>
      <c r="BK77" s="6">
        <v>0</v>
      </c>
      <c r="BL77" s="6">
        <v>0</v>
      </c>
      <c r="BM77" s="6">
        <v>6</v>
      </c>
      <c r="BN77" s="6" t="b">
        <v>0</v>
      </c>
      <c r="BO77" s="6" t="b">
        <v>0</v>
      </c>
      <c r="BP77" s="6" t="b">
        <v>0</v>
      </c>
      <c r="BQ77" s="6" t="b">
        <v>0</v>
      </c>
      <c r="BR77" s="6">
        <v>0</v>
      </c>
      <c r="BS77" s="6">
        <v>0</v>
      </c>
      <c r="BT77" s="6" t="b">
        <v>0</v>
      </c>
      <c r="BU77" s="6" t="b">
        <v>0</v>
      </c>
      <c r="BV77" s="6" t="b">
        <v>0</v>
      </c>
      <c r="BW77" s="6" t="b">
        <v>0</v>
      </c>
      <c r="BX77" s="6">
        <v>0</v>
      </c>
      <c r="BY77" s="6">
        <v>2</v>
      </c>
      <c r="BZ77" s="6">
        <v>0</v>
      </c>
      <c r="CA77" s="6">
        <v>55</v>
      </c>
    </row>
    <row r="78" spans="1:79">
      <c r="A78" s="6" t="s">
        <v>280</v>
      </c>
      <c r="B78" s="6">
        <v>77</v>
      </c>
      <c r="C78" s="6">
        <v>1</v>
      </c>
      <c r="D78" s="6">
        <v>-1</v>
      </c>
      <c r="F78" s="6" t="b">
        <v>0</v>
      </c>
      <c r="G78" s="6">
        <v>3</v>
      </c>
      <c r="H78" s="6">
        <v>4</v>
      </c>
      <c r="I78" s="6">
        <v>4</v>
      </c>
      <c r="J78" s="6">
        <v>0</v>
      </c>
      <c r="K78" s="6">
        <v>1</v>
      </c>
      <c r="L78" s="6" t="s">
        <v>281</v>
      </c>
      <c r="M78" s="6" t="s">
        <v>141</v>
      </c>
      <c r="N78" s="6" t="s">
        <v>283</v>
      </c>
      <c r="O78" s="6" t="s">
        <v>141</v>
      </c>
      <c r="P78" s="6" t="s">
        <v>282</v>
      </c>
      <c r="Q78" s="6" t="s">
        <v>141</v>
      </c>
      <c r="R78" s="6" t="s">
        <v>282</v>
      </c>
      <c r="S78" s="6" t="s">
        <v>591</v>
      </c>
      <c r="T78" s="6">
        <v>2</v>
      </c>
      <c r="U78" s="6">
        <v>9</v>
      </c>
      <c r="V78" s="6">
        <v>15</v>
      </c>
      <c r="W78" s="6">
        <v>6</v>
      </c>
      <c r="X78" s="6" t="s">
        <v>592</v>
      </c>
      <c r="Y78" s="6">
        <v>8</v>
      </c>
      <c r="Z78" s="6">
        <v>38</v>
      </c>
      <c r="AA78" s="6">
        <v>30</v>
      </c>
      <c r="AB78" s="6">
        <v>4</v>
      </c>
      <c r="AC78" s="6">
        <v>1</v>
      </c>
      <c r="AD78" s="6">
        <v>0</v>
      </c>
      <c r="AE78" s="6">
        <v>4</v>
      </c>
      <c r="AF78" s="6" t="b">
        <v>1</v>
      </c>
      <c r="AG78" s="6" t="b">
        <v>0</v>
      </c>
      <c r="AH78" s="6" t="b">
        <v>0</v>
      </c>
      <c r="AI78" s="6" t="b">
        <v>0</v>
      </c>
      <c r="AJ78" s="6">
        <v>0</v>
      </c>
      <c r="AK78" s="6">
        <v>1</v>
      </c>
      <c r="AL78" s="6" t="b">
        <v>0</v>
      </c>
      <c r="AM78" s="6" t="b">
        <v>0</v>
      </c>
      <c r="AN78" s="6" t="b">
        <v>0</v>
      </c>
      <c r="AO78" s="6" t="b">
        <v>0</v>
      </c>
      <c r="AP78" s="6">
        <v>0</v>
      </c>
      <c r="AQ78" s="6">
        <v>6</v>
      </c>
      <c r="AR78" s="6">
        <v>1</v>
      </c>
      <c r="AS78" s="6">
        <v>59</v>
      </c>
      <c r="AT78" s="6" t="s">
        <v>286</v>
      </c>
      <c r="AU78" s="6" t="s">
        <v>141</v>
      </c>
      <c r="AV78" s="6" t="s">
        <v>283</v>
      </c>
      <c r="AW78" s="6" t="s">
        <v>141</v>
      </c>
      <c r="AX78" s="6" t="s">
        <v>282</v>
      </c>
      <c r="AY78" s="6" t="s">
        <v>141</v>
      </c>
      <c r="AZ78" s="6" t="s">
        <v>282</v>
      </c>
      <c r="BA78" s="6" t="s">
        <v>593</v>
      </c>
      <c r="BB78" s="6">
        <v>2</v>
      </c>
      <c r="BC78" s="6">
        <v>9</v>
      </c>
      <c r="BD78" s="6">
        <v>23</v>
      </c>
      <c r="BE78" s="6">
        <v>14</v>
      </c>
      <c r="BF78" s="6" t="s">
        <v>594</v>
      </c>
      <c r="BG78" s="6">
        <v>7</v>
      </c>
      <c r="BH78" s="6">
        <v>42</v>
      </c>
      <c r="BI78" s="6">
        <v>32</v>
      </c>
      <c r="BJ78" s="6">
        <v>6</v>
      </c>
      <c r="BK78" s="6">
        <v>0</v>
      </c>
      <c r="BL78" s="6">
        <v>1</v>
      </c>
      <c r="BM78" s="6">
        <v>4</v>
      </c>
      <c r="BN78" s="6" t="b">
        <v>1</v>
      </c>
      <c r="BO78" s="6" t="b">
        <v>0</v>
      </c>
      <c r="BP78" s="6" t="b">
        <v>0</v>
      </c>
      <c r="BQ78" s="6" t="b">
        <v>0</v>
      </c>
      <c r="BR78" s="6">
        <v>0</v>
      </c>
      <c r="BS78" s="6">
        <v>1</v>
      </c>
      <c r="BT78" s="6" t="b">
        <v>0</v>
      </c>
      <c r="BU78" s="6" t="b">
        <v>0</v>
      </c>
      <c r="BV78" s="6" t="b">
        <v>0</v>
      </c>
      <c r="BW78" s="6" t="b">
        <v>0</v>
      </c>
      <c r="BX78" s="6">
        <v>0</v>
      </c>
      <c r="BY78" s="6">
        <v>6</v>
      </c>
      <c r="BZ78" s="6">
        <v>4</v>
      </c>
      <c r="CA78" s="6">
        <v>71</v>
      </c>
    </row>
    <row r="79" spans="1:79">
      <c r="A79" s="6" t="s">
        <v>280</v>
      </c>
      <c r="B79" s="6">
        <v>78</v>
      </c>
      <c r="C79" s="6">
        <v>2</v>
      </c>
      <c r="D79" s="6">
        <v>-1</v>
      </c>
      <c r="F79" s="6" t="b">
        <v>1</v>
      </c>
      <c r="G79" s="6">
        <v>3</v>
      </c>
      <c r="H79" s="6">
        <v>4</v>
      </c>
      <c r="I79" s="6">
        <v>3</v>
      </c>
      <c r="J79" s="6">
        <v>0</v>
      </c>
      <c r="K79" s="6">
        <v>1</v>
      </c>
      <c r="L79" s="6" t="s">
        <v>281</v>
      </c>
      <c r="M79" s="6" t="s">
        <v>141</v>
      </c>
      <c r="N79" s="6" t="s">
        <v>282</v>
      </c>
      <c r="O79" s="6" t="s">
        <v>141</v>
      </c>
      <c r="P79" s="6" t="s">
        <v>282</v>
      </c>
      <c r="Q79" s="6" t="s">
        <v>141</v>
      </c>
      <c r="R79" s="6" t="s">
        <v>282</v>
      </c>
      <c r="S79" s="6" t="s">
        <v>595</v>
      </c>
      <c r="T79" s="6">
        <v>3</v>
      </c>
      <c r="U79" s="6">
        <v>9</v>
      </c>
      <c r="V79" s="6">
        <v>26</v>
      </c>
      <c r="W79" s="6">
        <v>17</v>
      </c>
      <c r="X79" s="6" t="s">
        <v>596</v>
      </c>
      <c r="Y79" s="6">
        <v>20</v>
      </c>
      <c r="Z79" s="6">
        <v>109</v>
      </c>
      <c r="AA79" s="6">
        <v>83</v>
      </c>
      <c r="AB79" s="6">
        <v>20</v>
      </c>
      <c r="AC79" s="6">
        <v>2</v>
      </c>
      <c r="AD79" s="6">
        <v>2</v>
      </c>
      <c r="AE79" s="6">
        <v>6</v>
      </c>
      <c r="AF79" s="6" t="b">
        <v>1</v>
      </c>
      <c r="AG79" s="6" t="b">
        <v>1</v>
      </c>
      <c r="AH79" s="6" t="b">
        <v>0</v>
      </c>
      <c r="AI79" s="6" t="b">
        <v>1</v>
      </c>
      <c r="AJ79" s="6">
        <v>0</v>
      </c>
      <c r="AK79" s="6">
        <v>0</v>
      </c>
      <c r="AL79" s="6" t="b">
        <v>0</v>
      </c>
      <c r="AM79" s="6" t="b">
        <v>0</v>
      </c>
      <c r="AN79" s="6" t="b">
        <v>0</v>
      </c>
      <c r="AO79" s="6" t="b">
        <v>0</v>
      </c>
      <c r="AP79" s="6">
        <v>0</v>
      </c>
      <c r="AQ79" s="6">
        <v>0</v>
      </c>
      <c r="AR79" s="6">
        <v>5</v>
      </c>
      <c r="AS79" s="6">
        <v>135</v>
      </c>
      <c r="AT79" s="6" t="s">
        <v>286</v>
      </c>
      <c r="AU79" s="6" t="s">
        <v>141</v>
      </c>
      <c r="AV79" s="6" t="s">
        <v>293</v>
      </c>
      <c r="AW79" s="6" t="s">
        <v>141</v>
      </c>
      <c r="AX79" s="6" t="s">
        <v>282</v>
      </c>
      <c r="AY79" s="6" t="s">
        <v>141</v>
      </c>
      <c r="AZ79" s="6" t="s">
        <v>283</v>
      </c>
      <c r="BA79" s="6" t="s">
        <v>597</v>
      </c>
      <c r="BB79" s="6">
        <v>0</v>
      </c>
      <c r="BC79" s="6">
        <v>9</v>
      </c>
      <c r="BD79" s="6">
        <v>9</v>
      </c>
      <c r="BE79" s="6">
        <v>0</v>
      </c>
      <c r="BF79" s="6" t="s">
        <v>598</v>
      </c>
      <c r="BG79" s="6">
        <v>16</v>
      </c>
      <c r="BH79" s="6">
        <v>93</v>
      </c>
      <c r="BI79" s="6">
        <v>63</v>
      </c>
      <c r="BJ79" s="6">
        <v>16</v>
      </c>
      <c r="BK79" s="6">
        <v>1</v>
      </c>
      <c r="BL79" s="6">
        <v>2</v>
      </c>
      <c r="BM79" s="6">
        <v>14</v>
      </c>
      <c r="BN79" s="6" t="b">
        <v>0</v>
      </c>
      <c r="BO79" s="6" t="b">
        <v>0</v>
      </c>
      <c r="BP79" s="6" t="b">
        <v>1</v>
      </c>
      <c r="BQ79" s="6" t="b">
        <v>0</v>
      </c>
      <c r="BR79" s="6">
        <v>0</v>
      </c>
      <c r="BS79" s="6">
        <v>0</v>
      </c>
      <c r="BT79" s="6" t="b">
        <v>0</v>
      </c>
      <c r="BU79" s="6" t="b">
        <v>0</v>
      </c>
      <c r="BV79" s="6" t="b">
        <v>0</v>
      </c>
      <c r="BW79" s="6" t="b">
        <v>0</v>
      </c>
      <c r="BX79" s="6">
        <v>0</v>
      </c>
      <c r="BY79" s="6">
        <v>0</v>
      </c>
      <c r="BZ79" s="6">
        <v>1</v>
      </c>
      <c r="CA79" s="6">
        <v>102</v>
      </c>
    </row>
    <row r="80" spans="1:79">
      <c r="A80" s="6" t="s">
        <v>280</v>
      </c>
      <c r="B80" s="6">
        <v>79</v>
      </c>
      <c r="C80" s="6">
        <v>2</v>
      </c>
      <c r="D80" s="6">
        <v>-1</v>
      </c>
      <c r="F80" s="6" t="b">
        <v>1</v>
      </c>
      <c r="G80" s="6">
        <v>3</v>
      </c>
      <c r="H80" s="6">
        <v>4</v>
      </c>
      <c r="I80" s="6">
        <v>3</v>
      </c>
      <c r="J80" s="6">
        <v>0</v>
      </c>
      <c r="K80" s="6">
        <v>1</v>
      </c>
      <c r="L80" s="6" t="s">
        <v>281</v>
      </c>
      <c r="M80" s="6" t="s">
        <v>141</v>
      </c>
      <c r="N80" s="6" t="s">
        <v>282</v>
      </c>
      <c r="O80" s="6" t="s">
        <v>141</v>
      </c>
      <c r="P80" s="6" t="s">
        <v>282</v>
      </c>
      <c r="Q80" s="6" t="s">
        <v>141</v>
      </c>
      <c r="R80" s="6" t="s">
        <v>283</v>
      </c>
      <c r="S80" s="6" t="s">
        <v>599</v>
      </c>
      <c r="T80" s="6">
        <v>2</v>
      </c>
      <c r="U80" s="6">
        <v>9</v>
      </c>
      <c r="V80" s="6">
        <v>19</v>
      </c>
      <c r="W80" s="6">
        <v>10</v>
      </c>
      <c r="X80" s="6" t="s">
        <v>600</v>
      </c>
      <c r="Y80" s="6">
        <v>13</v>
      </c>
      <c r="Z80" s="6">
        <v>76</v>
      </c>
      <c r="AA80" s="6">
        <v>52</v>
      </c>
      <c r="AB80" s="6">
        <v>20</v>
      </c>
      <c r="AC80" s="6">
        <v>2</v>
      </c>
      <c r="AD80" s="6">
        <v>2</v>
      </c>
      <c r="AE80" s="6">
        <v>4</v>
      </c>
      <c r="AF80" s="6" t="b">
        <v>1</v>
      </c>
      <c r="AG80" s="6" t="b">
        <v>0</v>
      </c>
      <c r="AH80" s="6" t="b">
        <v>0</v>
      </c>
      <c r="AI80" s="6" t="b">
        <v>1</v>
      </c>
      <c r="AJ80" s="6">
        <v>0</v>
      </c>
      <c r="AK80" s="6">
        <v>1</v>
      </c>
      <c r="AL80" s="6" t="b">
        <v>0</v>
      </c>
      <c r="AM80" s="6" t="b">
        <v>0</v>
      </c>
      <c r="AN80" s="6" t="b">
        <v>0</v>
      </c>
      <c r="AO80" s="6" t="b">
        <v>0</v>
      </c>
      <c r="AP80" s="6">
        <v>0</v>
      </c>
      <c r="AQ80" s="6">
        <v>0</v>
      </c>
      <c r="AR80" s="6">
        <v>4</v>
      </c>
      <c r="AS80" s="6">
        <v>95</v>
      </c>
      <c r="AT80" s="6" t="s">
        <v>286</v>
      </c>
      <c r="AU80" s="6" t="s">
        <v>141</v>
      </c>
      <c r="AV80" s="6" t="s">
        <v>282</v>
      </c>
      <c r="AW80" s="6" t="s">
        <v>141</v>
      </c>
      <c r="AX80" s="6" t="s">
        <v>282</v>
      </c>
      <c r="AY80" s="6" t="s">
        <v>141</v>
      </c>
      <c r="AZ80" s="6" t="s">
        <v>282</v>
      </c>
      <c r="BA80" s="6" t="s">
        <v>601</v>
      </c>
      <c r="BB80" s="6">
        <v>0</v>
      </c>
      <c r="BC80" s="6">
        <v>9</v>
      </c>
      <c r="BD80" s="6">
        <v>9</v>
      </c>
      <c r="BE80" s="6">
        <v>0</v>
      </c>
      <c r="BF80" s="6" t="s">
        <v>602</v>
      </c>
      <c r="BG80" s="6">
        <v>8</v>
      </c>
      <c r="BH80" s="6">
        <v>66</v>
      </c>
      <c r="BI80" s="6">
        <v>40</v>
      </c>
      <c r="BJ80" s="6">
        <v>20</v>
      </c>
      <c r="BK80" s="6">
        <v>2</v>
      </c>
      <c r="BL80" s="6">
        <v>2</v>
      </c>
      <c r="BM80" s="6">
        <v>6</v>
      </c>
      <c r="BN80" s="6" t="b">
        <v>0</v>
      </c>
      <c r="BO80" s="6" t="b">
        <v>0</v>
      </c>
      <c r="BP80" s="6" t="b">
        <v>0</v>
      </c>
      <c r="BQ80" s="6" t="b">
        <v>0</v>
      </c>
      <c r="BR80" s="6">
        <v>0</v>
      </c>
      <c r="BS80" s="6">
        <v>0</v>
      </c>
      <c r="BT80" s="6" t="b">
        <v>0</v>
      </c>
      <c r="BU80" s="6" t="b">
        <v>0</v>
      </c>
      <c r="BV80" s="6" t="b">
        <v>0</v>
      </c>
      <c r="BW80" s="6" t="b">
        <v>0</v>
      </c>
      <c r="BX80" s="6">
        <v>0</v>
      </c>
      <c r="BY80" s="6">
        <v>6</v>
      </c>
      <c r="BZ80" s="6">
        <v>0</v>
      </c>
      <c r="CA80" s="6">
        <v>81</v>
      </c>
    </row>
    <row r="81" spans="1:79">
      <c r="A81" s="6" t="s">
        <v>280</v>
      </c>
      <c r="B81" s="6">
        <v>80</v>
      </c>
      <c r="C81" s="6">
        <v>2</v>
      </c>
      <c r="D81" s="6">
        <v>-1</v>
      </c>
      <c r="F81" s="6" t="b">
        <v>0</v>
      </c>
      <c r="G81" s="6">
        <v>3</v>
      </c>
      <c r="H81" s="6">
        <v>4</v>
      </c>
      <c r="I81" s="6">
        <v>4</v>
      </c>
      <c r="J81" s="6">
        <v>0</v>
      </c>
      <c r="K81" s="6">
        <v>1</v>
      </c>
      <c r="L81" s="6" t="s">
        <v>281</v>
      </c>
      <c r="M81" s="6" t="s">
        <v>141</v>
      </c>
      <c r="N81" s="6" t="s">
        <v>282</v>
      </c>
      <c r="O81" s="6" t="s">
        <v>141</v>
      </c>
      <c r="P81" s="6" t="s">
        <v>282</v>
      </c>
      <c r="Q81" s="6" t="s">
        <v>141</v>
      </c>
      <c r="R81" s="6" t="s">
        <v>282</v>
      </c>
      <c r="S81" s="6" t="s">
        <v>603</v>
      </c>
      <c r="T81" s="6">
        <v>4</v>
      </c>
      <c r="U81" s="6">
        <v>9</v>
      </c>
      <c r="V81" s="6">
        <v>33</v>
      </c>
      <c r="W81" s="6">
        <v>24</v>
      </c>
      <c r="X81" s="6" t="s">
        <v>604</v>
      </c>
      <c r="Y81" s="6">
        <v>13</v>
      </c>
      <c r="Z81" s="6">
        <v>64</v>
      </c>
      <c r="AA81" s="6">
        <v>50</v>
      </c>
      <c r="AB81" s="6">
        <v>8</v>
      </c>
      <c r="AC81" s="6">
        <v>2</v>
      </c>
      <c r="AD81" s="6">
        <v>0</v>
      </c>
      <c r="AE81" s="6">
        <v>6</v>
      </c>
      <c r="AF81" s="6" t="b">
        <v>1</v>
      </c>
      <c r="AG81" s="6" t="b">
        <v>0</v>
      </c>
      <c r="AH81" s="6" t="b">
        <v>0</v>
      </c>
      <c r="AI81" s="6" t="b">
        <v>0</v>
      </c>
      <c r="AJ81" s="6">
        <v>0</v>
      </c>
      <c r="AK81" s="6">
        <v>0</v>
      </c>
      <c r="AL81" s="6" t="b">
        <v>0</v>
      </c>
      <c r="AM81" s="6" t="b">
        <v>0</v>
      </c>
      <c r="AN81" s="6" t="b">
        <v>0</v>
      </c>
      <c r="AO81" s="6" t="b">
        <v>0</v>
      </c>
      <c r="AP81" s="6">
        <v>0</v>
      </c>
      <c r="AQ81" s="6">
        <v>0</v>
      </c>
      <c r="AR81" s="6">
        <v>4</v>
      </c>
      <c r="AS81" s="6">
        <v>97</v>
      </c>
      <c r="AT81" s="6" t="s">
        <v>286</v>
      </c>
      <c r="AU81" s="6" t="s">
        <v>141</v>
      </c>
      <c r="AV81" s="6" t="s">
        <v>282</v>
      </c>
      <c r="AW81" s="6" t="s">
        <v>141</v>
      </c>
      <c r="AX81" s="6" t="s">
        <v>283</v>
      </c>
      <c r="AY81" s="6" t="s">
        <v>141</v>
      </c>
      <c r="AZ81" s="6" t="s">
        <v>282</v>
      </c>
      <c r="BA81" s="6" t="s">
        <v>605</v>
      </c>
      <c r="BB81" s="6">
        <v>1</v>
      </c>
      <c r="BC81" s="6">
        <v>9</v>
      </c>
      <c r="BD81" s="6">
        <v>12</v>
      </c>
      <c r="BE81" s="6">
        <v>3</v>
      </c>
      <c r="BF81" s="6" t="s">
        <v>606</v>
      </c>
      <c r="BG81" s="6">
        <v>5</v>
      </c>
      <c r="BH81" s="6">
        <v>21</v>
      </c>
      <c r="BI81" s="6">
        <v>17</v>
      </c>
      <c r="BJ81" s="6">
        <v>0</v>
      </c>
      <c r="BK81" s="6">
        <v>0</v>
      </c>
      <c r="BL81" s="6">
        <v>0</v>
      </c>
      <c r="BM81" s="6">
        <v>4</v>
      </c>
      <c r="BN81" s="6" t="b">
        <v>1</v>
      </c>
      <c r="BO81" s="6" t="b">
        <v>0</v>
      </c>
      <c r="BP81" s="6" t="b">
        <v>0</v>
      </c>
      <c r="BQ81" s="6" t="b">
        <v>0</v>
      </c>
      <c r="BR81" s="6">
        <v>0</v>
      </c>
      <c r="BS81" s="6">
        <v>0</v>
      </c>
      <c r="BT81" s="6" t="b">
        <v>0</v>
      </c>
      <c r="BU81" s="6" t="b">
        <v>0</v>
      </c>
      <c r="BV81" s="6" t="b">
        <v>0</v>
      </c>
      <c r="BW81" s="6" t="b">
        <v>0</v>
      </c>
      <c r="BX81" s="6">
        <v>0</v>
      </c>
      <c r="BY81" s="6">
        <v>0</v>
      </c>
      <c r="BZ81" s="6">
        <v>1</v>
      </c>
      <c r="CA81" s="6">
        <v>33</v>
      </c>
    </row>
    <row r="82" spans="1:79">
      <c r="A82" s="6" t="s">
        <v>280</v>
      </c>
      <c r="B82" s="6">
        <v>81</v>
      </c>
      <c r="C82" s="6">
        <v>1</v>
      </c>
      <c r="D82" s="6">
        <v>-1</v>
      </c>
      <c r="F82" s="6" t="b">
        <v>0</v>
      </c>
      <c r="G82" s="6">
        <v>3</v>
      </c>
      <c r="H82" s="6">
        <v>4</v>
      </c>
      <c r="I82" s="6">
        <v>4</v>
      </c>
      <c r="J82" s="6">
        <v>0</v>
      </c>
      <c r="K82" s="6">
        <v>1</v>
      </c>
      <c r="L82" s="6" t="s">
        <v>281</v>
      </c>
      <c r="M82" s="6" t="s">
        <v>141</v>
      </c>
      <c r="N82" s="6" t="s">
        <v>282</v>
      </c>
      <c r="O82" s="6" t="s">
        <v>141</v>
      </c>
      <c r="P82" s="6" t="s">
        <v>282</v>
      </c>
      <c r="Q82" s="6" t="s">
        <v>141</v>
      </c>
      <c r="R82" s="6" t="s">
        <v>282</v>
      </c>
      <c r="S82" s="6" t="s">
        <v>607</v>
      </c>
      <c r="T82" s="6">
        <v>0</v>
      </c>
      <c r="U82" s="6">
        <v>9</v>
      </c>
      <c r="V82" s="6">
        <v>9</v>
      </c>
      <c r="W82" s="6">
        <v>0</v>
      </c>
      <c r="X82" s="6" t="s">
        <v>608</v>
      </c>
      <c r="Y82" s="6">
        <v>2</v>
      </c>
      <c r="Z82" s="6">
        <v>12</v>
      </c>
      <c r="AA82" s="6">
        <v>6</v>
      </c>
      <c r="AB82" s="6">
        <v>0</v>
      </c>
      <c r="AC82" s="6">
        <v>0</v>
      </c>
      <c r="AD82" s="6">
        <v>0</v>
      </c>
      <c r="AE82" s="6">
        <v>6</v>
      </c>
      <c r="AF82" s="6" t="b">
        <v>0</v>
      </c>
      <c r="AG82" s="6" t="b">
        <v>0</v>
      </c>
      <c r="AH82" s="6" t="b">
        <v>0</v>
      </c>
      <c r="AI82" s="6" t="b">
        <v>0</v>
      </c>
      <c r="AJ82" s="6">
        <v>2</v>
      </c>
      <c r="AK82" s="6">
        <v>1</v>
      </c>
      <c r="AL82" s="6" t="b">
        <v>0</v>
      </c>
      <c r="AM82" s="6" t="b">
        <v>0</v>
      </c>
      <c r="AN82" s="6" t="b">
        <v>0</v>
      </c>
      <c r="AO82" s="6" t="b">
        <v>0</v>
      </c>
      <c r="AP82" s="6">
        <v>0</v>
      </c>
      <c r="AQ82" s="6">
        <v>0</v>
      </c>
      <c r="AR82" s="6">
        <v>0</v>
      </c>
      <c r="AS82" s="6">
        <v>21</v>
      </c>
      <c r="AT82" s="6" t="s">
        <v>286</v>
      </c>
      <c r="AU82" s="6" t="s">
        <v>141</v>
      </c>
      <c r="AV82" s="6" t="s">
        <v>378</v>
      </c>
      <c r="AW82" s="6" t="s">
        <v>141</v>
      </c>
      <c r="AX82" s="6" t="s">
        <v>282</v>
      </c>
      <c r="AY82" s="6" t="s">
        <v>141</v>
      </c>
      <c r="AZ82" s="6" t="s">
        <v>293</v>
      </c>
      <c r="BA82" s="6" t="s">
        <v>609</v>
      </c>
      <c r="BB82" s="6">
        <v>0</v>
      </c>
      <c r="BC82" s="6">
        <v>9</v>
      </c>
      <c r="BD82" s="6">
        <v>9</v>
      </c>
      <c r="BE82" s="6">
        <v>0</v>
      </c>
      <c r="BF82" s="6" t="s">
        <v>610</v>
      </c>
      <c r="BG82" s="6">
        <v>1</v>
      </c>
      <c r="BH82" s="6">
        <v>61</v>
      </c>
      <c r="BI82" s="6">
        <v>5</v>
      </c>
      <c r="BJ82" s="6">
        <v>36</v>
      </c>
      <c r="BK82" s="6">
        <v>9</v>
      </c>
      <c r="BL82" s="6">
        <v>0</v>
      </c>
      <c r="BM82" s="6">
        <v>20</v>
      </c>
      <c r="BN82" s="6" t="b">
        <v>0</v>
      </c>
      <c r="BO82" s="6" t="b">
        <v>0</v>
      </c>
      <c r="BP82" s="6" t="b">
        <v>1</v>
      </c>
      <c r="BQ82" s="6" t="b">
        <v>0</v>
      </c>
      <c r="BR82" s="6">
        <v>0</v>
      </c>
      <c r="BS82" s="6">
        <v>0</v>
      </c>
      <c r="BT82" s="6" t="b">
        <v>0</v>
      </c>
      <c r="BU82" s="6" t="b">
        <v>0</v>
      </c>
      <c r="BV82" s="6" t="b">
        <v>0</v>
      </c>
      <c r="BW82" s="6" t="b">
        <v>0</v>
      </c>
      <c r="BX82" s="6">
        <v>0</v>
      </c>
      <c r="BY82" s="6">
        <v>10</v>
      </c>
      <c r="BZ82" s="6">
        <v>4</v>
      </c>
      <c r="CA82" s="6">
        <v>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T1000"/>
  <sheetViews>
    <sheetView workbookViewId="0"/>
  </sheetViews>
  <sheetFormatPr defaultColWidth="12.5703125" defaultRowHeight="15.75" customHeight="1"/>
  <sheetData>
    <row r="1" spans="1:20">
      <c r="A1" s="6" t="str">
        <f t="array" ref="A1:B1000">'Score Breakdown'!A:B</f>
        <v>matchLevel</v>
      </c>
      <c r="B1" s="6" t="str">
        <v>matchNumber</v>
      </c>
      <c r="C1" s="6" t="str">
        <f ca="1">IFERROR(__xludf.DUMMYFUNCTION("ArrayFormula({FILTER('API Internal Schedule'!1:1, REGEXMATCH('API Internal Schedule'!1:1, ""teamNumber"")),FILTER('Score Breakdown'!1:1, REGEXMATCH('Score Breakdown'!1:1, ""Robot1|Robot2|Robot3""))})"),"teams_0_teamNumber")</f>
        <v>teams_0_teamNumber</v>
      </c>
      <c r="D1" s="6" t="str">
        <f ca="1">IFERROR(__xludf.DUMMYFUNCTION("""COMPUTED_VALUE"""),"teams_1_teamNumber")</f>
        <v>teams_1_teamNumber</v>
      </c>
      <c r="E1" s="6" t="str">
        <f ca="1">IFERROR(__xludf.DUMMYFUNCTION("""COMPUTED_VALUE"""),"teams_2_teamNumber")</f>
        <v>teams_2_teamNumber</v>
      </c>
      <c r="F1" s="6" t="str">
        <f ca="1">IFERROR(__xludf.DUMMYFUNCTION("""COMPUTED_VALUE"""),"teams_3_teamNumber")</f>
        <v>teams_3_teamNumber</v>
      </c>
      <c r="G1" s="6" t="str">
        <f ca="1">IFERROR(__xludf.DUMMYFUNCTION("""COMPUTED_VALUE"""),"teams_4_teamNumber")</f>
        <v>teams_4_teamNumber</v>
      </c>
      <c r="H1" s="6" t="str">
        <f ca="1">IFERROR(__xludf.DUMMYFUNCTION("""COMPUTED_VALUE"""),"teams_5_teamNumber")</f>
        <v>teams_5_teamNumber</v>
      </c>
      <c r="I1" s="6" t="str">
        <f ca="1">IFERROR(__xludf.DUMMYFUNCTION("""COMPUTED_VALUE"""),"alliances_0_autoLineRobot1")</f>
        <v>alliances_0_autoLineRobot1</v>
      </c>
      <c r="J1" s="6" t="str">
        <f ca="1">IFERROR(__xludf.DUMMYFUNCTION("""COMPUTED_VALUE"""),"alliances_0_endGameRobot1")</f>
        <v>alliances_0_endGameRobot1</v>
      </c>
      <c r="K1" s="6" t="str">
        <f ca="1">IFERROR(__xludf.DUMMYFUNCTION("""COMPUTED_VALUE"""),"alliances_0_autoLineRobot2")</f>
        <v>alliances_0_autoLineRobot2</v>
      </c>
      <c r="L1" s="6" t="str">
        <f ca="1">IFERROR(__xludf.DUMMYFUNCTION("""COMPUTED_VALUE"""),"alliances_0_endGameRobot2")</f>
        <v>alliances_0_endGameRobot2</v>
      </c>
      <c r="M1" s="6" t="str">
        <f ca="1">IFERROR(__xludf.DUMMYFUNCTION("""COMPUTED_VALUE"""),"alliances_0_autoLineRobot3")</f>
        <v>alliances_0_autoLineRobot3</v>
      </c>
      <c r="N1" s="6" t="str">
        <f ca="1">IFERROR(__xludf.DUMMYFUNCTION("""COMPUTED_VALUE"""),"alliances_0_endGameRobot3")</f>
        <v>alliances_0_endGameRobot3</v>
      </c>
      <c r="O1" s="6" t="str">
        <f ca="1">IFERROR(__xludf.DUMMYFUNCTION("""COMPUTED_VALUE"""),"alliances_1_autoLineRobot1")</f>
        <v>alliances_1_autoLineRobot1</v>
      </c>
      <c r="P1" s="6" t="str">
        <f ca="1">IFERROR(__xludf.DUMMYFUNCTION("""COMPUTED_VALUE"""),"alliances_1_endGameRobot1")</f>
        <v>alliances_1_endGameRobot1</v>
      </c>
      <c r="Q1" s="6" t="str">
        <f ca="1">IFERROR(__xludf.DUMMYFUNCTION("""COMPUTED_VALUE"""),"alliances_1_autoLineRobot2")</f>
        <v>alliances_1_autoLineRobot2</v>
      </c>
      <c r="R1" s="6" t="str">
        <f ca="1">IFERROR(__xludf.DUMMYFUNCTION("""COMPUTED_VALUE"""),"alliances_1_endGameRobot2")</f>
        <v>alliances_1_endGameRobot2</v>
      </c>
      <c r="S1" s="6" t="str">
        <f ca="1">IFERROR(__xludf.DUMMYFUNCTION("""COMPUTED_VALUE"""),"alliances_1_autoLineRobot3")</f>
        <v>alliances_1_autoLineRobot3</v>
      </c>
      <c r="T1" s="6" t="str">
        <f ca="1">IFERROR(__xludf.DUMMYFUNCTION("""COMPUTED_VALUE"""),"alliances_1_endGameRobot3")</f>
        <v>alliances_1_endGameRobot3</v>
      </c>
    </row>
    <row r="2" spans="1:20">
      <c r="A2" s="6" t="str">
        <v>Qualification</v>
      </c>
      <c r="B2" s="6">
        <v>1</v>
      </c>
      <c r="C2" s="6" t="e">
        <f t="array" aca="1" ref="C2:H1000" ca="1">_xludf.CHOOSECOLS('API Internal Schedule'!F2:U1000,10,13,16,1,4,7)</f>
        <v>#NAME?</v>
      </c>
      <c r="D2" s="6" t="e">
        <f ca="1"/>
        <v>#NAME?</v>
      </c>
      <c r="E2" s="6" t="e">
        <f ca="1"/>
        <v>#NAME?</v>
      </c>
      <c r="F2" s="6" t="e">
        <f ca="1"/>
        <v>#NAME?</v>
      </c>
      <c r="G2" s="6" t="e">
        <f ca="1"/>
        <v>#NAME?</v>
      </c>
      <c r="H2" s="6" t="e">
        <f ca="1"/>
        <v>#NAME?</v>
      </c>
      <c r="I2" s="6" t="str">
        <f ca="1">IFERROR(__xludf.DUMMYFUNCTION("CHOOSECOLS('Score Breakdown'!$A$2:Z$999, FILTER(MATCH(TRANSPOSE(FILTER('Score Breakdown'!1:1, REGEXMATCH('Score Breakdown'!1:1, ""Robot1|Robot2|Robot3""))), 'Score Breakdown'!$A$1:Z$1, 0), ISNUMBER(MATCH(TRANSPOSE(FILTER('Score Breakdown'!1:1, REGEXMATCH("&amp;"'Score Breakdown'!1:1, ""Robot1|Robot2|Robot3""))), 'Score Breakdown'!$A$1:Z$1, 0))))"),"Yes")</f>
        <v>Yes</v>
      </c>
      <c r="J2" s="6" t="str">
        <f ca="1">IFERROR(__xludf.DUMMYFUNCTION("""COMPUTED_VALUE"""),"Parked")</f>
        <v>Parked</v>
      </c>
      <c r="K2" s="6" t="str">
        <f ca="1">IFERROR(__xludf.DUMMYFUNCTION("""COMPUTED_VALUE"""),"Yes")</f>
        <v>Yes</v>
      </c>
      <c r="L2" s="6" t="str">
        <f ca="1">IFERROR(__xludf.DUMMYFUNCTION("""COMPUTED_VALUE"""),"None")</f>
        <v>None</v>
      </c>
      <c r="M2" s="6" t="str">
        <f ca="1">IFERROR(__xludf.DUMMYFUNCTION("""COMPUTED_VALUE"""),"No")</f>
        <v>No</v>
      </c>
      <c r="N2" s="6" t="str">
        <f ca="1">IFERROR(__xludf.DUMMYFUNCTION("""COMPUTED_VALUE"""),"None")</f>
        <v>None</v>
      </c>
      <c r="O2" s="6" t="str">
        <f ca="1">IFERROR(__xludf.DUMMYFUNCTION("""COMPUTED_VALUE"""),"No")</f>
        <v>No</v>
      </c>
      <c r="P2" s="6" t="str">
        <f ca="1">IFERROR(__xludf.DUMMYFUNCTION("""COMPUTED_VALUE"""),"None")</f>
        <v>None</v>
      </c>
      <c r="Q2" s="6" t="str">
        <f ca="1">IFERROR(__xludf.DUMMYFUNCTION("""COMPUTED_VALUE"""),"No")</f>
        <v>No</v>
      </c>
      <c r="R2" s="6" t="str">
        <f ca="1">IFERROR(__xludf.DUMMYFUNCTION("""COMPUTED_VALUE"""),"Parked")</f>
        <v>Parked</v>
      </c>
      <c r="S2" s="6" t="str">
        <f ca="1">IFERROR(__xludf.DUMMYFUNCTION("""COMPUTED_VALUE"""),"Yes")</f>
        <v>Yes</v>
      </c>
      <c r="T2" s="6" t="str">
        <f ca="1">IFERROR(__xludf.DUMMYFUNCTION("""COMPUTED_VALUE"""),"Parked")</f>
        <v>Parked</v>
      </c>
    </row>
    <row r="3" spans="1:20">
      <c r="A3" s="6" t="str">
        <v>Qualification</v>
      </c>
      <c r="B3" s="6">
        <v>2</v>
      </c>
      <c r="C3" s="6" t="e">
        <f ca="1"/>
        <v>#NAME?</v>
      </c>
      <c r="D3" s="6" t="e">
        <f ca="1"/>
        <v>#NAME?</v>
      </c>
      <c r="E3" s="6" t="e">
        <f ca="1"/>
        <v>#NAME?</v>
      </c>
      <c r="F3" s="6" t="e">
        <f ca="1"/>
        <v>#NAME?</v>
      </c>
      <c r="G3" s="6" t="e">
        <f ca="1"/>
        <v>#NAME?</v>
      </c>
      <c r="H3" s="6" t="e">
        <f ca="1"/>
        <v>#NAME?</v>
      </c>
      <c r="I3" s="6" t="str">
        <f ca="1">IFERROR(__xludf.DUMMYFUNCTION("""COMPUTED_VALUE"""),"Yes")</f>
        <v>Yes</v>
      </c>
      <c r="J3" s="6" t="str">
        <f ca="1">IFERROR(__xludf.DUMMYFUNCTION("""COMPUTED_VALUE"""),"None")</f>
        <v>None</v>
      </c>
      <c r="K3" s="6" t="str">
        <f ca="1">IFERROR(__xludf.DUMMYFUNCTION("""COMPUTED_VALUE"""),"No")</f>
        <v>No</v>
      </c>
      <c r="L3" s="6" t="str">
        <f ca="1">IFERROR(__xludf.DUMMYFUNCTION("""COMPUTED_VALUE"""),"Parked")</f>
        <v>Parked</v>
      </c>
      <c r="M3" s="6" t="str">
        <f ca="1">IFERROR(__xludf.DUMMYFUNCTION("""COMPUTED_VALUE"""),"No")</f>
        <v>No</v>
      </c>
      <c r="N3" s="6" t="str">
        <f ca="1">IFERROR(__xludf.DUMMYFUNCTION("""COMPUTED_VALUE"""),"None")</f>
        <v>None</v>
      </c>
      <c r="O3" s="6" t="str">
        <f ca="1">IFERROR(__xludf.DUMMYFUNCTION("""COMPUTED_VALUE"""),"No")</f>
        <v>No</v>
      </c>
      <c r="P3" s="6" t="str">
        <f ca="1">IFERROR(__xludf.DUMMYFUNCTION("""COMPUTED_VALUE"""),"Parked")</f>
        <v>Parked</v>
      </c>
      <c r="Q3" s="6" t="str">
        <f ca="1">IFERROR(__xludf.DUMMYFUNCTION("""COMPUTED_VALUE"""),"Yes")</f>
        <v>Yes</v>
      </c>
      <c r="R3" s="6" t="str">
        <f ca="1">IFERROR(__xludf.DUMMYFUNCTION("""COMPUTED_VALUE"""),"Parked")</f>
        <v>Parked</v>
      </c>
      <c r="S3" s="6" t="str">
        <f ca="1">IFERROR(__xludf.DUMMYFUNCTION("""COMPUTED_VALUE"""),"Yes")</f>
        <v>Yes</v>
      </c>
      <c r="T3" s="6" t="str">
        <f ca="1">IFERROR(__xludf.DUMMYFUNCTION("""COMPUTED_VALUE"""),"Parked")</f>
        <v>Parked</v>
      </c>
    </row>
    <row r="4" spans="1:20">
      <c r="A4" s="6" t="str">
        <v>Qualification</v>
      </c>
      <c r="B4" s="6">
        <v>3</v>
      </c>
      <c r="C4" s="6" t="e">
        <f ca="1"/>
        <v>#NAME?</v>
      </c>
      <c r="D4" s="6" t="e">
        <f ca="1"/>
        <v>#NAME?</v>
      </c>
      <c r="E4" s="6" t="e">
        <f ca="1"/>
        <v>#NAME?</v>
      </c>
      <c r="F4" s="6" t="e">
        <f ca="1"/>
        <v>#NAME?</v>
      </c>
      <c r="G4" s="6" t="e">
        <f ca="1"/>
        <v>#NAME?</v>
      </c>
      <c r="H4" s="6" t="e">
        <f ca="1"/>
        <v>#NAME?</v>
      </c>
      <c r="I4" s="6" t="str">
        <f ca="1">IFERROR(__xludf.DUMMYFUNCTION("""COMPUTED_VALUE"""),"Yes")</f>
        <v>Yes</v>
      </c>
      <c r="J4" s="6" t="str">
        <f ca="1">IFERROR(__xludf.DUMMYFUNCTION("""COMPUTED_VALUE"""),"DeepCage")</f>
        <v>DeepCage</v>
      </c>
      <c r="K4" s="6" t="str">
        <f ca="1">IFERROR(__xludf.DUMMYFUNCTION("""COMPUTED_VALUE"""),"No")</f>
        <v>No</v>
      </c>
      <c r="L4" s="6" t="str">
        <f ca="1">IFERROR(__xludf.DUMMYFUNCTION("""COMPUTED_VALUE"""),"Parked")</f>
        <v>Parked</v>
      </c>
      <c r="M4" s="6" t="str">
        <f ca="1">IFERROR(__xludf.DUMMYFUNCTION("""COMPUTED_VALUE"""),"Yes")</f>
        <v>Yes</v>
      </c>
      <c r="N4" s="6" t="str">
        <f ca="1">IFERROR(__xludf.DUMMYFUNCTION("""COMPUTED_VALUE"""),"None")</f>
        <v>None</v>
      </c>
      <c r="O4" s="6" t="str">
        <f ca="1">IFERROR(__xludf.DUMMYFUNCTION("""COMPUTED_VALUE"""),"Yes")</f>
        <v>Yes</v>
      </c>
      <c r="P4" s="6" t="str">
        <f ca="1">IFERROR(__xludf.DUMMYFUNCTION("""COMPUTED_VALUE"""),"Parked")</f>
        <v>Parked</v>
      </c>
      <c r="Q4" s="6" t="str">
        <f ca="1">IFERROR(__xludf.DUMMYFUNCTION("""COMPUTED_VALUE"""),"No")</f>
        <v>No</v>
      </c>
      <c r="R4" s="6" t="str">
        <f ca="1">IFERROR(__xludf.DUMMYFUNCTION("""COMPUTED_VALUE"""),"Parked")</f>
        <v>Parked</v>
      </c>
      <c r="S4" s="6" t="str">
        <f ca="1">IFERROR(__xludf.DUMMYFUNCTION("""COMPUTED_VALUE"""),"Yes")</f>
        <v>Yes</v>
      </c>
      <c r="T4" s="6" t="str">
        <f ca="1">IFERROR(__xludf.DUMMYFUNCTION("""COMPUTED_VALUE"""),"Parked")</f>
        <v>Parked</v>
      </c>
    </row>
    <row r="5" spans="1:20">
      <c r="A5" s="6" t="str">
        <v>Qualification</v>
      </c>
      <c r="B5" s="6">
        <v>4</v>
      </c>
      <c r="C5" s="6" t="e">
        <f ca="1"/>
        <v>#NAME?</v>
      </c>
      <c r="D5" s="6" t="e">
        <f ca="1"/>
        <v>#NAME?</v>
      </c>
      <c r="E5" s="6" t="e">
        <f ca="1"/>
        <v>#NAME?</v>
      </c>
      <c r="F5" s="6" t="e">
        <f ca="1"/>
        <v>#NAME?</v>
      </c>
      <c r="G5" s="6" t="e">
        <f ca="1"/>
        <v>#NAME?</v>
      </c>
      <c r="H5" s="6" t="e">
        <f ca="1"/>
        <v>#NAME?</v>
      </c>
      <c r="I5" s="6" t="str">
        <f ca="1">IFERROR(__xludf.DUMMYFUNCTION("""COMPUTED_VALUE"""),"Yes")</f>
        <v>Yes</v>
      </c>
      <c r="J5" s="6" t="str">
        <f ca="1">IFERROR(__xludf.DUMMYFUNCTION("""COMPUTED_VALUE"""),"Parked")</f>
        <v>Parked</v>
      </c>
      <c r="K5" s="6" t="str">
        <f ca="1">IFERROR(__xludf.DUMMYFUNCTION("""COMPUTED_VALUE"""),"Yes")</f>
        <v>Yes</v>
      </c>
      <c r="L5" s="6" t="str">
        <f ca="1">IFERROR(__xludf.DUMMYFUNCTION("""COMPUTED_VALUE"""),"Parked")</f>
        <v>Parked</v>
      </c>
      <c r="M5" s="6" t="str">
        <f ca="1">IFERROR(__xludf.DUMMYFUNCTION("""COMPUTED_VALUE"""),"Yes")</f>
        <v>Yes</v>
      </c>
      <c r="N5" s="6" t="str">
        <f ca="1">IFERROR(__xludf.DUMMYFUNCTION("""COMPUTED_VALUE"""),"Parked")</f>
        <v>Parked</v>
      </c>
      <c r="O5" s="6" t="str">
        <f ca="1">IFERROR(__xludf.DUMMYFUNCTION("""COMPUTED_VALUE"""),"Yes")</f>
        <v>Yes</v>
      </c>
      <c r="P5" s="6" t="str">
        <f ca="1">IFERROR(__xludf.DUMMYFUNCTION("""COMPUTED_VALUE"""),"Parked")</f>
        <v>Parked</v>
      </c>
      <c r="Q5" s="6" t="str">
        <f ca="1">IFERROR(__xludf.DUMMYFUNCTION("""COMPUTED_VALUE"""),"No")</f>
        <v>No</v>
      </c>
      <c r="R5" s="6" t="str">
        <f ca="1">IFERROR(__xludf.DUMMYFUNCTION("""COMPUTED_VALUE"""),"DeepCage")</f>
        <v>DeepCage</v>
      </c>
      <c r="S5" s="6" t="str">
        <f ca="1">IFERROR(__xludf.DUMMYFUNCTION("""COMPUTED_VALUE"""),"No")</f>
        <v>No</v>
      </c>
      <c r="T5" s="6" t="str">
        <f ca="1">IFERROR(__xludf.DUMMYFUNCTION("""COMPUTED_VALUE"""),"None")</f>
        <v>None</v>
      </c>
    </row>
    <row r="6" spans="1:20">
      <c r="A6" s="6" t="str">
        <v>Qualification</v>
      </c>
      <c r="B6" s="6">
        <v>5</v>
      </c>
      <c r="C6" s="6" t="e">
        <f ca="1"/>
        <v>#NAME?</v>
      </c>
      <c r="D6" s="6" t="e">
        <f ca="1"/>
        <v>#NAME?</v>
      </c>
      <c r="E6" s="6" t="e">
        <f ca="1"/>
        <v>#NAME?</v>
      </c>
      <c r="F6" s="6" t="e">
        <f ca="1"/>
        <v>#NAME?</v>
      </c>
      <c r="G6" s="6" t="e">
        <f ca="1"/>
        <v>#NAME?</v>
      </c>
      <c r="H6" s="6" t="e">
        <f ca="1"/>
        <v>#NAME?</v>
      </c>
      <c r="I6" s="6" t="str">
        <f ca="1">IFERROR(__xludf.DUMMYFUNCTION("""COMPUTED_VALUE"""),"Yes")</f>
        <v>Yes</v>
      </c>
      <c r="J6" s="6" t="str">
        <f ca="1">IFERROR(__xludf.DUMMYFUNCTION("""COMPUTED_VALUE"""),"Parked")</f>
        <v>Parked</v>
      </c>
      <c r="K6" s="6" t="str">
        <f ca="1">IFERROR(__xludf.DUMMYFUNCTION("""COMPUTED_VALUE"""),"Yes")</f>
        <v>Yes</v>
      </c>
      <c r="L6" s="6" t="str">
        <f ca="1">IFERROR(__xludf.DUMMYFUNCTION("""COMPUTED_VALUE"""),"None")</f>
        <v>None</v>
      </c>
      <c r="M6" s="6" t="str">
        <f ca="1">IFERROR(__xludf.DUMMYFUNCTION("""COMPUTED_VALUE"""),"Yes")</f>
        <v>Yes</v>
      </c>
      <c r="N6" s="6" t="str">
        <f ca="1">IFERROR(__xludf.DUMMYFUNCTION("""COMPUTED_VALUE"""),"Parked")</f>
        <v>Parked</v>
      </c>
      <c r="O6" s="6" t="str">
        <f ca="1">IFERROR(__xludf.DUMMYFUNCTION("""COMPUTED_VALUE"""),"No")</f>
        <v>No</v>
      </c>
      <c r="P6" s="6" t="str">
        <f ca="1">IFERROR(__xludf.DUMMYFUNCTION("""COMPUTED_VALUE"""),"Parked")</f>
        <v>Parked</v>
      </c>
      <c r="Q6" s="6" t="str">
        <f ca="1">IFERROR(__xludf.DUMMYFUNCTION("""COMPUTED_VALUE"""),"Yes")</f>
        <v>Yes</v>
      </c>
      <c r="R6" s="6" t="str">
        <f ca="1">IFERROR(__xludf.DUMMYFUNCTION("""COMPUTED_VALUE"""),"None")</f>
        <v>None</v>
      </c>
      <c r="S6" s="6" t="str">
        <f ca="1">IFERROR(__xludf.DUMMYFUNCTION("""COMPUTED_VALUE"""),"No")</f>
        <v>No</v>
      </c>
      <c r="T6" s="6" t="str">
        <f ca="1">IFERROR(__xludf.DUMMYFUNCTION("""COMPUTED_VALUE"""),"Parked")</f>
        <v>Parked</v>
      </c>
    </row>
    <row r="7" spans="1:20">
      <c r="A7" s="6" t="str">
        <v>Qualification</v>
      </c>
      <c r="B7" s="6">
        <v>6</v>
      </c>
      <c r="C7" s="6" t="e">
        <f ca="1"/>
        <v>#NAME?</v>
      </c>
      <c r="D7" s="6" t="e">
        <f ca="1"/>
        <v>#NAME?</v>
      </c>
      <c r="E7" s="6" t="e">
        <f ca="1"/>
        <v>#NAME?</v>
      </c>
      <c r="F7" s="6" t="e">
        <f ca="1"/>
        <v>#NAME?</v>
      </c>
      <c r="G7" s="6" t="e">
        <f ca="1"/>
        <v>#NAME?</v>
      </c>
      <c r="H7" s="6" t="e">
        <f ca="1"/>
        <v>#NAME?</v>
      </c>
      <c r="I7" s="6" t="str">
        <f ca="1">IFERROR(__xludf.DUMMYFUNCTION("""COMPUTED_VALUE"""),"Yes")</f>
        <v>Yes</v>
      </c>
      <c r="J7" s="6" t="str">
        <f ca="1">IFERROR(__xludf.DUMMYFUNCTION("""COMPUTED_VALUE"""),"DeepCage")</f>
        <v>DeepCage</v>
      </c>
      <c r="K7" s="6" t="str">
        <f ca="1">IFERROR(__xludf.DUMMYFUNCTION("""COMPUTED_VALUE"""),"Yes")</f>
        <v>Yes</v>
      </c>
      <c r="L7" s="6" t="str">
        <f ca="1">IFERROR(__xludf.DUMMYFUNCTION("""COMPUTED_VALUE"""),"None")</f>
        <v>None</v>
      </c>
      <c r="M7" s="6" t="str">
        <f ca="1">IFERROR(__xludf.DUMMYFUNCTION("""COMPUTED_VALUE"""),"Yes")</f>
        <v>Yes</v>
      </c>
      <c r="N7" s="6" t="str">
        <f ca="1">IFERROR(__xludf.DUMMYFUNCTION("""COMPUTED_VALUE"""),"Parked")</f>
        <v>Parked</v>
      </c>
      <c r="O7" s="6" t="str">
        <f ca="1">IFERROR(__xludf.DUMMYFUNCTION("""COMPUTED_VALUE"""),"No")</f>
        <v>No</v>
      </c>
      <c r="P7" s="6" t="str">
        <f ca="1">IFERROR(__xludf.DUMMYFUNCTION("""COMPUTED_VALUE"""),"Parked")</f>
        <v>Parked</v>
      </c>
      <c r="Q7" s="6" t="str">
        <f ca="1">IFERROR(__xludf.DUMMYFUNCTION("""COMPUTED_VALUE"""),"No")</f>
        <v>No</v>
      </c>
      <c r="R7" s="6" t="str">
        <f ca="1">IFERROR(__xludf.DUMMYFUNCTION("""COMPUTED_VALUE"""),"Parked")</f>
        <v>Parked</v>
      </c>
      <c r="S7" s="6" t="str">
        <f ca="1">IFERROR(__xludf.DUMMYFUNCTION("""COMPUTED_VALUE"""),"Yes")</f>
        <v>Yes</v>
      </c>
      <c r="T7" s="6" t="str">
        <f ca="1">IFERROR(__xludf.DUMMYFUNCTION("""COMPUTED_VALUE"""),"Parked")</f>
        <v>Parked</v>
      </c>
    </row>
    <row r="8" spans="1:20">
      <c r="A8" s="6" t="str">
        <v>Qualification</v>
      </c>
      <c r="B8" s="6">
        <v>7</v>
      </c>
      <c r="C8" s="6" t="e">
        <f ca="1"/>
        <v>#NAME?</v>
      </c>
      <c r="D8" s="6" t="e">
        <f ca="1"/>
        <v>#NAME?</v>
      </c>
      <c r="E8" s="6" t="e">
        <f ca="1"/>
        <v>#NAME?</v>
      </c>
      <c r="F8" s="6" t="e">
        <f ca="1"/>
        <v>#NAME?</v>
      </c>
      <c r="G8" s="6" t="e">
        <f ca="1"/>
        <v>#NAME?</v>
      </c>
      <c r="H8" s="6" t="e">
        <f ca="1"/>
        <v>#NAME?</v>
      </c>
      <c r="I8" s="6" t="str">
        <f ca="1">IFERROR(__xludf.DUMMYFUNCTION("""COMPUTED_VALUE"""),"Yes")</f>
        <v>Yes</v>
      </c>
      <c r="J8" s="6" t="str">
        <f ca="1">IFERROR(__xludf.DUMMYFUNCTION("""COMPUTED_VALUE"""),"Parked")</f>
        <v>Parked</v>
      </c>
      <c r="K8" s="6" t="str">
        <f ca="1">IFERROR(__xludf.DUMMYFUNCTION("""COMPUTED_VALUE"""),"Yes")</f>
        <v>Yes</v>
      </c>
      <c r="L8" s="6" t="str">
        <f ca="1">IFERROR(__xludf.DUMMYFUNCTION("""COMPUTED_VALUE"""),"Parked")</f>
        <v>Parked</v>
      </c>
      <c r="M8" s="6" t="str">
        <f ca="1">IFERROR(__xludf.DUMMYFUNCTION("""COMPUTED_VALUE"""),"Yes")</f>
        <v>Yes</v>
      </c>
      <c r="N8" s="6" t="str">
        <f ca="1">IFERROR(__xludf.DUMMYFUNCTION("""COMPUTED_VALUE"""),"None")</f>
        <v>None</v>
      </c>
      <c r="O8" s="6" t="str">
        <f ca="1">IFERROR(__xludf.DUMMYFUNCTION("""COMPUTED_VALUE"""),"Yes")</f>
        <v>Yes</v>
      </c>
      <c r="P8" s="6" t="str">
        <f ca="1">IFERROR(__xludf.DUMMYFUNCTION("""COMPUTED_VALUE"""),"None")</f>
        <v>None</v>
      </c>
      <c r="Q8" s="6" t="str">
        <f ca="1">IFERROR(__xludf.DUMMYFUNCTION("""COMPUTED_VALUE"""),"Yes")</f>
        <v>Yes</v>
      </c>
      <c r="R8" s="6" t="str">
        <f ca="1">IFERROR(__xludf.DUMMYFUNCTION("""COMPUTED_VALUE"""),"Parked")</f>
        <v>Parked</v>
      </c>
      <c r="S8" s="6" t="str">
        <f ca="1">IFERROR(__xludf.DUMMYFUNCTION("""COMPUTED_VALUE"""),"Yes")</f>
        <v>Yes</v>
      </c>
      <c r="T8" s="6" t="str">
        <f ca="1">IFERROR(__xludf.DUMMYFUNCTION("""COMPUTED_VALUE"""),"Parked")</f>
        <v>Parked</v>
      </c>
    </row>
    <row r="9" spans="1:20">
      <c r="A9" s="6" t="str">
        <v>Qualification</v>
      </c>
      <c r="B9" s="6">
        <v>8</v>
      </c>
      <c r="C9" s="6" t="e">
        <f ca="1"/>
        <v>#NAME?</v>
      </c>
      <c r="D9" s="6" t="e">
        <f ca="1"/>
        <v>#NAME?</v>
      </c>
      <c r="E9" s="6" t="e">
        <f ca="1"/>
        <v>#NAME?</v>
      </c>
      <c r="F9" s="6" t="e">
        <f ca="1"/>
        <v>#NAME?</v>
      </c>
      <c r="G9" s="6" t="e">
        <f ca="1"/>
        <v>#NAME?</v>
      </c>
      <c r="H9" s="6" t="e">
        <f ca="1"/>
        <v>#NAME?</v>
      </c>
      <c r="I9" s="6" t="str">
        <f ca="1">IFERROR(__xludf.DUMMYFUNCTION("""COMPUTED_VALUE"""),"Yes")</f>
        <v>Yes</v>
      </c>
      <c r="J9" s="6" t="str">
        <f ca="1">IFERROR(__xludf.DUMMYFUNCTION("""COMPUTED_VALUE"""),"Parked")</f>
        <v>Parked</v>
      </c>
      <c r="K9" s="6" t="str">
        <f ca="1">IFERROR(__xludf.DUMMYFUNCTION("""COMPUTED_VALUE"""),"No")</f>
        <v>No</v>
      </c>
      <c r="L9" s="6" t="str">
        <f ca="1">IFERROR(__xludf.DUMMYFUNCTION("""COMPUTED_VALUE"""),"Parked")</f>
        <v>Parked</v>
      </c>
      <c r="M9" s="6" t="str">
        <f ca="1">IFERROR(__xludf.DUMMYFUNCTION("""COMPUTED_VALUE"""),"Yes")</f>
        <v>Yes</v>
      </c>
      <c r="N9" s="6" t="str">
        <f ca="1">IFERROR(__xludf.DUMMYFUNCTION("""COMPUTED_VALUE"""),"Parked")</f>
        <v>Parked</v>
      </c>
      <c r="O9" s="6" t="str">
        <f ca="1">IFERROR(__xludf.DUMMYFUNCTION("""COMPUTED_VALUE"""),"Yes")</f>
        <v>Yes</v>
      </c>
      <c r="P9" s="6" t="str">
        <f ca="1">IFERROR(__xludf.DUMMYFUNCTION("""COMPUTED_VALUE"""),"Parked")</f>
        <v>Parked</v>
      </c>
      <c r="Q9" s="6" t="str">
        <f ca="1">IFERROR(__xludf.DUMMYFUNCTION("""COMPUTED_VALUE"""),"Yes")</f>
        <v>Yes</v>
      </c>
      <c r="R9" s="6" t="str">
        <f ca="1">IFERROR(__xludf.DUMMYFUNCTION("""COMPUTED_VALUE"""),"None")</f>
        <v>None</v>
      </c>
      <c r="S9" s="6" t="str">
        <f ca="1">IFERROR(__xludf.DUMMYFUNCTION("""COMPUTED_VALUE"""),"No")</f>
        <v>No</v>
      </c>
      <c r="T9" s="6" t="str">
        <f ca="1">IFERROR(__xludf.DUMMYFUNCTION("""COMPUTED_VALUE"""),"None")</f>
        <v>None</v>
      </c>
    </row>
    <row r="10" spans="1:20">
      <c r="A10" s="6" t="str">
        <v>Qualification</v>
      </c>
      <c r="B10" s="6">
        <v>9</v>
      </c>
      <c r="C10" s="6" t="e">
        <f ca="1"/>
        <v>#NAME?</v>
      </c>
      <c r="D10" s="6" t="e">
        <f ca="1"/>
        <v>#NAME?</v>
      </c>
      <c r="E10" s="6" t="e">
        <f ca="1"/>
        <v>#NAME?</v>
      </c>
      <c r="F10" s="6" t="e">
        <f ca="1"/>
        <v>#NAME?</v>
      </c>
      <c r="G10" s="6" t="e">
        <f ca="1"/>
        <v>#NAME?</v>
      </c>
      <c r="H10" s="6" t="e">
        <f ca="1"/>
        <v>#NAME?</v>
      </c>
      <c r="I10" s="6" t="str">
        <f ca="1">IFERROR(__xludf.DUMMYFUNCTION("""COMPUTED_VALUE"""),"Yes")</f>
        <v>Yes</v>
      </c>
      <c r="J10" s="6" t="str">
        <f ca="1">IFERROR(__xludf.DUMMYFUNCTION("""COMPUTED_VALUE"""),"Parked")</f>
        <v>Parked</v>
      </c>
      <c r="K10" s="6" t="str">
        <f ca="1">IFERROR(__xludf.DUMMYFUNCTION("""COMPUTED_VALUE"""),"No")</f>
        <v>No</v>
      </c>
      <c r="L10" s="6" t="str">
        <f ca="1">IFERROR(__xludf.DUMMYFUNCTION("""COMPUTED_VALUE"""),"None")</f>
        <v>None</v>
      </c>
      <c r="M10" s="6" t="str">
        <f ca="1">IFERROR(__xludf.DUMMYFUNCTION("""COMPUTED_VALUE"""),"Yes")</f>
        <v>Yes</v>
      </c>
      <c r="N10" s="6" t="str">
        <f ca="1">IFERROR(__xludf.DUMMYFUNCTION("""COMPUTED_VALUE"""),"Parked")</f>
        <v>Parked</v>
      </c>
      <c r="O10" s="6" t="str">
        <f ca="1">IFERROR(__xludf.DUMMYFUNCTION("""COMPUTED_VALUE"""),"Yes")</f>
        <v>Yes</v>
      </c>
      <c r="P10" s="6" t="str">
        <f ca="1">IFERROR(__xludf.DUMMYFUNCTION("""COMPUTED_VALUE"""),"None")</f>
        <v>None</v>
      </c>
      <c r="Q10" s="6" t="str">
        <f ca="1">IFERROR(__xludf.DUMMYFUNCTION("""COMPUTED_VALUE"""),"Yes")</f>
        <v>Yes</v>
      </c>
      <c r="R10" s="6" t="str">
        <f ca="1">IFERROR(__xludf.DUMMYFUNCTION("""COMPUTED_VALUE"""),"Parked")</f>
        <v>Parked</v>
      </c>
      <c r="S10" s="6" t="str">
        <f ca="1">IFERROR(__xludf.DUMMYFUNCTION("""COMPUTED_VALUE"""),"No")</f>
        <v>No</v>
      </c>
      <c r="T10" s="6" t="str">
        <f ca="1">IFERROR(__xludf.DUMMYFUNCTION("""COMPUTED_VALUE"""),"Parked")</f>
        <v>Parked</v>
      </c>
    </row>
    <row r="11" spans="1:20">
      <c r="A11" s="6" t="str">
        <v>Qualification</v>
      </c>
      <c r="B11" s="6">
        <v>10</v>
      </c>
      <c r="C11" s="6" t="e">
        <f ca="1"/>
        <v>#NAME?</v>
      </c>
      <c r="D11" s="6" t="e">
        <f ca="1"/>
        <v>#NAME?</v>
      </c>
      <c r="E11" s="6" t="e">
        <f ca="1"/>
        <v>#NAME?</v>
      </c>
      <c r="F11" s="6" t="e">
        <f ca="1"/>
        <v>#NAME?</v>
      </c>
      <c r="G11" s="6" t="e">
        <f ca="1"/>
        <v>#NAME?</v>
      </c>
      <c r="H11" s="6" t="e">
        <f ca="1"/>
        <v>#NAME?</v>
      </c>
      <c r="I11" s="6" t="str">
        <f ca="1">IFERROR(__xludf.DUMMYFUNCTION("""COMPUTED_VALUE"""),"Yes")</f>
        <v>Yes</v>
      </c>
      <c r="J11" s="6" t="str">
        <f ca="1">IFERROR(__xludf.DUMMYFUNCTION("""COMPUTED_VALUE"""),"Parked")</f>
        <v>Parked</v>
      </c>
      <c r="K11" s="6" t="str">
        <f ca="1">IFERROR(__xludf.DUMMYFUNCTION("""COMPUTED_VALUE"""),"Yes")</f>
        <v>Yes</v>
      </c>
      <c r="L11" s="6" t="str">
        <f ca="1">IFERROR(__xludf.DUMMYFUNCTION("""COMPUTED_VALUE"""),"Parked")</f>
        <v>Parked</v>
      </c>
      <c r="M11" s="6" t="str">
        <f ca="1">IFERROR(__xludf.DUMMYFUNCTION("""COMPUTED_VALUE"""),"Yes")</f>
        <v>Yes</v>
      </c>
      <c r="N11" s="6" t="str">
        <f ca="1">IFERROR(__xludf.DUMMYFUNCTION("""COMPUTED_VALUE"""),"Parked")</f>
        <v>Parked</v>
      </c>
      <c r="O11" s="6" t="str">
        <f ca="1">IFERROR(__xludf.DUMMYFUNCTION("""COMPUTED_VALUE"""),"Yes")</f>
        <v>Yes</v>
      </c>
      <c r="P11" s="6" t="str">
        <f ca="1">IFERROR(__xludf.DUMMYFUNCTION("""COMPUTED_VALUE"""),"Parked")</f>
        <v>Parked</v>
      </c>
      <c r="Q11" s="6" t="str">
        <f ca="1">IFERROR(__xludf.DUMMYFUNCTION("""COMPUTED_VALUE"""),"Yes")</f>
        <v>Yes</v>
      </c>
      <c r="R11" s="6" t="str">
        <f ca="1">IFERROR(__xludf.DUMMYFUNCTION("""COMPUTED_VALUE"""),"Parked")</f>
        <v>Parked</v>
      </c>
      <c r="S11" s="6" t="str">
        <f ca="1">IFERROR(__xludf.DUMMYFUNCTION("""COMPUTED_VALUE"""),"Yes")</f>
        <v>Yes</v>
      </c>
      <c r="T11" s="6" t="str">
        <f ca="1">IFERROR(__xludf.DUMMYFUNCTION("""COMPUTED_VALUE"""),"None")</f>
        <v>None</v>
      </c>
    </row>
    <row r="12" spans="1:20">
      <c r="A12" s="6" t="str">
        <v>Qualification</v>
      </c>
      <c r="B12" s="6">
        <v>11</v>
      </c>
      <c r="C12" s="6" t="e">
        <f ca="1"/>
        <v>#NAME?</v>
      </c>
      <c r="D12" s="6" t="e">
        <f ca="1"/>
        <v>#NAME?</v>
      </c>
      <c r="E12" s="6" t="e">
        <f ca="1"/>
        <v>#NAME?</v>
      </c>
      <c r="F12" s="6" t="e">
        <f ca="1"/>
        <v>#NAME?</v>
      </c>
      <c r="G12" s="6" t="e">
        <f ca="1"/>
        <v>#NAME?</v>
      </c>
      <c r="H12" s="6" t="e">
        <f ca="1"/>
        <v>#NAME?</v>
      </c>
      <c r="I12" s="6" t="str">
        <f ca="1">IFERROR(__xludf.DUMMYFUNCTION("""COMPUTED_VALUE"""),"Yes")</f>
        <v>Yes</v>
      </c>
      <c r="J12" s="6" t="str">
        <f ca="1">IFERROR(__xludf.DUMMYFUNCTION("""COMPUTED_VALUE"""),"DeepCage")</f>
        <v>DeepCage</v>
      </c>
      <c r="K12" s="6" t="str">
        <f ca="1">IFERROR(__xludf.DUMMYFUNCTION("""COMPUTED_VALUE"""),"Yes")</f>
        <v>Yes</v>
      </c>
      <c r="L12" s="6" t="str">
        <f ca="1">IFERROR(__xludf.DUMMYFUNCTION("""COMPUTED_VALUE"""),"DeepCage")</f>
        <v>DeepCage</v>
      </c>
      <c r="M12" s="6" t="str">
        <f ca="1">IFERROR(__xludf.DUMMYFUNCTION("""COMPUTED_VALUE"""),"Yes")</f>
        <v>Yes</v>
      </c>
      <c r="N12" s="6" t="str">
        <f ca="1">IFERROR(__xludf.DUMMYFUNCTION("""COMPUTED_VALUE"""),"None")</f>
        <v>None</v>
      </c>
      <c r="O12" s="6" t="str">
        <f ca="1">IFERROR(__xludf.DUMMYFUNCTION("""COMPUTED_VALUE"""),"Yes")</f>
        <v>Yes</v>
      </c>
      <c r="P12" s="6" t="str">
        <f ca="1">IFERROR(__xludf.DUMMYFUNCTION("""COMPUTED_VALUE"""),"Parked")</f>
        <v>Parked</v>
      </c>
      <c r="Q12" s="6" t="str">
        <f ca="1">IFERROR(__xludf.DUMMYFUNCTION("""COMPUTED_VALUE"""),"Yes")</f>
        <v>Yes</v>
      </c>
      <c r="R12" s="6" t="str">
        <f ca="1">IFERROR(__xludf.DUMMYFUNCTION("""COMPUTED_VALUE"""),"Parked")</f>
        <v>Parked</v>
      </c>
      <c r="S12" s="6" t="str">
        <f ca="1">IFERROR(__xludf.DUMMYFUNCTION("""COMPUTED_VALUE"""),"Yes")</f>
        <v>Yes</v>
      </c>
      <c r="T12" s="6" t="str">
        <f ca="1">IFERROR(__xludf.DUMMYFUNCTION("""COMPUTED_VALUE"""),"Parked")</f>
        <v>Parked</v>
      </c>
    </row>
    <row r="13" spans="1:20">
      <c r="A13" s="6" t="str">
        <v>Qualification</v>
      </c>
      <c r="B13" s="6">
        <v>12</v>
      </c>
      <c r="C13" s="6" t="e">
        <f ca="1"/>
        <v>#NAME?</v>
      </c>
      <c r="D13" s="6" t="e">
        <f ca="1"/>
        <v>#NAME?</v>
      </c>
      <c r="E13" s="6" t="e">
        <f ca="1"/>
        <v>#NAME?</v>
      </c>
      <c r="F13" s="6" t="e">
        <f ca="1"/>
        <v>#NAME?</v>
      </c>
      <c r="G13" s="6" t="e">
        <f ca="1"/>
        <v>#NAME?</v>
      </c>
      <c r="H13" s="6" t="e">
        <f ca="1"/>
        <v>#NAME?</v>
      </c>
      <c r="I13" s="6" t="str">
        <f ca="1">IFERROR(__xludf.DUMMYFUNCTION("""COMPUTED_VALUE"""),"Yes")</f>
        <v>Yes</v>
      </c>
      <c r="J13" s="6" t="str">
        <f ca="1">IFERROR(__xludf.DUMMYFUNCTION("""COMPUTED_VALUE"""),"None")</f>
        <v>None</v>
      </c>
      <c r="K13" s="6" t="str">
        <f ca="1">IFERROR(__xludf.DUMMYFUNCTION("""COMPUTED_VALUE"""),"Yes")</f>
        <v>Yes</v>
      </c>
      <c r="L13" s="6" t="str">
        <f ca="1">IFERROR(__xludf.DUMMYFUNCTION("""COMPUTED_VALUE"""),"Parked")</f>
        <v>Parked</v>
      </c>
      <c r="M13" s="6" t="str">
        <f ca="1">IFERROR(__xludf.DUMMYFUNCTION("""COMPUTED_VALUE"""),"Yes")</f>
        <v>Yes</v>
      </c>
      <c r="N13" s="6" t="str">
        <f ca="1">IFERROR(__xludf.DUMMYFUNCTION("""COMPUTED_VALUE"""),"Parked")</f>
        <v>Parked</v>
      </c>
      <c r="O13" s="6" t="str">
        <f ca="1">IFERROR(__xludf.DUMMYFUNCTION("""COMPUTED_VALUE"""),"Yes")</f>
        <v>Yes</v>
      </c>
      <c r="P13" s="6" t="str">
        <f ca="1">IFERROR(__xludf.DUMMYFUNCTION("""COMPUTED_VALUE"""),"Parked")</f>
        <v>Parked</v>
      </c>
      <c r="Q13" s="6" t="str">
        <f ca="1">IFERROR(__xludf.DUMMYFUNCTION("""COMPUTED_VALUE"""),"Yes")</f>
        <v>Yes</v>
      </c>
      <c r="R13" s="6" t="str">
        <f ca="1">IFERROR(__xludf.DUMMYFUNCTION("""COMPUTED_VALUE"""),"Parked")</f>
        <v>Parked</v>
      </c>
      <c r="S13" s="6" t="str">
        <f ca="1">IFERROR(__xludf.DUMMYFUNCTION("""COMPUTED_VALUE"""),"No")</f>
        <v>No</v>
      </c>
      <c r="T13" s="6" t="str">
        <f ca="1">IFERROR(__xludf.DUMMYFUNCTION("""COMPUTED_VALUE"""),"Parked")</f>
        <v>Parked</v>
      </c>
    </row>
    <row r="14" spans="1:20">
      <c r="A14" s="6" t="str">
        <v>Qualification</v>
      </c>
      <c r="B14" s="6">
        <v>13</v>
      </c>
      <c r="C14" s="6" t="e">
        <f ca="1"/>
        <v>#NAME?</v>
      </c>
      <c r="D14" s="6" t="e">
        <f ca="1"/>
        <v>#NAME?</v>
      </c>
      <c r="E14" s="6" t="e">
        <f ca="1"/>
        <v>#NAME?</v>
      </c>
      <c r="F14" s="6" t="e">
        <f ca="1"/>
        <v>#NAME?</v>
      </c>
      <c r="G14" s="6" t="e">
        <f ca="1"/>
        <v>#NAME?</v>
      </c>
      <c r="H14" s="6" t="e">
        <f ca="1"/>
        <v>#NAME?</v>
      </c>
      <c r="I14" s="6" t="str">
        <f ca="1">IFERROR(__xludf.DUMMYFUNCTION("""COMPUTED_VALUE"""),"No")</f>
        <v>No</v>
      </c>
      <c r="J14" s="6" t="str">
        <f ca="1">IFERROR(__xludf.DUMMYFUNCTION("""COMPUTED_VALUE"""),"Parked")</f>
        <v>Parked</v>
      </c>
      <c r="K14" s="6" t="str">
        <f ca="1">IFERROR(__xludf.DUMMYFUNCTION("""COMPUTED_VALUE"""),"Yes")</f>
        <v>Yes</v>
      </c>
      <c r="L14" s="6" t="str">
        <f ca="1">IFERROR(__xludf.DUMMYFUNCTION("""COMPUTED_VALUE"""),"DeepCage")</f>
        <v>DeepCage</v>
      </c>
      <c r="M14" s="6" t="str">
        <f ca="1">IFERROR(__xludf.DUMMYFUNCTION("""COMPUTED_VALUE"""),"Yes")</f>
        <v>Yes</v>
      </c>
      <c r="N14" s="6" t="str">
        <f ca="1">IFERROR(__xludf.DUMMYFUNCTION("""COMPUTED_VALUE"""),"Parked")</f>
        <v>Parked</v>
      </c>
      <c r="O14" s="6" t="str">
        <f ca="1">IFERROR(__xludf.DUMMYFUNCTION("""COMPUTED_VALUE"""),"Yes")</f>
        <v>Yes</v>
      </c>
      <c r="P14" s="6" t="str">
        <f ca="1">IFERROR(__xludf.DUMMYFUNCTION("""COMPUTED_VALUE"""),"Parked")</f>
        <v>Parked</v>
      </c>
      <c r="Q14" s="6" t="str">
        <f ca="1">IFERROR(__xludf.DUMMYFUNCTION("""COMPUTED_VALUE"""),"Yes")</f>
        <v>Yes</v>
      </c>
      <c r="R14" s="6" t="str">
        <f ca="1">IFERROR(__xludf.DUMMYFUNCTION("""COMPUTED_VALUE"""),"Parked")</f>
        <v>Parked</v>
      </c>
      <c r="S14" s="6" t="str">
        <f ca="1">IFERROR(__xludf.DUMMYFUNCTION("""COMPUTED_VALUE"""),"Yes")</f>
        <v>Yes</v>
      </c>
      <c r="T14" s="6" t="str">
        <f ca="1">IFERROR(__xludf.DUMMYFUNCTION("""COMPUTED_VALUE"""),"Parked")</f>
        <v>Parked</v>
      </c>
    </row>
    <row r="15" spans="1:20">
      <c r="A15" s="6" t="str">
        <v>Qualification</v>
      </c>
      <c r="B15" s="6">
        <v>14</v>
      </c>
      <c r="C15" s="6" t="e">
        <f ca="1"/>
        <v>#NAME?</v>
      </c>
      <c r="D15" s="6" t="e">
        <f ca="1"/>
        <v>#NAME?</v>
      </c>
      <c r="E15" s="6" t="e">
        <f ca="1"/>
        <v>#NAME?</v>
      </c>
      <c r="F15" s="6" t="e">
        <f ca="1"/>
        <v>#NAME?</v>
      </c>
      <c r="G15" s="6" t="e">
        <f ca="1"/>
        <v>#NAME?</v>
      </c>
      <c r="H15" s="6" t="e">
        <f ca="1"/>
        <v>#NAME?</v>
      </c>
      <c r="I15" s="6" t="str">
        <f ca="1">IFERROR(__xludf.DUMMYFUNCTION("""COMPUTED_VALUE"""),"Yes")</f>
        <v>Yes</v>
      </c>
      <c r="J15" s="6" t="str">
        <f ca="1">IFERROR(__xludf.DUMMYFUNCTION("""COMPUTED_VALUE"""),"Parked")</f>
        <v>Parked</v>
      </c>
      <c r="K15" s="6" t="str">
        <f ca="1">IFERROR(__xludf.DUMMYFUNCTION("""COMPUTED_VALUE"""),"Yes")</f>
        <v>Yes</v>
      </c>
      <c r="L15" s="6" t="str">
        <f ca="1">IFERROR(__xludf.DUMMYFUNCTION("""COMPUTED_VALUE"""),"Parked")</f>
        <v>Parked</v>
      </c>
      <c r="M15" s="6" t="str">
        <f ca="1">IFERROR(__xludf.DUMMYFUNCTION("""COMPUTED_VALUE"""),"Yes")</f>
        <v>Yes</v>
      </c>
      <c r="N15" s="6" t="str">
        <f ca="1">IFERROR(__xludf.DUMMYFUNCTION("""COMPUTED_VALUE"""),"None")</f>
        <v>None</v>
      </c>
      <c r="O15" s="6" t="str">
        <f ca="1">IFERROR(__xludf.DUMMYFUNCTION("""COMPUTED_VALUE"""),"Yes")</f>
        <v>Yes</v>
      </c>
      <c r="P15" s="6" t="str">
        <f ca="1">IFERROR(__xludf.DUMMYFUNCTION("""COMPUTED_VALUE"""),"Parked")</f>
        <v>Parked</v>
      </c>
      <c r="Q15" s="6" t="str">
        <f ca="1">IFERROR(__xludf.DUMMYFUNCTION("""COMPUTED_VALUE"""),"Yes")</f>
        <v>Yes</v>
      </c>
      <c r="R15" s="6" t="str">
        <f ca="1">IFERROR(__xludf.DUMMYFUNCTION("""COMPUTED_VALUE"""),"Parked")</f>
        <v>Parked</v>
      </c>
      <c r="S15" s="6" t="str">
        <f ca="1">IFERROR(__xludf.DUMMYFUNCTION("""COMPUTED_VALUE"""),"Yes")</f>
        <v>Yes</v>
      </c>
      <c r="T15" s="6" t="str">
        <f ca="1">IFERROR(__xludf.DUMMYFUNCTION("""COMPUTED_VALUE"""),"None")</f>
        <v>None</v>
      </c>
    </row>
    <row r="16" spans="1:20">
      <c r="A16" s="6" t="str">
        <v>Qualification</v>
      </c>
      <c r="B16" s="6">
        <v>15</v>
      </c>
      <c r="C16" s="6" t="e">
        <f ca="1"/>
        <v>#NAME?</v>
      </c>
      <c r="D16" s="6" t="e">
        <f ca="1"/>
        <v>#NAME?</v>
      </c>
      <c r="E16" s="6" t="e">
        <f ca="1"/>
        <v>#NAME?</v>
      </c>
      <c r="F16" s="6" t="e">
        <f ca="1"/>
        <v>#NAME?</v>
      </c>
      <c r="G16" s="6" t="e">
        <f ca="1"/>
        <v>#NAME?</v>
      </c>
      <c r="H16" s="6" t="e">
        <f ca="1"/>
        <v>#NAME?</v>
      </c>
      <c r="I16" s="6" t="str">
        <f ca="1">IFERROR(__xludf.DUMMYFUNCTION("""COMPUTED_VALUE"""),"Yes")</f>
        <v>Yes</v>
      </c>
      <c r="J16" s="6" t="str">
        <f ca="1">IFERROR(__xludf.DUMMYFUNCTION("""COMPUTED_VALUE"""),"Parked")</f>
        <v>Parked</v>
      </c>
      <c r="K16" s="6" t="str">
        <f ca="1">IFERROR(__xludf.DUMMYFUNCTION("""COMPUTED_VALUE"""),"Yes")</f>
        <v>Yes</v>
      </c>
      <c r="L16" s="6" t="str">
        <f ca="1">IFERROR(__xludf.DUMMYFUNCTION("""COMPUTED_VALUE"""),"Parked")</f>
        <v>Parked</v>
      </c>
      <c r="M16" s="6" t="str">
        <f ca="1">IFERROR(__xludf.DUMMYFUNCTION("""COMPUTED_VALUE"""),"Yes")</f>
        <v>Yes</v>
      </c>
      <c r="N16" s="6" t="str">
        <f ca="1">IFERROR(__xludf.DUMMYFUNCTION("""COMPUTED_VALUE"""),"Parked")</f>
        <v>Parked</v>
      </c>
      <c r="O16" s="6" t="str">
        <f ca="1">IFERROR(__xludf.DUMMYFUNCTION("""COMPUTED_VALUE"""),"Yes")</f>
        <v>Yes</v>
      </c>
      <c r="P16" s="6" t="str">
        <f ca="1">IFERROR(__xludf.DUMMYFUNCTION("""COMPUTED_VALUE"""),"None")</f>
        <v>None</v>
      </c>
      <c r="Q16" s="6" t="str">
        <f ca="1">IFERROR(__xludf.DUMMYFUNCTION("""COMPUTED_VALUE"""),"Yes")</f>
        <v>Yes</v>
      </c>
      <c r="R16" s="6" t="str">
        <f ca="1">IFERROR(__xludf.DUMMYFUNCTION("""COMPUTED_VALUE"""),"None")</f>
        <v>None</v>
      </c>
      <c r="S16" s="6" t="str">
        <f ca="1">IFERROR(__xludf.DUMMYFUNCTION("""COMPUTED_VALUE"""),"Yes")</f>
        <v>Yes</v>
      </c>
      <c r="T16" s="6" t="str">
        <f ca="1">IFERROR(__xludf.DUMMYFUNCTION("""COMPUTED_VALUE"""),"None")</f>
        <v>None</v>
      </c>
    </row>
    <row r="17" spans="1:20">
      <c r="A17" s="6" t="str">
        <v>Qualification</v>
      </c>
      <c r="B17" s="6">
        <v>16</v>
      </c>
      <c r="C17" s="6" t="e">
        <f ca="1"/>
        <v>#NAME?</v>
      </c>
      <c r="D17" s="6" t="e">
        <f ca="1"/>
        <v>#NAME?</v>
      </c>
      <c r="E17" s="6" t="e">
        <f ca="1"/>
        <v>#NAME?</v>
      </c>
      <c r="F17" s="6" t="e">
        <f ca="1"/>
        <v>#NAME?</v>
      </c>
      <c r="G17" s="6" t="e">
        <f ca="1"/>
        <v>#NAME?</v>
      </c>
      <c r="H17" s="6" t="e">
        <f ca="1"/>
        <v>#NAME?</v>
      </c>
      <c r="I17" s="6" t="str">
        <f ca="1">IFERROR(__xludf.DUMMYFUNCTION("""COMPUTED_VALUE"""),"No")</f>
        <v>No</v>
      </c>
      <c r="J17" s="6" t="str">
        <f ca="1">IFERROR(__xludf.DUMMYFUNCTION("""COMPUTED_VALUE"""),"Parked")</f>
        <v>Parked</v>
      </c>
      <c r="K17" s="6" t="str">
        <f ca="1">IFERROR(__xludf.DUMMYFUNCTION("""COMPUTED_VALUE"""),"Yes")</f>
        <v>Yes</v>
      </c>
      <c r="L17" s="6" t="str">
        <f ca="1">IFERROR(__xludf.DUMMYFUNCTION("""COMPUTED_VALUE"""),"DeepCage")</f>
        <v>DeepCage</v>
      </c>
      <c r="M17" s="6" t="str">
        <f ca="1">IFERROR(__xludf.DUMMYFUNCTION("""COMPUTED_VALUE"""),"Yes")</f>
        <v>Yes</v>
      </c>
      <c r="N17" s="6" t="str">
        <f ca="1">IFERROR(__xludf.DUMMYFUNCTION("""COMPUTED_VALUE"""),"Parked")</f>
        <v>Parked</v>
      </c>
      <c r="O17" s="6" t="str">
        <f ca="1">IFERROR(__xludf.DUMMYFUNCTION("""COMPUTED_VALUE"""),"Yes")</f>
        <v>Yes</v>
      </c>
      <c r="P17" s="6" t="str">
        <f ca="1">IFERROR(__xludf.DUMMYFUNCTION("""COMPUTED_VALUE"""),"None")</f>
        <v>None</v>
      </c>
      <c r="Q17" s="6" t="str">
        <f ca="1">IFERROR(__xludf.DUMMYFUNCTION("""COMPUTED_VALUE"""),"Yes")</f>
        <v>Yes</v>
      </c>
      <c r="R17" s="6" t="str">
        <f ca="1">IFERROR(__xludf.DUMMYFUNCTION("""COMPUTED_VALUE"""),"Parked")</f>
        <v>Parked</v>
      </c>
      <c r="S17" s="6" t="str">
        <f ca="1">IFERROR(__xludf.DUMMYFUNCTION("""COMPUTED_VALUE"""),"Yes")</f>
        <v>Yes</v>
      </c>
      <c r="T17" s="6" t="str">
        <f ca="1">IFERROR(__xludf.DUMMYFUNCTION("""COMPUTED_VALUE"""),"Parked")</f>
        <v>Parked</v>
      </c>
    </row>
    <row r="18" spans="1:20">
      <c r="A18" s="6" t="str">
        <v>Qualification</v>
      </c>
      <c r="B18" s="6">
        <v>17</v>
      </c>
      <c r="C18" s="6" t="e">
        <f ca="1"/>
        <v>#NAME?</v>
      </c>
      <c r="D18" s="6" t="e">
        <f ca="1"/>
        <v>#NAME?</v>
      </c>
      <c r="E18" s="6" t="e">
        <f ca="1"/>
        <v>#NAME?</v>
      </c>
      <c r="F18" s="6" t="e">
        <f ca="1"/>
        <v>#NAME?</v>
      </c>
      <c r="G18" s="6" t="e">
        <f ca="1"/>
        <v>#NAME?</v>
      </c>
      <c r="H18" s="6" t="e">
        <f ca="1"/>
        <v>#NAME?</v>
      </c>
      <c r="I18" s="6" t="str">
        <f ca="1">IFERROR(__xludf.DUMMYFUNCTION("""COMPUTED_VALUE"""),"Yes")</f>
        <v>Yes</v>
      </c>
      <c r="J18" s="6" t="str">
        <f ca="1">IFERROR(__xludf.DUMMYFUNCTION("""COMPUTED_VALUE"""),"None")</f>
        <v>None</v>
      </c>
      <c r="K18" s="6" t="str">
        <f ca="1">IFERROR(__xludf.DUMMYFUNCTION("""COMPUTED_VALUE"""),"Yes")</f>
        <v>Yes</v>
      </c>
      <c r="L18" s="6" t="str">
        <f ca="1">IFERROR(__xludf.DUMMYFUNCTION("""COMPUTED_VALUE"""),"Parked")</f>
        <v>Parked</v>
      </c>
      <c r="M18" s="6" t="str">
        <f ca="1">IFERROR(__xludf.DUMMYFUNCTION("""COMPUTED_VALUE"""),"Yes")</f>
        <v>Yes</v>
      </c>
      <c r="N18" s="6" t="str">
        <f ca="1">IFERROR(__xludf.DUMMYFUNCTION("""COMPUTED_VALUE"""),"Parked")</f>
        <v>Parked</v>
      </c>
      <c r="O18" s="6" t="str">
        <f ca="1">IFERROR(__xludf.DUMMYFUNCTION("""COMPUTED_VALUE"""),"No")</f>
        <v>No</v>
      </c>
      <c r="P18" s="6" t="str">
        <f ca="1">IFERROR(__xludf.DUMMYFUNCTION("""COMPUTED_VALUE"""),"None")</f>
        <v>None</v>
      </c>
      <c r="Q18" s="6" t="str">
        <f ca="1">IFERROR(__xludf.DUMMYFUNCTION("""COMPUTED_VALUE"""),"Yes")</f>
        <v>Yes</v>
      </c>
      <c r="R18" s="6" t="str">
        <f ca="1">IFERROR(__xludf.DUMMYFUNCTION("""COMPUTED_VALUE"""),"DeepCage")</f>
        <v>DeepCage</v>
      </c>
      <c r="S18" s="6" t="str">
        <f ca="1">IFERROR(__xludf.DUMMYFUNCTION("""COMPUTED_VALUE"""),"Yes")</f>
        <v>Yes</v>
      </c>
      <c r="T18" s="6" t="str">
        <f ca="1">IFERROR(__xludf.DUMMYFUNCTION("""COMPUTED_VALUE"""),"Parked")</f>
        <v>Parked</v>
      </c>
    </row>
    <row r="19" spans="1:20">
      <c r="A19" s="6" t="str">
        <v>Qualification</v>
      </c>
      <c r="B19" s="6">
        <v>18</v>
      </c>
      <c r="C19" s="6" t="e">
        <f ca="1"/>
        <v>#NAME?</v>
      </c>
      <c r="D19" s="6" t="e">
        <f ca="1"/>
        <v>#NAME?</v>
      </c>
      <c r="E19" s="6" t="e">
        <f ca="1"/>
        <v>#NAME?</v>
      </c>
      <c r="F19" s="6" t="e">
        <f ca="1"/>
        <v>#NAME?</v>
      </c>
      <c r="G19" s="6" t="e">
        <f ca="1"/>
        <v>#NAME?</v>
      </c>
      <c r="H19" s="6" t="e">
        <f ca="1"/>
        <v>#NAME?</v>
      </c>
      <c r="I19" s="6" t="str">
        <f ca="1">IFERROR(__xludf.DUMMYFUNCTION("""COMPUTED_VALUE"""),"Yes")</f>
        <v>Yes</v>
      </c>
      <c r="J19" s="6" t="str">
        <f ca="1">IFERROR(__xludf.DUMMYFUNCTION("""COMPUTED_VALUE"""),"Parked")</f>
        <v>Parked</v>
      </c>
      <c r="K19" s="6" t="str">
        <f ca="1">IFERROR(__xludf.DUMMYFUNCTION("""COMPUTED_VALUE"""),"Yes")</f>
        <v>Yes</v>
      </c>
      <c r="L19" s="6" t="str">
        <f ca="1">IFERROR(__xludf.DUMMYFUNCTION("""COMPUTED_VALUE"""),"Parked")</f>
        <v>Parked</v>
      </c>
      <c r="M19" s="6" t="str">
        <f ca="1">IFERROR(__xludf.DUMMYFUNCTION("""COMPUTED_VALUE"""),"No")</f>
        <v>No</v>
      </c>
      <c r="N19" s="6" t="str">
        <f ca="1">IFERROR(__xludf.DUMMYFUNCTION("""COMPUTED_VALUE"""),"Parked")</f>
        <v>Parked</v>
      </c>
      <c r="O19" s="6" t="str">
        <f ca="1">IFERROR(__xludf.DUMMYFUNCTION("""COMPUTED_VALUE"""),"No")</f>
        <v>No</v>
      </c>
      <c r="P19" s="6" t="str">
        <f ca="1">IFERROR(__xludf.DUMMYFUNCTION("""COMPUTED_VALUE"""),"None")</f>
        <v>None</v>
      </c>
      <c r="Q19" s="6" t="str">
        <f ca="1">IFERROR(__xludf.DUMMYFUNCTION("""COMPUTED_VALUE"""),"Yes")</f>
        <v>Yes</v>
      </c>
      <c r="R19" s="6" t="str">
        <f ca="1">IFERROR(__xludf.DUMMYFUNCTION("""COMPUTED_VALUE"""),"Parked")</f>
        <v>Parked</v>
      </c>
      <c r="S19" s="6" t="str">
        <f ca="1">IFERROR(__xludf.DUMMYFUNCTION("""COMPUTED_VALUE"""),"Yes")</f>
        <v>Yes</v>
      </c>
      <c r="T19" s="6" t="str">
        <f ca="1">IFERROR(__xludf.DUMMYFUNCTION("""COMPUTED_VALUE"""),"Parked")</f>
        <v>Parked</v>
      </c>
    </row>
    <row r="20" spans="1:20">
      <c r="A20" s="6" t="str">
        <v>Qualification</v>
      </c>
      <c r="B20" s="6">
        <v>19</v>
      </c>
      <c r="C20" s="6" t="e">
        <f ca="1"/>
        <v>#NAME?</v>
      </c>
      <c r="D20" s="6" t="e">
        <f ca="1"/>
        <v>#NAME?</v>
      </c>
      <c r="E20" s="6" t="e">
        <f ca="1"/>
        <v>#NAME?</v>
      </c>
      <c r="F20" s="6" t="e">
        <f ca="1"/>
        <v>#NAME?</v>
      </c>
      <c r="G20" s="6" t="e">
        <f ca="1"/>
        <v>#NAME?</v>
      </c>
      <c r="H20" s="6" t="e">
        <f ca="1"/>
        <v>#NAME?</v>
      </c>
      <c r="I20" s="6" t="str">
        <f ca="1">IFERROR(__xludf.DUMMYFUNCTION("""COMPUTED_VALUE"""),"Yes")</f>
        <v>Yes</v>
      </c>
      <c r="J20" s="6" t="str">
        <f ca="1">IFERROR(__xludf.DUMMYFUNCTION("""COMPUTED_VALUE"""),"DeepCage")</f>
        <v>DeepCage</v>
      </c>
      <c r="K20" s="6" t="str">
        <f ca="1">IFERROR(__xludf.DUMMYFUNCTION("""COMPUTED_VALUE"""),"Yes")</f>
        <v>Yes</v>
      </c>
      <c r="L20" s="6" t="str">
        <f ca="1">IFERROR(__xludf.DUMMYFUNCTION("""COMPUTED_VALUE"""),"DeepCage")</f>
        <v>DeepCage</v>
      </c>
      <c r="M20" s="6" t="str">
        <f ca="1">IFERROR(__xludf.DUMMYFUNCTION("""COMPUTED_VALUE"""),"Yes")</f>
        <v>Yes</v>
      </c>
      <c r="N20" s="6" t="str">
        <f ca="1">IFERROR(__xludf.DUMMYFUNCTION("""COMPUTED_VALUE"""),"None")</f>
        <v>None</v>
      </c>
      <c r="O20" s="6" t="str">
        <f ca="1">IFERROR(__xludf.DUMMYFUNCTION("""COMPUTED_VALUE"""),"Yes")</f>
        <v>Yes</v>
      </c>
      <c r="P20" s="6" t="str">
        <f ca="1">IFERROR(__xludf.DUMMYFUNCTION("""COMPUTED_VALUE"""),"None")</f>
        <v>None</v>
      </c>
      <c r="Q20" s="6" t="str">
        <f ca="1">IFERROR(__xludf.DUMMYFUNCTION("""COMPUTED_VALUE"""),"Yes")</f>
        <v>Yes</v>
      </c>
      <c r="R20" s="6" t="str">
        <f ca="1">IFERROR(__xludf.DUMMYFUNCTION("""COMPUTED_VALUE"""),"Parked")</f>
        <v>Parked</v>
      </c>
      <c r="S20" s="6" t="str">
        <f ca="1">IFERROR(__xludf.DUMMYFUNCTION("""COMPUTED_VALUE"""),"Yes")</f>
        <v>Yes</v>
      </c>
      <c r="T20" s="6" t="str">
        <f ca="1">IFERROR(__xludf.DUMMYFUNCTION("""COMPUTED_VALUE"""),"Parked")</f>
        <v>Parked</v>
      </c>
    </row>
    <row r="21" spans="1:20">
      <c r="A21" s="6" t="str">
        <v>Qualification</v>
      </c>
      <c r="B21" s="6">
        <v>20</v>
      </c>
      <c r="C21" s="6" t="e">
        <f ca="1"/>
        <v>#NAME?</v>
      </c>
      <c r="D21" s="6" t="e">
        <f ca="1"/>
        <v>#NAME?</v>
      </c>
      <c r="E21" s="6" t="e">
        <f ca="1"/>
        <v>#NAME?</v>
      </c>
      <c r="F21" s="6" t="e">
        <f ca="1"/>
        <v>#NAME?</v>
      </c>
      <c r="G21" s="6" t="e">
        <f ca="1"/>
        <v>#NAME?</v>
      </c>
      <c r="H21" s="6" t="e">
        <f ca="1"/>
        <v>#NAME?</v>
      </c>
      <c r="I21" s="6" t="str">
        <f ca="1">IFERROR(__xludf.DUMMYFUNCTION("""COMPUTED_VALUE"""),"Yes")</f>
        <v>Yes</v>
      </c>
      <c r="J21" s="6" t="str">
        <f ca="1">IFERROR(__xludf.DUMMYFUNCTION("""COMPUTED_VALUE"""),"Parked")</f>
        <v>Parked</v>
      </c>
      <c r="K21" s="6" t="str">
        <f ca="1">IFERROR(__xludf.DUMMYFUNCTION("""COMPUTED_VALUE"""),"Yes")</f>
        <v>Yes</v>
      </c>
      <c r="L21" s="6" t="str">
        <f ca="1">IFERROR(__xludf.DUMMYFUNCTION("""COMPUTED_VALUE"""),"Parked")</f>
        <v>Parked</v>
      </c>
      <c r="M21" s="6" t="str">
        <f ca="1">IFERROR(__xludf.DUMMYFUNCTION("""COMPUTED_VALUE"""),"Yes")</f>
        <v>Yes</v>
      </c>
      <c r="N21" s="6" t="str">
        <f ca="1">IFERROR(__xludf.DUMMYFUNCTION("""COMPUTED_VALUE"""),"Parked")</f>
        <v>Parked</v>
      </c>
      <c r="O21" s="6" t="str">
        <f ca="1">IFERROR(__xludf.DUMMYFUNCTION("""COMPUTED_VALUE"""),"Yes")</f>
        <v>Yes</v>
      </c>
      <c r="P21" s="6" t="str">
        <f ca="1">IFERROR(__xludf.DUMMYFUNCTION("""COMPUTED_VALUE"""),"Parked")</f>
        <v>Parked</v>
      </c>
      <c r="Q21" s="6" t="str">
        <f ca="1">IFERROR(__xludf.DUMMYFUNCTION("""COMPUTED_VALUE"""),"Yes")</f>
        <v>Yes</v>
      </c>
      <c r="R21" s="6" t="str">
        <f ca="1">IFERROR(__xludf.DUMMYFUNCTION("""COMPUTED_VALUE"""),"DeepCage")</f>
        <v>DeepCage</v>
      </c>
      <c r="S21" s="6" t="str">
        <f ca="1">IFERROR(__xludf.DUMMYFUNCTION("""COMPUTED_VALUE"""),"Yes")</f>
        <v>Yes</v>
      </c>
      <c r="T21" s="6" t="str">
        <f ca="1">IFERROR(__xludf.DUMMYFUNCTION("""COMPUTED_VALUE"""),"Parked")</f>
        <v>Parked</v>
      </c>
    </row>
    <row r="22" spans="1:20">
      <c r="A22" s="6" t="str">
        <v>Qualification</v>
      </c>
      <c r="B22" s="6">
        <v>21</v>
      </c>
      <c r="C22" s="6" t="e">
        <f ca="1"/>
        <v>#NAME?</v>
      </c>
      <c r="D22" s="6" t="e">
        <f ca="1"/>
        <v>#NAME?</v>
      </c>
      <c r="E22" s="6" t="e">
        <f ca="1"/>
        <v>#NAME?</v>
      </c>
      <c r="F22" s="6" t="e">
        <f ca="1"/>
        <v>#NAME?</v>
      </c>
      <c r="G22" s="6" t="e">
        <f ca="1"/>
        <v>#NAME?</v>
      </c>
      <c r="H22" s="6" t="e">
        <f ca="1"/>
        <v>#NAME?</v>
      </c>
      <c r="I22" s="6" t="str">
        <f ca="1">IFERROR(__xludf.DUMMYFUNCTION("""COMPUTED_VALUE"""),"No")</f>
        <v>No</v>
      </c>
      <c r="J22" s="6" t="str">
        <f ca="1">IFERROR(__xludf.DUMMYFUNCTION("""COMPUTED_VALUE"""),"None")</f>
        <v>None</v>
      </c>
      <c r="K22" s="6" t="str">
        <f ca="1">IFERROR(__xludf.DUMMYFUNCTION("""COMPUTED_VALUE"""),"Yes")</f>
        <v>Yes</v>
      </c>
      <c r="L22" s="6" t="str">
        <f ca="1">IFERROR(__xludf.DUMMYFUNCTION("""COMPUTED_VALUE"""),"Parked")</f>
        <v>Parked</v>
      </c>
      <c r="M22" s="6" t="str">
        <f ca="1">IFERROR(__xludf.DUMMYFUNCTION("""COMPUTED_VALUE"""),"Yes")</f>
        <v>Yes</v>
      </c>
      <c r="N22" s="6" t="str">
        <f ca="1">IFERROR(__xludf.DUMMYFUNCTION("""COMPUTED_VALUE"""),"Parked")</f>
        <v>Parked</v>
      </c>
      <c r="O22" s="6" t="str">
        <f ca="1">IFERROR(__xludf.DUMMYFUNCTION("""COMPUTED_VALUE"""),"Yes")</f>
        <v>Yes</v>
      </c>
      <c r="P22" s="6" t="str">
        <f ca="1">IFERROR(__xludf.DUMMYFUNCTION("""COMPUTED_VALUE"""),"DeepCage")</f>
        <v>DeepCage</v>
      </c>
      <c r="Q22" s="6" t="str">
        <f ca="1">IFERROR(__xludf.DUMMYFUNCTION("""COMPUTED_VALUE"""),"No")</f>
        <v>No</v>
      </c>
      <c r="R22" s="6" t="str">
        <f ca="1">IFERROR(__xludf.DUMMYFUNCTION("""COMPUTED_VALUE"""),"Parked")</f>
        <v>Parked</v>
      </c>
      <c r="S22" s="6" t="str">
        <f ca="1">IFERROR(__xludf.DUMMYFUNCTION("""COMPUTED_VALUE"""),"Yes")</f>
        <v>Yes</v>
      </c>
      <c r="T22" s="6" t="str">
        <f ca="1">IFERROR(__xludf.DUMMYFUNCTION("""COMPUTED_VALUE"""),"Parked")</f>
        <v>Parked</v>
      </c>
    </row>
    <row r="23" spans="1:20">
      <c r="A23" s="6" t="str">
        <v>Qualification</v>
      </c>
      <c r="B23" s="6">
        <v>22</v>
      </c>
      <c r="C23" s="6" t="e">
        <f ca="1"/>
        <v>#NAME?</v>
      </c>
      <c r="D23" s="6" t="e">
        <f ca="1"/>
        <v>#NAME?</v>
      </c>
      <c r="E23" s="6" t="e">
        <f ca="1"/>
        <v>#NAME?</v>
      </c>
      <c r="F23" s="6" t="e">
        <f ca="1"/>
        <v>#NAME?</v>
      </c>
      <c r="G23" s="6" t="e">
        <f ca="1"/>
        <v>#NAME?</v>
      </c>
      <c r="H23" s="6" t="e">
        <f ca="1"/>
        <v>#NAME?</v>
      </c>
      <c r="I23" s="6" t="str">
        <f ca="1">IFERROR(__xludf.DUMMYFUNCTION("""COMPUTED_VALUE"""),"Yes")</f>
        <v>Yes</v>
      </c>
      <c r="J23" s="6" t="str">
        <f ca="1">IFERROR(__xludf.DUMMYFUNCTION("""COMPUTED_VALUE"""),"Parked")</f>
        <v>Parked</v>
      </c>
      <c r="K23" s="6" t="str">
        <f ca="1">IFERROR(__xludf.DUMMYFUNCTION("""COMPUTED_VALUE"""),"No")</f>
        <v>No</v>
      </c>
      <c r="L23" s="6" t="str">
        <f ca="1">IFERROR(__xludf.DUMMYFUNCTION("""COMPUTED_VALUE"""),"None")</f>
        <v>None</v>
      </c>
      <c r="M23" s="6" t="str">
        <f ca="1">IFERROR(__xludf.DUMMYFUNCTION("""COMPUTED_VALUE"""),"Yes")</f>
        <v>Yes</v>
      </c>
      <c r="N23" s="6" t="str">
        <f ca="1">IFERROR(__xludf.DUMMYFUNCTION("""COMPUTED_VALUE"""),"Parked")</f>
        <v>Parked</v>
      </c>
      <c r="O23" s="6" t="str">
        <f ca="1">IFERROR(__xludf.DUMMYFUNCTION("""COMPUTED_VALUE"""),"Yes")</f>
        <v>Yes</v>
      </c>
      <c r="P23" s="6" t="str">
        <f ca="1">IFERROR(__xludf.DUMMYFUNCTION("""COMPUTED_VALUE"""),"Parked")</f>
        <v>Parked</v>
      </c>
      <c r="Q23" s="6" t="str">
        <f ca="1">IFERROR(__xludf.DUMMYFUNCTION("""COMPUTED_VALUE"""),"Yes")</f>
        <v>Yes</v>
      </c>
      <c r="R23" s="6" t="str">
        <f ca="1">IFERROR(__xludf.DUMMYFUNCTION("""COMPUTED_VALUE"""),"DeepCage")</f>
        <v>DeepCage</v>
      </c>
      <c r="S23" s="6" t="str">
        <f ca="1">IFERROR(__xludf.DUMMYFUNCTION("""COMPUTED_VALUE"""),"Yes")</f>
        <v>Yes</v>
      </c>
      <c r="T23" s="6" t="str">
        <f ca="1">IFERROR(__xludf.DUMMYFUNCTION("""COMPUTED_VALUE"""),"Parked")</f>
        <v>Parked</v>
      </c>
    </row>
    <row r="24" spans="1:20">
      <c r="A24" s="6" t="str">
        <v>Qualification</v>
      </c>
      <c r="B24" s="6">
        <v>23</v>
      </c>
      <c r="C24" s="6" t="e">
        <f ca="1"/>
        <v>#NAME?</v>
      </c>
      <c r="D24" s="6" t="e">
        <f ca="1"/>
        <v>#NAME?</v>
      </c>
      <c r="E24" s="6" t="e">
        <f ca="1"/>
        <v>#NAME?</v>
      </c>
      <c r="F24" s="6" t="e">
        <f ca="1"/>
        <v>#NAME?</v>
      </c>
      <c r="G24" s="6" t="e">
        <f ca="1"/>
        <v>#NAME?</v>
      </c>
      <c r="H24" s="6" t="e">
        <f ca="1"/>
        <v>#NAME?</v>
      </c>
      <c r="I24" s="6" t="str">
        <f ca="1">IFERROR(__xludf.DUMMYFUNCTION("""COMPUTED_VALUE"""),"Yes")</f>
        <v>Yes</v>
      </c>
      <c r="J24" s="6" t="str">
        <f ca="1">IFERROR(__xludf.DUMMYFUNCTION("""COMPUTED_VALUE"""),"Parked")</f>
        <v>Parked</v>
      </c>
      <c r="K24" s="6" t="str">
        <f ca="1">IFERROR(__xludf.DUMMYFUNCTION("""COMPUTED_VALUE"""),"Yes")</f>
        <v>Yes</v>
      </c>
      <c r="L24" s="6" t="str">
        <f ca="1">IFERROR(__xludf.DUMMYFUNCTION("""COMPUTED_VALUE"""),"Parked")</f>
        <v>Parked</v>
      </c>
      <c r="M24" s="6" t="str">
        <f ca="1">IFERROR(__xludf.DUMMYFUNCTION("""COMPUTED_VALUE"""),"No")</f>
        <v>No</v>
      </c>
      <c r="N24" s="6" t="str">
        <f ca="1">IFERROR(__xludf.DUMMYFUNCTION("""COMPUTED_VALUE"""),"None")</f>
        <v>None</v>
      </c>
      <c r="O24" s="6" t="str">
        <f ca="1">IFERROR(__xludf.DUMMYFUNCTION("""COMPUTED_VALUE"""),"Yes")</f>
        <v>Yes</v>
      </c>
      <c r="P24" s="6" t="str">
        <f ca="1">IFERROR(__xludf.DUMMYFUNCTION("""COMPUTED_VALUE"""),"Parked")</f>
        <v>Parked</v>
      </c>
      <c r="Q24" s="6" t="str">
        <f ca="1">IFERROR(__xludf.DUMMYFUNCTION("""COMPUTED_VALUE"""),"Yes")</f>
        <v>Yes</v>
      </c>
      <c r="R24" s="6" t="str">
        <f ca="1">IFERROR(__xludf.DUMMYFUNCTION("""COMPUTED_VALUE"""),"Parked")</f>
        <v>Parked</v>
      </c>
      <c r="S24" s="6" t="str">
        <f ca="1">IFERROR(__xludf.DUMMYFUNCTION("""COMPUTED_VALUE"""),"Yes")</f>
        <v>Yes</v>
      </c>
      <c r="T24" s="6" t="str">
        <f ca="1">IFERROR(__xludf.DUMMYFUNCTION("""COMPUTED_VALUE"""),"None")</f>
        <v>None</v>
      </c>
    </row>
    <row r="25" spans="1:20">
      <c r="A25" s="6" t="str">
        <v>Qualification</v>
      </c>
      <c r="B25" s="6">
        <v>24</v>
      </c>
      <c r="C25" s="6" t="e">
        <f ca="1"/>
        <v>#NAME?</v>
      </c>
      <c r="D25" s="6" t="e">
        <f ca="1"/>
        <v>#NAME?</v>
      </c>
      <c r="E25" s="6" t="e">
        <f ca="1"/>
        <v>#NAME?</v>
      </c>
      <c r="F25" s="6" t="e">
        <f ca="1"/>
        <v>#NAME?</v>
      </c>
      <c r="G25" s="6" t="e">
        <f ca="1"/>
        <v>#NAME?</v>
      </c>
      <c r="H25" s="6" t="e">
        <f ca="1"/>
        <v>#NAME?</v>
      </c>
      <c r="I25" s="6" t="str">
        <f ca="1">IFERROR(__xludf.DUMMYFUNCTION("""COMPUTED_VALUE"""),"Yes")</f>
        <v>Yes</v>
      </c>
      <c r="J25" s="6" t="str">
        <f ca="1">IFERROR(__xludf.DUMMYFUNCTION("""COMPUTED_VALUE"""),"Parked")</f>
        <v>Parked</v>
      </c>
      <c r="K25" s="6" t="str">
        <f ca="1">IFERROR(__xludf.DUMMYFUNCTION("""COMPUTED_VALUE"""),"Yes")</f>
        <v>Yes</v>
      </c>
      <c r="L25" s="6" t="str">
        <f ca="1">IFERROR(__xludf.DUMMYFUNCTION("""COMPUTED_VALUE"""),"ShallowCage")</f>
        <v>ShallowCage</v>
      </c>
      <c r="M25" s="6" t="str">
        <f ca="1">IFERROR(__xludf.DUMMYFUNCTION("""COMPUTED_VALUE"""),"Yes")</f>
        <v>Yes</v>
      </c>
      <c r="N25" s="6" t="str">
        <f ca="1">IFERROR(__xludf.DUMMYFUNCTION("""COMPUTED_VALUE"""),"Parked")</f>
        <v>Parked</v>
      </c>
      <c r="O25" s="6" t="str">
        <f ca="1">IFERROR(__xludf.DUMMYFUNCTION("""COMPUTED_VALUE"""),"No")</f>
        <v>No</v>
      </c>
      <c r="P25" s="6" t="str">
        <f ca="1">IFERROR(__xludf.DUMMYFUNCTION("""COMPUTED_VALUE"""),"None")</f>
        <v>None</v>
      </c>
      <c r="Q25" s="6" t="str">
        <f ca="1">IFERROR(__xludf.DUMMYFUNCTION("""COMPUTED_VALUE"""),"Yes")</f>
        <v>Yes</v>
      </c>
      <c r="R25" s="6" t="str">
        <f ca="1">IFERROR(__xludf.DUMMYFUNCTION("""COMPUTED_VALUE"""),"Parked")</f>
        <v>Parked</v>
      </c>
      <c r="S25" s="6" t="str">
        <f ca="1">IFERROR(__xludf.DUMMYFUNCTION("""COMPUTED_VALUE"""),"No")</f>
        <v>No</v>
      </c>
      <c r="T25" s="6" t="str">
        <f ca="1">IFERROR(__xludf.DUMMYFUNCTION("""COMPUTED_VALUE"""),"None")</f>
        <v>None</v>
      </c>
    </row>
    <row r="26" spans="1:20">
      <c r="A26" s="6" t="str">
        <v>Qualification</v>
      </c>
      <c r="B26" s="6">
        <v>25</v>
      </c>
      <c r="C26" s="6" t="e">
        <f ca="1"/>
        <v>#NAME?</v>
      </c>
      <c r="D26" s="6" t="e">
        <f ca="1"/>
        <v>#NAME?</v>
      </c>
      <c r="E26" s="6" t="e">
        <f ca="1"/>
        <v>#NAME?</v>
      </c>
      <c r="F26" s="6" t="e">
        <f ca="1"/>
        <v>#NAME?</v>
      </c>
      <c r="G26" s="6" t="e">
        <f ca="1"/>
        <v>#NAME?</v>
      </c>
      <c r="H26" s="6" t="e">
        <f ca="1"/>
        <v>#NAME?</v>
      </c>
      <c r="I26" s="6" t="str">
        <f ca="1">IFERROR(__xludf.DUMMYFUNCTION("""COMPUTED_VALUE"""),"Yes")</f>
        <v>Yes</v>
      </c>
      <c r="J26" s="6" t="str">
        <f ca="1">IFERROR(__xludf.DUMMYFUNCTION("""COMPUTED_VALUE"""),"Parked")</f>
        <v>Parked</v>
      </c>
      <c r="K26" s="6" t="str">
        <f ca="1">IFERROR(__xludf.DUMMYFUNCTION("""COMPUTED_VALUE"""),"Yes")</f>
        <v>Yes</v>
      </c>
      <c r="L26" s="6" t="str">
        <f ca="1">IFERROR(__xludf.DUMMYFUNCTION("""COMPUTED_VALUE"""),"Parked")</f>
        <v>Parked</v>
      </c>
      <c r="M26" s="6" t="str">
        <f ca="1">IFERROR(__xludf.DUMMYFUNCTION("""COMPUTED_VALUE"""),"Yes")</f>
        <v>Yes</v>
      </c>
      <c r="N26" s="6" t="str">
        <f ca="1">IFERROR(__xludf.DUMMYFUNCTION("""COMPUTED_VALUE"""),"Parked")</f>
        <v>Parked</v>
      </c>
      <c r="O26" s="6" t="str">
        <f ca="1">IFERROR(__xludf.DUMMYFUNCTION("""COMPUTED_VALUE"""),"Yes")</f>
        <v>Yes</v>
      </c>
      <c r="P26" s="6" t="str">
        <f ca="1">IFERROR(__xludf.DUMMYFUNCTION("""COMPUTED_VALUE"""),"Parked")</f>
        <v>Parked</v>
      </c>
      <c r="Q26" s="6" t="str">
        <f ca="1">IFERROR(__xludf.DUMMYFUNCTION("""COMPUTED_VALUE"""),"Yes")</f>
        <v>Yes</v>
      </c>
      <c r="R26" s="6" t="str">
        <f ca="1">IFERROR(__xludf.DUMMYFUNCTION("""COMPUTED_VALUE"""),"Parked")</f>
        <v>Parked</v>
      </c>
      <c r="S26" s="6" t="str">
        <f ca="1">IFERROR(__xludf.DUMMYFUNCTION("""COMPUTED_VALUE"""),"Yes")</f>
        <v>Yes</v>
      </c>
      <c r="T26" s="6" t="str">
        <f ca="1">IFERROR(__xludf.DUMMYFUNCTION("""COMPUTED_VALUE"""),"Parked")</f>
        <v>Parked</v>
      </c>
    </row>
    <row r="27" spans="1:20">
      <c r="A27" s="6" t="str">
        <v>Qualification</v>
      </c>
      <c r="B27" s="6">
        <v>26</v>
      </c>
      <c r="C27" s="6" t="e">
        <f ca="1"/>
        <v>#NAME?</v>
      </c>
      <c r="D27" s="6" t="e">
        <f ca="1"/>
        <v>#NAME?</v>
      </c>
      <c r="E27" s="6" t="e">
        <f ca="1"/>
        <v>#NAME?</v>
      </c>
      <c r="F27" s="6" t="e">
        <f ca="1"/>
        <v>#NAME?</v>
      </c>
      <c r="G27" s="6" t="e">
        <f ca="1"/>
        <v>#NAME?</v>
      </c>
      <c r="H27" s="6" t="e">
        <f ca="1"/>
        <v>#NAME?</v>
      </c>
      <c r="I27" s="6" t="str">
        <f ca="1">IFERROR(__xludf.DUMMYFUNCTION("""COMPUTED_VALUE"""),"Yes")</f>
        <v>Yes</v>
      </c>
      <c r="J27" s="6" t="str">
        <f ca="1">IFERROR(__xludf.DUMMYFUNCTION("""COMPUTED_VALUE"""),"Parked")</f>
        <v>Parked</v>
      </c>
      <c r="K27" s="6" t="str">
        <f ca="1">IFERROR(__xludf.DUMMYFUNCTION("""COMPUTED_VALUE"""),"Yes")</f>
        <v>Yes</v>
      </c>
      <c r="L27" s="6" t="str">
        <f ca="1">IFERROR(__xludf.DUMMYFUNCTION("""COMPUTED_VALUE"""),"Parked")</f>
        <v>Parked</v>
      </c>
      <c r="M27" s="6" t="str">
        <f ca="1">IFERROR(__xludf.DUMMYFUNCTION("""COMPUTED_VALUE"""),"Yes")</f>
        <v>Yes</v>
      </c>
      <c r="N27" s="6" t="str">
        <f ca="1">IFERROR(__xludf.DUMMYFUNCTION("""COMPUTED_VALUE"""),"None")</f>
        <v>None</v>
      </c>
      <c r="O27" s="6" t="str">
        <f ca="1">IFERROR(__xludf.DUMMYFUNCTION("""COMPUTED_VALUE"""),"No")</f>
        <v>No</v>
      </c>
      <c r="P27" s="6" t="str">
        <f ca="1">IFERROR(__xludf.DUMMYFUNCTION("""COMPUTED_VALUE"""),"Parked")</f>
        <v>Parked</v>
      </c>
      <c r="Q27" s="6" t="str">
        <f ca="1">IFERROR(__xludf.DUMMYFUNCTION("""COMPUTED_VALUE"""),"Yes")</f>
        <v>Yes</v>
      </c>
      <c r="R27" s="6" t="str">
        <f ca="1">IFERROR(__xludf.DUMMYFUNCTION("""COMPUTED_VALUE"""),"None")</f>
        <v>None</v>
      </c>
      <c r="S27" s="6" t="str">
        <f ca="1">IFERROR(__xludf.DUMMYFUNCTION("""COMPUTED_VALUE"""),"Yes")</f>
        <v>Yes</v>
      </c>
      <c r="T27" s="6" t="str">
        <f ca="1">IFERROR(__xludf.DUMMYFUNCTION("""COMPUTED_VALUE"""),"Parked")</f>
        <v>Parked</v>
      </c>
    </row>
    <row r="28" spans="1:20">
      <c r="A28" s="6" t="str">
        <v>Qualification</v>
      </c>
      <c r="B28" s="6">
        <v>27</v>
      </c>
      <c r="C28" s="6" t="e">
        <f ca="1"/>
        <v>#NAME?</v>
      </c>
      <c r="D28" s="6" t="e">
        <f ca="1"/>
        <v>#NAME?</v>
      </c>
      <c r="E28" s="6" t="e">
        <f ca="1"/>
        <v>#NAME?</v>
      </c>
      <c r="F28" s="6" t="e">
        <f ca="1"/>
        <v>#NAME?</v>
      </c>
      <c r="G28" s="6" t="e">
        <f ca="1"/>
        <v>#NAME?</v>
      </c>
      <c r="H28" s="6" t="e">
        <f ca="1"/>
        <v>#NAME?</v>
      </c>
      <c r="I28" s="6" t="str">
        <f ca="1">IFERROR(__xludf.DUMMYFUNCTION("""COMPUTED_VALUE"""),"Yes")</f>
        <v>Yes</v>
      </c>
      <c r="J28" s="6" t="str">
        <f ca="1">IFERROR(__xludf.DUMMYFUNCTION("""COMPUTED_VALUE"""),"DeepCage")</f>
        <v>DeepCage</v>
      </c>
      <c r="K28" s="6" t="str">
        <f ca="1">IFERROR(__xludf.DUMMYFUNCTION("""COMPUTED_VALUE"""),"Yes")</f>
        <v>Yes</v>
      </c>
      <c r="L28" s="6" t="str">
        <f ca="1">IFERROR(__xludf.DUMMYFUNCTION("""COMPUTED_VALUE"""),"Parked")</f>
        <v>Parked</v>
      </c>
      <c r="M28" s="6" t="str">
        <f ca="1">IFERROR(__xludf.DUMMYFUNCTION("""COMPUTED_VALUE"""),"Yes")</f>
        <v>Yes</v>
      </c>
      <c r="N28" s="6" t="str">
        <f ca="1">IFERROR(__xludf.DUMMYFUNCTION("""COMPUTED_VALUE"""),"Parked")</f>
        <v>Parked</v>
      </c>
      <c r="O28" s="6" t="str">
        <f ca="1">IFERROR(__xludf.DUMMYFUNCTION("""COMPUTED_VALUE"""),"No")</f>
        <v>No</v>
      </c>
      <c r="P28" s="6" t="str">
        <f ca="1">IFERROR(__xludf.DUMMYFUNCTION("""COMPUTED_VALUE"""),"Parked")</f>
        <v>Parked</v>
      </c>
      <c r="Q28" s="6" t="str">
        <f ca="1">IFERROR(__xludf.DUMMYFUNCTION("""COMPUTED_VALUE"""),"No")</f>
        <v>No</v>
      </c>
      <c r="R28" s="6" t="str">
        <f ca="1">IFERROR(__xludf.DUMMYFUNCTION("""COMPUTED_VALUE"""),"None")</f>
        <v>None</v>
      </c>
      <c r="S28" s="6" t="str">
        <f ca="1">IFERROR(__xludf.DUMMYFUNCTION("""COMPUTED_VALUE"""),"Yes")</f>
        <v>Yes</v>
      </c>
      <c r="T28" s="6" t="str">
        <f ca="1">IFERROR(__xludf.DUMMYFUNCTION("""COMPUTED_VALUE"""),"DeepCage")</f>
        <v>DeepCage</v>
      </c>
    </row>
    <row r="29" spans="1:20">
      <c r="A29" s="6" t="str">
        <v>Qualification</v>
      </c>
      <c r="B29" s="6">
        <v>28</v>
      </c>
      <c r="C29" s="6" t="e">
        <f ca="1"/>
        <v>#NAME?</v>
      </c>
      <c r="D29" s="6" t="e">
        <f ca="1"/>
        <v>#NAME?</v>
      </c>
      <c r="E29" s="6" t="e">
        <f ca="1"/>
        <v>#NAME?</v>
      </c>
      <c r="F29" s="6" t="e">
        <f ca="1"/>
        <v>#NAME?</v>
      </c>
      <c r="G29" s="6" t="e">
        <f ca="1"/>
        <v>#NAME?</v>
      </c>
      <c r="H29" s="6" t="e">
        <f ca="1"/>
        <v>#NAME?</v>
      </c>
      <c r="I29" s="6" t="str">
        <f ca="1">IFERROR(__xludf.DUMMYFUNCTION("""COMPUTED_VALUE"""),"Yes")</f>
        <v>Yes</v>
      </c>
      <c r="J29" s="6" t="str">
        <f ca="1">IFERROR(__xludf.DUMMYFUNCTION("""COMPUTED_VALUE"""),"Parked")</f>
        <v>Parked</v>
      </c>
      <c r="K29" s="6" t="str">
        <f ca="1">IFERROR(__xludf.DUMMYFUNCTION("""COMPUTED_VALUE"""),"No")</f>
        <v>No</v>
      </c>
      <c r="L29" s="6" t="str">
        <f ca="1">IFERROR(__xludf.DUMMYFUNCTION("""COMPUTED_VALUE"""),"Parked")</f>
        <v>Parked</v>
      </c>
      <c r="M29" s="6" t="str">
        <f ca="1">IFERROR(__xludf.DUMMYFUNCTION("""COMPUTED_VALUE"""),"Yes")</f>
        <v>Yes</v>
      </c>
      <c r="N29" s="6" t="str">
        <f ca="1">IFERROR(__xludf.DUMMYFUNCTION("""COMPUTED_VALUE"""),"None")</f>
        <v>None</v>
      </c>
      <c r="O29" s="6" t="str">
        <f ca="1">IFERROR(__xludf.DUMMYFUNCTION("""COMPUTED_VALUE"""),"Yes")</f>
        <v>Yes</v>
      </c>
      <c r="P29" s="6" t="str">
        <f ca="1">IFERROR(__xludf.DUMMYFUNCTION("""COMPUTED_VALUE"""),"Parked")</f>
        <v>Parked</v>
      </c>
      <c r="Q29" s="6" t="str">
        <f ca="1">IFERROR(__xludf.DUMMYFUNCTION("""COMPUTED_VALUE"""),"Yes")</f>
        <v>Yes</v>
      </c>
      <c r="R29" s="6" t="str">
        <f ca="1">IFERROR(__xludf.DUMMYFUNCTION("""COMPUTED_VALUE"""),"None")</f>
        <v>None</v>
      </c>
      <c r="S29" s="6" t="str">
        <f ca="1">IFERROR(__xludf.DUMMYFUNCTION("""COMPUTED_VALUE"""),"Yes")</f>
        <v>Yes</v>
      </c>
      <c r="T29" s="6" t="str">
        <f ca="1">IFERROR(__xludf.DUMMYFUNCTION("""COMPUTED_VALUE"""),"DeepCage")</f>
        <v>DeepCage</v>
      </c>
    </row>
    <row r="30" spans="1:20">
      <c r="A30" s="6" t="str">
        <v>Qualification</v>
      </c>
      <c r="B30" s="6">
        <v>29</v>
      </c>
      <c r="C30" s="6" t="e">
        <f ca="1"/>
        <v>#NAME?</v>
      </c>
      <c r="D30" s="6" t="e">
        <f ca="1"/>
        <v>#NAME?</v>
      </c>
      <c r="E30" s="6" t="e">
        <f ca="1"/>
        <v>#NAME?</v>
      </c>
      <c r="F30" s="6" t="e">
        <f ca="1"/>
        <v>#NAME?</v>
      </c>
      <c r="G30" s="6" t="e">
        <f ca="1"/>
        <v>#NAME?</v>
      </c>
      <c r="H30" s="6" t="e">
        <f ca="1"/>
        <v>#NAME?</v>
      </c>
      <c r="I30" s="6" t="str">
        <f ca="1">IFERROR(__xludf.DUMMYFUNCTION("""COMPUTED_VALUE"""),"Yes")</f>
        <v>Yes</v>
      </c>
      <c r="J30" s="6" t="str">
        <f ca="1">IFERROR(__xludf.DUMMYFUNCTION("""COMPUTED_VALUE"""),"DeepCage")</f>
        <v>DeepCage</v>
      </c>
      <c r="K30" s="6" t="str">
        <f ca="1">IFERROR(__xludf.DUMMYFUNCTION("""COMPUTED_VALUE"""),"No")</f>
        <v>No</v>
      </c>
      <c r="L30" s="6" t="str">
        <f ca="1">IFERROR(__xludf.DUMMYFUNCTION("""COMPUTED_VALUE"""),"None")</f>
        <v>None</v>
      </c>
      <c r="M30" s="6" t="str">
        <f ca="1">IFERROR(__xludf.DUMMYFUNCTION("""COMPUTED_VALUE"""),"Yes")</f>
        <v>Yes</v>
      </c>
      <c r="N30" s="6" t="str">
        <f ca="1">IFERROR(__xludf.DUMMYFUNCTION("""COMPUTED_VALUE"""),"Parked")</f>
        <v>Parked</v>
      </c>
      <c r="O30" s="6" t="str">
        <f ca="1">IFERROR(__xludf.DUMMYFUNCTION("""COMPUTED_VALUE"""),"Yes")</f>
        <v>Yes</v>
      </c>
      <c r="P30" s="6" t="str">
        <f ca="1">IFERROR(__xludf.DUMMYFUNCTION("""COMPUTED_VALUE"""),"Parked")</f>
        <v>Parked</v>
      </c>
      <c r="Q30" s="6" t="str">
        <f ca="1">IFERROR(__xludf.DUMMYFUNCTION("""COMPUTED_VALUE"""),"Yes")</f>
        <v>Yes</v>
      </c>
      <c r="R30" s="6" t="str">
        <f ca="1">IFERROR(__xludf.DUMMYFUNCTION("""COMPUTED_VALUE"""),"Parked")</f>
        <v>Parked</v>
      </c>
      <c r="S30" s="6" t="str">
        <f ca="1">IFERROR(__xludf.DUMMYFUNCTION("""COMPUTED_VALUE"""),"Yes")</f>
        <v>Yes</v>
      </c>
      <c r="T30" s="6" t="str">
        <f ca="1">IFERROR(__xludf.DUMMYFUNCTION("""COMPUTED_VALUE"""),"Parked")</f>
        <v>Parked</v>
      </c>
    </row>
    <row r="31" spans="1:20">
      <c r="A31" s="6" t="str">
        <v>Qualification</v>
      </c>
      <c r="B31" s="6">
        <v>30</v>
      </c>
      <c r="C31" s="6" t="e">
        <f ca="1"/>
        <v>#NAME?</v>
      </c>
      <c r="D31" s="6" t="e">
        <f ca="1"/>
        <v>#NAME?</v>
      </c>
      <c r="E31" s="6" t="e">
        <f ca="1"/>
        <v>#NAME?</v>
      </c>
      <c r="F31" s="6" t="e">
        <f ca="1"/>
        <v>#NAME?</v>
      </c>
      <c r="G31" s="6" t="e">
        <f ca="1"/>
        <v>#NAME?</v>
      </c>
      <c r="H31" s="6" t="e">
        <f ca="1"/>
        <v>#NAME?</v>
      </c>
      <c r="I31" s="6" t="str">
        <f ca="1">IFERROR(__xludf.DUMMYFUNCTION("""COMPUTED_VALUE"""),"Yes")</f>
        <v>Yes</v>
      </c>
      <c r="J31" s="6" t="str">
        <f ca="1">IFERROR(__xludf.DUMMYFUNCTION("""COMPUTED_VALUE"""),"Parked")</f>
        <v>Parked</v>
      </c>
      <c r="K31" s="6" t="str">
        <f ca="1">IFERROR(__xludf.DUMMYFUNCTION("""COMPUTED_VALUE"""),"Yes")</f>
        <v>Yes</v>
      </c>
      <c r="L31" s="6" t="str">
        <f ca="1">IFERROR(__xludf.DUMMYFUNCTION("""COMPUTED_VALUE"""),"DeepCage")</f>
        <v>DeepCage</v>
      </c>
      <c r="M31" s="6" t="str">
        <f ca="1">IFERROR(__xludf.DUMMYFUNCTION("""COMPUTED_VALUE"""),"Yes")</f>
        <v>Yes</v>
      </c>
      <c r="N31" s="6" t="str">
        <f ca="1">IFERROR(__xludf.DUMMYFUNCTION("""COMPUTED_VALUE"""),"Parked")</f>
        <v>Parked</v>
      </c>
      <c r="O31" s="6" t="str">
        <f ca="1">IFERROR(__xludf.DUMMYFUNCTION("""COMPUTED_VALUE"""),"Yes")</f>
        <v>Yes</v>
      </c>
      <c r="P31" s="6" t="str">
        <f ca="1">IFERROR(__xludf.DUMMYFUNCTION("""COMPUTED_VALUE"""),"Parked")</f>
        <v>Parked</v>
      </c>
      <c r="Q31" s="6" t="str">
        <f ca="1">IFERROR(__xludf.DUMMYFUNCTION("""COMPUTED_VALUE"""),"Yes")</f>
        <v>Yes</v>
      </c>
      <c r="R31" s="6" t="str">
        <f ca="1">IFERROR(__xludf.DUMMYFUNCTION("""COMPUTED_VALUE"""),"Parked")</f>
        <v>Parked</v>
      </c>
      <c r="S31" s="6" t="str">
        <f ca="1">IFERROR(__xludf.DUMMYFUNCTION("""COMPUTED_VALUE"""),"No")</f>
        <v>No</v>
      </c>
      <c r="T31" s="6" t="str">
        <f ca="1">IFERROR(__xludf.DUMMYFUNCTION("""COMPUTED_VALUE"""),"Parked")</f>
        <v>Parked</v>
      </c>
    </row>
    <row r="32" spans="1:20">
      <c r="A32" s="6" t="str">
        <v>Qualification</v>
      </c>
      <c r="B32" s="6">
        <v>31</v>
      </c>
      <c r="C32" s="6" t="e">
        <f ca="1"/>
        <v>#NAME?</v>
      </c>
      <c r="D32" s="6" t="e">
        <f ca="1"/>
        <v>#NAME?</v>
      </c>
      <c r="E32" s="6" t="e">
        <f ca="1"/>
        <v>#NAME?</v>
      </c>
      <c r="F32" s="6" t="e">
        <f ca="1"/>
        <v>#NAME?</v>
      </c>
      <c r="G32" s="6" t="e">
        <f ca="1"/>
        <v>#NAME?</v>
      </c>
      <c r="H32" s="6" t="e">
        <f ca="1"/>
        <v>#NAME?</v>
      </c>
      <c r="I32" s="6" t="str">
        <f ca="1">IFERROR(__xludf.DUMMYFUNCTION("""COMPUTED_VALUE"""),"Yes")</f>
        <v>Yes</v>
      </c>
      <c r="J32" s="6" t="str">
        <f ca="1">IFERROR(__xludf.DUMMYFUNCTION("""COMPUTED_VALUE"""),"None")</f>
        <v>None</v>
      </c>
      <c r="K32" s="6" t="str">
        <f ca="1">IFERROR(__xludf.DUMMYFUNCTION("""COMPUTED_VALUE"""),"Yes")</f>
        <v>Yes</v>
      </c>
      <c r="L32" s="6" t="str">
        <f ca="1">IFERROR(__xludf.DUMMYFUNCTION("""COMPUTED_VALUE"""),"None")</f>
        <v>None</v>
      </c>
      <c r="M32" s="6" t="str">
        <f ca="1">IFERROR(__xludf.DUMMYFUNCTION("""COMPUTED_VALUE"""),"Yes")</f>
        <v>Yes</v>
      </c>
      <c r="N32" s="6" t="str">
        <f ca="1">IFERROR(__xludf.DUMMYFUNCTION("""COMPUTED_VALUE"""),"None")</f>
        <v>None</v>
      </c>
      <c r="O32" s="6" t="str">
        <f ca="1">IFERROR(__xludf.DUMMYFUNCTION("""COMPUTED_VALUE"""),"No")</f>
        <v>No</v>
      </c>
      <c r="P32" s="6" t="str">
        <f ca="1">IFERROR(__xludf.DUMMYFUNCTION("""COMPUTED_VALUE"""),"None")</f>
        <v>None</v>
      </c>
      <c r="Q32" s="6" t="str">
        <f ca="1">IFERROR(__xludf.DUMMYFUNCTION("""COMPUTED_VALUE"""),"Yes")</f>
        <v>Yes</v>
      </c>
      <c r="R32" s="6" t="str">
        <f ca="1">IFERROR(__xludf.DUMMYFUNCTION("""COMPUTED_VALUE"""),"Parked")</f>
        <v>Parked</v>
      </c>
      <c r="S32" s="6" t="str">
        <f ca="1">IFERROR(__xludf.DUMMYFUNCTION("""COMPUTED_VALUE"""),"Yes")</f>
        <v>Yes</v>
      </c>
      <c r="T32" s="6" t="str">
        <f ca="1">IFERROR(__xludf.DUMMYFUNCTION("""COMPUTED_VALUE"""),"Parked")</f>
        <v>Parked</v>
      </c>
    </row>
    <row r="33" spans="1:20">
      <c r="A33" s="6" t="str">
        <v>Qualification</v>
      </c>
      <c r="B33" s="6">
        <v>32</v>
      </c>
      <c r="C33" s="6" t="e">
        <f ca="1"/>
        <v>#NAME?</v>
      </c>
      <c r="D33" s="6" t="e">
        <f ca="1"/>
        <v>#NAME?</v>
      </c>
      <c r="E33" s="6" t="e">
        <f ca="1"/>
        <v>#NAME?</v>
      </c>
      <c r="F33" s="6" t="e">
        <f ca="1"/>
        <v>#NAME?</v>
      </c>
      <c r="G33" s="6" t="e">
        <f ca="1"/>
        <v>#NAME?</v>
      </c>
      <c r="H33" s="6" t="e">
        <f ca="1"/>
        <v>#NAME?</v>
      </c>
      <c r="I33" s="6" t="str">
        <f ca="1">IFERROR(__xludf.DUMMYFUNCTION("""COMPUTED_VALUE"""),"Yes")</f>
        <v>Yes</v>
      </c>
      <c r="J33" s="6" t="str">
        <f ca="1">IFERROR(__xludf.DUMMYFUNCTION("""COMPUTED_VALUE"""),"DeepCage")</f>
        <v>DeepCage</v>
      </c>
      <c r="K33" s="6" t="str">
        <f ca="1">IFERROR(__xludf.DUMMYFUNCTION("""COMPUTED_VALUE"""),"Yes")</f>
        <v>Yes</v>
      </c>
      <c r="L33" s="6" t="str">
        <f ca="1">IFERROR(__xludf.DUMMYFUNCTION("""COMPUTED_VALUE"""),"None")</f>
        <v>None</v>
      </c>
      <c r="M33" s="6" t="str">
        <f ca="1">IFERROR(__xludf.DUMMYFUNCTION("""COMPUTED_VALUE"""),"Yes")</f>
        <v>Yes</v>
      </c>
      <c r="N33" s="6" t="str">
        <f ca="1">IFERROR(__xludf.DUMMYFUNCTION("""COMPUTED_VALUE"""),"Parked")</f>
        <v>Parked</v>
      </c>
      <c r="O33" s="6" t="str">
        <f ca="1">IFERROR(__xludf.DUMMYFUNCTION("""COMPUTED_VALUE"""),"No")</f>
        <v>No</v>
      </c>
      <c r="P33" s="6" t="str">
        <f ca="1">IFERROR(__xludf.DUMMYFUNCTION("""COMPUTED_VALUE"""),"Parked")</f>
        <v>Parked</v>
      </c>
      <c r="Q33" s="6" t="str">
        <f ca="1">IFERROR(__xludf.DUMMYFUNCTION("""COMPUTED_VALUE"""),"No")</f>
        <v>No</v>
      </c>
      <c r="R33" s="6" t="str">
        <f ca="1">IFERROR(__xludf.DUMMYFUNCTION("""COMPUTED_VALUE"""),"None")</f>
        <v>None</v>
      </c>
      <c r="S33" s="6" t="str">
        <f ca="1">IFERROR(__xludf.DUMMYFUNCTION("""COMPUTED_VALUE"""),"Yes")</f>
        <v>Yes</v>
      </c>
      <c r="T33" s="6" t="str">
        <f ca="1">IFERROR(__xludf.DUMMYFUNCTION("""COMPUTED_VALUE"""),"DeepCage")</f>
        <v>DeepCage</v>
      </c>
    </row>
    <row r="34" spans="1:20">
      <c r="A34" s="6" t="str">
        <v>Qualification</v>
      </c>
      <c r="B34" s="6">
        <v>33</v>
      </c>
      <c r="C34" s="6" t="e">
        <f ca="1"/>
        <v>#NAME?</v>
      </c>
      <c r="D34" s="6" t="e">
        <f ca="1"/>
        <v>#NAME?</v>
      </c>
      <c r="E34" s="6" t="e">
        <f ca="1"/>
        <v>#NAME?</v>
      </c>
      <c r="F34" s="6" t="e">
        <f ca="1"/>
        <v>#NAME?</v>
      </c>
      <c r="G34" s="6" t="e">
        <f ca="1"/>
        <v>#NAME?</v>
      </c>
      <c r="H34" s="6" t="e">
        <f ca="1"/>
        <v>#NAME?</v>
      </c>
      <c r="I34" s="6" t="str">
        <f ca="1">IFERROR(__xludf.DUMMYFUNCTION("""COMPUTED_VALUE"""),"Yes")</f>
        <v>Yes</v>
      </c>
      <c r="J34" s="6" t="str">
        <f ca="1">IFERROR(__xludf.DUMMYFUNCTION("""COMPUTED_VALUE"""),"Parked")</f>
        <v>Parked</v>
      </c>
      <c r="K34" s="6" t="str">
        <f ca="1">IFERROR(__xludf.DUMMYFUNCTION("""COMPUTED_VALUE"""),"Yes")</f>
        <v>Yes</v>
      </c>
      <c r="L34" s="6" t="str">
        <f ca="1">IFERROR(__xludf.DUMMYFUNCTION("""COMPUTED_VALUE"""),"Parked")</f>
        <v>Parked</v>
      </c>
      <c r="M34" s="6" t="str">
        <f ca="1">IFERROR(__xludf.DUMMYFUNCTION("""COMPUTED_VALUE"""),"Yes")</f>
        <v>Yes</v>
      </c>
      <c r="N34" s="6" t="str">
        <f ca="1">IFERROR(__xludf.DUMMYFUNCTION("""COMPUTED_VALUE"""),"Parked")</f>
        <v>Parked</v>
      </c>
      <c r="O34" s="6" t="str">
        <f ca="1">IFERROR(__xludf.DUMMYFUNCTION("""COMPUTED_VALUE"""),"Yes")</f>
        <v>Yes</v>
      </c>
      <c r="P34" s="6" t="str">
        <f ca="1">IFERROR(__xludf.DUMMYFUNCTION("""COMPUTED_VALUE"""),"DeepCage")</f>
        <v>DeepCage</v>
      </c>
      <c r="Q34" s="6" t="str">
        <f ca="1">IFERROR(__xludf.DUMMYFUNCTION("""COMPUTED_VALUE"""),"Yes")</f>
        <v>Yes</v>
      </c>
      <c r="R34" s="6" t="str">
        <f ca="1">IFERROR(__xludf.DUMMYFUNCTION("""COMPUTED_VALUE"""),"Parked")</f>
        <v>Parked</v>
      </c>
      <c r="S34" s="6" t="str">
        <f ca="1">IFERROR(__xludf.DUMMYFUNCTION("""COMPUTED_VALUE"""),"Yes")</f>
        <v>Yes</v>
      </c>
      <c r="T34" s="6" t="str">
        <f ca="1">IFERROR(__xludf.DUMMYFUNCTION("""COMPUTED_VALUE"""),"Parked")</f>
        <v>Parked</v>
      </c>
    </row>
    <row r="35" spans="1:20">
      <c r="A35" s="6" t="str">
        <v>Qualification</v>
      </c>
      <c r="B35" s="6">
        <v>34</v>
      </c>
      <c r="C35" s="6" t="e">
        <f ca="1"/>
        <v>#NAME?</v>
      </c>
      <c r="D35" s="6" t="e">
        <f ca="1"/>
        <v>#NAME?</v>
      </c>
      <c r="E35" s="6" t="e">
        <f ca="1"/>
        <v>#NAME?</v>
      </c>
      <c r="F35" s="6" t="e">
        <f ca="1"/>
        <v>#NAME?</v>
      </c>
      <c r="G35" s="6" t="e">
        <f ca="1"/>
        <v>#NAME?</v>
      </c>
      <c r="H35" s="6" t="e">
        <f ca="1"/>
        <v>#NAME?</v>
      </c>
      <c r="I35" s="6" t="str">
        <f ca="1">IFERROR(__xludf.DUMMYFUNCTION("""COMPUTED_VALUE"""),"Yes")</f>
        <v>Yes</v>
      </c>
      <c r="J35" s="6" t="str">
        <f ca="1">IFERROR(__xludf.DUMMYFUNCTION("""COMPUTED_VALUE"""),"None")</f>
        <v>None</v>
      </c>
      <c r="K35" s="6" t="str">
        <f ca="1">IFERROR(__xludf.DUMMYFUNCTION("""COMPUTED_VALUE"""),"Yes")</f>
        <v>Yes</v>
      </c>
      <c r="L35" s="6" t="str">
        <f ca="1">IFERROR(__xludf.DUMMYFUNCTION("""COMPUTED_VALUE"""),"DeepCage")</f>
        <v>DeepCage</v>
      </c>
      <c r="M35" s="6" t="str">
        <f ca="1">IFERROR(__xludf.DUMMYFUNCTION("""COMPUTED_VALUE"""),"Yes")</f>
        <v>Yes</v>
      </c>
      <c r="N35" s="6" t="str">
        <f ca="1">IFERROR(__xludf.DUMMYFUNCTION("""COMPUTED_VALUE"""),"Parked")</f>
        <v>Parked</v>
      </c>
      <c r="O35" s="6" t="str">
        <f ca="1">IFERROR(__xludf.DUMMYFUNCTION("""COMPUTED_VALUE"""),"Yes")</f>
        <v>Yes</v>
      </c>
      <c r="P35" s="6" t="str">
        <f ca="1">IFERROR(__xludf.DUMMYFUNCTION("""COMPUTED_VALUE"""),"Parked")</f>
        <v>Parked</v>
      </c>
      <c r="Q35" s="6" t="str">
        <f ca="1">IFERROR(__xludf.DUMMYFUNCTION("""COMPUTED_VALUE"""),"Yes")</f>
        <v>Yes</v>
      </c>
      <c r="R35" s="6" t="str">
        <f ca="1">IFERROR(__xludf.DUMMYFUNCTION("""COMPUTED_VALUE"""),"DeepCage")</f>
        <v>DeepCage</v>
      </c>
      <c r="S35" s="6" t="str">
        <f ca="1">IFERROR(__xludf.DUMMYFUNCTION("""COMPUTED_VALUE"""),"Yes")</f>
        <v>Yes</v>
      </c>
      <c r="T35" s="6" t="str">
        <f ca="1">IFERROR(__xludf.DUMMYFUNCTION("""COMPUTED_VALUE"""),"ShallowCage")</f>
        <v>ShallowCage</v>
      </c>
    </row>
    <row r="36" spans="1:20">
      <c r="A36" s="6" t="str">
        <v>Qualification</v>
      </c>
      <c r="B36" s="6">
        <v>35</v>
      </c>
      <c r="C36" s="6" t="e">
        <f ca="1"/>
        <v>#NAME?</v>
      </c>
      <c r="D36" s="6" t="e">
        <f ca="1"/>
        <v>#NAME?</v>
      </c>
      <c r="E36" s="6" t="e">
        <f ca="1"/>
        <v>#NAME?</v>
      </c>
      <c r="F36" s="6" t="e">
        <f ca="1"/>
        <v>#NAME?</v>
      </c>
      <c r="G36" s="6" t="e">
        <f ca="1"/>
        <v>#NAME?</v>
      </c>
      <c r="H36" s="6" t="e">
        <f ca="1"/>
        <v>#NAME?</v>
      </c>
      <c r="I36" s="6" t="str">
        <f ca="1">IFERROR(__xludf.DUMMYFUNCTION("""COMPUTED_VALUE"""),"Yes")</f>
        <v>Yes</v>
      </c>
      <c r="J36" s="6" t="str">
        <f ca="1">IFERROR(__xludf.DUMMYFUNCTION("""COMPUTED_VALUE"""),"Parked")</f>
        <v>Parked</v>
      </c>
      <c r="K36" s="6" t="str">
        <f ca="1">IFERROR(__xludf.DUMMYFUNCTION("""COMPUTED_VALUE"""),"Yes")</f>
        <v>Yes</v>
      </c>
      <c r="L36" s="6" t="str">
        <f ca="1">IFERROR(__xludf.DUMMYFUNCTION("""COMPUTED_VALUE"""),"None")</f>
        <v>None</v>
      </c>
      <c r="M36" s="6" t="str">
        <f ca="1">IFERROR(__xludf.DUMMYFUNCTION("""COMPUTED_VALUE"""),"Yes")</f>
        <v>Yes</v>
      </c>
      <c r="N36" s="6" t="str">
        <f ca="1">IFERROR(__xludf.DUMMYFUNCTION("""COMPUTED_VALUE"""),"Parked")</f>
        <v>Parked</v>
      </c>
      <c r="O36" s="6" t="str">
        <f ca="1">IFERROR(__xludf.DUMMYFUNCTION("""COMPUTED_VALUE"""),"Yes")</f>
        <v>Yes</v>
      </c>
      <c r="P36" s="6" t="str">
        <f ca="1">IFERROR(__xludf.DUMMYFUNCTION("""COMPUTED_VALUE"""),"Parked")</f>
        <v>Parked</v>
      </c>
      <c r="Q36" s="6" t="str">
        <f ca="1">IFERROR(__xludf.DUMMYFUNCTION("""COMPUTED_VALUE"""),"Yes")</f>
        <v>Yes</v>
      </c>
      <c r="R36" s="6" t="str">
        <f ca="1">IFERROR(__xludf.DUMMYFUNCTION("""COMPUTED_VALUE"""),"Parked")</f>
        <v>Parked</v>
      </c>
      <c r="S36" s="6" t="str">
        <f ca="1">IFERROR(__xludf.DUMMYFUNCTION("""COMPUTED_VALUE"""),"No")</f>
        <v>No</v>
      </c>
      <c r="T36" s="6" t="str">
        <f ca="1">IFERROR(__xludf.DUMMYFUNCTION("""COMPUTED_VALUE"""),"Parked")</f>
        <v>Parked</v>
      </c>
    </row>
    <row r="37" spans="1:20">
      <c r="A37" s="6" t="str">
        <v>Qualification</v>
      </c>
      <c r="B37" s="6">
        <v>36</v>
      </c>
      <c r="C37" s="6" t="e">
        <f ca="1"/>
        <v>#NAME?</v>
      </c>
      <c r="D37" s="6" t="e">
        <f ca="1"/>
        <v>#NAME?</v>
      </c>
      <c r="E37" s="6" t="e">
        <f ca="1"/>
        <v>#NAME?</v>
      </c>
      <c r="F37" s="6" t="e">
        <f ca="1"/>
        <v>#NAME?</v>
      </c>
      <c r="G37" s="6" t="e">
        <f ca="1"/>
        <v>#NAME?</v>
      </c>
      <c r="H37" s="6" t="e">
        <f ca="1"/>
        <v>#NAME?</v>
      </c>
      <c r="I37" s="6" t="str">
        <f ca="1">IFERROR(__xludf.DUMMYFUNCTION("""COMPUTED_VALUE"""),"Yes")</f>
        <v>Yes</v>
      </c>
      <c r="J37" s="6" t="str">
        <f ca="1">IFERROR(__xludf.DUMMYFUNCTION("""COMPUTED_VALUE"""),"None")</f>
        <v>None</v>
      </c>
      <c r="K37" s="6" t="str">
        <f ca="1">IFERROR(__xludf.DUMMYFUNCTION("""COMPUTED_VALUE"""),"No")</f>
        <v>No</v>
      </c>
      <c r="L37" s="6" t="str">
        <f ca="1">IFERROR(__xludf.DUMMYFUNCTION("""COMPUTED_VALUE"""),"Parked")</f>
        <v>Parked</v>
      </c>
      <c r="M37" s="6" t="str">
        <f ca="1">IFERROR(__xludf.DUMMYFUNCTION("""COMPUTED_VALUE"""),"Yes")</f>
        <v>Yes</v>
      </c>
      <c r="N37" s="6" t="str">
        <f ca="1">IFERROR(__xludf.DUMMYFUNCTION("""COMPUTED_VALUE"""),"Parked")</f>
        <v>Parked</v>
      </c>
      <c r="O37" s="6" t="str">
        <f ca="1">IFERROR(__xludf.DUMMYFUNCTION("""COMPUTED_VALUE"""),"Yes")</f>
        <v>Yes</v>
      </c>
      <c r="P37" s="6" t="str">
        <f ca="1">IFERROR(__xludf.DUMMYFUNCTION("""COMPUTED_VALUE"""),"Parked")</f>
        <v>Parked</v>
      </c>
      <c r="Q37" s="6" t="str">
        <f ca="1">IFERROR(__xludf.DUMMYFUNCTION("""COMPUTED_VALUE"""),"Yes")</f>
        <v>Yes</v>
      </c>
      <c r="R37" s="6" t="str">
        <f ca="1">IFERROR(__xludf.DUMMYFUNCTION("""COMPUTED_VALUE"""),"None")</f>
        <v>None</v>
      </c>
      <c r="S37" s="6" t="str">
        <f ca="1">IFERROR(__xludf.DUMMYFUNCTION("""COMPUTED_VALUE"""),"Yes")</f>
        <v>Yes</v>
      </c>
      <c r="T37" s="6" t="str">
        <f ca="1">IFERROR(__xludf.DUMMYFUNCTION("""COMPUTED_VALUE"""),"Parked")</f>
        <v>Parked</v>
      </c>
    </row>
    <row r="38" spans="1:20">
      <c r="A38" s="6" t="str">
        <v>Qualification</v>
      </c>
      <c r="B38" s="6">
        <v>37</v>
      </c>
      <c r="C38" s="6" t="e">
        <f ca="1"/>
        <v>#NAME?</v>
      </c>
      <c r="D38" s="6" t="e">
        <f ca="1"/>
        <v>#NAME?</v>
      </c>
      <c r="E38" s="6" t="e">
        <f ca="1"/>
        <v>#NAME?</v>
      </c>
      <c r="F38" s="6" t="e">
        <f ca="1"/>
        <v>#NAME?</v>
      </c>
      <c r="G38" s="6" t="e">
        <f ca="1"/>
        <v>#NAME?</v>
      </c>
      <c r="H38" s="6" t="e">
        <f ca="1"/>
        <v>#NAME?</v>
      </c>
      <c r="I38" s="6" t="str">
        <f ca="1">IFERROR(__xludf.DUMMYFUNCTION("""COMPUTED_VALUE"""),"Yes")</f>
        <v>Yes</v>
      </c>
      <c r="J38" s="6" t="str">
        <f ca="1">IFERROR(__xludf.DUMMYFUNCTION("""COMPUTED_VALUE"""),"Parked")</f>
        <v>Parked</v>
      </c>
      <c r="K38" s="6" t="str">
        <f ca="1">IFERROR(__xludf.DUMMYFUNCTION("""COMPUTED_VALUE"""),"Yes")</f>
        <v>Yes</v>
      </c>
      <c r="L38" s="6" t="str">
        <f ca="1">IFERROR(__xludf.DUMMYFUNCTION("""COMPUTED_VALUE"""),"Parked")</f>
        <v>Parked</v>
      </c>
      <c r="M38" s="6" t="str">
        <f ca="1">IFERROR(__xludf.DUMMYFUNCTION("""COMPUTED_VALUE"""),"Yes")</f>
        <v>Yes</v>
      </c>
      <c r="N38" s="6" t="str">
        <f ca="1">IFERROR(__xludf.DUMMYFUNCTION("""COMPUTED_VALUE"""),"Parked")</f>
        <v>Parked</v>
      </c>
      <c r="O38" s="6" t="str">
        <f ca="1">IFERROR(__xludf.DUMMYFUNCTION("""COMPUTED_VALUE"""),"Yes")</f>
        <v>Yes</v>
      </c>
      <c r="P38" s="6" t="str">
        <f ca="1">IFERROR(__xludf.DUMMYFUNCTION("""COMPUTED_VALUE"""),"Parked")</f>
        <v>Parked</v>
      </c>
      <c r="Q38" s="6" t="str">
        <f ca="1">IFERROR(__xludf.DUMMYFUNCTION("""COMPUTED_VALUE"""),"Yes")</f>
        <v>Yes</v>
      </c>
      <c r="R38" s="6" t="str">
        <f ca="1">IFERROR(__xludf.DUMMYFUNCTION("""COMPUTED_VALUE"""),"Parked")</f>
        <v>Parked</v>
      </c>
      <c r="S38" s="6" t="str">
        <f ca="1">IFERROR(__xludf.DUMMYFUNCTION("""COMPUTED_VALUE"""),"Yes")</f>
        <v>Yes</v>
      </c>
      <c r="T38" s="6" t="str">
        <f ca="1">IFERROR(__xludf.DUMMYFUNCTION("""COMPUTED_VALUE"""),"ShallowCage")</f>
        <v>ShallowCage</v>
      </c>
    </row>
    <row r="39" spans="1:20">
      <c r="A39" s="6" t="str">
        <v>Qualification</v>
      </c>
      <c r="B39" s="6">
        <v>38</v>
      </c>
      <c r="C39" s="6" t="e">
        <f ca="1"/>
        <v>#NAME?</v>
      </c>
      <c r="D39" s="6" t="e">
        <f ca="1"/>
        <v>#NAME?</v>
      </c>
      <c r="E39" s="6" t="e">
        <f ca="1"/>
        <v>#NAME?</v>
      </c>
      <c r="F39" s="6" t="e">
        <f ca="1"/>
        <v>#NAME?</v>
      </c>
      <c r="G39" s="6" t="e">
        <f ca="1"/>
        <v>#NAME?</v>
      </c>
      <c r="H39" s="6" t="e">
        <f ca="1"/>
        <v>#NAME?</v>
      </c>
      <c r="I39" s="6" t="str">
        <f ca="1">IFERROR(__xludf.DUMMYFUNCTION("""COMPUTED_VALUE"""),"Yes")</f>
        <v>Yes</v>
      </c>
      <c r="J39" s="6" t="str">
        <f ca="1">IFERROR(__xludf.DUMMYFUNCTION("""COMPUTED_VALUE"""),"Parked")</f>
        <v>Parked</v>
      </c>
      <c r="K39" s="6" t="str">
        <f ca="1">IFERROR(__xludf.DUMMYFUNCTION("""COMPUTED_VALUE"""),"Yes")</f>
        <v>Yes</v>
      </c>
      <c r="L39" s="6" t="str">
        <f ca="1">IFERROR(__xludf.DUMMYFUNCTION("""COMPUTED_VALUE"""),"None")</f>
        <v>None</v>
      </c>
      <c r="M39" s="6" t="str">
        <f ca="1">IFERROR(__xludf.DUMMYFUNCTION("""COMPUTED_VALUE"""),"Yes")</f>
        <v>Yes</v>
      </c>
      <c r="N39" s="6" t="str">
        <f ca="1">IFERROR(__xludf.DUMMYFUNCTION("""COMPUTED_VALUE"""),"None")</f>
        <v>None</v>
      </c>
      <c r="O39" s="6" t="str">
        <f ca="1">IFERROR(__xludf.DUMMYFUNCTION("""COMPUTED_VALUE"""),"Yes")</f>
        <v>Yes</v>
      </c>
      <c r="P39" s="6" t="str">
        <f ca="1">IFERROR(__xludf.DUMMYFUNCTION("""COMPUTED_VALUE"""),"DeepCage")</f>
        <v>DeepCage</v>
      </c>
      <c r="Q39" s="6" t="str">
        <f ca="1">IFERROR(__xludf.DUMMYFUNCTION("""COMPUTED_VALUE"""),"Yes")</f>
        <v>Yes</v>
      </c>
      <c r="R39" s="6" t="str">
        <f ca="1">IFERROR(__xludf.DUMMYFUNCTION("""COMPUTED_VALUE"""),"Parked")</f>
        <v>Parked</v>
      </c>
      <c r="S39" s="6" t="str">
        <f ca="1">IFERROR(__xludf.DUMMYFUNCTION("""COMPUTED_VALUE"""),"Yes")</f>
        <v>Yes</v>
      </c>
      <c r="T39" s="6" t="str">
        <f ca="1">IFERROR(__xludf.DUMMYFUNCTION("""COMPUTED_VALUE"""),"Parked")</f>
        <v>Parked</v>
      </c>
    </row>
    <row r="40" spans="1:20">
      <c r="A40" s="6" t="str">
        <v>Qualification</v>
      </c>
      <c r="B40" s="6">
        <v>39</v>
      </c>
      <c r="C40" s="6" t="e">
        <f ca="1"/>
        <v>#NAME?</v>
      </c>
      <c r="D40" s="6" t="e">
        <f ca="1"/>
        <v>#NAME?</v>
      </c>
      <c r="E40" s="6" t="e">
        <f ca="1"/>
        <v>#NAME?</v>
      </c>
      <c r="F40" s="6" t="e">
        <f ca="1"/>
        <v>#NAME?</v>
      </c>
      <c r="G40" s="6" t="e">
        <f ca="1"/>
        <v>#NAME?</v>
      </c>
      <c r="H40" s="6" t="e">
        <f ca="1"/>
        <v>#NAME?</v>
      </c>
      <c r="I40" s="6" t="str">
        <f ca="1">IFERROR(__xludf.DUMMYFUNCTION("""COMPUTED_VALUE"""),"Yes")</f>
        <v>Yes</v>
      </c>
      <c r="J40" s="6" t="str">
        <f ca="1">IFERROR(__xludf.DUMMYFUNCTION("""COMPUTED_VALUE"""),"DeepCage")</f>
        <v>DeepCage</v>
      </c>
      <c r="K40" s="6" t="str">
        <f ca="1">IFERROR(__xludf.DUMMYFUNCTION("""COMPUTED_VALUE"""),"Yes")</f>
        <v>Yes</v>
      </c>
      <c r="L40" s="6" t="str">
        <f ca="1">IFERROR(__xludf.DUMMYFUNCTION("""COMPUTED_VALUE"""),"Parked")</f>
        <v>Parked</v>
      </c>
      <c r="M40" s="6" t="str">
        <f ca="1">IFERROR(__xludf.DUMMYFUNCTION("""COMPUTED_VALUE"""),"Yes")</f>
        <v>Yes</v>
      </c>
      <c r="N40" s="6" t="str">
        <f ca="1">IFERROR(__xludf.DUMMYFUNCTION("""COMPUTED_VALUE"""),"DeepCage")</f>
        <v>DeepCage</v>
      </c>
      <c r="O40" s="6" t="str">
        <f ca="1">IFERROR(__xludf.DUMMYFUNCTION("""COMPUTED_VALUE"""),"Yes")</f>
        <v>Yes</v>
      </c>
      <c r="P40" s="6" t="str">
        <f ca="1">IFERROR(__xludf.DUMMYFUNCTION("""COMPUTED_VALUE"""),"None")</f>
        <v>None</v>
      </c>
      <c r="Q40" s="6" t="str">
        <f ca="1">IFERROR(__xludf.DUMMYFUNCTION("""COMPUTED_VALUE"""),"Yes")</f>
        <v>Yes</v>
      </c>
      <c r="R40" s="6" t="str">
        <f ca="1">IFERROR(__xludf.DUMMYFUNCTION("""COMPUTED_VALUE"""),"Parked")</f>
        <v>Parked</v>
      </c>
      <c r="S40" s="6" t="str">
        <f ca="1">IFERROR(__xludf.DUMMYFUNCTION("""COMPUTED_VALUE"""),"Yes")</f>
        <v>Yes</v>
      </c>
      <c r="T40" s="6" t="str">
        <f ca="1">IFERROR(__xludf.DUMMYFUNCTION("""COMPUTED_VALUE"""),"Parked")</f>
        <v>Parked</v>
      </c>
    </row>
    <row r="41" spans="1:20">
      <c r="A41" s="6" t="str">
        <v>Qualification</v>
      </c>
      <c r="B41" s="6">
        <v>40</v>
      </c>
      <c r="C41" s="6" t="e">
        <f ca="1"/>
        <v>#NAME?</v>
      </c>
      <c r="D41" s="6" t="e">
        <f ca="1"/>
        <v>#NAME?</v>
      </c>
      <c r="E41" s="6" t="e">
        <f ca="1"/>
        <v>#NAME?</v>
      </c>
      <c r="F41" s="6" t="e">
        <f ca="1"/>
        <v>#NAME?</v>
      </c>
      <c r="G41" s="6" t="e">
        <f ca="1"/>
        <v>#NAME?</v>
      </c>
      <c r="H41" s="6" t="e">
        <f ca="1"/>
        <v>#NAME?</v>
      </c>
      <c r="I41" s="6" t="str">
        <f ca="1">IFERROR(__xludf.DUMMYFUNCTION("""COMPUTED_VALUE"""),"Yes")</f>
        <v>Yes</v>
      </c>
      <c r="J41" s="6" t="str">
        <f ca="1">IFERROR(__xludf.DUMMYFUNCTION("""COMPUTED_VALUE"""),"Parked")</f>
        <v>Parked</v>
      </c>
      <c r="K41" s="6" t="str">
        <f ca="1">IFERROR(__xludf.DUMMYFUNCTION("""COMPUTED_VALUE"""),"Yes")</f>
        <v>Yes</v>
      </c>
      <c r="L41" s="6" t="str">
        <f ca="1">IFERROR(__xludf.DUMMYFUNCTION("""COMPUTED_VALUE"""),"Parked")</f>
        <v>Parked</v>
      </c>
      <c r="M41" s="6" t="str">
        <f ca="1">IFERROR(__xludf.DUMMYFUNCTION("""COMPUTED_VALUE"""),"Yes")</f>
        <v>Yes</v>
      </c>
      <c r="N41" s="6" t="str">
        <f ca="1">IFERROR(__xludf.DUMMYFUNCTION("""COMPUTED_VALUE"""),"DeepCage")</f>
        <v>DeepCage</v>
      </c>
      <c r="O41" s="6" t="str">
        <f ca="1">IFERROR(__xludf.DUMMYFUNCTION("""COMPUTED_VALUE"""),"Yes")</f>
        <v>Yes</v>
      </c>
      <c r="P41" s="6" t="str">
        <f ca="1">IFERROR(__xludf.DUMMYFUNCTION("""COMPUTED_VALUE"""),"Parked")</f>
        <v>Parked</v>
      </c>
      <c r="Q41" s="6" t="str">
        <f ca="1">IFERROR(__xludf.DUMMYFUNCTION("""COMPUTED_VALUE"""),"Yes")</f>
        <v>Yes</v>
      </c>
      <c r="R41" s="6" t="str">
        <f ca="1">IFERROR(__xludf.DUMMYFUNCTION("""COMPUTED_VALUE"""),"Parked")</f>
        <v>Parked</v>
      </c>
      <c r="S41" s="6" t="str">
        <f ca="1">IFERROR(__xludf.DUMMYFUNCTION("""COMPUTED_VALUE"""),"Yes")</f>
        <v>Yes</v>
      </c>
      <c r="T41" s="6" t="str">
        <f ca="1">IFERROR(__xludf.DUMMYFUNCTION("""COMPUTED_VALUE"""),"Parked")</f>
        <v>Parked</v>
      </c>
    </row>
    <row r="42" spans="1:20">
      <c r="A42" s="6" t="str">
        <v>Qualification</v>
      </c>
      <c r="B42" s="6">
        <v>41</v>
      </c>
      <c r="C42" s="6" t="e">
        <f ca="1"/>
        <v>#NAME?</v>
      </c>
      <c r="D42" s="6" t="e">
        <f ca="1"/>
        <v>#NAME?</v>
      </c>
      <c r="E42" s="6" t="e">
        <f ca="1"/>
        <v>#NAME?</v>
      </c>
      <c r="F42" s="6" t="e">
        <f ca="1"/>
        <v>#NAME?</v>
      </c>
      <c r="G42" s="6" t="e">
        <f ca="1"/>
        <v>#NAME?</v>
      </c>
      <c r="H42" s="6" t="e">
        <f ca="1"/>
        <v>#NAME?</v>
      </c>
      <c r="I42" s="6" t="str">
        <f ca="1">IFERROR(__xludf.DUMMYFUNCTION("""COMPUTED_VALUE"""),"Yes")</f>
        <v>Yes</v>
      </c>
      <c r="J42" s="6" t="str">
        <f ca="1">IFERROR(__xludf.DUMMYFUNCTION("""COMPUTED_VALUE"""),"Parked")</f>
        <v>Parked</v>
      </c>
      <c r="K42" s="6" t="str">
        <f ca="1">IFERROR(__xludf.DUMMYFUNCTION("""COMPUTED_VALUE"""),"Yes")</f>
        <v>Yes</v>
      </c>
      <c r="L42" s="6" t="str">
        <f ca="1">IFERROR(__xludf.DUMMYFUNCTION("""COMPUTED_VALUE"""),"Parked")</f>
        <v>Parked</v>
      </c>
      <c r="M42" s="6" t="str">
        <f ca="1">IFERROR(__xludf.DUMMYFUNCTION("""COMPUTED_VALUE"""),"Yes")</f>
        <v>Yes</v>
      </c>
      <c r="N42" s="6" t="str">
        <f ca="1">IFERROR(__xludf.DUMMYFUNCTION("""COMPUTED_VALUE"""),"Parked")</f>
        <v>Parked</v>
      </c>
      <c r="O42" s="6" t="str">
        <f ca="1">IFERROR(__xludf.DUMMYFUNCTION("""COMPUTED_VALUE"""),"Yes")</f>
        <v>Yes</v>
      </c>
      <c r="P42" s="6" t="str">
        <f ca="1">IFERROR(__xludf.DUMMYFUNCTION("""COMPUTED_VALUE"""),"Parked")</f>
        <v>Parked</v>
      </c>
      <c r="Q42" s="6" t="str">
        <f ca="1">IFERROR(__xludf.DUMMYFUNCTION("""COMPUTED_VALUE"""),"Yes")</f>
        <v>Yes</v>
      </c>
      <c r="R42" s="6" t="str">
        <f ca="1">IFERROR(__xludf.DUMMYFUNCTION("""COMPUTED_VALUE"""),"None")</f>
        <v>None</v>
      </c>
      <c r="S42" s="6" t="str">
        <f ca="1">IFERROR(__xludf.DUMMYFUNCTION("""COMPUTED_VALUE"""),"Yes")</f>
        <v>Yes</v>
      </c>
      <c r="T42" s="6" t="str">
        <f ca="1">IFERROR(__xludf.DUMMYFUNCTION("""COMPUTED_VALUE"""),"Parked")</f>
        <v>Parked</v>
      </c>
    </row>
    <row r="43" spans="1:20">
      <c r="A43" s="6" t="str">
        <v>Qualification</v>
      </c>
      <c r="B43" s="6">
        <v>42</v>
      </c>
      <c r="C43" s="6" t="e">
        <f ca="1"/>
        <v>#NAME?</v>
      </c>
      <c r="D43" s="6" t="e">
        <f ca="1"/>
        <v>#NAME?</v>
      </c>
      <c r="E43" s="6" t="e">
        <f ca="1"/>
        <v>#NAME?</v>
      </c>
      <c r="F43" s="6" t="e">
        <f ca="1"/>
        <v>#NAME?</v>
      </c>
      <c r="G43" s="6" t="e">
        <f ca="1"/>
        <v>#NAME?</v>
      </c>
      <c r="H43" s="6" t="e">
        <f ca="1"/>
        <v>#NAME?</v>
      </c>
      <c r="I43" s="6" t="str">
        <f ca="1">IFERROR(__xludf.DUMMYFUNCTION("""COMPUTED_VALUE"""),"Yes")</f>
        <v>Yes</v>
      </c>
      <c r="J43" s="6" t="str">
        <f ca="1">IFERROR(__xludf.DUMMYFUNCTION("""COMPUTED_VALUE"""),"Parked")</f>
        <v>Parked</v>
      </c>
      <c r="K43" s="6" t="str">
        <f ca="1">IFERROR(__xludf.DUMMYFUNCTION("""COMPUTED_VALUE"""),"No")</f>
        <v>No</v>
      </c>
      <c r="L43" s="6" t="str">
        <f ca="1">IFERROR(__xludf.DUMMYFUNCTION("""COMPUTED_VALUE"""),"Parked")</f>
        <v>Parked</v>
      </c>
      <c r="M43" s="6" t="str">
        <f ca="1">IFERROR(__xludf.DUMMYFUNCTION("""COMPUTED_VALUE"""),"Yes")</f>
        <v>Yes</v>
      </c>
      <c r="N43" s="6" t="str">
        <f ca="1">IFERROR(__xludf.DUMMYFUNCTION("""COMPUTED_VALUE"""),"None")</f>
        <v>None</v>
      </c>
      <c r="O43" s="6" t="str">
        <f ca="1">IFERROR(__xludf.DUMMYFUNCTION("""COMPUTED_VALUE"""),"Yes")</f>
        <v>Yes</v>
      </c>
      <c r="P43" s="6" t="str">
        <f ca="1">IFERROR(__xludf.DUMMYFUNCTION("""COMPUTED_VALUE"""),"Parked")</f>
        <v>Parked</v>
      </c>
      <c r="Q43" s="6" t="str">
        <f ca="1">IFERROR(__xludf.DUMMYFUNCTION("""COMPUTED_VALUE"""),"No")</f>
        <v>No</v>
      </c>
      <c r="R43" s="6" t="str">
        <f ca="1">IFERROR(__xludf.DUMMYFUNCTION("""COMPUTED_VALUE"""),"Parked")</f>
        <v>Parked</v>
      </c>
      <c r="S43" s="6" t="str">
        <f ca="1">IFERROR(__xludf.DUMMYFUNCTION("""COMPUTED_VALUE"""),"Yes")</f>
        <v>Yes</v>
      </c>
      <c r="T43" s="6" t="str">
        <f ca="1">IFERROR(__xludf.DUMMYFUNCTION("""COMPUTED_VALUE"""),"None")</f>
        <v>None</v>
      </c>
    </row>
    <row r="44" spans="1:20">
      <c r="A44" s="6" t="str">
        <v>Qualification</v>
      </c>
      <c r="B44" s="6">
        <v>43</v>
      </c>
      <c r="C44" s="6" t="e">
        <f ca="1"/>
        <v>#NAME?</v>
      </c>
      <c r="D44" s="6" t="e">
        <f ca="1"/>
        <v>#NAME?</v>
      </c>
      <c r="E44" s="6" t="e">
        <f ca="1"/>
        <v>#NAME?</v>
      </c>
      <c r="F44" s="6" t="e">
        <f ca="1"/>
        <v>#NAME?</v>
      </c>
      <c r="G44" s="6" t="e">
        <f ca="1"/>
        <v>#NAME?</v>
      </c>
      <c r="H44" s="6" t="e">
        <f ca="1"/>
        <v>#NAME?</v>
      </c>
      <c r="I44" s="6" t="str">
        <f ca="1">IFERROR(__xludf.DUMMYFUNCTION("""COMPUTED_VALUE"""),"Yes")</f>
        <v>Yes</v>
      </c>
      <c r="J44" s="6" t="str">
        <f ca="1">IFERROR(__xludf.DUMMYFUNCTION("""COMPUTED_VALUE"""),"Parked")</f>
        <v>Parked</v>
      </c>
      <c r="K44" s="6" t="str">
        <f ca="1">IFERROR(__xludf.DUMMYFUNCTION("""COMPUTED_VALUE"""),"Yes")</f>
        <v>Yes</v>
      </c>
      <c r="L44" s="6" t="str">
        <f ca="1">IFERROR(__xludf.DUMMYFUNCTION("""COMPUTED_VALUE"""),"None")</f>
        <v>None</v>
      </c>
      <c r="M44" s="6" t="str">
        <f ca="1">IFERROR(__xludf.DUMMYFUNCTION("""COMPUTED_VALUE"""),"Yes")</f>
        <v>Yes</v>
      </c>
      <c r="N44" s="6" t="str">
        <f ca="1">IFERROR(__xludf.DUMMYFUNCTION("""COMPUTED_VALUE"""),"Parked")</f>
        <v>Parked</v>
      </c>
      <c r="O44" s="6" t="str">
        <f ca="1">IFERROR(__xludf.DUMMYFUNCTION("""COMPUTED_VALUE"""),"Yes")</f>
        <v>Yes</v>
      </c>
      <c r="P44" s="6" t="str">
        <f ca="1">IFERROR(__xludf.DUMMYFUNCTION("""COMPUTED_VALUE"""),"None")</f>
        <v>None</v>
      </c>
      <c r="Q44" s="6" t="str">
        <f ca="1">IFERROR(__xludf.DUMMYFUNCTION("""COMPUTED_VALUE"""),"Yes")</f>
        <v>Yes</v>
      </c>
      <c r="R44" s="6" t="str">
        <f ca="1">IFERROR(__xludf.DUMMYFUNCTION("""COMPUTED_VALUE"""),"DeepCage")</f>
        <v>DeepCage</v>
      </c>
      <c r="S44" s="6" t="str">
        <f ca="1">IFERROR(__xludf.DUMMYFUNCTION("""COMPUTED_VALUE"""),"Yes")</f>
        <v>Yes</v>
      </c>
      <c r="T44" s="6" t="str">
        <f ca="1">IFERROR(__xludf.DUMMYFUNCTION("""COMPUTED_VALUE"""),"DeepCage")</f>
        <v>DeepCage</v>
      </c>
    </row>
    <row r="45" spans="1:20">
      <c r="A45" s="6" t="str">
        <v>Qualification</v>
      </c>
      <c r="B45" s="6">
        <v>44</v>
      </c>
      <c r="C45" s="6" t="e">
        <f ca="1"/>
        <v>#NAME?</v>
      </c>
      <c r="D45" s="6" t="e">
        <f ca="1"/>
        <v>#NAME?</v>
      </c>
      <c r="E45" s="6" t="e">
        <f ca="1"/>
        <v>#NAME?</v>
      </c>
      <c r="F45" s="6" t="e">
        <f ca="1"/>
        <v>#NAME?</v>
      </c>
      <c r="G45" s="6" t="e">
        <f ca="1"/>
        <v>#NAME?</v>
      </c>
      <c r="H45" s="6" t="e">
        <f ca="1"/>
        <v>#NAME?</v>
      </c>
      <c r="I45" s="6" t="str">
        <f ca="1">IFERROR(__xludf.DUMMYFUNCTION("""COMPUTED_VALUE"""),"Yes")</f>
        <v>Yes</v>
      </c>
      <c r="J45" s="6" t="str">
        <f ca="1">IFERROR(__xludf.DUMMYFUNCTION("""COMPUTED_VALUE"""),"Parked")</f>
        <v>Parked</v>
      </c>
      <c r="K45" s="6" t="str">
        <f ca="1">IFERROR(__xludf.DUMMYFUNCTION("""COMPUTED_VALUE"""),"No")</f>
        <v>No</v>
      </c>
      <c r="L45" s="6" t="str">
        <f ca="1">IFERROR(__xludf.DUMMYFUNCTION("""COMPUTED_VALUE"""),"Parked")</f>
        <v>Parked</v>
      </c>
      <c r="M45" s="6" t="str">
        <f ca="1">IFERROR(__xludf.DUMMYFUNCTION("""COMPUTED_VALUE"""),"Yes")</f>
        <v>Yes</v>
      </c>
      <c r="N45" s="6" t="str">
        <f ca="1">IFERROR(__xludf.DUMMYFUNCTION("""COMPUTED_VALUE"""),"None")</f>
        <v>None</v>
      </c>
      <c r="O45" s="6" t="str">
        <f ca="1">IFERROR(__xludf.DUMMYFUNCTION("""COMPUTED_VALUE"""),"Yes")</f>
        <v>Yes</v>
      </c>
      <c r="P45" s="6" t="str">
        <f ca="1">IFERROR(__xludf.DUMMYFUNCTION("""COMPUTED_VALUE"""),"Parked")</f>
        <v>Parked</v>
      </c>
      <c r="Q45" s="6" t="str">
        <f ca="1">IFERROR(__xludf.DUMMYFUNCTION("""COMPUTED_VALUE"""),"Yes")</f>
        <v>Yes</v>
      </c>
      <c r="R45" s="6" t="str">
        <f ca="1">IFERROR(__xludf.DUMMYFUNCTION("""COMPUTED_VALUE"""),"Parked")</f>
        <v>Parked</v>
      </c>
      <c r="S45" s="6" t="str">
        <f ca="1">IFERROR(__xludf.DUMMYFUNCTION("""COMPUTED_VALUE"""),"Yes")</f>
        <v>Yes</v>
      </c>
      <c r="T45" s="6" t="str">
        <f ca="1">IFERROR(__xludf.DUMMYFUNCTION("""COMPUTED_VALUE"""),"None")</f>
        <v>None</v>
      </c>
    </row>
    <row r="46" spans="1:20">
      <c r="A46" s="6" t="str">
        <v>Qualification</v>
      </c>
      <c r="B46" s="6">
        <v>45</v>
      </c>
      <c r="C46" s="6" t="e">
        <f ca="1"/>
        <v>#NAME?</v>
      </c>
      <c r="D46" s="6" t="e">
        <f ca="1"/>
        <v>#NAME?</v>
      </c>
      <c r="E46" s="6" t="e">
        <f ca="1"/>
        <v>#NAME?</v>
      </c>
      <c r="F46" s="6" t="e">
        <f ca="1"/>
        <v>#NAME?</v>
      </c>
      <c r="G46" s="6" t="e">
        <f ca="1"/>
        <v>#NAME?</v>
      </c>
      <c r="H46" s="6" t="e">
        <f ca="1"/>
        <v>#NAME?</v>
      </c>
      <c r="I46" s="6" t="str">
        <f ca="1">IFERROR(__xludf.DUMMYFUNCTION("""COMPUTED_VALUE"""),"Yes")</f>
        <v>Yes</v>
      </c>
      <c r="J46" s="6" t="str">
        <f ca="1">IFERROR(__xludf.DUMMYFUNCTION("""COMPUTED_VALUE"""),"DeepCage")</f>
        <v>DeepCage</v>
      </c>
      <c r="K46" s="6" t="str">
        <f ca="1">IFERROR(__xludf.DUMMYFUNCTION("""COMPUTED_VALUE"""),"Yes")</f>
        <v>Yes</v>
      </c>
      <c r="L46" s="6" t="str">
        <f ca="1">IFERROR(__xludf.DUMMYFUNCTION("""COMPUTED_VALUE"""),"DeepCage")</f>
        <v>DeepCage</v>
      </c>
      <c r="M46" s="6" t="str">
        <f ca="1">IFERROR(__xludf.DUMMYFUNCTION("""COMPUTED_VALUE"""),"Yes")</f>
        <v>Yes</v>
      </c>
      <c r="N46" s="6" t="str">
        <f ca="1">IFERROR(__xludf.DUMMYFUNCTION("""COMPUTED_VALUE"""),"Parked")</f>
        <v>Parked</v>
      </c>
      <c r="O46" s="6" t="str">
        <f ca="1">IFERROR(__xludf.DUMMYFUNCTION("""COMPUTED_VALUE"""),"Yes")</f>
        <v>Yes</v>
      </c>
      <c r="P46" s="6" t="str">
        <f ca="1">IFERROR(__xludf.DUMMYFUNCTION("""COMPUTED_VALUE"""),"Parked")</f>
        <v>Parked</v>
      </c>
      <c r="Q46" s="6" t="str">
        <f ca="1">IFERROR(__xludf.DUMMYFUNCTION("""COMPUTED_VALUE"""),"Yes")</f>
        <v>Yes</v>
      </c>
      <c r="R46" s="6" t="str">
        <f ca="1">IFERROR(__xludf.DUMMYFUNCTION("""COMPUTED_VALUE"""),"Parked")</f>
        <v>Parked</v>
      </c>
      <c r="S46" s="6" t="str">
        <f ca="1">IFERROR(__xludf.DUMMYFUNCTION("""COMPUTED_VALUE"""),"Yes")</f>
        <v>Yes</v>
      </c>
      <c r="T46" s="6" t="str">
        <f ca="1">IFERROR(__xludf.DUMMYFUNCTION("""COMPUTED_VALUE"""),"Parked")</f>
        <v>Parked</v>
      </c>
    </row>
    <row r="47" spans="1:20">
      <c r="A47" s="6" t="str">
        <v>Qualification</v>
      </c>
      <c r="B47" s="6">
        <v>46</v>
      </c>
      <c r="C47" s="6" t="e">
        <f ca="1"/>
        <v>#NAME?</v>
      </c>
      <c r="D47" s="6" t="e">
        <f ca="1"/>
        <v>#NAME?</v>
      </c>
      <c r="E47" s="6" t="e">
        <f ca="1"/>
        <v>#NAME?</v>
      </c>
      <c r="F47" s="6" t="e">
        <f ca="1"/>
        <v>#NAME?</v>
      </c>
      <c r="G47" s="6" t="e">
        <f ca="1"/>
        <v>#NAME?</v>
      </c>
      <c r="H47" s="6" t="e">
        <f ca="1"/>
        <v>#NAME?</v>
      </c>
      <c r="I47" s="6" t="str">
        <f ca="1">IFERROR(__xludf.DUMMYFUNCTION("""COMPUTED_VALUE"""),"Yes")</f>
        <v>Yes</v>
      </c>
      <c r="J47" s="6" t="str">
        <f ca="1">IFERROR(__xludf.DUMMYFUNCTION("""COMPUTED_VALUE"""),"Parked")</f>
        <v>Parked</v>
      </c>
      <c r="K47" s="6" t="str">
        <f ca="1">IFERROR(__xludf.DUMMYFUNCTION("""COMPUTED_VALUE"""),"Yes")</f>
        <v>Yes</v>
      </c>
      <c r="L47" s="6" t="str">
        <f ca="1">IFERROR(__xludf.DUMMYFUNCTION("""COMPUTED_VALUE"""),"Parked")</f>
        <v>Parked</v>
      </c>
      <c r="M47" s="6" t="str">
        <f ca="1">IFERROR(__xludf.DUMMYFUNCTION("""COMPUTED_VALUE"""),"Yes")</f>
        <v>Yes</v>
      </c>
      <c r="N47" s="6" t="str">
        <f ca="1">IFERROR(__xludf.DUMMYFUNCTION("""COMPUTED_VALUE"""),"Parked")</f>
        <v>Parked</v>
      </c>
      <c r="O47" s="6" t="str">
        <f ca="1">IFERROR(__xludf.DUMMYFUNCTION("""COMPUTED_VALUE"""),"Yes")</f>
        <v>Yes</v>
      </c>
      <c r="P47" s="6" t="str">
        <f ca="1">IFERROR(__xludf.DUMMYFUNCTION("""COMPUTED_VALUE"""),"Parked")</f>
        <v>Parked</v>
      </c>
      <c r="Q47" s="6" t="str">
        <f ca="1">IFERROR(__xludf.DUMMYFUNCTION("""COMPUTED_VALUE"""),"Yes")</f>
        <v>Yes</v>
      </c>
      <c r="R47" s="6" t="str">
        <f ca="1">IFERROR(__xludf.DUMMYFUNCTION("""COMPUTED_VALUE"""),"None")</f>
        <v>None</v>
      </c>
      <c r="S47" s="6" t="str">
        <f ca="1">IFERROR(__xludf.DUMMYFUNCTION("""COMPUTED_VALUE"""),"Yes")</f>
        <v>Yes</v>
      </c>
      <c r="T47" s="6" t="str">
        <f ca="1">IFERROR(__xludf.DUMMYFUNCTION("""COMPUTED_VALUE"""),"Parked")</f>
        <v>Parked</v>
      </c>
    </row>
    <row r="48" spans="1:20">
      <c r="A48" s="6" t="str">
        <v>Qualification</v>
      </c>
      <c r="B48" s="6">
        <v>47</v>
      </c>
      <c r="C48" s="6" t="e">
        <f ca="1"/>
        <v>#NAME?</v>
      </c>
      <c r="D48" s="6" t="e">
        <f ca="1"/>
        <v>#NAME?</v>
      </c>
      <c r="E48" s="6" t="e">
        <f ca="1"/>
        <v>#NAME?</v>
      </c>
      <c r="F48" s="6" t="e">
        <f ca="1"/>
        <v>#NAME?</v>
      </c>
      <c r="G48" s="6" t="e">
        <f ca="1"/>
        <v>#NAME?</v>
      </c>
      <c r="H48" s="6" t="e">
        <f ca="1"/>
        <v>#NAME?</v>
      </c>
      <c r="I48" s="6" t="str">
        <f ca="1">IFERROR(__xludf.DUMMYFUNCTION("""COMPUTED_VALUE"""),"Yes")</f>
        <v>Yes</v>
      </c>
      <c r="J48" s="6" t="str">
        <f ca="1">IFERROR(__xludf.DUMMYFUNCTION("""COMPUTED_VALUE"""),"Parked")</f>
        <v>Parked</v>
      </c>
      <c r="K48" s="6" t="str">
        <f ca="1">IFERROR(__xludf.DUMMYFUNCTION("""COMPUTED_VALUE"""),"Yes")</f>
        <v>Yes</v>
      </c>
      <c r="L48" s="6" t="str">
        <f ca="1">IFERROR(__xludf.DUMMYFUNCTION("""COMPUTED_VALUE"""),"Parked")</f>
        <v>Parked</v>
      </c>
      <c r="M48" s="6" t="str">
        <f ca="1">IFERROR(__xludf.DUMMYFUNCTION("""COMPUTED_VALUE"""),"Yes")</f>
        <v>Yes</v>
      </c>
      <c r="N48" s="6" t="str">
        <f ca="1">IFERROR(__xludf.DUMMYFUNCTION("""COMPUTED_VALUE"""),"None")</f>
        <v>None</v>
      </c>
      <c r="O48" s="6" t="str">
        <f ca="1">IFERROR(__xludf.DUMMYFUNCTION("""COMPUTED_VALUE"""),"Yes")</f>
        <v>Yes</v>
      </c>
      <c r="P48" s="6" t="str">
        <f ca="1">IFERROR(__xludf.DUMMYFUNCTION("""COMPUTED_VALUE"""),"Parked")</f>
        <v>Parked</v>
      </c>
      <c r="Q48" s="6" t="str">
        <f ca="1">IFERROR(__xludf.DUMMYFUNCTION("""COMPUTED_VALUE"""),"Yes")</f>
        <v>Yes</v>
      </c>
      <c r="R48" s="6" t="str">
        <f ca="1">IFERROR(__xludf.DUMMYFUNCTION("""COMPUTED_VALUE"""),"DeepCage")</f>
        <v>DeepCage</v>
      </c>
      <c r="S48" s="6" t="str">
        <f ca="1">IFERROR(__xludf.DUMMYFUNCTION("""COMPUTED_VALUE"""),"Yes")</f>
        <v>Yes</v>
      </c>
      <c r="T48" s="6" t="str">
        <f ca="1">IFERROR(__xludf.DUMMYFUNCTION("""COMPUTED_VALUE"""),"None")</f>
        <v>None</v>
      </c>
    </row>
    <row r="49" spans="1:20">
      <c r="A49" s="6" t="str">
        <v>Qualification</v>
      </c>
      <c r="B49" s="6">
        <v>48</v>
      </c>
      <c r="C49" s="6" t="e">
        <f ca="1"/>
        <v>#NAME?</v>
      </c>
      <c r="D49" s="6" t="e">
        <f ca="1"/>
        <v>#NAME?</v>
      </c>
      <c r="E49" s="6" t="e">
        <f ca="1"/>
        <v>#NAME?</v>
      </c>
      <c r="F49" s="6" t="e">
        <f ca="1"/>
        <v>#NAME?</v>
      </c>
      <c r="G49" s="6" t="e">
        <f ca="1"/>
        <v>#NAME?</v>
      </c>
      <c r="H49" s="6" t="e">
        <f ca="1"/>
        <v>#NAME?</v>
      </c>
      <c r="I49" s="6" t="str">
        <f ca="1">IFERROR(__xludf.DUMMYFUNCTION("""COMPUTED_VALUE"""),"Yes")</f>
        <v>Yes</v>
      </c>
      <c r="J49" s="6" t="str">
        <f ca="1">IFERROR(__xludf.DUMMYFUNCTION("""COMPUTED_VALUE"""),"DeepCage")</f>
        <v>DeepCage</v>
      </c>
      <c r="K49" s="6" t="str">
        <f ca="1">IFERROR(__xludf.DUMMYFUNCTION("""COMPUTED_VALUE"""),"Yes")</f>
        <v>Yes</v>
      </c>
      <c r="L49" s="6" t="str">
        <f ca="1">IFERROR(__xludf.DUMMYFUNCTION("""COMPUTED_VALUE"""),"Parked")</f>
        <v>Parked</v>
      </c>
      <c r="M49" s="6" t="str">
        <f ca="1">IFERROR(__xludf.DUMMYFUNCTION("""COMPUTED_VALUE"""),"Yes")</f>
        <v>Yes</v>
      </c>
      <c r="N49" s="6" t="str">
        <f ca="1">IFERROR(__xludf.DUMMYFUNCTION("""COMPUTED_VALUE"""),"Parked")</f>
        <v>Parked</v>
      </c>
      <c r="O49" s="6" t="str">
        <f ca="1">IFERROR(__xludf.DUMMYFUNCTION("""COMPUTED_VALUE"""),"Yes")</f>
        <v>Yes</v>
      </c>
      <c r="P49" s="6" t="str">
        <f ca="1">IFERROR(__xludf.DUMMYFUNCTION("""COMPUTED_VALUE"""),"Parked")</f>
        <v>Parked</v>
      </c>
      <c r="Q49" s="6" t="str">
        <f ca="1">IFERROR(__xludf.DUMMYFUNCTION("""COMPUTED_VALUE"""),"Yes")</f>
        <v>Yes</v>
      </c>
      <c r="R49" s="6" t="str">
        <f ca="1">IFERROR(__xludf.DUMMYFUNCTION("""COMPUTED_VALUE"""),"None")</f>
        <v>None</v>
      </c>
      <c r="S49" s="6" t="str">
        <f ca="1">IFERROR(__xludf.DUMMYFUNCTION("""COMPUTED_VALUE"""),"Yes")</f>
        <v>Yes</v>
      </c>
      <c r="T49" s="6" t="str">
        <f ca="1">IFERROR(__xludf.DUMMYFUNCTION("""COMPUTED_VALUE"""),"Parked")</f>
        <v>Parked</v>
      </c>
    </row>
    <row r="50" spans="1:20">
      <c r="A50" s="6" t="str">
        <v>Qualification</v>
      </c>
      <c r="B50" s="6">
        <v>49</v>
      </c>
      <c r="C50" s="6" t="e">
        <f ca="1"/>
        <v>#NAME?</v>
      </c>
      <c r="D50" s="6" t="e">
        <f ca="1"/>
        <v>#NAME?</v>
      </c>
      <c r="E50" s="6" t="e">
        <f ca="1"/>
        <v>#NAME?</v>
      </c>
      <c r="F50" s="6" t="e">
        <f ca="1"/>
        <v>#NAME?</v>
      </c>
      <c r="G50" s="6" t="e">
        <f ca="1"/>
        <v>#NAME?</v>
      </c>
      <c r="H50" s="6" t="e">
        <f ca="1"/>
        <v>#NAME?</v>
      </c>
      <c r="I50" s="6" t="str">
        <f ca="1">IFERROR(__xludf.DUMMYFUNCTION("""COMPUTED_VALUE"""),"Yes")</f>
        <v>Yes</v>
      </c>
      <c r="J50" s="6" t="str">
        <f ca="1">IFERROR(__xludf.DUMMYFUNCTION("""COMPUTED_VALUE"""),"Parked")</f>
        <v>Parked</v>
      </c>
      <c r="K50" s="6" t="str">
        <f ca="1">IFERROR(__xludf.DUMMYFUNCTION("""COMPUTED_VALUE"""),"Yes")</f>
        <v>Yes</v>
      </c>
      <c r="L50" s="6" t="str">
        <f ca="1">IFERROR(__xludf.DUMMYFUNCTION("""COMPUTED_VALUE"""),"Parked")</f>
        <v>Parked</v>
      </c>
      <c r="M50" s="6" t="str">
        <f ca="1">IFERROR(__xludf.DUMMYFUNCTION("""COMPUTED_VALUE"""),"Yes")</f>
        <v>Yes</v>
      </c>
      <c r="N50" s="6" t="str">
        <f ca="1">IFERROR(__xludf.DUMMYFUNCTION("""COMPUTED_VALUE"""),"Parked")</f>
        <v>Parked</v>
      </c>
      <c r="O50" s="6" t="str">
        <f ca="1">IFERROR(__xludf.DUMMYFUNCTION("""COMPUTED_VALUE"""),"Yes")</f>
        <v>Yes</v>
      </c>
      <c r="P50" s="6" t="str">
        <f ca="1">IFERROR(__xludf.DUMMYFUNCTION("""COMPUTED_VALUE"""),"Parked")</f>
        <v>Parked</v>
      </c>
      <c r="Q50" s="6" t="str">
        <f ca="1">IFERROR(__xludf.DUMMYFUNCTION("""COMPUTED_VALUE"""),"Yes")</f>
        <v>Yes</v>
      </c>
      <c r="R50" s="6" t="str">
        <f ca="1">IFERROR(__xludf.DUMMYFUNCTION("""COMPUTED_VALUE"""),"Parked")</f>
        <v>Parked</v>
      </c>
      <c r="S50" s="6" t="str">
        <f ca="1">IFERROR(__xludf.DUMMYFUNCTION("""COMPUTED_VALUE"""),"Yes")</f>
        <v>Yes</v>
      </c>
      <c r="T50" s="6" t="str">
        <f ca="1">IFERROR(__xludf.DUMMYFUNCTION("""COMPUTED_VALUE"""),"Parked")</f>
        <v>Parked</v>
      </c>
    </row>
    <row r="51" spans="1:20">
      <c r="A51" s="6" t="str">
        <v>Qualification</v>
      </c>
      <c r="B51" s="6">
        <v>50</v>
      </c>
      <c r="C51" s="6" t="e">
        <f ca="1"/>
        <v>#NAME?</v>
      </c>
      <c r="D51" s="6" t="e">
        <f ca="1"/>
        <v>#NAME?</v>
      </c>
      <c r="E51" s="6" t="e">
        <f ca="1"/>
        <v>#NAME?</v>
      </c>
      <c r="F51" s="6" t="e">
        <f ca="1"/>
        <v>#NAME?</v>
      </c>
      <c r="G51" s="6" t="e">
        <f ca="1"/>
        <v>#NAME?</v>
      </c>
      <c r="H51" s="6" t="e">
        <f ca="1"/>
        <v>#NAME?</v>
      </c>
      <c r="I51" s="6" t="str">
        <f ca="1">IFERROR(__xludf.DUMMYFUNCTION("""COMPUTED_VALUE"""),"Yes")</f>
        <v>Yes</v>
      </c>
      <c r="J51" s="6" t="str">
        <f ca="1">IFERROR(__xludf.DUMMYFUNCTION("""COMPUTED_VALUE"""),"None")</f>
        <v>None</v>
      </c>
      <c r="K51" s="6" t="str">
        <f ca="1">IFERROR(__xludf.DUMMYFUNCTION("""COMPUTED_VALUE"""),"Yes")</f>
        <v>Yes</v>
      </c>
      <c r="L51" s="6" t="str">
        <f ca="1">IFERROR(__xludf.DUMMYFUNCTION("""COMPUTED_VALUE"""),"Parked")</f>
        <v>Parked</v>
      </c>
      <c r="M51" s="6" t="str">
        <f ca="1">IFERROR(__xludf.DUMMYFUNCTION("""COMPUTED_VALUE"""),"Yes")</f>
        <v>Yes</v>
      </c>
      <c r="N51" s="6" t="str">
        <f ca="1">IFERROR(__xludf.DUMMYFUNCTION("""COMPUTED_VALUE"""),"None")</f>
        <v>None</v>
      </c>
      <c r="O51" s="6" t="str">
        <f ca="1">IFERROR(__xludf.DUMMYFUNCTION("""COMPUTED_VALUE"""),"Yes")</f>
        <v>Yes</v>
      </c>
      <c r="P51" s="6" t="str">
        <f ca="1">IFERROR(__xludf.DUMMYFUNCTION("""COMPUTED_VALUE"""),"Parked")</f>
        <v>Parked</v>
      </c>
      <c r="Q51" s="6" t="str">
        <f ca="1">IFERROR(__xludf.DUMMYFUNCTION("""COMPUTED_VALUE"""),"No")</f>
        <v>No</v>
      </c>
      <c r="R51" s="6" t="str">
        <f ca="1">IFERROR(__xludf.DUMMYFUNCTION("""COMPUTED_VALUE"""),"None")</f>
        <v>None</v>
      </c>
      <c r="S51" s="6" t="str">
        <f ca="1">IFERROR(__xludf.DUMMYFUNCTION("""COMPUTED_VALUE"""),"Yes")</f>
        <v>Yes</v>
      </c>
      <c r="T51" s="6" t="str">
        <f ca="1">IFERROR(__xludf.DUMMYFUNCTION("""COMPUTED_VALUE"""),"Parked")</f>
        <v>Parked</v>
      </c>
    </row>
    <row r="52" spans="1:20">
      <c r="A52" s="6" t="str">
        <v>Qualification</v>
      </c>
      <c r="B52" s="6">
        <v>51</v>
      </c>
      <c r="C52" s="6" t="e">
        <f ca="1"/>
        <v>#NAME?</v>
      </c>
      <c r="D52" s="6" t="e">
        <f ca="1"/>
        <v>#NAME?</v>
      </c>
      <c r="E52" s="6" t="e">
        <f ca="1"/>
        <v>#NAME?</v>
      </c>
      <c r="F52" s="6" t="e">
        <f ca="1"/>
        <v>#NAME?</v>
      </c>
      <c r="G52" s="6" t="e">
        <f ca="1"/>
        <v>#NAME?</v>
      </c>
      <c r="H52" s="6" t="e">
        <f ca="1"/>
        <v>#NAME?</v>
      </c>
      <c r="I52" s="6" t="str">
        <f ca="1">IFERROR(__xludf.DUMMYFUNCTION("""COMPUTED_VALUE"""),"Yes")</f>
        <v>Yes</v>
      </c>
      <c r="J52" s="6" t="str">
        <f ca="1">IFERROR(__xludf.DUMMYFUNCTION("""COMPUTED_VALUE"""),"Parked")</f>
        <v>Parked</v>
      </c>
      <c r="K52" s="6" t="str">
        <f ca="1">IFERROR(__xludf.DUMMYFUNCTION("""COMPUTED_VALUE"""),"Yes")</f>
        <v>Yes</v>
      </c>
      <c r="L52" s="6" t="str">
        <f ca="1">IFERROR(__xludf.DUMMYFUNCTION("""COMPUTED_VALUE"""),"Parked")</f>
        <v>Parked</v>
      </c>
      <c r="M52" s="6" t="str">
        <f ca="1">IFERROR(__xludf.DUMMYFUNCTION("""COMPUTED_VALUE"""),"Yes")</f>
        <v>Yes</v>
      </c>
      <c r="N52" s="6" t="str">
        <f ca="1">IFERROR(__xludf.DUMMYFUNCTION("""COMPUTED_VALUE"""),"Parked")</f>
        <v>Parked</v>
      </c>
      <c r="O52" s="6" t="str">
        <f ca="1">IFERROR(__xludf.DUMMYFUNCTION("""COMPUTED_VALUE"""),"Yes")</f>
        <v>Yes</v>
      </c>
      <c r="P52" s="6" t="str">
        <f ca="1">IFERROR(__xludf.DUMMYFUNCTION("""COMPUTED_VALUE"""),"DeepCage")</f>
        <v>DeepCage</v>
      </c>
      <c r="Q52" s="6" t="str">
        <f ca="1">IFERROR(__xludf.DUMMYFUNCTION("""COMPUTED_VALUE"""),"Yes")</f>
        <v>Yes</v>
      </c>
      <c r="R52" s="6" t="str">
        <f ca="1">IFERROR(__xludf.DUMMYFUNCTION("""COMPUTED_VALUE"""),"None")</f>
        <v>None</v>
      </c>
      <c r="S52" s="6" t="str">
        <f ca="1">IFERROR(__xludf.DUMMYFUNCTION("""COMPUTED_VALUE"""),"Yes")</f>
        <v>Yes</v>
      </c>
      <c r="T52" s="6" t="str">
        <f ca="1">IFERROR(__xludf.DUMMYFUNCTION("""COMPUTED_VALUE"""),"Parked")</f>
        <v>Parked</v>
      </c>
    </row>
    <row r="53" spans="1:20">
      <c r="A53" s="6" t="str">
        <v>Qualification</v>
      </c>
      <c r="B53" s="6">
        <v>52</v>
      </c>
      <c r="C53" s="6" t="e">
        <f ca="1"/>
        <v>#NAME?</v>
      </c>
      <c r="D53" s="6" t="e">
        <f ca="1"/>
        <v>#NAME?</v>
      </c>
      <c r="E53" s="6" t="e">
        <f ca="1"/>
        <v>#NAME?</v>
      </c>
      <c r="F53" s="6" t="e">
        <f ca="1"/>
        <v>#NAME?</v>
      </c>
      <c r="G53" s="6" t="e">
        <f ca="1"/>
        <v>#NAME?</v>
      </c>
      <c r="H53" s="6" t="e">
        <f ca="1"/>
        <v>#NAME?</v>
      </c>
      <c r="I53" s="6" t="str">
        <f ca="1">IFERROR(__xludf.DUMMYFUNCTION("""COMPUTED_VALUE"""),"Yes")</f>
        <v>Yes</v>
      </c>
      <c r="J53" s="6" t="str">
        <f ca="1">IFERROR(__xludf.DUMMYFUNCTION("""COMPUTED_VALUE"""),"DeepCage")</f>
        <v>DeepCage</v>
      </c>
      <c r="K53" s="6" t="str">
        <f ca="1">IFERROR(__xludf.DUMMYFUNCTION("""COMPUTED_VALUE"""),"Yes")</f>
        <v>Yes</v>
      </c>
      <c r="L53" s="6" t="str">
        <f ca="1">IFERROR(__xludf.DUMMYFUNCTION("""COMPUTED_VALUE"""),"None")</f>
        <v>None</v>
      </c>
      <c r="M53" s="6" t="str">
        <f ca="1">IFERROR(__xludf.DUMMYFUNCTION("""COMPUTED_VALUE"""),"Yes")</f>
        <v>Yes</v>
      </c>
      <c r="N53" s="6" t="str">
        <f ca="1">IFERROR(__xludf.DUMMYFUNCTION("""COMPUTED_VALUE"""),"DeepCage")</f>
        <v>DeepCage</v>
      </c>
      <c r="O53" s="6" t="str">
        <f ca="1">IFERROR(__xludf.DUMMYFUNCTION("""COMPUTED_VALUE"""),"Yes")</f>
        <v>Yes</v>
      </c>
      <c r="P53" s="6" t="str">
        <f ca="1">IFERROR(__xludf.DUMMYFUNCTION("""COMPUTED_VALUE"""),"Parked")</f>
        <v>Parked</v>
      </c>
      <c r="Q53" s="6" t="str">
        <f ca="1">IFERROR(__xludf.DUMMYFUNCTION("""COMPUTED_VALUE"""),"No")</f>
        <v>No</v>
      </c>
      <c r="R53" s="6" t="str">
        <f ca="1">IFERROR(__xludf.DUMMYFUNCTION("""COMPUTED_VALUE"""),"None")</f>
        <v>None</v>
      </c>
      <c r="S53" s="6" t="str">
        <f ca="1">IFERROR(__xludf.DUMMYFUNCTION("""COMPUTED_VALUE"""),"Yes")</f>
        <v>Yes</v>
      </c>
      <c r="T53" s="6" t="str">
        <f ca="1">IFERROR(__xludf.DUMMYFUNCTION("""COMPUTED_VALUE"""),"DeepCage")</f>
        <v>DeepCage</v>
      </c>
    </row>
    <row r="54" spans="1:20">
      <c r="A54" s="6" t="str">
        <v>Qualification</v>
      </c>
      <c r="B54" s="6">
        <v>53</v>
      </c>
      <c r="C54" s="6" t="e">
        <f ca="1"/>
        <v>#NAME?</v>
      </c>
      <c r="D54" s="6" t="e">
        <f ca="1"/>
        <v>#NAME?</v>
      </c>
      <c r="E54" s="6" t="e">
        <f ca="1"/>
        <v>#NAME?</v>
      </c>
      <c r="F54" s="6" t="e">
        <f ca="1"/>
        <v>#NAME?</v>
      </c>
      <c r="G54" s="6" t="e">
        <f ca="1"/>
        <v>#NAME?</v>
      </c>
      <c r="H54" s="6" t="e">
        <f ca="1"/>
        <v>#NAME?</v>
      </c>
      <c r="I54" s="6" t="str">
        <f ca="1">IFERROR(__xludf.DUMMYFUNCTION("""COMPUTED_VALUE"""),"Yes")</f>
        <v>Yes</v>
      </c>
      <c r="J54" s="6" t="str">
        <f ca="1">IFERROR(__xludf.DUMMYFUNCTION("""COMPUTED_VALUE"""),"Parked")</f>
        <v>Parked</v>
      </c>
      <c r="K54" s="6" t="str">
        <f ca="1">IFERROR(__xludf.DUMMYFUNCTION("""COMPUTED_VALUE"""),"Yes")</f>
        <v>Yes</v>
      </c>
      <c r="L54" s="6" t="str">
        <f ca="1">IFERROR(__xludf.DUMMYFUNCTION("""COMPUTED_VALUE"""),"Parked")</f>
        <v>Parked</v>
      </c>
      <c r="M54" s="6" t="str">
        <f ca="1">IFERROR(__xludf.DUMMYFUNCTION("""COMPUTED_VALUE"""),"No")</f>
        <v>No</v>
      </c>
      <c r="N54" s="6" t="str">
        <f ca="1">IFERROR(__xludf.DUMMYFUNCTION("""COMPUTED_VALUE"""),"None")</f>
        <v>None</v>
      </c>
      <c r="O54" s="6" t="str">
        <f ca="1">IFERROR(__xludf.DUMMYFUNCTION("""COMPUTED_VALUE"""),"Yes")</f>
        <v>Yes</v>
      </c>
      <c r="P54" s="6" t="str">
        <f ca="1">IFERROR(__xludf.DUMMYFUNCTION("""COMPUTED_VALUE"""),"DeepCage")</f>
        <v>DeepCage</v>
      </c>
      <c r="Q54" s="6" t="str">
        <f ca="1">IFERROR(__xludf.DUMMYFUNCTION("""COMPUTED_VALUE"""),"Yes")</f>
        <v>Yes</v>
      </c>
      <c r="R54" s="6" t="str">
        <f ca="1">IFERROR(__xludf.DUMMYFUNCTION("""COMPUTED_VALUE"""),"Parked")</f>
        <v>Parked</v>
      </c>
      <c r="S54" s="6" t="str">
        <f ca="1">IFERROR(__xludf.DUMMYFUNCTION("""COMPUTED_VALUE"""),"Yes")</f>
        <v>Yes</v>
      </c>
      <c r="T54" s="6" t="str">
        <f ca="1">IFERROR(__xludf.DUMMYFUNCTION("""COMPUTED_VALUE"""),"None")</f>
        <v>None</v>
      </c>
    </row>
    <row r="55" spans="1:20">
      <c r="A55" s="6" t="str">
        <v>Qualification</v>
      </c>
      <c r="B55" s="6">
        <v>54</v>
      </c>
      <c r="C55" s="6" t="e">
        <f ca="1"/>
        <v>#NAME?</v>
      </c>
      <c r="D55" s="6" t="e">
        <f ca="1"/>
        <v>#NAME?</v>
      </c>
      <c r="E55" s="6" t="e">
        <f ca="1"/>
        <v>#NAME?</v>
      </c>
      <c r="F55" s="6" t="e">
        <f ca="1"/>
        <v>#NAME?</v>
      </c>
      <c r="G55" s="6" t="e">
        <f ca="1"/>
        <v>#NAME?</v>
      </c>
      <c r="H55" s="6" t="e">
        <f ca="1"/>
        <v>#NAME?</v>
      </c>
      <c r="I55" s="6" t="str">
        <f ca="1">IFERROR(__xludf.DUMMYFUNCTION("""COMPUTED_VALUE"""),"No")</f>
        <v>No</v>
      </c>
      <c r="J55" s="6" t="str">
        <f ca="1">IFERROR(__xludf.DUMMYFUNCTION("""COMPUTED_VALUE"""),"None")</f>
        <v>None</v>
      </c>
      <c r="K55" s="6" t="str">
        <f ca="1">IFERROR(__xludf.DUMMYFUNCTION("""COMPUTED_VALUE"""),"Yes")</f>
        <v>Yes</v>
      </c>
      <c r="L55" s="6" t="str">
        <f ca="1">IFERROR(__xludf.DUMMYFUNCTION("""COMPUTED_VALUE"""),"Parked")</f>
        <v>Parked</v>
      </c>
      <c r="M55" s="6" t="str">
        <f ca="1">IFERROR(__xludf.DUMMYFUNCTION("""COMPUTED_VALUE"""),"Yes")</f>
        <v>Yes</v>
      </c>
      <c r="N55" s="6" t="str">
        <f ca="1">IFERROR(__xludf.DUMMYFUNCTION("""COMPUTED_VALUE"""),"Parked")</f>
        <v>Parked</v>
      </c>
      <c r="O55" s="6" t="str">
        <f ca="1">IFERROR(__xludf.DUMMYFUNCTION("""COMPUTED_VALUE"""),"Yes")</f>
        <v>Yes</v>
      </c>
      <c r="P55" s="6" t="str">
        <f ca="1">IFERROR(__xludf.DUMMYFUNCTION("""COMPUTED_VALUE"""),"Parked")</f>
        <v>Parked</v>
      </c>
      <c r="Q55" s="6" t="str">
        <f ca="1">IFERROR(__xludf.DUMMYFUNCTION("""COMPUTED_VALUE"""),"Yes")</f>
        <v>Yes</v>
      </c>
      <c r="R55" s="6" t="str">
        <f ca="1">IFERROR(__xludf.DUMMYFUNCTION("""COMPUTED_VALUE"""),"None")</f>
        <v>None</v>
      </c>
      <c r="S55" s="6" t="str">
        <f ca="1">IFERROR(__xludf.DUMMYFUNCTION("""COMPUTED_VALUE"""),"No")</f>
        <v>No</v>
      </c>
      <c r="T55" s="6" t="str">
        <f ca="1">IFERROR(__xludf.DUMMYFUNCTION("""COMPUTED_VALUE"""),"Parked")</f>
        <v>Parked</v>
      </c>
    </row>
    <row r="56" spans="1:20">
      <c r="A56" s="6" t="str">
        <v>Qualification</v>
      </c>
      <c r="B56" s="6">
        <v>55</v>
      </c>
      <c r="C56" s="6" t="e">
        <f ca="1"/>
        <v>#NAME?</v>
      </c>
      <c r="D56" s="6" t="e">
        <f ca="1"/>
        <v>#NAME?</v>
      </c>
      <c r="E56" s="6" t="e">
        <f ca="1"/>
        <v>#NAME?</v>
      </c>
      <c r="F56" s="6" t="e">
        <f ca="1"/>
        <v>#NAME?</v>
      </c>
      <c r="G56" s="6" t="e">
        <f ca="1"/>
        <v>#NAME?</v>
      </c>
      <c r="H56" s="6" t="e">
        <f ca="1"/>
        <v>#NAME?</v>
      </c>
      <c r="I56" s="6" t="str">
        <f ca="1">IFERROR(__xludf.DUMMYFUNCTION("""COMPUTED_VALUE"""),"Yes")</f>
        <v>Yes</v>
      </c>
      <c r="J56" s="6" t="str">
        <f ca="1">IFERROR(__xludf.DUMMYFUNCTION("""COMPUTED_VALUE"""),"DeepCage")</f>
        <v>DeepCage</v>
      </c>
      <c r="K56" s="6" t="str">
        <f ca="1">IFERROR(__xludf.DUMMYFUNCTION("""COMPUTED_VALUE"""),"Yes")</f>
        <v>Yes</v>
      </c>
      <c r="L56" s="6" t="str">
        <f ca="1">IFERROR(__xludf.DUMMYFUNCTION("""COMPUTED_VALUE"""),"DeepCage")</f>
        <v>DeepCage</v>
      </c>
      <c r="M56" s="6" t="str">
        <f ca="1">IFERROR(__xludf.DUMMYFUNCTION("""COMPUTED_VALUE"""),"Yes")</f>
        <v>Yes</v>
      </c>
      <c r="N56" s="6" t="str">
        <f ca="1">IFERROR(__xludf.DUMMYFUNCTION("""COMPUTED_VALUE"""),"Parked")</f>
        <v>Parked</v>
      </c>
      <c r="O56" s="6" t="str">
        <f ca="1">IFERROR(__xludf.DUMMYFUNCTION("""COMPUTED_VALUE"""),"Yes")</f>
        <v>Yes</v>
      </c>
      <c r="P56" s="6" t="str">
        <f ca="1">IFERROR(__xludf.DUMMYFUNCTION("""COMPUTED_VALUE"""),"Parked")</f>
        <v>Parked</v>
      </c>
      <c r="Q56" s="6" t="str">
        <f ca="1">IFERROR(__xludf.DUMMYFUNCTION("""COMPUTED_VALUE"""),"Yes")</f>
        <v>Yes</v>
      </c>
      <c r="R56" s="6" t="str">
        <f ca="1">IFERROR(__xludf.DUMMYFUNCTION("""COMPUTED_VALUE"""),"Parked")</f>
        <v>Parked</v>
      </c>
      <c r="S56" s="6" t="str">
        <f ca="1">IFERROR(__xludf.DUMMYFUNCTION("""COMPUTED_VALUE"""),"Yes")</f>
        <v>Yes</v>
      </c>
      <c r="T56" s="6" t="str">
        <f ca="1">IFERROR(__xludf.DUMMYFUNCTION("""COMPUTED_VALUE"""),"Parked")</f>
        <v>Parked</v>
      </c>
    </row>
    <row r="57" spans="1:20">
      <c r="A57" s="6" t="str">
        <v>Qualification</v>
      </c>
      <c r="B57" s="6">
        <v>56</v>
      </c>
      <c r="C57" s="6" t="e">
        <f ca="1"/>
        <v>#NAME?</v>
      </c>
      <c r="D57" s="6" t="e">
        <f ca="1"/>
        <v>#NAME?</v>
      </c>
      <c r="E57" s="6" t="e">
        <f ca="1"/>
        <v>#NAME?</v>
      </c>
      <c r="F57" s="6" t="e">
        <f ca="1"/>
        <v>#NAME?</v>
      </c>
      <c r="G57" s="6" t="e">
        <f ca="1"/>
        <v>#NAME?</v>
      </c>
      <c r="H57" s="6" t="e">
        <f ca="1"/>
        <v>#NAME?</v>
      </c>
      <c r="I57" s="6" t="str">
        <f ca="1">IFERROR(__xludf.DUMMYFUNCTION("""COMPUTED_VALUE"""),"Yes")</f>
        <v>Yes</v>
      </c>
      <c r="J57" s="6" t="str">
        <f ca="1">IFERROR(__xludf.DUMMYFUNCTION("""COMPUTED_VALUE"""),"None")</f>
        <v>None</v>
      </c>
      <c r="K57" s="6" t="str">
        <f ca="1">IFERROR(__xludf.DUMMYFUNCTION("""COMPUTED_VALUE"""),"Yes")</f>
        <v>Yes</v>
      </c>
      <c r="L57" s="6" t="str">
        <f ca="1">IFERROR(__xludf.DUMMYFUNCTION("""COMPUTED_VALUE"""),"None")</f>
        <v>None</v>
      </c>
      <c r="M57" s="6" t="str">
        <f ca="1">IFERROR(__xludf.DUMMYFUNCTION("""COMPUTED_VALUE"""),"Yes")</f>
        <v>Yes</v>
      </c>
      <c r="N57" s="6" t="str">
        <f ca="1">IFERROR(__xludf.DUMMYFUNCTION("""COMPUTED_VALUE"""),"Parked")</f>
        <v>Parked</v>
      </c>
      <c r="O57" s="6" t="str">
        <f ca="1">IFERROR(__xludf.DUMMYFUNCTION("""COMPUTED_VALUE"""),"Yes")</f>
        <v>Yes</v>
      </c>
      <c r="P57" s="6" t="str">
        <f ca="1">IFERROR(__xludf.DUMMYFUNCTION("""COMPUTED_VALUE"""),"Parked")</f>
        <v>Parked</v>
      </c>
      <c r="Q57" s="6" t="str">
        <f ca="1">IFERROR(__xludf.DUMMYFUNCTION("""COMPUTED_VALUE"""),"Yes")</f>
        <v>Yes</v>
      </c>
      <c r="R57" s="6" t="str">
        <f ca="1">IFERROR(__xludf.DUMMYFUNCTION("""COMPUTED_VALUE"""),"None")</f>
        <v>None</v>
      </c>
      <c r="S57" s="6" t="str">
        <f ca="1">IFERROR(__xludf.DUMMYFUNCTION("""COMPUTED_VALUE"""),"Yes")</f>
        <v>Yes</v>
      </c>
      <c r="T57" s="6" t="str">
        <f ca="1">IFERROR(__xludf.DUMMYFUNCTION("""COMPUTED_VALUE"""),"Parked")</f>
        <v>Parked</v>
      </c>
    </row>
    <row r="58" spans="1:20">
      <c r="A58" s="6" t="str">
        <v>Qualification</v>
      </c>
      <c r="B58" s="6">
        <v>57</v>
      </c>
      <c r="C58" s="6" t="e">
        <f ca="1"/>
        <v>#NAME?</v>
      </c>
      <c r="D58" s="6" t="e">
        <f ca="1"/>
        <v>#NAME?</v>
      </c>
      <c r="E58" s="6" t="e">
        <f ca="1"/>
        <v>#NAME?</v>
      </c>
      <c r="F58" s="6" t="e">
        <f ca="1"/>
        <v>#NAME?</v>
      </c>
      <c r="G58" s="6" t="e">
        <f ca="1"/>
        <v>#NAME?</v>
      </c>
      <c r="H58" s="6" t="e">
        <f ca="1"/>
        <v>#NAME?</v>
      </c>
      <c r="I58" s="6" t="str">
        <f ca="1">IFERROR(__xludf.DUMMYFUNCTION("""COMPUTED_VALUE"""),"Yes")</f>
        <v>Yes</v>
      </c>
      <c r="J58" s="6" t="str">
        <f ca="1">IFERROR(__xludf.DUMMYFUNCTION("""COMPUTED_VALUE"""),"Parked")</f>
        <v>Parked</v>
      </c>
      <c r="K58" s="6" t="str">
        <f ca="1">IFERROR(__xludf.DUMMYFUNCTION("""COMPUTED_VALUE"""),"Yes")</f>
        <v>Yes</v>
      </c>
      <c r="L58" s="6" t="str">
        <f ca="1">IFERROR(__xludf.DUMMYFUNCTION("""COMPUTED_VALUE"""),"Parked")</f>
        <v>Parked</v>
      </c>
      <c r="M58" s="6" t="str">
        <f ca="1">IFERROR(__xludf.DUMMYFUNCTION("""COMPUTED_VALUE"""),"Yes")</f>
        <v>Yes</v>
      </c>
      <c r="N58" s="6" t="str">
        <f ca="1">IFERROR(__xludf.DUMMYFUNCTION("""COMPUTED_VALUE"""),"Parked")</f>
        <v>Parked</v>
      </c>
      <c r="O58" s="6" t="str">
        <f ca="1">IFERROR(__xludf.DUMMYFUNCTION("""COMPUTED_VALUE"""),"Yes")</f>
        <v>Yes</v>
      </c>
      <c r="P58" s="6" t="str">
        <f ca="1">IFERROR(__xludf.DUMMYFUNCTION("""COMPUTED_VALUE"""),"Parked")</f>
        <v>Parked</v>
      </c>
      <c r="Q58" s="6" t="str">
        <f ca="1">IFERROR(__xludf.DUMMYFUNCTION("""COMPUTED_VALUE"""),"Yes")</f>
        <v>Yes</v>
      </c>
      <c r="R58" s="6" t="str">
        <f ca="1">IFERROR(__xludf.DUMMYFUNCTION("""COMPUTED_VALUE"""),"None")</f>
        <v>None</v>
      </c>
      <c r="S58" s="6" t="str">
        <f ca="1">IFERROR(__xludf.DUMMYFUNCTION("""COMPUTED_VALUE"""),"No")</f>
        <v>No</v>
      </c>
      <c r="T58" s="6" t="str">
        <f ca="1">IFERROR(__xludf.DUMMYFUNCTION("""COMPUTED_VALUE"""),"None")</f>
        <v>None</v>
      </c>
    </row>
    <row r="59" spans="1:20">
      <c r="A59" s="6" t="str">
        <v>Qualification</v>
      </c>
      <c r="B59" s="6">
        <v>58</v>
      </c>
      <c r="C59" s="6" t="e">
        <f ca="1"/>
        <v>#NAME?</v>
      </c>
      <c r="D59" s="6" t="e">
        <f ca="1"/>
        <v>#NAME?</v>
      </c>
      <c r="E59" s="6" t="e">
        <f ca="1"/>
        <v>#NAME?</v>
      </c>
      <c r="F59" s="6" t="e">
        <f ca="1"/>
        <v>#NAME?</v>
      </c>
      <c r="G59" s="6" t="e">
        <f ca="1"/>
        <v>#NAME?</v>
      </c>
      <c r="H59" s="6" t="e">
        <f ca="1"/>
        <v>#NAME?</v>
      </c>
      <c r="I59" s="6" t="str">
        <f ca="1">IFERROR(__xludf.DUMMYFUNCTION("""COMPUTED_VALUE"""),"Yes")</f>
        <v>Yes</v>
      </c>
      <c r="J59" s="6" t="str">
        <f ca="1">IFERROR(__xludf.DUMMYFUNCTION("""COMPUTED_VALUE"""),"Parked")</f>
        <v>Parked</v>
      </c>
      <c r="K59" s="6" t="str">
        <f ca="1">IFERROR(__xludf.DUMMYFUNCTION("""COMPUTED_VALUE"""),"Yes")</f>
        <v>Yes</v>
      </c>
      <c r="L59" s="6" t="str">
        <f ca="1">IFERROR(__xludf.DUMMYFUNCTION("""COMPUTED_VALUE"""),"DeepCage")</f>
        <v>DeepCage</v>
      </c>
      <c r="M59" s="6" t="str">
        <f ca="1">IFERROR(__xludf.DUMMYFUNCTION("""COMPUTED_VALUE"""),"Yes")</f>
        <v>Yes</v>
      </c>
      <c r="N59" s="6" t="str">
        <f ca="1">IFERROR(__xludf.DUMMYFUNCTION("""COMPUTED_VALUE"""),"DeepCage")</f>
        <v>DeepCage</v>
      </c>
      <c r="O59" s="6" t="str">
        <f ca="1">IFERROR(__xludf.DUMMYFUNCTION("""COMPUTED_VALUE"""),"Yes")</f>
        <v>Yes</v>
      </c>
      <c r="P59" s="6" t="str">
        <f ca="1">IFERROR(__xludf.DUMMYFUNCTION("""COMPUTED_VALUE"""),"Parked")</f>
        <v>Parked</v>
      </c>
      <c r="Q59" s="6" t="str">
        <f ca="1">IFERROR(__xludf.DUMMYFUNCTION("""COMPUTED_VALUE"""),"Yes")</f>
        <v>Yes</v>
      </c>
      <c r="R59" s="6" t="str">
        <f ca="1">IFERROR(__xludf.DUMMYFUNCTION("""COMPUTED_VALUE"""),"DeepCage")</f>
        <v>DeepCage</v>
      </c>
      <c r="S59" s="6" t="str">
        <f ca="1">IFERROR(__xludf.DUMMYFUNCTION("""COMPUTED_VALUE"""),"Yes")</f>
        <v>Yes</v>
      </c>
      <c r="T59" s="6" t="str">
        <f ca="1">IFERROR(__xludf.DUMMYFUNCTION("""COMPUTED_VALUE"""),"Parked")</f>
        <v>Parked</v>
      </c>
    </row>
    <row r="60" spans="1:20">
      <c r="A60" s="6" t="str">
        <v>Qualification</v>
      </c>
      <c r="B60" s="6">
        <v>59</v>
      </c>
      <c r="C60" s="6" t="e">
        <f ca="1"/>
        <v>#NAME?</v>
      </c>
      <c r="D60" s="6" t="e">
        <f ca="1"/>
        <v>#NAME?</v>
      </c>
      <c r="E60" s="6" t="e">
        <f ca="1"/>
        <v>#NAME?</v>
      </c>
      <c r="F60" s="6" t="e">
        <f ca="1"/>
        <v>#NAME?</v>
      </c>
      <c r="G60" s="6" t="e">
        <f ca="1"/>
        <v>#NAME?</v>
      </c>
      <c r="H60" s="6" t="e">
        <f ca="1"/>
        <v>#NAME?</v>
      </c>
      <c r="I60" s="6" t="str">
        <f ca="1">IFERROR(__xludf.DUMMYFUNCTION("""COMPUTED_VALUE"""),"Yes")</f>
        <v>Yes</v>
      </c>
      <c r="J60" s="6" t="str">
        <f ca="1">IFERROR(__xludf.DUMMYFUNCTION("""COMPUTED_VALUE"""),"Parked")</f>
        <v>Parked</v>
      </c>
      <c r="K60" s="6" t="str">
        <f ca="1">IFERROR(__xludf.DUMMYFUNCTION("""COMPUTED_VALUE"""),"Yes")</f>
        <v>Yes</v>
      </c>
      <c r="L60" s="6" t="str">
        <f ca="1">IFERROR(__xludf.DUMMYFUNCTION("""COMPUTED_VALUE"""),"None")</f>
        <v>None</v>
      </c>
      <c r="M60" s="6" t="str">
        <f ca="1">IFERROR(__xludf.DUMMYFUNCTION("""COMPUTED_VALUE"""),"Yes")</f>
        <v>Yes</v>
      </c>
      <c r="N60" s="6" t="str">
        <f ca="1">IFERROR(__xludf.DUMMYFUNCTION("""COMPUTED_VALUE"""),"DeepCage")</f>
        <v>DeepCage</v>
      </c>
      <c r="O60" s="6" t="str">
        <f ca="1">IFERROR(__xludf.DUMMYFUNCTION("""COMPUTED_VALUE"""),"Yes")</f>
        <v>Yes</v>
      </c>
      <c r="P60" s="6" t="str">
        <f ca="1">IFERROR(__xludf.DUMMYFUNCTION("""COMPUTED_VALUE"""),"Parked")</f>
        <v>Parked</v>
      </c>
      <c r="Q60" s="6" t="str">
        <f ca="1">IFERROR(__xludf.DUMMYFUNCTION("""COMPUTED_VALUE"""),"Yes")</f>
        <v>Yes</v>
      </c>
      <c r="R60" s="6" t="str">
        <f ca="1">IFERROR(__xludf.DUMMYFUNCTION("""COMPUTED_VALUE"""),"Parked")</f>
        <v>Parked</v>
      </c>
      <c r="S60" s="6" t="str">
        <f ca="1">IFERROR(__xludf.DUMMYFUNCTION("""COMPUTED_VALUE"""),"Yes")</f>
        <v>Yes</v>
      </c>
      <c r="T60" s="6" t="str">
        <f ca="1">IFERROR(__xludf.DUMMYFUNCTION("""COMPUTED_VALUE"""),"DeepCage")</f>
        <v>DeepCage</v>
      </c>
    </row>
    <row r="61" spans="1:20">
      <c r="A61" s="6" t="str">
        <v>Qualification</v>
      </c>
      <c r="B61" s="6">
        <v>60</v>
      </c>
      <c r="C61" s="6" t="e">
        <f ca="1"/>
        <v>#NAME?</v>
      </c>
      <c r="D61" s="6" t="e">
        <f ca="1"/>
        <v>#NAME?</v>
      </c>
      <c r="E61" s="6" t="e">
        <f ca="1"/>
        <v>#NAME?</v>
      </c>
      <c r="F61" s="6" t="e">
        <f ca="1"/>
        <v>#NAME?</v>
      </c>
      <c r="G61" s="6" t="e">
        <f ca="1"/>
        <v>#NAME?</v>
      </c>
      <c r="H61" s="6" t="e">
        <f ca="1"/>
        <v>#NAME?</v>
      </c>
      <c r="I61" s="6" t="str">
        <f ca="1">IFERROR(__xludf.DUMMYFUNCTION("""COMPUTED_VALUE"""),"Yes")</f>
        <v>Yes</v>
      </c>
      <c r="J61" s="6" t="str">
        <f ca="1">IFERROR(__xludf.DUMMYFUNCTION("""COMPUTED_VALUE"""),"None")</f>
        <v>None</v>
      </c>
      <c r="K61" s="6" t="str">
        <f ca="1">IFERROR(__xludf.DUMMYFUNCTION("""COMPUTED_VALUE"""),"Yes")</f>
        <v>Yes</v>
      </c>
      <c r="L61" s="6" t="str">
        <f ca="1">IFERROR(__xludf.DUMMYFUNCTION("""COMPUTED_VALUE"""),"None")</f>
        <v>None</v>
      </c>
      <c r="M61" s="6" t="str">
        <f ca="1">IFERROR(__xludf.DUMMYFUNCTION("""COMPUTED_VALUE"""),"Yes")</f>
        <v>Yes</v>
      </c>
      <c r="N61" s="6" t="str">
        <f ca="1">IFERROR(__xludf.DUMMYFUNCTION("""COMPUTED_VALUE"""),"None")</f>
        <v>None</v>
      </c>
      <c r="O61" s="6" t="str">
        <f ca="1">IFERROR(__xludf.DUMMYFUNCTION("""COMPUTED_VALUE"""),"No")</f>
        <v>No</v>
      </c>
      <c r="P61" s="6" t="str">
        <f ca="1">IFERROR(__xludf.DUMMYFUNCTION("""COMPUTED_VALUE"""),"Parked")</f>
        <v>Parked</v>
      </c>
      <c r="Q61" s="6" t="str">
        <f ca="1">IFERROR(__xludf.DUMMYFUNCTION("""COMPUTED_VALUE"""),"Yes")</f>
        <v>Yes</v>
      </c>
      <c r="R61" s="6" t="str">
        <f ca="1">IFERROR(__xludf.DUMMYFUNCTION("""COMPUTED_VALUE"""),"DeepCage")</f>
        <v>DeepCage</v>
      </c>
      <c r="S61" s="6" t="str">
        <f ca="1">IFERROR(__xludf.DUMMYFUNCTION("""COMPUTED_VALUE"""),"Yes")</f>
        <v>Yes</v>
      </c>
      <c r="T61" s="6" t="str">
        <f ca="1">IFERROR(__xludf.DUMMYFUNCTION("""COMPUTED_VALUE"""),"None")</f>
        <v>None</v>
      </c>
    </row>
    <row r="62" spans="1:20">
      <c r="A62" s="6" t="str">
        <v>Qualification</v>
      </c>
      <c r="B62" s="6">
        <v>61</v>
      </c>
      <c r="C62" s="6" t="e">
        <f ca="1"/>
        <v>#NAME?</v>
      </c>
      <c r="D62" s="6" t="e">
        <f ca="1"/>
        <v>#NAME?</v>
      </c>
      <c r="E62" s="6" t="e">
        <f ca="1"/>
        <v>#NAME?</v>
      </c>
      <c r="F62" s="6" t="e">
        <f ca="1"/>
        <v>#NAME?</v>
      </c>
      <c r="G62" s="6" t="e">
        <f ca="1"/>
        <v>#NAME?</v>
      </c>
      <c r="H62" s="6" t="e">
        <f ca="1"/>
        <v>#NAME?</v>
      </c>
      <c r="I62" s="6" t="str">
        <f ca="1">IFERROR(__xludf.DUMMYFUNCTION("""COMPUTED_VALUE"""),"Yes")</f>
        <v>Yes</v>
      </c>
      <c r="J62" s="6" t="str">
        <f ca="1">IFERROR(__xludf.DUMMYFUNCTION("""COMPUTED_VALUE"""),"None")</f>
        <v>None</v>
      </c>
      <c r="K62" s="6" t="str">
        <f ca="1">IFERROR(__xludf.DUMMYFUNCTION("""COMPUTED_VALUE"""),"Yes")</f>
        <v>Yes</v>
      </c>
      <c r="L62" s="6" t="str">
        <f ca="1">IFERROR(__xludf.DUMMYFUNCTION("""COMPUTED_VALUE"""),"DeepCage")</f>
        <v>DeepCage</v>
      </c>
      <c r="M62" s="6" t="str">
        <f ca="1">IFERROR(__xludf.DUMMYFUNCTION("""COMPUTED_VALUE"""),"No")</f>
        <v>No</v>
      </c>
      <c r="N62" s="6" t="str">
        <f ca="1">IFERROR(__xludf.DUMMYFUNCTION("""COMPUTED_VALUE"""),"Parked")</f>
        <v>Parked</v>
      </c>
      <c r="O62" s="6" t="str">
        <f ca="1">IFERROR(__xludf.DUMMYFUNCTION("""COMPUTED_VALUE"""),"Yes")</f>
        <v>Yes</v>
      </c>
      <c r="P62" s="6" t="str">
        <f ca="1">IFERROR(__xludf.DUMMYFUNCTION("""COMPUTED_VALUE"""),"None")</f>
        <v>None</v>
      </c>
      <c r="Q62" s="6" t="str">
        <f ca="1">IFERROR(__xludf.DUMMYFUNCTION("""COMPUTED_VALUE"""),"Yes")</f>
        <v>Yes</v>
      </c>
      <c r="R62" s="6" t="str">
        <f ca="1">IFERROR(__xludf.DUMMYFUNCTION("""COMPUTED_VALUE"""),"None")</f>
        <v>None</v>
      </c>
      <c r="S62" s="6" t="str">
        <f ca="1">IFERROR(__xludf.DUMMYFUNCTION("""COMPUTED_VALUE"""),"Yes")</f>
        <v>Yes</v>
      </c>
      <c r="T62" s="6" t="str">
        <f ca="1">IFERROR(__xludf.DUMMYFUNCTION("""COMPUTED_VALUE"""),"Parked")</f>
        <v>Parked</v>
      </c>
    </row>
    <row r="63" spans="1:20">
      <c r="A63" s="6" t="str">
        <v>Qualification</v>
      </c>
      <c r="B63" s="6">
        <v>62</v>
      </c>
      <c r="C63" s="6" t="e">
        <f ca="1"/>
        <v>#NAME?</v>
      </c>
      <c r="D63" s="6" t="e">
        <f ca="1"/>
        <v>#NAME?</v>
      </c>
      <c r="E63" s="6" t="e">
        <f ca="1"/>
        <v>#NAME?</v>
      </c>
      <c r="F63" s="6" t="e">
        <f ca="1"/>
        <v>#NAME?</v>
      </c>
      <c r="G63" s="6" t="e">
        <f ca="1"/>
        <v>#NAME?</v>
      </c>
      <c r="H63" s="6" t="e">
        <f ca="1"/>
        <v>#NAME?</v>
      </c>
      <c r="I63" s="6" t="str">
        <f ca="1">IFERROR(__xludf.DUMMYFUNCTION("""COMPUTED_VALUE"""),"Yes")</f>
        <v>Yes</v>
      </c>
      <c r="J63" s="6" t="str">
        <f ca="1">IFERROR(__xludf.DUMMYFUNCTION("""COMPUTED_VALUE"""),"Parked")</f>
        <v>Parked</v>
      </c>
      <c r="K63" s="6" t="str">
        <f ca="1">IFERROR(__xludf.DUMMYFUNCTION("""COMPUTED_VALUE"""),"Yes")</f>
        <v>Yes</v>
      </c>
      <c r="L63" s="6" t="str">
        <f ca="1">IFERROR(__xludf.DUMMYFUNCTION("""COMPUTED_VALUE"""),"Parked")</f>
        <v>Parked</v>
      </c>
      <c r="M63" s="6" t="str">
        <f ca="1">IFERROR(__xludf.DUMMYFUNCTION("""COMPUTED_VALUE"""),"Yes")</f>
        <v>Yes</v>
      </c>
      <c r="N63" s="6" t="str">
        <f ca="1">IFERROR(__xludf.DUMMYFUNCTION("""COMPUTED_VALUE"""),"None")</f>
        <v>None</v>
      </c>
      <c r="O63" s="6" t="str">
        <f ca="1">IFERROR(__xludf.DUMMYFUNCTION("""COMPUTED_VALUE"""),"Yes")</f>
        <v>Yes</v>
      </c>
      <c r="P63" s="6" t="str">
        <f ca="1">IFERROR(__xludf.DUMMYFUNCTION("""COMPUTED_VALUE"""),"Parked")</f>
        <v>Parked</v>
      </c>
      <c r="Q63" s="6" t="str">
        <f ca="1">IFERROR(__xludf.DUMMYFUNCTION("""COMPUTED_VALUE"""),"Yes")</f>
        <v>Yes</v>
      </c>
      <c r="R63" s="6" t="str">
        <f ca="1">IFERROR(__xludf.DUMMYFUNCTION("""COMPUTED_VALUE"""),"DeepCage")</f>
        <v>DeepCage</v>
      </c>
      <c r="S63" s="6" t="str">
        <f ca="1">IFERROR(__xludf.DUMMYFUNCTION("""COMPUTED_VALUE"""),"Yes")</f>
        <v>Yes</v>
      </c>
      <c r="T63" s="6" t="str">
        <f ca="1">IFERROR(__xludf.DUMMYFUNCTION("""COMPUTED_VALUE"""),"None")</f>
        <v>None</v>
      </c>
    </row>
    <row r="64" spans="1:20">
      <c r="A64" s="6" t="str">
        <v>Qualification</v>
      </c>
      <c r="B64" s="6">
        <v>63</v>
      </c>
      <c r="C64" s="6" t="e">
        <f ca="1"/>
        <v>#NAME?</v>
      </c>
      <c r="D64" s="6" t="e">
        <f ca="1"/>
        <v>#NAME?</v>
      </c>
      <c r="E64" s="6" t="e">
        <f ca="1"/>
        <v>#NAME?</v>
      </c>
      <c r="F64" s="6" t="e">
        <f ca="1"/>
        <v>#NAME?</v>
      </c>
      <c r="G64" s="6" t="e">
        <f ca="1"/>
        <v>#NAME?</v>
      </c>
      <c r="H64" s="6" t="e">
        <f ca="1"/>
        <v>#NAME?</v>
      </c>
      <c r="I64" s="6" t="str">
        <f ca="1">IFERROR(__xludf.DUMMYFUNCTION("""COMPUTED_VALUE"""),"Yes")</f>
        <v>Yes</v>
      </c>
      <c r="J64" s="6" t="str">
        <f ca="1">IFERROR(__xludf.DUMMYFUNCTION("""COMPUTED_VALUE"""),"None")</f>
        <v>None</v>
      </c>
      <c r="K64" s="6" t="str">
        <f ca="1">IFERROR(__xludf.DUMMYFUNCTION("""COMPUTED_VALUE"""),"Yes")</f>
        <v>Yes</v>
      </c>
      <c r="L64" s="6" t="str">
        <f ca="1">IFERROR(__xludf.DUMMYFUNCTION("""COMPUTED_VALUE"""),"DeepCage")</f>
        <v>DeepCage</v>
      </c>
      <c r="M64" s="6" t="str">
        <f ca="1">IFERROR(__xludf.DUMMYFUNCTION("""COMPUTED_VALUE"""),"Yes")</f>
        <v>Yes</v>
      </c>
      <c r="N64" s="6" t="str">
        <f ca="1">IFERROR(__xludf.DUMMYFUNCTION("""COMPUTED_VALUE"""),"Parked")</f>
        <v>Parked</v>
      </c>
      <c r="O64" s="6" t="str">
        <f ca="1">IFERROR(__xludf.DUMMYFUNCTION("""COMPUTED_VALUE"""),"Yes")</f>
        <v>Yes</v>
      </c>
      <c r="P64" s="6" t="str">
        <f ca="1">IFERROR(__xludf.DUMMYFUNCTION("""COMPUTED_VALUE"""),"None")</f>
        <v>None</v>
      </c>
      <c r="Q64" s="6" t="str">
        <f ca="1">IFERROR(__xludf.DUMMYFUNCTION("""COMPUTED_VALUE"""),"Yes")</f>
        <v>Yes</v>
      </c>
      <c r="R64" s="6" t="str">
        <f ca="1">IFERROR(__xludf.DUMMYFUNCTION("""COMPUTED_VALUE"""),"ShallowCage")</f>
        <v>ShallowCage</v>
      </c>
      <c r="S64" s="6" t="str">
        <f ca="1">IFERROR(__xludf.DUMMYFUNCTION("""COMPUTED_VALUE"""),"Yes")</f>
        <v>Yes</v>
      </c>
      <c r="T64" s="6" t="str">
        <f ca="1">IFERROR(__xludf.DUMMYFUNCTION("""COMPUTED_VALUE"""),"Parked")</f>
        <v>Parked</v>
      </c>
    </row>
    <row r="65" spans="1:20">
      <c r="A65" s="6" t="str">
        <v>Qualification</v>
      </c>
      <c r="B65" s="6">
        <v>64</v>
      </c>
      <c r="C65" s="6" t="e">
        <f ca="1"/>
        <v>#NAME?</v>
      </c>
      <c r="D65" s="6" t="e">
        <f ca="1"/>
        <v>#NAME?</v>
      </c>
      <c r="E65" s="6" t="e">
        <f ca="1"/>
        <v>#NAME?</v>
      </c>
      <c r="F65" s="6" t="e">
        <f ca="1"/>
        <v>#NAME?</v>
      </c>
      <c r="G65" s="6" t="e">
        <f ca="1"/>
        <v>#NAME?</v>
      </c>
      <c r="H65" s="6" t="e">
        <f ca="1"/>
        <v>#NAME?</v>
      </c>
      <c r="I65" s="6" t="str">
        <f ca="1">IFERROR(__xludf.DUMMYFUNCTION("""COMPUTED_VALUE"""),"No")</f>
        <v>No</v>
      </c>
      <c r="J65" s="6" t="str">
        <f ca="1">IFERROR(__xludf.DUMMYFUNCTION("""COMPUTED_VALUE"""),"Parked")</f>
        <v>Parked</v>
      </c>
      <c r="K65" s="6" t="str">
        <f ca="1">IFERROR(__xludf.DUMMYFUNCTION("""COMPUTED_VALUE"""),"Yes")</f>
        <v>Yes</v>
      </c>
      <c r="L65" s="6" t="str">
        <f ca="1">IFERROR(__xludf.DUMMYFUNCTION("""COMPUTED_VALUE"""),"None")</f>
        <v>None</v>
      </c>
      <c r="M65" s="6" t="str">
        <f ca="1">IFERROR(__xludf.DUMMYFUNCTION("""COMPUTED_VALUE"""),"Yes")</f>
        <v>Yes</v>
      </c>
      <c r="N65" s="6" t="str">
        <f ca="1">IFERROR(__xludf.DUMMYFUNCTION("""COMPUTED_VALUE"""),"Parked")</f>
        <v>Parked</v>
      </c>
      <c r="O65" s="6" t="str">
        <f ca="1">IFERROR(__xludf.DUMMYFUNCTION("""COMPUTED_VALUE"""),"No")</f>
        <v>No</v>
      </c>
      <c r="P65" s="6" t="str">
        <f ca="1">IFERROR(__xludf.DUMMYFUNCTION("""COMPUTED_VALUE"""),"Parked")</f>
        <v>Parked</v>
      </c>
      <c r="Q65" s="6" t="str">
        <f ca="1">IFERROR(__xludf.DUMMYFUNCTION("""COMPUTED_VALUE"""),"Yes")</f>
        <v>Yes</v>
      </c>
      <c r="R65" s="6" t="str">
        <f ca="1">IFERROR(__xludf.DUMMYFUNCTION("""COMPUTED_VALUE"""),"None")</f>
        <v>None</v>
      </c>
      <c r="S65" s="6" t="str">
        <f ca="1">IFERROR(__xludf.DUMMYFUNCTION("""COMPUTED_VALUE"""),"Yes")</f>
        <v>Yes</v>
      </c>
      <c r="T65" s="6" t="str">
        <f ca="1">IFERROR(__xludf.DUMMYFUNCTION("""COMPUTED_VALUE"""),"DeepCage")</f>
        <v>DeepCage</v>
      </c>
    </row>
    <row r="66" spans="1:20">
      <c r="A66" s="6" t="str">
        <v>Qualification</v>
      </c>
      <c r="B66" s="6">
        <v>65</v>
      </c>
      <c r="C66" s="6" t="e">
        <f ca="1"/>
        <v>#NAME?</v>
      </c>
      <c r="D66" s="6" t="e">
        <f ca="1"/>
        <v>#NAME?</v>
      </c>
      <c r="E66" s="6" t="e">
        <f ca="1"/>
        <v>#NAME?</v>
      </c>
      <c r="F66" s="6" t="e">
        <f ca="1"/>
        <v>#NAME?</v>
      </c>
      <c r="G66" s="6" t="e">
        <f ca="1"/>
        <v>#NAME?</v>
      </c>
      <c r="H66" s="6" t="e">
        <f ca="1"/>
        <v>#NAME?</v>
      </c>
      <c r="I66" s="6" t="str">
        <f ca="1">IFERROR(__xludf.DUMMYFUNCTION("""COMPUTED_VALUE"""),"Yes")</f>
        <v>Yes</v>
      </c>
      <c r="J66" s="6" t="str">
        <f ca="1">IFERROR(__xludf.DUMMYFUNCTION("""COMPUTED_VALUE"""),"Parked")</f>
        <v>Parked</v>
      </c>
      <c r="K66" s="6" t="str">
        <f ca="1">IFERROR(__xludf.DUMMYFUNCTION("""COMPUTED_VALUE"""),"Yes")</f>
        <v>Yes</v>
      </c>
      <c r="L66" s="6" t="str">
        <f ca="1">IFERROR(__xludf.DUMMYFUNCTION("""COMPUTED_VALUE"""),"None")</f>
        <v>None</v>
      </c>
      <c r="M66" s="6" t="str">
        <f ca="1">IFERROR(__xludf.DUMMYFUNCTION("""COMPUTED_VALUE"""),"Yes")</f>
        <v>Yes</v>
      </c>
      <c r="N66" s="6" t="str">
        <f ca="1">IFERROR(__xludf.DUMMYFUNCTION("""COMPUTED_VALUE"""),"None")</f>
        <v>None</v>
      </c>
      <c r="O66" s="6" t="str">
        <f ca="1">IFERROR(__xludf.DUMMYFUNCTION("""COMPUTED_VALUE"""),"Yes")</f>
        <v>Yes</v>
      </c>
      <c r="P66" s="6" t="str">
        <f ca="1">IFERROR(__xludf.DUMMYFUNCTION("""COMPUTED_VALUE"""),"Parked")</f>
        <v>Parked</v>
      </c>
      <c r="Q66" s="6" t="str">
        <f ca="1">IFERROR(__xludf.DUMMYFUNCTION("""COMPUTED_VALUE"""),"Yes")</f>
        <v>Yes</v>
      </c>
      <c r="R66" s="6" t="str">
        <f ca="1">IFERROR(__xludf.DUMMYFUNCTION("""COMPUTED_VALUE"""),"DeepCage")</f>
        <v>DeepCage</v>
      </c>
      <c r="S66" s="6" t="str">
        <f ca="1">IFERROR(__xludf.DUMMYFUNCTION("""COMPUTED_VALUE"""),"Yes")</f>
        <v>Yes</v>
      </c>
      <c r="T66" s="6" t="str">
        <f ca="1">IFERROR(__xludf.DUMMYFUNCTION("""COMPUTED_VALUE"""),"Parked")</f>
        <v>Parked</v>
      </c>
    </row>
    <row r="67" spans="1:20">
      <c r="A67" s="6" t="str">
        <v>Qualification</v>
      </c>
      <c r="B67" s="6">
        <v>66</v>
      </c>
      <c r="C67" s="6" t="e">
        <f ca="1"/>
        <v>#NAME?</v>
      </c>
      <c r="D67" s="6" t="e">
        <f ca="1"/>
        <v>#NAME?</v>
      </c>
      <c r="E67" s="6" t="e">
        <f ca="1"/>
        <v>#NAME?</v>
      </c>
      <c r="F67" s="6" t="e">
        <f ca="1"/>
        <v>#NAME?</v>
      </c>
      <c r="G67" s="6" t="e">
        <f ca="1"/>
        <v>#NAME?</v>
      </c>
      <c r="H67" s="6" t="e">
        <f ca="1"/>
        <v>#NAME?</v>
      </c>
      <c r="I67" s="6" t="str">
        <f ca="1">IFERROR(__xludf.DUMMYFUNCTION("""COMPUTED_VALUE"""),"No")</f>
        <v>No</v>
      </c>
      <c r="J67" s="6" t="str">
        <f ca="1">IFERROR(__xludf.DUMMYFUNCTION("""COMPUTED_VALUE"""),"Parked")</f>
        <v>Parked</v>
      </c>
      <c r="K67" s="6" t="str">
        <f ca="1">IFERROR(__xludf.DUMMYFUNCTION("""COMPUTED_VALUE"""),"Yes")</f>
        <v>Yes</v>
      </c>
      <c r="L67" s="6" t="str">
        <f ca="1">IFERROR(__xludf.DUMMYFUNCTION("""COMPUTED_VALUE"""),"None")</f>
        <v>None</v>
      </c>
      <c r="M67" s="6" t="str">
        <f ca="1">IFERROR(__xludf.DUMMYFUNCTION("""COMPUTED_VALUE"""),"Yes")</f>
        <v>Yes</v>
      </c>
      <c r="N67" s="6" t="str">
        <f ca="1">IFERROR(__xludf.DUMMYFUNCTION("""COMPUTED_VALUE"""),"None")</f>
        <v>None</v>
      </c>
      <c r="O67" s="6" t="str">
        <f ca="1">IFERROR(__xludf.DUMMYFUNCTION("""COMPUTED_VALUE"""),"Yes")</f>
        <v>Yes</v>
      </c>
      <c r="P67" s="6" t="str">
        <f ca="1">IFERROR(__xludf.DUMMYFUNCTION("""COMPUTED_VALUE"""),"Parked")</f>
        <v>Parked</v>
      </c>
      <c r="Q67" s="6" t="str">
        <f ca="1">IFERROR(__xludf.DUMMYFUNCTION("""COMPUTED_VALUE"""),"Yes")</f>
        <v>Yes</v>
      </c>
      <c r="R67" s="6" t="str">
        <f ca="1">IFERROR(__xludf.DUMMYFUNCTION("""COMPUTED_VALUE"""),"Parked")</f>
        <v>Parked</v>
      </c>
      <c r="S67" s="6" t="str">
        <f ca="1">IFERROR(__xludf.DUMMYFUNCTION("""COMPUTED_VALUE"""),"Yes")</f>
        <v>Yes</v>
      </c>
      <c r="T67" s="6" t="str">
        <f ca="1">IFERROR(__xludf.DUMMYFUNCTION("""COMPUTED_VALUE"""),"None")</f>
        <v>None</v>
      </c>
    </row>
    <row r="68" spans="1:20">
      <c r="A68" s="6" t="str">
        <v>Qualification</v>
      </c>
      <c r="B68" s="6">
        <v>67</v>
      </c>
      <c r="C68" s="6" t="e">
        <f ca="1"/>
        <v>#NAME?</v>
      </c>
      <c r="D68" s="6" t="e">
        <f ca="1"/>
        <v>#NAME?</v>
      </c>
      <c r="E68" s="6" t="e">
        <f ca="1"/>
        <v>#NAME?</v>
      </c>
      <c r="F68" s="6" t="e">
        <f ca="1"/>
        <v>#NAME?</v>
      </c>
      <c r="G68" s="6" t="e">
        <f ca="1"/>
        <v>#NAME?</v>
      </c>
      <c r="H68" s="6" t="e">
        <f ca="1"/>
        <v>#NAME?</v>
      </c>
      <c r="I68" s="6" t="str">
        <f ca="1">IFERROR(__xludf.DUMMYFUNCTION("""COMPUTED_VALUE"""),"Yes")</f>
        <v>Yes</v>
      </c>
      <c r="J68" s="6" t="str">
        <f ca="1">IFERROR(__xludf.DUMMYFUNCTION("""COMPUTED_VALUE"""),"Parked")</f>
        <v>Parked</v>
      </c>
      <c r="K68" s="6" t="str">
        <f ca="1">IFERROR(__xludf.DUMMYFUNCTION("""COMPUTED_VALUE"""),"Yes")</f>
        <v>Yes</v>
      </c>
      <c r="L68" s="6" t="str">
        <f ca="1">IFERROR(__xludf.DUMMYFUNCTION("""COMPUTED_VALUE"""),"DeepCage")</f>
        <v>DeepCage</v>
      </c>
      <c r="M68" s="6" t="str">
        <f ca="1">IFERROR(__xludf.DUMMYFUNCTION("""COMPUTED_VALUE"""),"Yes")</f>
        <v>Yes</v>
      </c>
      <c r="N68" s="6" t="str">
        <f ca="1">IFERROR(__xludf.DUMMYFUNCTION("""COMPUTED_VALUE"""),"DeepCage")</f>
        <v>DeepCage</v>
      </c>
      <c r="O68" s="6" t="str">
        <f ca="1">IFERROR(__xludf.DUMMYFUNCTION("""COMPUTED_VALUE"""),"Yes")</f>
        <v>Yes</v>
      </c>
      <c r="P68" s="6" t="str">
        <f ca="1">IFERROR(__xludf.DUMMYFUNCTION("""COMPUTED_VALUE"""),"Parked")</f>
        <v>Parked</v>
      </c>
      <c r="Q68" s="6" t="str">
        <f ca="1">IFERROR(__xludf.DUMMYFUNCTION("""COMPUTED_VALUE"""),"Yes")</f>
        <v>Yes</v>
      </c>
      <c r="R68" s="6" t="str">
        <f ca="1">IFERROR(__xludf.DUMMYFUNCTION("""COMPUTED_VALUE"""),"Parked")</f>
        <v>Parked</v>
      </c>
      <c r="S68" s="6" t="str">
        <f ca="1">IFERROR(__xludf.DUMMYFUNCTION("""COMPUTED_VALUE"""),"Yes")</f>
        <v>Yes</v>
      </c>
      <c r="T68" s="6" t="str">
        <f ca="1">IFERROR(__xludf.DUMMYFUNCTION("""COMPUTED_VALUE"""),"Parked")</f>
        <v>Parked</v>
      </c>
    </row>
    <row r="69" spans="1:20">
      <c r="A69" s="6" t="str">
        <v>Qualification</v>
      </c>
      <c r="B69" s="6">
        <v>68</v>
      </c>
      <c r="C69" s="6" t="e">
        <f ca="1"/>
        <v>#NAME?</v>
      </c>
      <c r="D69" s="6" t="e">
        <f ca="1"/>
        <v>#NAME?</v>
      </c>
      <c r="E69" s="6" t="e">
        <f ca="1"/>
        <v>#NAME?</v>
      </c>
      <c r="F69" s="6" t="e">
        <f ca="1"/>
        <v>#NAME?</v>
      </c>
      <c r="G69" s="6" t="e">
        <f ca="1"/>
        <v>#NAME?</v>
      </c>
      <c r="H69" s="6" t="e">
        <f ca="1"/>
        <v>#NAME?</v>
      </c>
      <c r="I69" s="6" t="str">
        <f ca="1">IFERROR(__xludf.DUMMYFUNCTION("""COMPUTED_VALUE"""),"Yes")</f>
        <v>Yes</v>
      </c>
      <c r="J69" s="6" t="str">
        <f ca="1">IFERROR(__xludf.DUMMYFUNCTION("""COMPUTED_VALUE"""),"Parked")</f>
        <v>Parked</v>
      </c>
      <c r="K69" s="6" t="str">
        <f ca="1">IFERROR(__xludf.DUMMYFUNCTION("""COMPUTED_VALUE"""),"Yes")</f>
        <v>Yes</v>
      </c>
      <c r="L69" s="6" t="str">
        <f ca="1">IFERROR(__xludf.DUMMYFUNCTION("""COMPUTED_VALUE"""),"None")</f>
        <v>None</v>
      </c>
      <c r="M69" s="6" t="str">
        <f ca="1">IFERROR(__xludf.DUMMYFUNCTION("""COMPUTED_VALUE"""),"Yes")</f>
        <v>Yes</v>
      </c>
      <c r="N69" s="6" t="str">
        <f ca="1">IFERROR(__xludf.DUMMYFUNCTION("""COMPUTED_VALUE"""),"Parked")</f>
        <v>Parked</v>
      </c>
      <c r="O69" s="6" t="str">
        <f ca="1">IFERROR(__xludf.DUMMYFUNCTION("""COMPUTED_VALUE"""),"No")</f>
        <v>No</v>
      </c>
      <c r="P69" s="6" t="str">
        <f ca="1">IFERROR(__xludf.DUMMYFUNCTION("""COMPUTED_VALUE"""),"Parked")</f>
        <v>Parked</v>
      </c>
      <c r="Q69" s="6" t="str">
        <f ca="1">IFERROR(__xludf.DUMMYFUNCTION("""COMPUTED_VALUE"""),"Yes")</f>
        <v>Yes</v>
      </c>
      <c r="R69" s="6" t="str">
        <f ca="1">IFERROR(__xludf.DUMMYFUNCTION("""COMPUTED_VALUE"""),"None")</f>
        <v>None</v>
      </c>
      <c r="S69" s="6" t="str">
        <f ca="1">IFERROR(__xludf.DUMMYFUNCTION("""COMPUTED_VALUE"""),"Yes")</f>
        <v>Yes</v>
      </c>
      <c r="T69" s="6" t="str">
        <f ca="1">IFERROR(__xludf.DUMMYFUNCTION("""COMPUTED_VALUE"""),"Parked")</f>
        <v>Parked</v>
      </c>
    </row>
    <row r="70" spans="1:20">
      <c r="A70" s="6" t="str">
        <v>Qualification</v>
      </c>
      <c r="B70" s="6">
        <v>69</v>
      </c>
      <c r="C70" s="6" t="e">
        <f ca="1"/>
        <v>#NAME?</v>
      </c>
      <c r="D70" s="6" t="e">
        <f ca="1"/>
        <v>#NAME?</v>
      </c>
      <c r="E70" s="6" t="e">
        <f ca="1"/>
        <v>#NAME?</v>
      </c>
      <c r="F70" s="6" t="e">
        <f ca="1"/>
        <v>#NAME?</v>
      </c>
      <c r="G70" s="6" t="e">
        <f ca="1"/>
        <v>#NAME?</v>
      </c>
      <c r="H70" s="6" t="e">
        <f ca="1"/>
        <v>#NAME?</v>
      </c>
      <c r="I70" s="6" t="str">
        <f ca="1">IFERROR(__xludf.DUMMYFUNCTION("""COMPUTED_VALUE"""),"Yes")</f>
        <v>Yes</v>
      </c>
      <c r="J70" s="6" t="str">
        <f ca="1">IFERROR(__xludf.DUMMYFUNCTION("""COMPUTED_VALUE"""),"None")</f>
        <v>None</v>
      </c>
      <c r="K70" s="6" t="str">
        <f ca="1">IFERROR(__xludf.DUMMYFUNCTION("""COMPUTED_VALUE"""),"Yes")</f>
        <v>Yes</v>
      </c>
      <c r="L70" s="6" t="str">
        <f ca="1">IFERROR(__xludf.DUMMYFUNCTION("""COMPUTED_VALUE"""),"None")</f>
        <v>None</v>
      </c>
      <c r="M70" s="6" t="str">
        <f ca="1">IFERROR(__xludf.DUMMYFUNCTION("""COMPUTED_VALUE"""),"Yes")</f>
        <v>Yes</v>
      </c>
      <c r="N70" s="6" t="str">
        <f ca="1">IFERROR(__xludf.DUMMYFUNCTION("""COMPUTED_VALUE"""),"None")</f>
        <v>None</v>
      </c>
      <c r="O70" s="6" t="str">
        <f ca="1">IFERROR(__xludf.DUMMYFUNCTION("""COMPUTED_VALUE"""),"Yes")</f>
        <v>Yes</v>
      </c>
      <c r="P70" s="6" t="str">
        <f ca="1">IFERROR(__xludf.DUMMYFUNCTION("""COMPUTED_VALUE"""),"DeepCage")</f>
        <v>DeepCage</v>
      </c>
      <c r="Q70" s="6" t="str">
        <f ca="1">IFERROR(__xludf.DUMMYFUNCTION("""COMPUTED_VALUE"""),"Yes")</f>
        <v>Yes</v>
      </c>
      <c r="R70" s="6" t="str">
        <f ca="1">IFERROR(__xludf.DUMMYFUNCTION("""COMPUTED_VALUE"""),"DeepCage")</f>
        <v>DeepCage</v>
      </c>
      <c r="S70" s="6" t="str">
        <f ca="1">IFERROR(__xludf.DUMMYFUNCTION("""COMPUTED_VALUE"""),"Yes")</f>
        <v>Yes</v>
      </c>
      <c r="T70" s="6" t="str">
        <f ca="1">IFERROR(__xludf.DUMMYFUNCTION("""COMPUTED_VALUE"""),"Parked")</f>
        <v>Parked</v>
      </c>
    </row>
    <row r="71" spans="1:20">
      <c r="A71" s="6" t="str">
        <v>Qualification</v>
      </c>
      <c r="B71" s="6">
        <v>70</v>
      </c>
      <c r="C71" s="6" t="e">
        <f ca="1"/>
        <v>#NAME?</v>
      </c>
      <c r="D71" s="6" t="e">
        <f ca="1"/>
        <v>#NAME?</v>
      </c>
      <c r="E71" s="6" t="e">
        <f ca="1"/>
        <v>#NAME?</v>
      </c>
      <c r="F71" s="6" t="e">
        <f ca="1"/>
        <v>#NAME?</v>
      </c>
      <c r="G71" s="6" t="e">
        <f ca="1"/>
        <v>#NAME?</v>
      </c>
      <c r="H71" s="6" t="e">
        <f ca="1"/>
        <v>#NAME?</v>
      </c>
      <c r="I71" s="6" t="str">
        <f ca="1">IFERROR(__xludf.DUMMYFUNCTION("""COMPUTED_VALUE"""),"Yes")</f>
        <v>Yes</v>
      </c>
      <c r="J71" s="6" t="str">
        <f ca="1">IFERROR(__xludf.DUMMYFUNCTION("""COMPUTED_VALUE"""),"Parked")</f>
        <v>Parked</v>
      </c>
      <c r="K71" s="6" t="str">
        <f ca="1">IFERROR(__xludf.DUMMYFUNCTION("""COMPUTED_VALUE"""),"Yes")</f>
        <v>Yes</v>
      </c>
      <c r="L71" s="6" t="str">
        <f ca="1">IFERROR(__xludf.DUMMYFUNCTION("""COMPUTED_VALUE"""),"DeepCage")</f>
        <v>DeepCage</v>
      </c>
      <c r="M71" s="6" t="str">
        <f ca="1">IFERROR(__xludf.DUMMYFUNCTION("""COMPUTED_VALUE"""),"Yes")</f>
        <v>Yes</v>
      </c>
      <c r="N71" s="6" t="str">
        <f ca="1">IFERROR(__xludf.DUMMYFUNCTION("""COMPUTED_VALUE"""),"None")</f>
        <v>None</v>
      </c>
      <c r="O71" s="6" t="str">
        <f ca="1">IFERROR(__xludf.DUMMYFUNCTION("""COMPUTED_VALUE"""),"Yes")</f>
        <v>Yes</v>
      </c>
      <c r="P71" s="6" t="str">
        <f ca="1">IFERROR(__xludf.DUMMYFUNCTION("""COMPUTED_VALUE"""),"None")</f>
        <v>None</v>
      </c>
      <c r="Q71" s="6" t="str">
        <f ca="1">IFERROR(__xludf.DUMMYFUNCTION("""COMPUTED_VALUE"""),"Yes")</f>
        <v>Yes</v>
      </c>
      <c r="R71" s="6" t="str">
        <f ca="1">IFERROR(__xludf.DUMMYFUNCTION("""COMPUTED_VALUE"""),"Parked")</f>
        <v>Parked</v>
      </c>
      <c r="S71" s="6" t="str">
        <f ca="1">IFERROR(__xludf.DUMMYFUNCTION("""COMPUTED_VALUE"""),"Yes")</f>
        <v>Yes</v>
      </c>
      <c r="T71" s="6" t="str">
        <f ca="1">IFERROR(__xludf.DUMMYFUNCTION("""COMPUTED_VALUE"""),"Parked")</f>
        <v>Parked</v>
      </c>
    </row>
    <row r="72" spans="1:20">
      <c r="A72" s="6" t="str">
        <v>Qualification</v>
      </c>
      <c r="B72" s="6">
        <v>71</v>
      </c>
      <c r="C72" s="6" t="e">
        <f ca="1"/>
        <v>#NAME?</v>
      </c>
      <c r="D72" s="6" t="e">
        <f ca="1"/>
        <v>#NAME?</v>
      </c>
      <c r="E72" s="6" t="e">
        <f ca="1"/>
        <v>#NAME?</v>
      </c>
      <c r="F72" s="6" t="e">
        <f ca="1"/>
        <v>#NAME?</v>
      </c>
      <c r="G72" s="6" t="e">
        <f ca="1"/>
        <v>#NAME?</v>
      </c>
      <c r="H72" s="6" t="e">
        <f ca="1"/>
        <v>#NAME?</v>
      </c>
      <c r="I72" s="6" t="str">
        <f ca="1">IFERROR(__xludf.DUMMYFUNCTION("""COMPUTED_VALUE"""),"Yes")</f>
        <v>Yes</v>
      </c>
      <c r="J72" s="6" t="str">
        <f ca="1">IFERROR(__xludf.DUMMYFUNCTION("""COMPUTED_VALUE"""),"Parked")</f>
        <v>Parked</v>
      </c>
      <c r="K72" s="6" t="str">
        <f ca="1">IFERROR(__xludf.DUMMYFUNCTION("""COMPUTED_VALUE"""),"No")</f>
        <v>No</v>
      </c>
      <c r="L72" s="6" t="str">
        <f ca="1">IFERROR(__xludf.DUMMYFUNCTION("""COMPUTED_VALUE"""),"Parked")</f>
        <v>Parked</v>
      </c>
      <c r="M72" s="6" t="str">
        <f ca="1">IFERROR(__xludf.DUMMYFUNCTION("""COMPUTED_VALUE"""),"Yes")</f>
        <v>Yes</v>
      </c>
      <c r="N72" s="6" t="str">
        <f ca="1">IFERROR(__xludf.DUMMYFUNCTION("""COMPUTED_VALUE"""),"None")</f>
        <v>None</v>
      </c>
      <c r="O72" s="6" t="str">
        <f ca="1">IFERROR(__xludf.DUMMYFUNCTION("""COMPUTED_VALUE"""),"Yes")</f>
        <v>Yes</v>
      </c>
      <c r="P72" s="6" t="str">
        <f ca="1">IFERROR(__xludf.DUMMYFUNCTION("""COMPUTED_VALUE"""),"DeepCage")</f>
        <v>DeepCage</v>
      </c>
      <c r="Q72" s="6" t="str">
        <f ca="1">IFERROR(__xludf.DUMMYFUNCTION("""COMPUTED_VALUE"""),"Yes")</f>
        <v>Yes</v>
      </c>
      <c r="R72" s="6" t="str">
        <f ca="1">IFERROR(__xludf.DUMMYFUNCTION("""COMPUTED_VALUE"""),"ShallowCage")</f>
        <v>ShallowCage</v>
      </c>
      <c r="S72" s="6" t="str">
        <f ca="1">IFERROR(__xludf.DUMMYFUNCTION("""COMPUTED_VALUE"""),"Yes")</f>
        <v>Yes</v>
      </c>
      <c r="T72" s="6" t="str">
        <f ca="1">IFERROR(__xludf.DUMMYFUNCTION("""COMPUTED_VALUE"""),"Parked")</f>
        <v>Parked</v>
      </c>
    </row>
    <row r="73" spans="1:20">
      <c r="A73" s="6" t="str">
        <v>Qualification</v>
      </c>
      <c r="B73" s="6">
        <v>72</v>
      </c>
      <c r="C73" s="6" t="e">
        <f ca="1"/>
        <v>#NAME?</v>
      </c>
      <c r="D73" s="6" t="e">
        <f ca="1"/>
        <v>#NAME?</v>
      </c>
      <c r="E73" s="6" t="e">
        <f ca="1"/>
        <v>#NAME?</v>
      </c>
      <c r="F73" s="6" t="e">
        <f ca="1"/>
        <v>#NAME?</v>
      </c>
      <c r="G73" s="6" t="e">
        <f ca="1"/>
        <v>#NAME?</v>
      </c>
      <c r="H73" s="6" t="e">
        <f ca="1"/>
        <v>#NAME?</v>
      </c>
      <c r="I73" s="6" t="str">
        <f ca="1">IFERROR(__xludf.DUMMYFUNCTION("""COMPUTED_VALUE"""),"No")</f>
        <v>No</v>
      </c>
      <c r="J73" s="6" t="str">
        <f ca="1">IFERROR(__xludf.DUMMYFUNCTION("""COMPUTED_VALUE"""),"Parked")</f>
        <v>Parked</v>
      </c>
      <c r="K73" s="6" t="str">
        <f ca="1">IFERROR(__xludf.DUMMYFUNCTION("""COMPUTED_VALUE"""),"Yes")</f>
        <v>Yes</v>
      </c>
      <c r="L73" s="6" t="str">
        <f ca="1">IFERROR(__xludf.DUMMYFUNCTION("""COMPUTED_VALUE"""),"Parked")</f>
        <v>Parked</v>
      </c>
      <c r="M73" s="6" t="str">
        <f ca="1">IFERROR(__xludf.DUMMYFUNCTION("""COMPUTED_VALUE"""),"Yes")</f>
        <v>Yes</v>
      </c>
      <c r="N73" s="6" t="str">
        <f ca="1">IFERROR(__xludf.DUMMYFUNCTION("""COMPUTED_VALUE"""),"Parked")</f>
        <v>Parked</v>
      </c>
      <c r="O73" s="6" t="str">
        <f ca="1">IFERROR(__xludf.DUMMYFUNCTION("""COMPUTED_VALUE"""),"Yes")</f>
        <v>Yes</v>
      </c>
      <c r="P73" s="6" t="str">
        <f ca="1">IFERROR(__xludf.DUMMYFUNCTION("""COMPUTED_VALUE"""),"Parked")</f>
        <v>Parked</v>
      </c>
      <c r="Q73" s="6" t="str">
        <f ca="1">IFERROR(__xludf.DUMMYFUNCTION("""COMPUTED_VALUE"""),"Yes")</f>
        <v>Yes</v>
      </c>
      <c r="R73" s="6" t="str">
        <f ca="1">IFERROR(__xludf.DUMMYFUNCTION("""COMPUTED_VALUE"""),"Parked")</f>
        <v>Parked</v>
      </c>
      <c r="S73" s="6" t="str">
        <f ca="1">IFERROR(__xludf.DUMMYFUNCTION("""COMPUTED_VALUE"""),"Yes")</f>
        <v>Yes</v>
      </c>
      <c r="T73" s="6" t="str">
        <f ca="1">IFERROR(__xludf.DUMMYFUNCTION("""COMPUTED_VALUE"""),"None")</f>
        <v>None</v>
      </c>
    </row>
    <row r="74" spans="1:20">
      <c r="A74" s="6" t="str">
        <v>Qualification</v>
      </c>
      <c r="B74" s="6">
        <v>73</v>
      </c>
      <c r="C74" s="6" t="e">
        <f ca="1"/>
        <v>#NAME?</v>
      </c>
      <c r="D74" s="6" t="e">
        <f ca="1"/>
        <v>#NAME?</v>
      </c>
      <c r="E74" s="6" t="e">
        <f ca="1"/>
        <v>#NAME?</v>
      </c>
      <c r="F74" s="6" t="e">
        <f ca="1"/>
        <v>#NAME?</v>
      </c>
      <c r="G74" s="6" t="e">
        <f ca="1"/>
        <v>#NAME?</v>
      </c>
      <c r="H74" s="6" t="e">
        <f ca="1"/>
        <v>#NAME?</v>
      </c>
      <c r="I74" s="6" t="str">
        <f ca="1">IFERROR(__xludf.DUMMYFUNCTION("""COMPUTED_VALUE"""),"Yes")</f>
        <v>Yes</v>
      </c>
      <c r="J74" s="6" t="str">
        <f ca="1">IFERROR(__xludf.DUMMYFUNCTION("""COMPUTED_VALUE"""),"Parked")</f>
        <v>Parked</v>
      </c>
      <c r="K74" s="6" t="str">
        <f ca="1">IFERROR(__xludf.DUMMYFUNCTION("""COMPUTED_VALUE"""),"Yes")</f>
        <v>Yes</v>
      </c>
      <c r="L74" s="6" t="str">
        <f ca="1">IFERROR(__xludf.DUMMYFUNCTION("""COMPUTED_VALUE"""),"Parked")</f>
        <v>Parked</v>
      </c>
      <c r="M74" s="6" t="str">
        <f ca="1">IFERROR(__xludf.DUMMYFUNCTION("""COMPUTED_VALUE"""),"Yes")</f>
        <v>Yes</v>
      </c>
      <c r="N74" s="6" t="str">
        <f ca="1">IFERROR(__xludf.DUMMYFUNCTION("""COMPUTED_VALUE"""),"Parked")</f>
        <v>Parked</v>
      </c>
      <c r="O74" s="6" t="str">
        <f ca="1">IFERROR(__xludf.DUMMYFUNCTION("""COMPUTED_VALUE"""),"Yes")</f>
        <v>Yes</v>
      </c>
      <c r="P74" s="6" t="str">
        <f ca="1">IFERROR(__xludf.DUMMYFUNCTION("""COMPUTED_VALUE"""),"Parked")</f>
        <v>Parked</v>
      </c>
      <c r="Q74" s="6" t="str">
        <f ca="1">IFERROR(__xludf.DUMMYFUNCTION("""COMPUTED_VALUE"""),"Yes")</f>
        <v>Yes</v>
      </c>
      <c r="R74" s="6" t="str">
        <f ca="1">IFERROR(__xludf.DUMMYFUNCTION("""COMPUTED_VALUE"""),"None")</f>
        <v>None</v>
      </c>
      <c r="S74" s="6" t="str">
        <f ca="1">IFERROR(__xludf.DUMMYFUNCTION("""COMPUTED_VALUE"""),"Yes")</f>
        <v>Yes</v>
      </c>
      <c r="T74" s="6" t="str">
        <f ca="1">IFERROR(__xludf.DUMMYFUNCTION("""COMPUTED_VALUE"""),"DeepCage")</f>
        <v>DeepCage</v>
      </c>
    </row>
    <row r="75" spans="1:20">
      <c r="A75" s="6" t="str">
        <v>Qualification</v>
      </c>
      <c r="B75" s="6">
        <v>74</v>
      </c>
      <c r="C75" s="6" t="e">
        <f ca="1"/>
        <v>#NAME?</v>
      </c>
      <c r="D75" s="6" t="e">
        <f ca="1"/>
        <v>#NAME?</v>
      </c>
      <c r="E75" s="6" t="e">
        <f ca="1"/>
        <v>#NAME?</v>
      </c>
      <c r="F75" s="6" t="e">
        <f ca="1"/>
        <v>#NAME?</v>
      </c>
      <c r="G75" s="6" t="e">
        <f ca="1"/>
        <v>#NAME?</v>
      </c>
      <c r="H75" s="6" t="e">
        <f ca="1"/>
        <v>#NAME?</v>
      </c>
      <c r="I75" s="6" t="str">
        <f ca="1">IFERROR(__xludf.DUMMYFUNCTION("""COMPUTED_VALUE"""),"Yes")</f>
        <v>Yes</v>
      </c>
      <c r="J75" s="6" t="str">
        <f ca="1">IFERROR(__xludf.DUMMYFUNCTION("""COMPUTED_VALUE"""),"Parked")</f>
        <v>Parked</v>
      </c>
      <c r="K75" s="6" t="str">
        <f ca="1">IFERROR(__xludf.DUMMYFUNCTION("""COMPUTED_VALUE"""),"No")</f>
        <v>No</v>
      </c>
      <c r="L75" s="6" t="str">
        <f ca="1">IFERROR(__xludf.DUMMYFUNCTION("""COMPUTED_VALUE"""),"Parked")</f>
        <v>Parked</v>
      </c>
      <c r="M75" s="6" t="str">
        <f ca="1">IFERROR(__xludf.DUMMYFUNCTION("""COMPUTED_VALUE"""),"Yes")</f>
        <v>Yes</v>
      </c>
      <c r="N75" s="6" t="str">
        <f ca="1">IFERROR(__xludf.DUMMYFUNCTION("""COMPUTED_VALUE"""),"Parked")</f>
        <v>Parked</v>
      </c>
      <c r="O75" s="6" t="str">
        <f ca="1">IFERROR(__xludf.DUMMYFUNCTION("""COMPUTED_VALUE"""),"Yes")</f>
        <v>Yes</v>
      </c>
      <c r="P75" s="6" t="str">
        <f ca="1">IFERROR(__xludf.DUMMYFUNCTION("""COMPUTED_VALUE"""),"None")</f>
        <v>None</v>
      </c>
      <c r="Q75" s="6" t="str">
        <f ca="1">IFERROR(__xludf.DUMMYFUNCTION("""COMPUTED_VALUE"""),"Yes")</f>
        <v>Yes</v>
      </c>
      <c r="R75" s="6" t="str">
        <f ca="1">IFERROR(__xludf.DUMMYFUNCTION("""COMPUTED_VALUE"""),"Parked")</f>
        <v>Parked</v>
      </c>
      <c r="S75" s="6" t="str">
        <f ca="1">IFERROR(__xludf.DUMMYFUNCTION("""COMPUTED_VALUE"""),"Yes")</f>
        <v>Yes</v>
      </c>
      <c r="T75" s="6" t="str">
        <f ca="1">IFERROR(__xludf.DUMMYFUNCTION("""COMPUTED_VALUE"""),"None")</f>
        <v>None</v>
      </c>
    </row>
    <row r="76" spans="1:20">
      <c r="A76" s="6" t="str">
        <v>Qualification</v>
      </c>
      <c r="B76" s="6">
        <v>75</v>
      </c>
      <c r="C76" s="6" t="e">
        <f ca="1"/>
        <v>#NAME?</v>
      </c>
      <c r="D76" s="6" t="e">
        <f ca="1"/>
        <v>#NAME?</v>
      </c>
      <c r="E76" s="6" t="e">
        <f ca="1"/>
        <v>#NAME?</v>
      </c>
      <c r="F76" s="6" t="e">
        <f ca="1"/>
        <v>#NAME?</v>
      </c>
      <c r="G76" s="6" t="e">
        <f ca="1"/>
        <v>#NAME?</v>
      </c>
      <c r="H76" s="6" t="e">
        <f ca="1"/>
        <v>#NAME?</v>
      </c>
      <c r="I76" s="6" t="str">
        <f ca="1">IFERROR(__xludf.DUMMYFUNCTION("""COMPUTED_VALUE"""),"Yes")</f>
        <v>Yes</v>
      </c>
      <c r="J76" s="6" t="str">
        <f ca="1">IFERROR(__xludf.DUMMYFUNCTION("""COMPUTED_VALUE"""),"Parked")</f>
        <v>Parked</v>
      </c>
      <c r="K76" s="6" t="str">
        <f ca="1">IFERROR(__xludf.DUMMYFUNCTION("""COMPUTED_VALUE"""),"Yes")</f>
        <v>Yes</v>
      </c>
      <c r="L76" s="6" t="str">
        <f ca="1">IFERROR(__xludf.DUMMYFUNCTION("""COMPUTED_VALUE"""),"Parked")</f>
        <v>Parked</v>
      </c>
      <c r="M76" s="6" t="str">
        <f ca="1">IFERROR(__xludf.DUMMYFUNCTION("""COMPUTED_VALUE"""),"Yes")</f>
        <v>Yes</v>
      </c>
      <c r="N76" s="6" t="str">
        <f ca="1">IFERROR(__xludf.DUMMYFUNCTION("""COMPUTED_VALUE"""),"Parked")</f>
        <v>Parked</v>
      </c>
      <c r="O76" s="6" t="str">
        <f ca="1">IFERROR(__xludf.DUMMYFUNCTION("""COMPUTED_VALUE"""),"No")</f>
        <v>No</v>
      </c>
      <c r="P76" s="6" t="str">
        <f ca="1">IFERROR(__xludf.DUMMYFUNCTION("""COMPUTED_VALUE"""),"None")</f>
        <v>None</v>
      </c>
      <c r="Q76" s="6" t="str">
        <f ca="1">IFERROR(__xludf.DUMMYFUNCTION("""COMPUTED_VALUE"""),"Yes")</f>
        <v>Yes</v>
      </c>
      <c r="R76" s="6" t="str">
        <f ca="1">IFERROR(__xludf.DUMMYFUNCTION("""COMPUTED_VALUE"""),"None")</f>
        <v>None</v>
      </c>
      <c r="S76" s="6" t="str">
        <f ca="1">IFERROR(__xludf.DUMMYFUNCTION("""COMPUTED_VALUE"""),"Yes")</f>
        <v>Yes</v>
      </c>
      <c r="T76" s="6" t="str">
        <f ca="1">IFERROR(__xludf.DUMMYFUNCTION("""COMPUTED_VALUE"""),"DeepCage")</f>
        <v>DeepCage</v>
      </c>
    </row>
    <row r="77" spans="1:20">
      <c r="A77" s="6" t="str">
        <v>Qualification</v>
      </c>
      <c r="B77" s="6">
        <v>76</v>
      </c>
      <c r="C77" s="6" t="e">
        <f ca="1"/>
        <v>#NAME?</v>
      </c>
      <c r="D77" s="6" t="e">
        <f ca="1"/>
        <v>#NAME?</v>
      </c>
      <c r="E77" s="6" t="e">
        <f ca="1"/>
        <v>#NAME?</v>
      </c>
      <c r="F77" s="6" t="e">
        <f ca="1"/>
        <v>#NAME?</v>
      </c>
      <c r="G77" s="6" t="e">
        <f ca="1"/>
        <v>#NAME?</v>
      </c>
      <c r="H77" s="6" t="e">
        <f ca="1"/>
        <v>#NAME?</v>
      </c>
      <c r="I77" s="6" t="str">
        <f ca="1">IFERROR(__xludf.DUMMYFUNCTION("""COMPUTED_VALUE"""),"Yes")</f>
        <v>Yes</v>
      </c>
      <c r="J77" s="6" t="str">
        <f ca="1">IFERROR(__xludf.DUMMYFUNCTION("""COMPUTED_VALUE"""),"Parked")</f>
        <v>Parked</v>
      </c>
      <c r="K77" s="6" t="str">
        <f ca="1">IFERROR(__xludf.DUMMYFUNCTION("""COMPUTED_VALUE"""),"Yes")</f>
        <v>Yes</v>
      </c>
      <c r="L77" s="6" t="str">
        <f ca="1">IFERROR(__xludf.DUMMYFUNCTION("""COMPUTED_VALUE"""),"DeepCage")</f>
        <v>DeepCage</v>
      </c>
      <c r="M77" s="6" t="str">
        <f ca="1">IFERROR(__xludf.DUMMYFUNCTION("""COMPUTED_VALUE"""),"Yes")</f>
        <v>Yes</v>
      </c>
      <c r="N77" s="6" t="str">
        <f ca="1">IFERROR(__xludf.DUMMYFUNCTION("""COMPUTED_VALUE"""),"DeepCage")</f>
        <v>DeepCage</v>
      </c>
      <c r="O77" s="6" t="str">
        <f ca="1">IFERROR(__xludf.DUMMYFUNCTION("""COMPUTED_VALUE"""),"Yes")</f>
        <v>Yes</v>
      </c>
      <c r="P77" s="6" t="str">
        <f ca="1">IFERROR(__xludf.DUMMYFUNCTION("""COMPUTED_VALUE"""),"Parked")</f>
        <v>Parked</v>
      </c>
      <c r="Q77" s="6" t="str">
        <f ca="1">IFERROR(__xludf.DUMMYFUNCTION("""COMPUTED_VALUE"""),"Yes")</f>
        <v>Yes</v>
      </c>
      <c r="R77" s="6" t="str">
        <f ca="1">IFERROR(__xludf.DUMMYFUNCTION("""COMPUTED_VALUE"""),"Parked")</f>
        <v>Parked</v>
      </c>
      <c r="S77" s="6" t="str">
        <f ca="1">IFERROR(__xludf.DUMMYFUNCTION("""COMPUTED_VALUE"""),"Yes")</f>
        <v>Yes</v>
      </c>
      <c r="T77" s="6" t="str">
        <f ca="1">IFERROR(__xludf.DUMMYFUNCTION("""COMPUTED_VALUE"""),"Parked")</f>
        <v>Parked</v>
      </c>
    </row>
    <row r="78" spans="1:20">
      <c r="A78" s="6" t="str">
        <v>Qualification</v>
      </c>
      <c r="B78" s="6">
        <v>77</v>
      </c>
      <c r="C78" s="6" t="e">
        <f ca="1"/>
        <v>#NAME?</v>
      </c>
      <c r="D78" s="6" t="e">
        <f ca="1"/>
        <v>#NAME?</v>
      </c>
      <c r="E78" s="6" t="e">
        <f ca="1"/>
        <v>#NAME?</v>
      </c>
      <c r="F78" s="6" t="e">
        <f ca="1"/>
        <v>#NAME?</v>
      </c>
      <c r="G78" s="6" t="e">
        <f ca="1"/>
        <v>#NAME?</v>
      </c>
      <c r="H78" s="6" t="e">
        <f ca="1"/>
        <v>#NAME?</v>
      </c>
      <c r="I78" s="6" t="str">
        <f ca="1">IFERROR(__xludf.DUMMYFUNCTION("""COMPUTED_VALUE"""),"Yes")</f>
        <v>Yes</v>
      </c>
      <c r="J78" s="6" t="str">
        <f ca="1">IFERROR(__xludf.DUMMYFUNCTION("""COMPUTED_VALUE"""),"None")</f>
        <v>None</v>
      </c>
      <c r="K78" s="6" t="str">
        <f ca="1">IFERROR(__xludf.DUMMYFUNCTION("""COMPUTED_VALUE"""),"Yes")</f>
        <v>Yes</v>
      </c>
      <c r="L78" s="6" t="str">
        <f ca="1">IFERROR(__xludf.DUMMYFUNCTION("""COMPUTED_VALUE"""),"Parked")</f>
        <v>Parked</v>
      </c>
      <c r="M78" s="6" t="str">
        <f ca="1">IFERROR(__xludf.DUMMYFUNCTION("""COMPUTED_VALUE"""),"Yes")</f>
        <v>Yes</v>
      </c>
      <c r="N78" s="6" t="str">
        <f ca="1">IFERROR(__xludf.DUMMYFUNCTION("""COMPUTED_VALUE"""),"Parked")</f>
        <v>Parked</v>
      </c>
      <c r="O78" s="6" t="str">
        <f ca="1">IFERROR(__xludf.DUMMYFUNCTION("""COMPUTED_VALUE"""),"Yes")</f>
        <v>Yes</v>
      </c>
      <c r="P78" s="6" t="str">
        <f ca="1">IFERROR(__xludf.DUMMYFUNCTION("""COMPUTED_VALUE"""),"None")</f>
        <v>None</v>
      </c>
      <c r="Q78" s="6" t="str">
        <f ca="1">IFERROR(__xludf.DUMMYFUNCTION("""COMPUTED_VALUE"""),"Yes")</f>
        <v>Yes</v>
      </c>
      <c r="R78" s="6" t="str">
        <f ca="1">IFERROR(__xludf.DUMMYFUNCTION("""COMPUTED_VALUE"""),"Parked")</f>
        <v>Parked</v>
      </c>
      <c r="S78" s="6" t="str">
        <f ca="1">IFERROR(__xludf.DUMMYFUNCTION("""COMPUTED_VALUE"""),"Yes")</f>
        <v>Yes</v>
      </c>
      <c r="T78" s="6" t="str">
        <f ca="1">IFERROR(__xludf.DUMMYFUNCTION("""COMPUTED_VALUE"""),"Parked")</f>
        <v>Parked</v>
      </c>
    </row>
    <row r="79" spans="1:20">
      <c r="A79" s="6" t="str">
        <v>Qualification</v>
      </c>
      <c r="B79" s="6">
        <v>78</v>
      </c>
      <c r="C79" s="6" t="e">
        <f ca="1"/>
        <v>#NAME?</v>
      </c>
      <c r="D79" s="6" t="e">
        <f ca="1"/>
        <v>#NAME?</v>
      </c>
      <c r="E79" s="6" t="e">
        <f ca="1"/>
        <v>#NAME?</v>
      </c>
      <c r="F79" s="6" t="e">
        <f ca="1"/>
        <v>#NAME?</v>
      </c>
      <c r="G79" s="6" t="e">
        <f ca="1"/>
        <v>#NAME?</v>
      </c>
      <c r="H79" s="6" t="e">
        <f ca="1"/>
        <v>#NAME?</v>
      </c>
      <c r="I79" s="6" t="str">
        <f ca="1">IFERROR(__xludf.DUMMYFUNCTION("""COMPUTED_VALUE"""),"Yes")</f>
        <v>Yes</v>
      </c>
      <c r="J79" s="6" t="str">
        <f ca="1">IFERROR(__xludf.DUMMYFUNCTION("""COMPUTED_VALUE"""),"Parked")</f>
        <v>Parked</v>
      </c>
      <c r="K79" s="6" t="str">
        <f ca="1">IFERROR(__xludf.DUMMYFUNCTION("""COMPUTED_VALUE"""),"Yes")</f>
        <v>Yes</v>
      </c>
      <c r="L79" s="6" t="str">
        <f ca="1">IFERROR(__xludf.DUMMYFUNCTION("""COMPUTED_VALUE"""),"Parked")</f>
        <v>Parked</v>
      </c>
      <c r="M79" s="6" t="str">
        <f ca="1">IFERROR(__xludf.DUMMYFUNCTION("""COMPUTED_VALUE"""),"Yes")</f>
        <v>Yes</v>
      </c>
      <c r="N79" s="6" t="str">
        <f ca="1">IFERROR(__xludf.DUMMYFUNCTION("""COMPUTED_VALUE"""),"Parked")</f>
        <v>Parked</v>
      </c>
      <c r="O79" s="6" t="str">
        <f ca="1">IFERROR(__xludf.DUMMYFUNCTION("""COMPUTED_VALUE"""),"Yes")</f>
        <v>Yes</v>
      </c>
      <c r="P79" s="6" t="str">
        <f ca="1">IFERROR(__xludf.DUMMYFUNCTION("""COMPUTED_VALUE"""),"DeepCage")</f>
        <v>DeepCage</v>
      </c>
      <c r="Q79" s="6" t="str">
        <f ca="1">IFERROR(__xludf.DUMMYFUNCTION("""COMPUTED_VALUE"""),"Yes")</f>
        <v>Yes</v>
      </c>
      <c r="R79" s="6" t="str">
        <f ca="1">IFERROR(__xludf.DUMMYFUNCTION("""COMPUTED_VALUE"""),"Parked")</f>
        <v>Parked</v>
      </c>
      <c r="S79" s="6" t="str">
        <f ca="1">IFERROR(__xludf.DUMMYFUNCTION("""COMPUTED_VALUE"""),"Yes")</f>
        <v>Yes</v>
      </c>
      <c r="T79" s="6" t="str">
        <f ca="1">IFERROR(__xludf.DUMMYFUNCTION("""COMPUTED_VALUE"""),"None")</f>
        <v>None</v>
      </c>
    </row>
    <row r="80" spans="1:20">
      <c r="A80" s="6" t="str">
        <v>Qualification</v>
      </c>
      <c r="B80" s="6">
        <v>79</v>
      </c>
      <c r="C80" s="6" t="e">
        <f ca="1"/>
        <v>#NAME?</v>
      </c>
      <c r="D80" s="6" t="e">
        <f ca="1"/>
        <v>#NAME?</v>
      </c>
      <c r="E80" s="6" t="e">
        <f ca="1"/>
        <v>#NAME?</v>
      </c>
      <c r="F80" s="6" t="e">
        <f ca="1"/>
        <v>#NAME?</v>
      </c>
      <c r="G80" s="6" t="e">
        <f ca="1"/>
        <v>#NAME?</v>
      </c>
      <c r="H80" s="6" t="e">
        <f ca="1"/>
        <v>#NAME?</v>
      </c>
      <c r="I80" s="6" t="str">
        <f ca="1">IFERROR(__xludf.DUMMYFUNCTION("""COMPUTED_VALUE"""),"Yes")</f>
        <v>Yes</v>
      </c>
      <c r="J80" s="6" t="str">
        <f ca="1">IFERROR(__xludf.DUMMYFUNCTION("""COMPUTED_VALUE"""),"Parked")</f>
        <v>Parked</v>
      </c>
      <c r="K80" s="6" t="str">
        <f ca="1">IFERROR(__xludf.DUMMYFUNCTION("""COMPUTED_VALUE"""),"Yes")</f>
        <v>Yes</v>
      </c>
      <c r="L80" s="6" t="str">
        <f ca="1">IFERROR(__xludf.DUMMYFUNCTION("""COMPUTED_VALUE"""),"Parked")</f>
        <v>Parked</v>
      </c>
      <c r="M80" s="6" t="str">
        <f ca="1">IFERROR(__xludf.DUMMYFUNCTION("""COMPUTED_VALUE"""),"Yes")</f>
        <v>Yes</v>
      </c>
      <c r="N80" s="6" t="str">
        <f ca="1">IFERROR(__xludf.DUMMYFUNCTION("""COMPUTED_VALUE"""),"None")</f>
        <v>None</v>
      </c>
      <c r="O80" s="6" t="str">
        <f ca="1">IFERROR(__xludf.DUMMYFUNCTION("""COMPUTED_VALUE"""),"Yes")</f>
        <v>Yes</v>
      </c>
      <c r="P80" s="6" t="str">
        <f ca="1">IFERROR(__xludf.DUMMYFUNCTION("""COMPUTED_VALUE"""),"Parked")</f>
        <v>Parked</v>
      </c>
      <c r="Q80" s="6" t="str">
        <f ca="1">IFERROR(__xludf.DUMMYFUNCTION("""COMPUTED_VALUE"""),"Yes")</f>
        <v>Yes</v>
      </c>
      <c r="R80" s="6" t="str">
        <f ca="1">IFERROR(__xludf.DUMMYFUNCTION("""COMPUTED_VALUE"""),"Parked")</f>
        <v>Parked</v>
      </c>
      <c r="S80" s="6" t="str">
        <f ca="1">IFERROR(__xludf.DUMMYFUNCTION("""COMPUTED_VALUE"""),"Yes")</f>
        <v>Yes</v>
      </c>
      <c r="T80" s="6" t="str">
        <f ca="1">IFERROR(__xludf.DUMMYFUNCTION("""COMPUTED_VALUE"""),"Parked")</f>
        <v>Parked</v>
      </c>
    </row>
    <row r="81" spans="1:20">
      <c r="A81" s="6" t="str">
        <v>Qualification</v>
      </c>
      <c r="B81" s="6">
        <v>80</v>
      </c>
      <c r="C81" s="6" t="e">
        <f ca="1"/>
        <v>#NAME?</v>
      </c>
      <c r="D81" s="6" t="e">
        <f ca="1"/>
        <v>#NAME?</v>
      </c>
      <c r="E81" s="6" t="e">
        <f ca="1"/>
        <v>#NAME?</v>
      </c>
      <c r="F81" s="6" t="e">
        <f ca="1"/>
        <v>#NAME?</v>
      </c>
      <c r="G81" s="6" t="e">
        <f ca="1"/>
        <v>#NAME?</v>
      </c>
      <c r="H81" s="6" t="e">
        <f ca="1"/>
        <v>#NAME?</v>
      </c>
      <c r="I81" s="6" t="str">
        <f ca="1">IFERROR(__xludf.DUMMYFUNCTION("""COMPUTED_VALUE"""),"Yes")</f>
        <v>Yes</v>
      </c>
      <c r="J81" s="6" t="str">
        <f ca="1">IFERROR(__xludf.DUMMYFUNCTION("""COMPUTED_VALUE"""),"Parked")</f>
        <v>Parked</v>
      </c>
      <c r="K81" s="6" t="str">
        <f ca="1">IFERROR(__xludf.DUMMYFUNCTION("""COMPUTED_VALUE"""),"Yes")</f>
        <v>Yes</v>
      </c>
      <c r="L81" s="6" t="str">
        <f ca="1">IFERROR(__xludf.DUMMYFUNCTION("""COMPUTED_VALUE"""),"Parked")</f>
        <v>Parked</v>
      </c>
      <c r="M81" s="6" t="str">
        <f ca="1">IFERROR(__xludf.DUMMYFUNCTION("""COMPUTED_VALUE"""),"Yes")</f>
        <v>Yes</v>
      </c>
      <c r="N81" s="6" t="str">
        <f ca="1">IFERROR(__xludf.DUMMYFUNCTION("""COMPUTED_VALUE"""),"Parked")</f>
        <v>Parked</v>
      </c>
      <c r="O81" s="6" t="str">
        <f ca="1">IFERROR(__xludf.DUMMYFUNCTION("""COMPUTED_VALUE"""),"Yes")</f>
        <v>Yes</v>
      </c>
      <c r="P81" s="6" t="str">
        <f ca="1">IFERROR(__xludf.DUMMYFUNCTION("""COMPUTED_VALUE"""),"Parked")</f>
        <v>Parked</v>
      </c>
      <c r="Q81" s="6" t="str">
        <f ca="1">IFERROR(__xludf.DUMMYFUNCTION("""COMPUTED_VALUE"""),"Yes")</f>
        <v>Yes</v>
      </c>
      <c r="R81" s="6" t="str">
        <f ca="1">IFERROR(__xludf.DUMMYFUNCTION("""COMPUTED_VALUE"""),"None")</f>
        <v>None</v>
      </c>
      <c r="S81" s="6" t="str">
        <f ca="1">IFERROR(__xludf.DUMMYFUNCTION("""COMPUTED_VALUE"""),"Yes")</f>
        <v>Yes</v>
      </c>
      <c r="T81" s="6" t="str">
        <f ca="1">IFERROR(__xludf.DUMMYFUNCTION("""COMPUTED_VALUE"""),"Parked")</f>
        <v>Parked</v>
      </c>
    </row>
    <row r="82" spans="1:20">
      <c r="A82" s="6" t="str">
        <v>Qualification</v>
      </c>
      <c r="B82" s="6">
        <v>81</v>
      </c>
      <c r="C82" s="6" t="e">
        <f ca="1"/>
        <v>#NAME?</v>
      </c>
      <c r="D82" s="6" t="e">
        <f ca="1"/>
        <v>#NAME?</v>
      </c>
      <c r="E82" s="6" t="e">
        <f ca="1"/>
        <v>#NAME?</v>
      </c>
      <c r="F82" s="6" t="e">
        <f ca="1"/>
        <v>#NAME?</v>
      </c>
      <c r="G82" s="6" t="e">
        <f ca="1"/>
        <v>#NAME?</v>
      </c>
      <c r="H82" s="6" t="e">
        <f ca="1"/>
        <v>#NAME?</v>
      </c>
      <c r="I82" s="6" t="str">
        <f ca="1">IFERROR(__xludf.DUMMYFUNCTION("""COMPUTED_VALUE"""),"Yes")</f>
        <v>Yes</v>
      </c>
      <c r="J82" s="6" t="str">
        <f ca="1">IFERROR(__xludf.DUMMYFUNCTION("""COMPUTED_VALUE"""),"Parked")</f>
        <v>Parked</v>
      </c>
      <c r="K82" s="6" t="str">
        <f ca="1">IFERROR(__xludf.DUMMYFUNCTION("""COMPUTED_VALUE"""),"Yes")</f>
        <v>Yes</v>
      </c>
      <c r="L82" s="6" t="str">
        <f ca="1">IFERROR(__xludf.DUMMYFUNCTION("""COMPUTED_VALUE"""),"Parked")</f>
        <v>Parked</v>
      </c>
      <c r="M82" s="6" t="str">
        <f ca="1">IFERROR(__xludf.DUMMYFUNCTION("""COMPUTED_VALUE"""),"Yes")</f>
        <v>Yes</v>
      </c>
      <c r="N82" s="6" t="str">
        <f ca="1">IFERROR(__xludf.DUMMYFUNCTION("""COMPUTED_VALUE"""),"Parked")</f>
        <v>Parked</v>
      </c>
      <c r="O82" s="6" t="str">
        <f ca="1">IFERROR(__xludf.DUMMYFUNCTION("""COMPUTED_VALUE"""),"Yes")</f>
        <v>Yes</v>
      </c>
      <c r="P82" s="6" t="str">
        <f ca="1">IFERROR(__xludf.DUMMYFUNCTION("""COMPUTED_VALUE"""),"ShallowCage")</f>
        <v>ShallowCage</v>
      </c>
      <c r="Q82" s="6" t="str">
        <f ca="1">IFERROR(__xludf.DUMMYFUNCTION("""COMPUTED_VALUE"""),"Yes")</f>
        <v>Yes</v>
      </c>
      <c r="R82" s="6" t="str">
        <f ca="1">IFERROR(__xludf.DUMMYFUNCTION("""COMPUTED_VALUE"""),"Parked")</f>
        <v>Parked</v>
      </c>
      <c r="S82" s="6" t="str">
        <f ca="1">IFERROR(__xludf.DUMMYFUNCTION("""COMPUTED_VALUE"""),"Yes")</f>
        <v>Yes</v>
      </c>
      <c r="T82" s="6" t="str">
        <f ca="1">IFERROR(__xludf.DUMMYFUNCTION("""COMPUTED_VALUE"""),"DeepCage")</f>
        <v>DeepCage</v>
      </c>
    </row>
    <row r="83" spans="1:20">
      <c r="A83" s="6">
        <v>0</v>
      </c>
      <c r="B83" s="6">
        <v>0</v>
      </c>
      <c r="C83" s="6" t="e">
        <f ca="1"/>
        <v>#NAME?</v>
      </c>
      <c r="D83" s="6" t="e">
        <f ca="1"/>
        <v>#NAME?</v>
      </c>
      <c r="E83" s="6" t="e">
        <f ca="1"/>
        <v>#NAME?</v>
      </c>
      <c r="F83" s="6" t="e">
        <f ca="1"/>
        <v>#NAME?</v>
      </c>
      <c r="G83" s="6" t="e">
        <f ca="1"/>
        <v>#NAME?</v>
      </c>
      <c r="H83" s="6" t="e">
        <f ca="1"/>
        <v>#NAME?</v>
      </c>
      <c r="I83" s="6"/>
      <c r="J83" s="6"/>
      <c r="K83" s="6"/>
      <c r="L83" s="6"/>
      <c r="M83" s="6"/>
      <c r="N83" s="6"/>
      <c r="O83" s="6"/>
      <c r="P83" s="6"/>
      <c r="Q83" s="6"/>
      <c r="R83" s="6"/>
      <c r="S83" s="6"/>
      <c r="T83" s="6"/>
    </row>
    <row r="84" spans="1:20">
      <c r="A84" s="6">
        <v>0</v>
      </c>
      <c r="B84" s="6">
        <v>0</v>
      </c>
      <c r="C84" s="6" t="e">
        <f ca="1"/>
        <v>#NAME?</v>
      </c>
      <c r="D84" s="6" t="e">
        <f ca="1"/>
        <v>#NAME?</v>
      </c>
      <c r="E84" s="6" t="e">
        <f ca="1"/>
        <v>#NAME?</v>
      </c>
      <c r="F84" s="6" t="e">
        <f ca="1"/>
        <v>#NAME?</v>
      </c>
      <c r="G84" s="6" t="e">
        <f ca="1"/>
        <v>#NAME?</v>
      </c>
      <c r="H84" s="6" t="e">
        <f ca="1"/>
        <v>#NAME?</v>
      </c>
      <c r="I84" s="6"/>
      <c r="J84" s="6"/>
      <c r="K84" s="6"/>
      <c r="L84" s="6"/>
      <c r="M84" s="6"/>
      <c r="N84" s="6"/>
      <c r="O84" s="6"/>
      <c r="P84" s="6"/>
      <c r="Q84" s="6"/>
      <c r="R84" s="6"/>
      <c r="S84" s="6"/>
      <c r="T84" s="6"/>
    </row>
    <row r="85" spans="1:20">
      <c r="A85" s="6">
        <v>0</v>
      </c>
      <c r="B85" s="6">
        <v>0</v>
      </c>
      <c r="C85" s="6" t="e">
        <f ca="1"/>
        <v>#NAME?</v>
      </c>
      <c r="D85" s="6" t="e">
        <f ca="1"/>
        <v>#NAME?</v>
      </c>
      <c r="E85" s="6" t="e">
        <f ca="1"/>
        <v>#NAME?</v>
      </c>
      <c r="F85" s="6" t="e">
        <f ca="1"/>
        <v>#NAME?</v>
      </c>
      <c r="G85" s="6" t="e">
        <f ca="1"/>
        <v>#NAME?</v>
      </c>
      <c r="H85" s="6" t="e">
        <f ca="1"/>
        <v>#NAME?</v>
      </c>
      <c r="I85" s="6"/>
      <c r="J85" s="6"/>
      <c r="K85" s="6"/>
      <c r="L85" s="6"/>
      <c r="M85" s="6"/>
      <c r="N85" s="6"/>
      <c r="O85" s="6"/>
      <c r="P85" s="6"/>
      <c r="Q85" s="6"/>
      <c r="R85" s="6"/>
      <c r="S85" s="6"/>
      <c r="T85" s="6"/>
    </row>
    <row r="86" spans="1:20">
      <c r="A86" s="6">
        <v>0</v>
      </c>
      <c r="B86" s="6">
        <v>0</v>
      </c>
      <c r="C86" s="6" t="e">
        <f ca="1"/>
        <v>#NAME?</v>
      </c>
      <c r="D86" s="6" t="e">
        <f ca="1"/>
        <v>#NAME?</v>
      </c>
      <c r="E86" s="6" t="e">
        <f ca="1"/>
        <v>#NAME?</v>
      </c>
      <c r="F86" s="6" t="e">
        <f ca="1"/>
        <v>#NAME?</v>
      </c>
      <c r="G86" s="6" t="e">
        <f ca="1"/>
        <v>#NAME?</v>
      </c>
      <c r="H86" s="6" t="e">
        <f ca="1"/>
        <v>#NAME?</v>
      </c>
      <c r="I86" s="6"/>
      <c r="J86" s="6"/>
      <c r="K86" s="6"/>
      <c r="L86" s="6"/>
      <c r="M86" s="6"/>
      <c r="N86" s="6"/>
      <c r="O86" s="6"/>
      <c r="P86" s="6"/>
      <c r="Q86" s="6"/>
      <c r="R86" s="6"/>
      <c r="S86" s="6"/>
      <c r="T86" s="6"/>
    </row>
    <row r="87" spans="1:20">
      <c r="A87" s="6">
        <v>0</v>
      </c>
      <c r="B87" s="6">
        <v>0</v>
      </c>
      <c r="C87" s="6" t="e">
        <f ca="1"/>
        <v>#NAME?</v>
      </c>
      <c r="D87" s="6" t="e">
        <f ca="1"/>
        <v>#NAME?</v>
      </c>
      <c r="E87" s="6" t="e">
        <f ca="1"/>
        <v>#NAME?</v>
      </c>
      <c r="F87" s="6" t="e">
        <f ca="1"/>
        <v>#NAME?</v>
      </c>
      <c r="G87" s="6" t="e">
        <f ca="1"/>
        <v>#NAME?</v>
      </c>
      <c r="H87" s="6" t="e">
        <f ca="1"/>
        <v>#NAME?</v>
      </c>
      <c r="I87" s="6"/>
      <c r="J87" s="6"/>
      <c r="K87" s="6"/>
      <c r="L87" s="6"/>
      <c r="M87" s="6"/>
      <c r="N87" s="6"/>
      <c r="O87" s="6"/>
      <c r="P87" s="6"/>
      <c r="Q87" s="6"/>
      <c r="R87" s="6"/>
      <c r="S87" s="6"/>
      <c r="T87" s="6"/>
    </row>
    <row r="88" spans="1:20">
      <c r="A88" s="6">
        <v>0</v>
      </c>
      <c r="B88" s="6">
        <v>0</v>
      </c>
      <c r="C88" s="6" t="e">
        <f ca="1"/>
        <v>#NAME?</v>
      </c>
      <c r="D88" s="6" t="e">
        <f ca="1"/>
        <v>#NAME?</v>
      </c>
      <c r="E88" s="6" t="e">
        <f ca="1"/>
        <v>#NAME?</v>
      </c>
      <c r="F88" s="6" t="e">
        <f ca="1"/>
        <v>#NAME?</v>
      </c>
      <c r="G88" s="6" t="e">
        <f ca="1"/>
        <v>#NAME?</v>
      </c>
      <c r="H88" s="6" t="e">
        <f ca="1"/>
        <v>#NAME?</v>
      </c>
      <c r="I88" s="6"/>
      <c r="J88" s="6"/>
      <c r="K88" s="6"/>
      <c r="L88" s="6"/>
      <c r="M88" s="6"/>
      <c r="N88" s="6"/>
      <c r="O88" s="6"/>
      <c r="P88" s="6"/>
      <c r="Q88" s="6"/>
      <c r="R88" s="6"/>
      <c r="S88" s="6"/>
      <c r="T88" s="6"/>
    </row>
    <row r="89" spans="1:20">
      <c r="A89" s="6">
        <v>0</v>
      </c>
      <c r="B89" s="6">
        <v>0</v>
      </c>
      <c r="C89" s="6" t="e">
        <f ca="1"/>
        <v>#NAME?</v>
      </c>
      <c r="D89" s="6" t="e">
        <f ca="1"/>
        <v>#NAME?</v>
      </c>
      <c r="E89" s="6" t="e">
        <f ca="1"/>
        <v>#NAME?</v>
      </c>
      <c r="F89" s="6" t="e">
        <f ca="1"/>
        <v>#NAME?</v>
      </c>
      <c r="G89" s="6" t="e">
        <f ca="1"/>
        <v>#NAME?</v>
      </c>
      <c r="H89" s="6" t="e">
        <f ca="1"/>
        <v>#NAME?</v>
      </c>
      <c r="I89" s="6"/>
      <c r="J89" s="6"/>
      <c r="K89" s="6"/>
      <c r="L89" s="6"/>
      <c r="M89" s="6"/>
      <c r="N89" s="6"/>
      <c r="O89" s="6"/>
      <c r="P89" s="6"/>
      <c r="Q89" s="6"/>
      <c r="R89" s="6"/>
      <c r="S89" s="6"/>
      <c r="T89" s="6"/>
    </row>
    <row r="90" spans="1:20">
      <c r="A90" s="6">
        <v>0</v>
      </c>
      <c r="B90" s="6">
        <v>0</v>
      </c>
      <c r="C90" s="6" t="e">
        <f ca="1"/>
        <v>#NAME?</v>
      </c>
      <c r="D90" s="6" t="e">
        <f ca="1"/>
        <v>#NAME?</v>
      </c>
      <c r="E90" s="6" t="e">
        <f ca="1"/>
        <v>#NAME?</v>
      </c>
      <c r="F90" s="6" t="e">
        <f ca="1"/>
        <v>#NAME?</v>
      </c>
      <c r="G90" s="6" t="e">
        <f ca="1"/>
        <v>#NAME?</v>
      </c>
      <c r="H90" s="6" t="e">
        <f ca="1"/>
        <v>#NAME?</v>
      </c>
      <c r="I90" s="6"/>
      <c r="J90" s="6"/>
      <c r="K90" s="6"/>
      <c r="L90" s="6"/>
      <c r="M90" s="6"/>
      <c r="N90" s="6"/>
      <c r="O90" s="6"/>
      <c r="P90" s="6"/>
      <c r="Q90" s="6"/>
      <c r="R90" s="6"/>
      <c r="S90" s="6"/>
      <c r="T90" s="6"/>
    </row>
    <row r="91" spans="1:20">
      <c r="A91" s="6">
        <v>0</v>
      </c>
      <c r="B91" s="6">
        <v>0</v>
      </c>
      <c r="C91" s="6" t="e">
        <f ca="1"/>
        <v>#NAME?</v>
      </c>
      <c r="D91" s="6" t="e">
        <f ca="1"/>
        <v>#NAME?</v>
      </c>
      <c r="E91" s="6" t="e">
        <f ca="1"/>
        <v>#NAME?</v>
      </c>
      <c r="F91" s="6" t="e">
        <f ca="1"/>
        <v>#NAME?</v>
      </c>
      <c r="G91" s="6" t="e">
        <f ca="1"/>
        <v>#NAME?</v>
      </c>
      <c r="H91" s="6" t="e">
        <f ca="1"/>
        <v>#NAME?</v>
      </c>
      <c r="I91" s="6"/>
      <c r="J91" s="6"/>
      <c r="K91" s="6"/>
      <c r="L91" s="6"/>
      <c r="M91" s="6"/>
      <c r="N91" s="6"/>
      <c r="O91" s="6"/>
      <c r="P91" s="6"/>
      <c r="Q91" s="6"/>
      <c r="R91" s="6"/>
      <c r="S91" s="6"/>
      <c r="T91" s="6"/>
    </row>
    <row r="92" spans="1:20">
      <c r="A92" s="6">
        <v>0</v>
      </c>
      <c r="B92" s="6">
        <v>0</v>
      </c>
      <c r="C92" s="6" t="e">
        <f ca="1"/>
        <v>#NAME?</v>
      </c>
      <c r="D92" s="6" t="e">
        <f ca="1"/>
        <v>#NAME?</v>
      </c>
      <c r="E92" s="6" t="e">
        <f ca="1"/>
        <v>#NAME?</v>
      </c>
      <c r="F92" s="6" t="e">
        <f ca="1"/>
        <v>#NAME?</v>
      </c>
      <c r="G92" s="6" t="e">
        <f ca="1"/>
        <v>#NAME?</v>
      </c>
      <c r="H92" s="6" t="e">
        <f ca="1"/>
        <v>#NAME?</v>
      </c>
      <c r="I92" s="6"/>
      <c r="J92" s="6"/>
      <c r="K92" s="6"/>
      <c r="L92" s="6"/>
      <c r="M92" s="6"/>
      <c r="N92" s="6"/>
      <c r="O92" s="6"/>
      <c r="P92" s="6"/>
      <c r="Q92" s="6"/>
      <c r="R92" s="6"/>
      <c r="S92" s="6"/>
      <c r="T92" s="6"/>
    </row>
    <row r="93" spans="1:20">
      <c r="A93" s="6">
        <v>0</v>
      </c>
      <c r="B93" s="6">
        <v>0</v>
      </c>
      <c r="C93" s="6" t="e">
        <f ca="1"/>
        <v>#NAME?</v>
      </c>
      <c r="D93" s="6" t="e">
        <f ca="1"/>
        <v>#NAME?</v>
      </c>
      <c r="E93" s="6" t="e">
        <f ca="1"/>
        <v>#NAME?</v>
      </c>
      <c r="F93" s="6" t="e">
        <f ca="1"/>
        <v>#NAME?</v>
      </c>
      <c r="G93" s="6" t="e">
        <f ca="1"/>
        <v>#NAME?</v>
      </c>
      <c r="H93" s="6" t="e">
        <f ca="1"/>
        <v>#NAME?</v>
      </c>
      <c r="I93" s="6"/>
      <c r="J93" s="6"/>
      <c r="K93" s="6"/>
      <c r="L93" s="6"/>
      <c r="M93" s="6"/>
      <c r="N93" s="6"/>
      <c r="O93" s="6"/>
      <c r="P93" s="6"/>
      <c r="Q93" s="6"/>
      <c r="R93" s="6"/>
      <c r="S93" s="6"/>
      <c r="T93" s="6"/>
    </row>
    <row r="94" spans="1:20">
      <c r="A94" s="6">
        <v>0</v>
      </c>
      <c r="B94" s="6">
        <v>0</v>
      </c>
      <c r="C94" s="6" t="e">
        <f ca="1"/>
        <v>#NAME?</v>
      </c>
      <c r="D94" s="6" t="e">
        <f ca="1"/>
        <v>#NAME?</v>
      </c>
      <c r="E94" s="6" t="e">
        <f ca="1"/>
        <v>#NAME?</v>
      </c>
      <c r="F94" s="6" t="e">
        <f ca="1"/>
        <v>#NAME?</v>
      </c>
      <c r="G94" s="6" t="e">
        <f ca="1"/>
        <v>#NAME?</v>
      </c>
      <c r="H94" s="6" t="e">
        <f ca="1"/>
        <v>#NAME?</v>
      </c>
      <c r="I94" s="6"/>
      <c r="J94" s="6"/>
      <c r="K94" s="6"/>
      <c r="L94" s="6"/>
      <c r="M94" s="6"/>
      <c r="N94" s="6"/>
      <c r="O94" s="6"/>
      <c r="P94" s="6"/>
      <c r="Q94" s="6"/>
      <c r="R94" s="6"/>
      <c r="S94" s="6"/>
      <c r="T94" s="6"/>
    </row>
    <row r="95" spans="1:20">
      <c r="A95" s="6">
        <v>0</v>
      </c>
      <c r="B95" s="6">
        <v>0</v>
      </c>
      <c r="C95" s="6" t="e">
        <f ca="1"/>
        <v>#NAME?</v>
      </c>
      <c r="D95" s="6" t="e">
        <f ca="1"/>
        <v>#NAME?</v>
      </c>
      <c r="E95" s="6" t="e">
        <f ca="1"/>
        <v>#NAME?</v>
      </c>
      <c r="F95" s="6" t="e">
        <f ca="1"/>
        <v>#NAME?</v>
      </c>
      <c r="G95" s="6" t="e">
        <f ca="1"/>
        <v>#NAME?</v>
      </c>
      <c r="H95" s="6" t="e">
        <f ca="1"/>
        <v>#NAME?</v>
      </c>
      <c r="I95" s="6"/>
      <c r="J95" s="6"/>
      <c r="K95" s="6"/>
      <c r="L95" s="6"/>
      <c r="M95" s="6"/>
      <c r="N95" s="6"/>
      <c r="O95" s="6"/>
      <c r="P95" s="6"/>
      <c r="Q95" s="6"/>
      <c r="R95" s="6"/>
      <c r="S95" s="6"/>
      <c r="T95" s="6"/>
    </row>
    <row r="96" spans="1:20">
      <c r="A96" s="6">
        <v>0</v>
      </c>
      <c r="B96" s="6">
        <v>0</v>
      </c>
      <c r="C96" s="6" t="e">
        <f ca="1"/>
        <v>#NAME?</v>
      </c>
      <c r="D96" s="6" t="e">
        <f ca="1"/>
        <v>#NAME?</v>
      </c>
      <c r="E96" s="6" t="e">
        <f ca="1"/>
        <v>#NAME?</v>
      </c>
      <c r="F96" s="6" t="e">
        <f ca="1"/>
        <v>#NAME?</v>
      </c>
      <c r="G96" s="6" t="e">
        <f ca="1"/>
        <v>#NAME?</v>
      </c>
      <c r="H96" s="6" t="e">
        <f ca="1"/>
        <v>#NAME?</v>
      </c>
      <c r="I96" s="6"/>
      <c r="J96" s="6"/>
      <c r="K96" s="6"/>
      <c r="L96" s="6"/>
      <c r="M96" s="6"/>
      <c r="N96" s="6"/>
      <c r="O96" s="6"/>
      <c r="P96" s="6"/>
      <c r="Q96" s="6"/>
      <c r="R96" s="6"/>
      <c r="S96" s="6"/>
      <c r="T96" s="6"/>
    </row>
    <row r="97" spans="1:20">
      <c r="A97" s="6">
        <v>0</v>
      </c>
      <c r="B97" s="6">
        <v>0</v>
      </c>
      <c r="C97" s="6" t="e">
        <f ca="1"/>
        <v>#NAME?</v>
      </c>
      <c r="D97" s="6" t="e">
        <f ca="1"/>
        <v>#NAME?</v>
      </c>
      <c r="E97" s="6" t="e">
        <f ca="1"/>
        <v>#NAME?</v>
      </c>
      <c r="F97" s="6" t="e">
        <f ca="1"/>
        <v>#NAME?</v>
      </c>
      <c r="G97" s="6" t="e">
        <f ca="1"/>
        <v>#NAME?</v>
      </c>
      <c r="H97" s="6" t="e">
        <f ca="1"/>
        <v>#NAME?</v>
      </c>
      <c r="I97" s="6"/>
      <c r="J97" s="6"/>
      <c r="K97" s="6"/>
      <c r="L97" s="6"/>
      <c r="M97" s="6"/>
      <c r="N97" s="6"/>
      <c r="O97" s="6"/>
      <c r="P97" s="6"/>
      <c r="Q97" s="6"/>
      <c r="R97" s="6"/>
      <c r="S97" s="6"/>
      <c r="T97" s="6"/>
    </row>
    <row r="98" spans="1:20">
      <c r="A98" s="6">
        <v>0</v>
      </c>
      <c r="B98" s="6">
        <v>0</v>
      </c>
      <c r="C98" s="6" t="e">
        <f ca="1"/>
        <v>#NAME?</v>
      </c>
      <c r="D98" s="6" t="e">
        <f ca="1"/>
        <v>#NAME?</v>
      </c>
      <c r="E98" s="6" t="e">
        <f ca="1"/>
        <v>#NAME?</v>
      </c>
      <c r="F98" s="6" t="e">
        <f ca="1"/>
        <v>#NAME?</v>
      </c>
      <c r="G98" s="6" t="e">
        <f ca="1"/>
        <v>#NAME?</v>
      </c>
      <c r="H98" s="6" t="e">
        <f ca="1"/>
        <v>#NAME?</v>
      </c>
      <c r="I98" s="6"/>
      <c r="J98" s="6"/>
      <c r="K98" s="6"/>
      <c r="L98" s="6"/>
      <c r="M98" s="6"/>
      <c r="N98" s="6"/>
      <c r="O98" s="6"/>
      <c r="P98" s="6"/>
      <c r="Q98" s="6"/>
      <c r="R98" s="6"/>
      <c r="S98" s="6"/>
      <c r="T98" s="6"/>
    </row>
    <row r="99" spans="1:20">
      <c r="A99" s="6">
        <v>0</v>
      </c>
      <c r="B99" s="6">
        <v>0</v>
      </c>
      <c r="C99" s="6" t="e">
        <f ca="1"/>
        <v>#NAME?</v>
      </c>
      <c r="D99" s="6" t="e">
        <f ca="1"/>
        <v>#NAME?</v>
      </c>
      <c r="E99" s="6" t="e">
        <f ca="1"/>
        <v>#NAME?</v>
      </c>
      <c r="F99" s="6" t="e">
        <f ca="1"/>
        <v>#NAME?</v>
      </c>
      <c r="G99" s="6" t="e">
        <f ca="1"/>
        <v>#NAME?</v>
      </c>
      <c r="H99" s="6" t="e">
        <f ca="1"/>
        <v>#NAME?</v>
      </c>
      <c r="I99" s="6"/>
      <c r="J99" s="6"/>
      <c r="K99" s="6"/>
      <c r="L99" s="6"/>
      <c r="M99" s="6"/>
      <c r="N99" s="6"/>
      <c r="O99" s="6"/>
      <c r="P99" s="6"/>
      <c r="Q99" s="6"/>
      <c r="R99" s="6"/>
      <c r="S99" s="6"/>
      <c r="T99" s="6"/>
    </row>
    <row r="100" spans="1:20">
      <c r="A100" s="6">
        <v>0</v>
      </c>
      <c r="B100" s="6">
        <v>0</v>
      </c>
      <c r="C100" s="6" t="e">
        <f ca="1"/>
        <v>#NAME?</v>
      </c>
      <c r="D100" s="6" t="e">
        <f ca="1"/>
        <v>#NAME?</v>
      </c>
      <c r="E100" s="6" t="e">
        <f ca="1"/>
        <v>#NAME?</v>
      </c>
      <c r="F100" s="6" t="e">
        <f ca="1"/>
        <v>#NAME?</v>
      </c>
      <c r="G100" s="6" t="e">
        <f ca="1"/>
        <v>#NAME?</v>
      </c>
      <c r="H100" s="6" t="e">
        <f ca="1"/>
        <v>#NAME?</v>
      </c>
      <c r="I100" s="6"/>
      <c r="J100" s="6"/>
      <c r="K100" s="6"/>
      <c r="L100" s="6"/>
      <c r="M100" s="6"/>
      <c r="N100" s="6"/>
      <c r="O100" s="6"/>
      <c r="P100" s="6"/>
      <c r="Q100" s="6"/>
      <c r="R100" s="6"/>
      <c r="S100" s="6"/>
      <c r="T100" s="6"/>
    </row>
    <row r="101" spans="1:20">
      <c r="A101" s="6">
        <v>0</v>
      </c>
      <c r="B101" s="6">
        <v>0</v>
      </c>
      <c r="C101" s="6" t="e">
        <f ca="1"/>
        <v>#NAME?</v>
      </c>
      <c r="D101" s="6" t="e">
        <f ca="1"/>
        <v>#NAME?</v>
      </c>
      <c r="E101" s="6" t="e">
        <f ca="1"/>
        <v>#NAME?</v>
      </c>
      <c r="F101" s="6" t="e">
        <f ca="1"/>
        <v>#NAME?</v>
      </c>
      <c r="G101" s="6" t="e">
        <f ca="1"/>
        <v>#NAME?</v>
      </c>
      <c r="H101" s="6" t="e">
        <f ca="1"/>
        <v>#NAME?</v>
      </c>
      <c r="I101" s="6"/>
      <c r="J101" s="6"/>
      <c r="K101" s="6"/>
      <c r="L101" s="6"/>
      <c r="M101" s="6"/>
      <c r="N101" s="6"/>
      <c r="O101" s="6"/>
      <c r="P101" s="6"/>
      <c r="Q101" s="6"/>
      <c r="R101" s="6"/>
      <c r="S101" s="6"/>
      <c r="T101" s="6"/>
    </row>
    <row r="102" spans="1:20">
      <c r="A102" s="6">
        <v>0</v>
      </c>
      <c r="B102" s="6">
        <v>0</v>
      </c>
      <c r="C102" s="6" t="e">
        <f ca="1"/>
        <v>#NAME?</v>
      </c>
      <c r="D102" s="6" t="e">
        <f ca="1"/>
        <v>#NAME?</v>
      </c>
      <c r="E102" s="6" t="e">
        <f ca="1"/>
        <v>#NAME?</v>
      </c>
      <c r="F102" s="6" t="e">
        <f ca="1"/>
        <v>#NAME?</v>
      </c>
      <c r="G102" s="6" t="e">
        <f ca="1"/>
        <v>#NAME?</v>
      </c>
      <c r="H102" s="6" t="e">
        <f ca="1"/>
        <v>#NAME?</v>
      </c>
      <c r="I102" s="6"/>
      <c r="J102" s="6"/>
      <c r="K102" s="6"/>
      <c r="L102" s="6"/>
      <c r="M102" s="6"/>
      <c r="N102" s="6"/>
      <c r="O102" s="6"/>
      <c r="P102" s="6"/>
      <c r="Q102" s="6"/>
      <c r="R102" s="6"/>
      <c r="S102" s="6"/>
      <c r="T102" s="6"/>
    </row>
    <row r="103" spans="1:20">
      <c r="A103" s="6">
        <v>0</v>
      </c>
      <c r="B103" s="6">
        <v>0</v>
      </c>
      <c r="C103" s="6" t="e">
        <f ca="1"/>
        <v>#NAME?</v>
      </c>
      <c r="D103" s="6" t="e">
        <f ca="1"/>
        <v>#NAME?</v>
      </c>
      <c r="E103" s="6" t="e">
        <f ca="1"/>
        <v>#NAME?</v>
      </c>
      <c r="F103" s="6" t="e">
        <f ca="1"/>
        <v>#NAME?</v>
      </c>
      <c r="G103" s="6" t="e">
        <f ca="1"/>
        <v>#NAME?</v>
      </c>
      <c r="H103" s="6" t="e">
        <f ca="1"/>
        <v>#NAME?</v>
      </c>
      <c r="I103" s="6"/>
      <c r="J103" s="6"/>
      <c r="K103" s="6"/>
      <c r="L103" s="6"/>
      <c r="M103" s="6"/>
      <c r="N103" s="6"/>
      <c r="O103" s="6"/>
      <c r="P103" s="6"/>
      <c r="Q103" s="6"/>
      <c r="R103" s="6"/>
      <c r="S103" s="6"/>
      <c r="T103" s="6"/>
    </row>
    <row r="104" spans="1:20">
      <c r="A104" s="6">
        <v>0</v>
      </c>
      <c r="B104" s="6">
        <v>0</v>
      </c>
      <c r="C104" s="6" t="e">
        <f ca="1"/>
        <v>#NAME?</v>
      </c>
      <c r="D104" s="6" t="e">
        <f ca="1"/>
        <v>#NAME?</v>
      </c>
      <c r="E104" s="6" t="e">
        <f ca="1"/>
        <v>#NAME?</v>
      </c>
      <c r="F104" s="6" t="e">
        <f ca="1"/>
        <v>#NAME?</v>
      </c>
      <c r="G104" s="6" t="e">
        <f ca="1"/>
        <v>#NAME?</v>
      </c>
      <c r="H104" s="6" t="e">
        <f ca="1"/>
        <v>#NAME?</v>
      </c>
      <c r="I104" s="6"/>
      <c r="J104" s="6"/>
      <c r="K104" s="6"/>
      <c r="L104" s="6"/>
      <c r="M104" s="6"/>
      <c r="N104" s="6"/>
      <c r="O104" s="6"/>
      <c r="P104" s="6"/>
      <c r="Q104" s="6"/>
      <c r="R104" s="6"/>
      <c r="S104" s="6"/>
      <c r="T104" s="6"/>
    </row>
    <row r="105" spans="1:20">
      <c r="A105" s="6">
        <v>0</v>
      </c>
      <c r="B105" s="6">
        <v>0</v>
      </c>
      <c r="C105" s="6" t="e">
        <f ca="1"/>
        <v>#NAME?</v>
      </c>
      <c r="D105" s="6" t="e">
        <f ca="1"/>
        <v>#NAME?</v>
      </c>
      <c r="E105" s="6" t="e">
        <f ca="1"/>
        <v>#NAME?</v>
      </c>
      <c r="F105" s="6" t="e">
        <f ca="1"/>
        <v>#NAME?</v>
      </c>
      <c r="G105" s="6" t="e">
        <f ca="1"/>
        <v>#NAME?</v>
      </c>
      <c r="H105" s="6" t="e">
        <f ca="1"/>
        <v>#NAME?</v>
      </c>
      <c r="I105" s="6"/>
      <c r="J105" s="6"/>
      <c r="K105" s="6"/>
      <c r="L105" s="6"/>
      <c r="M105" s="6"/>
      <c r="N105" s="6"/>
      <c r="O105" s="6"/>
      <c r="P105" s="6"/>
      <c r="Q105" s="6"/>
      <c r="R105" s="6"/>
      <c r="S105" s="6"/>
      <c r="T105" s="6"/>
    </row>
    <row r="106" spans="1:20">
      <c r="A106" s="6">
        <v>0</v>
      </c>
      <c r="B106" s="6">
        <v>0</v>
      </c>
      <c r="C106" s="6" t="e">
        <f ca="1"/>
        <v>#NAME?</v>
      </c>
      <c r="D106" s="6" t="e">
        <f ca="1"/>
        <v>#NAME?</v>
      </c>
      <c r="E106" s="6" t="e">
        <f ca="1"/>
        <v>#NAME?</v>
      </c>
      <c r="F106" s="6" t="e">
        <f ca="1"/>
        <v>#NAME?</v>
      </c>
      <c r="G106" s="6" t="e">
        <f ca="1"/>
        <v>#NAME?</v>
      </c>
      <c r="H106" s="6" t="e">
        <f ca="1"/>
        <v>#NAME?</v>
      </c>
      <c r="I106" s="6"/>
      <c r="J106" s="6"/>
      <c r="K106" s="6"/>
      <c r="L106" s="6"/>
      <c r="M106" s="6"/>
      <c r="N106" s="6"/>
      <c r="O106" s="6"/>
      <c r="P106" s="6"/>
      <c r="Q106" s="6"/>
      <c r="R106" s="6"/>
      <c r="S106" s="6"/>
      <c r="T106" s="6"/>
    </row>
    <row r="107" spans="1:20">
      <c r="A107" s="6">
        <v>0</v>
      </c>
      <c r="B107" s="6">
        <v>0</v>
      </c>
      <c r="C107" s="6" t="e">
        <f ca="1"/>
        <v>#NAME?</v>
      </c>
      <c r="D107" s="6" t="e">
        <f ca="1"/>
        <v>#NAME?</v>
      </c>
      <c r="E107" s="6" t="e">
        <f ca="1"/>
        <v>#NAME?</v>
      </c>
      <c r="F107" s="6" t="e">
        <f ca="1"/>
        <v>#NAME?</v>
      </c>
      <c r="G107" s="6" t="e">
        <f ca="1"/>
        <v>#NAME?</v>
      </c>
      <c r="H107" s="6" t="e">
        <f ca="1"/>
        <v>#NAME?</v>
      </c>
      <c r="I107" s="6"/>
      <c r="J107" s="6"/>
      <c r="K107" s="6"/>
      <c r="L107" s="6"/>
      <c r="M107" s="6"/>
      <c r="N107" s="6"/>
      <c r="O107" s="6"/>
      <c r="P107" s="6"/>
      <c r="Q107" s="6"/>
      <c r="R107" s="6"/>
      <c r="S107" s="6"/>
      <c r="T107" s="6"/>
    </row>
    <row r="108" spans="1:20">
      <c r="A108" s="6">
        <v>0</v>
      </c>
      <c r="B108" s="6">
        <v>0</v>
      </c>
      <c r="C108" s="6" t="e">
        <f ca="1"/>
        <v>#NAME?</v>
      </c>
      <c r="D108" s="6" t="e">
        <f ca="1"/>
        <v>#NAME?</v>
      </c>
      <c r="E108" s="6" t="e">
        <f ca="1"/>
        <v>#NAME?</v>
      </c>
      <c r="F108" s="6" t="e">
        <f ca="1"/>
        <v>#NAME?</v>
      </c>
      <c r="G108" s="6" t="e">
        <f ca="1"/>
        <v>#NAME?</v>
      </c>
      <c r="H108" s="6" t="e">
        <f ca="1"/>
        <v>#NAME?</v>
      </c>
      <c r="I108" s="6"/>
      <c r="J108" s="6"/>
      <c r="K108" s="6"/>
      <c r="L108" s="6"/>
      <c r="M108" s="6"/>
      <c r="N108" s="6"/>
      <c r="O108" s="6"/>
      <c r="P108" s="6"/>
      <c r="Q108" s="6"/>
      <c r="R108" s="6"/>
      <c r="S108" s="6"/>
      <c r="T108" s="6"/>
    </row>
    <row r="109" spans="1:20">
      <c r="A109" s="6">
        <v>0</v>
      </c>
      <c r="B109" s="6">
        <v>0</v>
      </c>
      <c r="C109" s="6" t="e">
        <f ca="1"/>
        <v>#NAME?</v>
      </c>
      <c r="D109" s="6" t="e">
        <f ca="1"/>
        <v>#NAME?</v>
      </c>
      <c r="E109" s="6" t="e">
        <f ca="1"/>
        <v>#NAME?</v>
      </c>
      <c r="F109" s="6" t="e">
        <f ca="1"/>
        <v>#NAME?</v>
      </c>
      <c r="G109" s="6" t="e">
        <f ca="1"/>
        <v>#NAME?</v>
      </c>
      <c r="H109" s="6" t="e">
        <f ca="1"/>
        <v>#NAME?</v>
      </c>
      <c r="I109" s="6"/>
      <c r="J109" s="6"/>
      <c r="K109" s="6"/>
      <c r="L109" s="6"/>
      <c r="M109" s="6"/>
      <c r="N109" s="6"/>
      <c r="O109" s="6"/>
      <c r="P109" s="6"/>
      <c r="Q109" s="6"/>
      <c r="R109" s="6"/>
      <c r="S109" s="6"/>
      <c r="T109" s="6"/>
    </row>
    <row r="110" spans="1:20">
      <c r="A110" s="6">
        <v>0</v>
      </c>
      <c r="B110" s="6">
        <v>0</v>
      </c>
      <c r="C110" s="6" t="e">
        <f ca="1"/>
        <v>#NAME?</v>
      </c>
      <c r="D110" s="6" t="e">
        <f ca="1"/>
        <v>#NAME?</v>
      </c>
      <c r="E110" s="6" t="e">
        <f ca="1"/>
        <v>#NAME?</v>
      </c>
      <c r="F110" s="6" t="e">
        <f ca="1"/>
        <v>#NAME?</v>
      </c>
      <c r="G110" s="6" t="e">
        <f ca="1"/>
        <v>#NAME?</v>
      </c>
      <c r="H110" s="6" t="e">
        <f ca="1"/>
        <v>#NAME?</v>
      </c>
      <c r="I110" s="6"/>
      <c r="J110" s="6"/>
      <c r="K110" s="6"/>
      <c r="L110" s="6"/>
      <c r="M110" s="6"/>
      <c r="N110" s="6"/>
      <c r="O110" s="6"/>
      <c r="P110" s="6"/>
      <c r="Q110" s="6"/>
      <c r="R110" s="6"/>
      <c r="S110" s="6"/>
      <c r="T110" s="6"/>
    </row>
    <row r="111" spans="1:20">
      <c r="A111" s="6">
        <v>0</v>
      </c>
      <c r="B111" s="6">
        <v>0</v>
      </c>
      <c r="C111" s="6" t="e">
        <f ca="1"/>
        <v>#NAME?</v>
      </c>
      <c r="D111" s="6" t="e">
        <f ca="1"/>
        <v>#NAME?</v>
      </c>
      <c r="E111" s="6" t="e">
        <f ca="1"/>
        <v>#NAME?</v>
      </c>
      <c r="F111" s="6" t="e">
        <f ca="1"/>
        <v>#NAME?</v>
      </c>
      <c r="G111" s="6" t="e">
        <f ca="1"/>
        <v>#NAME?</v>
      </c>
      <c r="H111" s="6" t="e">
        <f ca="1"/>
        <v>#NAME?</v>
      </c>
      <c r="I111" s="6"/>
      <c r="J111" s="6"/>
      <c r="K111" s="6"/>
      <c r="L111" s="6"/>
      <c r="M111" s="6"/>
      <c r="N111" s="6"/>
      <c r="O111" s="6"/>
      <c r="P111" s="6"/>
      <c r="Q111" s="6"/>
      <c r="R111" s="6"/>
      <c r="S111" s="6"/>
      <c r="T111" s="6"/>
    </row>
    <row r="112" spans="1:20">
      <c r="A112" s="6">
        <v>0</v>
      </c>
      <c r="B112" s="6">
        <v>0</v>
      </c>
      <c r="C112" s="6" t="e">
        <f ca="1"/>
        <v>#NAME?</v>
      </c>
      <c r="D112" s="6" t="e">
        <f ca="1"/>
        <v>#NAME?</v>
      </c>
      <c r="E112" s="6" t="e">
        <f ca="1"/>
        <v>#NAME?</v>
      </c>
      <c r="F112" s="6" t="e">
        <f ca="1"/>
        <v>#NAME?</v>
      </c>
      <c r="G112" s="6" t="e">
        <f ca="1"/>
        <v>#NAME?</v>
      </c>
      <c r="H112" s="6" t="e">
        <f ca="1"/>
        <v>#NAME?</v>
      </c>
      <c r="I112" s="6"/>
      <c r="J112" s="6"/>
      <c r="K112" s="6"/>
      <c r="L112" s="6"/>
      <c r="M112" s="6"/>
      <c r="N112" s="6"/>
      <c r="O112" s="6"/>
      <c r="P112" s="6"/>
      <c r="Q112" s="6"/>
      <c r="R112" s="6"/>
      <c r="S112" s="6"/>
      <c r="T112" s="6"/>
    </row>
    <row r="113" spans="1:20">
      <c r="A113" s="6">
        <v>0</v>
      </c>
      <c r="B113" s="6">
        <v>0</v>
      </c>
      <c r="C113" s="6" t="e">
        <f ca="1"/>
        <v>#NAME?</v>
      </c>
      <c r="D113" s="6" t="e">
        <f ca="1"/>
        <v>#NAME?</v>
      </c>
      <c r="E113" s="6" t="e">
        <f ca="1"/>
        <v>#NAME?</v>
      </c>
      <c r="F113" s="6" t="e">
        <f ca="1"/>
        <v>#NAME?</v>
      </c>
      <c r="G113" s="6" t="e">
        <f ca="1"/>
        <v>#NAME?</v>
      </c>
      <c r="H113" s="6" t="e">
        <f ca="1"/>
        <v>#NAME?</v>
      </c>
      <c r="I113" s="6"/>
      <c r="J113" s="6"/>
      <c r="K113" s="6"/>
      <c r="L113" s="6"/>
      <c r="M113" s="6"/>
      <c r="N113" s="6"/>
      <c r="O113" s="6"/>
      <c r="P113" s="6"/>
      <c r="Q113" s="6"/>
      <c r="R113" s="6"/>
      <c r="S113" s="6"/>
      <c r="T113" s="6"/>
    </row>
    <row r="114" spans="1:20">
      <c r="A114" s="6">
        <v>0</v>
      </c>
      <c r="B114" s="6">
        <v>0</v>
      </c>
      <c r="C114" s="6" t="e">
        <f ca="1"/>
        <v>#NAME?</v>
      </c>
      <c r="D114" s="6" t="e">
        <f ca="1"/>
        <v>#NAME?</v>
      </c>
      <c r="E114" s="6" t="e">
        <f ca="1"/>
        <v>#NAME?</v>
      </c>
      <c r="F114" s="6" t="e">
        <f ca="1"/>
        <v>#NAME?</v>
      </c>
      <c r="G114" s="6" t="e">
        <f ca="1"/>
        <v>#NAME?</v>
      </c>
      <c r="H114" s="6" t="e">
        <f ca="1"/>
        <v>#NAME?</v>
      </c>
      <c r="I114" s="6"/>
      <c r="J114" s="6"/>
      <c r="K114" s="6"/>
      <c r="L114" s="6"/>
      <c r="M114" s="6"/>
      <c r="N114" s="6"/>
      <c r="O114" s="6"/>
      <c r="P114" s="6"/>
      <c r="Q114" s="6"/>
      <c r="R114" s="6"/>
      <c r="S114" s="6"/>
      <c r="T114" s="6"/>
    </row>
    <row r="115" spans="1:20">
      <c r="A115" s="6">
        <v>0</v>
      </c>
      <c r="B115" s="6">
        <v>0</v>
      </c>
      <c r="C115" s="6" t="e">
        <f ca="1"/>
        <v>#NAME?</v>
      </c>
      <c r="D115" s="6" t="e">
        <f ca="1"/>
        <v>#NAME?</v>
      </c>
      <c r="E115" s="6" t="e">
        <f ca="1"/>
        <v>#NAME?</v>
      </c>
      <c r="F115" s="6" t="e">
        <f ca="1"/>
        <v>#NAME?</v>
      </c>
      <c r="G115" s="6" t="e">
        <f ca="1"/>
        <v>#NAME?</v>
      </c>
      <c r="H115" s="6" t="e">
        <f ca="1"/>
        <v>#NAME?</v>
      </c>
      <c r="I115" s="6"/>
      <c r="J115" s="6"/>
      <c r="K115" s="6"/>
      <c r="L115" s="6"/>
      <c r="M115" s="6"/>
      <c r="N115" s="6"/>
      <c r="O115" s="6"/>
      <c r="P115" s="6"/>
      <c r="Q115" s="6"/>
      <c r="R115" s="6"/>
      <c r="S115" s="6"/>
      <c r="T115" s="6"/>
    </row>
    <row r="116" spans="1:20">
      <c r="A116" s="6">
        <v>0</v>
      </c>
      <c r="B116" s="6">
        <v>0</v>
      </c>
      <c r="C116" s="6" t="e">
        <f ca="1"/>
        <v>#NAME?</v>
      </c>
      <c r="D116" s="6" t="e">
        <f ca="1"/>
        <v>#NAME?</v>
      </c>
      <c r="E116" s="6" t="e">
        <f ca="1"/>
        <v>#NAME?</v>
      </c>
      <c r="F116" s="6" t="e">
        <f ca="1"/>
        <v>#NAME?</v>
      </c>
      <c r="G116" s="6" t="e">
        <f ca="1"/>
        <v>#NAME?</v>
      </c>
      <c r="H116" s="6" t="e">
        <f ca="1"/>
        <v>#NAME?</v>
      </c>
      <c r="I116" s="6"/>
      <c r="J116" s="6"/>
      <c r="K116" s="6"/>
      <c r="L116" s="6"/>
      <c r="M116" s="6"/>
      <c r="N116" s="6"/>
      <c r="O116" s="6"/>
      <c r="P116" s="6"/>
      <c r="Q116" s="6"/>
      <c r="R116" s="6"/>
      <c r="S116" s="6"/>
      <c r="T116" s="6"/>
    </row>
    <row r="117" spans="1:20">
      <c r="A117" s="6">
        <v>0</v>
      </c>
      <c r="B117" s="6">
        <v>0</v>
      </c>
      <c r="C117" s="6" t="e">
        <f ca="1"/>
        <v>#NAME?</v>
      </c>
      <c r="D117" s="6" t="e">
        <f ca="1"/>
        <v>#NAME?</v>
      </c>
      <c r="E117" s="6" t="e">
        <f ca="1"/>
        <v>#NAME?</v>
      </c>
      <c r="F117" s="6" t="e">
        <f ca="1"/>
        <v>#NAME?</v>
      </c>
      <c r="G117" s="6" t="e">
        <f ca="1"/>
        <v>#NAME?</v>
      </c>
      <c r="H117" s="6" t="e">
        <f ca="1"/>
        <v>#NAME?</v>
      </c>
      <c r="I117" s="6"/>
      <c r="J117" s="6"/>
      <c r="K117" s="6"/>
      <c r="L117" s="6"/>
      <c r="M117" s="6"/>
      <c r="N117" s="6"/>
      <c r="O117" s="6"/>
      <c r="P117" s="6"/>
      <c r="Q117" s="6"/>
      <c r="R117" s="6"/>
      <c r="S117" s="6"/>
      <c r="T117" s="6"/>
    </row>
    <row r="118" spans="1:20">
      <c r="A118" s="6">
        <v>0</v>
      </c>
      <c r="B118" s="6">
        <v>0</v>
      </c>
      <c r="C118" s="6" t="e">
        <f ca="1"/>
        <v>#NAME?</v>
      </c>
      <c r="D118" s="6" t="e">
        <f ca="1"/>
        <v>#NAME?</v>
      </c>
      <c r="E118" s="6" t="e">
        <f ca="1"/>
        <v>#NAME?</v>
      </c>
      <c r="F118" s="6" t="e">
        <f ca="1"/>
        <v>#NAME?</v>
      </c>
      <c r="G118" s="6" t="e">
        <f ca="1"/>
        <v>#NAME?</v>
      </c>
      <c r="H118" s="6" t="e">
        <f ca="1"/>
        <v>#NAME?</v>
      </c>
      <c r="I118" s="6"/>
      <c r="J118" s="6"/>
      <c r="K118" s="6"/>
      <c r="L118" s="6"/>
      <c r="M118" s="6"/>
      <c r="N118" s="6"/>
      <c r="O118" s="6"/>
      <c r="P118" s="6"/>
      <c r="Q118" s="6"/>
      <c r="R118" s="6"/>
      <c r="S118" s="6"/>
      <c r="T118" s="6"/>
    </row>
    <row r="119" spans="1:20">
      <c r="A119" s="6">
        <v>0</v>
      </c>
      <c r="B119" s="6">
        <v>0</v>
      </c>
      <c r="C119" s="6" t="e">
        <f ca="1"/>
        <v>#NAME?</v>
      </c>
      <c r="D119" s="6" t="e">
        <f ca="1"/>
        <v>#NAME?</v>
      </c>
      <c r="E119" s="6" t="e">
        <f ca="1"/>
        <v>#NAME?</v>
      </c>
      <c r="F119" s="6" t="e">
        <f ca="1"/>
        <v>#NAME?</v>
      </c>
      <c r="G119" s="6" t="e">
        <f ca="1"/>
        <v>#NAME?</v>
      </c>
      <c r="H119" s="6" t="e">
        <f ca="1"/>
        <v>#NAME?</v>
      </c>
      <c r="I119" s="6"/>
      <c r="J119" s="6"/>
      <c r="K119" s="6"/>
      <c r="L119" s="6"/>
      <c r="M119" s="6"/>
      <c r="N119" s="6"/>
      <c r="O119" s="6"/>
      <c r="P119" s="6"/>
      <c r="Q119" s="6"/>
      <c r="R119" s="6"/>
      <c r="S119" s="6"/>
      <c r="T119" s="6"/>
    </row>
    <row r="120" spans="1:20">
      <c r="A120" s="6">
        <v>0</v>
      </c>
      <c r="B120" s="6">
        <v>0</v>
      </c>
      <c r="C120" s="6" t="e">
        <f ca="1"/>
        <v>#NAME?</v>
      </c>
      <c r="D120" s="6" t="e">
        <f ca="1"/>
        <v>#NAME?</v>
      </c>
      <c r="E120" s="6" t="e">
        <f ca="1"/>
        <v>#NAME?</v>
      </c>
      <c r="F120" s="6" t="e">
        <f ca="1"/>
        <v>#NAME?</v>
      </c>
      <c r="G120" s="6" t="e">
        <f ca="1"/>
        <v>#NAME?</v>
      </c>
      <c r="H120" s="6" t="e">
        <f ca="1"/>
        <v>#NAME?</v>
      </c>
      <c r="I120" s="6"/>
      <c r="J120" s="6"/>
      <c r="K120" s="6"/>
      <c r="L120" s="6"/>
      <c r="M120" s="6"/>
      <c r="N120" s="6"/>
      <c r="O120" s="6"/>
      <c r="P120" s="6"/>
      <c r="Q120" s="6"/>
      <c r="R120" s="6"/>
      <c r="S120" s="6"/>
      <c r="T120" s="6"/>
    </row>
    <row r="121" spans="1:20">
      <c r="A121" s="6">
        <v>0</v>
      </c>
      <c r="B121" s="6">
        <v>0</v>
      </c>
      <c r="C121" s="6" t="e">
        <f ca="1"/>
        <v>#NAME?</v>
      </c>
      <c r="D121" s="6" t="e">
        <f ca="1"/>
        <v>#NAME?</v>
      </c>
      <c r="E121" s="6" t="e">
        <f ca="1"/>
        <v>#NAME?</v>
      </c>
      <c r="F121" s="6" t="e">
        <f ca="1"/>
        <v>#NAME?</v>
      </c>
      <c r="G121" s="6" t="e">
        <f ca="1"/>
        <v>#NAME?</v>
      </c>
      <c r="H121" s="6" t="e">
        <f ca="1"/>
        <v>#NAME?</v>
      </c>
      <c r="I121" s="6"/>
      <c r="J121" s="6"/>
      <c r="K121" s="6"/>
      <c r="L121" s="6"/>
      <c r="M121" s="6"/>
      <c r="N121" s="6"/>
      <c r="O121" s="6"/>
      <c r="P121" s="6"/>
      <c r="Q121" s="6"/>
      <c r="R121" s="6"/>
      <c r="S121" s="6"/>
      <c r="T121" s="6"/>
    </row>
    <row r="122" spans="1:20">
      <c r="A122" s="6">
        <v>0</v>
      </c>
      <c r="B122" s="6">
        <v>0</v>
      </c>
      <c r="C122" s="6" t="e">
        <f ca="1"/>
        <v>#NAME?</v>
      </c>
      <c r="D122" s="6" t="e">
        <f ca="1"/>
        <v>#NAME?</v>
      </c>
      <c r="E122" s="6" t="e">
        <f ca="1"/>
        <v>#NAME?</v>
      </c>
      <c r="F122" s="6" t="e">
        <f ca="1"/>
        <v>#NAME?</v>
      </c>
      <c r="G122" s="6" t="e">
        <f ca="1"/>
        <v>#NAME?</v>
      </c>
      <c r="H122" s="6" t="e">
        <f ca="1"/>
        <v>#NAME?</v>
      </c>
      <c r="I122" s="6"/>
      <c r="J122" s="6"/>
      <c r="K122" s="6"/>
      <c r="L122" s="6"/>
      <c r="M122" s="6"/>
      <c r="N122" s="6"/>
      <c r="O122" s="6"/>
      <c r="P122" s="6"/>
      <c r="Q122" s="6"/>
      <c r="R122" s="6"/>
      <c r="S122" s="6"/>
      <c r="T122" s="6"/>
    </row>
    <row r="123" spans="1:20">
      <c r="A123" s="6">
        <v>0</v>
      </c>
      <c r="B123" s="6">
        <v>0</v>
      </c>
      <c r="C123" s="6" t="e">
        <f ca="1"/>
        <v>#NAME?</v>
      </c>
      <c r="D123" s="6" t="e">
        <f ca="1"/>
        <v>#NAME?</v>
      </c>
      <c r="E123" s="6" t="e">
        <f ca="1"/>
        <v>#NAME?</v>
      </c>
      <c r="F123" s="6" t="e">
        <f ca="1"/>
        <v>#NAME?</v>
      </c>
      <c r="G123" s="6" t="e">
        <f ca="1"/>
        <v>#NAME?</v>
      </c>
      <c r="H123" s="6" t="e">
        <f ca="1"/>
        <v>#NAME?</v>
      </c>
      <c r="I123" s="6"/>
      <c r="J123" s="6"/>
      <c r="K123" s="6"/>
      <c r="L123" s="6"/>
      <c r="M123" s="6"/>
      <c r="N123" s="6"/>
      <c r="O123" s="6"/>
      <c r="P123" s="6"/>
      <c r="Q123" s="6"/>
      <c r="R123" s="6"/>
      <c r="S123" s="6"/>
      <c r="T123" s="6"/>
    </row>
    <row r="124" spans="1:20">
      <c r="A124" s="6">
        <v>0</v>
      </c>
      <c r="B124" s="6">
        <v>0</v>
      </c>
      <c r="C124" s="6" t="e">
        <f ca="1"/>
        <v>#NAME?</v>
      </c>
      <c r="D124" s="6" t="e">
        <f ca="1"/>
        <v>#NAME?</v>
      </c>
      <c r="E124" s="6" t="e">
        <f ca="1"/>
        <v>#NAME?</v>
      </c>
      <c r="F124" s="6" t="e">
        <f ca="1"/>
        <v>#NAME?</v>
      </c>
      <c r="G124" s="6" t="e">
        <f ca="1"/>
        <v>#NAME?</v>
      </c>
      <c r="H124" s="6" t="e">
        <f ca="1"/>
        <v>#NAME?</v>
      </c>
      <c r="I124" s="6"/>
      <c r="J124" s="6"/>
      <c r="K124" s="6"/>
      <c r="L124" s="6"/>
      <c r="M124" s="6"/>
      <c r="N124" s="6"/>
      <c r="O124" s="6"/>
      <c r="P124" s="6"/>
      <c r="Q124" s="6"/>
      <c r="R124" s="6"/>
      <c r="S124" s="6"/>
      <c r="T124" s="6"/>
    </row>
    <row r="125" spans="1:20">
      <c r="A125" s="6">
        <v>0</v>
      </c>
      <c r="B125" s="6">
        <v>0</v>
      </c>
      <c r="C125" s="6" t="e">
        <f ca="1"/>
        <v>#NAME?</v>
      </c>
      <c r="D125" s="6" t="e">
        <f ca="1"/>
        <v>#NAME?</v>
      </c>
      <c r="E125" s="6" t="e">
        <f ca="1"/>
        <v>#NAME?</v>
      </c>
      <c r="F125" s="6" t="e">
        <f ca="1"/>
        <v>#NAME?</v>
      </c>
      <c r="G125" s="6" t="e">
        <f ca="1"/>
        <v>#NAME?</v>
      </c>
      <c r="H125" s="6" t="e">
        <f ca="1"/>
        <v>#NAME?</v>
      </c>
      <c r="I125" s="6"/>
      <c r="J125" s="6"/>
      <c r="K125" s="6"/>
      <c r="L125" s="6"/>
      <c r="M125" s="6"/>
      <c r="N125" s="6"/>
      <c r="O125" s="6"/>
      <c r="P125" s="6"/>
      <c r="Q125" s="6"/>
      <c r="R125" s="6"/>
      <c r="S125" s="6"/>
      <c r="T125" s="6"/>
    </row>
    <row r="126" spans="1:20">
      <c r="A126" s="6">
        <v>0</v>
      </c>
      <c r="B126" s="6">
        <v>0</v>
      </c>
      <c r="C126" s="6" t="e">
        <f ca="1"/>
        <v>#NAME?</v>
      </c>
      <c r="D126" s="6" t="e">
        <f ca="1"/>
        <v>#NAME?</v>
      </c>
      <c r="E126" s="6" t="e">
        <f ca="1"/>
        <v>#NAME?</v>
      </c>
      <c r="F126" s="6" t="e">
        <f ca="1"/>
        <v>#NAME?</v>
      </c>
      <c r="G126" s="6" t="e">
        <f ca="1"/>
        <v>#NAME?</v>
      </c>
      <c r="H126" s="6" t="e">
        <f ca="1"/>
        <v>#NAME?</v>
      </c>
      <c r="I126" s="6"/>
      <c r="J126" s="6"/>
      <c r="K126" s="6"/>
      <c r="L126" s="6"/>
      <c r="M126" s="6"/>
      <c r="N126" s="6"/>
      <c r="O126" s="6"/>
      <c r="P126" s="6"/>
      <c r="Q126" s="6"/>
      <c r="R126" s="6"/>
      <c r="S126" s="6"/>
      <c r="T126" s="6"/>
    </row>
    <row r="127" spans="1:20">
      <c r="A127" s="6">
        <v>0</v>
      </c>
      <c r="B127" s="6">
        <v>0</v>
      </c>
      <c r="C127" s="6" t="e">
        <f ca="1"/>
        <v>#NAME?</v>
      </c>
      <c r="D127" s="6" t="e">
        <f ca="1"/>
        <v>#NAME?</v>
      </c>
      <c r="E127" s="6" t="e">
        <f ca="1"/>
        <v>#NAME?</v>
      </c>
      <c r="F127" s="6" t="e">
        <f ca="1"/>
        <v>#NAME?</v>
      </c>
      <c r="G127" s="6" t="e">
        <f ca="1"/>
        <v>#NAME?</v>
      </c>
      <c r="H127" s="6" t="e">
        <f ca="1"/>
        <v>#NAME?</v>
      </c>
      <c r="I127" s="6"/>
      <c r="J127" s="6"/>
      <c r="K127" s="6"/>
      <c r="L127" s="6"/>
      <c r="M127" s="6"/>
      <c r="N127" s="6"/>
      <c r="O127" s="6"/>
      <c r="P127" s="6"/>
      <c r="Q127" s="6"/>
      <c r="R127" s="6"/>
      <c r="S127" s="6"/>
      <c r="T127" s="6"/>
    </row>
    <row r="128" spans="1:20">
      <c r="A128" s="6">
        <v>0</v>
      </c>
      <c r="B128" s="6">
        <v>0</v>
      </c>
      <c r="C128" s="6" t="e">
        <f ca="1"/>
        <v>#NAME?</v>
      </c>
      <c r="D128" s="6" t="e">
        <f ca="1"/>
        <v>#NAME?</v>
      </c>
      <c r="E128" s="6" t="e">
        <f ca="1"/>
        <v>#NAME?</v>
      </c>
      <c r="F128" s="6" t="e">
        <f ca="1"/>
        <v>#NAME?</v>
      </c>
      <c r="G128" s="6" t="e">
        <f ca="1"/>
        <v>#NAME?</v>
      </c>
      <c r="H128" s="6" t="e">
        <f ca="1"/>
        <v>#NAME?</v>
      </c>
      <c r="I128" s="6"/>
      <c r="J128" s="6"/>
      <c r="K128" s="6"/>
      <c r="L128" s="6"/>
      <c r="M128" s="6"/>
      <c r="N128" s="6"/>
      <c r="O128" s="6"/>
      <c r="P128" s="6"/>
      <c r="Q128" s="6"/>
      <c r="R128" s="6"/>
      <c r="S128" s="6"/>
      <c r="T128" s="6"/>
    </row>
    <row r="129" spans="1:20">
      <c r="A129" s="6">
        <v>0</v>
      </c>
      <c r="B129" s="6">
        <v>0</v>
      </c>
      <c r="C129" s="6" t="e">
        <f ca="1"/>
        <v>#NAME?</v>
      </c>
      <c r="D129" s="6" t="e">
        <f ca="1"/>
        <v>#NAME?</v>
      </c>
      <c r="E129" s="6" t="e">
        <f ca="1"/>
        <v>#NAME?</v>
      </c>
      <c r="F129" s="6" t="e">
        <f ca="1"/>
        <v>#NAME?</v>
      </c>
      <c r="G129" s="6" t="e">
        <f ca="1"/>
        <v>#NAME?</v>
      </c>
      <c r="H129" s="6" t="e">
        <f ca="1"/>
        <v>#NAME?</v>
      </c>
      <c r="I129" s="6"/>
      <c r="J129" s="6"/>
      <c r="K129" s="6"/>
      <c r="L129" s="6"/>
      <c r="M129" s="6"/>
      <c r="N129" s="6"/>
      <c r="O129" s="6"/>
      <c r="P129" s="6"/>
      <c r="Q129" s="6"/>
      <c r="R129" s="6"/>
      <c r="S129" s="6"/>
      <c r="T129" s="6"/>
    </row>
    <row r="130" spans="1:20">
      <c r="A130" s="6">
        <v>0</v>
      </c>
      <c r="B130" s="6">
        <v>0</v>
      </c>
      <c r="C130" s="6" t="e">
        <f ca="1"/>
        <v>#NAME?</v>
      </c>
      <c r="D130" s="6" t="e">
        <f ca="1"/>
        <v>#NAME?</v>
      </c>
      <c r="E130" s="6" t="e">
        <f ca="1"/>
        <v>#NAME?</v>
      </c>
      <c r="F130" s="6" t="e">
        <f ca="1"/>
        <v>#NAME?</v>
      </c>
      <c r="G130" s="6" t="e">
        <f ca="1"/>
        <v>#NAME?</v>
      </c>
      <c r="H130" s="6" t="e">
        <f ca="1"/>
        <v>#NAME?</v>
      </c>
      <c r="I130" s="6"/>
      <c r="J130" s="6"/>
      <c r="K130" s="6"/>
      <c r="L130" s="6"/>
      <c r="M130" s="6"/>
      <c r="N130" s="6"/>
      <c r="O130" s="6"/>
      <c r="P130" s="6"/>
      <c r="Q130" s="6"/>
      <c r="R130" s="6"/>
      <c r="S130" s="6"/>
      <c r="T130" s="6"/>
    </row>
    <row r="131" spans="1:20">
      <c r="A131" s="6">
        <v>0</v>
      </c>
      <c r="B131" s="6">
        <v>0</v>
      </c>
      <c r="C131" s="6" t="e">
        <f ca="1"/>
        <v>#NAME?</v>
      </c>
      <c r="D131" s="6" t="e">
        <f ca="1"/>
        <v>#NAME?</v>
      </c>
      <c r="E131" s="6" t="e">
        <f ca="1"/>
        <v>#NAME?</v>
      </c>
      <c r="F131" s="6" t="e">
        <f ca="1"/>
        <v>#NAME?</v>
      </c>
      <c r="G131" s="6" t="e">
        <f ca="1"/>
        <v>#NAME?</v>
      </c>
      <c r="H131" s="6" t="e">
        <f ca="1"/>
        <v>#NAME?</v>
      </c>
      <c r="I131" s="6"/>
      <c r="J131" s="6"/>
      <c r="K131" s="6"/>
      <c r="L131" s="6"/>
      <c r="M131" s="6"/>
      <c r="N131" s="6"/>
      <c r="O131" s="6"/>
      <c r="P131" s="6"/>
      <c r="Q131" s="6"/>
      <c r="R131" s="6"/>
      <c r="S131" s="6"/>
      <c r="T131" s="6"/>
    </row>
    <row r="132" spans="1:20">
      <c r="A132" s="6">
        <v>0</v>
      </c>
      <c r="B132" s="6">
        <v>0</v>
      </c>
      <c r="C132" s="6" t="e">
        <f ca="1"/>
        <v>#NAME?</v>
      </c>
      <c r="D132" s="6" t="e">
        <f ca="1"/>
        <v>#NAME?</v>
      </c>
      <c r="E132" s="6" t="e">
        <f ca="1"/>
        <v>#NAME?</v>
      </c>
      <c r="F132" s="6" t="e">
        <f ca="1"/>
        <v>#NAME?</v>
      </c>
      <c r="G132" s="6" t="e">
        <f ca="1"/>
        <v>#NAME?</v>
      </c>
      <c r="H132" s="6" t="e">
        <f ca="1"/>
        <v>#NAME?</v>
      </c>
      <c r="I132" s="6"/>
      <c r="J132" s="6"/>
      <c r="K132" s="6"/>
      <c r="L132" s="6"/>
      <c r="M132" s="6"/>
      <c r="N132" s="6"/>
      <c r="O132" s="6"/>
      <c r="P132" s="6"/>
      <c r="Q132" s="6"/>
      <c r="R132" s="6"/>
      <c r="S132" s="6"/>
      <c r="T132" s="6"/>
    </row>
    <row r="133" spans="1:20">
      <c r="A133" s="6">
        <v>0</v>
      </c>
      <c r="B133" s="6">
        <v>0</v>
      </c>
      <c r="C133" s="6" t="e">
        <f ca="1"/>
        <v>#NAME?</v>
      </c>
      <c r="D133" s="6" t="e">
        <f ca="1"/>
        <v>#NAME?</v>
      </c>
      <c r="E133" s="6" t="e">
        <f ca="1"/>
        <v>#NAME?</v>
      </c>
      <c r="F133" s="6" t="e">
        <f ca="1"/>
        <v>#NAME?</v>
      </c>
      <c r="G133" s="6" t="e">
        <f ca="1"/>
        <v>#NAME?</v>
      </c>
      <c r="H133" s="6" t="e">
        <f ca="1"/>
        <v>#NAME?</v>
      </c>
      <c r="I133" s="6"/>
      <c r="J133" s="6"/>
      <c r="K133" s="6"/>
      <c r="L133" s="6"/>
      <c r="M133" s="6"/>
      <c r="N133" s="6"/>
      <c r="O133" s="6"/>
      <c r="P133" s="6"/>
      <c r="Q133" s="6"/>
      <c r="R133" s="6"/>
      <c r="S133" s="6"/>
      <c r="T133" s="6"/>
    </row>
    <row r="134" spans="1:20">
      <c r="A134" s="6">
        <v>0</v>
      </c>
      <c r="B134" s="6">
        <v>0</v>
      </c>
      <c r="C134" s="6" t="e">
        <f ca="1"/>
        <v>#NAME?</v>
      </c>
      <c r="D134" s="6" t="e">
        <f ca="1"/>
        <v>#NAME?</v>
      </c>
      <c r="E134" s="6" t="e">
        <f ca="1"/>
        <v>#NAME?</v>
      </c>
      <c r="F134" s="6" t="e">
        <f ca="1"/>
        <v>#NAME?</v>
      </c>
      <c r="G134" s="6" t="e">
        <f ca="1"/>
        <v>#NAME?</v>
      </c>
      <c r="H134" s="6" t="e">
        <f ca="1"/>
        <v>#NAME?</v>
      </c>
      <c r="I134" s="6"/>
      <c r="J134" s="6"/>
      <c r="K134" s="6"/>
      <c r="L134" s="6"/>
      <c r="M134" s="6"/>
      <c r="N134" s="6"/>
      <c r="O134" s="6"/>
      <c r="P134" s="6"/>
      <c r="Q134" s="6"/>
      <c r="R134" s="6"/>
      <c r="S134" s="6"/>
      <c r="T134" s="6"/>
    </row>
    <row r="135" spans="1:20">
      <c r="A135" s="6">
        <v>0</v>
      </c>
      <c r="B135" s="6">
        <v>0</v>
      </c>
      <c r="C135" s="6" t="e">
        <f ca="1"/>
        <v>#NAME?</v>
      </c>
      <c r="D135" s="6" t="e">
        <f ca="1"/>
        <v>#NAME?</v>
      </c>
      <c r="E135" s="6" t="e">
        <f ca="1"/>
        <v>#NAME?</v>
      </c>
      <c r="F135" s="6" t="e">
        <f ca="1"/>
        <v>#NAME?</v>
      </c>
      <c r="G135" s="6" t="e">
        <f ca="1"/>
        <v>#NAME?</v>
      </c>
      <c r="H135" s="6" t="e">
        <f ca="1"/>
        <v>#NAME?</v>
      </c>
      <c r="I135" s="6"/>
      <c r="J135" s="6"/>
      <c r="K135" s="6"/>
      <c r="L135" s="6"/>
      <c r="M135" s="6"/>
      <c r="N135" s="6"/>
      <c r="O135" s="6"/>
      <c r="P135" s="6"/>
      <c r="Q135" s="6"/>
      <c r="R135" s="6"/>
      <c r="S135" s="6"/>
      <c r="T135" s="6"/>
    </row>
    <row r="136" spans="1:20">
      <c r="A136" s="6">
        <v>0</v>
      </c>
      <c r="B136" s="6">
        <v>0</v>
      </c>
      <c r="C136" s="6" t="e">
        <f ca="1"/>
        <v>#NAME?</v>
      </c>
      <c r="D136" s="6" t="e">
        <f ca="1"/>
        <v>#NAME?</v>
      </c>
      <c r="E136" s="6" t="e">
        <f ca="1"/>
        <v>#NAME?</v>
      </c>
      <c r="F136" s="6" t="e">
        <f ca="1"/>
        <v>#NAME?</v>
      </c>
      <c r="G136" s="6" t="e">
        <f ca="1"/>
        <v>#NAME?</v>
      </c>
      <c r="H136" s="6" t="e">
        <f ca="1"/>
        <v>#NAME?</v>
      </c>
      <c r="I136" s="6"/>
      <c r="J136" s="6"/>
      <c r="K136" s="6"/>
      <c r="L136" s="6"/>
      <c r="M136" s="6"/>
      <c r="N136" s="6"/>
      <c r="O136" s="6"/>
      <c r="P136" s="6"/>
      <c r="Q136" s="6"/>
      <c r="R136" s="6"/>
      <c r="S136" s="6"/>
      <c r="T136" s="6"/>
    </row>
    <row r="137" spans="1:20">
      <c r="A137" s="6">
        <v>0</v>
      </c>
      <c r="B137" s="6">
        <v>0</v>
      </c>
      <c r="C137" s="6" t="e">
        <f ca="1"/>
        <v>#NAME?</v>
      </c>
      <c r="D137" s="6" t="e">
        <f ca="1"/>
        <v>#NAME?</v>
      </c>
      <c r="E137" s="6" t="e">
        <f ca="1"/>
        <v>#NAME?</v>
      </c>
      <c r="F137" s="6" t="e">
        <f ca="1"/>
        <v>#NAME?</v>
      </c>
      <c r="G137" s="6" t="e">
        <f ca="1"/>
        <v>#NAME?</v>
      </c>
      <c r="H137" s="6" t="e">
        <f ca="1"/>
        <v>#NAME?</v>
      </c>
      <c r="I137" s="6"/>
      <c r="J137" s="6"/>
      <c r="K137" s="6"/>
      <c r="L137" s="6"/>
      <c r="M137" s="6"/>
      <c r="N137" s="6"/>
      <c r="O137" s="6"/>
      <c r="P137" s="6"/>
      <c r="Q137" s="6"/>
      <c r="R137" s="6"/>
      <c r="S137" s="6"/>
      <c r="T137" s="6"/>
    </row>
    <row r="138" spans="1:20">
      <c r="A138" s="6">
        <v>0</v>
      </c>
      <c r="B138" s="6">
        <v>0</v>
      </c>
      <c r="C138" s="6" t="e">
        <f ca="1"/>
        <v>#NAME?</v>
      </c>
      <c r="D138" s="6" t="e">
        <f ca="1"/>
        <v>#NAME?</v>
      </c>
      <c r="E138" s="6" t="e">
        <f ca="1"/>
        <v>#NAME?</v>
      </c>
      <c r="F138" s="6" t="e">
        <f ca="1"/>
        <v>#NAME?</v>
      </c>
      <c r="G138" s="6" t="e">
        <f ca="1"/>
        <v>#NAME?</v>
      </c>
      <c r="H138" s="6" t="e">
        <f ca="1"/>
        <v>#NAME?</v>
      </c>
      <c r="I138" s="6"/>
      <c r="J138" s="6"/>
      <c r="K138" s="6"/>
      <c r="L138" s="6"/>
      <c r="M138" s="6"/>
      <c r="N138" s="6"/>
      <c r="O138" s="6"/>
      <c r="P138" s="6"/>
      <c r="Q138" s="6"/>
      <c r="R138" s="6"/>
      <c r="S138" s="6"/>
      <c r="T138" s="6"/>
    </row>
    <row r="139" spans="1:20">
      <c r="A139" s="6">
        <v>0</v>
      </c>
      <c r="B139" s="6">
        <v>0</v>
      </c>
      <c r="C139" s="6" t="e">
        <f ca="1"/>
        <v>#NAME?</v>
      </c>
      <c r="D139" s="6" t="e">
        <f ca="1"/>
        <v>#NAME?</v>
      </c>
      <c r="E139" s="6" t="e">
        <f ca="1"/>
        <v>#NAME?</v>
      </c>
      <c r="F139" s="6" t="e">
        <f ca="1"/>
        <v>#NAME?</v>
      </c>
      <c r="G139" s="6" t="e">
        <f ca="1"/>
        <v>#NAME?</v>
      </c>
      <c r="H139" s="6" t="e">
        <f ca="1"/>
        <v>#NAME?</v>
      </c>
      <c r="I139" s="6"/>
      <c r="J139" s="6"/>
      <c r="K139" s="6"/>
      <c r="L139" s="6"/>
      <c r="M139" s="6"/>
      <c r="N139" s="6"/>
      <c r="O139" s="6"/>
      <c r="P139" s="6"/>
      <c r="Q139" s="6"/>
      <c r="R139" s="6"/>
      <c r="S139" s="6"/>
      <c r="T139" s="6"/>
    </row>
    <row r="140" spans="1:20">
      <c r="A140" s="6">
        <v>0</v>
      </c>
      <c r="B140" s="6">
        <v>0</v>
      </c>
      <c r="C140" s="6" t="e">
        <f ca="1"/>
        <v>#NAME?</v>
      </c>
      <c r="D140" s="6" t="e">
        <f ca="1"/>
        <v>#NAME?</v>
      </c>
      <c r="E140" s="6" t="e">
        <f ca="1"/>
        <v>#NAME?</v>
      </c>
      <c r="F140" s="6" t="e">
        <f ca="1"/>
        <v>#NAME?</v>
      </c>
      <c r="G140" s="6" t="e">
        <f ca="1"/>
        <v>#NAME?</v>
      </c>
      <c r="H140" s="6" t="e">
        <f ca="1"/>
        <v>#NAME?</v>
      </c>
      <c r="I140" s="6"/>
      <c r="J140" s="6"/>
      <c r="K140" s="6"/>
      <c r="L140" s="6"/>
      <c r="M140" s="6"/>
      <c r="N140" s="6"/>
      <c r="O140" s="6"/>
      <c r="P140" s="6"/>
      <c r="Q140" s="6"/>
      <c r="R140" s="6"/>
      <c r="S140" s="6"/>
      <c r="T140" s="6"/>
    </row>
    <row r="141" spans="1:20">
      <c r="A141" s="6">
        <v>0</v>
      </c>
      <c r="B141" s="6">
        <v>0</v>
      </c>
      <c r="C141" s="6" t="e">
        <f ca="1"/>
        <v>#NAME?</v>
      </c>
      <c r="D141" s="6" t="e">
        <f ca="1"/>
        <v>#NAME?</v>
      </c>
      <c r="E141" s="6" t="e">
        <f ca="1"/>
        <v>#NAME?</v>
      </c>
      <c r="F141" s="6" t="e">
        <f ca="1"/>
        <v>#NAME?</v>
      </c>
      <c r="G141" s="6" t="e">
        <f ca="1"/>
        <v>#NAME?</v>
      </c>
      <c r="H141" s="6" t="e">
        <f ca="1"/>
        <v>#NAME?</v>
      </c>
      <c r="I141" s="6"/>
      <c r="J141" s="6"/>
      <c r="K141" s="6"/>
      <c r="L141" s="6"/>
      <c r="M141" s="6"/>
      <c r="N141" s="6"/>
      <c r="O141" s="6"/>
      <c r="P141" s="6"/>
      <c r="Q141" s="6"/>
      <c r="R141" s="6"/>
      <c r="S141" s="6"/>
      <c r="T141" s="6"/>
    </row>
    <row r="142" spans="1:20">
      <c r="A142" s="6">
        <v>0</v>
      </c>
      <c r="B142" s="6">
        <v>0</v>
      </c>
      <c r="C142" s="6" t="e">
        <f ca="1"/>
        <v>#NAME?</v>
      </c>
      <c r="D142" s="6" t="e">
        <f ca="1"/>
        <v>#NAME?</v>
      </c>
      <c r="E142" s="6" t="e">
        <f ca="1"/>
        <v>#NAME?</v>
      </c>
      <c r="F142" s="6" t="e">
        <f ca="1"/>
        <v>#NAME?</v>
      </c>
      <c r="G142" s="6" t="e">
        <f ca="1"/>
        <v>#NAME?</v>
      </c>
      <c r="H142" s="6" t="e">
        <f ca="1"/>
        <v>#NAME?</v>
      </c>
      <c r="I142" s="6"/>
      <c r="J142" s="6"/>
      <c r="K142" s="6"/>
      <c r="L142" s="6"/>
      <c r="M142" s="6"/>
      <c r="N142" s="6"/>
      <c r="O142" s="6"/>
      <c r="P142" s="6"/>
      <c r="Q142" s="6"/>
      <c r="R142" s="6"/>
      <c r="S142" s="6"/>
      <c r="T142" s="6"/>
    </row>
    <row r="143" spans="1:20">
      <c r="A143" s="6">
        <v>0</v>
      </c>
      <c r="B143" s="6">
        <v>0</v>
      </c>
      <c r="C143" s="6" t="e">
        <f ca="1"/>
        <v>#NAME?</v>
      </c>
      <c r="D143" s="6" t="e">
        <f ca="1"/>
        <v>#NAME?</v>
      </c>
      <c r="E143" s="6" t="e">
        <f ca="1"/>
        <v>#NAME?</v>
      </c>
      <c r="F143" s="6" t="e">
        <f ca="1"/>
        <v>#NAME?</v>
      </c>
      <c r="G143" s="6" t="e">
        <f ca="1"/>
        <v>#NAME?</v>
      </c>
      <c r="H143" s="6" t="e">
        <f ca="1"/>
        <v>#NAME?</v>
      </c>
      <c r="I143" s="6"/>
      <c r="J143" s="6"/>
      <c r="K143" s="6"/>
      <c r="L143" s="6"/>
      <c r="M143" s="6"/>
      <c r="N143" s="6"/>
      <c r="O143" s="6"/>
      <c r="P143" s="6"/>
      <c r="Q143" s="6"/>
      <c r="R143" s="6"/>
      <c r="S143" s="6"/>
      <c r="T143" s="6"/>
    </row>
    <row r="144" spans="1:20">
      <c r="A144" s="6">
        <v>0</v>
      </c>
      <c r="B144" s="6">
        <v>0</v>
      </c>
      <c r="C144" s="6" t="e">
        <f ca="1"/>
        <v>#NAME?</v>
      </c>
      <c r="D144" s="6" t="e">
        <f ca="1"/>
        <v>#NAME?</v>
      </c>
      <c r="E144" s="6" t="e">
        <f ca="1"/>
        <v>#NAME?</v>
      </c>
      <c r="F144" s="6" t="e">
        <f ca="1"/>
        <v>#NAME?</v>
      </c>
      <c r="G144" s="6" t="e">
        <f ca="1"/>
        <v>#NAME?</v>
      </c>
      <c r="H144" s="6" t="e">
        <f ca="1"/>
        <v>#NAME?</v>
      </c>
      <c r="I144" s="6"/>
      <c r="J144" s="6"/>
      <c r="K144" s="6"/>
      <c r="L144" s="6"/>
      <c r="M144" s="6"/>
      <c r="N144" s="6"/>
      <c r="O144" s="6"/>
      <c r="P144" s="6"/>
      <c r="Q144" s="6"/>
      <c r="R144" s="6"/>
      <c r="S144" s="6"/>
      <c r="T144" s="6"/>
    </row>
    <row r="145" spans="1:20">
      <c r="A145" s="6">
        <v>0</v>
      </c>
      <c r="B145" s="6">
        <v>0</v>
      </c>
      <c r="C145" s="6" t="e">
        <f ca="1"/>
        <v>#NAME?</v>
      </c>
      <c r="D145" s="6" t="e">
        <f ca="1"/>
        <v>#NAME?</v>
      </c>
      <c r="E145" s="6" t="e">
        <f ca="1"/>
        <v>#NAME?</v>
      </c>
      <c r="F145" s="6" t="e">
        <f ca="1"/>
        <v>#NAME?</v>
      </c>
      <c r="G145" s="6" t="e">
        <f ca="1"/>
        <v>#NAME?</v>
      </c>
      <c r="H145" s="6" t="e">
        <f ca="1"/>
        <v>#NAME?</v>
      </c>
      <c r="I145" s="6"/>
      <c r="J145" s="6"/>
      <c r="K145" s="6"/>
      <c r="L145" s="6"/>
      <c r="M145" s="6"/>
      <c r="N145" s="6"/>
      <c r="O145" s="6"/>
      <c r="P145" s="6"/>
      <c r="Q145" s="6"/>
      <c r="R145" s="6"/>
      <c r="S145" s="6"/>
      <c r="T145" s="6"/>
    </row>
    <row r="146" spans="1:20">
      <c r="A146" s="6">
        <v>0</v>
      </c>
      <c r="B146" s="6">
        <v>0</v>
      </c>
      <c r="C146" s="6" t="e">
        <f ca="1"/>
        <v>#NAME?</v>
      </c>
      <c r="D146" s="6" t="e">
        <f ca="1"/>
        <v>#NAME?</v>
      </c>
      <c r="E146" s="6" t="e">
        <f ca="1"/>
        <v>#NAME?</v>
      </c>
      <c r="F146" s="6" t="e">
        <f ca="1"/>
        <v>#NAME?</v>
      </c>
      <c r="G146" s="6" t="e">
        <f ca="1"/>
        <v>#NAME?</v>
      </c>
      <c r="H146" s="6" t="e">
        <f ca="1"/>
        <v>#NAME?</v>
      </c>
      <c r="I146" s="6"/>
      <c r="J146" s="6"/>
      <c r="K146" s="6"/>
      <c r="L146" s="6"/>
      <c r="M146" s="6"/>
      <c r="N146" s="6"/>
      <c r="O146" s="6"/>
      <c r="P146" s="6"/>
      <c r="Q146" s="6"/>
      <c r="R146" s="6"/>
      <c r="S146" s="6"/>
      <c r="T146" s="6"/>
    </row>
    <row r="147" spans="1:20">
      <c r="A147" s="6">
        <v>0</v>
      </c>
      <c r="B147" s="6">
        <v>0</v>
      </c>
      <c r="C147" s="6" t="e">
        <f ca="1"/>
        <v>#NAME?</v>
      </c>
      <c r="D147" s="6" t="e">
        <f ca="1"/>
        <v>#NAME?</v>
      </c>
      <c r="E147" s="6" t="e">
        <f ca="1"/>
        <v>#NAME?</v>
      </c>
      <c r="F147" s="6" t="e">
        <f ca="1"/>
        <v>#NAME?</v>
      </c>
      <c r="G147" s="6" t="e">
        <f ca="1"/>
        <v>#NAME?</v>
      </c>
      <c r="H147" s="6" t="e">
        <f ca="1"/>
        <v>#NAME?</v>
      </c>
      <c r="I147" s="6"/>
      <c r="J147" s="6"/>
      <c r="K147" s="6"/>
      <c r="L147" s="6"/>
      <c r="M147" s="6"/>
      <c r="N147" s="6"/>
      <c r="O147" s="6"/>
      <c r="P147" s="6"/>
      <c r="Q147" s="6"/>
      <c r="R147" s="6"/>
      <c r="S147" s="6"/>
      <c r="T147" s="6"/>
    </row>
    <row r="148" spans="1:20">
      <c r="A148" s="6">
        <v>0</v>
      </c>
      <c r="B148" s="6">
        <v>0</v>
      </c>
      <c r="C148" s="6" t="e">
        <f ca="1"/>
        <v>#NAME?</v>
      </c>
      <c r="D148" s="6" t="e">
        <f ca="1"/>
        <v>#NAME?</v>
      </c>
      <c r="E148" s="6" t="e">
        <f ca="1"/>
        <v>#NAME?</v>
      </c>
      <c r="F148" s="6" t="e">
        <f ca="1"/>
        <v>#NAME?</v>
      </c>
      <c r="G148" s="6" t="e">
        <f ca="1"/>
        <v>#NAME?</v>
      </c>
      <c r="H148" s="6" t="e">
        <f ca="1"/>
        <v>#NAME?</v>
      </c>
      <c r="I148" s="6"/>
      <c r="J148" s="6"/>
      <c r="K148" s="6"/>
      <c r="L148" s="6"/>
      <c r="M148" s="6"/>
      <c r="N148" s="6"/>
      <c r="O148" s="6"/>
      <c r="P148" s="6"/>
      <c r="Q148" s="6"/>
      <c r="R148" s="6"/>
      <c r="S148" s="6"/>
      <c r="T148" s="6"/>
    </row>
    <row r="149" spans="1:20">
      <c r="A149" s="6">
        <v>0</v>
      </c>
      <c r="B149" s="6">
        <v>0</v>
      </c>
      <c r="C149" s="6" t="e">
        <f ca="1"/>
        <v>#NAME?</v>
      </c>
      <c r="D149" s="6" t="e">
        <f ca="1"/>
        <v>#NAME?</v>
      </c>
      <c r="E149" s="6" t="e">
        <f ca="1"/>
        <v>#NAME?</v>
      </c>
      <c r="F149" s="6" t="e">
        <f ca="1"/>
        <v>#NAME?</v>
      </c>
      <c r="G149" s="6" t="e">
        <f ca="1"/>
        <v>#NAME?</v>
      </c>
      <c r="H149" s="6" t="e">
        <f ca="1"/>
        <v>#NAME?</v>
      </c>
      <c r="I149" s="6"/>
      <c r="J149" s="6"/>
      <c r="K149" s="6"/>
      <c r="L149" s="6"/>
      <c r="M149" s="6"/>
      <c r="N149" s="6"/>
      <c r="O149" s="6"/>
      <c r="P149" s="6"/>
      <c r="Q149" s="6"/>
      <c r="R149" s="6"/>
      <c r="S149" s="6"/>
      <c r="T149" s="6"/>
    </row>
    <row r="150" spans="1:20">
      <c r="A150" s="6">
        <v>0</v>
      </c>
      <c r="B150" s="6">
        <v>0</v>
      </c>
      <c r="C150" s="6" t="e">
        <f ca="1"/>
        <v>#NAME?</v>
      </c>
      <c r="D150" s="6" t="e">
        <f ca="1"/>
        <v>#NAME?</v>
      </c>
      <c r="E150" s="6" t="e">
        <f ca="1"/>
        <v>#NAME?</v>
      </c>
      <c r="F150" s="6" t="e">
        <f ca="1"/>
        <v>#NAME?</v>
      </c>
      <c r="G150" s="6" t="e">
        <f ca="1"/>
        <v>#NAME?</v>
      </c>
      <c r="H150" s="6" t="e">
        <f ca="1"/>
        <v>#NAME?</v>
      </c>
      <c r="I150" s="6"/>
      <c r="J150" s="6"/>
      <c r="K150" s="6"/>
      <c r="L150" s="6"/>
      <c r="M150" s="6"/>
      <c r="N150" s="6"/>
      <c r="O150" s="6"/>
      <c r="P150" s="6"/>
      <c r="Q150" s="6"/>
      <c r="R150" s="6"/>
      <c r="S150" s="6"/>
      <c r="T150" s="6"/>
    </row>
    <row r="151" spans="1:20">
      <c r="A151" s="6">
        <v>0</v>
      </c>
      <c r="B151" s="6">
        <v>0</v>
      </c>
      <c r="C151" s="6" t="e">
        <f ca="1"/>
        <v>#NAME?</v>
      </c>
      <c r="D151" s="6" t="e">
        <f ca="1"/>
        <v>#NAME?</v>
      </c>
      <c r="E151" s="6" t="e">
        <f ca="1"/>
        <v>#NAME?</v>
      </c>
      <c r="F151" s="6" t="e">
        <f ca="1"/>
        <v>#NAME?</v>
      </c>
      <c r="G151" s="6" t="e">
        <f ca="1"/>
        <v>#NAME?</v>
      </c>
      <c r="H151" s="6" t="e">
        <f ca="1"/>
        <v>#NAME?</v>
      </c>
      <c r="I151" s="6"/>
      <c r="J151" s="6"/>
      <c r="K151" s="6"/>
      <c r="L151" s="6"/>
      <c r="M151" s="6"/>
      <c r="N151" s="6"/>
      <c r="O151" s="6"/>
      <c r="P151" s="6"/>
      <c r="Q151" s="6"/>
      <c r="R151" s="6"/>
      <c r="S151" s="6"/>
      <c r="T151" s="6"/>
    </row>
    <row r="152" spans="1:20">
      <c r="A152" s="6">
        <v>0</v>
      </c>
      <c r="B152" s="6">
        <v>0</v>
      </c>
      <c r="C152" s="6" t="e">
        <f ca="1"/>
        <v>#NAME?</v>
      </c>
      <c r="D152" s="6" t="e">
        <f ca="1"/>
        <v>#NAME?</v>
      </c>
      <c r="E152" s="6" t="e">
        <f ca="1"/>
        <v>#NAME?</v>
      </c>
      <c r="F152" s="6" t="e">
        <f ca="1"/>
        <v>#NAME?</v>
      </c>
      <c r="G152" s="6" t="e">
        <f ca="1"/>
        <v>#NAME?</v>
      </c>
      <c r="H152" s="6" t="e">
        <f ca="1"/>
        <v>#NAME?</v>
      </c>
      <c r="I152" s="6"/>
      <c r="J152" s="6"/>
      <c r="K152" s="6"/>
      <c r="L152" s="6"/>
      <c r="M152" s="6"/>
      <c r="N152" s="6"/>
      <c r="O152" s="6"/>
      <c r="P152" s="6"/>
      <c r="Q152" s="6"/>
      <c r="R152" s="6"/>
      <c r="S152" s="6"/>
      <c r="T152" s="6"/>
    </row>
    <row r="153" spans="1:20">
      <c r="A153" s="6">
        <v>0</v>
      </c>
      <c r="B153" s="6">
        <v>0</v>
      </c>
      <c r="C153" s="6" t="e">
        <f ca="1"/>
        <v>#NAME?</v>
      </c>
      <c r="D153" s="6" t="e">
        <f ca="1"/>
        <v>#NAME?</v>
      </c>
      <c r="E153" s="6" t="e">
        <f ca="1"/>
        <v>#NAME?</v>
      </c>
      <c r="F153" s="6" t="e">
        <f ca="1"/>
        <v>#NAME?</v>
      </c>
      <c r="G153" s="6" t="e">
        <f ca="1"/>
        <v>#NAME?</v>
      </c>
      <c r="H153" s="6" t="e">
        <f ca="1"/>
        <v>#NAME?</v>
      </c>
      <c r="I153" s="6"/>
      <c r="J153" s="6"/>
      <c r="K153" s="6"/>
      <c r="L153" s="6"/>
      <c r="M153" s="6"/>
      <c r="N153" s="6"/>
      <c r="O153" s="6"/>
      <c r="P153" s="6"/>
      <c r="Q153" s="6"/>
      <c r="R153" s="6"/>
      <c r="S153" s="6"/>
      <c r="T153" s="6"/>
    </row>
    <row r="154" spans="1:20">
      <c r="A154" s="6">
        <v>0</v>
      </c>
      <c r="B154" s="6">
        <v>0</v>
      </c>
      <c r="C154" s="6" t="e">
        <f ca="1"/>
        <v>#NAME?</v>
      </c>
      <c r="D154" s="6" t="e">
        <f ca="1"/>
        <v>#NAME?</v>
      </c>
      <c r="E154" s="6" t="e">
        <f ca="1"/>
        <v>#NAME?</v>
      </c>
      <c r="F154" s="6" t="e">
        <f ca="1"/>
        <v>#NAME?</v>
      </c>
      <c r="G154" s="6" t="e">
        <f ca="1"/>
        <v>#NAME?</v>
      </c>
      <c r="H154" s="6" t="e">
        <f ca="1"/>
        <v>#NAME?</v>
      </c>
      <c r="I154" s="6"/>
      <c r="J154" s="6"/>
      <c r="K154" s="6"/>
      <c r="L154" s="6"/>
      <c r="M154" s="6"/>
      <c r="N154" s="6"/>
      <c r="O154" s="6"/>
      <c r="P154" s="6"/>
      <c r="Q154" s="6"/>
      <c r="R154" s="6"/>
      <c r="S154" s="6"/>
      <c r="T154" s="6"/>
    </row>
    <row r="155" spans="1:20">
      <c r="A155" s="6">
        <v>0</v>
      </c>
      <c r="B155" s="6">
        <v>0</v>
      </c>
      <c r="C155" s="6" t="e">
        <f ca="1"/>
        <v>#NAME?</v>
      </c>
      <c r="D155" s="6" t="e">
        <f ca="1"/>
        <v>#NAME?</v>
      </c>
      <c r="E155" s="6" t="e">
        <f ca="1"/>
        <v>#NAME?</v>
      </c>
      <c r="F155" s="6" t="e">
        <f ca="1"/>
        <v>#NAME?</v>
      </c>
      <c r="G155" s="6" t="e">
        <f ca="1"/>
        <v>#NAME?</v>
      </c>
      <c r="H155" s="6" t="e">
        <f ca="1"/>
        <v>#NAME?</v>
      </c>
      <c r="I155" s="6"/>
      <c r="J155" s="6"/>
      <c r="K155" s="6"/>
      <c r="L155" s="6"/>
      <c r="M155" s="6"/>
      <c r="N155" s="6"/>
      <c r="O155" s="6"/>
      <c r="P155" s="6"/>
      <c r="Q155" s="6"/>
      <c r="R155" s="6"/>
      <c r="S155" s="6"/>
      <c r="T155" s="6"/>
    </row>
    <row r="156" spans="1:20">
      <c r="A156" s="6">
        <v>0</v>
      </c>
      <c r="B156" s="6">
        <v>0</v>
      </c>
      <c r="C156" s="6" t="e">
        <f ca="1"/>
        <v>#NAME?</v>
      </c>
      <c r="D156" s="6" t="e">
        <f ca="1"/>
        <v>#NAME?</v>
      </c>
      <c r="E156" s="6" t="e">
        <f ca="1"/>
        <v>#NAME?</v>
      </c>
      <c r="F156" s="6" t="e">
        <f ca="1"/>
        <v>#NAME?</v>
      </c>
      <c r="G156" s="6" t="e">
        <f ca="1"/>
        <v>#NAME?</v>
      </c>
      <c r="H156" s="6" t="e">
        <f ca="1"/>
        <v>#NAME?</v>
      </c>
      <c r="I156" s="6"/>
      <c r="J156" s="6"/>
      <c r="K156" s="6"/>
      <c r="L156" s="6"/>
      <c r="M156" s="6"/>
      <c r="N156" s="6"/>
      <c r="O156" s="6"/>
      <c r="P156" s="6"/>
      <c r="Q156" s="6"/>
      <c r="R156" s="6"/>
      <c r="S156" s="6"/>
      <c r="T156" s="6"/>
    </row>
    <row r="157" spans="1:20">
      <c r="A157" s="6">
        <v>0</v>
      </c>
      <c r="B157" s="6">
        <v>0</v>
      </c>
      <c r="C157" s="6" t="e">
        <f ca="1"/>
        <v>#NAME?</v>
      </c>
      <c r="D157" s="6" t="e">
        <f ca="1"/>
        <v>#NAME?</v>
      </c>
      <c r="E157" s="6" t="e">
        <f ca="1"/>
        <v>#NAME?</v>
      </c>
      <c r="F157" s="6" t="e">
        <f ca="1"/>
        <v>#NAME?</v>
      </c>
      <c r="G157" s="6" t="e">
        <f ca="1"/>
        <v>#NAME?</v>
      </c>
      <c r="H157" s="6" t="e">
        <f ca="1"/>
        <v>#NAME?</v>
      </c>
      <c r="I157" s="6"/>
      <c r="J157" s="6"/>
      <c r="K157" s="6"/>
      <c r="L157" s="6"/>
      <c r="M157" s="6"/>
      <c r="N157" s="6"/>
      <c r="O157" s="6"/>
      <c r="P157" s="6"/>
      <c r="Q157" s="6"/>
      <c r="R157" s="6"/>
      <c r="S157" s="6"/>
      <c r="T157" s="6"/>
    </row>
    <row r="158" spans="1:20">
      <c r="A158" s="6">
        <v>0</v>
      </c>
      <c r="B158" s="6">
        <v>0</v>
      </c>
      <c r="C158" s="6" t="e">
        <f ca="1"/>
        <v>#NAME?</v>
      </c>
      <c r="D158" s="6" t="e">
        <f ca="1"/>
        <v>#NAME?</v>
      </c>
      <c r="E158" s="6" t="e">
        <f ca="1"/>
        <v>#NAME?</v>
      </c>
      <c r="F158" s="6" t="e">
        <f ca="1"/>
        <v>#NAME?</v>
      </c>
      <c r="G158" s="6" t="e">
        <f ca="1"/>
        <v>#NAME?</v>
      </c>
      <c r="H158" s="6" t="e">
        <f ca="1"/>
        <v>#NAME?</v>
      </c>
      <c r="I158" s="6"/>
      <c r="J158" s="6"/>
      <c r="K158" s="6"/>
      <c r="L158" s="6"/>
      <c r="M158" s="6"/>
      <c r="N158" s="6"/>
      <c r="O158" s="6"/>
      <c r="P158" s="6"/>
      <c r="Q158" s="6"/>
      <c r="R158" s="6"/>
      <c r="S158" s="6"/>
      <c r="T158" s="6"/>
    </row>
    <row r="159" spans="1:20">
      <c r="A159" s="6">
        <v>0</v>
      </c>
      <c r="B159" s="6">
        <v>0</v>
      </c>
      <c r="C159" s="6" t="e">
        <f ca="1"/>
        <v>#NAME?</v>
      </c>
      <c r="D159" s="6" t="e">
        <f ca="1"/>
        <v>#NAME?</v>
      </c>
      <c r="E159" s="6" t="e">
        <f ca="1"/>
        <v>#NAME?</v>
      </c>
      <c r="F159" s="6" t="e">
        <f ca="1"/>
        <v>#NAME?</v>
      </c>
      <c r="G159" s="6" t="e">
        <f ca="1"/>
        <v>#NAME?</v>
      </c>
      <c r="H159" s="6" t="e">
        <f ca="1"/>
        <v>#NAME?</v>
      </c>
      <c r="I159" s="6"/>
      <c r="J159" s="6"/>
      <c r="K159" s="6"/>
      <c r="L159" s="6"/>
      <c r="M159" s="6"/>
      <c r="N159" s="6"/>
      <c r="O159" s="6"/>
      <c r="P159" s="6"/>
      <c r="Q159" s="6"/>
      <c r="R159" s="6"/>
      <c r="S159" s="6"/>
      <c r="T159" s="6"/>
    </row>
    <row r="160" spans="1:20">
      <c r="A160" s="6">
        <v>0</v>
      </c>
      <c r="B160" s="6">
        <v>0</v>
      </c>
      <c r="C160" s="6" t="e">
        <f ca="1"/>
        <v>#NAME?</v>
      </c>
      <c r="D160" s="6" t="e">
        <f ca="1"/>
        <v>#NAME?</v>
      </c>
      <c r="E160" s="6" t="e">
        <f ca="1"/>
        <v>#NAME?</v>
      </c>
      <c r="F160" s="6" t="e">
        <f ca="1"/>
        <v>#NAME?</v>
      </c>
      <c r="G160" s="6" t="e">
        <f ca="1"/>
        <v>#NAME?</v>
      </c>
      <c r="H160" s="6" t="e">
        <f ca="1"/>
        <v>#NAME?</v>
      </c>
      <c r="I160" s="6"/>
      <c r="J160" s="6"/>
      <c r="K160" s="6"/>
      <c r="L160" s="6"/>
      <c r="M160" s="6"/>
      <c r="N160" s="6"/>
      <c r="O160" s="6"/>
      <c r="P160" s="6"/>
      <c r="Q160" s="6"/>
      <c r="R160" s="6"/>
      <c r="S160" s="6"/>
      <c r="T160" s="6"/>
    </row>
    <row r="161" spans="1:20">
      <c r="A161" s="6">
        <v>0</v>
      </c>
      <c r="B161" s="6">
        <v>0</v>
      </c>
      <c r="C161" s="6" t="e">
        <f ca="1"/>
        <v>#NAME?</v>
      </c>
      <c r="D161" s="6" t="e">
        <f ca="1"/>
        <v>#NAME?</v>
      </c>
      <c r="E161" s="6" t="e">
        <f ca="1"/>
        <v>#NAME?</v>
      </c>
      <c r="F161" s="6" t="e">
        <f ca="1"/>
        <v>#NAME?</v>
      </c>
      <c r="G161" s="6" t="e">
        <f ca="1"/>
        <v>#NAME?</v>
      </c>
      <c r="H161" s="6" t="e">
        <f ca="1"/>
        <v>#NAME?</v>
      </c>
      <c r="I161" s="6"/>
      <c r="J161" s="6"/>
      <c r="K161" s="6"/>
      <c r="L161" s="6"/>
      <c r="M161" s="6"/>
      <c r="N161" s="6"/>
      <c r="O161" s="6"/>
      <c r="P161" s="6"/>
      <c r="Q161" s="6"/>
      <c r="R161" s="6"/>
      <c r="S161" s="6"/>
      <c r="T161" s="6"/>
    </row>
    <row r="162" spans="1:20">
      <c r="A162" s="6">
        <v>0</v>
      </c>
      <c r="B162" s="6">
        <v>0</v>
      </c>
      <c r="C162" s="6" t="e">
        <f ca="1"/>
        <v>#NAME?</v>
      </c>
      <c r="D162" s="6" t="e">
        <f ca="1"/>
        <v>#NAME?</v>
      </c>
      <c r="E162" s="6" t="e">
        <f ca="1"/>
        <v>#NAME?</v>
      </c>
      <c r="F162" s="6" t="e">
        <f ca="1"/>
        <v>#NAME?</v>
      </c>
      <c r="G162" s="6" t="e">
        <f ca="1"/>
        <v>#NAME?</v>
      </c>
      <c r="H162" s="6" t="e">
        <f ca="1"/>
        <v>#NAME?</v>
      </c>
      <c r="I162" s="6"/>
      <c r="J162" s="6"/>
      <c r="K162" s="6"/>
      <c r="L162" s="6"/>
      <c r="M162" s="6"/>
      <c r="N162" s="6"/>
      <c r="O162" s="6"/>
      <c r="P162" s="6"/>
      <c r="Q162" s="6"/>
      <c r="R162" s="6"/>
      <c r="S162" s="6"/>
      <c r="T162" s="6"/>
    </row>
    <row r="163" spans="1:20">
      <c r="A163" s="6">
        <v>0</v>
      </c>
      <c r="B163" s="6">
        <v>0</v>
      </c>
      <c r="C163" s="6" t="e">
        <f ca="1"/>
        <v>#NAME?</v>
      </c>
      <c r="D163" s="6" t="e">
        <f ca="1"/>
        <v>#NAME?</v>
      </c>
      <c r="E163" s="6" t="e">
        <f ca="1"/>
        <v>#NAME?</v>
      </c>
      <c r="F163" s="6" t="e">
        <f ca="1"/>
        <v>#NAME?</v>
      </c>
      <c r="G163" s="6" t="e">
        <f ca="1"/>
        <v>#NAME?</v>
      </c>
      <c r="H163" s="6" t="e">
        <f ca="1"/>
        <v>#NAME?</v>
      </c>
      <c r="I163" s="6"/>
      <c r="J163" s="6"/>
      <c r="K163" s="6"/>
      <c r="L163" s="6"/>
      <c r="M163" s="6"/>
      <c r="N163" s="6"/>
      <c r="O163" s="6"/>
      <c r="P163" s="6"/>
      <c r="Q163" s="6"/>
      <c r="R163" s="6"/>
      <c r="S163" s="6"/>
      <c r="T163" s="6"/>
    </row>
    <row r="164" spans="1:20">
      <c r="A164" s="6">
        <v>0</v>
      </c>
      <c r="B164" s="6">
        <v>0</v>
      </c>
      <c r="C164" s="6" t="e">
        <f ca="1"/>
        <v>#NAME?</v>
      </c>
      <c r="D164" s="6" t="e">
        <f ca="1"/>
        <v>#NAME?</v>
      </c>
      <c r="E164" s="6" t="e">
        <f ca="1"/>
        <v>#NAME?</v>
      </c>
      <c r="F164" s="6" t="e">
        <f ca="1"/>
        <v>#NAME?</v>
      </c>
      <c r="G164" s="6" t="e">
        <f ca="1"/>
        <v>#NAME?</v>
      </c>
      <c r="H164" s="6" t="e">
        <f ca="1"/>
        <v>#NAME?</v>
      </c>
      <c r="I164" s="6"/>
      <c r="J164" s="6"/>
      <c r="K164" s="6"/>
      <c r="L164" s="6"/>
      <c r="M164" s="6"/>
      <c r="N164" s="6"/>
      <c r="O164" s="6"/>
      <c r="P164" s="6"/>
      <c r="Q164" s="6"/>
      <c r="R164" s="6"/>
      <c r="S164" s="6"/>
      <c r="T164" s="6"/>
    </row>
    <row r="165" spans="1:20">
      <c r="A165" s="6">
        <v>0</v>
      </c>
      <c r="B165" s="6">
        <v>0</v>
      </c>
      <c r="C165" s="6" t="e">
        <f ca="1"/>
        <v>#NAME?</v>
      </c>
      <c r="D165" s="6" t="e">
        <f ca="1"/>
        <v>#NAME?</v>
      </c>
      <c r="E165" s="6" t="e">
        <f ca="1"/>
        <v>#NAME?</v>
      </c>
      <c r="F165" s="6" t="e">
        <f ca="1"/>
        <v>#NAME?</v>
      </c>
      <c r="G165" s="6" t="e">
        <f ca="1"/>
        <v>#NAME?</v>
      </c>
      <c r="H165" s="6" t="e">
        <f ca="1"/>
        <v>#NAME?</v>
      </c>
      <c r="I165" s="6"/>
      <c r="J165" s="6"/>
      <c r="K165" s="6"/>
      <c r="L165" s="6"/>
      <c r="M165" s="6"/>
      <c r="N165" s="6"/>
      <c r="O165" s="6"/>
      <c r="P165" s="6"/>
      <c r="Q165" s="6"/>
      <c r="R165" s="6"/>
      <c r="S165" s="6"/>
      <c r="T165" s="6"/>
    </row>
    <row r="166" spans="1:20">
      <c r="A166" s="6">
        <v>0</v>
      </c>
      <c r="B166" s="6">
        <v>0</v>
      </c>
      <c r="C166" s="6" t="e">
        <f ca="1"/>
        <v>#NAME?</v>
      </c>
      <c r="D166" s="6" t="e">
        <f ca="1"/>
        <v>#NAME?</v>
      </c>
      <c r="E166" s="6" t="e">
        <f ca="1"/>
        <v>#NAME?</v>
      </c>
      <c r="F166" s="6" t="e">
        <f ca="1"/>
        <v>#NAME?</v>
      </c>
      <c r="G166" s="6" t="e">
        <f ca="1"/>
        <v>#NAME?</v>
      </c>
      <c r="H166" s="6" t="e">
        <f ca="1"/>
        <v>#NAME?</v>
      </c>
      <c r="I166" s="6"/>
      <c r="J166" s="6"/>
      <c r="K166" s="6"/>
      <c r="L166" s="6"/>
      <c r="M166" s="6"/>
      <c r="N166" s="6"/>
      <c r="O166" s="6"/>
      <c r="P166" s="6"/>
      <c r="Q166" s="6"/>
      <c r="R166" s="6"/>
      <c r="S166" s="6"/>
      <c r="T166" s="6"/>
    </row>
    <row r="167" spans="1:20">
      <c r="A167" s="6">
        <v>0</v>
      </c>
      <c r="B167" s="6">
        <v>0</v>
      </c>
      <c r="C167" s="6" t="e">
        <f ca="1"/>
        <v>#NAME?</v>
      </c>
      <c r="D167" s="6" t="e">
        <f ca="1"/>
        <v>#NAME?</v>
      </c>
      <c r="E167" s="6" t="e">
        <f ca="1"/>
        <v>#NAME?</v>
      </c>
      <c r="F167" s="6" t="e">
        <f ca="1"/>
        <v>#NAME?</v>
      </c>
      <c r="G167" s="6" t="e">
        <f ca="1"/>
        <v>#NAME?</v>
      </c>
      <c r="H167" s="6" t="e">
        <f ca="1"/>
        <v>#NAME?</v>
      </c>
      <c r="I167" s="6"/>
      <c r="J167" s="6"/>
      <c r="K167" s="6"/>
      <c r="L167" s="6"/>
      <c r="M167" s="6"/>
      <c r="N167" s="6"/>
      <c r="O167" s="6"/>
      <c r="P167" s="6"/>
      <c r="Q167" s="6"/>
      <c r="R167" s="6"/>
      <c r="S167" s="6"/>
      <c r="T167" s="6"/>
    </row>
    <row r="168" spans="1:20">
      <c r="A168" s="6">
        <v>0</v>
      </c>
      <c r="B168" s="6">
        <v>0</v>
      </c>
      <c r="C168" s="6" t="e">
        <f ca="1"/>
        <v>#NAME?</v>
      </c>
      <c r="D168" s="6" t="e">
        <f ca="1"/>
        <v>#NAME?</v>
      </c>
      <c r="E168" s="6" t="e">
        <f ca="1"/>
        <v>#NAME?</v>
      </c>
      <c r="F168" s="6" t="e">
        <f ca="1"/>
        <v>#NAME?</v>
      </c>
      <c r="G168" s="6" t="e">
        <f ca="1"/>
        <v>#NAME?</v>
      </c>
      <c r="H168" s="6" t="e">
        <f ca="1"/>
        <v>#NAME?</v>
      </c>
      <c r="I168" s="6"/>
      <c r="J168" s="6"/>
      <c r="K168" s="6"/>
      <c r="L168" s="6"/>
      <c r="M168" s="6"/>
      <c r="N168" s="6"/>
      <c r="O168" s="6"/>
      <c r="P168" s="6"/>
      <c r="Q168" s="6"/>
      <c r="R168" s="6"/>
      <c r="S168" s="6"/>
      <c r="T168" s="6"/>
    </row>
    <row r="169" spans="1:20">
      <c r="A169" s="6">
        <v>0</v>
      </c>
      <c r="B169" s="6">
        <v>0</v>
      </c>
      <c r="C169" s="6" t="e">
        <f ca="1"/>
        <v>#NAME?</v>
      </c>
      <c r="D169" s="6" t="e">
        <f ca="1"/>
        <v>#NAME?</v>
      </c>
      <c r="E169" s="6" t="e">
        <f ca="1"/>
        <v>#NAME?</v>
      </c>
      <c r="F169" s="6" t="e">
        <f ca="1"/>
        <v>#NAME?</v>
      </c>
      <c r="G169" s="6" t="e">
        <f ca="1"/>
        <v>#NAME?</v>
      </c>
      <c r="H169" s="6" t="e">
        <f ca="1"/>
        <v>#NAME?</v>
      </c>
      <c r="I169" s="6"/>
      <c r="J169" s="6"/>
      <c r="K169" s="6"/>
      <c r="L169" s="6"/>
      <c r="M169" s="6"/>
      <c r="N169" s="6"/>
      <c r="O169" s="6"/>
      <c r="P169" s="6"/>
      <c r="Q169" s="6"/>
      <c r="R169" s="6"/>
      <c r="S169" s="6"/>
      <c r="T169" s="6"/>
    </row>
    <row r="170" spans="1:20">
      <c r="A170" s="6">
        <v>0</v>
      </c>
      <c r="B170" s="6">
        <v>0</v>
      </c>
      <c r="C170" s="6" t="e">
        <f ca="1"/>
        <v>#NAME?</v>
      </c>
      <c r="D170" s="6" t="e">
        <f ca="1"/>
        <v>#NAME?</v>
      </c>
      <c r="E170" s="6" t="e">
        <f ca="1"/>
        <v>#NAME?</v>
      </c>
      <c r="F170" s="6" t="e">
        <f ca="1"/>
        <v>#NAME?</v>
      </c>
      <c r="G170" s="6" t="e">
        <f ca="1"/>
        <v>#NAME?</v>
      </c>
      <c r="H170" s="6" t="e">
        <f ca="1"/>
        <v>#NAME?</v>
      </c>
      <c r="I170" s="6"/>
      <c r="J170" s="6"/>
      <c r="K170" s="6"/>
      <c r="L170" s="6"/>
      <c r="M170" s="6"/>
      <c r="N170" s="6"/>
      <c r="O170" s="6"/>
      <c r="P170" s="6"/>
      <c r="Q170" s="6"/>
      <c r="R170" s="6"/>
      <c r="S170" s="6"/>
      <c r="T170" s="6"/>
    </row>
    <row r="171" spans="1:20">
      <c r="A171" s="6">
        <v>0</v>
      </c>
      <c r="B171" s="6">
        <v>0</v>
      </c>
      <c r="C171" s="6" t="e">
        <f ca="1"/>
        <v>#NAME?</v>
      </c>
      <c r="D171" s="6" t="e">
        <f ca="1"/>
        <v>#NAME?</v>
      </c>
      <c r="E171" s="6" t="e">
        <f ca="1"/>
        <v>#NAME?</v>
      </c>
      <c r="F171" s="6" t="e">
        <f ca="1"/>
        <v>#NAME?</v>
      </c>
      <c r="G171" s="6" t="e">
        <f ca="1"/>
        <v>#NAME?</v>
      </c>
      <c r="H171" s="6" t="e">
        <f ca="1"/>
        <v>#NAME?</v>
      </c>
      <c r="I171" s="6"/>
      <c r="J171" s="6"/>
      <c r="K171" s="6"/>
      <c r="L171" s="6"/>
      <c r="M171" s="6"/>
      <c r="N171" s="6"/>
      <c r="O171" s="6"/>
      <c r="P171" s="6"/>
      <c r="Q171" s="6"/>
      <c r="R171" s="6"/>
      <c r="S171" s="6"/>
      <c r="T171" s="6"/>
    </row>
    <row r="172" spans="1:20">
      <c r="A172" s="6">
        <v>0</v>
      </c>
      <c r="B172" s="6">
        <v>0</v>
      </c>
      <c r="C172" s="6" t="e">
        <f ca="1"/>
        <v>#NAME?</v>
      </c>
      <c r="D172" s="6" t="e">
        <f ca="1"/>
        <v>#NAME?</v>
      </c>
      <c r="E172" s="6" t="e">
        <f ca="1"/>
        <v>#NAME?</v>
      </c>
      <c r="F172" s="6" t="e">
        <f ca="1"/>
        <v>#NAME?</v>
      </c>
      <c r="G172" s="6" t="e">
        <f ca="1"/>
        <v>#NAME?</v>
      </c>
      <c r="H172" s="6" t="e">
        <f ca="1"/>
        <v>#NAME?</v>
      </c>
      <c r="I172" s="6"/>
      <c r="J172" s="6"/>
      <c r="K172" s="6"/>
      <c r="L172" s="6"/>
      <c r="M172" s="6"/>
      <c r="N172" s="6"/>
      <c r="O172" s="6"/>
      <c r="P172" s="6"/>
      <c r="Q172" s="6"/>
      <c r="R172" s="6"/>
      <c r="S172" s="6"/>
      <c r="T172" s="6"/>
    </row>
    <row r="173" spans="1:20">
      <c r="A173" s="6">
        <v>0</v>
      </c>
      <c r="B173" s="6">
        <v>0</v>
      </c>
      <c r="C173" s="6" t="e">
        <f ca="1"/>
        <v>#NAME?</v>
      </c>
      <c r="D173" s="6" t="e">
        <f ca="1"/>
        <v>#NAME?</v>
      </c>
      <c r="E173" s="6" t="e">
        <f ca="1"/>
        <v>#NAME?</v>
      </c>
      <c r="F173" s="6" t="e">
        <f ca="1"/>
        <v>#NAME?</v>
      </c>
      <c r="G173" s="6" t="e">
        <f ca="1"/>
        <v>#NAME?</v>
      </c>
      <c r="H173" s="6" t="e">
        <f ca="1"/>
        <v>#NAME?</v>
      </c>
      <c r="I173" s="6"/>
      <c r="J173" s="6"/>
      <c r="K173" s="6"/>
      <c r="L173" s="6"/>
      <c r="M173" s="6"/>
      <c r="N173" s="6"/>
      <c r="O173" s="6"/>
      <c r="P173" s="6"/>
      <c r="Q173" s="6"/>
      <c r="R173" s="6"/>
      <c r="S173" s="6"/>
      <c r="T173" s="6"/>
    </row>
    <row r="174" spans="1:20">
      <c r="A174" s="6">
        <v>0</v>
      </c>
      <c r="B174" s="6">
        <v>0</v>
      </c>
      <c r="C174" s="6" t="e">
        <f ca="1"/>
        <v>#NAME?</v>
      </c>
      <c r="D174" s="6" t="e">
        <f ca="1"/>
        <v>#NAME?</v>
      </c>
      <c r="E174" s="6" t="e">
        <f ca="1"/>
        <v>#NAME?</v>
      </c>
      <c r="F174" s="6" t="e">
        <f ca="1"/>
        <v>#NAME?</v>
      </c>
      <c r="G174" s="6" t="e">
        <f ca="1"/>
        <v>#NAME?</v>
      </c>
      <c r="H174" s="6" t="e">
        <f ca="1"/>
        <v>#NAME?</v>
      </c>
      <c r="I174" s="6"/>
      <c r="J174" s="6"/>
      <c r="K174" s="6"/>
      <c r="L174" s="6"/>
      <c r="M174" s="6"/>
      <c r="N174" s="6"/>
      <c r="O174" s="6"/>
      <c r="P174" s="6"/>
      <c r="Q174" s="6"/>
      <c r="R174" s="6"/>
      <c r="S174" s="6"/>
      <c r="T174" s="6"/>
    </row>
    <row r="175" spans="1:20">
      <c r="A175" s="6">
        <v>0</v>
      </c>
      <c r="B175" s="6">
        <v>0</v>
      </c>
      <c r="C175" s="6" t="e">
        <f ca="1"/>
        <v>#NAME?</v>
      </c>
      <c r="D175" s="6" t="e">
        <f ca="1"/>
        <v>#NAME?</v>
      </c>
      <c r="E175" s="6" t="e">
        <f ca="1"/>
        <v>#NAME?</v>
      </c>
      <c r="F175" s="6" t="e">
        <f ca="1"/>
        <v>#NAME?</v>
      </c>
      <c r="G175" s="6" t="e">
        <f ca="1"/>
        <v>#NAME?</v>
      </c>
      <c r="H175" s="6" t="e">
        <f ca="1"/>
        <v>#NAME?</v>
      </c>
      <c r="I175" s="6"/>
      <c r="J175" s="6"/>
      <c r="K175" s="6"/>
      <c r="L175" s="6"/>
      <c r="M175" s="6"/>
      <c r="N175" s="6"/>
      <c r="O175" s="6"/>
      <c r="P175" s="6"/>
      <c r="Q175" s="6"/>
      <c r="R175" s="6"/>
      <c r="S175" s="6"/>
      <c r="T175" s="6"/>
    </row>
    <row r="176" spans="1:20">
      <c r="A176" s="6">
        <v>0</v>
      </c>
      <c r="B176" s="6">
        <v>0</v>
      </c>
      <c r="C176" s="6" t="e">
        <f ca="1"/>
        <v>#NAME?</v>
      </c>
      <c r="D176" s="6" t="e">
        <f ca="1"/>
        <v>#NAME?</v>
      </c>
      <c r="E176" s="6" t="e">
        <f ca="1"/>
        <v>#NAME?</v>
      </c>
      <c r="F176" s="6" t="e">
        <f ca="1"/>
        <v>#NAME?</v>
      </c>
      <c r="G176" s="6" t="e">
        <f ca="1"/>
        <v>#NAME?</v>
      </c>
      <c r="H176" s="6" t="e">
        <f ca="1"/>
        <v>#NAME?</v>
      </c>
      <c r="I176" s="6"/>
      <c r="J176" s="6"/>
      <c r="K176" s="6"/>
      <c r="L176" s="6"/>
      <c r="M176" s="6"/>
      <c r="N176" s="6"/>
      <c r="O176" s="6"/>
      <c r="P176" s="6"/>
      <c r="Q176" s="6"/>
      <c r="R176" s="6"/>
      <c r="S176" s="6"/>
      <c r="T176" s="6"/>
    </row>
    <row r="177" spans="1:20">
      <c r="A177" s="6">
        <v>0</v>
      </c>
      <c r="B177" s="6">
        <v>0</v>
      </c>
      <c r="C177" s="6" t="e">
        <f ca="1"/>
        <v>#NAME?</v>
      </c>
      <c r="D177" s="6" t="e">
        <f ca="1"/>
        <v>#NAME?</v>
      </c>
      <c r="E177" s="6" t="e">
        <f ca="1"/>
        <v>#NAME?</v>
      </c>
      <c r="F177" s="6" t="e">
        <f ca="1"/>
        <v>#NAME?</v>
      </c>
      <c r="G177" s="6" t="e">
        <f ca="1"/>
        <v>#NAME?</v>
      </c>
      <c r="H177" s="6" t="e">
        <f ca="1"/>
        <v>#NAME?</v>
      </c>
      <c r="I177" s="6"/>
      <c r="J177" s="6"/>
      <c r="K177" s="6"/>
      <c r="L177" s="6"/>
      <c r="M177" s="6"/>
      <c r="N177" s="6"/>
      <c r="O177" s="6"/>
      <c r="P177" s="6"/>
      <c r="Q177" s="6"/>
      <c r="R177" s="6"/>
      <c r="S177" s="6"/>
      <c r="T177" s="6"/>
    </row>
    <row r="178" spans="1:20">
      <c r="A178" s="6">
        <v>0</v>
      </c>
      <c r="B178" s="6">
        <v>0</v>
      </c>
      <c r="C178" s="6" t="e">
        <f ca="1"/>
        <v>#NAME?</v>
      </c>
      <c r="D178" s="6" t="e">
        <f ca="1"/>
        <v>#NAME?</v>
      </c>
      <c r="E178" s="6" t="e">
        <f ca="1"/>
        <v>#NAME?</v>
      </c>
      <c r="F178" s="6" t="e">
        <f ca="1"/>
        <v>#NAME?</v>
      </c>
      <c r="G178" s="6" t="e">
        <f ca="1"/>
        <v>#NAME?</v>
      </c>
      <c r="H178" s="6" t="e">
        <f ca="1"/>
        <v>#NAME?</v>
      </c>
      <c r="I178" s="6"/>
      <c r="J178" s="6"/>
      <c r="K178" s="6"/>
      <c r="L178" s="6"/>
      <c r="M178" s="6"/>
      <c r="N178" s="6"/>
      <c r="O178" s="6"/>
      <c r="P178" s="6"/>
      <c r="Q178" s="6"/>
      <c r="R178" s="6"/>
      <c r="S178" s="6"/>
      <c r="T178" s="6"/>
    </row>
    <row r="179" spans="1:20">
      <c r="A179" s="6">
        <v>0</v>
      </c>
      <c r="B179" s="6">
        <v>0</v>
      </c>
      <c r="C179" s="6" t="e">
        <f ca="1"/>
        <v>#NAME?</v>
      </c>
      <c r="D179" s="6" t="e">
        <f ca="1"/>
        <v>#NAME?</v>
      </c>
      <c r="E179" s="6" t="e">
        <f ca="1"/>
        <v>#NAME?</v>
      </c>
      <c r="F179" s="6" t="e">
        <f ca="1"/>
        <v>#NAME?</v>
      </c>
      <c r="G179" s="6" t="e">
        <f ca="1"/>
        <v>#NAME?</v>
      </c>
      <c r="H179" s="6" t="e">
        <f ca="1"/>
        <v>#NAME?</v>
      </c>
      <c r="I179" s="6"/>
      <c r="J179" s="6"/>
      <c r="K179" s="6"/>
      <c r="L179" s="6"/>
      <c r="M179" s="6"/>
      <c r="N179" s="6"/>
      <c r="O179" s="6"/>
      <c r="P179" s="6"/>
      <c r="Q179" s="6"/>
      <c r="R179" s="6"/>
      <c r="S179" s="6"/>
      <c r="T179" s="6"/>
    </row>
    <row r="180" spans="1:20">
      <c r="A180" s="6">
        <v>0</v>
      </c>
      <c r="B180" s="6">
        <v>0</v>
      </c>
      <c r="C180" s="6" t="e">
        <f ca="1"/>
        <v>#NAME?</v>
      </c>
      <c r="D180" s="6" t="e">
        <f ca="1"/>
        <v>#NAME?</v>
      </c>
      <c r="E180" s="6" t="e">
        <f ca="1"/>
        <v>#NAME?</v>
      </c>
      <c r="F180" s="6" t="e">
        <f ca="1"/>
        <v>#NAME?</v>
      </c>
      <c r="G180" s="6" t="e">
        <f ca="1"/>
        <v>#NAME?</v>
      </c>
      <c r="H180" s="6" t="e">
        <f ca="1"/>
        <v>#NAME?</v>
      </c>
      <c r="I180" s="6"/>
      <c r="J180" s="6"/>
      <c r="K180" s="6"/>
      <c r="L180" s="6"/>
      <c r="M180" s="6"/>
      <c r="N180" s="6"/>
      <c r="O180" s="6"/>
      <c r="P180" s="6"/>
      <c r="Q180" s="6"/>
      <c r="R180" s="6"/>
      <c r="S180" s="6"/>
      <c r="T180" s="6"/>
    </row>
    <row r="181" spans="1:20">
      <c r="A181" s="6">
        <v>0</v>
      </c>
      <c r="B181" s="6">
        <v>0</v>
      </c>
      <c r="C181" s="6" t="e">
        <f ca="1"/>
        <v>#NAME?</v>
      </c>
      <c r="D181" s="6" t="e">
        <f ca="1"/>
        <v>#NAME?</v>
      </c>
      <c r="E181" s="6" t="e">
        <f ca="1"/>
        <v>#NAME?</v>
      </c>
      <c r="F181" s="6" t="e">
        <f ca="1"/>
        <v>#NAME?</v>
      </c>
      <c r="G181" s="6" t="e">
        <f ca="1"/>
        <v>#NAME?</v>
      </c>
      <c r="H181" s="6" t="e">
        <f ca="1"/>
        <v>#NAME?</v>
      </c>
      <c r="I181" s="6"/>
      <c r="J181" s="6"/>
      <c r="K181" s="6"/>
      <c r="L181" s="6"/>
      <c r="M181" s="6"/>
      <c r="N181" s="6"/>
      <c r="O181" s="6"/>
      <c r="P181" s="6"/>
      <c r="Q181" s="6"/>
      <c r="R181" s="6"/>
      <c r="S181" s="6"/>
      <c r="T181" s="6"/>
    </row>
    <row r="182" spans="1:20">
      <c r="A182" s="6">
        <v>0</v>
      </c>
      <c r="B182" s="6">
        <v>0</v>
      </c>
      <c r="C182" s="6" t="e">
        <f ca="1"/>
        <v>#NAME?</v>
      </c>
      <c r="D182" s="6" t="e">
        <f ca="1"/>
        <v>#NAME?</v>
      </c>
      <c r="E182" s="6" t="e">
        <f ca="1"/>
        <v>#NAME?</v>
      </c>
      <c r="F182" s="6" t="e">
        <f ca="1"/>
        <v>#NAME?</v>
      </c>
      <c r="G182" s="6" t="e">
        <f ca="1"/>
        <v>#NAME?</v>
      </c>
      <c r="H182" s="6" t="e">
        <f ca="1"/>
        <v>#NAME?</v>
      </c>
      <c r="I182" s="6"/>
      <c r="J182" s="6"/>
      <c r="K182" s="6"/>
      <c r="L182" s="6"/>
      <c r="M182" s="6"/>
      <c r="N182" s="6"/>
      <c r="O182" s="6"/>
      <c r="P182" s="6"/>
      <c r="Q182" s="6"/>
      <c r="R182" s="6"/>
      <c r="S182" s="6"/>
      <c r="T182" s="6"/>
    </row>
    <row r="183" spans="1:20">
      <c r="A183" s="6">
        <v>0</v>
      </c>
      <c r="B183" s="6">
        <v>0</v>
      </c>
      <c r="C183" s="6" t="e">
        <f ca="1"/>
        <v>#NAME?</v>
      </c>
      <c r="D183" s="6" t="e">
        <f ca="1"/>
        <v>#NAME?</v>
      </c>
      <c r="E183" s="6" t="e">
        <f ca="1"/>
        <v>#NAME?</v>
      </c>
      <c r="F183" s="6" t="e">
        <f ca="1"/>
        <v>#NAME?</v>
      </c>
      <c r="G183" s="6" t="e">
        <f ca="1"/>
        <v>#NAME?</v>
      </c>
      <c r="H183" s="6" t="e">
        <f ca="1"/>
        <v>#NAME?</v>
      </c>
      <c r="I183" s="6"/>
      <c r="J183" s="6"/>
      <c r="K183" s="6"/>
      <c r="L183" s="6"/>
      <c r="M183" s="6"/>
      <c r="N183" s="6"/>
      <c r="O183" s="6"/>
      <c r="P183" s="6"/>
      <c r="Q183" s="6"/>
      <c r="R183" s="6"/>
      <c r="S183" s="6"/>
      <c r="T183" s="6"/>
    </row>
    <row r="184" spans="1:20">
      <c r="A184" s="6">
        <v>0</v>
      </c>
      <c r="B184" s="6">
        <v>0</v>
      </c>
      <c r="C184" s="6" t="e">
        <f ca="1"/>
        <v>#NAME?</v>
      </c>
      <c r="D184" s="6" t="e">
        <f ca="1"/>
        <v>#NAME?</v>
      </c>
      <c r="E184" s="6" t="e">
        <f ca="1"/>
        <v>#NAME?</v>
      </c>
      <c r="F184" s="6" t="e">
        <f ca="1"/>
        <v>#NAME?</v>
      </c>
      <c r="G184" s="6" t="e">
        <f ca="1"/>
        <v>#NAME?</v>
      </c>
      <c r="H184" s="6" t="e">
        <f ca="1"/>
        <v>#NAME?</v>
      </c>
      <c r="I184" s="6"/>
      <c r="J184" s="6"/>
      <c r="K184" s="6"/>
      <c r="L184" s="6"/>
      <c r="M184" s="6"/>
      <c r="N184" s="6"/>
      <c r="O184" s="6"/>
      <c r="P184" s="6"/>
      <c r="Q184" s="6"/>
      <c r="R184" s="6"/>
      <c r="S184" s="6"/>
      <c r="T184" s="6"/>
    </row>
    <row r="185" spans="1:20">
      <c r="A185" s="6">
        <v>0</v>
      </c>
      <c r="B185" s="6">
        <v>0</v>
      </c>
      <c r="C185" s="6" t="e">
        <f ca="1"/>
        <v>#NAME?</v>
      </c>
      <c r="D185" s="6" t="e">
        <f ca="1"/>
        <v>#NAME?</v>
      </c>
      <c r="E185" s="6" t="e">
        <f ca="1"/>
        <v>#NAME?</v>
      </c>
      <c r="F185" s="6" t="e">
        <f ca="1"/>
        <v>#NAME?</v>
      </c>
      <c r="G185" s="6" t="e">
        <f ca="1"/>
        <v>#NAME?</v>
      </c>
      <c r="H185" s="6" t="e">
        <f ca="1"/>
        <v>#NAME?</v>
      </c>
      <c r="I185" s="6"/>
      <c r="J185" s="6"/>
      <c r="K185" s="6"/>
      <c r="L185" s="6"/>
      <c r="M185" s="6"/>
      <c r="N185" s="6"/>
      <c r="O185" s="6"/>
      <c r="P185" s="6"/>
      <c r="Q185" s="6"/>
      <c r="R185" s="6"/>
      <c r="S185" s="6"/>
      <c r="T185" s="6"/>
    </row>
    <row r="186" spans="1:20">
      <c r="A186" s="6">
        <v>0</v>
      </c>
      <c r="B186" s="6">
        <v>0</v>
      </c>
      <c r="C186" s="6" t="e">
        <f ca="1"/>
        <v>#NAME?</v>
      </c>
      <c r="D186" s="6" t="e">
        <f ca="1"/>
        <v>#NAME?</v>
      </c>
      <c r="E186" s="6" t="e">
        <f ca="1"/>
        <v>#NAME?</v>
      </c>
      <c r="F186" s="6" t="e">
        <f ca="1"/>
        <v>#NAME?</v>
      </c>
      <c r="G186" s="6" t="e">
        <f ca="1"/>
        <v>#NAME?</v>
      </c>
      <c r="H186" s="6" t="e">
        <f ca="1"/>
        <v>#NAME?</v>
      </c>
      <c r="I186" s="6"/>
      <c r="J186" s="6"/>
      <c r="K186" s="6"/>
      <c r="L186" s="6"/>
      <c r="M186" s="6"/>
      <c r="N186" s="6"/>
      <c r="O186" s="6"/>
      <c r="P186" s="6"/>
      <c r="Q186" s="6"/>
      <c r="R186" s="6"/>
      <c r="S186" s="6"/>
      <c r="T186" s="6"/>
    </row>
    <row r="187" spans="1:20">
      <c r="A187" s="6">
        <v>0</v>
      </c>
      <c r="B187" s="6">
        <v>0</v>
      </c>
      <c r="C187" s="6" t="e">
        <f ca="1"/>
        <v>#NAME?</v>
      </c>
      <c r="D187" s="6" t="e">
        <f ca="1"/>
        <v>#NAME?</v>
      </c>
      <c r="E187" s="6" t="e">
        <f ca="1"/>
        <v>#NAME?</v>
      </c>
      <c r="F187" s="6" t="e">
        <f ca="1"/>
        <v>#NAME?</v>
      </c>
      <c r="G187" s="6" t="e">
        <f ca="1"/>
        <v>#NAME?</v>
      </c>
      <c r="H187" s="6" t="e">
        <f ca="1"/>
        <v>#NAME?</v>
      </c>
      <c r="I187" s="6"/>
      <c r="J187" s="6"/>
      <c r="K187" s="6"/>
      <c r="L187" s="6"/>
      <c r="M187" s="6"/>
      <c r="N187" s="6"/>
      <c r="O187" s="6"/>
      <c r="P187" s="6"/>
      <c r="Q187" s="6"/>
      <c r="R187" s="6"/>
      <c r="S187" s="6"/>
      <c r="T187" s="6"/>
    </row>
    <row r="188" spans="1:20">
      <c r="A188" s="6">
        <v>0</v>
      </c>
      <c r="B188" s="6">
        <v>0</v>
      </c>
      <c r="C188" s="6" t="e">
        <f ca="1"/>
        <v>#NAME?</v>
      </c>
      <c r="D188" s="6" t="e">
        <f ca="1"/>
        <v>#NAME?</v>
      </c>
      <c r="E188" s="6" t="e">
        <f ca="1"/>
        <v>#NAME?</v>
      </c>
      <c r="F188" s="6" t="e">
        <f ca="1"/>
        <v>#NAME?</v>
      </c>
      <c r="G188" s="6" t="e">
        <f ca="1"/>
        <v>#NAME?</v>
      </c>
      <c r="H188" s="6" t="e">
        <f ca="1"/>
        <v>#NAME?</v>
      </c>
      <c r="I188" s="6"/>
      <c r="J188" s="6"/>
      <c r="K188" s="6"/>
      <c r="L188" s="6"/>
      <c r="M188" s="6"/>
      <c r="N188" s="6"/>
      <c r="O188" s="6"/>
      <c r="P188" s="6"/>
      <c r="Q188" s="6"/>
      <c r="R188" s="6"/>
      <c r="S188" s="6"/>
      <c r="T188" s="6"/>
    </row>
    <row r="189" spans="1:20">
      <c r="A189" s="6">
        <v>0</v>
      </c>
      <c r="B189" s="6">
        <v>0</v>
      </c>
      <c r="C189" s="6" t="e">
        <f ca="1"/>
        <v>#NAME?</v>
      </c>
      <c r="D189" s="6" t="e">
        <f ca="1"/>
        <v>#NAME?</v>
      </c>
      <c r="E189" s="6" t="e">
        <f ca="1"/>
        <v>#NAME?</v>
      </c>
      <c r="F189" s="6" t="e">
        <f ca="1"/>
        <v>#NAME?</v>
      </c>
      <c r="G189" s="6" t="e">
        <f ca="1"/>
        <v>#NAME?</v>
      </c>
      <c r="H189" s="6" t="e">
        <f ca="1"/>
        <v>#NAME?</v>
      </c>
      <c r="I189" s="6"/>
      <c r="J189" s="6"/>
      <c r="K189" s="6"/>
      <c r="L189" s="6"/>
      <c r="M189" s="6"/>
      <c r="N189" s="6"/>
      <c r="O189" s="6"/>
      <c r="P189" s="6"/>
      <c r="Q189" s="6"/>
      <c r="R189" s="6"/>
      <c r="S189" s="6"/>
      <c r="T189" s="6"/>
    </row>
    <row r="190" spans="1:20">
      <c r="A190" s="6">
        <v>0</v>
      </c>
      <c r="B190" s="6">
        <v>0</v>
      </c>
      <c r="C190" s="6" t="e">
        <f ca="1"/>
        <v>#NAME?</v>
      </c>
      <c r="D190" s="6" t="e">
        <f ca="1"/>
        <v>#NAME?</v>
      </c>
      <c r="E190" s="6" t="e">
        <f ca="1"/>
        <v>#NAME?</v>
      </c>
      <c r="F190" s="6" t="e">
        <f ca="1"/>
        <v>#NAME?</v>
      </c>
      <c r="G190" s="6" t="e">
        <f ca="1"/>
        <v>#NAME?</v>
      </c>
      <c r="H190" s="6" t="e">
        <f ca="1"/>
        <v>#NAME?</v>
      </c>
      <c r="I190" s="6"/>
      <c r="J190" s="6"/>
      <c r="K190" s="6"/>
      <c r="L190" s="6"/>
      <c r="M190" s="6"/>
      <c r="N190" s="6"/>
      <c r="O190" s="6"/>
      <c r="P190" s="6"/>
      <c r="Q190" s="6"/>
      <c r="R190" s="6"/>
      <c r="S190" s="6"/>
      <c r="T190" s="6"/>
    </row>
    <row r="191" spans="1:20">
      <c r="A191" s="6">
        <v>0</v>
      </c>
      <c r="B191" s="6">
        <v>0</v>
      </c>
      <c r="C191" s="6" t="e">
        <f ca="1"/>
        <v>#NAME?</v>
      </c>
      <c r="D191" s="6" t="e">
        <f ca="1"/>
        <v>#NAME?</v>
      </c>
      <c r="E191" s="6" t="e">
        <f ca="1"/>
        <v>#NAME?</v>
      </c>
      <c r="F191" s="6" t="e">
        <f ca="1"/>
        <v>#NAME?</v>
      </c>
      <c r="G191" s="6" t="e">
        <f ca="1"/>
        <v>#NAME?</v>
      </c>
      <c r="H191" s="6" t="e">
        <f ca="1"/>
        <v>#NAME?</v>
      </c>
      <c r="I191" s="6"/>
      <c r="J191" s="6"/>
      <c r="K191" s="6"/>
      <c r="L191" s="6"/>
      <c r="M191" s="6"/>
      <c r="N191" s="6"/>
      <c r="O191" s="6"/>
      <c r="P191" s="6"/>
      <c r="Q191" s="6"/>
      <c r="R191" s="6"/>
      <c r="S191" s="6"/>
      <c r="T191" s="6"/>
    </row>
    <row r="192" spans="1:20">
      <c r="A192" s="6">
        <v>0</v>
      </c>
      <c r="B192" s="6">
        <v>0</v>
      </c>
      <c r="C192" s="6" t="e">
        <f ca="1"/>
        <v>#NAME?</v>
      </c>
      <c r="D192" s="6" t="e">
        <f ca="1"/>
        <v>#NAME?</v>
      </c>
      <c r="E192" s="6" t="e">
        <f ca="1"/>
        <v>#NAME?</v>
      </c>
      <c r="F192" s="6" t="e">
        <f ca="1"/>
        <v>#NAME?</v>
      </c>
      <c r="G192" s="6" t="e">
        <f ca="1"/>
        <v>#NAME?</v>
      </c>
      <c r="H192" s="6" t="e">
        <f ca="1"/>
        <v>#NAME?</v>
      </c>
      <c r="I192" s="6"/>
      <c r="J192" s="6"/>
      <c r="K192" s="6"/>
      <c r="L192" s="6"/>
      <c r="M192" s="6"/>
      <c r="N192" s="6"/>
      <c r="O192" s="6"/>
      <c r="P192" s="6"/>
      <c r="Q192" s="6"/>
      <c r="R192" s="6"/>
      <c r="S192" s="6"/>
      <c r="T192" s="6"/>
    </row>
    <row r="193" spans="1:20">
      <c r="A193" s="6">
        <v>0</v>
      </c>
      <c r="B193" s="6">
        <v>0</v>
      </c>
      <c r="C193" s="6" t="e">
        <f ca="1"/>
        <v>#NAME?</v>
      </c>
      <c r="D193" s="6" t="e">
        <f ca="1"/>
        <v>#NAME?</v>
      </c>
      <c r="E193" s="6" t="e">
        <f ca="1"/>
        <v>#NAME?</v>
      </c>
      <c r="F193" s="6" t="e">
        <f ca="1"/>
        <v>#NAME?</v>
      </c>
      <c r="G193" s="6" t="e">
        <f ca="1"/>
        <v>#NAME?</v>
      </c>
      <c r="H193" s="6" t="e">
        <f ca="1"/>
        <v>#NAME?</v>
      </c>
      <c r="I193" s="6"/>
      <c r="J193" s="6"/>
      <c r="K193" s="6"/>
      <c r="L193" s="6"/>
      <c r="M193" s="6"/>
      <c r="N193" s="6"/>
      <c r="O193" s="6"/>
      <c r="P193" s="6"/>
      <c r="Q193" s="6"/>
      <c r="R193" s="6"/>
      <c r="S193" s="6"/>
      <c r="T193" s="6"/>
    </row>
    <row r="194" spans="1:20">
      <c r="A194" s="6">
        <v>0</v>
      </c>
      <c r="B194" s="6">
        <v>0</v>
      </c>
      <c r="C194" s="6" t="e">
        <f ca="1"/>
        <v>#NAME?</v>
      </c>
      <c r="D194" s="6" t="e">
        <f ca="1"/>
        <v>#NAME?</v>
      </c>
      <c r="E194" s="6" t="e">
        <f ca="1"/>
        <v>#NAME?</v>
      </c>
      <c r="F194" s="6" t="e">
        <f ca="1"/>
        <v>#NAME?</v>
      </c>
      <c r="G194" s="6" t="e">
        <f ca="1"/>
        <v>#NAME?</v>
      </c>
      <c r="H194" s="6" t="e">
        <f ca="1"/>
        <v>#NAME?</v>
      </c>
      <c r="I194" s="6"/>
      <c r="J194" s="6"/>
      <c r="K194" s="6"/>
      <c r="L194" s="6"/>
      <c r="M194" s="6"/>
      <c r="N194" s="6"/>
      <c r="O194" s="6"/>
      <c r="P194" s="6"/>
      <c r="Q194" s="6"/>
      <c r="R194" s="6"/>
      <c r="S194" s="6"/>
      <c r="T194" s="6"/>
    </row>
    <row r="195" spans="1:20">
      <c r="A195" s="6">
        <v>0</v>
      </c>
      <c r="B195" s="6">
        <v>0</v>
      </c>
      <c r="C195" s="6" t="e">
        <f ca="1"/>
        <v>#NAME?</v>
      </c>
      <c r="D195" s="6" t="e">
        <f ca="1"/>
        <v>#NAME?</v>
      </c>
      <c r="E195" s="6" t="e">
        <f ca="1"/>
        <v>#NAME?</v>
      </c>
      <c r="F195" s="6" t="e">
        <f ca="1"/>
        <v>#NAME?</v>
      </c>
      <c r="G195" s="6" t="e">
        <f ca="1"/>
        <v>#NAME?</v>
      </c>
      <c r="H195" s="6" t="e">
        <f ca="1"/>
        <v>#NAME?</v>
      </c>
      <c r="I195" s="6"/>
      <c r="J195" s="6"/>
      <c r="K195" s="6"/>
      <c r="L195" s="6"/>
      <c r="M195" s="6"/>
      <c r="N195" s="6"/>
      <c r="O195" s="6"/>
      <c r="P195" s="6"/>
      <c r="Q195" s="6"/>
      <c r="R195" s="6"/>
      <c r="S195" s="6"/>
      <c r="T195" s="6"/>
    </row>
    <row r="196" spans="1:20">
      <c r="A196" s="6">
        <v>0</v>
      </c>
      <c r="B196" s="6">
        <v>0</v>
      </c>
      <c r="C196" s="6" t="e">
        <f ca="1"/>
        <v>#NAME?</v>
      </c>
      <c r="D196" s="6" t="e">
        <f ca="1"/>
        <v>#NAME?</v>
      </c>
      <c r="E196" s="6" t="e">
        <f ca="1"/>
        <v>#NAME?</v>
      </c>
      <c r="F196" s="6" t="e">
        <f ca="1"/>
        <v>#NAME?</v>
      </c>
      <c r="G196" s="6" t="e">
        <f ca="1"/>
        <v>#NAME?</v>
      </c>
      <c r="H196" s="6" t="e">
        <f ca="1"/>
        <v>#NAME?</v>
      </c>
      <c r="I196" s="6"/>
      <c r="J196" s="6"/>
      <c r="K196" s="6"/>
      <c r="L196" s="6"/>
      <c r="M196" s="6"/>
      <c r="N196" s="6"/>
      <c r="O196" s="6"/>
      <c r="P196" s="6"/>
      <c r="Q196" s="6"/>
      <c r="R196" s="6"/>
      <c r="S196" s="6"/>
      <c r="T196" s="6"/>
    </row>
    <row r="197" spans="1:20">
      <c r="A197" s="6">
        <v>0</v>
      </c>
      <c r="B197" s="6">
        <v>0</v>
      </c>
      <c r="C197" s="6" t="e">
        <f ca="1"/>
        <v>#NAME?</v>
      </c>
      <c r="D197" s="6" t="e">
        <f ca="1"/>
        <v>#NAME?</v>
      </c>
      <c r="E197" s="6" t="e">
        <f ca="1"/>
        <v>#NAME?</v>
      </c>
      <c r="F197" s="6" t="e">
        <f ca="1"/>
        <v>#NAME?</v>
      </c>
      <c r="G197" s="6" t="e">
        <f ca="1"/>
        <v>#NAME?</v>
      </c>
      <c r="H197" s="6" t="e">
        <f ca="1"/>
        <v>#NAME?</v>
      </c>
      <c r="I197" s="6"/>
      <c r="J197" s="6"/>
      <c r="K197" s="6"/>
      <c r="L197" s="6"/>
      <c r="M197" s="6"/>
      <c r="N197" s="6"/>
      <c r="O197" s="6"/>
      <c r="P197" s="6"/>
      <c r="Q197" s="6"/>
      <c r="R197" s="6"/>
      <c r="S197" s="6"/>
      <c r="T197" s="6"/>
    </row>
    <row r="198" spans="1:20">
      <c r="A198" s="6">
        <v>0</v>
      </c>
      <c r="B198" s="6">
        <v>0</v>
      </c>
      <c r="C198" s="6" t="e">
        <f ca="1"/>
        <v>#NAME?</v>
      </c>
      <c r="D198" s="6" t="e">
        <f ca="1"/>
        <v>#NAME?</v>
      </c>
      <c r="E198" s="6" t="e">
        <f ca="1"/>
        <v>#NAME?</v>
      </c>
      <c r="F198" s="6" t="e">
        <f ca="1"/>
        <v>#NAME?</v>
      </c>
      <c r="G198" s="6" t="e">
        <f ca="1"/>
        <v>#NAME?</v>
      </c>
      <c r="H198" s="6" t="e">
        <f ca="1"/>
        <v>#NAME?</v>
      </c>
      <c r="I198" s="6"/>
      <c r="J198" s="6"/>
      <c r="K198" s="6"/>
      <c r="L198" s="6"/>
      <c r="M198" s="6"/>
      <c r="N198" s="6"/>
      <c r="O198" s="6"/>
      <c r="P198" s="6"/>
      <c r="Q198" s="6"/>
      <c r="R198" s="6"/>
      <c r="S198" s="6"/>
      <c r="T198" s="6"/>
    </row>
    <row r="199" spans="1:20">
      <c r="A199" s="6">
        <v>0</v>
      </c>
      <c r="B199" s="6">
        <v>0</v>
      </c>
      <c r="C199" s="6" t="e">
        <f ca="1"/>
        <v>#NAME?</v>
      </c>
      <c r="D199" s="6" t="e">
        <f ca="1"/>
        <v>#NAME?</v>
      </c>
      <c r="E199" s="6" t="e">
        <f ca="1"/>
        <v>#NAME?</v>
      </c>
      <c r="F199" s="6" t="e">
        <f ca="1"/>
        <v>#NAME?</v>
      </c>
      <c r="G199" s="6" t="e">
        <f ca="1"/>
        <v>#NAME?</v>
      </c>
      <c r="H199" s="6" t="e">
        <f ca="1"/>
        <v>#NAME?</v>
      </c>
      <c r="I199" s="6"/>
      <c r="J199" s="6"/>
      <c r="K199" s="6"/>
      <c r="L199" s="6"/>
      <c r="M199" s="6"/>
      <c r="N199" s="6"/>
      <c r="O199" s="6"/>
      <c r="P199" s="6"/>
      <c r="Q199" s="6"/>
      <c r="R199" s="6"/>
      <c r="S199" s="6"/>
      <c r="T199" s="6"/>
    </row>
    <row r="200" spans="1:20">
      <c r="A200" s="6">
        <v>0</v>
      </c>
      <c r="B200" s="6">
        <v>0</v>
      </c>
      <c r="C200" s="6" t="e">
        <f ca="1"/>
        <v>#NAME?</v>
      </c>
      <c r="D200" s="6" t="e">
        <f ca="1"/>
        <v>#NAME?</v>
      </c>
      <c r="E200" s="6" t="e">
        <f ca="1"/>
        <v>#NAME?</v>
      </c>
      <c r="F200" s="6" t="e">
        <f ca="1"/>
        <v>#NAME?</v>
      </c>
      <c r="G200" s="6" t="e">
        <f ca="1"/>
        <v>#NAME?</v>
      </c>
      <c r="H200" s="6" t="e">
        <f ca="1"/>
        <v>#NAME?</v>
      </c>
      <c r="I200" s="6"/>
      <c r="J200" s="6"/>
      <c r="K200" s="6"/>
      <c r="L200" s="6"/>
      <c r="M200" s="6"/>
      <c r="N200" s="6"/>
      <c r="O200" s="6"/>
      <c r="P200" s="6"/>
      <c r="Q200" s="6"/>
      <c r="R200" s="6"/>
      <c r="S200" s="6"/>
      <c r="T200" s="6"/>
    </row>
    <row r="201" spans="1:20">
      <c r="A201" s="6">
        <v>0</v>
      </c>
      <c r="B201" s="6">
        <v>0</v>
      </c>
      <c r="C201" s="6" t="e">
        <f ca="1"/>
        <v>#NAME?</v>
      </c>
      <c r="D201" s="6" t="e">
        <f ca="1"/>
        <v>#NAME?</v>
      </c>
      <c r="E201" s="6" t="e">
        <f ca="1"/>
        <v>#NAME?</v>
      </c>
      <c r="F201" s="6" t="e">
        <f ca="1"/>
        <v>#NAME?</v>
      </c>
      <c r="G201" s="6" t="e">
        <f ca="1"/>
        <v>#NAME?</v>
      </c>
      <c r="H201" s="6" t="e">
        <f ca="1"/>
        <v>#NAME?</v>
      </c>
      <c r="I201" s="6"/>
      <c r="J201" s="6"/>
      <c r="K201" s="6"/>
      <c r="L201" s="6"/>
      <c r="M201" s="6"/>
      <c r="N201" s="6"/>
      <c r="O201" s="6"/>
      <c r="P201" s="6"/>
      <c r="Q201" s="6"/>
      <c r="R201" s="6"/>
      <c r="S201" s="6"/>
      <c r="T201" s="6"/>
    </row>
    <row r="202" spans="1:20">
      <c r="A202" s="6">
        <v>0</v>
      </c>
      <c r="B202" s="6">
        <v>0</v>
      </c>
      <c r="C202" s="6" t="e">
        <f ca="1"/>
        <v>#NAME?</v>
      </c>
      <c r="D202" s="6" t="e">
        <f ca="1"/>
        <v>#NAME?</v>
      </c>
      <c r="E202" s="6" t="e">
        <f ca="1"/>
        <v>#NAME?</v>
      </c>
      <c r="F202" s="6" t="e">
        <f ca="1"/>
        <v>#NAME?</v>
      </c>
      <c r="G202" s="6" t="e">
        <f ca="1"/>
        <v>#NAME?</v>
      </c>
      <c r="H202" s="6" t="e">
        <f ca="1"/>
        <v>#NAME?</v>
      </c>
      <c r="I202" s="6"/>
      <c r="J202" s="6"/>
      <c r="K202" s="6"/>
      <c r="L202" s="6"/>
      <c r="M202" s="6"/>
      <c r="N202" s="6"/>
      <c r="O202" s="6"/>
      <c r="P202" s="6"/>
      <c r="Q202" s="6"/>
      <c r="R202" s="6"/>
      <c r="S202" s="6"/>
      <c r="T202" s="6"/>
    </row>
    <row r="203" spans="1:20">
      <c r="A203" s="6">
        <v>0</v>
      </c>
      <c r="B203" s="6">
        <v>0</v>
      </c>
      <c r="C203" s="6" t="e">
        <f ca="1"/>
        <v>#NAME?</v>
      </c>
      <c r="D203" s="6" t="e">
        <f ca="1"/>
        <v>#NAME?</v>
      </c>
      <c r="E203" s="6" t="e">
        <f ca="1"/>
        <v>#NAME?</v>
      </c>
      <c r="F203" s="6" t="e">
        <f ca="1"/>
        <v>#NAME?</v>
      </c>
      <c r="G203" s="6" t="e">
        <f ca="1"/>
        <v>#NAME?</v>
      </c>
      <c r="H203" s="6" t="e">
        <f ca="1"/>
        <v>#NAME?</v>
      </c>
      <c r="I203" s="6"/>
      <c r="J203" s="6"/>
      <c r="K203" s="6"/>
      <c r="L203" s="6"/>
      <c r="M203" s="6"/>
      <c r="N203" s="6"/>
      <c r="O203" s="6"/>
      <c r="P203" s="6"/>
      <c r="Q203" s="6"/>
      <c r="R203" s="6"/>
      <c r="S203" s="6"/>
      <c r="T203" s="6"/>
    </row>
    <row r="204" spans="1:20">
      <c r="A204" s="6">
        <v>0</v>
      </c>
      <c r="B204" s="6">
        <v>0</v>
      </c>
      <c r="C204" s="6" t="e">
        <f ca="1"/>
        <v>#NAME?</v>
      </c>
      <c r="D204" s="6" t="e">
        <f ca="1"/>
        <v>#NAME?</v>
      </c>
      <c r="E204" s="6" t="e">
        <f ca="1"/>
        <v>#NAME?</v>
      </c>
      <c r="F204" s="6" t="e">
        <f ca="1"/>
        <v>#NAME?</v>
      </c>
      <c r="G204" s="6" t="e">
        <f ca="1"/>
        <v>#NAME?</v>
      </c>
      <c r="H204" s="6" t="e">
        <f ca="1"/>
        <v>#NAME?</v>
      </c>
      <c r="I204" s="6"/>
      <c r="J204" s="6"/>
      <c r="K204" s="6"/>
      <c r="L204" s="6"/>
      <c r="M204" s="6"/>
      <c r="N204" s="6"/>
      <c r="O204" s="6"/>
      <c r="P204" s="6"/>
      <c r="Q204" s="6"/>
      <c r="R204" s="6"/>
      <c r="S204" s="6"/>
      <c r="T204" s="6"/>
    </row>
    <row r="205" spans="1:20">
      <c r="A205" s="6">
        <v>0</v>
      </c>
      <c r="B205" s="6">
        <v>0</v>
      </c>
      <c r="C205" s="6" t="e">
        <f ca="1"/>
        <v>#NAME?</v>
      </c>
      <c r="D205" s="6" t="e">
        <f ca="1"/>
        <v>#NAME?</v>
      </c>
      <c r="E205" s="6" t="e">
        <f ca="1"/>
        <v>#NAME?</v>
      </c>
      <c r="F205" s="6" t="e">
        <f ca="1"/>
        <v>#NAME?</v>
      </c>
      <c r="G205" s="6" t="e">
        <f ca="1"/>
        <v>#NAME?</v>
      </c>
      <c r="H205" s="6" t="e">
        <f ca="1"/>
        <v>#NAME?</v>
      </c>
      <c r="I205" s="6"/>
      <c r="J205" s="6"/>
      <c r="K205" s="6"/>
      <c r="L205" s="6"/>
      <c r="M205" s="6"/>
      <c r="N205" s="6"/>
      <c r="O205" s="6"/>
      <c r="P205" s="6"/>
      <c r="Q205" s="6"/>
      <c r="R205" s="6"/>
      <c r="S205" s="6"/>
      <c r="T205" s="6"/>
    </row>
    <row r="206" spans="1:20">
      <c r="A206" s="6">
        <v>0</v>
      </c>
      <c r="B206" s="6">
        <v>0</v>
      </c>
      <c r="C206" s="6" t="e">
        <f ca="1"/>
        <v>#NAME?</v>
      </c>
      <c r="D206" s="6" t="e">
        <f ca="1"/>
        <v>#NAME?</v>
      </c>
      <c r="E206" s="6" t="e">
        <f ca="1"/>
        <v>#NAME?</v>
      </c>
      <c r="F206" s="6" t="e">
        <f ca="1"/>
        <v>#NAME?</v>
      </c>
      <c r="G206" s="6" t="e">
        <f ca="1"/>
        <v>#NAME?</v>
      </c>
      <c r="H206" s="6" t="e">
        <f ca="1"/>
        <v>#NAME?</v>
      </c>
      <c r="I206" s="6"/>
      <c r="J206" s="6"/>
      <c r="K206" s="6"/>
      <c r="L206" s="6"/>
      <c r="M206" s="6"/>
      <c r="N206" s="6"/>
      <c r="O206" s="6"/>
      <c r="P206" s="6"/>
      <c r="Q206" s="6"/>
      <c r="R206" s="6"/>
      <c r="S206" s="6"/>
      <c r="T206" s="6"/>
    </row>
    <row r="207" spans="1:20">
      <c r="A207" s="6">
        <v>0</v>
      </c>
      <c r="B207" s="6">
        <v>0</v>
      </c>
      <c r="C207" s="6" t="e">
        <f ca="1"/>
        <v>#NAME?</v>
      </c>
      <c r="D207" s="6" t="e">
        <f ca="1"/>
        <v>#NAME?</v>
      </c>
      <c r="E207" s="6" t="e">
        <f ca="1"/>
        <v>#NAME?</v>
      </c>
      <c r="F207" s="6" t="e">
        <f ca="1"/>
        <v>#NAME?</v>
      </c>
      <c r="G207" s="6" t="e">
        <f ca="1"/>
        <v>#NAME?</v>
      </c>
      <c r="H207" s="6" t="e">
        <f ca="1"/>
        <v>#NAME?</v>
      </c>
      <c r="I207" s="6"/>
      <c r="J207" s="6"/>
      <c r="K207" s="6"/>
      <c r="L207" s="6"/>
      <c r="M207" s="6"/>
      <c r="N207" s="6"/>
      <c r="O207" s="6"/>
      <c r="P207" s="6"/>
      <c r="Q207" s="6"/>
      <c r="R207" s="6"/>
      <c r="S207" s="6"/>
      <c r="T207" s="6"/>
    </row>
    <row r="208" spans="1:20">
      <c r="A208" s="6">
        <v>0</v>
      </c>
      <c r="B208" s="6">
        <v>0</v>
      </c>
      <c r="C208" s="6" t="e">
        <f ca="1"/>
        <v>#NAME?</v>
      </c>
      <c r="D208" s="6" t="e">
        <f ca="1"/>
        <v>#NAME?</v>
      </c>
      <c r="E208" s="6" t="e">
        <f ca="1"/>
        <v>#NAME?</v>
      </c>
      <c r="F208" s="6" t="e">
        <f ca="1"/>
        <v>#NAME?</v>
      </c>
      <c r="G208" s="6" t="e">
        <f ca="1"/>
        <v>#NAME?</v>
      </c>
      <c r="H208" s="6" t="e">
        <f ca="1"/>
        <v>#NAME?</v>
      </c>
      <c r="I208" s="6"/>
      <c r="J208" s="6"/>
      <c r="K208" s="6"/>
      <c r="L208" s="6"/>
      <c r="M208" s="6"/>
      <c r="N208" s="6"/>
      <c r="O208" s="6"/>
      <c r="P208" s="6"/>
      <c r="Q208" s="6"/>
      <c r="R208" s="6"/>
      <c r="S208" s="6"/>
      <c r="T208" s="6"/>
    </row>
    <row r="209" spans="1:20">
      <c r="A209" s="6">
        <v>0</v>
      </c>
      <c r="B209" s="6">
        <v>0</v>
      </c>
      <c r="C209" s="6" t="e">
        <f ca="1"/>
        <v>#NAME?</v>
      </c>
      <c r="D209" s="6" t="e">
        <f ca="1"/>
        <v>#NAME?</v>
      </c>
      <c r="E209" s="6" t="e">
        <f ca="1"/>
        <v>#NAME?</v>
      </c>
      <c r="F209" s="6" t="e">
        <f ca="1"/>
        <v>#NAME?</v>
      </c>
      <c r="G209" s="6" t="e">
        <f ca="1"/>
        <v>#NAME?</v>
      </c>
      <c r="H209" s="6" t="e">
        <f ca="1"/>
        <v>#NAME?</v>
      </c>
      <c r="I209" s="6"/>
      <c r="J209" s="6"/>
      <c r="K209" s="6"/>
      <c r="L209" s="6"/>
      <c r="M209" s="6"/>
      <c r="N209" s="6"/>
      <c r="O209" s="6"/>
      <c r="P209" s="6"/>
      <c r="Q209" s="6"/>
      <c r="R209" s="6"/>
      <c r="S209" s="6"/>
      <c r="T209" s="6"/>
    </row>
    <row r="210" spans="1:20">
      <c r="A210" s="6">
        <v>0</v>
      </c>
      <c r="B210" s="6">
        <v>0</v>
      </c>
      <c r="C210" s="6" t="e">
        <f ca="1"/>
        <v>#NAME?</v>
      </c>
      <c r="D210" s="6" t="e">
        <f ca="1"/>
        <v>#NAME?</v>
      </c>
      <c r="E210" s="6" t="e">
        <f ca="1"/>
        <v>#NAME?</v>
      </c>
      <c r="F210" s="6" t="e">
        <f ca="1"/>
        <v>#NAME?</v>
      </c>
      <c r="G210" s="6" t="e">
        <f ca="1"/>
        <v>#NAME?</v>
      </c>
      <c r="H210" s="6" t="e">
        <f ca="1"/>
        <v>#NAME?</v>
      </c>
      <c r="I210" s="6"/>
      <c r="J210" s="6"/>
      <c r="K210" s="6"/>
      <c r="L210" s="6"/>
      <c r="M210" s="6"/>
      <c r="N210" s="6"/>
      <c r="O210" s="6"/>
      <c r="P210" s="6"/>
      <c r="Q210" s="6"/>
      <c r="R210" s="6"/>
      <c r="S210" s="6"/>
      <c r="T210" s="6"/>
    </row>
    <row r="211" spans="1:20">
      <c r="A211" s="6">
        <v>0</v>
      </c>
      <c r="B211" s="6">
        <v>0</v>
      </c>
      <c r="C211" s="6" t="e">
        <f ca="1"/>
        <v>#NAME?</v>
      </c>
      <c r="D211" s="6" t="e">
        <f ca="1"/>
        <v>#NAME?</v>
      </c>
      <c r="E211" s="6" t="e">
        <f ca="1"/>
        <v>#NAME?</v>
      </c>
      <c r="F211" s="6" t="e">
        <f ca="1"/>
        <v>#NAME?</v>
      </c>
      <c r="G211" s="6" t="e">
        <f ca="1"/>
        <v>#NAME?</v>
      </c>
      <c r="H211" s="6" t="e">
        <f ca="1"/>
        <v>#NAME?</v>
      </c>
      <c r="I211" s="6"/>
      <c r="J211" s="6"/>
      <c r="K211" s="6"/>
      <c r="L211" s="6"/>
      <c r="M211" s="6"/>
      <c r="N211" s="6"/>
      <c r="O211" s="6"/>
      <c r="P211" s="6"/>
      <c r="Q211" s="6"/>
      <c r="R211" s="6"/>
      <c r="S211" s="6"/>
      <c r="T211" s="6"/>
    </row>
    <row r="212" spans="1:20">
      <c r="A212" s="6">
        <v>0</v>
      </c>
      <c r="B212" s="6">
        <v>0</v>
      </c>
      <c r="C212" s="6" t="e">
        <f ca="1"/>
        <v>#NAME?</v>
      </c>
      <c r="D212" s="6" t="e">
        <f ca="1"/>
        <v>#NAME?</v>
      </c>
      <c r="E212" s="6" t="e">
        <f ca="1"/>
        <v>#NAME?</v>
      </c>
      <c r="F212" s="6" t="e">
        <f ca="1"/>
        <v>#NAME?</v>
      </c>
      <c r="G212" s="6" t="e">
        <f ca="1"/>
        <v>#NAME?</v>
      </c>
      <c r="H212" s="6" t="e">
        <f ca="1"/>
        <v>#NAME?</v>
      </c>
      <c r="I212" s="6"/>
      <c r="J212" s="6"/>
      <c r="K212" s="6"/>
      <c r="L212" s="6"/>
      <c r="M212" s="6"/>
      <c r="N212" s="6"/>
      <c r="O212" s="6"/>
      <c r="P212" s="6"/>
      <c r="Q212" s="6"/>
      <c r="R212" s="6"/>
      <c r="S212" s="6"/>
      <c r="T212" s="6"/>
    </row>
    <row r="213" spans="1:20">
      <c r="A213" s="6">
        <v>0</v>
      </c>
      <c r="B213" s="6">
        <v>0</v>
      </c>
      <c r="C213" s="6" t="e">
        <f ca="1"/>
        <v>#NAME?</v>
      </c>
      <c r="D213" s="6" t="e">
        <f ca="1"/>
        <v>#NAME?</v>
      </c>
      <c r="E213" s="6" t="e">
        <f ca="1"/>
        <v>#NAME?</v>
      </c>
      <c r="F213" s="6" t="e">
        <f ca="1"/>
        <v>#NAME?</v>
      </c>
      <c r="G213" s="6" t="e">
        <f ca="1"/>
        <v>#NAME?</v>
      </c>
      <c r="H213" s="6" t="e">
        <f ca="1"/>
        <v>#NAME?</v>
      </c>
      <c r="I213" s="6"/>
      <c r="J213" s="6"/>
      <c r="K213" s="6"/>
      <c r="L213" s="6"/>
      <c r="M213" s="6"/>
      <c r="N213" s="6"/>
      <c r="O213" s="6"/>
      <c r="P213" s="6"/>
      <c r="Q213" s="6"/>
      <c r="R213" s="6"/>
      <c r="S213" s="6"/>
      <c r="T213" s="6"/>
    </row>
    <row r="214" spans="1:20">
      <c r="A214" s="6">
        <v>0</v>
      </c>
      <c r="B214" s="6">
        <v>0</v>
      </c>
      <c r="C214" s="6" t="e">
        <f ca="1"/>
        <v>#NAME?</v>
      </c>
      <c r="D214" s="6" t="e">
        <f ca="1"/>
        <v>#NAME?</v>
      </c>
      <c r="E214" s="6" t="e">
        <f ca="1"/>
        <v>#NAME?</v>
      </c>
      <c r="F214" s="6" t="e">
        <f ca="1"/>
        <v>#NAME?</v>
      </c>
      <c r="G214" s="6" t="e">
        <f ca="1"/>
        <v>#NAME?</v>
      </c>
      <c r="H214" s="6" t="e">
        <f ca="1"/>
        <v>#NAME?</v>
      </c>
      <c r="I214" s="6"/>
      <c r="J214" s="6"/>
      <c r="K214" s="6"/>
      <c r="L214" s="6"/>
      <c r="M214" s="6"/>
      <c r="N214" s="6"/>
      <c r="O214" s="6"/>
      <c r="P214" s="6"/>
      <c r="Q214" s="6"/>
      <c r="R214" s="6"/>
      <c r="S214" s="6"/>
      <c r="T214" s="6"/>
    </row>
    <row r="215" spans="1:20">
      <c r="A215" s="6">
        <v>0</v>
      </c>
      <c r="B215" s="6">
        <v>0</v>
      </c>
      <c r="C215" s="6" t="e">
        <f ca="1"/>
        <v>#NAME?</v>
      </c>
      <c r="D215" s="6" t="e">
        <f ca="1"/>
        <v>#NAME?</v>
      </c>
      <c r="E215" s="6" t="e">
        <f ca="1"/>
        <v>#NAME?</v>
      </c>
      <c r="F215" s="6" t="e">
        <f ca="1"/>
        <v>#NAME?</v>
      </c>
      <c r="G215" s="6" t="e">
        <f ca="1"/>
        <v>#NAME?</v>
      </c>
      <c r="H215" s="6" t="e">
        <f ca="1"/>
        <v>#NAME?</v>
      </c>
      <c r="I215" s="6"/>
      <c r="J215" s="6"/>
      <c r="K215" s="6"/>
      <c r="L215" s="6"/>
      <c r="M215" s="6"/>
      <c r="N215" s="6"/>
      <c r="O215" s="6"/>
      <c r="P215" s="6"/>
      <c r="Q215" s="6"/>
      <c r="R215" s="6"/>
      <c r="S215" s="6"/>
      <c r="T215" s="6"/>
    </row>
    <row r="216" spans="1:20">
      <c r="A216" s="6">
        <v>0</v>
      </c>
      <c r="B216" s="6">
        <v>0</v>
      </c>
      <c r="C216" s="6" t="e">
        <f ca="1"/>
        <v>#NAME?</v>
      </c>
      <c r="D216" s="6" t="e">
        <f ca="1"/>
        <v>#NAME?</v>
      </c>
      <c r="E216" s="6" t="e">
        <f ca="1"/>
        <v>#NAME?</v>
      </c>
      <c r="F216" s="6" t="e">
        <f ca="1"/>
        <v>#NAME?</v>
      </c>
      <c r="G216" s="6" t="e">
        <f ca="1"/>
        <v>#NAME?</v>
      </c>
      <c r="H216" s="6" t="e">
        <f ca="1"/>
        <v>#NAME?</v>
      </c>
      <c r="I216" s="6"/>
      <c r="J216" s="6"/>
      <c r="K216" s="6"/>
      <c r="L216" s="6"/>
      <c r="M216" s="6"/>
      <c r="N216" s="6"/>
      <c r="O216" s="6"/>
      <c r="P216" s="6"/>
      <c r="Q216" s="6"/>
      <c r="R216" s="6"/>
      <c r="S216" s="6"/>
      <c r="T216" s="6"/>
    </row>
    <row r="217" spans="1:20">
      <c r="A217" s="6">
        <v>0</v>
      </c>
      <c r="B217" s="6">
        <v>0</v>
      </c>
      <c r="C217" s="6" t="e">
        <f ca="1"/>
        <v>#NAME?</v>
      </c>
      <c r="D217" s="6" t="e">
        <f ca="1"/>
        <v>#NAME?</v>
      </c>
      <c r="E217" s="6" t="e">
        <f ca="1"/>
        <v>#NAME?</v>
      </c>
      <c r="F217" s="6" t="e">
        <f ca="1"/>
        <v>#NAME?</v>
      </c>
      <c r="G217" s="6" t="e">
        <f ca="1"/>
        <v>#NAME?</v>
      </c>
      <c r="H217" s="6" t="e">
        <f ca="1"/>
        <v>#NAME?</v>
      </c>
      <c r="I217" s="6"/>
      <c r="J217" s="6"/>
      <c r="K217" s="6"/>
      <c r="L217" s="6"/>
      <c r="M217" s="6"/>
      <c r="N217" s="6"/>
      <c r="O217" s="6"/>
      <c r="P217" s="6"/>
      <c r="Q217" s="6"/>
      <c r="R217" s="6"/>
      <c r="S217" s="6"/>
      <c r="T217" s="6"/>
    </row>
    <row r="218" spans="1:20">
      <c r="A218" s="6">
        <v>0</v>
      </c>
      <c r="B218" s="6">
        <v>0</v>
      </c>
      <c r="C218" s="6" t="e">
        <f ca="1"/>
        <v>#NAME?</v>
      </c>
      <c r="D218" s="6" t="e">
        <f ca="1"/>
        <v>#NAME?</v>
      </c>
      <c r="E218" s="6" t="e">
        <f ca="1"/>
        <v>#NAME?</v>
      </c>
      <c r="F218" s="6" t="e">
        <f ca="1"/>
        <v>#NAME?</v>
      </c>
      <c r="G218" s="6" t="e">
        <f ca="1"/>
        <v>#NAME?</v>
      </c>
      <c r="H218" s="6" t="e">
        <f ca="1"/>
        <v>#NAME?</v>
      </c>
      <c r="I218" s="6"/>
      <c r="J218" s="6"/>
      <c r="K218" s="6"/>
      <c r="L218" s="6"/>
      <c r="M218" s="6"/>
      <c r="N218" s="6"/>
      <c r="O218" s="6"/>
      <c r="P218" s="6"/>
      <c r="Q218" s="6"/>
      <c r="R218" s="6"/>
      <c r="S218" s="6"/>
      <c r="T218" s="6"/>
    </row>
    <row r="219" spans="1:20">
      <c r="A219" s="6">
        <v>0</v>
      </c>
      <c r="B219" s="6">
        <v>0</v>
      </c>
      <c r="C219" s="6" t="e">
        <f ca="1"/>
        <v>#NAME?</v>
      </c>
      <c r="D219" s="6" t="e">
        <f ca="1"/>
        <v>#NAME?</v>
      </c>
      <c r="E219" s="6" t="e">
        <f ca="1"/>
        <v>#NAME?</v>
      </c>
      <c r="F219" s="6" t="e">
        <f ca="1"/>
        <v>#NAME?</v>
      </c>
      <c r="G219" s="6" t="e">
        <f ca="1"/>
        <v>#NAME?</v>
      </c>
      <c r="H219" s="6" t="e">
        <f ca="1"/>
        <v>#NAME?</v>
      </c>
      <c r="I219" s="6"/>
      <c r="J219" s="6"/>
      <c r="K219" s="6"/>
      <c r="L219" s="6"/>
      <c r="M219" s="6"/>
      <c r="N219" s="6"/>
      <c r="O219" s="6"/>
      <c r="P219" s="6"/>
      <c r="Q219" s="6"/>
      <c r="R219" s="6"/>
      <c r="S219" s="6"/>
      <c r="T219" s="6"/>
    </row>
    <row r="220" spans="1:20">
      <c r="A220" s="6">
        <v>0</v>
      </c>
      <c r="B220" s="6">
        <v>0</v>
      </c>
      <c r="C220" s="6" t="e">
        <f ca="1"/>
        <v>#NAME?</v>
      </c>
      <c r="D220" s="6" t="e">
        <f ca="1"/>
        <v>#NAME?</v>
      </c>
      <c r="E220" s="6" t="e">
        <f ca="1"/>
        <v>#NAME?</v>
      </c>
      <c r="F220" s="6" t="e">
        <f ca="1"/>
        <v>#NAME?</v>
      </c>
      <c r="G220" s="6" t="e">
        <f ca="1"/>
        <v>#NAME?</v>
      </c>
      <c r="H220" s="6" t="e">
        <f ca="1"/>
        <v>#NAME?</v>
      </c>
      <c r="I220" s="6"/>
      <c r="J220" s="6"/>
      <c r="K220" s="6"/>
      <c r="L220" s="6"/>
      <c r="M220" s="6"/>
      <c r="N220" s="6"/>
      <c r="O220" s="6"/>
      <c r="P220" s="6"/>
      <c r="Q220" s="6"/>
      <c r="R220" s="6"/>
      <c r="S220" s="6"/>
      <c r="T220" s="6"/>
    </row>
    <row r="221" spans="1:20">
      <c r="A221" s="6">
        <v>0</v>
      </c>
      <c r="B221" s="6">
        <v>0</v>
      </c>
      <c r="C221" s="6" t="e">
        <f ca="1"/>
        <v>#NAME?</v>
      </c>
      <c r="D221" s="6" t="e">
        <f ca="1"/>
        <v>#NAME?</v>
      </c>
      <c r="E221" s="6" t="e">
        <f ca="1"/>
        <v>#NAME?</v>
      </c>
      <c r="F221" s="6" t="e">
        <f ca="1"/>
        <v>#NAME?</v>
      </c>
      <c r="G221" s="6" t="e">
        <f ca="1"/>
        <v>#NAME?</v>
      </c>
      <c r="H221" s="6" t="e">
        <f ca="1"/>
        <v>#NAME?</v>
      </c>
      <c r="I221" s="6"/>
      <c r="J221" s="6"/>
      <c r="K221" s="6"/>
      <c r="L221" s="6"/>
      <c r="M221" s="6"/>
      <c r="N221" s="6"/>
      <c r="O221" s="6"/>
      <c r="P221" s="6"/>
      <c r="Q221" s="6"/>
      <c r="R221" s="6"/>
      <c r="S221" s="6"/>
      <c r="T221" s="6"/>
    </row>
    <row r="222" spans="1:20">
      <c r="A222" s="6">
        <v>0</v>
      </c>
      <c r="B222" s="6">
        <v>0</v>
      </c>
      <c r="C222" s="6" t="e">
        <f ca="1"/>
        <v>#NAME?</v>
      </c>
      <c r="D222" s="6" t="e">
        <f ca="1"/>
        <v>#NAME?</v>
      </c>
      <c r="E222" s="6" t="e">
        <f ca="1"/>
        <v>#NAME?</v>
      </c>
      <c r="F222" s="6" t="e">
        <f ca="1"/>
        <v>#NAME?</v>
      </c>
      <c r="G222" s="6" t="e">
        <f ca="1"/>
        <v>#NAME?</v>
      </c>
      <c r="H222" s="6" t="e">
        <f ca="1"/>
        <v>#NAME?</v>
      </c>
      <c r="I222" s="6"/>
      <c r="J222" s="6"/>
      <c r="K222" s="6"/>
      <c r="L222" s="6"/>
      <c r="M222" s="6"/>
      <c r="N222" s="6"/>
      <c r="O222" s="6"/>
      <c r="P222" s="6"/>
      <c r="Q222" s="6"/>
      <c r="R222" s="6"/>
      <c r="S222" s="6"/>
      <c r="T222" s="6"/>
    </row>
    <row r="223" spans="1:20">
      <c r="A223" s="6">
        <v>0</v>
      </c>
      <c r="B223" s="6">
        <v>0</v>
      </c>
      <c r="C223" s="6" t="e">
        <f ca="1"/>
        <v>#NAME?</v>
      </c>
      <c r="D223" s="6" t="e">
        <f ca="1"/>
        <v>#NAME?</v>
      </c>
      <c r="E223" s="6" t="e">
        <f ca="1"/>
        <v>#NAME?</v>
      </c>
      <c r="F223" s="6" t="e">
        <f ca="1"/>
        <v>#NAME?</v>
      </c>
      <c r="G223" s="6" t="e">
        <f ca="1"/>
        <v>#NAME?</v>
      </c>
      <c r="H223" s="6" t="e">
        <f ca="1"/>
        <v>#NAME?</v>
      </c>
      <c r="I223" s="6"/>
      <c r="J223" s="6"/>
      <c r="K223" s="6"/>
      <c r="L223" s="6"/>
      <c r="M223" s="6"/>
      <c r="N223" s="6"/>
      <c r="O223" s="6"/>
      <c r="P223" s="6"/>
      <c r="Q223" s="6"/>
      <c r="R223" s="6"/>
      <c r="S223" s="6"/>
      <c r="T223" s="6"/>
    </row>
    <row r="224" spans="1:20">
      <c r="A224" s="6">
        <v>0</v>
      </c>
      <c r="B224" s="6">
        <v>0</v>
      </c>
      <c r="C224" s="6" t="e">
        <f ca="1"/>
        <v>#NAME?</v>
      </c>
      <c r="D224" s="6" t="e">
        <f ca="1"/>
        <v>#NAME?</v>
      </c>
      <c r="E224" s="6" t="e">
        <f ca="1"/>
        <v>#NAME?</v>
      </c>
      <c r="F224" s="6" t="e">
        <f ca="1"/>
        <v>#NAME?</v>
      </c>
      <c r="G224" s="6" t="e">
        <f ca="1"/>
        <v>#NAME?</v>
      </c>
      <c r="H224" s="6" t="e">
        <f ca="1"/>
        <v>#NAME?</v>
      </c>
      <c r="I224" s="6"/>
      <c r="J224" s="6"/>
      <c r="K224" s="6"/>
      <c r="L224" s="6"/>
      <c r="M224" s="6"/>
      <c r="N224" s="6"/>
      <c r="O224" s="6"/>
      <c r="P224" s="6"/>
      <c r="Q224" s="6"/>
      <c r="R224" s="6"/>
      <c r="S224" s="6"/>
      <c r="T224" s="6"/>
    </row>
    <row r="225" spans="1:20">
      <c r="A225" s="6">
        <v>0</v>
      </c>
      <c r="B225" s="6">
        <v>0</v>
      </c>
      <c r="C225" s="6" t="e">
        <f ca="1"/>
        <v>#NAME?</v>
      </c>
      <c r="D225" s="6" t="e">
        <f ca="1"/>
        <v>#NAME?</v>
      </c>
      <c r="E225" s="6" t="e">
        <f ca="1"/>
        <v>#NAME?</v>
      </c>
      <c r="F225" s="6" t="e">
        <f ca="1"/>
        <v>#NAME?</v>
      </c>
      <c r="G225" s="6" t="e">
        <f ca="1"/>
        <v>#NAME?</v>
      </c>
      <c r="H225" s="6" t="e">
        <f ca="1"/>
        <v>#NAME?</v>
      </c>
      <c r="I225" s="6"/>
      <c r="J225" s="6"/>
      <c r="K225" s="6"/>
      <c r="L225" s="6"/>
      <c r="M225" s="6"/>
      <c r="N225" s="6"/>
      <c r="O225" s="6"/>
      <c r="P225" s="6"/>
      <c r="Q225" s="6"/>
      <c r="R225" s="6"/>
      <c r="S225" s="6"/>
      <c r="T225" s="6"/>
    </row>
    <row r="226" spans="1:20">
      <c r="A226" s="6">
        <v>0</v>
      </c>
      <c r="B226" s="6">
        <v>0</v>
      </c>
      <c r="C226" s="6" t="e">
        <f ca="1"/>
        <v>#NAME?</v>
      </c>
      <c r="D226" s="6" t="e">
        <f ca="1"/>
        <v>#NAME?</v>
      </c>
      <c r="E226" s="6" t="e">
        <f ca="1"/>
        <v>#NAME?</v>
      </c>
      <c r="F226" s="6" t="e">
        <f ca="1"/>
        <v>#NAME?</v>
      </c>
      <c r="G226" s="6" t="e">
        <f ca="1"/>
        <v>#NAME?</v>
      </c>
      <c r="H226" s="6" t="e">
        <f ca="1"/>
        <v>#NAME?</v>
      </c>
      <c r="I226" s="6"/>
      <c r="J226" s="6"/>
      <c r="K226" s="6"/>
      <c r="L226" s="6"/>
      <c r="M226" s="6"/>
      <c r="N226" s="6"/>
      <c r="O226" s="6"/>
      <c r="P226" s="6"/>
      <c r="Q226" s="6"/>
      <c r="R226" s="6"/>
      <c r="S226" s="6"/>
      <c r="T226" s="6"/>
    </row>
    <row r="227" spans="1:20">
      <c r="A227" s="6">
        <v>0</v>
      </c>
      <c r="B227" s="6">
        <v>0</v>
      </c>
      <c r="C227" s="6" t="e">
        <f ca="1"/>
        <v>#NAME?</v>
      </c>
      <c r="D227" s="6" t="e">
        <f ca="1"/>
        <v>#NAME?</v>
      </c>
      <c r="E227" s="6" t="e">
        <f ca="1"/>
        <v>#NAME?</v>
      </c>
      <c r="F227" s="6" t="e">
        <f ca="1"/>
        <v>#NAME?</v>
      </c>
      <c r="G227" s="6" t="e">
        <f ca="1"/>
        <v>#NAME?</v>
      </c>
      <c r="H227" s="6" t="e">
        <f ca="1"/>
        <v>#NAME?</v>
      </c>
      <c r="I227" s="6"/>
      <c r="J227" s="6"/>
      <c r="K227" s="6"/>
      <c r="L227" s="6"/>
      <c r="M227" s="6"/>
      <c r="N227" s="6"/>
      <c r="O227" s="6"/>
      <c r="P227" s="6"/>
      <c r="Q227" s="6"/>
      <c r="R227" s="6"/>
      <c r="S227" s="6"/>
      <c r="T227" s="6"/>
    </row>
    <row r="228" spans="1:20">
      <c r="A228" s="6">
        <v>0</v>
      </c>
      <c r="B228" s="6">
        <v>0</v>
      </c>
      <c r="C228" s="6" t="e">
        <f ca="1"/>
        <v>#NAME?</v>
      </c>
      <c r="D228" s="6" t="e">
        <f ca="1"/>
        <v>#NAME?</v>
      </c>
      <c r="E228" s="6" t="e">
        <f ca="1"/>
        <v>#NAME?</v>
      </c>
      <c r="F228" s="6" t="e">
        <f ca="1"/>
        <v>#NAME?</v>
      </c>
      <c r="G228" s="6" t="e">
        <f ca="1"/>
        <v>#NAME?</v>
      </c>
      <c r="H228" s="6" t="e">
        <f ca="1"/>
        <v>#NAME?</v>
      </c>
      <c r="I228" s="6"/>
      <c r="J228" s="6"/>
      <c r="K228" s="6"/>
      <c r="L228" s="6"/>
      <c r="M228" s="6"/>
      <c r="N228" s="6"/>
      <c r="O228" s="6"/>
      <c r="P228" s="6"/>
      <c r="Q228" s="6"/>
      <c r="R228" s="6"/>
      <c r="S228" s="6"/>
      <c r="T228" s="6"/>
    </row>
    <row r="229" spans="1:20">
      <c r="A229" s="6">
        <v>0</v>
      </c>
      <c r="B229" s="6">
        <v>0</v>
      </c>
      <c r="C229" s="6" t="e">
        <f ca="1"/>
        <v>#NAME?</v>
      </c>
      <c r="D229" s="6" t="e">
        <f ca="1"/>
        <v>#NAME?</v>
      </c>
      <c r="E229" s="6" t="e">
        <f ca="1"/>
        <v>#NAME?</v>
      </c>
      <c r="F229" s="6" t="e">
        <f ca="1"/>
        <v>#NAME?</v>
      </c>
      <c r="G229" s="6" t="e">
        <f ca="1"/>
        <v>#NAME?</v>
      </c>
      <c r="H229" s="6" t="e">
        <f ca="1"/>
        <v>#NAME?</v>
      </c>
      <c r="I229" s="6"/>
      <c r="J229" s="6"/>
      <c r="K229" s="6"/>
      <c r="L229" s="6"/>
      <c r="M229" s="6"/>
      <c r="N229" s="6"/>
      <c r="O229" s="6"/>
      <c r="P229" s="6"/>
      <c r="Q229" s="6"/>
      <c r="R229" s="6"/>
      <c r="S229" s="6"/>
      <c r="T229" s="6"/>
    </row>
    <row r="230" spans="1:20">
      <c r="A230" s="6">
        <v>0</v>
      </c>
      <c r="B230" s="6">
        <v>0</v>
      </c>
      <c r="C230" s="6" t="e">
        <f ca="1"/>
        <v>#NAME?</v>
      </c>
      <c r="D230" s="6" t="e">
        <f ca="1"/>
        <v>#NAME?</v>
      </c>
      <c r="E230" s="6" t="e">
        <f ca="1"/>
        <v>#NAME?</v>
      </c>
      <c r="F230" s="6" t="e">
        <f ca="1"/>
        <v>#NAME?</v>
      </c>
      <c r="G230" s="6" t="e">
        <f ca="1"/>
        <v>#NAME?</v>
      </c>
      <c r="H230" s="6" t="e">
        <f ca="1"/>
        <v>#NAME?</v>
      </c>
      <c r="I230" s="6"/>
      <c r="J230" s="6"/>
      <c r="K230" s="6"/>
      <c r="L230" s="6"/>
      <c r="M230" s="6"/>
      <c r="N230" s="6"/>
      <c r="O230" s="6"/>
      <c r="P230" s="6"/>
      <c r="Q230" s="6"/>
      <c r="R230" s="6"/>
      <c r="S230" s="6"/>
      <c r="T230" s="6"/>
    </row>
    <row r="231" spans="1:20">
      <c r="A231" s="6">
        <v>0</v>
      </c>
      <c r="B231" s="6">
        <v>0</v>
      </c>
      <c r="C231" s="6" t="e">
        <f ca="1"/>
        <v>#NAME?</v>
      </c>
      <c r="D231" s="6" t="e">
        <f ca="1"/>
        <v>#NAME?</v>
      </c>
      <c r="E231" s="6" t="e">
        <f ca="1"/>
        <v>#NAME?</v>
      </c>
      <c r="F231" s="6" t="e">
        <f ca="1"/>
        <v>#NAME?</v>
      </c>
      <c r="G231" s="6" t="e">
        <f ca="1"/>
        <v>#NAME?</v>
      </c>
      <c r="H231" s="6" t="e">
        <f ca="1"/>
        <v>#NAME?</v>
      </c>
      <c r="I231" s="6"/>
      <c r="J231" s="6"/>
      <c r="K231" s="6"/>
      <c r="L231" s="6"/>
      <c r="M231" s="6"/>
      <c r="N231" s="6"/>
      <c r="O231" s="6"/>
      <c r="P231" s="6"/>
      <c r="Q231" s="6"/>
      <c r="R231" s="6"/>
      <c r="S231" s="6"/>
      <c r="T231" s="6"/>
    </row>
    <row r="232" spans="1:20">
      <c r="A232" s="6">
        <v>0</v>
      </c>
      <c r="B232" s="6">
        <v>0</v>
      </c>
      <c r="C232" s="6" t="e">
        <f ca="1"/>
        <v>#NAME?</v>
      </c>
      <c r="D232" s="6" t="e">
        <f ca="1"/>
        <v>#NAME?</v>
      </c>
      <c r="E232" s="6" t="e">
        <f ca="1"/>
        <v>#NAME?</v>
      </c>
      <c r="F232" s="6" t="e">
        <f ca="1"/>
        <v>#NAME?</v>
      </c>
      <c r="G232" s="6" t="e">
        <f ca="1"/>
        <v>#NAME?</v>
      </c>
      <c r="H232" s="6" t="e">
        <f ca="1"/>
        <v>#NAME?</v>
      </c>
      <c r="I232" s="6"/>
      <c r="J232" s="6"/>
      <c r="K232" s="6"/>
      <c r="L232" s="6"/>
      <c r="M232" s="6"/>
      <c r="N232" s="6"/>
      <c r="O232" s="6"/>
      <c r="P232" s="6"/>
      <c r="Q232" s="6"/>
      <c r="R232" s="6"/>
      <c r="S232" s="6"/>
      <c r="T232" s="6"/>
    </row>
    <row r="233" spans="1:20">
      <c r="A233" s="6">
        <v>0</v>
      </c>
      <c r="B233" s="6">
        <v>0</v>
      </c>
      <c r="C233" s="6" t="e">
        <f ca="1"/>
        <v>#NAME?</v>
      </c>
      <c r="D233" s="6" t="e">
        <f ca="1"/>
        <v>#NAME?</v>
      </c>
      <c r="E233" s="6" t="e">
        <f ca="1"/>
        <v>#NAME?</v>
      </c>
      <c r="F233" s="6" t="e">
        <f ca="1"/>
        <v>#NAME?</v>
      </c>
      <c r="G233" s="6" t="e">
        <f ca="1"/>
        <v>#NAME?</v>
      </c>
      <c r="H233" s="6" t="e">
        <f ca="1"/>
        <v>#NAME?</v>
      </c>
      <c r="I233" s="6"/>
      <c r="J233" s="6"/>
      <c r="K233" s="6"/>
      <c r="L233" s="6"/>
      <c r="M233" s="6"/>
      <c r="N233" s="6"/>
      <c r="O233" s="6"/>
      <c r="P233" s="6"/>
      <c r="Q233" s="6"/>
      <c r="R233" s="6"/>
      <c r="S233" s="6"/>
      <c r="T233" s="6"/>
    </row>
    <row r="234" spans="1:20">
      <c r="A234" s="6">
        <v>0</v>
      </c>
      <c r="B234" s="6">
        <v>0</v>
      </c>
      <c r="C234" s="6" t="e">
        <f ca="1"/>
        <v>#NAME?</v>
      </c>
      <c r="D234" s="6" t="e">
        <f ca="1"/>
        <v>#NAME?</v>
      </c>
      <c r="E234" s="6" t="e">
        <f ca="1"/>
        <v>#NAME?</v>
      </c>
      <c r="F234" s="6" t="e">
        <f ca="1"/>
        <v>#NAME?</v>
      </c>
      <c r="G234" s="6" t="e">
        <f ca="1"/>
        <v>#NAME?</v>
      </c>
      <c r="H234" s="6" t="e">
        <f ca="1"/>
        <v>#NAME?</v>
      </c>
      <c r="I234" s="6"/>
      <c r="J234" s="6"/>
      <c r="K234" s="6"/>
      <c r="L234" s="6"/>
      <c r="M234" s="6"/>
      <c r="N234" s="6"/>
      <c r="O234" s="6"/>
      <c r="P234" s="6"/>
      <c r="Q234" s="6"/>
      <c r="R234" s="6"/>
      <c r="S234" s="6"/>
      <c r="T234" s="6"/>
    </row>
    <row r="235" spans="1:20">
      <c r="A235" s="6">
        <v>0</v>
      </c>
      <c r="B235" s="6">
        <v>0</v>
      </c>
      <c r="C235" s="6" t="e">
        <f ca="1"/>
        <v>#NAME?</v>
      </c>
      <c r="D235" s="6" t="e">
        <f ca="1"/>
        <v>#NAME?</v>
      </c>
      <c r="E235" s="6" t="e">
        <f ca="1"/>
        <v>#NAME?</v>
      </c>
      <c r="F235" s="6" t="e">
        <f ca="1"/>
        <v>#NAME?</v>
      </c>
      <c r="G235" s="6" t="e">
        <f ca="1"/>
        <v>#NAME?</v>
      </c>
      <c r="H235" s="6" t="e">
        <f ca="1"/>
        <v>#NAME?</v>
      </c>
      <c r="I235" s="6"/>
      <c r="J235" s="6"/>
      <c r="K235" s="6"/>
      <c r="L235" s="6"/>
      <c r="M235" s="6"/>
      <c r="N235" s="6"/>
      <c r="O235" s="6"/>
      <c r="P235" s="6"/>
      <c r="Q235" s="6"/>
      <c r="R235" s="6"/>
      <c r="S235" s="6"/>
      <c r="T235" s="6"/>
    </row>
    <row r="236" spans="1:20">
      <c r="A236" s="6">
        <v>0</v>
      </c>
      <c r="B236" s="6">
        <v>0</v>
      </c>
      <c r="C236" s="6" t="e">
        <f ca="1"/>
        <v>#NAME?</v>
      </c>
      <c r="D236" s="6" t="e">
        <f ca="1"/>
        <v>#NAME?</v>
      </c>
      <c r="E236" s="6" t="e">
        <f ca="1"/>
        <v>#NAME?</v>
      </c>
      <c r="F236" s="6" t="e">
        <f ca="1"/>
        <v>#NAME?</v>
      </c>
      <c r="G236" s="6" t="e">
        <f ca="1"/>
        <v>#NAME?</v>
      </c>
      <c r="H236" s="6" t="e">
        <f ca="1"/>
        <v>#NAME?</v>
      </c>
      <c r="I236" s="6"/>
      <c r="J236" s="6"/>
      <c r="K236" s="6"/>
      <c r="L236" s="6"/>
      <c r="M236" s="6"/>
      <c r="N236" s="6"/>
      <c r="O236" s="6"/>
      <c r="P236" s="6"/>
      <c r="Q236" s="6"/>
      <c r="R236" s="6"/>
      <c r="S236" s="6"/>
      <c r="T236" s="6"/>
    </row>
    <row r="237" spans="1:20">
      <c r="A237" s="6">
        <v>0</v>
      </c>
      <c r="B237" s="6">
        <v>0</v>
      </c>
      <c r="C237" s="6" t="e">
        <f ca="1"/>
        <v>#NAME?</v>
      </c>
      <c r="D237" s="6" t="e">
        <f ca="1"/>
        <v>#NAME?</v>
      </c>
      <c r="E237" s="6" t="e">
        <f ca="1"/>
        <v>#NAME?</v>
      </c>
      <c r="F237" s="6" t="e">
        <f ca="1"/>
        <v>#NAME?</v>
      </c>
      <c r="G237" s="6" t="e">
        <f ca="1"/>
        <v>#NAME?</v>
      </c>
      <c r="H237" s="6" t="e">
        <f ca="1"/>
        <v>#NAME?</v>
      </c>
      <c r="I237" s="6"/>
      <c r="J237" s="6"/>
      <c r="K237" s="6"/>
      <c r="L237" s="6"/>
      <c r="M237" s="6"/>
      <c r="N237" s="6"/>
      <c r="O237" s="6"/>
      <c r="P237" s="6"/>
      <c r="Q237" s="6"/>
      <c r="R237" s="6"/>
      <c r="S237" s="6"/>
      <c r="T237" s="6"/>
    </row>
    <row r="238" spans="1:20">
      <c r="A238" s="6">
        <v>0</v>
      </c>
      <c r="B238" s="6">
        <v>0</v>
      </c>
      <c r="C238" s="6" t="e">
        <f ca="1"/>
        <v>#NAME?</v>
      </c>
      <c r="D238" s="6" t="e">
        <f ca="1"/>
        <v>#NAME?</v>
      </c>
      <c r="E238" s="6" t="e">
        <f ca="1"/>
        <v>#NAME?</v>
      </c>
      <c r="F238" s="6" t="e">
        <f ca="1"/>
        <v>#NAME?</v>
      </c>
      <c r="G238" s="6" t="e">
        <f ca="1"/>
        <v>#NAME?</v>
      </c>
      <c r="H238" s="6" t="e">
        <f ca="1"/>
        <v>#NAME?</v>
      </c>
      <c r="I238" s="6"/>
      <c r="J238" s="6"/>
      <c r="K238" s="6"/>
      <c r="L238" s="6"/>
      <c r="M238" s="6"/>
      <c r="N238" s="6"/>
      <c r="O238" s="6"/>
      <c r="P238" s="6"/>
      <c r="Q238" s="6"/>
      <c r="R238" s="6"/>
      <c r="S238" s="6"/>
      <c r="T238" s="6"/>
    </row>
    <row r="239" spans="1:20">
      <c r="A239" s="6">
        <v>0</v>
      </c>
      <c r="B239" s="6">
        <v>0</v>
      </c>
      <c r="C239" s="6" t="e">
        <f ca="1"/>
        <v>#NAME?</v>
      </c>
      <c r="D239" s="6" t="e">
        <f ca="1"/>
        <v>#NAME?</v>
      </c>
      <c r="E239" s="6" t="e">
        <f ca="1"/>
        <v>#NAME?</v>
      </c>
      <c r="F239" s="6" t="e">
        <f ca="1"/>
        <v>#NAME?</v>
      </c>
      <c r="G239" s="6" t="e">
        <f ca="1"/>
        <v>#NAME?</v>
      </c>
      <c r="H239" s="6" t="e">
        <f ca="1"/>
        <v>#NAME?</v>
      </c>
      <c r="I239" s="6"/>
      <c r="J239" s="6"/>
      <c r="K239" s="6"/>
      <c r="L239" s="6"/>
      <c r="M239" s="6"/>
      <c r="N239" s="6"/>
      <c r="O239" s="6"/>
      <c r="P239" s="6"/>
      <c r="Q239" s="6"/>
      <c r="R239" s="6"/>
      <c r="S239" s="6"/>
      <c r="T239" s="6"/>
    </row>
    <row r="240" spans="1:20">
      <c r="A240" s="6">
        <v>0</v>
      </c>
      <c r="B240" s="6">
        <v>0</v>
      </c>
      <c r="C240" s="6" t="e">
        <f ca="1"/>
        <v>#NAME?</v>
      </c>
      <c r="D240" s="6" t="e">
        <f ca="1"/>
        <v>#NAME?</v>
      </c>
      <c r="E240" s="6" t="e">
        <f ca="1"/>
        <v>#NAME?</v>
      </c>
      <c r="F240" s="6" t="e">
        <f ca="1"/>
        <v>#NAME?</v>
      </c>
      <c r="G240" s="6" t="e">
        <f ca="1"/>
        <v>#NAME?</v>
      </c>
      <c r="H240" s="6" t="e">
        <f ca="1"/>
        <v>#NAME?</v>
      </c>
      <c r="I240" s="6"/>
      <c r="J240" s="6"/>
      <c r="K240" s="6"/>
      <c r="L240" s="6"/>
      <c r="M240" s="6"/>
      <c r="N240" s="6"/>
      <c r="O240" s="6"/>
      <c r="P240" s="6"/>
      <c r="Q240" s="6"/>
      <c r="R240" s="6"/>
      <c r="S240" s="6"/>
      <c r="T240" s="6"/>
    </row>
    <row r="241" spans="1:20">
      <c r="A241" s="6">
        <v>0</v>
      </c>
      <c r="B241" s="6">
        <v>0</v>
      </c>
      <c r="C241" s="6" t="e">
        <f ca="1"/>
        <v>#NAME?</v>
      </c>
      <c r="D241" s="6" t="e">
        <f ca="1"/>
        <v>#NAME?</v>
      </c>
      <c r="E241" s="6" t="e">
        <f ca="1"/>
        <v>#NAME?</v>
      </c>
      <c r="F241" s="6" t="e">
        <f ca="1"/>
        <v>#NAME?</v>
      </c>
      <c r="G241" s="6" t="e">
        <f ca="1"/>
        <v>#NAME?</v>
      </c>
      <c r="H241" s="6" t="e">
        <f ca="1"/>
        <v>#NAME?</v>
      </c>
      <c r="I241" s="6"/>
      <c r="J241" s="6"/>
      <c r="K241" s="6"/>
      <c r="L241" s="6"/>
      <c r="M241" s="6"/>
      <c r="N241" s="6"/>
      <c r="O241" s="6"/>
      <c r="P241" s="6"/>
      <c r="Q241" s="6"/>
      <c r="R241" s="6"/>
      <c r="S241" s="6"/>
      <c r="T241" s="6"/>
    </row>
    <row r="242" spans="1:20">
      <c r="A242" s="6">
        <v>0</v>
      </c>
      <c r="B242" s="6">
        <v>0</v>
      </c>
      <c r="C242" s="6" t="e">
        <f ca="1"/>
        <v>#NAME?</v>
      </c>
      <c r="D242" s="6" t="e">
        <f ca="1"/>
        <v>#NAME?</v>
      </c>
      <c r="E242" s="6" t="e">
        <f ca="1"/>
        <v>#NAME?</v>
      </c>
      <c r="F242" s="6" t="e">
        <f ca="1"/>
        <v>#NAME?</v>
      </c>
      <c r="G242" s="6" t="e">
        <f ca="1"/>
        <v>#NAME?</v>
      </c>
      <c r="H242" s="6" t="e">
        <f ca="1"/>
        <v>#NAME?</v>
      </c>
      <c r="I242" s="6"/>
      <c r="J242" s="6"/>
      <c r="K242" s="6"/>
      <c r="L242" s="6"/>
      <c r="M242" s="6"/>
      <c r="N242" s="6"/>
      <c r="O242" s="6"/>
      <c r="P242" s="6"/>
      <c r="Q242" s="6"/>
      <c r="R242" s="6"/>
      <c r="S242" s="6"/>
      <c r="T242" s="6"/>
    </row>
    <row r="243" spans="1:20">
      <c r="A243" s="6">
        <v>0</v>
      </c>
      <c r="B243" s="6">
        <v>0</v>
      </c>
      <c r="C243" s="6" t="e">
        <f ca="1"/>
        <v>#NAME?</v>
      </c>
      <c r="D243" s="6" t="e">
        <f ca="1"/>
        <v>#NAME?</v>
      </c>
      <c r="E243" s="6" t="e">
        <f ca="1"/>
        <v>#NAME?</v>
      </c>
      <c r="F243" s="6" t="e">
        <f ca="1"/>
        <v>#NAME?</v>
      </c>
      <c r="G243" s="6" t="e">
        <f ca="1"/>
        <v>#NAME?</v>
      </c>
      <c r="H243" s="6" t="e">
        <f ca="1"/>
        <v>#NAME?</v>
      </c>
      <c r="I243" s="6"/>
      <c r="J243" s="6"/>
      <c r="K243" s="6"/>
      <c r="L243" s="6"/>
      <c r="M243" s="6"/>
      <c r="N243" s="6"/>
      <c r="O243" s="6"/>
      <c r="P243" s="6"/>
      <c r="Q243" s="6"/>
      <c r="R243" s="6"/>
      <c r="S243" s="6"/>
      <c r="T243" s="6"/>
    </row>
    <row r="244" spans="1:20">
      <c r="A244" s="6">
        <v>0</v>
      </c>
      <c r="B244" s="6">
        <v>0</v>
      </c>
      <c r="C244" s="6" t="e">
        <f ca="1"/>
        <v>#NAME?</v>
      </c>
      <c r="D244" s="6" t="e">
        <f ca="1"/>
        <v>#NAME?</v>
      </c>
      <c r="E244" s="6" t="e">
        <f ca="1"/>
        <v>#NAME?</v>
      </c>
      <c r="F244" s="6" t="e">
        <f ca="1"/>
        <v>#NAME?</v>
      </c>
      <c r="G244" s="6" t="e">
        <f ca="1"/>
        <v>#NAME?</v>
      </c>
      <c r="H244" s="6" t="e">
        <f ca="1"/>
        <v>#NAME?</v>
      </c>
      <c r="I244" s="6"/>
      <c r="J244" s="6"/>
      <c r="K244" s="6"/>
      <c r="L244" s="6"/>
      <c r="M244" s="6"/>
      <c r="N244" s="6"/>
      <c r="O244" s="6"/>
      <c r="P244" s="6"/>
      <c r="Q244" s="6"/>
      <c r="R244" s="6"/>
      <c r="S244" s="6"/>
      <c r="T244" s="6"/>
    </row>
    <row r="245" spans="1:20">
      <c r="A245" s="6">
        <v>0</v>
      </c>
      <c r="B245" s="6">
        <v>0</v>
      </c>
      <c r="C245" s="6" t="e">
        <f ca="1"/>
        <v>#NAME?</v>
      </c>
      <c r="D245" s="6" t="e">
        <f ca="1"/>
        <v>#NAME?</v>
      </c>
      <c r="E245" s="6" t="e">
        <f ca="1"/>
        <v>#NAME?</v>
      </c>
      <c r="F245" s="6" t="e">
        <f ca="1"/>
        <v>#NAME?</v>
      </c>
      <c r="G245" s="6" t="e">
        <f ca="1"/>
        <v>#NAME?</v>
      </c>
      <c r="H245" s="6" t="e">
        <f ca="1"/>
        <v>#NAME?</v>
      </c>
      <c r="I245" s="6"/>
      <c r="J245" s="6"/>
      <c r="K245" s="6"/>
      <c r="L245" s="6"/>
      <c r="M245" s="6"/>
      <c r="N245" s="6"/>
      <c r="O245" s="6"/>
      <c r="P245" s="6"/>
      <c r="Q245" s="6"/>
      <c r="R245" s="6"/>
      <c r="S245" s="6"/>
      <c r="T245" s="6"/>
    </row>
    <row r="246" spans="1:20">
      <c r="A246" s="6">
        <v>0</v>
      </c>
      <c r="B246" s="6">
        <v>0</v>
      </c>
      <c r="C246" s="6" t="e">
        <f ca="1"/>
        <v>#NAME?</v>
      </c>
      <c r="D246" s="6" t="e">
        <f ca="1"/>
        <v>#NAME?</v>
      </c>
      <c r="E246" s="6" t="e">
        <f ca="1"/>
        <v>#NAME?</v>
      </c>
      <c r="F246" s="6" t="e">
        <f ca="1"/>
        <v>#NAME?</v>
      </c>
      <c r="G246" s="6" t="e">
        <f ca="1"/>
        <v>#NAME?</v>
      </c>
      <c r="H246" s="6" t="e">
        <f ca="1"/>
        <v>#NAME?</v>
      </c>
      <c r="I246" s="6"/>
      <c r="J246" s="6"/>
      <c r="K246" s="6"/>
      <c r="L246" s="6"/>
      <c r="M246" s="6"/>
      <c r="N246" s="6"/>
      <c r="O246" s="6"/>
      <c r="P246" s="6"/>
      <c r="Q246" s="6"/>
      <c r="R246" s="6"/>
      <c r="S246" s="6"/>
      <c r="T246" s="6"/>
    </row>
    <row r="247" spans="1:20">
      <c r="A247" s="6">
        <v>0</v>
      </c>
      <c r="B247" s="6">
        <v>0</v>
      </c>
      <c r="C247" s="6" t="e">
        <f ca="1"/>
        <v>#NAME?</v>
      </c>
      <c r="D247" s="6" t="e">
        <f ca="1"/>
        <v>#NAME?</v>
      </c>
      <c r="E247" s="6" t="e">
        <f ca="1"/>
        <v>#NAME?</v>
      </c>
      <c r="F247" s="6" t="e">
        <f ca="1"/>
        <v>#NAME?</v>
      </c>
      <c r="G247" s="6" t="e">
        <f ca="1"/>
        <v>#NAME?</v>
      </c>
      <c r="H247" s="6" t="e">
        <f ca="1"/>
        <v>#NAME?</v>
      </c>
      <c r="I247" s="6"/>
      <c r="J247" s="6"/>
      <c r="K247" s="6"/>
      <c r="L247" s="6"/>
      <c r="M247" s="6"/>
      <c r="N247" s="6"/>
      <c r="O247" s="6"/>
      <c r="P247" s="6"/>
      <c r="Q247" s="6"/>
      <c r="R247" s="6"/>
      <c r="S247" s="6"/>
      <c r="T247" s="6"/>
    </row>
    <row r="248" spans="1:20">
      <c r="A248" s="6">
        <v>0</v>
      </c>
      <c r="B248" s="6">
        <v>0</v>
      </c>
      <c r="C248" s="6" t="e">
        <f ca="1"/>
        <v>#NAME?</v>
      </c>
      <c r="D248" s="6" t="e">
        <f ca="1"/>
        <v>#NAME?</v>
      </c>
      <c r="E248" s="6" t="e">
        <f ca="1"/>
        <v>#NAME?</v>
      </c>
      <c r="F248" s="6" t="e">
        <f ca="1"/>
        <v>#NAME?</v>
      </c>
      <c r="G248" s="6" t="e">
        <f ca="1"/>
        <v>#NAME?</v>
      </c>
      <c r="H248" s="6" t="e">
        <f ca="1"/>
        <v>#NAME?</v>
      </c>
      <c r="I248" s="6"/>
      <c r="J248" s="6"/>
      <c r="K248" s="6"/>
      <c r="L248" s="6"/>
      <c r="M248" s="6"/>
      <c r="N248" s="6"/>
      <c r="O248" s="6"/>
      <c r="P248" s="6"/>
      <c r="Q248" s="6"/>
      <c r="R248" s="6"/>
      <c r="S248" s="6"/>
      <c r="T248" s="6"/>
    </row>
    <row r="249" spans="1:20">
      <c r="A249" s="6">
        <v>0</v>
      </c>
      <c r="B249" s="6">
        <v>0</v>
      </c>
      <c r="C249" s="6" t="e">
        <f ca="1"/>
        <v>#NAME?</v>
      </c>
      <c r="D249" s="6" t="e">
        <f ca="1"/>
        <v>#NAME?</v>
      </c>
      <c r="E249" s="6" t="e">
        <f ca="1"/>
        <v>#NAME?</v>
      </c>
      <c r="F249" s="6" t="e">
        <f ca="1"/>
        <v>#NAME?</v>
      </c>
      <c r="G249" s="6" t="e">
        <f ca="1"/>
        <v>#NAME?</v>
      </c>
      <c r="H249" s="6" t="e">
        <f ca="1"/>
        <v>#NAME?</v>
      </c>
      <c r="I249" s="6"/>
      <c r="J249" s="6"/>
      <c r="K249" s="6"/>
      <c r="L249" s="6"/>
      <c r="M249" s="6"/>
      <c r="N249" s="6"/>
      <c r="O249" s="6"/>
      <c r="P249" s="6"/>
      <c r="Q249" s="6"/>
      <c r="R249" s="6"/>
      <c r="S249" s="6"/>
      <c r="T249" s="6"/>
    </row>
    <row r="250" spans="1:20">
      <c r="A250" s="6">
        <v>0</v>
      </c>
      <c r="B250" s="6">
        <v>0</v>
      </c>
      <c r="C250" s="6" t="e">
        <f ca="1"/>
        <v>#NAME?</v>
      </c>
      <c r="D250" s="6" t="e">
        <f ca="1"/>
        <v>#NAME?</v>
      </c>
      <c r="E250" s="6" t="e">
        <f ca="1"/>
        <v>#NAME?</v>
      </c>
      <c r="F250" s="6" t="e">
        <f ca="1"/>
        <v>#NAME?</v>
      </c>
      <c r="G250" s="6" t="e">
        <f ca="1"/>
        <v>#NAME?</v>
      </c>
      <c r="H250" s="6" t="e">
        <f ca="1"/>
        <v>#NAME?</v>
      </c>
      <c r="I250" s="6"/>
      <c r="J250" s="6"/>
      <c r="K250" s="6"/>
      <c r="L250" s="6"/>
      <c r="M250" s="6"/>
      <c r="N250" s="6"/>
      <c r="O250" s="6"/>
      <c r="P250" s="6"/>
      <c r="Q250" s="6"/>
      <c r="R250" s="6"/>
      <c r="S250" s="6"/>
      <c r="T250" s="6"/>
    </row>
    <row r="251" spans="1:20">
      <c r="A251" s="6">
        <v>0</v>
      </c>
      <c r="B251" s="6">
        <v>0</v>
      </c>
      <c r="C251" s="6" t="e">
        <f ca="1"/>
        <v>#NAME?</v>
      </c>
      <c r="D251" s="6" t="e">
        <f ca="1"/>
        <v>#NAME?</v>
      </c>
      <c r="E251" s="6" t="e">
        <f ca="1"/>
        <v>#NAME?</v>
      </c>
      <c r="F251" s="6" t="e">
        <f ca="1"/>
        <v>#NAME?</v>
      </c>
      <c r="G251" s="6" t="e">
        <f ca="1"/>
        <v>#NAME?</v>
      </c>
      <c r="H251" s="6" t="e">
        <f ca="1"/>
        <v>#NAME?</v>
      </c>
      <c r="I251" s="6"/>
      <c r="J251" s="6"/>
      <c r="K251" s="6"/>
      <c r="L251" s="6"/>
      <c r="M251" s="6"/>
      <c r="N251" s="6"/>
      <c r="O251" s="6"/>
      <c r="P251" s="6"/>
      <c r="Q251" s="6"/>
      <c r="R251" s="6"/>
      <c r="S251" s="6"/>
      <c r="T251" s="6"/>
    </row>
    <row r="252" spans="1:20">
      <c r="A252" s="6">
        <v>0</v>
      </c>
      <c r="B252" s="6">
        <v>0</v>
      </c>
      <c r="C252" s="6" t="e">
        <f ca="1"/>
        <v>#NAME?</v>
      </c>
      <c r="D252" s="6" t="e">
        <f ca="1"/>
        <v>#NAME?</v>
      </c>
      <c r="E252" s="6" t="e">
        <f ca="1"/>
        <v>#NAME?</v>
      </c>
      <c r="F252" s="6" t="e">
        <f ca="1"/>
        <v>#NAME?</v>
      </c>
      <c r="G252" s="6" t="e">
        <f ca="1"/>
        <v>#NAME?</v>
      </c>
      <c r="H252" s="6" t="e">
        <f ca="1"/>
        <v>#NAME?</v>
      </c>
      <c r="I252" s="6"/>
      <c r="J252" s="6"/>
      <c r="K252" s="6"/>
      <c r="L252" s="6"/>
      <c r="M252" s="6"/>
      <c r="N252" s="6"/>
      <c r="O252" s="6"/>
      <c r="P252" s="6"/>
      <c r="Q252" s="6"/>
      <c r="R252" s="6"/>
      <c r="S252" s="6"/>
      <c r="T252" s="6"/>
    </row>
    <row r="253" spans="1:20">
      <c r="A253" s="6">
        <v>0</v>
      </c>
      <c r="B253" s="6">
        <v>0</v>
      </c>
      <c r="C253" s="6" t="e">
        <f ca="1"/>
        <v>#NAME?</v>
      </c>
      <c r="D253" s="6" t="e">
        <f ca="1"/>
        <v>#NAME?</v>
      </c>
      <c r="E253" s="6" t="e">
        <f ca="1"/>
        <v>#NAME?</v>
      </c>
      <c r="F253" s="6" t="e">
        <f ca="1"/>
        <v>#NAME?</v>
      </c>
      <c r="G253" s="6" t="e">
        <f ca="1"/>
        <v>#NAME?</v>
      </c>
      <c r="H253" s="6" t="e">
        <f ca="1"/>
        <v>#NAME?</v>
      </c>
      <c r="I253" s="6"/>
      <c r="J253" s="6"/>
      <c r="K253" s="6"/>
      <c r="L253" s="6"/>
      <c r="M253" s="6"/>
      <c r="N253" s="6"/>
      <c r="O253" s="6"/>
      <c r="P253" s="6"/>
      <c r="Q253" s="6"/>
      <c r="R253" s="6"/>
      <c r="S253" s="6"/>
      <c r="T253" s="6"/>
    </row>
    <row r="254" spans="1:20">
      <c r="A254" s="6">
        <v>0</v>
      </c>
      <c r="B254" s="6">
        <v>0</v>
      </c>
      <c r="C254" s="6" t="e">
        <f ca="1"/>
        <v>#NAME?</v>
      </c>
      <c r="D254" s="6" t="e">
        <f ca="1"/>
        <v>#NAME?</v>
      </c>
      <c r="E254" s="6" t="e">
        <f ca="1"/>
        <v>#NAME?</v>
      </c>
      <c r="F254" s="6" t="e">
        <f ca="1"/>
        <v>#NAME?</v>
      </c>
      <c r="G254" s="6" t="e">
        <f ca="1"/>
        <v>#NAME?</v>
      </c>
      <c r="H254" s="6" t="e">
        <f ca="1"/>
        <v>#NAME?</v>
      </c>
      <c r="I254" s="6"/>
      <c r="J254" s="6"/>
      <c r="K254" s="6"/>
      <c r="L254" s="6"/>
      <c r="M254" s="6"/>
      <c r="N254" s="6"/>
      <c r="O254" s="6"/>
      <c r="P254" s="6"/>
      <c r="Q254" s="6"/>
      <c r="R254" s="6"/>
      <c r="S254" s="6"/>
      <c r="T254" s="6"/>
    </row>
    <row r="255" spans="1:20">
      <c r="A255" s="6">
        <v>0</v>
      </c>
      <c r="B255" s="6">
        <v>0</v>
      </c>
      <c r="C255" s="6" t="e">
        <f ca="1"/>
        <v>#NAME?</v>
      </c>
      <c r="D255" s="6" t="e">
        <f ca="1"/>
        <v>#NAME?</v>
      </c>
      <c r="E255" s="6" t="e">
        <f ca="1"/>
        <v>#NAME?</v>
      </c>
      <c r="F255" s="6" t="e">
        <f ca="1"/>
        <v>#NAME?</v>
      </c>
      <c r="G255" s="6" t="e">
        <f ca="1"/>
        <v>#NAME?</v>
      </c>
      <c r="H255" s="6" t="e">
        <f ca="1"/>
        <v>#NAME?</v>
      </c>
      <c r="I255" s="6"/>
      <c r="J255" s="6"/>
      <c r="K255" s="6"/>
      <c r="L255" s="6"/>
      <c r="M255" s="6"/>
      <c r="N255" s="6"/>
      <c r="O255" s="6"/>
      <c r="P255" s="6"/>
      <c r="Q255" s="6"/>
      <c r="R255" s="6"/>
      <c r="S255" s="6"/>
      <c r="T255" s="6"/>
    </row>
    <row r="256" spans="1:20">
      <c r="A256" s="6">
        <v>0</v>
      </c>
      <c r="B256" s="6">
        <v>0</v>
      </c>
      <c r="C256" s="6" t="e">
        <f ca="1"/>
        <v>#NAME?</v>
      </c>
      <c r="D256" s="6" t="e">
        <f ca="1"/>
        <v>#NAME?</v>
      </c>
      <c r="E256" s="6" t="e">
        <f ca="1"/>
        <v>#NAME?</v>
      </c>
      <c r="F256" s="6" t="e">
        <f ca="1"/>
        <v>#NAME?</v>
      </c>
      <c r="G256" s="6" t="e">
        <f ca="1"/>
        <v>#NAME?</v>
      </c>
      <c r="H256" s="6" t="e">
        <f ca="1"/>
        <v>#NAME?</v>
      </c>
      <c r="I256" s="6"/>
      <c r="J256" s="6"/>
      <c r="K256" s="6"/>
      <c r="L256" s="6"/>
      <c r="M256" s="6"/>
      <c r="N256" s="6"/>
      <c r="O256" s="6"/>
      <c r="P256" s="6"/>
      <c r="Q256" s="6"/>
      <c r="R256" s="6"/>
      <c r="S256" s="6"/>
      <c r="T256" s="6"/>
    </row>
    <row r="257" spans="1:20">
      <c r="A257" s="6">
        <v>0</v>
      </c>
      <c r="B257" s="6">
        <v>0</v>
      </c>
      <c r="C257" s="6" t="e">
        <f ca="1"/>
        <v>#NAME?</v>
      </c>
      <c r="D257" s="6" t="e">
        <f ca="1"/>
        <v>#NAME?</v>
      </c>
      <c r="E257" s="6" t="e">
        <f ca="1"/>
        <v>#NAME?</v>
      </c>
      <c r="F257" s="6" t="e">
        <f ca="1"/>
        <v>#NAME?</v>
      </c>
      <c r="G257" s="6" t="e">
        <f ca="1"/>
        <v>#NAME?</v>
      </c>
      <c r="H257" s="6" t="e">
        <f ca="1"/>
        <v>#NAME?</v>
      </c>
      <c r="I257" s="6"/>
      <c r="J257" s="6"/>
      <c r="K257" s="6"/>
      <c r="L257" s="6"/>
      <c r="M257" s="6"/>
      <c r="N257" s="6"/>
      <c r="O257" s="6"/>
      <c r="P257" s="6"/>
      <c r="Q257" s="6"/>
      <c r="R257" s="6"/>
      <c r="S257" s="6"/>
      <c r="T257" s="6"/>
    </row>
    <row r="258" spans="1:20">
      <c r="A258" s="6">
        <v>0</v>
      </c>
      <c r="B258" s="6">
        <v>0</v>
      </c>
      <c r="C258" s="6" t="e">
        <f ca="1"/>
        <v>#NAME?</v>
      </c>
      <c r="D258" s="6" t="e">
        <f ca="1"/>
        <v>#NAME?</v>
      </c>
      <c r="E258" s="6" t="e">
        <f ca="1"/>
        <v>#NAME?</v>
      </c>
      <c r="F258" s="6" t="e">
        <f ca="1"/>
        <v>#NAME?</v>
      </c>
      <c r="G258" s="6" t="e">
        <f ca="1"/>
        <v>#NAME?</v>
      </c>
      <c r="H258" s="6" t="e">
        <f ca="1"/>
        <v>#NAME?</v>
      </c>
      <c r="I258" s="6"/>
      <c r="J258" s="6"/>
      <c r="K258" s="6"/>
      <c r="L258" s="6"/>
      <c r="M258" s="6"/>
      <c r="N258" s="6"/>
      <c r="O258" s="6"/>
      <c r="P258" s="6"/>
      <c r="Q258" s="6"/>
      <c r="R258" s="6"/>
      <c r="S258" s="6"/>
      <c r="T258" s="6"/>
    </row>
    <row r="259" spans="1:20">
      <c r="A259" s="6">
        <v>0</v>
      </c>
      <c r="B259" s="6">
        <v>0</v>
      </c>
      <c r="C259" s="6" t="e">
        <f ca="1"/>
        <v>#NAME?</v>
      </c>
      <c r="D259" s="6" t="e">
        <f ca="1"/>
        <v>#NAME?</v>
      </c>
      <c r="E259" s="6" t="e">
        <f ca="1"/>
        <v>#NAME?</v>
      </c>
      <c r="F259" s="6" t="e">
        <f ca="1"/>
        <v>#NAME?</v>
      </c>
      <c r="G259" s="6" t="e">
        <f ca="1"/>
        <v>#NAME?</v>
      </c>
      <c r="H259" s="6" t="e">
        <f ca="1"/>
        <v>#NAME?</v>
      </c>
      <c r="I259" s="6"/>
      <c r="J259" s="6"/>
      <c r="K259" s="6"/>
      <c r="L259" s="6"/>
      <c r="M259" s="6"/>
      <c r="N259" s="6"/>
      <c r="O259" s="6"/>
      <c r="P259" s="6"/>
      <c r="Q259" s="6"/>
      <c r="R259" s="6"/>
      <c r="S259" s="6"/>
      <c r="T259" s="6"/>
    </row>
    <row r="260" spans="1:20">
      <c r="A260" s="6">
        <v>0</v>
      </c>
      <c r="B260" s="6">
        <v>0</v>
      </c>
      <c r="C260" s="6" t="e">
        <f ca="1"/>
        <v>#NAME?</v>
      </c>
      <c r="D260" s="6" t="e">
        <f ca="1"/>
        <v>#NAME?</v>
      </c>
      <c r="E260" s="6" t="e">
        <f ca="1"/>
        <v>#NAME?</v>
      </c>
      <c r="F260" s="6" t="e">
        <f ca="1"/>
        <v>#NAME?</v>
      </c>
      <c r="G260" s="6" t="e">
        <f ca="1"/>
        <v>#NAME?</v>
      </c>
      <c r="H260" s="6" t="e">
        <f ca="1"/>
        <v>#NAME?</v>
      </c>
      <c r="I260" s="6"/>
      <c r="J260" s="6"/>
      <c r="K260" s="6"/>
      <c r="L260" s="6"/>
      <c r="M260" s="6"/>
      <c r="N260" s="6"/>
      <c r="O260" s="6"/>
      <c r="P260" s="6"/>
      <c r="Q260" s="6"/>
      <c r="R260" s="6"/>
      <c r="S260" s="6"/>
      <c r="T260" s="6"/>
    </row>
    <row r="261" spans="1:20">
      <c r="A261" s="6">
        <v>0</v>
      </c>
      <c r="B261" s="6">
        <v>0</v>
      </c>
      <c r="C261" s="6" t="e">
        <f ca="1"/>
        <v>#NAME?</v>
      </c>
      <c r="D261" s="6" t="e">
        <f ca="1"/>
        <v>#NAME?</v>
      </c>
      <c r="E261" s="6" t="e">
        <f ca="1"/>
        <v>#NAME?</v>
      </c>
      <c r="F261" s="6" t="e">
        <f ca="1"/>
        <v>#NAME?</v>
      </c>
      <c r="G261" s="6" t="e">
        <f ca="1"/>
        <v>#NAME?</v>
      </c>
      <c r="H261" s="6" t="e">
        <f ca="1"/>
        <v>#NAME?</v>
      </c>
      <c r="I261" s="6"/>
      <c r="J261" s="6"/>
      <c r="K261" s="6"/>
      <c r="L261" s="6"/>
      <c r="M261" s="6"/>
      <c r="N261" s="6"/>
      <c r="O261" s="6"/>
      <c r="P261" s="6"/>
      <c r="Q261" s="6"/>
      <c r="R261" s="6"/>
      <c r="S261" s="6"/>
      <c r="T261" s="6"/>
    </row>
    <row r="262" spans="1:20">
      <c r="A262" s="6">
        <v>0</v>
      </c>
      <c r="B262" s="6">
        <v>0</v>
      </c>
      <c r="C262" s="6" t="e">
        <f ca="1"/>
        <v>#NAME?</v>
      </c>
      <c r="D262" s="6" t="e">
        <f ca="1"/>
        <v>#NAME?</v>
      </c>
      <c r="E262" s="6" t="e">
        <f ca="1"/>
        <v>#NAME?</v>
      </c>
      <c r="F262" s="6" t="e">
        <f ca="1"/>
        <v>#NAME?</v>
      </c>
      <c r="G262" s="6" t="e">
        <f ca="1"/>
        <v>#NAME?</v>
      </c>
      <c r="H262" s="6" t="e">
        <f ca="1"/>
        <v>#NAME?</v>
      </c>
      <c r="I262" s="6"/>
      <c r="J262" s="6"/>
      <c r="K262" s="6"/>
      <c r="L262" s="6"/>
      <c r="M262" s="6"/>
      <c r="N262" s="6"/>
      <c r="O262" s="6"/>
      <c r="P262" s="6"/>
      <c r="Q262" s="6"/>
      <c r="R262" s="6"/>
      <c r="S262" s="6"/>
      <c r="T262" s="6"/>
    </row>
    <row r="263" spans="1:20">
      <c r="A263" s="6">
        <v>0</v>
      </c>
      <c r="B263" s="6">
        <v>0</v>
      </c>
      <c r="C263" s="6" t="e">
        <f ca="1"/>
        <v>#NAME?</v>
      </c>
      <c r="D263" s="6" t="e">
        <f ca="1"/>
        <v>#NAME?</v>
      </c>
      <c r="E263" s="6" t="e">
        <f ca="1"/>
        <v>#NAME?</v>
      </c>
      <c r="F263" s="6" t="e">
        <f ca="1"/>
        <v>#NAME?</v>
      </c>
      <c r="G263" s="6" t="e">
        <f ca="1"/>
        <v>#NAME?</v>
      </c>
      <c r="H263" s="6" t="e">
        <f ca="1"/>
        <v>#NAME?</v>
      </c>
      <c r="I263" s="6"/>
      <c r="J263" s="6"/>
      <c r="K263" s="6"/>
      <c r="L263" s="6"/>
      <c r="M263" s="6"/>
      <c r="N263" s="6"/>
      <c r="O263" s="6"/>
      <c r="P263" s="6"/>
      <c r="Q263" s="6"/>
      <c r="R263" s="6"/>
      <c r="S263" s="6"/>
      <c r="T263" s="6"/>
    </row>
    <row r="264" spans="1:20">
      <c r="A264" s="6">
        <v>0</v>
      </c>
      <c r="B264" s="6">
        <v>0</v>
      </c>
      <c r="C264" s="6" t="e">
        <f ca="1"/>
        <v>#NAME?</v>
      </c>
      <c r="D264" s="6" t="e">
        <f ca="1"/>
        <v>#NAME?</v>
      </c>
      <c r="E264" s="6" t="e">
        <f ca="1"/>
        <v>#NAME?</v>
      </c>
      <c r="F264" s="6" t="e">
        <f ca="1"/>
        <v>#NAME?</v>
      </c>
      <c r="G264" s="6" t="e">
        <f ca="1"/>
        <v>#NAME?</v>
      </c>
      <c r="H264" s="6" t="e">
        <f ca="1"/>
        <v>#NAME?</v>
      </c>
      <c r="I264" s="6"/>
      <c r="J264" s="6"/>
      <c r="K264" s="6"/>
      <c r="L264" s="6"/>
      <c r="M264" s="6"/>
      <c r="N264" s="6"/>
      <c r="O264" s="6"/>
      <c r="P264" s="6"/>
      <c r="Q264" s="6"/>
      <c r="R264" s="6"/>
      <c r="S264" s="6"/>
      <c r="T264" s="6"/>
    </row>
    <row r="265" spans="1:20">
      <c r="A265" s="6">
        <v>0</v>
      </c>
      <c r="B265" s="6">
        <v>0</v>
      </c>
      <c r="C265" s="6" t="e">
        <f ca="1"/>
        <v>#NAME?</v>
      </c>
      <c r="D265" s="6" t="e">
        <f ca="1"/>
        <v>#NAME?</v>
      </c>
      <c r="E265" s="6" t="e">
        <f ca="1"/>
        <v>#NAME?</v>
      </c>
      <c r="F265" s="6" t="e">
        <f ca="1"/>
        <v>#NAME?</v>
      </c>
      <c r="G265" s="6" t="e">
        <f ca="1"/>
        <v>#NAME?</v>
      </c>
      <c r="H265" s="6" t="e">
        <f ca="1"/>
        <v>#NAME?</v>
      </c>
      <c r="I265" s="6"/>
      <c r="J265" s="6"/>
      <c r="K265" s="6"/>
      <c r="L265" s="6"/>
      <c r="M265" s="6"/>
      <c r="N265" s="6"/>
      <c r="O265" s="6"/>
      <c r="P265" s="6"/>
      <c r="Q265" s="6"/>
      <c r="R265" s="6"/>
      <c r="S265" s="6"/>
      <c r="T265" s="6"/>
    </row>
    <row r="266" spans="1:20">
      <c r="A266" s="6">
        <v>0</v>
      </c>
      <c r="B266" s="6">
        <v>0</v>
      </c>
      <c r="C266" s="6" t="e">
        <f ca="1"/>
        <v>#NAME?</v>
      </c>
      <c r="D266" s="6" t="e">
        <f ca="1"/>
        <v>#NAME?</v>
      </c>
      <c r="E266" s="6" t="e">
        <f ca="1"/>
        <v>#NAME?</v>
      </c>
      <c r="F266" s="6" t="e">
        <f ca="1"/>
        <v>#NAME?</v>
      </c>
      <c r="G266" s="6" t="e">
        <f ca="1"/>
        <v>#NAME?</v>
      </c>
      <c r="H266" s="6" t="e">
        <f ca="1"/>
        <v>#NAME?</v>
      </c>
      <c r="I266" s="6"/>
      <c r="J266" s="6"/>
      <c r="K266" s="6"/>
      <c r="L266" s="6"/>
      <c r="M266" s="6"/>
      <c r="N266" s="6"/>
      <c r="O266" s="6"/>
      <c r="P266" s="6"/>
      <c r="Q266" s="6"/>
      <c r="R266" s="6"/>
      <c r="S266" s="6"/>
      <c r="T266" s="6"/>
    </row>
    <row r="267" spans="1:20">
      <c r="A267" s="6">
        <v>0</v>
      </c>
      <c r="B267" s="6">
        <v>0</v>
      </c>
      <c r="C267" s="6" t="e">
        <f ca="1"/>
        <v>#NAME?</v>
      </c>
      <c r="D267" s="6" t="e">
        <f ca="1"/>
        <v>#NAME?</v>
      </c>
      <c r="E267" s="6" t="e">
        <f ca="1"/>
        <v>#NAME?</v>
      </c>
      <c r="F267" s="6" t="e">
        <f ca="1"/>
        <v>#NAME?</v>
      </c>
      <c r="G267" s="6" t="e">
        <f ca="1"/>
        <v>#NAME?</v>
      </c>
      <c r="H267" s="6" t="e">
        <f ca="1"/>
        <v>#NAME?</v>
      </c>
      <c r="I267" s="6"/>
      <c r="J267" s="6"/>
      <c r="K267" s="6"/>
      <c r="L267" s="6"/>
      <c r="M267" s="6"/>
      <c r="N267" s="6"/>
      <c r="O267" s="6"/>
      <c r="P267" s="6"/>
      <c r="Q267" s="6"/>
      <c r="R267" s="6"/>
      <c r="S267" s="6"/>
      <c r="T267" s="6"/>
    </row>
    <row r="268" spans="1:20">
      <c r="A268" s="6">
        <v>0</v>
      </c>
      <c r="B268" s="6">
        <v>0</v>
      </c>
      <c r="C268" s="6" t="e">
        <f ca="1"/>
        <v>#NAME?</v>
      </c>
      <c r="D268" s="6" t="e">
        <f ca="1"/>
        <v>#NAME?</v>
      </c>
      <c r="E268" s="6" t="e">
        <f ca="1"/>
        <v>#NAME?</v>
      </c>
      <c r="F268" s="6" t="e">
        <f ca="1"/>
        <v>#NAME?</v>
      </c>
      <c r="G268" s="6" t="e">
        <f ca="1"/>
        <v>#NAME?</v>
      </c>
      <c r="H268" s="6" t="e">
        <f ca="1"/>
        <v>#NAME?</v>
      </c>
      <c r="I268" s="6"/>
      <c r="J268" s="6"/>
      <c r="K268" s="6"/>
      <c r="L268" s="6"/>
      <c r="M268" s="6"/>
      <c r="N268" s="6"/>
      <c r="O268" s="6"/>
      <c r="P268" s="6"/>
      <c r="Q268" s="6"/>
      <c r="R268" s="6"/>
      <c r="S268" s="6"/>
      <c r="T268" s="6"/>
    </row>
    <row r="269" spans="1:20">
      <c r="A269" s="6">
        <v>0</v>
      </c>
      <c r="B269" s="6">
        <v>0</v>
      </c>
      <c r="C269" s="6" t="e">
        <f ca="1"/>
        <v>#NAME?</v>
      </c>
      <c r="D269" s="6" t="e">
        <f ca="1"/>
        <v>#NAME?</v>
      </c>
      <c r="E269" s="6" t="e">
        <f ca="1"/>
        <v>#NAME?</v>
      </c>
      <c r="F269" s="6" t="e">
        <f ca="1"/>
        <v>#NAME?</v>
      </c>
      <c r="G269" s="6" t="e">
        <f ca="1"/>
        <v>#NAME?</v>
      </c>
      <c r="H269" s="6" t="e">
        <f ca="1"/>
        <v>#NAME?</v>
      </c>
      <c r="I269" s="6"/>
      <c r="J269" s="6"/>
      <c r="K269" s="6"/>
      <c r="L269" s="6"/>
      <c r="M269" s="6"/>
      <c r="N269" s="6"/>
      <c r="O269" s="6"/>
      <c r="P269" s="6"/>
      <c r="Q269" s="6"/>
      <c r="R269" s="6"/>
      <c r="S269" s="6"/>
      <c r="T269" s="6"/>
    </row>
    <row r="270" spans="1:20">
      <c r="A270" s="6">
        <v>0</v>
      </c>
      <c r="B270" s="6">
        <v>0</v>
      </c>
      <c r="C270" s="6" t="e">
        <f ca="1"/>
        <v>#NAME?</v>
      </c>
      <c r="D270" s="6" t="e">
        <f ca="1"/>
        <v>#NAME?</v>
      </c>
      <c r="E270" s="6" t="e">
        <f ca="1"/>
        <v>#NAME?</v>
      </c>
      <c r="F270" s="6" t="e">
        <f ca="1"/>
        <v>#NAME?</v>
      </c>
      <c r="G270" s="6" t="e">
        <f ca="1"/>
        <v>#NAME?</v>
      </c>
      <c r="H270" s="6" t="e">
        <f ca="1"/>
        <v>#NAME?</v>
      </c>
      <c r="I270" s="6"/>
      <c r="J270" s="6"/>
      <c r="K270" s="6"/>
      <c r="L270" s="6"/>
      <c r="M270" s="6"/>
      <c r="N270" s="6"/>
      <c r="O270" s="6"/>
      <c r="P270" s="6"/>
      <c r="Q270" s="6"/>
      <c r="R270" s="6"/>
      <c r="S270" s="6"/>
      <c r="T270" s="6"/>
    </row>
    <row r="271" spans="1:20">
      <c r="A271" s="6">
        <v>0</v>
      </c>
      <c r="B271" s="6">
        <v>0</v>
      </c>
      <c r="C271" s="6" t="e">
        <f ca="1"/>
        <v>#NAME?</v>
      </c>
      <c r="D271" s="6" t="e">
        <f ca="1"/>
        <v>#NAME?</v>
      </c>
      <c r="E271" s="6" t="e">
        <f ca="1"/>
        <v>#NAME?</v>
      </c>
      <c r="F271" s="6" t="e">
        <f ca="1"/>
        <v>#NAME?</v>
      </c>
      <c r="G271" s="6" t="e">
        <f ca="1"/>
        <v>#NAME?</v>
      </c>
      <c r="H271" s="6" t="e">
        <f ca="1"/>
        <v>#NAME?</v>
      </c>
      <c r="I271" s="6"/>
      <c r="J271" s="6"/>
      <c r="K271" s="6"/>
      <c r="L271" s="6"/>
      <c r="M271" s="6"/>
      <c r="N271" s="6"/>
      <c r="O271" s="6"/>
      <c r="P271" s="6"/>
      <c r="Q271" s="6"/>
      <c r="R271" s="6"/>
      <c r="S271" s="6"/>
      <c r="T271" s="6"/>
    </row>
    <row r="272" spans="1:20">
      <c r="A272" s="6">
        <v>0</v>
      </c>
      <c r="B272" s="6">
        <v>0</v>
      </c>
      <c r="C272" s="6" t="e">
        <f ca="1"/>
        <v>#NAME?</v>
      </c>
      <c r="D272" s="6" t="e">
        <f ca="1"/>
        <v>#NAME?</v>
      </c>
      <c r="E272" s="6" t="e">
        <f ca="1"/>
        <v>#NAME?</v>
      </c>
      <c r="F272" s="6" t="e">
        <f ca="1"/>
        <v>#NAME?</v>
      </c>
      <c r="G272" s="6" t="e">
        <f ca="1"/>
        <v>#NAME?</v>
      </c>
      <c r="H272" s="6" t="e">
        <f ca="1"/>
        <v>#NAME?</v>
      </c>
      <c r="I272" s="6"/>
      <c r="J272" s="6"/>
      <c r="K272" s="6"/>
      <c r="L272" s="6"/>
      <c r="M272" s="6"/>
      <c r="N272" s="6"/>
      <c r="O272" s="6"/>
      <c r="P272" s="6"/>
      <c r="Q272" s="6"/>
      <c r="R272" s="6"/>
      <c r="S272" s="6"/>
      <c r="T272" s="6"/>
    </row>
    <row r="273" spans="1:20">
      <c r="A273" s="6">
        <v>0</v>
      </c>
      <c r="B273" s="6">
        <v>0</v>
      </c>
      <c r="C273" s="6" t="e">
        <f ca="1"/>
        <v>#NAME?</v>
      </c>
      <c r="D273" s="6" t="e">
        <f ca="1"/>
        <v>#NAME?</v>
      </c>
      <c r="E273" s="6" t="e">
        <f ca="1"/>
        <v>#NAME?</v>
      </c>
      <c r="F273" s="6" t="e">
        <f ca="1"/>
        <v>#NAME?</v>
      </c>
      <c r="G273" s="6" t="e">
        <f ca="1"/>
        <v>#NAME?</v>
      </c>
      <c r="H273" s="6" t="e">
        <f ca="1"/>
        <v>#NAME?</v>
      </c>
      <c r="I273" s="6"/>
      <c r="J273" s="6"/>
      <c r="K273" s="6"/>
      <c r="L273" s="6"/>
      <c r="M273" s="6"/>
      <c r="N273" s="6"/>
      <c r="O273" s="6"/>
      <c r="P273" s="6"/>
      <c r="Q273" s="6"/>
      <c r="R273" s="6"/>
      <c r="S273" s="6"/>
      <c r="T273" s="6"/>
    </row>
    <row r="274" spans="1:20">
      <c r="A274" s="6">
        <v>0</v>
      </c>
      <c r="B274" s="6">
        <v>0</v>
      </c>
      <c r="C274" s="6" t="e">
        <f ca="1"/>
        <v>#NAME?</v>
      </c>
      <c r="D274" s="6" t="e">
        <f ca="1"/>
        <v>#NAME?</v>
      </c>
      <c r="E274" s="6" t="e">
        <f ca="1"/>
        <v>#NAME?</v>
      </c>
      <c r="F274" s="6" t="e">
        <f ca="1"/>
        <v>#NAME?</v>
      </c>
      <c r="G274" s="6" t="e">
        <f ca="1"/>
        <v>#NAME?</v>
      </c>
      <c r="H274" s="6" t="e">
        <f ca="1"/>
        <v>#NAME?</v>
      </c>
      <c r="I274" s="6"/>
      <c r="J274" s="6"/>
      <c r="K274" s="6"/>
      <c r="L274" s="6"/>
      <c r="M274" s="6"/>
      <c r="N274" s="6"/>
      <c r="O274" s="6"/>
      <c r="P274" s="6"/>
      <c r="Q274" s="6"/>
      <c r="R274" s="6"/>
      <c r="S274" s="6"/>
      <c r="T274" s="6"/>
    </row>
    <row r="275" spans="1:20">
      <c r="A275" s="6">
        <v>0</v>
      </c>
      <c r="B275" s="6">
        <v>0</v>
      </c>
      <c r="C275" s="6" t="e">
        <f ca="1"/>
        <v>#NAME?</v>
      </c>
      <c r="D275" s="6" t="e">
        <f ca="1"/>
        <v>#NAME?</v>
      </c>
      <c r="E275" s="6" t="e">
        <f ca="1"/>
        <v>#NAME?</v>
      </c>
      <c r="F275" s="6" t="e">
        <f ca="1"/>
        <v>#NAME?</v>
      </c>
      <c r="G275" s="6" t="e">
        <f ca="1"/>
        <v>#NAME?</v>
      </c>
      <c r="H275" s="6" t="e">
        <f ca="1"/>
        <v>#NAME?</v>
      </c>
      <c r="I275" s="6"/>
      <c r="J275" s="6"/>
      <c r="K275" s="6"/>
      <c r="L275" s="6"/>
      <c r="M275" s="6"/>
      <c r="N275" s="6"/>
      <c r="O275" s="6"/>
      <c r="P275" s="6"/>
      <c r="Q275" s="6"/>
      <c r="R275" s="6"/>
      <c r="S275" s="6"/>
      <c r="T275" s="6"/>
    </row>
    <row r="276" spans="1:20">
      <c r="A276" s="6">
        <v>0</v>
      </c>
      <c r="B276" s="6">
        <v>0</v>
      </c>
      <c r="C276" s="6" t="e">
        <f ca="1"/>
        <v>#NAME?</v>
      </c>
      <c r="D276" s="6" t="e">
        <f ca="1"/>
        <v>#NAME?</v>
      </c>
      <c r="E276" s="6" t="e">
        <f ca="1"/>
        <v>#NAME?</v>
      </c>
      <c r="F276" s="6" t="e">
        <f ca="1"/>
        <v>#NAME?</v>
      </c>
      <c r="G276" s="6" t="e">
        <f ca="1"/>
        <v>#NAME?</v>
      </c>
      <c r="H276" s="6" t="e">
        <f ca="1"/>
        <v>#NAME?</v>
      </c>
      <c r="I276" s="6"/>
      <c r="J276" s="6"/>
      <c r="K276" s="6"/>
      <c r="L276" s="6"/>
      <c r="M276" s="6"/>
      <c r="N276" s="6"/>
      <c r="O276" s="6"/>
      <c r="P276" s="6"/>
      <c r="Q276" s="6"/>
      <c r="R276" s="6"/>
      <c r="S276" s="6"/>
      <c r="T276" s="6"/>
    </row>
    <row r="277" spans="1:20">
      <c r="A277" s="6">
        <v>0</v>
      </c>
      <c r="B277" s="6">
        <v>0</v>
      </c>
      <c r="C277" s="6" t="e">
        <f ca="1"/>
        <v>#NAME?</v>
      </c>
      <c r="D277" s="6" t="e">
        <f ca="1"/>
        <v>#NAME?</v>
      </c>
      <c r="E277" s="6" t="e">
        <f ca="1"/>
        <v>#NAME?</v>
      </c>
      <c r="F277" s="6" t="e">
        <f ca="1"/>
        <v>#NAME?</v>
      </c>
      <c r="G277" s="6" t="e">
        <f ca="1"/>
        <v>#NAME?</v>
      </c>
      <c r="H277" s="6" t="e">
        <f ca="1"/>
        <v>#NAME?</v>
      </c>
      <c r="I277" s="6"/>
      <c r="J277" s="6"/>
      <c r="K277" s="6"/>
      <c r="L277" s="6"/>
      <c r="M277" s="6"/>
      <c r="N277" s="6"/>
      <c r="O277" s="6"/>
      <c r="P277" s="6"/>
      <c r="Q277" s="6"/>
      <c r="R277" s="6"/>
      <c r="S277" s="6"/>
      <c r="T277" s="6"/>
    </row>
    <row r="278" spans="1:20">
      <c r="A278" s="6">
        <v>0</v>
      </c>
      <c r="B278" s="6">
        <v>0</v>
      </c>
      <c r="C278" s="6" t="e">
        <f ca="1"/>
        <v>#NAME?</v>
      </c>
      <c r="D278" s="6" t="e">
        <f ca="1"/>
        <v>#NAME?</v>
      </c>
      <c r="E278" s="6" t="e">
        <f ca="1"/>
        <v>#NAME?</v>
      </c>
      <c r="F278" s="6" t="e">
        <f ca="1"/>
        <v>#NAME?</v>
      </c>
      <c r="G278" s="6" t="e">
        <f ca="1"/>
        <v>#NAME?</v>
      </c>
      <c r="H278" s="6" t="e">
        <f ca="1"/>
        <v>#NAME?</v>
      </c>
      <c r="I278" s="6"/>
      <c r="J278" s="6"/>
      <c r="K278" s="6"/>
      <c r="L278" s="6"/>
      <c r="M278" s="6"/>
      <c r="N278" s="6"/>
      <c r="O278" s="6"/>
      <c r="P278" s="6"/>
      <c r="Q278" s="6"/>
      <c r="R278" s="6"/>
      <c r="S278" s="6"/>
      <c r="T278" s="6"/>
    </row>
    <row r="279" spans="1:20">
      <c r="A279" s="6">
        <v>0</v>
      </c>
      <c r="B279" s="6">
        <v>0</v>
      </c>
      <c r="C279" s="6" t="e">
        <f ca="1"/>
        <v>#NAME?</v>
      </c>
      <c r="D279" s="6" t="e">
        <f ca="1"/>
        <v>#NAME?</v>
      </c>
      <c r="E279" s="6" t="e">
        <f ca="1"/>
        <v>#NAME?</v>
      </c>
      <c r="F279" s="6" t="e">
        <f ca="1"/>
        <v>#NAME?</v>
      </c>
      <c r="G279" s="6" t="e">
        <f ca="1"/>
        <v>#NAME?</v>
      </c>
      <c r="H279" s="6" t="e">
        <f ca="1"/>
        <v>#NAME?</v>
      </c>
      <c r="I279" s="6"/>
      <c r="J279" s="6"/>
      <c r="K279" s="6"/>
      <c r="L279" s="6"/>
      <c r="M279" s="6"/>
      <c r="N279" s="6"/>
      <c r="O279" s="6"/>
      <c r="P279" s="6"/>
      <c r="Q279" s="6"/>
      <c r="R279" s="6"/>
      <c r="S279" s="6"/>
      <c r="T279" s="6"/>
    </row>
    <row r="280" spans="1:20">
      <c r="A280" s="6">
        <v>0</v>
      </c>
      <c r="B280" s="6">
        <v>0</v>
      </c>
      <c r="C280" s="6" t="e">
        <f ca="1"/>
        <v>#NAME?</v>
      </c>
      <c r="D280" s="6" t="e">
        <f ca="1"/>
        <v>#NAME?</v>
      </c>
      <c r="E280" s="6" t="e">
        <f ca="1"/>
        <v>#NAME?</v>
      </c>
      <c r="F280" s="6" t="e">
        <f ca="1"/>
        <v>#NAME?</v>
      </c>
      <c r="G280" s="6" t="e">
        <f ca="1"/>
        <v>#NAME?</v>
      </c>
      <c r="H280" s="6" t="e">
        <f ca="1"/>
        <v>#NAME?</v>
      </c>
      <c r="I280" s="6"/>
      <c r="J280" s="6"/>
      <c r="K280" s="6"/>
      <c r="L280" s="6"/>
      <c r="M280" s="6"/>
      <c r="N280" s="6"/>
      <c r="O280" s="6"/>
      <c r="P280" s="6"/>
      <c r="Q280" s="6"/>
      <c r="R280" s="6"/>
      <c r="S280" s="6"/>
      <c r="T280" s="6"/>
    </row>
    <row r="281" spans="1:20">
      <c r="A281" s="6">
        <v>0</v>
      </c>
      <c r="B281" s="6">
        <v>0</v>
      </c>
      <c r="C281" s="6" t="e">
        <f ca="1"/>
        <v>#NAME?</v>
      </c>
      <c r="D281" s="6" t="e">
        <f ca="1"/>
        <v>#NAME?</v>
      </c>
      <c r="E281" s="6" t="e">
        <f ca="1"/>
        <v>#NAME?</v>
      </c>
      <c r="F281" s="6" t="e">
        <f ca="1"/>
        <v>#NAME?</v>
      </c>
      <c r="G281" s="6" t="e">
        <f ca="1"/>
        <v>#NAME?</v>
      </c>
      <c r="H281" s="6" t="e">
        <f ca="1"/>
        <v>#NAME?</v>
      </c>
      <c r="I281" s="6"/>
      <c r="J281" s="6"/>
      <c r="K281" s="6"/>
      <c r="L281" s="6"/>
      <c r="M281" s="6"/>
      <c r="N281" s="6"/>
      <c r="O281" s="6"/>
      <c r="P281" s="6"/>
      <c r="Q281" s="6"/>
      <c r="R281" s="6"/>
      <c r="S281" s="6"/>
      <c r="T281" s="6"/>
    </row>
    <row r="282" spans="1:20">
      <c r="A282" s="6">
        <v>0</v>
      </c>
      <c r="B282" s="6">
        <v>0</v>
      </c>
      <c r="C282" s="6" t="e">
        <f ca="1"/>
        <v>#NAME?</v>
      </c>
      <c r="D282" s="6" t="e">
        <f ca="1"/>
        <v>#NAME?</v>
      </c>
      <c r="E282" s="6" t="e">
        <f ca="1"/>
        <v>#NAME?</v>
      </c>
      <c r="F282" s="6" t="e">
        <f ca="1"/>
        <v>#NAME?</v>
      </c>
      <c r="G282" s="6" t="e">
        <f ca="1"/>
        <v>#NAME?</v>
      </c>
      <c r="H282" s="6" t="e">
        <f ca="1"/>
        <v>#NAME?</v>
      </c>
      <c r="I282" s="6"/>
      <c r="J282" s="6"/>
      <c r="K282" s="6"/>
      <c r="L282" s="6"/>
      <c r="M282" s="6"/>
      <c r="N282" s="6"/>
      <c r="O282" s="6"/>
      <c r="P282" s="6"/>
      <c r="Q282" s="6"/>
      <c r="R282" s="6"/>
      <c r="S282" s="6"/>
      <c r="T282" s="6"/>
    </row>
    <row r="283" spans="1:20">
      <c r="A283" s="6">
        <v>0</v>
      </c>
      <c r="B283" s="6">
        <v>0</v>
      </c>
      <c r="C283" s="6" t="e">
        <f ca="1"/>
        <v>#NAME?</v>
      </c>
      <c r="D283" s="6" t="e">
        <f ca="1"/>
        <v>#NAME?</v>
      </c>
      <c r="E283" s="6" t="e">
        <f ca="1"/>
        <v>#NAME?</v>
      </c>
      <c r="F283" s="6" t="e">
        <f ca="1"/>
        <v>#NAME?</v>
      </c>
      <c r="G283" s="6" t="e">
        <f ca="1"/>
        <v>#NAME?</v>
      </c>
      <c r="H283" s="6" t="e">
        <f ca="1"/>
        <v>#NAME?</v>
      </c>
      <c r="I283" s="6"/>
      <c r="J283" s="6"/>
      <c r="K283" s="6"/>
      <c r="L283" s="6"/>
      <c r="M283" s="6"/>
      <c r="N283" s="6"/>
      <c r="O283" s="6"/>
      <c r="P283" s="6"/>
      <c r="Q283" s="6"/>
      <c r="R283" s="6"/>
      <c r="S283" s="6"/>
      <c r="T283" s="6"/>
    </row>
    <row r="284" spans="1:20">
      <c r="A284" s="6">
        <v>0</v>
      </c>
      <c r="B284" s="6">
        <v>0</v>
      </c>
      <c r="C284" s="6" t="e">
        <f ca="1"/>
        <v>#NAME?</v>
      </c>
      <c r="D284" s="6" t="e">
        <f ca="1"/>
        <v>#NAME?</v>
      </c>
      <c r="E284" s="6" t="e">
        <f ca="1"/>
        <v>#NAME?</v>
      </c>
      <c r="F284" s="6" t="e">
        <f ca="1"/>
        <v>#NAME?</v>
      </c>
      <c r="G284" s="6" t="e">
        <f ca="1"/>
        <v>#NAME?</v>
      </c>
      <c r="H284" s="6" t="e">
        <f ca="1"/>
        <v>#NAME?</v>
      </c>
      <c r="I284" s="6"/>
      <c r="J284" s="6"/>
      <c r="K284" s="6"/>
      <c r="L284" s="6"/>
      <c r="M284" s="6"/>
      <c r="N284" s="6"/>
      <c r="O284" s="6"/>
      <c r="P284" s="6"/>
      <c r="Q284" s="6"/>
      <c r="R284" s="6"/>
      <c r="S284" s="6"/>
      <c r="T284" s="6"/>
    </row>
    <row r="285" spans="1:20">
      <c r="A285" s="6">
        <v>0</v>
      </c>
      <c r="B285" s="6">
        <v>0</v>
      </c>
      <c r="C285" s="6" t="e">
        <f ca="1"/>
        <v>#NAME?</v>
      </c>
      <c r="D285" s="6" t="e">
        <f ca="1"/>
        <v>#NAME?</v>
      </c>
      <c r="E285" s="6" t="e">
        <f ca="1"/>
        <v>#NAME?</v>
      </c>
      <c r="F285" s="6" t="e">
        <f ca="1"/>
        <v>#NAME?</v>
      </c>
      <c r="G285" s="6" t="e">
        <f ca="1"/>
        <v>#NAME?</v>
      </c>
      <c r="H285" s="6" t="e">
        <f ca="1"/>
        <v>#NAME?</v>
      </c>
      <c r="I285" s="6"/>
      <c r="J285" s="6"/>
      <c r="K285" s="6"/>
      <c r="L285" s="6"/>
      <c r="M285" s="6"/>
      <c r="N285" s="6"/>
      <c r="O285" s="6"/>
      <c r="P285" s="6"/>
      <c r="Q285" s="6"/>
      <c r="R285" s="6"/>
      <c r="S285" s="6"/>
      <c r="T285" s="6"/>
    </row>
    <row r="286" spans="1:20">
      <c r="A286" s="6">
        <v>0</v>
      </c>
      <c r="B286" s="6">
        <v>0</v>
      </c>
      <c r="C286" s="6" t="e">
        <f ca="1"/>
        <v>#NAME?</v>
      </c>
      <c r="D286" s="6" t="e">
        <f ca="1"/>
        <v>#NAME?</v>
      </c>
      <c r="E286" s="6" t="e">
        <f ca="1"/>
        <v>#NAME?</v>
      </c>
      <c r="F286" s="6" t="e">
        <f ca="1"/>
        <v>#NAME?</v>
      </c>
      <c r="G286" s="6" t="e">
        <f ca="1"/>
        <v>#NAME?</v>
      </c>
      <c r="H286" s="6" t="e">
        <f ca="1"/>
        <v>#NAME?</v>
      </c>
      <c r="I286" s="6"/>
      <c r="J286" s="6"/>
      <c r="K286" s="6"/>
      <c r="L286" s="6"/>
      <c r="M286" s="6"/>
      <c r="N286" s="6"/>
      <c r="O286" s="6"/>
      <c r="P286" s="6"/>
      <c r="Q286" s="6"/>
      <c r="R286" s="6"/>
      <c r="S286" s="6"/>
      <c r="T286" s="6"/>
    </row>
    <row r="287" spans="1:20">
      <c r="A287" s="6">
        <v>0</v>
      </c>
      <c r="B287" s="6">
        <v>0</v>
      </c>
      <c r="C287" s="6" t="e">
        <f ca="1"/>
        <v>#NAME?</v>
      </c>
      <c r="D287" s="6" t="e">
        <f ca="1"/>
        <v>#NAME?</v>
      </c>
      <c r="E287" s="6" t="e">
        <f ca="1"/>
        <v>#NAME?</v>
      </c>
      <c r="F287" s="6" t="e">
        <f ca="1"/>
        <v>#NAME?</v>
      </c>
      <c r="G287" s="6" t="e">
        <f ca="1"/>
        <v>#NAME?</v>
      </c>
      <c r="H287" s="6" t="e">
        <f ca="1"/>
        <v>#NAME?</v>
      </c>
      <c r="I287" s="6"/>
      <c r="J287" s="6"/>
      <c r="K287" s="6"/>
      <c r="L287" s="6"/>
      <c r="M287" s="6"/>
      <c r="N287" s="6"/>
      <c r="O287" s="6"/>
      <c r="P287" s="6"/>
      <c r="Q287" s="6"/>
      <c r="R287" s="6"/>
      <c r="S287" s="6"/>
      <c r="T287" s="6"/>
    </row>
    <row r="288" spans="1:20">
      <c r="A288" s="6">
        <v>0</v>
      </c>
      <c r="B288" s="6">
        <v>0</v>
      </c>
      <c r="C288" s="6" t="e">
        <f ca="1"/>
        <v>#NAME?</v>
      </c>
      <c r="D288" s="6" t="e">
        <f ca="1"/>
        <v>#NAME?</v>
      </c>
      <c r="E288" s="6" t="e">
        <f ca="1"/>
        <v>#NAME?</v>
      </c>
      <c r="F288" s="6" t="e">
        <f ca="1"/>
        <v>#NAME?</v>
      </c>
      <c r="G288" s="6" t="e">
        <f ca="1"/>
        <v>#NAME?</v>
      </c>
      <c r="H288" s="6" t="e">
        <f ca="1"/>
        <v>#NAME?</v>
      </c>
      <c r="I288" s="6"/>
      <c r="J288" s="6"/>
      <c r="K288" s="6"/>
      <c r="L288" s="6"/>
      <c r="M288" s="6"/>
      <c r="N288" s="6"/>
      <c r="O288" s="6"/>
      <c r="P288" s="6"/>
      <c r="Q288" s="6"/>
      <c r="R288" s="6"/>
      <c r="S288" s="6"/>
      <c r="T288" s="6"/>
    </row>
    <row r="289" spans="1:20">
      <c r="A289" s="6">
        <v>0</v>
      </c>
      <c r="B289" s="6">
        <v>0</v>
      </c>
      <c r="C289" s="6" t="e">
        <f ca="1"/>
        <v>#NAME?</v>
      </c>
      <c r="D289" s="6" t="e">
        <f ca="1"/>
        <v>#NAME?</v>
      </c>
      <c r="E289" s="6" t="e">
        <f ca="1"/>
        <v>#NAME?</v>
      </c>
      <c r="F289" s="6" t="e">
        <f ca="1"/>
        <v>#NAME?</v>
      </c>
      <c r="G289" s="6" t="e">
        <f ca="1"/>
        <v>#NAME?</v>
      </c>
      <c r="H289" s="6" t="e">
        <f ca="1"/>
        <v>#NAME?</v>
      </c>
      <c r="I289" s="6"/>
      <c r="J289" s="6"/>
      <c r="K289" s="6"/>
      <c r="L289" s="6"/>
      <c r="M289" s="6"/>
      <c r="N289" s="6"/>
      <c r="O289" s="6"/>
      <c r="P289" s="6"/>
      <c r="Q289" s="6"/>
      <c r="R289" s="6"/>
      <c r="S289" s="6"/>
      <c r="T289" s="6"/>
    </row>
    <row r="290" spans="1:20">
      <c r="A290" s="6">
        <v>0</v>
      </c>
      <c r="B290" s="6">
        <v>0</v>
      </c>
      <c r="C290" s="6" t="e">
        <f ca="1"/>
        <v>#NAME?</v>
      </c>
      <c r="D290" s="6" t="e">
        <f ca="1"/>
        <v>#NAME?</v>
      </c>
      <c r="E290" s="6" t="e">
        <f ca="1"/>
        <v>#NAME?</v>
      </c>
      <c r="F290" s="6" t="e">
        <f ca="1"/>
        <v>#NAME?</v>
      </c>
      <c r="G290" s="6" t="e">
        <f ca="1"/>
        <v>#NAME?</v>
      </c>
      <c r="H290" s="6" t="e">
        <f ca="1"/>
        <v>#NAME?</v>
      </c>
      <c r="I290" s="6"/>
      <c r="J290" s="6"/>
      <c r="K290" s="6"/>
      <c r="L290" s="6"/>
      <c r="M290" s="6"/>
      <c r="N290" s="6"/>
      <c r="O290" s="6"/>
      <c r="P290" s="6"/>
      <c r="Q290" s="6"/>
      <c r="R290" s="6"/>
      <c r="S290" s="6"/>
      <c r="T290" s="6"/>
    </row>
    <row r="291" spans="1:20">
      <c r="A291" s="6">
        <v>0</v>
      </c>
      <c r="B291" s="6">
        <v>0</v>
      </c>
      <c r="C291" s="6" t="e">
        <f ca="1"/>
        <v>#NAME?</v>
      </c>
      <c r="D291" s="6" t="e">
        <f ca="1"/>
        <v>#NAME?</v>
      </c>
      <c r="E291" s="6" t="e">
        <f ca="1"/>
        <v>#NAME?</v>
      </c>
      <c r="F291" s="6" t="e">
        <f ca="1"/>
        <v>#NAME?</v>
      </c>
      <c r="G291" s="6" t="e">
        <f ca="1"/>
        <v>#NAME?</v>
      </c>
      <c r="H291" s="6" t="e">
        <f ca="1"/>
        <v>#NAME?</v>
      </c>
      <c r="I291" s="6"/>
      <c r="J291" s="6"/>
      <c r="K291" s="6"/>
      <c r="L291" s="6"/>
      <c r="M291" s="6"/>
      <c r="N291" s="6"/>
      <c r="O291" s="6"/>
      <c r="P291" s="6"/>
      <c r="Q291" s="6"/>
      <c r="R291" s="6"/>
      <c r="S291" s="6"/>
      <c r="T291" s="6"/>
    </row>
    <row r="292" spans="1:20">
      <c r="A292" s="6">
        <v>0</v>
      </c>
      <c r="B292" s="6">
        <v>0</v>
      </c>
      <c r="C292" s="6" t="e">
        <f ca="1"/>
        <v>#NAME?</v>
      </c>
      <c r="D292" s="6" t="e">
        <f ca="1"/>
        <v>#NAME?</v>
      </c>
      <c r="E292" s="6" t="e">
        <f ca="1"/>
        <v>#NAME?</v>
      </c>
      <c r="F292" s="6" t="e">
        <f ca="1"/>
        <v>#NAME?</v>
      </c>
      <c r="G292" s="6" t="e">
        <f ca="1"/>
        <v>#NAME?</v>
      </c>
      <c r="H292" s="6" t="e">
        <f ca="1"/>
        <v>#NAME?</v>
      </c>
      <c r="I292" s="6"/>
      <c r="J292" s="6"/>
      <c r="K292" s="6"/>
      <c r="L292" s="6"/>
      <c r="M292" s="6"/>
      <c r="N292" s="6"/>
      <c r="O292" s="6"/>
      <c r="P292" s="6"/>
      <c r="Q292" s="6"/>
      <c r="R292" s="6"/>
      <c r="S292" s="6"/>
      <c r="T292" s="6"/>
    </row>
    <row r="293" spans="1:20">
      <c r="A293" s="6">
        <v>0</v>
      </c>
      <c r="B293" s="6">
        <v>0</v>
      </c>
      <c r="C293" s="6" t="e">
        <f ca="1"/>
        <v>#NAME?</v>
      </c>
      <c r="D293" s="6" t="e">
        <f ca="1"/>
        <v>#NAME?</v>
      </c>
      <c r="E293" s="6" t="e">
        <f ca="1"/>
        <v>#NAME?</v>
      </c>
      <c r="F293" s="6" t="e">
        <f ca="1"/>
        <v>#NAME?</v>
      </c>
      <c r="G293" s="6" t="e">
        <f ca="1"/>
        <v>#NAME?</v>
      </c>
      <c r="H293" s="6" t="e">
        <f ca="1"/>
        <v>#NAME?</v>
      </c>
      <c r="I293" s="6"/>
      <c r="J293" s="6"/>
      <c r="K293" s="6"/>
      <c r="L293" s="6"/>
      <c r="M293" s="6"/>
      <c r="N293" s="6"/>
      <c r="O293" s="6"/>
      <c r="P293" s="6"/>
      <c r="Q293" s="6"/>
      <c r="R293" s="6"/>
      <c r="S293" s="6"/>
      <c r="T293" s="6"/>
    </row>
    <row r="294" spans="1:20">
      <c r="A294" s="6">
        <v>0</v>
      </c>
      <c r="B294" s="6">
        <v>0</v>
      </c>
      <c r="C294" s="6" t="e">
        <f ca="1"/>
        <v>#NAME?</v>
      </c>
      <c r="D294" s="6" t="e">
        <f ca="1"/>
        <v>#NAME?</v>
      </c>
      <c r="E294" s="6" t="e">
        <f ca="1"/>
        <v>#NAME?</v>
      </c>
      <c r="F294" s="6" t="e">
        <f ca="1"/>
        <v>#NAME?</v>
      </c>
      <c r="G294" s="6" t="e">
        <f ca="1"/>
        <v>#NAME?</v>
      </c>
      <c r="H294" s="6" t="e">
        <f ca="1"/>
        <v>#NAME?</v>
      </c>
      <c r="I294" s="6"/>
      <c r="J294" s="6"/>
      <c r="K294" s="6"/>
      <c r="L294" s="6"/>
      <c r="M294" s="6"/>
      <c r="N294" s="6"/>
      <c r="O294" s="6"/>
      <c r="P294" s="6"/>
      <c r="Q294" s="6"/>
      <c r="R294" s="6"/>
      <c r="S294" s="6"/>
      <c r="T294" s="6"/>
    </row>
    <row r="295" spans="1:20">
      <c r="A295" s="6">
        <v>0</v>
      </c>
      <c r="B295" s="6">
        <v>0</v>
      </c>
      <c r="C295" s="6" t="e">
        <f ca="1"/>
        <v>#NAME?</v>
      </c>
      <c r="D295" s="6" t="e">
        <f ca="1"/>
        <v>#NAME?</v>
      </c>
      <c r="E295" s="6" t="e">
        <f ca="1"/>
        <v>#NAME?</v>
      </c>
      <c r="F295" s="6" t="e">
        <f ca="1"/>
        <v>#NAME?</v>
      </c>
      <c r="G295" s="6" t="e">
        <f ca="1"/>
        <v>#NAME?</v>
      </c>
      <c r="H295" s="6" t="e">
        <f ca="1"/>
        <v>#NAME?</v>
      </c>
      <c r="I295" s="6"/>
      <c r="J295" s="6"/>
      <c r="K295" s="6"/>
      <c r="L295" s="6"/>
      <c r="M295" s="6"/>
      <c r="N295" s="6"/>
      <c r="O295" s="6"/>
      <c r="P295" s="6"/>
      <c r="Q295" s="6"/>
      <c r="R295" s="6"/>
      <c r="S295" s="6"/>
      <c r="T295" s="6"/>
    </row>
    <row r="296" spans="1:20">
      <c r="A296" s="6">
        <v>0</v>
      </c>
      <c r="B296" s="6">
        <v>0</v>
      </c>
      <c r="C296" s="6" t="e">
        <f ca="1"/>
        <v>#NAME?</v>
      </c>
      <c r="D296" s="6" t="e">
        <f ca="1"/>
        <v>#NAME?</v>
      </c>
      <c r="E296" s="6" t="e">
        <f ca="1"/>
        <v>#NAME?</v>
      </c>
      <c r="F296" s="6" t="e">
        <f ca="1"/>
        <v>#NAME?</v>
      </c>
      <c r="G296" s="6" t="e">
        <f ca="1"/>
        <v>#NAME?</v>
      </c>
      <c r="H296" s="6" t="e">
        <f ca="1"/>
        <v>#NAME?</v>
      </c>
      <c r="I296" s="6"/>
      <c r="J296" s="6"/>
      <c r="K296" s="6"/>
      <c r="L296" s="6"/>
      <c r="M296" s="6"/>
      <c r="N296" s="6"/>
      <c r="O296" s="6"/>
      <c r="P296" s="6"/>
      <c r="Q296" s="6"/>
      <c r="R296" s="6"/>
      <c r="S296" s="6"/>
      <c r="T296" s="6"/>
    </row>
    <row r="297" spans="1:20">
      <c r="A297" s="6">
        <v>0</v>
      </c>
      <c r="B297" s="6">
        <v>0</v>
      </c>
      <c r="C297" s="6" t="e">
        <f ca="1"/>
        <v>#NAME?</v>
      </c>
      <c r="D297" s="6" t="e">
        <f ca="1"/>
        <v>#NAME?</v>
      </c>
      <c r="E297" s="6" t="e">
        <f ca="1"/>
        <v>#NAME?</v>
      </c>
      <c r="F297" s="6" t="e">
        <f ca="1"/>
        <v>#NAME?</v>
      </c>
      <c r="G297" s="6" t="e">
        <f ca="1"/>
        <v>#NAME?</v>
      </c>
      <c r="H297" s="6" t="e">
        <f ca="1"/>
        <v>#NAME?</v>
      </c>
      <c r="I297" s="6"/>
      <c r="J297" s="6"/>
      <c r="K297" s="6"/>
      <c r="L297" s="6"/>
      <c r="M297" s="6"/>
      <c r="N297" s="6"/>
      <c r="O297" s="6"/>
      <c r="P297" s="6"/>
      <c r="Q297" s="6"/>
      <c r="R297" s="6"/>
      <c r="S297" s="6"/>
      <c r="T297" s="6"/>
    </row>
    <row r="298" spans="1:20">
      <c r="A298" s="6">
        <v>0</v>
      </c>
      <c r="B298" s="6">
        <v>0</v>
      </c>
      <c r="C298" s="6" t="e">
        <f ca="1"/>
        <v>#NAME?</v>
      </c>
      <c r="D298" s="6" t="e">
        <f ca="1"/>
        <v>#NAME?</v>
      </c>
      <c r="E298" s="6" t="e">
        <f ca="1"/>
        <v>#NAME?</v>
      </c>
      <c r="F298" s="6" t="e">
        <f ca="1"/>
        <v>#NAME?</v>
      </c>
      <c r="G298" s="6" t="e">
        <f ca="1"/>
        <v>#NAME?</v>
      </c>
      <c r="H298" s="6" t="e">
        <f ca="1"/>
        <v>#NAME?</v>
      </c>
      <c r="I298" s="6"/>
      <c r="J298" s="6"/>
      <c r="K298" s="6"/>
      <c r="L298" s="6"/>
      <c r="M298" s="6"/>
      <c r="N298" s="6"/>
      <c r="O298" s="6"/>
      <c r="P298" s="6"/>
      <c r="Q298" s="6"/>
      <c r="R298" s="6"/>
      <c r="S298" s="6"/>
      <c r="T298" s="6"/>
    </row>
    <row r="299" spans="1:20">
      <c r="A299" s="6">
        <v>0</v>
      </c>
      <c r="B299" s="6">
        <v>0</v>
      </c>
      <c r="C299" s="6" t="e">
        <f ca="1"/>
        <v>#NAME?</v>
      </c>
      <c r="D299" s="6" t="e">
        <f ca="1"/>
        <v>#NAME?</v>
      </c>
      <c r="E299" s="6" t="e">
        <f ca="1"/>
        <v>#NAME?</v>
      </c>
      <c r="F299" s="6" t="e">
        <f ca="1"/>
        <v>#NAME?</v>
      </c>
      <c r="G299" s="6" t="e">
        <f ca="1"/>
        <v>#NAME?</v>
      </c>
      <c r="H299" s="6" t="e">
        <f ca="1"/>
        <v>#NAME?</v>
      </c>
      <c r="I299" s="6"/>
      <c r="J299" s="6"/>
      <c r="K299" s="6"/>
      <c r="L299" s="6"/>
      <c r="M299" s="6"/>
      <c r="N299" s="6"/>
      <c r="O299" s="6"/>
      <c r="P299" s="6"/>
      <c r="Q299" s="6"/>
      <c r="R299" s="6"/>
      <c r="S299" s="6"/>
      <c r="T299" s="6"/>
    </row>
    <row r="300" spans="1:20">
      <c r="A300" s="6">
        <v>0</v>
      </c>
      <c r="B300" s="6">
        <v>0</v>
      </c>
      <c r="C300" s="6" t="e">
        <f ca="1"/>
        <v>#NAME?</v>
      </c>
      <c r="D300" s="6" t="e">
        <f ca="1"/>
        <v>#NAME?</v>
      </c>
      <c r="E300" s="6" t="e">
        <f ca="1"/>
        <v>#NAME?</v>
      </c>
      <c r="F300" s="6" t="e">
        <f ca="1"/>
        <v>#NAME?</v>
      </c>
      <c r="G300" s="6" t="e">
        <f ca="1"/>
        <v>#NAME?</v>
      </c>
      <c r="H300" s="6" t="e">
        <f ca="1"/>
        <v>#NAME?</v>
      </c>
      <c r="I300" s="6"/>
      <c r="J300" s="6"/>
      <c r="K300" s="6"/>
      <c r="L300" s="6"/>
      <c r="M300" s="6"/>
      <c r="N300" s="6"/>
      <c r="O300" s="6"/>
      <c r="P300" s="6"/>
      <c r="Q300" s="6"/>
      <c r="R300" s="6"/>
      <c r="S300" s="6"/>
      <c r="T300" s="6"/>
    </row>
    <row r="301" spans="1:20">
      <c r="A301" s="6">
        <v>0</v>
      </c>
      <c r="B301" s="6">
        <v>0</v>
      </c>
      <c r="C301" s="6" t="e">
        <f ca="1"/>
        <v>#NAME?</v>
      </c>
      <c r="D301" s="6" t="e">
        <f ca="1"/>
        <v>#NAME?</v>
      </c>
      <c r="E301" s="6" t="e">
        <f ca="1"/>
        <v>#NAME?</v>
      </c>
      <c r="F301" s="6" t="e">
        <f ca="1"/>
        <v>#NAME?</v>
      </c>
      <c r="G301" s="6" t="e">
        <f ca="1"/>
        <v>#NAME?</v>
      </c>
      <c r="H301" s="6" t="e">
        <f ca="1"/>
        <v>#NAME?</v>
      </c>
      <c r="I301" s="6"/>
      <c r="J301" s="6"/>
      <c r="K301" s="6"/>
      <c r="L301" s="6"/>
      <c r="M301" s="6"/>
      <c r="N301" s="6"/>
      <c r="O301" s="6"/>
      <c r="P301" s="6"/>
      <c r="Q301" s="6"/>
      <c r="R301" s="6"/>
      <c r="S301" s="6"/>
      <c r="T301" s="6"/>
    </row>
    <row r="302" spans="1:20">
      <c r="A302" s="6">
        <v>0</v>
      </c>
      <c r="B302" s="6">
        <v>0</v>
      </c>
      <c r="C302" s="6" t="e">
        <f ca="1"/>
        <v>#NAME?</v>
      </c>
      <c r="D302" s="6" t="e">
        <f ca="1"/>
        <v>#NAME?</v>
      </c>
      <c r="E302" s="6" t="e">
        <f ca="1"/>
        <v>#NAME?</v>
      </c>
      <c r="F302" s="6" t="e">
        <f ca="1"/>
        <v>#NAME?</v>
      </c>
      <c r="G302" s="6" t="e">
        <f ca="1"/>
        <v>#NAME?</v>
      </c>
      <c r="H302" s="6" t="e">
        <f ca="1"/>
        <v>#NAME?</v>
      </c>
      <c r="I302" s="6"/>
      <c r="J302" s="6"/>
      <c r="K302" s="6"/>
      <c r="L302" s="6"/>
      <c r="M302" s="6"/>
      <c r="N302" s="6"/>
      <c r="O302" s="6"/>
      <c r="P302" s="6"/>
      <c r="Q302" s="6"/>
      <c r="R302" s="6"/>
      <c r="S302" s="6"/>
      <c r="T302" s="6"/>
    </row>
    <row r="303" spans="1:20">
      <c r="A303" s="6">
        <v>0</v>
      </c>
      <c r="B303" s="6">
        <v>0</v>
      </c>
      <c r="C303" s="6" t="e">
        <f ca="1"/>
        <v>#NAME?</v>
      </c>
      <c r="D303" s="6" t="e">
        <f ca="1"/>
        <v>#NAME?</v>
      </c>
      <c r="E303" s="6" t="e">
        <f ca="1"/>
        <v>#NAME?</v>
      </c>
      <c r="F303" s="6" t="e">
        <f ca="1"/>
        <v>#NAME?</v>
      </c>
      <c r="G303" s="6" t="e">
        <f ca="1"/>
        <v>#NAME?</v>
      </c>
      <c r="H303" s="6" t="e">
        <f ca="1"/>
        <v>#NAME?</v>
      </c>
      <c r="I303" s="6"/>
      <c r="J303" s="6"/>
      <c r="K303" s="6"/>
      <c r="L303" s="6"/>
      <c r="M303" s="6"/>
      <c r="N303" s="6"/>
      <c r="O303" s="6"/>
      <c r="P303" s="6"/>
      <c r="Q303" s="6"/>
      <c r="R303" s="6"/>
      <c r="S303" s="6"/>
      <c r="T303" s="6"/>
    </row>
    <row r="304" spans="1:20">
      <c r="A304" s="6">
        <v>0</v>
      </c>
      <c r="B304" s="6">
        <v>0</v>
      </c>
      <c r="C304" s="6" t="e">
        <f ca="1"/>
        <v>#NAME?</v>
      </c>
      <c r="D304" s="6" t="e">
        <f ca="1"/>
        <v>#NAME?</v>
      </c>
      <c r="E304" s="6" t="e">
        <f ca="1"/>
        <v>#NAME?</v>
      </c>
      <c r="F304" s="6" t="e">
        <f ca="1"/>
        <v>#NAME?</v>
      </c>
      <c r="G304" s="6" t="e">
        <f ca="1"/>
        <v>#NAME?</v>
      </c>
      <c r="H304" s="6" t="e">
        <f ca="1"/>
        <v>#NAME?</v>
      </c>
      <c r="I304" s="6"/>
      <c r="J304" s="6"/>
      <c r="K304" s="6"/>
      <c r="L304" s="6"/>
      <c r="M304" s="6"/>
      <c r="N304" s="6"/>
      <c r="O304" s="6"/>
      <c r="P304" s="6"/>
      <c r="Q304" s="6"/>
      <c r="R304" s="6"/>
      <c r="S304" s="6"/>
      <c r="T304" s="6"/>
    </row>
    <row r="305" spans="1:20">
      <c r="A305" s="6">
        <v>0</v>
      </c>
      <c r="B305" s="6">
        <v>0</v>
      </c>
      <c r="C305" s="6" t="e">
        <f ca="1"/>
        <v>#NAME?</v>
      </c>
      <c r="D305" s="6" t="e">
        <f ca="1"/>
        <v>#NAME?</v>
      </c>
      <c r="E305" s="6" t="e">
        <f ca="1"/>
        <v>#NAME?</v>
      </c>
      <c r="F305" s="6" t="e">
        <f ca="1"/>
        <v>#NAME?</v>
      </c>
      <c r="G305" s="6" t="e">
        <f ca="1"/>
        <v>#NAME?</v>
      </c>
      <c r="H305" s="6" t="e">
        <f ca="1"/>
        <v>#NAME?</v>
      </c>
      <c r="I305" s="6"/>
      <c r="J305" s="6"/>
      <c r="K305" s="6"/>
      <c r="L305" s="6"/>
      <c r="M305" s="6"/>
      <c r="N305" s="6"/>
      <c r="O305" s="6"/>
      <c r="P305" s="6"/>
      <c r="Q305" s="6"/>
      <c r="R305" s="6"/>
      <c r="S305" s="6"/>
      <c r="T305" s="6"/>
    </row>
    <row r="306" spans="1:20">
      <c r="A306" s="6">
        <v>0</v>
      </c>
      <c r="B306" s="6">
        <v>0</v>
      </c>
      <c r="C306" s="6" t="e">
        <f ca="1"/>
        <v>#NAME?</v>
      </c>
      <c r="D306" s="6" t="e">
        <f ca="1"/>
        <v>#NAME?</v>
      </c>
      <c r="E306" s="6" t="e">
        <f ca="1"/>
        <v>#NAME?</v>
      </c>
      <c r="F306" s="6" t="e">
        <f ca="1"/>
        <v>#NAME?</v>
      </c>
      <c r="G306" s="6" t="e">
        <f ca="1"/>
        <v>#NAME?</v>
      </c>
      <c r="H306" s="6" t="e">
        <f ca="1"/>
        <v>#NAME?</v>
      </c>
      <c r="I306" s="6"/>
      <c r="J306" s="6"/>
      <c r="K306" s="6"/>
      <c r="L306" s="6"/>
      <c r="M306" s="6"/>
      <c r="N306" s="6"/>
      <c r="O306" s="6"/>
      <c r="P306" s="6"/>
      <c r="Q306" s="6"/>
      <c r="R306" s="6"/>
      <c r="S306" s="6"/>
      <c r="T306" s="6"/>
    </row>
    <row r="307" spans="1:20">
      <c r="A307" s="6">
        <v>0</v>
      </c>
      <c r="B307" s="6">
        <v>0</v>
      </c>
      <c r="C307" s="6" t="e">
        <f ca="1"/>
        <v>#NAME?</v>
      </c>
      <c r="D307" s="6" t="e">
        <f ca="1"/>
        <v>#NAME?</v>
      </c>
      <c r="E307" s="6" t="e">
        <f ca="1"/>
        <v>#NAME?</v>
      </c>
      <c r="F307" s="6" t="e">
        <f ca="1"/>
        <v>#NAME?</v>
      </c>
      <c r="G307" s="6" t="e">
        <f ca="1"/>
        <v>#NAME?</v>
      </c>
      <c r="H307" s="6" t="e">
        <f ca="1"/>
        <v>#NAME?</v>
      </c>
      <c r="I307" s="6"/>
      <c r="J307" s="6"/>
      <c r="K307" s="6"/>
      <c r="L307" s="6"/>
      <c r="M307" s="6"/>
      <c r="N307" s="6"/>
      <c r="O307" s="6"/>
      <c r="P307" s="6"/>
      <c r="Q307" s="6"/>
      <c r="R307" s="6"/>
      <c r="S307" s="6"/>
      <c r="T307" s="6"/>
    </row>
    <row r="308" spans="1:20">
      <c r="A308" s="6">
        <v>0</v>
      </c>
      <c r="B308" s="6">
        <v>0</v>
      </c>
      <c r="C308" s="6" t="e">
        <f ca="1"/>
        <v>#NAME?</v>
      </c>
      <c r="D308" s="6" t="e">
        <f ca="1"/>
        <v>#NAME?</v>
      </c>
      <c r="E308" s="6" t="e">
        <f ca="1"/>
        <v>#NAME?</v>
      </c>
      <c r="F308" s="6" t="e">
        <f ca="1"/>
        <v>#NAME?</v>
      </c>
      <c r="G308" s="6" t="e">
        <f ca="1"/>
        <v>#NAME?</v>
      </c>
      <c r="H308" s="6" t="e">
        <f ca="1"/>
        <v>#NAME?</v>
      </c>
      <c r="I308" s="6"/>
      <c r="J308" s="6"/>
      <c r="K308" s="6"/>
      <c r="L308" s="6"/>
      <c r="M308" s="6"/>
      <c r="N308" s="6"/>
      <c r="O308" s="6"/>
      <c r="P308" s="6"/>
      <c r="Q308" s="6"/>
      <c r="R308" s="6"/>
      <c r="S308" s="6"/>
      <c r="T308" s="6"/>
    </row>
    <row r="309" spans="1:20">
      <c r="A309" s="6">
        <v>0</v>
      </c>
      <c r="B309" s="6">
        <v>0</v>
      </c>
      <c r="C309" s="6" t="e">
        <f ca="1"/>
        <v>#NAME?</v>
      </c>
      <c r="D309" s="6" t="e">
        <f ca="1"/>
        <v>#NAME?</v>
      </c>
      <c r="E309" s="6" t="e">
        <f ca="1"/>
        <v>#NAME?</v>
      </c>
      <c r="F309" s="6" t="e">
        <f ca="1"/>
        <v>#NAME?</v>
      </c>
      <c r="G309" s="6" t="e">
        <f ca="1"/>
        <v>#NAME?</v>
      </c>
      <c r="H309" s="6" t="e">
        <f ca="1"/>
        <v>#NAME?</v>
      </c>
      <c r="I309" s="6"/>
      <c r="J309" s="6"/>
      <c r="K309" s="6"/>
      <c r="L309" s="6"/>
      <c r="M309" s="6"/>
      <c r="N309" s="6"/>
      <c r="O309" s="6"/>
      <c r="P309" s="6"/>
      <c r="Q309" s="6"/>
      <c r="R309" s="6"/>
      <c r="S309" s="6"/>
      <c r="T309" s="6"/>
    </row>
    <row r="310" spans="1:20">
      <c r="A310" s="6">
        <v>0</v>
      </c>
      <c r="B310" s="6">
        <v>0</v>
      </c>
      <c r="C310" s="6" t="e">
        <f ca="1"/>
        <v>#NAME?</v>
      </c>
      <c r="D310" s="6" t="e">
        <f ca="1"/>
        <v>#NAME?</v>
      </c>
      <c r="E310" s="6" t="e">
        <f ca="1"/>
        <v>#NAME?</v>
      </c>
      <c r="F310" s="6" t="e">
        <f ca="1"/>
        <v>#NAME?</v>
      </c>
      <c r="G310" s="6" t="e">
        <f ca="1"/>
        <v>#NAME?</v>
      </c>
      <c r="H310" s="6" t="e">
        <f ca="1"/>
        <v>#NAME?</v>
      </c>
      <c r="I310" s="6"/>
      <c r="J310" s="6"/>
      <c r="K310" s="6"/>
      <c r="L310" s="6"/>
      <c r="M310" s="6"/>
      <c r="N310" s="6"/>
      <c r="O310" s="6"/>
      <c r="P310" s="6"/>
      <c r="Q310" s="6"/>
      <c r="R310" s="6"/>
      <c r="S310" s="6"/>
      <c r="T310" s="6"/>
    </row>
    <row r="311" spans="1:20">
      <c r="A311" s="6">
        <v>0</v>
      </c>
      <c r="B311" s="6">
        <v>0</v>
      </c>
      <c r="C311" s="6" t="e">
        <f ca="1"/>
        <v>#NAME?</v>
      </c>
      <c r="D311" s="6" t="e">
        <f ca="1"/>
        <v>#NAME?</v>
      </c>
      <c r="E311" s="6" t="e">
        <f ca="1"/>
        <v>#NAME?</v>
      </c>
      <c r="F311" s="6" t="e">
        <f ca="1"/>
        <v>#NAME?</v>
      </c>
      <c r="G311" s="6" t="e">
        <f ca="1"/>
        <v>#NAME?</v>
      </c>
      <c r="H311" s="6" t="e">
        <f ca="1"/>
        <v>#NAME?</v>
      </c>
      <c r="I311" s="6"/>
      <c r="J311" s="6"/>
      <c r="K311" s="6"/>
      <c r="L311" s="6"/>
      <c r="M311" s="6"/>
      <c r="N311" s="6"/>
      <c r="O311" s="6"/>
      <c r="P311" s="6"/>
      <c r="Q311" s="6"/>
      <c r="R311" s="6"/>
      <c r="S311" s="6"/>
      <c r="T311" s="6"/>
    </row>
    <row r="312" spans="1:20">
      <c r="A312" s="6">
        <v>0</v>
      </c>
      <c r="B312" s="6">
        <v>0</v>
      </c>
      <c r="C312" s="6" t="e">
        <f ca="1"/>
        <v>#NAME?</v>
      </c>
      <c r="D312" s="6" t="e">
        <f ca="1"/>
        <v>#NAME?</v>
      </c>
      <c r="E312" s="6" t="e">
        <f ca="1"/>
        <v>#NAME?</v>
      </c>
      <c r="F312" s="6" t="e">
        <f ca="1"/>
        <v>#NAME?</v>
      </c>
      <c r="G312" s="6" t="e">
        <f ca="1"/>
        <v>#NAME?</v>
      </c>
      <c r="H312" s="6" t="e">
        <f ca="1"/>
        <v>#NAME?</v>
      </c>
      <c r="I312" s="6"/>
      <c r="J312" s="6"/>
      <c r="K312" s="6"/>
      <c r="L312" s="6"/>
      <c r="M312" s="6"/>
      <c r="N312" s="6"/>
      <c r="O312" s="6"/>
      <c r="P312" s="6"/>
      <c r="Q312" s="6"/>
      <c r="R312" s="6"/>
      <c r="S312" s="6"/>
      <c r="T312" s="6"/>
    </row>
    <row r="313" spans="1:20">
      <c r="A313" s="6">
        <v>0</v>
      </c>
      <c r="B313" s="6">
        <v>0</v>
      </c>
      <c r="C313" s="6" t="e">
        <f ca="1"/>
        <v>#NAME?</v>
      </c>
      <c r="D313" s="6" t="e">
        <f ca="1"/>
        <v>#NAME?</v>
      </c>
      <c r="E313" s="6" t="e">
        <f ca="1"/>
        <v>#NAME?</v>
      </c>
      <c r="F313" s="6" t="e">
        <f ca="1"/>
        <v>#NAME?</v>
      </c>
      <c r="G313" s="6" t="e">
        <f ca="1"/>
        <v>#NAME?</v>
      </c>
      <c r="H313" s="6" t="e">
        <f ca="1"/>
        <v>#NAME?</v>
      </c>
      <c r="I313" s="6"/>
      <c r="J313" s="6"/>
      <c r="K313" s="6"/>
      <c r="L313" s="6"/>
      <c r="M313" s="6"/>
      <c r="N313" s="6"/>
      <c r="O313" s="6"/>
      <c r="P313" s="6"/>
      <c r="Q313" s="6"/>
      <c r="R313" s="6"/>
      <c r="S313" s="6"/>
      <c r="T313" s="6"/>
    </row>
    <row r="314" spans="1:20">
      <c r="A314" s="6">
        <v>0</v>
      </c>
      <c r="B314" s="6">
        <v>0</v>
      </c>
      <c r="C314" s="6" t="e">
        <f ca="1"/>
        <v>#NAME?</v>
      </c>
      <c r="D314" s="6" t="e">
        <f ca="1"/>
        <v>#NAME?</v>
      </c>
      <c r="E314" s="6" t="e">
        <f ca="1"/>
        <v>#NAME?</v>
      </c>
      <c r="F314" s="6" t="e">
        <f ca="1"/>
        <v>#NAME?</v>
      </c>
      <c r="G314" s="6" t="e">
        <f ca="1"/>
        <v>#NAME?</v>
      </c>
      <c r="H314" s="6" t="e">
        <f ca="1"/>
        <v>#NAME?</v>
      </c>
      <c r="I314" s="6"/>
      <c r="J314" s="6"/>
      <c r="K314" s="6"/>
      <c r="L314" s="6"/>
      <c r="M314" s="6"/>
      <c r="N314" s="6"/>
      <c r="O314" s="6"/>
      <c r="P314" s="6"/>
      <c r="Q314" s="6"/>
      <c r="R314" s="6"/>
      <c r="S314" s="6"/>
      <c r="T314" s="6"/>
    </row>
    <row r="315" spans="1:20">
      <c r="A315" s="6">
        <v>0</v>
      </c>
      <c r="B315" s="6">
        <v>0</v>
      </c>
      <c r="C315" s="6" t="e">
        <f ca="1"/>
        <v>#NAME?</v>
      </c>
      <c r="D315" s="6" t="e">
        <f ca="1"/>
        <v>#NAME?</v>
      </c>
      <c r="E315" s="6" t="e">
        <f ca="1"/>
        <v>#NAME?</v>
      </c>
      <c r="F315" s="6" t="e">
        <f ca="1"/>
        <v>#NAME?</v>
      </c>
      <c r="G315" s="6" t="e">
        <f ca="1"/>
        <v>#NAME?</v>
      </c>
      <c r="H315" s="6" t="e">
        <f ca="1"/>
        <v>#NAME?</v>
      </c>
      <c r="I315" s="6"/>
      <c r="J315" s="6"/>
      <c r="K315" s="6"/>
      <c r="L315" s="6"/>
      <c r="M315" s="6"/>
      <c r="N315" s="6"/>
      <c r="O315" s="6"/>
      <c r="P315" s="6"/>
      <c r="Q315" s="6"/>
      <c r="R315" s="6"/>
      <c r="S315" s="6"/>
      <c r="T315" s="6"/>
    </row>
    <row r="316" spans="1:20">
      <c r="A316" s="6">
        <v>0</v>
      </c>
      <c r="B316" s="6">
        <v>0</v>
      </c>
      <c r="C316" s="6" t="e">
        <f ca="1"/>
        <v>#NAME?</v>
      </c>
      <c r="D316" s="6" t="e">
        <f ca="1"/>
        <v>#NAME?</v>
      </c>
      <c r="E316" s="6" t="e">
        <f ca="1"/>
        <v>#NAME?</v>
      </c>
      <c r="F316" s="6" t="e">
        <f ca="1"/>
        <v>#NAME?</v>
      </c>
      <c r="G316" s="6" t="e">
        <f ca="1"/>
        <v>#NAME?</v>
      </c>
      <c r="H316" s="6" t="e">
        <f ca="1"/>
        <v>#NAME?</v>
      </c>
      <c r="I316" s="6"/>
      <c r="J316" s="6"/>
      <c r="K316" s="6"/>
      <c r="L316" s="6"/>
      <c r="M316" s="6"/>
      <c r="N316" s="6"/>
      <c r="O316" s="6"/>
      <c r="P316" s="6"/>
      <c r="Q316" s="6"/>
      <c r="R316" s="6"/>
      <c r="S316" s="6"/>
      <c r="T316" s="6"/>
    </row>
    <row r="317" spans="1:20">
      <c r="A317" s="6">
        <v>0</v>
      </c>
      <c r="B317" s="6">
        <v>0</v>
      </c>
      <c r="C317" s="6" t="e">
        <f ca="1"/>
        <v>#NAME?</v>
      </c>
      <c r="D317" s="6" t="e">
        <f ca="1"/>
        <v>#NAME?</v>
      </c>
      <c r="E317" s="6" t="e">
        <f ca="1"/>
        <v>#NAME?</v>
      </c>
      <c r="F317" s="6" t="e">
        <f ca="1"/>
        <v>#NAME?</v>
      </c>
      <c r="G317" s="6" t="e">
        <f ca="1"/>
        <v>#NAME?</v>
      </c>
      <c r="H317" s="6" t="e">
        <f ca="1"/>
        <v>#NAME?</v>
      </c>
      <c r="I317" s="6"/>
      <c r="J317" s="6"/>
      <c r="K317" s="6"/>
      <c r="L317" s="6"/>
      <c r="M317" s="6"/>
      <c r="N317" s="6"/>
      <c r="O317" s="6"/>
      <c r="P317" s="6"/>
      <c r="Q317" s="6"/>
      <c r="R317" s="6"/>
      <c r="S317" s="6"/>
      <c r="T317" s="6"/>
    </row>
    <row r="318" spans="1:20">
      <c r="A318" s="6">
        <v>0</v>
      </c>
      <c r="B318" s="6">
        <v>0</v>
      </c>
      <c r="C318" s="6" t="e">
        <f ca="1"/>
        <v>#NAME?</v>
      </c>
      <c r="D318" s="6" t="e">
        <f ca="1"/>
        <v>#NAME?</v>
      </c>
      <c r="E318" s="6" t="e">
        <f ca="1"/>
        <v>#NAME?</v>
      </c>
      <c r="F318" s="6" t="e">
        <f ca="1"/>
        <v>#NAME?</v>
      </c>
      <c r="G318" s="6" t="e">
        <f ca="1"/>
        <v>#NAME?</v>
      </c>
      <c r="H318" s="6" t="e">
        <f ca="1"/>
        <v>#NAME?</v>
      </c>
      <c r="I318" s="6"/>
      <c r="J318" s="6"/>
      <c r="K318" s="6"/>
      <c r="L318" s="6"/>
      <c r="M318" s="6"/>
      <c r="N318" s="6"/>
      <c r="O318" s="6"/>
      <c r="P318" s="6"/>
      <c r="Q318" s="6"/>
      <c r="R318" s="6"/>
      <c r="S318" s="6"/>
      <c r="T318" s="6"/>
    </row>
    <row r="319" spans="1:20">
      <c r="A319" s="6">
        <v>0</v>
      </c>
      <c r="B319" s="6">
        <v>0</v>
      </c>
      <c r="C319" s="6" t="e">
        <f ca="1"/>
        <v>#NAME?</v>
      </c>
      <c r="D319" s="6" t="e">
        <f ca="1"/>
        <v>#NAME?</v>
      </c>
      <c r="E319" s="6" t="e">
        <f ca="1"/>
        <v>#NAME?</v>
      </c>
      <c r="F319" s="6" t="e">
        <f ca="1"/>
        <v>#NAME?</v>
      </c>
      <c r="G319" s="6" t="e">
        <f ca="1"/>
        <v>#NAME?</v>
      </c>
      <c r="H319" s="6" t="e">
        <f ca="1"/>
        <v>#NAME?</v>
      </c>
      <c r="I319" s="6"/>
      <c r="J319" s="6"/>
      <c r="K319" s="6"/>
      <c r="L319" s="6"/>
      <c r="M319" s="6"/>
      <c r="N319" s="6"/>
      <c r="O319" s="6"/>
      <c r="P319" s="6"/>
      <c r="Q319" s="6"/>
      <c r="R319" s="6"/>
      <c r="S319" s="6"/>
      <c r="T319" s="6"/>
    </row>
    <row r="320" spans="1:20">
      <c r="A320" s="6">
        <v>0</v>
      </c>
      <c r="B320" s="6">
        <v>0</v>
      </c>
      <c r="C320" s="6" t="e">
        <f ca="1"/>
        <v>#NAME?</v>
      </c>
      <c r="D320" s="6" t="e">
        <f ca="1"/>
        <v>#NAME?</v>
      </c>
      <c r="E320" s="6" t="e">
        <f ca="1"/>
        <v>#NAME?</v>
      </c>
      <c r="F320" s="6" t="e">
        <f ca="1"/>
        <v>#NAME?</v>
      </c>
      <c r="G320" s="6" t="e">
        <f ca="1"/>
        <v>#NAME?</v>
      </c>
      <c r="H320" s="6" t="e">
        <f ca="1"/>
        <v>#NAME?</v>
      </c>
      <c r="I320" s="6"/>
      <c r="J320" s="6"/>
      <c r="K320" s="6"/>
      <c r="L320" s="6"/>
      <c r="M320" s="6"/>
      <c r="N320" s="6"/>
      <c r="O320" s="6"/>
      <c r="P320" s="6"/>
      <c r="Q320" s="6"/>
      <c r="R320" s="6"/>
      <c r="S320" s="6"/>
      <c r="T320" s="6"/>
    </row>
    <row r="321" spans="1:20">
      <c r="A321" s="6">
        <v>0</v>
      </c>
      <c r="B321" s="6">
        <v>0</v>
      </c>
      <c r="C321" s="6" t="e">
        <f ca="1"/>
        <v>#NAME?</v>
      </c>
      <c r="D321" s="6" t="e">
        <f ca="1"/>
        <v>#NAME?</v>
      </c>
      <c r="E321" s="6" t="e">
        <f ca="1"/>
        <v>#NAME?</v>
      </c>
      <c r="F321" s="6" t="e">
        <f ca="1"/>
        <v>#NAME?</v>
      </c>
      <c r="G321" s="6" t="e">
        <f ca="1"/>
        <v>#NAME?</v>
      </c>
      <c r="H321" s="6" t="e">
        <f ca="1"/>
        <v>#NAME?</v>
      </c>
      <c r="I321" s="6"/>
      <c r="J321" s="6"/>
      <c r="K321" s="6"/>
      <c r="L321" s="6"/>
      <c r="M321" s="6"/>
      <c r="N321" s="6"/>
      <c r="O321" s="6"/>
      <c r="P321" s="6"/>
      <c r="Q321" s="6"/>
      <c r="R321" s="6"/>
      <c r="S321" s="6"/>
      <c r="T321" s="6"/>
    </row>
    <row r="322" spans="1:20">
      <c r="A322" s="6">
        <v>0</v>
      </c>
      <c r="B322" s="6">
        <v>0</v>
      </c>
      <c r="C322" s="6" t="e">
        <f ca="1"/>
        <v>#NAME?</v>
      </c>
      <c r="D322" s="6" t="e">
        <f ca="1"/>
        <v>#NAME?</v>
      </c>
      <c r="E322" s="6" t="e">
        <f ca="1"/>
        <v>#NAME?</v>
      </c>
      <c r="F322" s="6" t="e">
        <f ca="1"/>
        <v>#NAME?</v>
      </c>
      <c r="G322" s="6" t="e">
        <f ca="1"/>
        <v>#NAME?</v>
      </c>
      <c r="H322" s="6" t="e">
        <f ca="1"/>
        <v>#NAME?</v>
      </c>
      <c r="I322" s="6"/>
      <c r="J322" s="6"/>
      <c r="K322" s="6"/>
      <c r="L322" s="6"/>
      <c r="M322" s="6"/>
      <c r="N322" s="6"/>
      <c r="O322" s="6"/>
      <c r="P322" s="6"/>
      <c r="Q322" s="6"/>
      <c r="R322" s="6"/>
      <c r="S322" s="6"/>
      <c r="T322" s="6"/>
    </row>
    <row r="323" spans="1:20">
      <c r="A323" s="6">
        <v>0</v>
      </c>
      <c r="B323" s="6">
        <v>0</v>
      </c>
      <c r="C323" s="6" t="e">
        <f ca="1"/>
        <v>#NAME?</v>
      </c>
      <c r="D323" s="6" t="e">
        <f ca="1"/>
        <v>#NAME?</v>
      </c>
      <c r="E323" s="6" t="e">
        <f ca="1"/>
        <v>#NAME?</v>
      </c>
      <c r="F323" s="6" t="e">
        <f ca="1"/>
        <v>#NAME?</v>
      </c>
      <c r="G323" s="6" t="e">
        <f ca="1"/>
        <v>#NAME?</v>
      </c>
      <c r="H323" s="6" t="e">
        <f ca="1"/>
        <v>#NAME?</v>
      </c>
      <c r="I323" s="6"/>
      <c r="J323" s="6"/>
      <c r="K323" s="6"/>
      <c r="L323" s="6"/>
      <c r="M323" s="6"/>
      <c r="N323" s="6"/>
      <c r="O323" s="6"/>
      <c r="P323" s="6"/>
      <c r="Q323" s="6"/>
      <c r="R323" s="6"/>
      <c r="S323" s="6"/>
      <c r="T323" s="6"/>
    </row>
    <row r="324" spans="1:20">
      <c r="A324" s="6">
        <v>0</v>
      </c>
      <c r="B324" s="6">
        <v>0</v>
      </c>
      <c r="C324" s="6" t="e">
        <f ca="1"/>
        <v>#NAME?</v>
      </c>
      <c r="D324" s="6" t="e">
        <f ca="1"/>
        <v>#NAME?</v>
      </c>
      <c r="E324" s="6" t="e">
        <f ca="1"/>
        <v>#NAME?</v>
      </c>
      <c r="F324" s="6" t="e">
        <f ca="1"/>
        <v>#NAME?</v>
      </c>
      <c r="G324" s="6" t="e">
        <f ca="1"/>
        <v>#NAME?</v>
      </c>
      <c r="H324" s="6" t="e">
        <f ca="1"/>
        <v>#NAME?</v>
      </c>
      <c r="I324" s="6"/>
      <c r="J324" s="6"/>
      <c r="K324" s="6"/>
      <c r="L324" s="6"/>
      <c r="M324" s="6"/>
      <c r="N324" s="6"/>
      <c r="O324" s="6"/>
      <c r="P324" s="6"/>
      <c r="Q324" s="6"/>
      <c r="R324" s="6"/>
      <c r="S324" s="6"/>
      <c r="T324" s="6"/>
    </row>
    <row r="325" spans="1:20">
      <c r="A325" s="6">
        <v>0</v>
      </c>
      <c r="B325" s="6">
        <v>0</v>
      </c>
      <c r="C325" s="6" t="e">
        <f ca="1"/>
        <v>#NAME?</v>
      </c>
      <c r="D325" s="6" t="e">
        <f ca="1"/>
        <v>#NAME?</v>
      </c>
      <c r="E325" s="6" t="e">
        <f ca="1"/>
        <v>#NAME?</v>
      </c>
      <c r="F325" s="6" t="e">
        <f ca="1"/>
        <v>#NAME?</v>
      </c>
      <c r="G325" s="6" t="e">
        <f ca="1"/>
        <v>#NAME?</v>
      </c>
      <c r="H325" s="6" t="e">
        <f ca="1"/>
        <v>#NAME?</v>
      </c>
      <c r="I325" s="6"/>
      <c r="J325" s="6"/>
      <c r="K325" s="6"/>
      <c r="L325" s="6"/>
      <c r="M325" s="6"/>
      <c r="N325" s="6"/>
      <c r="O325" s="6"/>
      <c r="P325" s="6"/>
      <c r="Q325" s="6"/>
      <c r="R325" s="6"/>
      <c r="S325" s="6"/>
      <c r="T325" s="6"/>
    </row>
    <row r="326" spans="1:20">
      <c r="A326" s="6">
        <v>0</v>
      </c>
      <c r="B326" s="6">
        <v>0</v>
      </c>
      <c r="C326" s="6" t="e">
        <f ca="1"/>
        <v>#NAME?</v>
      </c>
      <c r="D326" s="6" t="e">
        <f ca="1"/>
        <v>#NAME?</v>
      </c>
      <c r="E326" s="6" t="e">
        <f ca="1"/>
        <v>#NAME?</v>
      </c>
      <c r="F326" s="6" t="e">
        <f ca="1"/>
        <v>#NAME?</v>
      </c>
      <c r="G326" s="6" t="e">
        <f ca="1"/>
        <v>#NAME?</v>
      </c>
      <c r="H326" s="6" t="e">
        <f ca="1"/>
        <v>#NAME?</v>
      </c>
      <c r="I326" s="6"/>
      <c r="J326" s="6"/>
      <c r="K326" s="6"/>
      <c r="L326" s="6"/>
      <c r="M326" s="6"/>
      <c r="N326" s="6"/>
      <c r="O326" s="6"/>
      <c r="P326" s="6"/>
      <c r="Q326" s="6"/>
      <c r="R326" s="6"/>
      <c r="S326" s="6"/>
      <c r="T326" s="6"/>
    </row>
    <row r="327" spans="1:20">
      <c r="A327" s="6">
        <v>0</v>
      </c>
      <c r="B327" s="6">
        <v>0</v>
      </c>
      <c r="C327" s="6" t="e">
        <f ca="1"/>
        <v>#NAME?</v>
      </c>
      <c r="D327" s="6" t="e">
        <f ca="1"/>
        <v>#NAME?</v>
      </c>
      <c r="E327" s="6" t="e">
        <f ca="1"/>
        <v>#NAME?</v>
      </c>
      <c r="F327" s="6" t="e">
        <f ca="1"/>
        <v>#NAME?</v>
      </c>
      <c r="G327" s="6" t="e">
        <f ca="1"/>
        <v>#NAME?</v>
      </c>
      <c r="H327" s="6" t="e">
        <f ca="1"/>
        <v>#NAME?</v>
      </c>
      <c r="I327" s="6"/>
      <c r="J327" s="6"/>
      <c r="K327" s="6"/>
      <c r="L327" s="6"/>
      <c r="M327" s="6"/>
      <c r="N327" s="6"/>
      <c r="O327" s="6"/>
      <c r="P327" s="6"/>
      <c r="Q327" s="6"/>
      <c r="R327" s="6"/>
      <c r="S327" s="6"/>
      <c r="T327" s="6"/>
    </row>
    <row r="328" spans="1:20">
      <c r="A328" s="6">
        <v>0</v>
      </c>
      <c r="B328" s="6">
        <v>0</v>
      </c>
      <c r="C328" s="6" t="e">
        <f ca="1"/>
        <v>#NAME?</v>
      </c>
      <c r="D328" s="6" t="e">
        <f ca="1"/>
        <v>#NAME?</v>
      </c>
      <c r="E328" s="6" t="e">
        <f ca="1"/>
        <v>#NAME?</v>
      </c>
      <c r="F328" s="6" t="e">
        <f ca="1"/>
        <v>#NAME?</v>
      </c>
      <c r="G328" s="6" t="e">
        <f ca="1"/>
        <v>#NAME?</v>
      </c>
      <c r="H328" s="6" t="e">
        <f ca="1"/>
        <v>#NAME?</v>
      </c>
      <c r="I328" s="6"/>
      <c r="J328" s="6"/>
      <c r="K328" s="6"/>
      <c r="L328" s="6"/>
      <c r="M328" s="6"/>
      <c r="N328" s="6"/>
      <c r="O328" s="6"/>
      <c r="P328" s="6"/>
      <c r="Q328" s="6"/>
      <c r="R328" s="6"/>
      <c r="S328" s="6"/>
      <c r="T328" s="6"/>
    </row>
    <row r="329" spans="1:20">
      <c r="A329" s="6">
        <v>0</v>
      </c>
      <c r="B329" s="6">
        <v>0</v>
      </c>
      <c r="C329" s="6" t="e">
        <f ca="1"/>
        <v>#NAME?</v>
      </c>
      <c r="D329" s="6" t="e">
        <f ca="1"/>
        <v>#NAME?</v>
      </c>
      <c r="E329" s="6" t="e">
        <f ca="1"/>
        <v>#NAME?</v>
      </c>
      <c r="F329" s="6" t="e">
        <f ca="1"/>
        <v>#NAME?</v>
      </c>
      <c r="G329" s="6" t="e">
        <f ca="1"/>
        <v>#NAME?</v>
      </c>
      <c r="H329" s="6" t="e">
        <f ca="1"/>
        <v>#NAME?</v>
      </c>
      <c r="I329" s="6"/>
      <c r="J329" s="6"/>
      <c r="K329" s="6"/>
      <c r="L329" s="6"/>
      <c r="M329" s="6"/>
      <c r="N329" s="6"/>
      <c r="O329" s="6"/>
      <c r="P329" s="6"/>
      <c r="Q329" s="6"/>
      <c r="R329" s="6"/>
      <c r="S329" s="6"/>
      <c r="T329" s="6"/>
    </row>
    <row r="330" spans="1:20">
      <c r="A330" s="6">
        <v>0</v>
      </c>
      <c r="B330" s="6">
        <v>0</v>
      </c>
      <c r="C330" s="6" t="e">
        <f ca="1"/>
        <v>#NAME?</v>
      </c>
      <c r="D330" s="6" t="e">
        <f ca="1"/>
        <v>#NAME?</v>
      </c>
      <c r="E330" s="6" t="e">
        <f ca="1"/>
        <v>#NAME?</v>
      </c>
      <c r="F330" s="6" t="e">
        <f ca="1"/>
        <v>#NAME?</v>
      </c>
      <c r="G330" s="6" t="e">
        <f ca="1"/>
        <v>#NAME?</v>
      </c>
      <c r="H330" s="6" t="e">
        <f ca="1"/>
        <v>#NAME?</v>
      </c>
      <c r="I330" s="6"/>
      <c r="J330" s="6"/>
      <c r="K330" s="6"/>
      <c r="L330" s="6"/>
      <c r="M330" s="6"/>
      <c r="N330" s="6"/>
      <c r="O330" s="6"/>
      <c r="P330" s="6"/>
      <c r="Q330" s="6"/>
      <c r="R330" s="6"/>
      <c r="S330" s="6"/>
      <c r="T330" s="6"/>
    </row>
    <row r="331" spans="1:20">
      <c r="A331" s="6">
        <v>0</v>
      </c>
      <c r="B331" s="6">
        <v>0</v>
      </c>
      <c r="C331" s="6" t="e">
        <f ca="1"/>
        <v>#NAME?</v>
      </c>
      <c r="D331" s="6" t="e">
        <f ca="1"/>
        <v>#NAME?</v>
      </c>
      <c r="E331" s="6" t="e">
        <f ca="1"/>
        <v>#NAME?</v>
      </c>
      <c r="F331" s="6" t="e">
        <f ca="1"/>
        <v>#NAME?</v>
      </c>
      <c r="G331" s="6" t="e">
        <f ca="1"/>
        <v>#NAME?</v>
      </c>
      <c r="H331" s="6" t="e">
        <f ca="1"/>
        <v>#NAME?</v>
      </c>
      <c r="I331" s="6"/>
      <c r="J331" s="6"/>
      <c r="K331" s="6"/>
      <c r="L331" s="6"/>
      <c r="M331" s="6"/>
      <c r="N331" s="6"/>
      <c r="O331" s="6"/>
      <c r="P331" s="6"/>
      <c r="Q331" s="6"/>
      <c r="R331" s="6"/>
      <c r="S331" s="6"/>
      <c r="T331" s="6"/>
    </row>
    <row r="332" spans="1:20">
      <c r="A332" s="6">
        <v>0</v>
      </c>
      <c r="B332" s="6">
        <v>0</v>
      </c>
      <c r="C332" s="6" t="e">
        <f ca="1"/>
        <v>#NAME?</v>
      </c>
      <c r="D332" s="6" t="e">
        <f ca="1"/>
        <v>#NAME?</v>
      </c>
      <c r="E332" s="6" t="e">
        <f ca="1"/>
        <v>#NAME?</v>
      </c>
      <c r="F332" s="6" t="e">
        <f ca="1"/>
        <v>#NAME?</v>
      </c>
      <c r="G332" s="6" t="e">
        <f ca="1"/>
        <v>#NAME?</v>
      </c>
      <c r="H332" s="6" t="e">
        <f ca="1"/>
        <v>#NAME?</v>
      </c>
      <c r="I332" s="6"/>
      <c r="J332" s="6"/>
      <c r="K332" s="6"/>
      <c r="L332" s="6"/>
      <c r="M332" s="6"/>
      <c r="N332" s="6"/>
      <c r="O332" s="6"/>
      <c r="P332" s="6"/>
      <c r="Q332" s="6"/>
      <c r="R332" s="6"/>
      <c r="S332" s="6"/>
      <c r="T332" s="6"/>
    </row>
    <row r="333" spans="1:20">
      <c r="A333" s="6">
        <v>0</v>
      </c>
      <c r="B333" s="6">
        <v>0</v>
      </c>
      <c r="C333" s="6" t="e">
        <f ca="1"/>
        <v>#NAME?</v>
      </c>
      <c r="D333" s="6" t="e">
        <f ca="1"/>
        <v>#NAME?</v>
      </c>
      <c r="E333" s="6" t="e">
        <f ca="1"/>
        <v>#NAME?</v>
      </c>
      <c r="F333" s="6" t="e">
        <f ca="1"/>
        <v>#NAME?</v>
      </c>
      <c r="G333" s="6" t="e">
        <f ca="1"/>
        <v>#NAME?</v>
      </c>
      <c r="H333" s="6" t="e">
        <f ca="1"/>
        <v>#NAME?</v>
      </c>
      <c r="I333" s="6"/>
      <c r="J333" s="6"/>
      <c r="K333" s="6"/>
      <c r="L333" s="6"/>
      <c r="M333" s="6"/>
      <c r="N333" s="6"/>
      <c r="O333" s="6"/>
      <c r="P333" s="6"/>
      <c r="Q333" s="6"/>
      <c r="R333" s="6"/>
      <c r="S333" s="6"/>
      <c r="T333" s="6"/>
    </row>
    <row r="334" spans="1:20">
      <c r="A334" s="6">
        <v>0</v>
      </c>
      <c r="B334" s="6">
        <v>0</v>
      </c>
      <c r="C334" s="6" t="e">
        <f ca="1"/>
        <v>#NAME?</v>
      </c>
      <c r="D334" s="6" t="e">
        <f ca="1"/>
        <v>#NAME?</v>
      </c>
      <c r="E334" s="6" t="e">
        <f ca="1"/>
        <v>#NAME?</v>
      </c>
      <c r="F334" s="6" t="e">
        <f ca="1"/>
        <v>#NAME?</v>
      </c>
      <c r="G334" s="6" t="e">
        <f ca="1"/>
        <v>#NAME?</v>
      </c>
      <c r="H334" s="6" t="e">
        <f ca="1"/>
        <v>#NAME?</v>
      </c>
      <c r="I334" s="6"/>
      <c r="J334" s="6"/>
      <c r="K334" s="6"/>
      <c r="L334" s="6"/>
      <c r="M334" s="6"/>
      <c r="N334" s="6"/>
      <c r="O334" s="6"/>
      <c r="P334" s="6"/>
      <c r="Q334" s="6"/>
      <c r="R334" s="6"/>
      <c r="S334" s="6"/>
      <c r="T334" s="6"/>
    </row>
    <row r="335" spans="1:20">
      <c r="A335" s="6">
        <v>0</v>
      </c>
      <c r="B335" s="6">
        <v>0</v>
      </c>
      <c r="C335" s="6" t="e">
        <f ca="1"/>
        <v>#NAME?</v>
      </c>
      <c r="D335" s="6" t="e">
        <f ca="1"/>
        <v>#NAME?</v>
      </c>
      <c r="E335" s="6" t="e">
        <f ca="1"/>
        <v>#NAME?</v>
      </c>
      <c r="F335" s="6" t="e">
        <f ca="1"/>
        <v>#NAME?</v>
      </c>
      <c r="G335" s="6" t="e">
        <f ca="1"/>
        <v>#NAME?</v>
      </c>
      <c r="H335" s="6" t="e">
        <f ca="1"/>
        <v>#NAME?</v>
      </c>
      <c r="I335" s="6"/>
      <c r="J335" s="6"/>
      <c r="K335" s="6"/>
      <c r="L335" s="6"/>
      <c r="M335" s="6"/>
      <c r="N335" s="6"/>
      <c r="O335" s="6"/>
      <c r="P335" s="6"/>
      <c r="Q335" s="6"/>
      <c r="R335" s="6"/>
      <c r="S335" s="6"/>
      <c r="T335" s="6"/>
    </row>
    <row r="336" spans="1:20">
      <c r="A336" s="6">
        <v>0</v>
      </c>
      <c r="B336" s="6">
        <v>0</v>
      </c>
      <c r="C336" s="6" t="e">
        <f ca="1"/>
        <v>#NAME?</v>
      </c>
      <c r="D336" s="6" t="e">
        <f ca="1"/>
        <v>#NAME?</v>
      </c>
      <c r="E336" s="6" t="e">
        <f ca="1"/>
        <v>#NAME?</v>
      </c>
      <c r="F336" s="6" t="e">
        <f ca="1"/>
        <v>#NAME?</v>
      </c>
      <c r="G336" s="6" t="e">
        <f ca="1"/>
        <v>#NAME?</v>
      </c>
      <c r="H336" s="6" t="e">
        <f ca="1"/>
        <v>#NAME?</v>
      </c>
      <c r="I336" s="6"/>
      <c r="J336" s="6"/>
      <c r="K336" s="6"/>
      <c r="L336" s="6"/>
      <c r="M336" s="6"/>
      <c r="N336" s="6"/>
      <c r="O336" s="6"/>
      <c r="P336" s="6"/>
      <c r="Q336" s="6"/>
      <c r="R336" s="6"/>
      <c r="S336" s="6"/>
      <c r="T336" s="6"/>
    </row>
    <row r="337" spans="1:20">
      <c r="A337" s="6">
        <v>0</v>
      </c>
      <c r="B337" s="6">
        <v>0</v>
      </c>
      <c r="C337" s="6" t="e">
        <f ca="1"/>
        <v>#NAME?</v>
      </c>
      <c r="D337" s="6" t="e">
        <f ca="1"/>
        <v>#NAME?</v>
      </c>
      <c r="E337" s="6" t="e">
        <f ca="1"/>
        <v>#NAME?</v>
      </c>
      <c r="F337" s="6" t="e">
        <f ca="1"/>
        <v>#NAME?</v>
      </c>
      <c r="G337" s="6" t="e">
        <f ca="1"/>
        <v>#NAME?</v>
      </c>
      <c r="H337" s="6" t="e">
        <f ca="1"/>
        <v>#NAME?</v>
      </c>
      <c r="I337" s="6"/>
      <c r="J337" s="6"/>
      <c r="K337" s="6"/>
      <c r="L337" s="6"/>
      <c r="M337" s="6"/>
      <c r="N337" s="6"/>
      <c r="O337" s="6"/>
      <c r="P337" s="6"/>
      <c r="Q337" s="6"/>
      <c r="R337" s="6"/>
      <c r="S337" s="6"/>
      <c r="T337" s="6"/>
    </row>
    <row r="338" spans="1:20">
      <c r="A338" s="6">
        <v>0</v>
      </c>
      <c r="B338" s="6">
        <v>0</v>
      </c>
      <c r="C338" s="6" t="e">
        <f ca="1"/>
        <v>#NAME?</v>
      </c>
      <c r="D338" s="6" t="e">
        <f ca="1"/>
        <v>#NAME?</v>
      </c>
      <c r="E338" s="6" t="e">
        <f ca="1"/>
        <v>#NAME?</v>
      </c>
      <c r="F338" s="6" t="e">
        <f ca="1"/>
        <v>#NAME?</v>
      </c>
      <c r="G338" s="6" t="e">
        <f ca="1"/>
        <v>#NAME?</v>
      </c>
      <c r="H338" s="6" t="e">
        <f ca="1"/>
        <v>#NAME?</v>
      </c>
      <c r="I338" s="6"/>
      <c r="J338" s="6"/>
      <c r="K338" s="6"/>
      <c r="L338" s="6"/>
      <c r="M338" s="6"/>
      <c r="N338" s="6"/>
      <c r="O338" s="6"/>
      <c r="P338" s="6"/>
      <c r="Q338" s="6"/>
      <c r="R338" s="6"/>
      <c r="S338" s="6"/>
      <c r="T338" s="6"/>
    </row>
    <row r="339" spans="1:20">
      <c r="A339" s="6">
        <v>0</v>
      </c>
      <c r="B339" s="6">
        <v>0</v>
      </c>
      <c r="C339" s="6" t="e">
        <f ca="1"/>
        <v>#NAME?</v>
      </c>
      <c r="D339" s="6" t="e">
        <f ca="1"/>
        <v>#NAME?</v>
      </c>
      <c r="E339" s="6" t="e">
        <f ca="1"/>
        <v>#NAME?</v>
      </c>
      <c r="F339" s="6" t="e">
        <f ca="1"/>
        <v>#NAME?</v>
      </c>
      <c r="G339" s="6" t="e">
        <f ca="1"/>
        <v>#NAME?</v>
      </c>
      <c r="H339" s="6" t="e">
        <f ca="1"/>
        <v>#NAME?</v>
      </c>
      <c r="I339" s="6"/>
      <c r="J339" s="6"/>
      <c r="K339" s="6"/>
      <c r="L339" s="6"/>
      <c r="M339" s="6"/>
      <c r="N339" s="6"/>
      <c r="O339" s="6"/>
      <c r="P339" s="6"/>
      <c r="Q339" s="6"/>
      <c r="R339" s="6"/>
      <c r="S339" s="6"/>
      <c r="T339" s="6"/>
    </row>
    <row r="340" spans="1:20">
      <c r="A340" s="6">
        <v>0</v>
      </c>
      <c r="B340" s="6">
        <v>0</v>
      </c>
      <c r="C340" s="6" t="e">
        <f ca="1"/>
        <v>#NAME?</v>
      </c>
      <c r="D340" s="6" t="e">
        <f ca="1"/>
        <v>#NAME?</v>
      </c>
      <c r="E340" s="6" t="e">
        <f ca="1"/>
        <v>#NAME?</v>
      </c>
      <c r="F340" s="6" t="e">
        <f ca="1"/>
        <v>#NAME?</v>
      </c>
      <c r="G340" s="6" t="e">
        <f ca="1"/>
        <v>#NAME?</v>
      </c>
      <c r="H340" s="6" t="e">
        <f ca="1"/>
        <v>#NAME?</v>
      </c>
      <c r="I340" s="6"/>
      <c r="J340" s="6"/>
      <c r="K340" s="6"/>
      <c r="L340" s="6"/>
      <c r="M340" s="6"/>
      <c r="N340" s="6"/>
      <c r="O340" s="6"/>
      <c r="P340" s="6"/>
      <c r="Q340" s="6"/>
      <c r="R340" s="6"/>
      <c r="S340" s="6"/>
      <c r="T340" s="6"/>
    </row>
    <row r="341" spans="1:20">
      <c r="A341" s="6">
        <v>0</v>
      </c>
      <c r="B341" s="6">
        <v>0</v>
      </c>
      <c r="C341" s="6" t="e">
        <f ca="1"/>
        <v>#NAME?</v>
      </c>
      <c r="D341" s="6" t="e">
        <f ca="1"/>
        <v>#NAME?</v>
      </c>
      <c r="E341" s="6" t="e">
        <f ca="1"/>
        <v>#NAME?</v>
      </c>
      <c r="F341" s="6" t="e">
        <f ca="1"/>
        <v>#NAME?</v>
      </c>
      <c r="G341" s="6" t="e">
        <f ca="1"/>
        <v>#NAME?</v>
      </c>
      <c r="H341" s="6" t="e">
        <f ca="1"/>
        <v>#NAME?</v>
      </c>
      <c r="I341" s="6"/>
      <c r="J341" s="6"/>
      <c r="K341" s="6"/>
      <c r="L341" s="6"/>
      <c r="M341" s="6"/>
      <c r="N341" s="6"/>
      <c r="O341" s="6"/>
      <c r="P341" s="6"/>
      <c r="Q341" s="6"/>
      <c r="R341" s="6"/>
      <c r="S341" s="6"/>
      <c r="T341" s="6"/>
    </row>
    <row r="342" spans="1:20">
      <c r="A342" s="6">
        <v>0</v>
      </c>
      <c r="B342" s="6">
        <v>0</v>
      </c>
      <c r="C342" s="6" t="e">
        <f ca="1"/>
        <v>#NAME?</v>
      </c>
      <c r="D342" s="6" t="e">
        <f ca="1"/>
        <v>#NAME?</v>
      </c>
      <c r="E342" s="6" t="e">
        <f ca="1"/>
        <v>#NAME?</v>
      </c>
      <c r="F342" s="6" t="e">
        <f ca="1"/>
        <v>#NAME?</v>
      </c>
      <c r="G342" s="6" t="e">
        <f ca="1"/>
        <v>#NAME?</v>
      </c>
      <c r="H342" s="6" t="e">
        <f ca="1"/>
        <v>#NAME?</v>
      </c>
      <c r="I342" s="6"/>
      <c r="J342" s="6"/>
      <c r="K342" s="6"/>
      <c r="L342" s="6"/>
      <c r="M342" s="6"/>
      <c r="N342" s="6"/>
      <c r="O342" s="6"/>
      <c r="P342" s="6"/>
      <c r="Q342" s="6"/>
      <c r="R342" s="6"/>
      <c r="S342" s="6"/>
      <c r="T342" s="6"/>
    </row>
    <row r="343" spans="1:20">
      <c r="A343" s="6">
        <v>0</v>
      </c>
      <c r="B343" s="6">
        <v>0</v>
      </c>
      <c r="C343" s="6" t="e">
        <f ca="1"/>
        <v>#NAME?</v>
      </c>
      <c r="D343" s="6" t="e">
        <f ca="1"/>
        <v>#NAME?</v>
      </c>
      <c r="E343" s="6" t="e">
        <f ca="1"/>
        <v>#NAME?</v>
      </c>
      <c r="F343" s="6" t="e">
        <f ca="1"/>
        <v>#NAME?</v>
      </c>
      <c r="G343" s="6" t="e">
        <f ca="1"/>
        <v>#NAME?</v>
      </c>
      <c r="H343" s="6" t="e">
        <f ca="1"/>
        <v>#NAME?</v>
      </c>
      <c r="I343" s="6"/>
      <c r="J343" s="6"/>
      <c r="K343" s="6"/>
      <c r="L343" s="6"/>
      <c r="M343" s="6"/>
      <c r="N343" s="6"/>
      <c r="O343" s="6"/>
      <c r="P343" s="6"/>
      <c r="Q343" s="6"/>
      <c r="R343" s="6"/>
      <c r="S343" s="6"/>
      <c r="T343" s="6"/>
    </row>
    <row r="344" spans="1:20">
      <c r="A344" s="6">
        <v>0</v>
      </c>
      <c r="B344" s="6">
        <v>0</v>
      </c>
      <c r="C344" s="6" t="e">
        <f ca="1"/>
        <v>#NAME?</v>
      </c>
      <c r="D344" s="6" t="e">
        <f ca="1"/>
        <v>#NAME?</v>
      </c>
      <c r="E344" s="6" t="e">
        <f ca="1"/>
        <v>#NAME?</v>
      </c>
      <c r="F344" s="6" t="e">
        <f ca="1"/>
        <v>#NAME?</v>
      </c>
      <c r="G344" s="6" t="e">
        <f ca="1"/>
        <v>#NAME?</v>
      </c>
      <c r="H344" s="6" t="e">
        <f ca="1"/>
        <v>#NAME?</v>
      </c>
      <c r="I344" s="6"/>
      <c r="J344" s="6"/>
      <c r="K344" s="6"/>
      <c r="L344" s="6"/>
      <c r="M344" s="6"/>
      <c r="N344" s="6"/>
      <c r="O344" s="6"/>
      <c r="P344" s="6"/>
      <c r="Q344" s="6"/>
      <c r="R344" s="6"/>
      <c r="S344" s="6"/>
      <c r="T344" s="6"/>
    </row>
    <row r="345" spans="1:20">
      <c r="A345" s="6">
        <v>0</v>
      </c>
      <c r="B345" s="6">
        <v>0</v>
      </c>
      <c r="C345" s="6" t="e">
        <f ca="1"/>
        <v>#NAME?</v>
      </c>
      <c r="D345" s="6" t="e">
        <f ca="1"/>
        <v>#NAME?</v>
      </c>
      <c r="E345" s="6" t="e">
        <f ca="1"/>
        <v>#NAME?</v>
      </c>
      <c r="F345" s="6" t="e">
        <f ca="1"/>
        <v>#NAME?</v>
      </c>
      <c r="G345" s="6" t="e">
        <f ca="1"/>
        <v>#NAME?</v>
      </c>
      <c r="H345" s="6" t="e">
        <f ca="1"/>
        <v>#NAME?</v>
      </c>
      <c r="I345" s="6"/>
      <c r="J345" s="6"/>
      <c r="K345" s="6"/>
      <c r="L345" s="6"/>
      <c r="M345" s="6"/>
      <c r="N345" s="6"/>
      <c r="O345" s="6"/>
      <c r="P345" s="6"/>
      <c r="Q345" s="6"/>
      <c r="R345" s="6"/>
      <c r="S345" s="6"/>
      <c r="T345" s="6"/>
    </row>
    <row r="346" spans="1:20">
      <c r="A346" s="6">
        <v>0</v>
      </c>
      <c r="B346" s="6">
        <v>0</v>
      </c>
      <c r="C346" s="6" t="e">
        <f ca="1"/>
        <v>#NAME?</v>
      </c>
      <c r="D346" s="6" t="e">
        <f ca="1"/>
        <v>#NAME?</v>
      </c>
      <c r="E346" s="6" t="e">
        <f ca="1"/>
        <v>#NAME?</v>
      </c>
      <c r="F346" s="6" t="e">
        <f ca="1"/>
        <v>#NAME?</v>
      </c>
      <c r="G346" s="6" t="e">
        <f ca="1"/>
        <v>#NAME?</v>
      </c>
      <c r="H346" s="6" t="e">
        <f ca="1"/>
        <v>#NAME?</v>
      </c>
      <c r="I346" s="6"/>
      <c r="J346" s="6"/>
      <c r="K346" s="6"/>
      <c r="L346" s="6"/>
      <c r="M346" s="6"/>
      <c r="N346" s="6"/>
      <c r="O346" s="6"/>
      <c r="P346" s="6"/>
      <c r="Q346" s="6"/>
      <c r="R346" s="6"/>
      <c r="S346" s="6"/>
      <c r="T346" s="6"/>
    </row>
    <row r="347" spans="1:20">
      <c r="A347" s="6">
        <v>0</v>
      </c>
      <c r="B347" s="6">
        <v>0</v>
      </c>
      <c r="C347" s="6" t="e">
        <f ca="1"/>
        <v>#NAME?</v>
      </c>
      <c r="D347" s="6" t="e">
        <f ca="1"/>
        <v>#NAME?</v>
      </c>
      <c r="E347" s="6" t="e">
        <f ca="1"/>
        <v>#NAME?</v>
      </c>
      <c r="F347" s="6" t="e">
        <f ca="1"/>
        <v>#NAME?</v>
      </c>
      <c r="G347" s="6" t="e">
        <f ca="1"/>
        <v>#NAME?</v>
      </c>
      <c r="H347" s="6" t="e">
        <f ca="1"/>
        <v>#NAME?</v>
      </c>
      <c r="I347" s="6"/>
      <c r="J347" s="6"/>
      <c r="K347" s="6"/>
      <c r="L347" s="6"/>
      <c r="M347" s="6"/>
      <c r="N347" s="6"/>
      <c r="O347" s="6"/>
      <c r="P347" s="6"/>
      <c r="Q347" s="6"/>
      <c r="R347" s="6"/>
      <c r="S347" s="6"/>
      <c r="T347" s="6"/>
    </row>
    <row r="348" spans="1:20">
      <c r="A348" s="6">
        <v>0</v>
      </c>
      <c r="B348" s="6">
        <v>0</v>
      </c>
      <c r="C348" s="6" t="e">
        <f ca="1"/>
        <v>#NAME?</v>
      </c>
      <c r="D348" s="6" t="e">
        <f ca="1"/>
        <v>#NAME?</v>
      </c>
      <c r="E348" s="6" t="e">
        <f ca="1"/>
        <v>#NAME?</v>
      </c>
      <c r="F348" s="6" t="e">
        <f ca="1"/>
        <v>#NAME?</v>
      </c>
      <c r="G348" s="6" t="e">
        <f ca="1"/>
        <v>#NAME?</v>
      </c>
      <c r="H348" s="6" t="e">
        <f ca="1"/>
        <v>#NAME?</v>
      </c>
      <c r="I348" s="6"/>
      <c r="J348" s="6"/>
      <c r="K348" s="6"/>
      <c r="L348" s="6"/>
      <c r="M348" s="6"/>
      <c r="N348" s="6"/>
      <c r="O348" s="6"/>
      <c r="P348" s="6"/>
      <c r="Q348" s="6"/>
      <c r="R348" s="6"/>
      <c r="S348" s="6"/>
      <c r="T348" s="6"/>
    </row>
    <row r="349" spans="1:20">
      <c r="A349" s="6">
        <v>0</v>
      </c>
      <c r="B349" s="6">
        <v>0</v>
      </c>
      <c r="C349" s="6" t="e">
        <f ca="1"/>
        <v>#NAME?</v>
      </c>
      <c r="D349" s="6" t="e">
        <f ca="1"/>
        <v>#NAME?</v>
      </c>
      <c r="E349" s="6" t="e">
        <f ca="1"/>
        <v>#NAME?</v>
      </c>
      <c r="F349" s="6" t="e">
        <f ca="1"/>
        <v>#NAME?</v>
      </c>
      <c r="G349" s="6" t="e">
        <f ca="1"/>
        <v>#NAME?</v>
      </c>
      <c r="H349" s="6" t="e">
        <f ca="1"/>
        <v>#NAME?</v>
      </c>
      <c r="I349" s="6"/>
      <c r="J349" s="6"/>
      <c r="K349" s="6"/>
      <c r="L349" s="6"/>
      <c r="M349" s="6"/>
      <c r="N349" s="6"/>
      <c r="O349" s="6"/>
      <c r="P349" s="6"/>
      <c r="Q349" s="6"/>
      <c r="R349" s="6"/>
      <c r="S349" s="6"/>
      <c r="T349" s="6"/>
    </row>
    <row r="350" spans="1:20">
      <c r="A350" s="6">
        <v>0</v>
      </c>
      <c r="B350" s="6">
        <v>0</v>
      </c>
      <c r="C350" s="6" t="e">
        <f ca="1"/>
        <v>#NAME?</v>
      </c>
      <c r="D350" s="6" t="e">
        <f ca="1"/>
        <v>#NAME?</v>
      </c>
      <c r="E350" s="6" t="e">
        <f ca="1"/>
        <v>#NAME?</v>
      </c>
      <c r="F350" s="6" t="e">
        <f ca="1"/>
        <v>#NAME?</v>
      </c>
      <c r="G350" s="6" t="e">
        <f ca="1"/>
        <v>#NAME?</v>
      </c>
      <c r="H350" s="6" t="e">
        <f ca="1"/>
        <v>#NAME?</v>
      </c>
      <c r="I350" s="6"/>
      <c r="J350" s="6"/>
      <c r="K350" s="6"/>
      <c r="L350" s="6"/>
      <c r="M350" s="6"/>
      <c r="N350" s="6"/>
      <c r="O350" s="6"/>
      <c r="P350" s="6"/>
      <c r="Q350" s="6"/>
      <c r="R350" s="6"/>
      <c r="S350" s="6"/>
      <c r="T350" s="6"/>
    </row>
    <row r="351" spans="1:20">
      <c r="A351" s="6">
        <v>0</v>
      </c>
      <c r="B351" s="6">
        <v>0</v>
      </c>
      <c r="C351" s="6" t="e">
        <f ca="1"/>
        <v>#NAME?</v>
      </c>
      <c r="D351" s="6" t="e">
        <f ca="1"/>
        <v>#NAME?</v>
      </c>
      <c r="E351" s="6" t="e">
        <f ca="1"/>
        <v>#NAME?</v>
      </c>
      <c r="F351" s="6" t="e">
        <f ca="1"/>
        <v>#NAME?</v>
      </c>
      <c r="G351" s="6" t="e">
        <f ca="1"/>
        <v>#NAME?</v>
      </c>
      <c r="H351" s="6" t="e">
        <f ca="1"/>
        <v>#NAME?</v>
      </c>
      <c r="I351" s="6"/>
      <c r="J351" s="6"/>
      <c r="K351" s="6"/>
      <c r="L351" s="6"/>
      <c r="M351" s="6"/>
      <c r="N351" s="6"/>
      <c r="O351" s="6"/>
      <c r="P351" s="6"/>
      <c r="Q351" s="6"/>
      <c r="R351" s="6"/>
      <c r="S351" s="6"/>
      <c r="T351" s="6"/>
    </row>
    <row r="352" spans="1:20">
      <c r="A352" s="6">
        <v>0</v>
      </c>
      <c r="B352" s="6">
        <v>0</v>
      </c>
      <c r="C352" s="6" t="e">
        <f ca="1"/>
        <v>#NAME?</v>
      </c>
      <c r="D352" s="6" t="e">
        <f ca="1"/>
        <v>#NAME?</v>
      </c>
      <c r="E352" s="6" t="e">
        <f ca="1"/>
        <v>#NAME?</v>
      </c>
      <c r="F352" s="6" t="e">
        <f ca="1"/>
        <v>#NAME?</v>
      </c>
      <c r="G352" s="6" t="e">
        <f ca="1"/>
        <v>#NAME?</v>
      </c>
      <c r="H352" s="6" t="e">
        <f ca="1"/>
        <v>#NAME?</v>
      </c>
      <c r="I352" s="6"/>
      <c r="J352" s="6"/>
      <c r="K352" s="6"/>
      <c r="L352" s="6"/>
      <c r="M352" s="6"/>
      <c r="N352" s="6"/>
      <c r="O352" s="6"/>
      <c r="P352" s="6"/>
      <c r="Q352" s="6"/>
      <c r="R352" s="6"/>
      <c r="S352" s="6"/>
      <c r="T352" s="6"/>
    </row>
    <row r="353" spans="1:20">
      <c r="A353" s="6">
        <v>0</v>
      </c>
      <c r="B353" s="6">
        <v>0</v>
      </c>
      <c r="C353" s="6" t="e">
        <f ca="1"/>
        <v>#NAME?</v>
      </c>
      <c r="D353" s="6" t="e">
        <f ca="1"/>
        <v>#NAME?</v>
      </c>
      <c r="E353" s="6" t="e">
        <f ca="1"/>
        <v>#NAME?</v>
      </c>
      <c r="F353" s="6" t="e">
        <f ca="1"/>
        <v>#NAME?</v>
      </c>
      <c r="G353" s="6" t="e">
        <f ca="1"/>
        <v>#NAME?</v>
      </c>
      <c r="H353" s="6" t="e">
        <f ca="1"/>
        <v>#NAME?</v>
      </c>
      <c r="I353" s="6"/>
      <c r="J353" s="6"/>
      <c r="K353" s="6"/>
      <c r="L353" s="6"/>
      <c r="M353" s="6"/>
      <c r="N353" s="6"/>
      <c r="O353" s="6"/>
      <c r="P353" s="6"/>
      <c r="Q353" s="6"/>
      <c r="R353" s="6"/>
      <c r="S353" s="6"/>
      <c r="T353" s="6"/>
    </row>
    <row r="354" spans="1:20">
      <c r="A354" s="6">
        <v>0</v>
      </c>
      <c r="B354" s="6">
        <v>0</v>
      </c>
      <c r="C354" s="6" t="e">
        <f ca="1"/>
        <v>#NAME?</v>
      </c>
      <c r="D354" s="6" t="e">
        <f ca="1"/>
        <v>#NAME?</v>
      </c>
      <c r="E354" s="6" t="e">
        <f ca="1"/>
        <v>#NAME?</v>
      </c>
      <c r="F354" s="6" t="e">
        <f ca="1"/>
        <v>#NAME?</v>
      </c>
      <c r="G354" s="6" t="e">
        <f ca="1"/>
        <v>#NAME?</v>
      </c>
      <c r="H354" s="6" t="e">
        <f ca="1"/>
        <v>#NAME?</v>
      </c>
      <c r="I354" s="6"/>
      <c r="J354" s="6"/>
      <c r="K354" s="6"/>
      <c r="L354" s="6"/>
      <c r="M354" s="6"/>
      <c r="N354" s="6"/>
      <c r="O354" s="6"/>
      <c r="P354" s="6"/>
      <c r="Q354" s="6"/>
      <c r="R354" s="6"/>
      <c r="S354" s="6"/>
      <c r="T354" s="6"/>
    </row>
    <row r="355" spans="1:20">
      <c r="A355" s="6">
        <v>0</v>
      </c>
      <c r="B355" s="6">
        <v>0</v>
      </c>
      <c r="C355" s="6" t="e">
        <f ca="1"/>
        <v>#NAME?</v>
      </c>
      <c r="D355" s="6" t="e">
        <f ca="1"/>
        <v>#NAME?</v>
      </c>
      <c r="E355" s="6" t="e">
        <f ca="1"/>
        <v>#NAME?</v>
      </c>
      <c r="F355" s="6" t="e">
        <f ca="1"/>
        <v>#NAME?</v>
      </c>
      <c r="G355" s="6" t="e">
        <f ca="1"/>
        <v>#NAME?</v>
      </c>
      <c r="H355" s="6" t="e">
        <f ca="1"/>
        <v>#NAME?</v>
      </c>
      <c r="I355" s="6"/>
      <c r="J355" s="6"/>
      <c r="K355" s="6"/>
      <c r="L355" s="6"/>
      <c r="M355" s="6"/>
      <c r="N355" s="6"/>
      <c r="O355" s="6"/>
      <c r="P355" s="6"/>
      <c r="Q355" s="6"/>
      <c r="R355" s="6"/>
      <c r="S355" s="6"/>
      <c r="T355" s="6"/>
    </row>
    <row r="356" spans="1:20">
      <c r="A356" s="6">
        <v>0</v>
      </c>
      <c r="B356" s="6">
        <v>0</v>
      </c>
      <c r="C356" s="6" t="e">
        <f ca="1"/>
        <v>#NAME?</v>
      </c>
      <c r="D356" s="6" t="e">
        <f ca="1"/>
        <v>#NAME?</v>
      </c>
      <c r="E356" s="6" t="e">
        <f ca="1"/>
        <v>#NAME?</v>
      </c>
      <c r="F356" s="6" t="e">
        <f ca="1"/>
        <v>#NAME?</v>
      </c>
      <c r="G356" s="6" t="e">
        <f ca="1"/>
        <v>#NAME?</v>
      </c>
      <c r="H356" s="6" t="e">
        <f ca="1"/>
        <v>#NAME?</v>
      </c>
      <c r="I356" s="6"/>
      <c r="J356" s="6"/>
      <c r="K356" s="6"/>
      <c r="L356" s="6"/>
      <c r="M356" s="6"/>
      <c r="N356" s="6"/>
      <c r="O356" s="6"/>
      <c r="P356" s="6"/>
      <c r="Q356" s="6"/>
      <c r="R356" s="6"/>
      <c r="S356" s="6"/>
      <c r="T356" s="6"/>
    </row>
    <row r="357" spans="1:20">
      <c r="A357" s="6">
        <v>0</v>
      </c>
      <c r="B357" s="6">
        <v>0</v>
      </c>
      <c r="C357" s="6" t="e">
        <f ca="1"/>
        <v>#NAME?</v>
      </c>
      <c r="D357" s="6" t="e">
        <f ca="1"/>
        <v>#NAME?</v>
      </c>
      <c r="E357" s="6" t="e">
        <f ca="1"/>
        <v>#NAME?</v>
      </c>
      <c r="F357" s="6" t="e">
        <f ca="1"/>
        <v>#NAME?</v>
      </c>
      <c r="G357" s="6" t="e">
        <f ca="1"/>
        <v>#NAME?</v>
      </c>
      <c r="H357" s="6" t="e">
        <f ca="1"/>
        <v>#NAME?</v>
      </c>
      <c r="I357" s="6"/>
      <c r="J357" s="6"/>
      <c r="K357" s="6"/>
      <c r="L357" s="6"/>
      <c r="M357" s="6"/>
      <c r="N357" s="6"/>
      <c r="O357" s="6"/>
      <c r="P357" s="6"/>
      <c r="Q357" s="6"/>
      <c r="R357" s="6"/>
      <c r="S357" s="6"/>
      <c r="T357" s="6"/>
    </row>
    <row r="358" spans="1:20">
      <c r="A358" s="6">
        <v>0</v>
      </c>
      <c r="B358" s="6">
        <v>0</v>
      </c>
      <c r="C358" s="6" t="e">
        <f ca="1"/>
        <v>#NAME?</v>
      </c>
      <c r="D358" s="6" t="e">
        <f ca="1"/>
        <v>#NAME?</v>
      </c>
      <c r="E358" s="6" t="e">
        <f ca="1"/>
        <v>#NAME?</v>
      </c>
      <c r="F358" s="6" t="e">
        <f ca="1"/>
        <v>#NAME?</v>
      </c>
      <c r="G358" s="6" t="e">
        <f ca="1"/>
        <v>#NAME?</v>
      </c>
      <c r="H358" s="6" t="e">
        <f ca="1"/>
        <v>#NAME?</v>
      </c>
      <c r="I358" s="6"/>
      <c r="J358" s="6"/>
      <c r="K358" s="6"/>
      <c r="L358" s="6"/>
      <c r="M358" s="6"/>
      <c r="N358" s="6"/>
      <c r="O358" s="6"/>
      <c r="P358" s="6"/>
      <c r="Q358" s="6"/>
      <c r="R358" s="6"/>
      <c r="S358" s="6"/>
      <c r="T358" s="6"/>
    </row>
    <row r="359" spans="1:20">
      <c r="A359" s="6">
        <v>0</v>
      </c>
      <c r="B359" s="6">
        <v>0</v>
      </c>
      <c r="C359" s="6" t="e">
        <f ca="1"/>
        <v>#NAME?</v>
      </c>
      <c r="D359" s="6" t="e">
        <f ca="1"/>
        <v>#NAME?</v>
      </c>
      <c r="E359" s="6" t="e">
        <f ca="1"/>
        <v>#NAME?</v>
      </c>
      <c r="F359" s="6" t="e">
        <f ca="1"/>
        <v>#NAME?</v>
      </c>
      <c r="G359" s="6" t="e">
        <f ca="1"/>
        <v>#NAME?</v>
      </c>
      <c r="H359" s="6" t="e">
        <f ca="1"/>
        <v>#NAME?</v>
      </c>
      <c r="I359" s="6"/>
      <c r="J359" s="6"/>
      <c r="K359" s="6"/>
      <c r="L359" s="6"/>
      <c r="M359" s="6"/>
      <c r="N359" s="6"/>
      <c r="O359" s="6"/>
      <c r="P359" s="6"/>
      <c r="Q359" s="6"/>
      <c r="R359" s="6"/>
      <c r="S359" s="6"/>
      <c r="T359" s="6"/>
    </row>
    <row r="360" spans="1:20">
      <c r="A360" s="6">
        <v>0</v>
      </c>
      <c r="B360" s="6">
        <v>0</v>
      </c>
      <c r="C360" s="6" t="e">
        <f ca="1"/>
        <v>#NAME?</v>
      </c>
      <c r="D360" s="6" t="e">
        <f ca="1"/>
        <v>#NAME?</v>
      </c>
      <c r="E360" s="6" t="e">
        <f ca="1"/>
        <v>#NAME?</v>
      </c>
      <c r="F360" s="6" t="e">
        <f ca="1"/>
        <v>#NAME?</v>
      </c>
      <c r="G360" s="6" t="e">
        <f ca="1"/>
        <v>#NAME?</v>
      </c>
      <c r="H360" s="6" t="e">
        <f ca="1"/>
        <v>#NAME?</v>
      </c>
      <c r="I360" s="6"/>
      <c r="J360" s="6"/>
      <c r="K360" s="6"/>
      <c r="L360" s="6"/>
      <c r="M360" s="6"/>
      <c r="N360" s="6"/>
      <c r="O360" s="6"/>
      <c r="P360" s="6"/>
      <c r="Q360" s="6"/>
      <c r="R360" s="6"/>
      <c r="S360" s="6"/>
      <c r="T360" s="6"/>
    </row>
    <row r="361" spans="1:20">
      <c r="A361" s="6">
        <v>0</v>
      </c>
      <c r="B361" s="6">
        <v>0</v>
      </c>
      <c r="C361" s="6" t="e">
        <f ca="1"/>
        <v>#NAME?</v>
      </c>
      <c r="D361" s="6" t="e">
        <f ca="1"/>
        <v>#NAME?</v>
      </c>
      <c r="E361" s="6" t="e">
        <f ca="1"/>
        <v>#NAME?</v>
      </c>
      <c r="F361" s="6" t="e">
        <f ca="1"/>
        <v>#NAME?</v>
      </c>
      <c r="G361" s="6" t="e">
        <f ca="1"/>
        <v>#NAME?</v>
      </c>
      <c r="H361" s="6" t="e">
        <f ca="1"/>
        <v>#NAME?</v>
      </c>
      <c r="I361" s="6"/>
      <c r="J361" s="6"/>
      <c r="K361" s="6"/>
      <c r="L361" s="6"/>
      <c r="M361" s="6"/>
      <c r="N361" s="6"/>
      <c r="O361" s="6"/>
      <c r="P361" s="6"/>
      <c r="Q361" s="6"/>
      <c r="R361" s="6"/>
      <c r="S361" s="6"/>
      <c r="T361" s="6"/>
    </row>
    <row r="362" spans="1:20">
      <c r="A362" s="6">
        <v>0</v>
      </c>
      <c r="B362" s="6">
        <v>0</v>
      </c>
      <c r="C362" s="6" t="e">
        <f ca="1"/>
        <v>#NAME?</v>
      </c>
      <c r="D362" s="6" t="e">
        <f ca="1"/>
        <v>#NAME?</v>
      </c>
      <c r="E362" s="6" t="e">
        <f ca="1"/>
        <v>#NAME?</v>
      </c>
      <c r="F362" s="6" t="e">
        <f ca="1"/>
        <v>#NAME?</v>
      </c>
      <c r="G362" s="6" t="e">
        <f ca="1"/>
        <v>#NAME?</v>
      </c>
      <c r="H362" s="6" t="e">
        <f ca="1"/>
        <v>#NAME?</v>
      </c>
      <c r="I362" s="6"/>
      <c r="J362" s="6"/>
      <c r="K362" s="6"/>
      <c r="L362" s="6"/>
      <c r="M362" s="6"/>
      <c r="N362" s="6"/>
      <c r="O362" s="6"/>
      <c r="P362" s="6"/>
      <c r="Q362" s="6"/>
      <c r="R362" s="6"/>
      <c r="S362" s="6"/>
      <c r="T362" s="6"/>
    </row>
    <row r="363" spans="1:20">
      <c r="A363" s="6">
        <v>0</v>
      </c>
      <c r="B363" s="6">
        <v>0</v>
      </c>
      <c r="C363" s="6" t="e">
        <f ca="1"/>
        <v>#NAME?</v>
      </c>
      <c r="D363" s="6" t="e">
        <f ca="1"/>
        <v>#NAME?</v>
      </c>
      <c r="E363" s="6" t="e">
        <f ca="1"/>
        <v>#NAME?</v>
      </c>
      <c r="F363" s="6" t="e">
        <f ca="1"/>
        <v>#NAME?</v>
      </c>
      <c r="G363" s="6" t="e">
        <f ca="1"/>
        <v>#NAME?</v>
      </c>
      <c r="H363" s="6" t="e">
        <f ca="1"/>
        <v>#NAME?</v>
      </c>
      <c r="I363" s="6"/>
      <c r="J363" s="6"/>
      <c r="K363" s="6"/>
      <c r="L363" s="6"/>
      <c r="M363" s="6"/>
      <c r="N363" s="6"/>
      <c r="O363" s="6"/>
      <c r="P363" s="6"/>
      <c r="Q363" s="6"/>
      <c r="R363" s="6"/>
      <c r="S363" s="6"/>
      <c r="T363" s="6"/>
    </row>
    <row r="364" spans="1:20">
      <c r="A364" s="6">
        <v>0</v>
      </c>
      <c r="B364" s="6">
        <v>0</v>
      </c>
      <c r="C364" s="6" t="e">
        <f ca="1"/>
        <v>#NAME?</v>
      </c>
      <c r="D364" s="6" t="e">
        <f ca="1"/>
        <v>#NAME?</v>
      </c>
      <c r="E364" s="6" t="e">
        <f ca="1"/>
        <v>#NAME?</v>
      </c>
      <c r="F364" s="6" t="e">
        <f ca="1"/>
        <v>#NAME?</v>
      </c>
      <c r="G364" s="6" t="e">
        <f ca="1"/>
        <v>#NAME?</v>
      </c>
      <c r="H364" s="6" t="e">
        <f ca="1"/>
        <v>#NAME?</v>
      </c>
      <c r="I364" s="6"/>
      <c r="J364" s="6"/>
      <c r="K364" s="6"/>
      <c r="L364" s="6"/>
      <c r="M364" s="6"/>
      <c r="N364" s="6"/>
      <c r="O364" s="6"/>
      <c r="P364" s="6"/>
      <c r="Q364" s="6"/>
      <c r="R364" s="6"/>
      <c r="S364" s="6"/>
      <c r="T364" s="6"/>
    </row>
    <row r="365" spans="1:20">
      <c r="A365" s="6">
        <v>0</v>
      </c>
      <c r="B365" s="6">
        <v>0</v>
      </c>
      <c r="C365" s="6" t="e">
        <f ca="1"/>
        <v>#NAME?</v>
      </c>
      <c r="D365" s="6" t="e">
        <f ca="1"/>
        <v>#NAME?</v>
      </c>
      <c r="E365" s="6" t="e">
        <f ca="1"/>
        <v>#NAME?</v>
      </c>
      <c r="F365" s="6" t="e">
        <f ca="1"/>
        <v>#NAME?</v>
      </c>
      <c r="G365" s="6" t="e">
        <f ca="1"/>
        <v>#NAME?</v>
      </c>
      <c r="H365" s="6" t="e">
        <f ca="1"/>
        <v>#NAME?</v>
      </c>
      <c r="I365" s="6"/>
      <c r="J365" s="6"/>
      <c r="K365" s="6"/>
      <c r="L365" s="6"/>
      <c r="M365" s="6"/>
      <c r="N365" s="6"/>
      <c r="O365" s="6"/>
      <c r="P365" s="6"/>
      <c r="Q365" s="6"/>
      <c r="R365" s="6"/>
      <c r="S365" s="6"/>
      <c r="T365" s="6"/>
    </row>
    <row r="366" spans="1:20">
      <c r="A366" s="6">
        <v>0</v>
      </c>
      <c r="B366" s="6">
        <v>0</v>
      </c>
      <c r="C366" s="6" t="e">
        <f ca="1"/>
        <v>#NAME?</v>
      </c>
      <c r="D366" s="6" t="e">
        <f ca="1"/>
        <v>#NAME?</v>
      </c>
      <c r="E366" s="6" t="e">
        <f ca="1"/>
        <v>#NAME?</v>
      </c>
      <c r="F366" s="6" t="e">
        <f ca="1"/>
        <v>#NAME?</v>
      </c>
      <c r="G366" s="6" t="e">
        <f ca="1"/>
        <v>#NAME?</v>
      </c>
      <c r="H366" s="6" t="e">
        <f ca="1"/>
        <v>#NAME?</v>
      </c>
      <c r="I366" s="6"/>
      <c r="J366" s="6"/>
      <c r="K366" s="6"/>
      <c r="L366" s="6"/>
      <c r="M366" s="6"/>
      <c r="N366" s="6"/>
      <c r="O366" s="6"/>
      <c r="P366" s="6"/>
      <c r="Q366" s="6"/>
      <c r="R366" s="6"/>
      <c r="S366" s="6"/>
      <c r="T366" s="6"/>
    </row>
    <row r="367" spans="1:20">
      <c r="A367" s="6">
        <v>0</v>
      </c>
      <c r="B367" s="6">
        <v>0</v>
      </c>
      <c r="C367" s="6" t="e">
        <f ca="1"/>
        <v>#NAME?</v>
      </c>
      <c r="D367" s="6" t="e">
        <f ca="1"/>
        <v>#NAME?</v>
      </c>
      <c r="E367" s="6" t="e">
        <f ca="1"/>
        <v>#NAME?</v>
      </c>
      <c r="F367" s="6" t="e">
        <f ca="1"/>
        <v>#NAME?</v>
      </c>
      <c r="G367" s="6" t="e">
        <f ca="1"/>
        <v>#NAME?</v>
      </c>
      <c r="H367" s="6" t="e">
        <f ca="1"/>
        <v>#NAME?</v>
      </c>
      <c r="I367" s="6"/>
      <c r="J367" s="6"/>
      <c r="K367" s="6"/>
      <c r="L367" s="6"/>
      <c r="M367" s="6"/>
      <c r="N367" s="6"/>
      <c r="O367" s="6"/>
      <c r="P367" s="6"/>
      <c r="Q367" s="6"/>
      <c r="R367" s="6"/>
      <c r="S367" s="6"/>
      <c r="T367" s="6"/>
    </row>
    <row r="368" spans="1:20">
      <c r="A368" s="6">
        <v>0</v>
      </c>
      <c r="B368" s="6">
        <v>0</v>
      </c>
      <c r="C368" s="6" t="e">
        <f ca="1"/>
        <v>#NAME?</v>
      </c>
      <c r="D368" s="6" t="e">
        <f ca="1"/>
        <v>#NAME?</v>
      </c>
      <c r="E368" s="6" t="e">
        <f ca="1"/>
        <v>#NAME?</v>
      </c>
      <c r="F368" s="6" t="e">
        <f ca="1"/>
        <v>#NAME?</v>
      </c>
      <c r="G368" s="6" t="e">
        <f ca="1"/>
        <v>#NAME?</v>
      </c>
      <c r="H368" s="6" t="e">
        <f ca="1"/>
        <v>#NAME?</v>
      </c>
      <c r="I368" s="6"/>
      <c r="J368" s="6"/>
      <c r="K368" s="6"/>
      <c r="L368" s="6"/>
      <c r="M368" s="6"/>
      <c r="N368" s="6"/>
      <c r="O368" s="6"/>
      <c r="P368" s="6"/>
      <c r="Q368" s="6"/>
      <c r="R368" s="6"/>
      <c r="S368" s="6"/>
      <c r="T368" s="6"/>
    </row>
    <row r="369" spans="1:20">
      <c r="A369" s="6">
        <v>0</v>
      </c>
      <c r="B369" s="6">
        <v>0</v>
      </c>
      <c r="C369" s="6" t="e">
        <f ca="1"/>
        <v>#NAME?</v>
      </c>
      <c r="D369" s="6" t="e">
        <f ca="1"/>
        <v>#NAME?</v>
      </c>
      <c r="E369" s="6" t="e">
        <f ca="1"/>
        <v>#NAME?</v>
      </c>
      <c r="F369" s="6" t="e">
        <f ca="1"/>
        <v>#NAME?</v>
      </c>
      <c r="G369" s="6" t="e">
        <f ca="1"/>
        <v>#NAME?</v>
      </c>
      <c r="H369" s="6" t="e">
        <f ca="1"/>
        <v>#NAME?</v>
      </c>
      <c r="I369" s="6"/>
      <c r="J369" s="6"/>
      <c r="K369" s="6"/>
      <c r="L369" s="6"/>
      <c r="M369" s="6"/>
      <c r="N369" s="6"/>
      <c r="O369" s="6"/>
      <c r="P369" s="6"/>
      <c r="Q369" s="6"/>
      <c r="R369" s="6"/>
      <c r="S369" s="6"/>
      <c r="T369" s="6"/>
    </row>
    <row r="370" spans="1:20">
      <c r="A370" s="6">
        <v>0</v>
      </c>
      <c r="B370" s="6">
        <v>0</v>
      </c>
      <c r="C370" s="6" t="e">
        <f ca="1"/>
        <v>#NAME?</v>
      </c>
      <c r="D370" s="6" t="e">
        <f ca="1"/>
        <v>#NAME?</v>
      </c>
      <c r="E370" s="6" t="e">
        <f ca="1"/>
        <v>#NAME?</v>
      </c>
      <c r="F370" s="6" t="e">
        <f ca="1"/>
        <v>#NAME?</v>
      </c>
      <c r="G370" s="6" t="e">
        <f ca="1"/>
        <v>#NAME?</v>
      </c>
      <c r="H370" s="6" t="e">
        <f ca="1"/>
        <v>#NAME?</v>
      </c>
      <c r="I370" s="6"/>
      <c r="J370" s="6"/>
      <c r="K370" s="6"/>
      <c r="L370" s="6"/>
      <c r="M370" s="6"/>
      <c r="N370" s="6"/>
      <c r="O370" s="6"/>
      <c r="P370" s="6"/>
      <c r="Q370" s="6"/>
      <c r="R370" s="6"/>
      <c r="S370" s="6"/>
      <c r="T370" s="6"/>
    </row>
    <row r="371" spans="1:20">
      <c r="A371" s="6">
        <v>0</v>
      </c>
      <c r="B371" s="6">
        <v>0</v>
      </c>
      <c r="C371" s="6" t="e">
        <f ca="1"/>
        <v>#NAME?</v>
      </c>
      <c r="D371" s="6" t="e">
        <f ca="1"/>
        <v>#NAME?</v>
      </c>
      <c r="E371" s="6" t="e">
        <f ca="1"/>
        <v>#NAME?</v>
      </c>
      <c r="F371" s="6" t="e">
        <f ca="1"/>
        <v>#NAME?</v>
      </c>
      <c r="G371" s="6" t="e">
        <f ca="1"/>
        <v>#NAME?</v>
      </c>
      <c r="H371" s="6" t="e">
        <f ca="1"/>
        <v>#NAME?</v>
      </c>
      <c r="I371" s="6"/>
      <c r="J371" s="6"/>
      <c r="K371" s="6"/>
      <c r="L371" s="6"/>
      <c r="M371" s="6"/>
      <c r="N371" s="6"/>
      <c r="O371" s="6"/>
      <c r="P371" s="6"/>
      <c r="Q371" s="6"/>
      <c r="R371" s="6"/>
      <c r="S371" s="6"/>
      <c r="T371" s="6"/>
    </row>
    <row r="372" spans="1:20">
      <c r="A372" s="6">
        <v>0</v>
      </c>
      <c r="B372" s="6">
        <v>0</v>
      </c>
      <c r="C372" s="6" t="e">
        <f ca="1"/>
        <v>#NAME?</v>
      </c>
      <c r="D372" s="6" t="e">
        <f ca="1"/>
        <v>#NAME?</v>
      </c>
      <c r="E372" s="6" t="e">
        <f ca="1"/>
        <v>#NAME?</v>
      </c>
      <c r="F372" s="6" t="e">
        <f ca="1"/>
        <v>#NAME?</v>
      </c>
      <c r="G372" s="6" t="e">
        <f ca="1"/>
        <v>#NAME?</v>
      </c>
      <c r="H372" s="6" t="e">
        <f ca="1"/>
        <v>#NAME?</v>
      </c>
      <c r="I372" s="6"/>
      <c r="J372" s="6"/>
      <c r="K372" s="6"/>
      <c r="L372" s="6"/>
      <c r="M372" s="6"/>
      <c r="N372" s="6"/>
      <c r="O372" s="6"/>
      <c r="P372" s="6"/>
      <c r="Q372" s="6"/>
      <c r="R372" s="6"/>
      <c r="S372" s="6"/>
      <c r="T372" s="6"/>
    </row>
    <row r="373" spans="1:20">
      <c r="A373" s="6">
        <v>0</v>
      </c>
      <c r="B373" s="6">
        <v>0</v>
      </c>
      <c r="C373" s="6" t="e">
        <f ca="1"/>
        <v>#NAME?</v>
      </c>
      <c r="D373" s="6" t="e">
        <f ca="1"/>
        <v>#NAME?</v>
      </c>
      <c r="E373" s="6" t="e">
        <f ca="1"/>
        <v>#NAME?</v>
      </c>
      <c r="F373" s="6" t="e">
        <f ca="1"/>
        <v>#NAME?</v>
      </c>
      <c r="G373" s="6" t="e">
        <f ca="1"/>
        <v>#NAME?</v>
      </c>
      <c r="H373" s="6" t="e">
        <f ca="1"/>
        <v>#NAME?</v>
      </c>
      <c r="I373" s="6"/>
      <c r="J373" s="6"/>
      <c r="K373" s="6"/>
      <c r="L373" s="6"/>
      <c r="M373" s="6"/>
      <c r="N373" s="6"/>
      <c r="O373" s="6"/>
      <c r="P373" s="6"/>
      <c r="Q373" s="6"/>
      <c r="R373" s="6"/>
      <c r="S373" s="6"/>
      <c r="T373" s="6"/>
    </row>
    <row r="374" spans="1:20">
      <c r="A374" s="6">
        <v>0</v>
      </c>
      <c r="B374" s="6">
        <v>0</v>
      </c>
      <c r="C374" s="6" t="e">
        <f ca="1"/>
        <v>#NAME?</v>
      </c>
      <c r="D374" s="6" t="e">
        <f ca="1"/>
        <v>#NAME?</v>
      </c>
      <c r="E374" s="6" t="e">
        <f ca="1"/>
        <v>#NAME?</v>
      </c>
      <c r="F374" s="6" t="e">
        <f ca="1"/>
        <v>#NAME?</v>
      </c>
      <c r="G374" s="6" t="e">
        <f ca="1"/>
        <v>#NAME?</v>
      </c>
      <c r="H374" s="6" t="e">
        <f ca="1"/>
        <v>#NAME?</v>
      </c>
      <c r="I374" s="6"/>
      <c r="J374" s="6"/>
      <c r="K374" s="6"/>
      <c r="L374" s="6"/>
      <c r="M374" s="6"/>
      <c r="N374" s="6"/>
      <c r="O374" s="6"/>
      <c r="P374" s="6"/>
      <c r="Q374" s="6"/>
      <c r="R374" s="6"/>
      <c r="S374" s="6"/>
      <c r="T374" s="6"/>
    </row>
    <row r="375" spans="1:20">
      <c r="A375" s="6">
        <v>0</v>
      </c>
      <c r="B375" s="6">
        <v>0</v>
      </c>
      <c r="C375" s="6" t="e">
        <f ca="1"/>
        <v>#NAME?</v>
      </c>
      <c r="D375" s="6" t="e">
        <f ca="1"/>
        <v>#NAME?</v>
      </c>
      <c r="E375" s="6" t="e">
        <f ca="1"/>
        <v>#NAME?</v>
      </c>
      <c r="F375" s="6" t="e">
        <f ca="1"/>
        <v>#NAME?</v>
      </c>
      <c r="G375" s="6" t="e">
        <f ca="1"/>
        <v>#NAME?</v>
      </c>
      <c r="H375" s="6" t="e">
        <f ca="1"/>
        <v>#NAME?</v>
      </c>
      <c r="I375" s="6"/>
      <c r="J375" s="6"/>
      <c r="K375" s="6"/>
      <c r="L375" s="6"/>
      <c r="M375" s="6"/>
      <c r="N375" s="6"/>
      <c r="O375" s="6"/>
      <c r="P375" s="6"/>
      <c r="Q375" s="6"/>
      <c r="R375" s="6"/>
      <c r="S375" s="6"/>
      <c r="T375" s="6"/>
    </row>
    <row r="376" spans="1:20">
      <c r="A376" s="6">
        <v>0</v>
      </c>
      <c r="B376" s="6">
        <v>0</v>
      </c>
      <c r="C376" s="6" t="e">
        <f ca="1"/>
        <v>#NAME?</v>
      </c>
      <c r="D376" s="6" t="e">
        <f ca="1"/>
        <v>#NAME?</v>
      </c>
      <c r="E376" s="6" t="e">
        <f ca="1"/>
        <v>#NAME?</v>
      </c>
      <c r="F376" s="6" t="e">
        <f ca="1"/>
        <v>#NAME?</v>
      </c>
      <c r="G376" s="6" t="e">
        <f ca="1"/>
        <v>#NAME?</v>
      </c>
      <c r="H376" s="6" t="e">
        <f ca="1"/>
        <v>#NAME?</v>
      </c>
      <c r="I376" s="6"/>
      <c r="J376" s="6"/>
      <c r="K376" s="6"/>
      <c r="L376" s="6"/>
      <c r="M376" s="6"/>
      <c r="N376" s="6"/>
      <c r="O376" s="6"/>
      <c r="P376" s="6"/>
      <c r="Q376" s="6"/>
      <c r="R376" s="6"/>
      <c r="S376" s="6"/>
      <c r="T376" s="6"/>
    </row>
    <row r="377" spans="1:20">
      <c r="A377" s="6">
        <v>0</v>
      </c>
      <c r="B377" s="6">
        <v>0</v>
      </c>
      <c r="C377" s="6" t="e">
        <f ca="1"/>
        <v>#NAME?</v>
      </c>
      <c r="D377" s="6" t="e">
        <f ca="1"/>
        <v>#NAME?</v>
      </c>
      <c r="E377" s="6" t="e">
        <f ca="1"/>
        <v>#NAME?</v>
      </c>
      <c r="F377" s="6" t="e">
        <f ca="1"/>
        <v>#NAME?</v>
      </c>
      <c r="G377" s="6" t="e">
        <f ca="1"/>
        <v>#NAME?</v>
      </c>
      <c r="H377" s="6" t="e">
        <f ca="1"/>
        <v>#NAME?</v>
      </c>
      <c r="I377" s="6"/>
      <c r="J377" s="6"/>
      <c r="K377" s="6"/>
      <c r="L377" s="6"/>
      <c r="M377" s="6"/>
      <c r="N377" s="6"/>
      <c r="O377" s="6"/>
      <c r="P377" s="6"/>
      <c r="Q377" s="6"/>
      <c r="R377" s="6"/>
      <c r="S377" s="6"/>
      <c r="T377" s="6"/>
    </row>
    <row r="378" spans="1:20">
      <c r="A378" s="6">
        <v>0</v>
      </c>
      <c r="B378" s="6">
        <v>0</v>
      </c>
      <c r="C378" s="6" t="e">
        <f ca="1"/>
        <v>#NAME?</v>
      </c>
      <c r="D378" s="6" t="e">
        <f ca="1"/>
        <v>#NAME?</v>
      </c>
      <c r="E378" s="6" t="e">
        <f ca="1"/>
        <v>#NAME?</v>
      </c>
      <c r="F378" s="6" t="e">
        <f ca="1"/>
        <v>#NAME?</v>
      </c>
      <c r="G378" s="6" t="e">
        <f ca="1"/>
        <v>#NAME?</v>
      </c>
      <c r="H378" s="6" t="e">
        <f ca="1"/>
        <v>#NAME?</v>
      </c>
      <c r="I378" s="6"/>
      <c r="J378" s="6"/>
      <c r="K378" s="6"/>
      <c r="L378" s="6"/>
      <c r="M378" s="6"/>
      <c r="N378" s="6"/>
      <c r="O378" s="6"/>
      <c r="P378" s="6"/>
      <c r="Q378" s="6"/>
      <c r="R378" s="6"/>
      <c r="S378" s="6"/>
      <c r="T378" s="6"/>
    </row>
    <row r="379" spans="1:20">
      <c r="A379" s="6">
        <v>0</v>
      </c>
      <c r="B379" s="6">
        <v>0</v>
      </c>
      <c r="C379" s="6" t="e">
        <f ca="1"/>
        <v>#NAME?</v>
      </c>
      <c r="D379" s="6" t="e">
        <f ca="1"/>
        <v>#NAME?</v>
      </c>
      <c r="E379" s="6" t="e">
        <f ca="1"/>
        <v>#NAME?</v>
      </c>
      <c r="F379" s="6" t="e">
        <f ca="1"/>
        <v>#NAME?</v>
      </c>
      <c r="G379" s="6" t="e">
        <f ca="1"/>
        <v>#NAME?</v>
      </c>
      <c r="H379" s="6" t="e">
        <f ca="1"/>
        <v>#NAME?</v>
      </c>
      <c r="I379" s="6"/>
      <c r="J379" s="6"/>
      <c r="K379" s="6"/>
      <c r="L379" s="6"/>
      <c r="M379" s="6"/>
      <c r="N379" s="6"/>
      <c r="O379" s="6"/>
      <c r="P379" s="6"/>
      <c r="Q379" s="6"/>
      <c r="R379" s="6"/>
      <c r="S379" s="6"/>
      <c r="T379" s="6"/>
    </row>
    <row r="380" spans="1:20">
      <c r="A380" s="6">
        <v>0</v>
      </c>
      <c r="B380" s="6">
        <v>0</v>
      </c>
      <c r="C380" s="6" t="e">
        <f ca="1"/>
        <v>#NAME?</v>
      </c>
      <c r="D380" s="6" t="e">
        <f ca="1"/>
        <v>#NAME?</v>
      </c>
      <c r="E380" s="6" t="e">
        <f ca="1"/>
        <v>#NAME?</v>
      </c>
      <c r="F380" s="6" t="e">
        <f ca="1"/>
        <v>#NAME?</v>
      </c>
      <c r="G380" s="6" t="e">
        <f ca="1"/>
        <v>#NAME?</v>
      </c>
      <c r="H380" s="6" t="e">
        <f ca="1"/>
        <v>#NAME?</v>
      </c>
      <c r="I380" s="6"/>
      <c r="J380" s="6"/>
      <c r="K380" s="6"/>
      <c r="L380" s="6"/>
      <c r="M380" s="6"/>
      <c r="N380" s="6"/>
      <c r="O380" s="6"/>
      <c r="P380" s="6"/>
      <c r="Q380" s="6"/>
      <c r="R380" s="6"/>
      <c r="S380" s="6"/>
      <c r="T380" s="6"/>
    </row>
    <row r="381" spans="1:20">
      <c r="A381" s="6">
        <v>0</v>
      </c>
      <c r="B381" s="6">
        <v>0</v>
      </c>
      <c r="C381" s="6" t="e">
        <f ca="1"/>
        <v>#NAME?</v>
      </c>
      <c r="D381" s="6" t="e">
        <f ca="1"/>
        <v>#NAME?</v>
      </c>
      <c r="E381" s="6" t="e">
        <f ca="1"/>
        <v>#NAME?</v>
      </c>
      <c r="F381" s="6" t="e">
        <f ca="1"/>
        <v>#NAME?</v>
      </c>
      <c r="G381" s="6" t="e">
        <f ca="1"/>
        <v>#NAME?</v>
      </c>
      <c r="H381" s="6" t="e">
        <f ca="1"/>
        <v>#NAME?</v>
      </c>
      <c r="I381" s="6"/>
      <c r="J381" s="6"/>
      <c r="K381" s="6"/>
      <c r="L381" s="6"/>
      <c r="M381" s="6"/>
      <c r="N381" s="6"/>
      <c r="O381" s="6"/>
      <c r="P381" s="6"/>
      <c r="Q381" s="6"/>
      <c r="R381" s="6"/>
      <c r="S381" s="6"/>
      <c r="T381" s="6"/>
    </row>
    <row r="382" spans="1:20">
      <c r="A382" s="6">
        <v>0</v>
      </c>
      <c r="B382" s="6">
        <v>0</v>
      </c>
      <c r="C382" s="6" t="e">
        <f ca="1"/>
        <v>#NAME?</v>
      </c>
      <c r="D382" s="6" t="e">
        <f ca="1"/>
        <v>#NAME?</v>
      </c>
      <c r="E382" s="6" t="e">
        <f ca="1"/>
        <v>#NAME?</v>
      </c>
      <c r="F382" s="6" t="e">
        <f ca="1"/>
        <v>#NAME?</v>
      </c>
      <c r="G382" s="6" t="e">
        <f ca="1"/>
        <v>#NAME?</v>
      </c>
      <c r="H382" s="6" t="e">
        <f ca="1"/>
        <v>#NAME?</v>
      </c>
      <c r="I382" s="6"/>
      <c r="J382" s="6"/>
      <c r="K382" s="6"/>
      <c r="L382" s="6"/>
      <c r="M382" s="6"/>
      <c r="N382" s="6"/>
      <c r="O382" s="6"/>
      <c r="P382" s="6"/>
      <c r="Q382" s="6"/>
      <c r="R382" s="6"/>
      <c r="S382" s="6"/>
      <c r="T382" s="6"/>
    </row>
    <row r="383" spans="1:20">
      <c r="A383" s="6">
        <v>0</v>
      </c>
      <c r="B383" s="6">
        <v>0</v>
      </c>
      <c r="C383" s="6" t="e">
        <f ca="1"/>
        <v>#NAME?</v>
      </c>
      <c r="D383" s="6" t="e">
        <f ca="1"/>
        <v>#NAME?</v>
      </c>
      <c r="E383" s="6" t="e">
        <f ca="1"/>
        <v>#NAME?</v>
      </c>
      <c r="F383" s="6" t="e">
        <f ca="1"/>
        <v>#NAME?</v>
      </c>
      <c r="G383" s="6" t="e">
        <f ca="1"/>
        <v>#NAME?</v>
      </c>
      <c r="H383" s="6" t="e">
        <f ca="1"/>
        <v>#NAME?</v>
      </c>
      <c r="I383" s="6"/>
      <c r="J383" s="6"/>
      <c r="K383" s="6"/>
      <c r="L383" s="6"/>
      <c r="M383" s="6"/>
      <c r="N383" s="6"/>
      <c r="O383" s="6"/>
      <c r="P383" s="6"/>
      <c r="Q383" s="6"/>
      <c r="R383" s="6"/>
      <c r="S383" s="6"/>
      <c r="T383" s="6"/>
    </row>
    <row r="384" spans="1:20">
      <c r="A384" s="6">
        <v>0</v>
      </c>
      <c r="B384" s="6">
        <v>0</v>
      </c>
      <c r="C384" s="6" t="e">
        <f ca="1"/>
        <v>#NAME?</v>
      </c>
      <c r="D384" s="6" t="e">
        <f ca="1"/>
        <v>#NAME?</v>
      </c>
      <c r="E384" s="6" t="e">
        <f ca="1"/>
        <v>#NAME?</v>
      </c>
      <c r="F384" s="6" t="e">
        <f ca="1"/>
        <v>#NAME?</v>
      </c>
      <c r="G384" s="6" t="e">
        <f ca="1"/>
        <v>#NAME?</v>
      </c>
      <c r="H384" s="6" t="e">
        <f ca="1"/>
        <v>#NAME?</v>
      </c>
      <c r="I384" s="6"/>
      <c r="J384" s="6"/>
      <c r="K384" s="6"/>
      <c r="L384" s="6"/>
      <c r="M384" s="6"/>
      <c r="N384" s="6"/>
      <c r="O384" s="6"/>
      <c r="P384" s="6"/>
      <c r="Q384" s="6"/>
      <c r="R384" s="6"/>
      <c r="S384" s="6"/>
      <c r="T384" s="6"/>
    </row>
    <row r="385" spans="1:20">
      <c r="A385" s="6">
        <v>0</v>
      </c>
      <c r="B385" s="6">
        <v>0</v>
      </c>
      <c r="C385" s="6" t="e">
        <f ca="1"/>
        <v>#NAME?</v>
      </c>
      <c r="D385" s="6" t="e">
        <f ca="1"/>
        <v>#NAME?</v>
      </c>
      <c r="E385" s="6" t="e">
        <f ca="1"/>
        <v>#NAME?</v>
      </c>
      <c r="F385" s="6" t="e">
        <f ca="1"/>
        <v>#NAME?</v>
      </c>
      <c r="G385" s="6" t="e">
        <f ca="1"/>
        <v>#NAME?</v>
      </c>
      <c r="H385" s="6" t="e">
        <f ca="1"/>
        <v>#NAME?</v>
      </c>
      <c r="I385" s="6"/>
      <c r="J385" s="6"/>
      <c r="K385" s="6"/>
      <c r="L385" s="6"/>
      <c r="M385" s="6"/>
      <c r="N385" s="6"/>
      <c r="O385" s="6"/>
      <c r="P385" s="6"/>
      <c r="Q385" s="6"/>
      <c r="R385" s="6"/>
      <c r="S385" s="6"/>
      <c r="T385" s="6"/>
    </row>
    <row r="386" spans="1:20">
      <c r="A386" s="6">
        <v>0</v>
      </c>
      <c r="B386" s="6">
        <v>0</v>
      </c>
      <c r="C386" s="6" t="e">
        <f ca="1"/>
        <v>#NAME?</v>
      </c>
      <c r="D386" s="6" t="e">
        <f ca="1"/>
        <v>#NAME?</v>
      </c>
      <c r="E386" s="6" t="e">
        <f ca="1"/>
        <v>#NAME?</v>
      </c>
      <c r="F386" s="6" t="e">
        <f ca="1"/>
        <v>#NAME?</v>
      </c>
      <c r="G386" s="6" t="e">
        <f ca="1"/>
        <v>#NAME?</v>
      </c>
      <c r="H386" s="6" t="e">
        <f ca="1"/>
        <v>#NAME?</v>
      </c>
      <c r="I386" s="6"/>
      <c r="J386" s="6"/>
      <c r="K386" s="6"/>
      <c r="L386" s="6"/>
      <c r="M386" s="6"/>
      <c r="N386" s="6"/>
      <c r="O386" s="6"/>
      <c r="P386" s="6"/>
      <c r="Q386" s="6"/>
      <c r="R386" s="6"/>
      <c r="S386" s="6"/>
      <c r="T386" s="6"/>
    </row>
    <row r="387" spans="1:20">
      <c r="A387" s="6">
        <v>0</v>
      </c>
      <c r="B387" s="6">
        <v>0</v>
      </c>
      <c r="C387" s="6" t="e">
        <f ca="1"/>
        <v>#NAME?</v>
      </c>
      <c r="D387" s="6" t="e">
        <f ca="1"/>
        <v>#NAME?</v>
      </c>
      <c r="E387" s="6" t="e">
        <f ca="1"/>
        <v>#NAME?</v>
      </c>
      <c r="F387" s="6" t="e">
        <f ca="1"/>
        <v>#NAME?</v>
      </c>
      <c r="G387" s="6" t="e">
        <f ca="1"/>
        <v>#NAME?</v>
      </c>
      <c r="H387" s="6" t="e">
        <f ca="1"/>
        <v>#NAME?</v>
      </c>
      <c r="I387" s="6"/>
      <c r="J387" s="6"/>
      <c r="K387" s="6"/>
      <c r="L387" s="6"/>
      <c r="M387" s="6"/>
      <c r="N387" s="6"/>
      <c r="O387" s="6"/>
      <c r="P387" s="6"/>
      <c r="Q387" s="6"/>
      <c r="R387" s="6"/>
      <c r="S387" s="6"/>
      <c r="T387" s="6"/>
    </row>
    <row r="388" spans="1:20">
      <c r="A388" s="6">
        <v>0</v>
      </c>
      <c r="B388" s="6">
        <v>0</v>
      </c>
      <c r="C388" s="6" t="e">
        <f ca="1"/>
        <v>#NAME?</v>
      </c>
      <c r="D388" s="6" t="e">
        <f ca="1"/>
        <v>#NAME?</v>
      </c>
      <c r="E388" s="6" t="e">
        <f ca="1"/>
        <v>#NAME?</v>
      </c>
      <c r="F388" s="6" t="e">
        <f ca="1"/>
        <v>#NAME?</v>
      </c>
      <c r="G388" s="6" t="e">
        <f ca="1"/>
        <v>#NAME?</v>
      </c>
      <c r="H388" s="6" t="e">
        <f ca="1"/>
        <v>#NAME?</v>
      </c>
      <c r="I388" s="6"/>
      <c r="J388" s="6"/>
      <c r="K388" s="6"/>
      <c r="L388" s="6"/>
      <c r="M388" s="6"/>
      <c r="N388" s="6"/>
      <c r="O388" s="6"/>
      <c r="P388" s="6"/>
      <c r="Q388" s="6"/>
      <c r="R388" s="6"/>
      <c r="S388" s="6"/>
      <c r="T388" s="6"/>
    </row>
    <row r="389" spans="1:20">
      <c r="A389" s="6">
        <v>0</v>
      </c>
      <c r="B389" s="6">
        <v>0</v>
      </c>
      <c r="C389" s="6" t="e">
        <f ca="1"/>
        <v>#NAME?</v>
      </c>
      <c r="D389" s="6" t="e">
        <f ca="1"/>
        <v>#NAME?</v>
      </c>
      <c r="E389" s="6" t="e">
        <f ca="1"/>
        <v>#NAME?</v>
      </c>
      <c r="F389" s="6" t="e">
        <f ca="1"/>
        <v>#NAME?</v>
      </c>
      <c r="G389" s="6" t="e">
        <f ca="1"/>
        <v>#NAME?</v>
      </c>
      <c r="H389" s="6" t="e">
        <f ca="1"/>
        <v>#NAME?</v>
      </c>
      <c r="I389" s="6"/>
      <c r="J389" s="6"/>
      <c r="K389" s="6"/>
      <c r="L389" s="6"/>
      <c r="M389" s="6"/>
      <c r="N389" s="6"/>
      <c r="O389" s="6"/>
      <c r="P389" s="6"/>
      <c r="Q389" s="6"/>
      <c r="R389" s="6"/>
      <c r="S389" s="6"/>
      <c r="T389" s="6"/>
    </row>
    <row r="390" spans="1:20">
      <c r="A390" s="6">
        <v>0</v>
      </c>
      <c r="B390" s="6">
        <v>0</v>
      </c>
      <c r="C390" s="6" t="e">
        <f ca="1"/>
        <v>#NAME?</v>
      </c>
      <c r="D390" s="6" t="e">
        <f ca="1"/>
        <v>#NAME?</v>
      </c>
      <c r="E390" s="6" t="e">
        <f ca="1"/>
        <v>#NAME?</v>
      </c>
      <c r="F390" s="6" t="e">
        <f ca="1"/>
        <v>#NAME?</v>
      </c>
      <c r="G390" s="6" t="e">
        <f ca="1"/>
        <v>#NAME?</v>
      </c>
      <c r="H390" s="6" t="e">
        <f ca="1"/>
        <v>#NAME?</v>
      </c>
      <c r="I390" s="6"/>
      <c r="J390" s="6"/>
      <c r="K390" s="6"/>
      <c r="L390" s="6"/>
      <c r="M390" s="6"/>
      <c r="N390" s="6"/>
      <c r="O390" s="6"/>
      <c r="P390" s="6"/>
      <c r="Q390" s="6"/>
      <c r="R390" s="6"/>
      <c r="S390" s="6"/>
      <c r="T390" s="6"/>
    </row>
    <row r="391" spans="1:20">
      <c r="A391" s="6">
        <v>0</v>
      </c>
      <c r="B391" s="6">
        <v>0</v>
      </c>
      <c r="C391" s="6" t="e">
        <f ca="1"/>
        <v>#NAME?</v>
      </c>
      <c r="D391" s="6" t="e">
        <f ca="1"/>
        <v>#NAME?</v>
      </c>
      <c r="E391" s="6" t="e">
        <f ca="1"/>
        <v>#NAME?</v>
      </c>
      <c r="F391" s="6" t="e">
        <f ca="1"/>
        <v>#NAME?</v>
      </c>
      <c r="G391" s="6" t="e">
        <f ca="1"/>
        <v>#NAME?</v>
      </c>
      <c r="H391" s="6" t="e">
        <f ca="1"/>
        <v>#NAME?</v>
      </c>
      <c r="I391" s="6"/>
      <c r="J391" s="6"/>
      <c r="K391" s="6"/>
      <c r="L391" s="6"/>
      <c r="M391" s="6"/>
      <c r="N391" s="6"/>
      <c r="O391" s="6"/>
      <c r="P391" s="6"/>
      <c r="Q391" s="6"/>
      <c r="R391" s="6"/>
      <c r="S391" s="6"/>
      <c r="T391" s="6"/>
    </row>
    <row r="392" spans="1:20">
      <c r="A392" s="6">
        <v>0</v>
      </c>
      <c r="B392" s="6">
        <v>0</v>
      </c>
      <c r="C392" s="6" t="e">
        <f ca="1"/>
        <v>#NAME?</v>
      </c>
      <c r="D392" s="6" t="e">
        <f ca="1"/>
        <v>#NAME?</v>
      </c>
      <c r="E392" s="6" t="e">
        <f ca="1"/>
        <v>#NAME?</v>
      </c>
      <c r="F392" s="6" t="e">
        <f ca="1"/>
        <v>#NAME?</v>
      </c>
      <c r="G392" s="6" t="e">
        <f ca="1"/>
        <v>#NAME?</v>
      </c>
      <c r="H392" s="6" t="e">
        <f ca="1"/>
        <v>#NAME?</v>
      </c>
      <c r="I392" s="6"/>
      <c r="J392" s="6"/>
      <c r="K392" s="6"/>
      <c r="L392" s="6"/>
      <c r="M392" s="6"/>
      <c r="N392" s="6"/>
      <c r="O392" s="6"/>
      <c r="P392" s="6"/>
      <c r="Q392" s="6"/>
      <c r="R392" s="6"/>
      <c r="S392" s="6"/>
      <c r="T392" s="6"/>
    </row>
    <row r="393" spans="1:20">
      <c r="A393" s="6">
        <v>0</v>
      </c>
      <c r="B393" s="6">
        <v>0</v>
      </c>
      <c r="C393" s="6" t="e">
        <f ca="1"/>
        <v>#NAME?</v>
      </c>
      <c r="D393" s="6" t="e">
        <f ca="1"/>
        <v>#NAME?</v>
      </c>
      <c r="E393" s="6" t="e">
        <f ca="1"/>
        <v>#NAME?</v>
      </c>
      <c r="F393" s="6" t="e">
        <f ca="1"/>
        <v>#NAME?</v>
      </c>
      <c r="G393" s="6" t="e">
        <f ca="1"/>
        <v>#NAME?</v>
      </c>
      <c r="H393" s="6" t="e">
        <f ca="1"/>
        <v>#NAME?</v>
      </c>
      <c r="I393" s="6"/>
      <c r="J393" s="6"/>
      <c r="K393" s="6"/>
      <c r="L393" s="6"/>
      <c r="M393" s="6"/>
      <c r="N393" s="6"/>
      <c r="O393" s="6"/>
      <c r="P393" s="6"/>
      <c r="Q393" s="6"/>
      <c r="R393" s="6"/>
      <c r="S393" s="6"/>
      <c r="T393" s="6"/>
    </row>
    <row r="394" spans="1:20">
      <c r="A394" s="6">
        <v>0</v>
      </c>
      <c r="B394" s="6">
        <v>0</v>
      </c>
      <c r="C394" s="6" t="e">
        <f ca="1"/>
        <v>#NAME?</v>
      </c>
      <c r="D394" s="6" t="e">
        <f ca="1"/>
        <v>#NAME?</v>
      </c>
      <c r="E394" s="6" t="e">
        <f ca="1"/>
        <v>#NAME?</v>
      </c>
      <c r="F394" s="6" t="e">
        <f ca="1"/>
        <v>#NAME?</v>
      </c>
      <c r="G394" s="6" t="e">
        <f ca="1"/>
        <v>#NAME?</v>
      </c>
      <c r="H394" s="6" t="e">
        <f ca="1"/>
        <v>#NAME?</v>
      </c>
      <c r="I394" s="6"/>
      <c r="J394" s="6"/>
      <c r="K394" s="6"/>
      <c r="L394" s="6"/>
      <c r="M394" s="6"/>
      <c r="N394" s="6"/>
      <c r="O394" s="6"/>
      <c r="P394" s="6"/>
      <c r="Q394" s="6"/>
      <c r="R394" s="6"/>
      <c r="S394" s="6"/>
      <c r="T394" s="6"/>
    </row>
    <row r="395" spans="1:20">
      <c r="A395" s="6">
        <v>0</v>
      </c>
      <c r="B395" s="6">
        <v>0</v>
      </c>
      <c r="C395" s="6" t="e">
        <f ca="1"/>
        <v>#NAME?</v>
      </c>
      <c r="D395" s="6" t="e">
        <f ca="1"/>
        <v>#NAME?</v>
      </c>
      <c r="E395" s="6" t="e">
        <f ca="1"/>
        <v>#NAME?</v>
      </c>
      <c r="F395" s="6" t="e">
        <f ca="1"/>
        <v>#NAME?</v>
      </c>
      <c r="G395" s="6" t="e">
        <f ca="1"/>
        <v>#NAME?</v>
      </c>
      <c r="H395" s="6" t="e">
        <f ca="1"/>
        <v>#NAME?</v>
      </c>
      <c r="I395" s="6"/>
      <c r="J395" s="6"/>
      <c r="K395" s="6"/>
      <c r="L395" s="6"/>
      <c r="M395" s="6"/>
      <c r="N395" s="6"/>
      <c r="O395" s="6"/>
      <c r="P395" s="6"/>
      <c r="Q395" s="6"/>
      <c r="R395" s="6"/>
      <c r="S395" s="6"/>
      <c r="T395" s="6"/>
    </row>
    <row r="396" spans="1:20">
      <c r="A396" s="6">
        <v>0</v>
      </c>
      <c r="B396" s="6">
        <v>0</v>
      </c>
      <c r="C396" s="6" t="e">
        <f ca="1"/>
        <v>#NAME?</v>
      </c>
      <c r="D396" s="6" t="e">
        <f ca="1"/>
        <v>#NAME?</v>
      </c>
      <c r="E396" s="6" t="e">
        <f ca="1"/>
        <v>#NAME?</v>
      </c>
      <c r="F396" s="6" t="e">
        <f ca="1"/>
        <v>#NAME?</v>
      </c>
      <c r="G396" s="6" t="e">
        <f ca="1"/>
        <v>#NAME?</v>
      </c>
      <c r="H396" s="6" t="e">
        <f ca="1"/>
        <v>#NAME?</v>
      </c>
      <c r="I396" s="6"/>
      <c r="J396" s="6"/>
      <c r="K396" s="6"/>
      <c r="L396" s="6"/>
      <c r="M396" s="6"/>
      <c r="N396" s="6"/>
      <c r="O396" s="6"/>
      <c r="P396" s="6"/>
      <c r="Q396" s="6"/>
      <c r="R396" s="6"/>
      <c r="S396" s="6"/>
      <c r="T396" s="6"/>
    </row>
    <row r="397" spans="1:20">
      <c r="A397" s="6">
        <v>0</v>
      </c>
      <c r="B397" s="6">
        <v>0</v>
      </c>
      <c r="C397" s="6" t="e">
        <f ca="1"/>
        <v>#NAME?</v>
      </c>
      <c r="D397" s="6" t="e">
        <f ca="1"/>
        <v>#NAME?</v>
      </c>
      <c r="E397" s="6" t="e">
        <f ca="1"/>
        <v>#NAME?</v>
      </c>
      <c r="F397" s="6" t="e">
        <f ca="1"/>
        <v>#NAME?</v>
      </c>
      <c r="G397" s="6" t="e">
        <f ca="1"/>
        <v>#NAME?</v>
      </c>
      <c r="H397" s="6" t="e">
        <f ca="1"/>
        <v>#NAME?</v>
      </c>
      <c r="I397" s="6"/>
      <c r="J397" s="6"/>
      <c r="K397" s="6"/>
      <c r="L397" s="6"/>
      <c r="M397" s="6"/>
      <c r="N397" s="6"/>
      <c r="O397" s="6"/>
      <c r="P397" s="6"/>
      <c r="Q397" s="6"/>
      <c r="R397" s="6"/>
      <c r="S397" s="6"/>
      <c r="T397" s="6"/>
    </row>
    <row r="398" spans="1:20">
      <c r="A398" s="6">
        <v>0</v>
      </c>
      <c r="B398" s="6">
        <v>0</v>
      </c>
      <c r="C398" s="6" t="e">
        <f ca="1"/>
        <v>#NAME?</v>
      </c>
      <c r="D398" s="6" t="e">
        <f ca="1"/>
        <v>#NAME?</v>
      </c>
      <c r="E398" s="6" t="e">
        <f ca="1"/>
        <v>#NAME?</v>
      </c>
      <c r="F398" s="6" t="e">
        <f ca="1"/>
        <v>#NAME?</v>
      </c>
      <c r="G398" s="6" t="e">
        <f ca="1"/>
        <v>#NAME?</v>
      </c>
      <c r="H398" s="6" t="e">
        <f ca="1"/>
        <v>#NAME?</v>
      </c>
      <c r="I398" s="6"/>
      <c r="J398" s="6"/>
      <c r="K398" s="6"/>
      <c r="L398" s="6"/>
      <c r="M398" s="6"/>
      <c r="N398" s="6"/>
      <c r="O398" s="6"/>
      <c r="P398" s="6"/>
      <c r="Q398" s="6"/>
      <c r="R398" s="6"/>
      <c r="S398" s="6"/>
      <c r="T398" s="6"/>
    </row>
    <row r="399" spans="1:20">
      <c r="A399" s="6">
        <v>0</v>
      </c>
      <c r="B399" s="6">
        <v>0</v>
      </c>
      <c r="C399" s="6" t="e">
        <f ca="1"/>
        <v>#NAME?</v>
      </c>
      <c r="D399" s="6" t="e">
        <f ca="1"/>
        <v>#NAME?</v>
      </c>
      <c r="E399" s="6" t="e">
        <f ca="1"/>
        <v>#NAME?</v>
      </c>
      <c r="F399" s="6" t="e">
        <f ca="1"/>
        <v>#NAME?</v>
      </c>
      <c r="G399" s="6" t="e">
        <f ca="1"/>
        <v>#NAME?</v>
      </c>
      <c r="H399" s="6" t="e">
        <f ca="1"/>
        <v>#NAME?</v>
      </c>
      <c r="I399" s="6"/>
      <c r="J399" s="6"/>
      <c r="K399" s="6"/>
      <c r="L399" s="6"/>
      <c r="M399" s="6"/>
      <c r="N399" s="6"/>
      <c r="O399" s="6"/>
      <c r="P399" s="6"/>
      <c r="Q399" s="6"/>
      <c r="R399" s="6"/>
      <c r="S399" s="6"/>
      <c r="T399" s="6"/>
    </row>
    <row r="400" spans="1:20">
      <c r="A400" s="6">
        <v>0</v>
      </c>
      <c r="B400" s="6">
        <v>0</v>
      </c>
      <c r="C400" s="6" t="e">
        <f ca="1"/>
        <v>#NAME?</v>
      </c>
      <c r="D400" s="6" t="e">
        <f ca="1"/>
        <v>#NAME?</v>
      </c>
      <c r="E400" s="6" t="e">
        <f ca="1"/>
        <v>#NAME?</v>
      </c>
      <c r="F400" s="6" t="e">
        <f ca="1"/>
        <v>#NAME?</v>
      </c>
      <c r="G400" s="6" t="e">
        <f ca="1"/>
        <v>#NAME?</v>
      </c>
      <c r="H400" s="6" t="e">
        <f ca="1"/>
        <v>#NAME?</v>
      </c>
      <c r="I400" s="6"/>
      <c r="J400" s="6"/>
      <c r="K400" s="6"/>
      <c r="L400" s="6"/>
      <c r="M400" s="6"/>
      <c r="N400" s="6"/>
      <c r="O400" s="6"/>
      <c r="P400" s="6"/>
      <c r="Q400" s="6"/>
      <c r="R400" s="6"/>
      <c r="S400" s="6"/>
      <c r="T400" s="6"/>
    </row>
    <row r="401" spans="1:20">
      <c r="A401" s="6">
        <v>0</v>
      </c>
      <c r="B401" s="6">
        <v>0</v>
      </c>
      <c r="C401" s="6" t="e">
        <f ca="1"/>
        <v>#NAME?</v>
      </c>
      <c r="D401" s="6" t="e">
        <f ca="1"/>
        <v>#NAME?</v>
      </c>
      <c r="E401" s="6" t="e">
        <f ca="1"/>
        <v>#NAME?</v>
      </c>
      <c r="F401" s="6" t="e">
        <f ca="1"/>
        <v>#NAME?</v>
      </c>
      <c r="G401" s="6" t="e">
        <f ca="1"/>
        <v>#NAME?</v>
      </c>
      <c r="H401" s="6" t="e">
        <f ca="1"/>
        <v>#NAME?</v>
      </c>
      <c r="I401" s="6"/>
      <c r="J401" s="6"/>
      <c r="K401" s="6"/>
      <c r="L401" s="6"/>
      <c r="M401" s="6"/>
      <c r="N401" s="6"/>
      <c r="O401" s="6"/>
      <c r="P401" s="6"/>
      <c r="Q401" s="6"/>
      <c r="R401" s="6"/>
      <c r="S401" s="6"/>
      <c r="T401" s="6"/>
    </row>
    <row r="402" spans="1:20">
      <c r="A402" s="6">
        <v>0</v>
      </c>
      <c r="B402" s="6">
        <v>0</v>
      </c>
      <c r="C402" s="6" t="e">
        <f ca="1"/>
        <v>#NAME?</v>
      </c>
      <c r="D402" s="6" t="e">
        <f ca="1"/>
        <v>#NAME?</v>
      </c>
      <c r="E402" s="6" t="e">
        <f ca="1"/>
        <v>#NAME?</v>
      </c>
      <c r="F402" s="6" t="e">
        <f ca="1"/>
        <v>#NAME?</v>
      </c>
      <c r="G402" s="6" t="e">
        <f ca="1"/>
        <v>#NAME?</v>
      </c>
      <c r="H402" s="6" t="e">
        <f ca="1"/>
        <v>#NAME?</v>
      </c>
      <c r="I402" s="6"/>
      <c r="J402" s="6"/>
      <c r="K402" s="6"/>
      <c r="L402" s="6"/>
      <c r="M402" s="6"/>
      <c r="N402" s="6"/>
      <c r="O402" s="6"/>
      <c r="P402" s="6"/>
      <c r="Q402" s="6"/>
      <c r="R402" s="6"/>
      <c r="S402" s="6"/>
      <c r="T402" s="6"/>
    </row>
    <row r="403" spans="1:20">
      <c r="A403" s="6">
        <v>0</v>
      </c>
      <c r="B403" s="6">
        <v>0</v>
      </c>
      <c r="C403" s="6" t="e">
        <f ca="1"/>
        <v>#NAME?</v>
      </c>
      <c r="D403" s="6" t="e">
        <f ca="1"/>
        <v>#NAME?</v>
      </c>
      <c r="E403" s="6" t="e">
        <f ca="1"/>
        <v>#NAME?</v>
      </c>
      <c r="F403" s="6" t="e">
        <f ca="1"/>
        <v>#NAME?</v>
      </c>
      <c r="G403" s="6" t="e">
        <f ca="1"/>
        <v>#NAME?</v>
      </c>
      <c r="H403" s="6" t="e">
        <f ca="1"/>
        <v>#NAME?</v>
      </c>
      <c r="I403" s="6"/>
      <c r="J403" s="6"/>
      <c r="K403" s="6"/>
      <c r="L403" s="6"/>
      <c r="M403" s="6"/>
      <c r="N403" s="6"/>
      <c r="O403" s="6"/>
      <c r="P403" s="6"/>
      <c r="Q403" s="6"/>
      <c r="R403" s="6"/>
      <c r="S403" s="6"/>
      <c r="T403" s="6"/>
    </row>
    <row r="404" spans="1:20">
      <c r="A404" s="6">
        <v>0</v>
      </c>
      <c r="B404" s="6">
        <v>0</v>
      </c>
      <c r="C404" s="6" t="e">
        <f ca="1"/>
        <v>#NAME?</v>
      </c>
      <c r="D404" s="6" t="e">
        <f ca="1"/>
        <v>#NAME?</v>
      </c>
      <c r="E404" s="6" t="e">
        <f ca="1"/>
        <v>#NAME?</v>
      </c>
      <c r="F404" s="6" t="e">
        <f ca="1"/>
        <v>#NAME?</v>
      </c>
      <c r="G404" s="6" t="e">
        <f ca="1"/>
        <v>#NAME?</v>
      </c>
      <c r="H404" s="6" t="e">
        <f ca="1"/>
        <v>#NAME?</v>
      </c>
      <c r="I404" s="6"/>
      <c r="J404" s="6"/>
      <c r="K404" s="6"/>
      <c r="L404" s="6"/>
      <c r="M404" s="6"/>
      <c r="N404" s="6"/>
      <c r="O404" s="6"/>
      <c r="P404" s="6"/>
      <c r="Q404" s="6"/>
      <c r="R404" s="6"/>
      <c r="S404" s="6"/>
      <c r="T404" s="6"/>
    </row>
    <row r="405" spans="1:20">
      <c r="A405" s="6">
        <v>0</v>
      </c>
      <c r="B405" s="6">
        <v>0</v>
      </c>
      <c r="C405" s="6" t="e">
        <f ca="1"/>
        <v>#NAME?</v>
      </c>
      <c r="D405" s="6" t="e">
        <f ca="1"/>
        <v>#NAME?</v>
      </c>
      <c r="E405" s="6" t="e">
        <f ca="1"/>
        <v>#NAME?</v>
      </c>
      <c r="F405" s="6" t="e">
        <f ca="1"/>
        <v>#NAME?</v>
      </c>
      <c r="G405" s="6" t="e">
        <f ca="1"/>
        <v>#NAME?</v>
      </c>
      <c r="H405" s="6" t="e">
        <f ca="1"/>
        <v>#NAME?</v>
      </c>
      <c r="I405" s="6"/>
      <c r="J405" s="6"/>
      <c r="K405" s="6"/>
      <c r="L405" s="6"/>
      <c r="M405" s="6"/>
      <c r="N405" s="6"/>
      <c r="O405" s="6"/>
      <c r="P405" s="6"/>
      <c r="Q405" s="6"/>
      <c r="R405" s="6"/>
      <c r="S405" s="6"/>
      <c r="T405" s="6"/>
    </row>
    <row r="406" spans="1:20">
      <c r="A406" s="6">
        <v>0</v>
      </c>
      <c r="B406" s="6">
        <v>0</v>
      </c>
      <c r="C406" s="6" t="e">
        <f ca="1"/>
        <v>#NAME?</v>
      </c>
      <c r="D406" s="6" t="e">
        <f ca="1"/>
        <v>#NAME?</v>
      </c>
      <c r="E406" s="6" t="e">
        <f ca="1"/>
        <v>#NAME?</v>
      </c>
      <c r="F406" s="6" t="e">
        <f ca="1"/>
        <v>#NAME?</v>
      </c>
      <c r="G406" s="6" t="e">
        <f ca="1"/>
        <v>#NAME?</v>
      </c>
      <c r="H406" s="6" t="e">
        <f ca="1"/>
        <v>#NAME?</v>
      </c>
      <c r="I406" s="6"/>
      <c r="J406" s="6"/>
      <c r="K406" s="6"/>
      <c r="L406" s="6"/>
      <c r="M406" s="6"/>
      <c r="N406" s="6"/>
      <c r="O406" s="6"/>
      <c r="P406" s="6"/>
      <c r="Q406" s="6"/>
      <c r="R406" s="6"/>
      <c r="S406" s="6"/>
      <c r="T406" s="6"/>
    </row>
    <row r="407" spans="1:20">
      <c r="A407" s="6">
        <v>0</v>
      </c>
      <c r="B407" s="6">
        <v>0</v>
      </c>
      <c r="C407" s="6" t="e">
        <f ca="1"/>
        <v>#NAME?</v>
      </c>
      <c r="D407" s="6" t="e">
        <f ca="1"/>
        <v>#NAME?</v>
      </c>
      <c r="E407" s="6" t="e">
        <f ca="1"/>
        <v>#NAME?</v>
      </c>
      <c r="F407" s="6" t="e">
        <f ca="1"/>
        <v>#NAME?</v>
      </c>
      <c r="G407" s="6" t="e">
        <f ca="1"/>
        <v>#NAME?</v>
      </c>
      <c r="H407" s="6" t="e">
        <f ca="1"/>
        <v>#NAME?</v>
      </c>
      <c r="I407" s="6"/>
      <c r="J407" s="6"/>
      <c r="K407" s="6"/>
      <c r="L407" s="6"/>
      <c r="M407" s="6"/>
      <c r="N407" s="6"/>
      <c r="O407" s="6"/>
      <c r="P407" s="6"/>
      <c r="Q407" s="6"/>
      <c r="R407" s="6"/>
      <c r="S407" s="6"/>
      <c r="T407" s="6"/>
    </row>
    <row r="408" spans="1:20">
      <c r="A408" s="6">
        <v>0</v>
      </c>
      <c r="B408" s="6">
        <v>0</v>
      </c>
      <c r="C408" s="6" t="e">
        <f ca="1"/>
        <v>#NAME?</v>
      </c>
      <c r="D408" s="6" t="e">
        <f ca="1"/>
        <v>#NAME?</v>
      </c>
      <c r="E408" s="6" t="e">
        <f ca="1"/>
        <v>#NAME?</v>
      </c>
      <c r="F408" s="6" t="e">
        <f ca="1"/>
        <v>#NAME?</v>
      </c>
      <c r="G408" s="6" t="e">
        <f ca="1"/>
        <v>#NAME?</v>
      </c>
      <c r="H408" s="6" t="e">
        <f ca="1"/>
        <v>#NAME?</v>
      </c>
      <c r="I408" s="6"/>
      <c r="J408" s="6"/>
      <c r="K408" s="6"/>
      <c r="L408" s="6"/>
      <c r="M408" s="6"/>
      <c r="N408" s="6"/>
      <c r="O408" s="6"/>
      <c r="P408" s="6"/>
      <c r="Q408" s="6"/>
      <c r="R408" s="6"/>
      <c r="S408" s="6"/>
      <c r="T408" s="6"/>
    </row>
    <row r="409" spans="1:20">
      <c r="A409" s="6">
        <v>0</v>
      </c>
      <c r="B409" s="6">
        <v>0</v>
      </c>
      <c r="C409" s="6" t="e">
        <f ca="1"/>
        <v>#NAME?</v>
      </c>
      <c r="D409" s="6" t="e">
        <f ca="1"/>
        <v>#NAME?</v>
      </c>
      <c r="E409" s="6" t="e">
        <f ca="1"/>
        <v>#NAME?</v>
      </c>
      <c r="F409" s="6" t="e">
        <f ca="1"/>
        <v>#NAME?</v>
      </c>
      <c r="G409" s="6" t="e">
        <f ca="1"/>
        <v>#NAME?</v>
      </c>
      <c r="H409" s="6" t="e">
        <f ca="1"/>
        <v>#NAME?</v>
      </c>
      <c r="I409" s="6"/>
      <c r="J409" s="6"/>
      <c r="K409" s="6"/>
      <c r="L409" s="6"/>
      <c r="M409" s="6"/>
      <c r="N409" s="6"/>
      <c r="O409" s="6"/>
      <c r="P409" s="6"/>
      <c r="Q409" s="6"/>
      <c r="R409" s="6"/>
      <c r="S409" s="6"/>
      <c r="T409" s="6"/>
    </row>
    <row r="410" spans="1:20">
      <c r="A410" s="6">
        <v>0</v>
      </c>
      <c r="B410" s="6">
        <v>0</v>
      </c>
      <c r="C410" s="6" t="e">
        <f ca="1"/>
        <v>#NAME?</v>
      </c>
      <c r="D410" s="6" t="e">
        <f ca="1"/>
        <v>#NAME?</v>
      </c>
      <c r="E410" s="6" t="e">
        <f ca="1"/>
        <v>#NAME?</v>
      </c>
      <c r="F410" s="6" t="e">
        <f ca="1"/>
        <v>#NAME?</v>
      </c>
      <c r="G410" s="6" t="e">
        <f ca="1"/>
        <v>#NAME?</v>
      </c>
      <c r="H410" s="6" t="e">
        <f ca="1"/>
        <v>#NAME?</v>
      </c>
      <c r="I410" s="6"/>
      <c r="J410" s="6"/>
      <c r="K410" s="6"/>
      <c r="L410" s="6"/>
      <c r="M410" s="6"/>
      <c r="N410" s="6"/>
      <c r="O410" s="6"/>
      <c r="P410" s="6"/>
      <c r="Q410" s="6"/>
      <c r="R410" s="6"/>
      <c r="S410" s="6"/>
      <c r="T410" s="6"/>
    </row>
    <row r="411" spans="1:20">
      <c r="A411" s="6">
        <v>0</v>
      </c>
      <c r="B411" s="6">
        <v>0</v>
      </c>
      <c r="C411" s="6" t="e">
        <f ca="1"/>
        <v>#NAME?</v>
      </c>
      <c r="D411" s="6" t="e">
        <f ca="1"/>
        <v>#NAME?</v>
      </c>
      <c r="E411" s="6" t="e">
        <f ca="1"/>
        <v>#NAME?</v>
      </c>
      <c r="F411" s="6" t="e">
        <f ca="1"/>
        <v>#NAME?</v>
      </c>
      <c r="G411" s="6" t="e">
        <f ca="1"/>
        <v>#NAME?</v>
      </c>
      <c r="H411" s="6" t="e">
        <f ca="1"/>
        <v>#NAME?</v>
      </c>
      <c r="I411" s="6"/>
      <c r="J411" s="6"/>
      <c r="K411" s="6"/>
      <c r="L411" s="6"/>
      <c r="M411" s="6"/>
      <c r="N411" s="6"/>
      <c r="O411" s="6"/>
      <c r="P411" s="6"/>
      <c r="Q411" s="6"/>
      <c r="R411" s="6"/>
      <c r="S411" s="6"/>
      <c r="T411" s="6"/>
    </row>
    <row r="412" spans="1:20">
      <c r="A412" s="6">
        <v>0</v>
      </c>
      <c r="B412" s="6">
        <v>0</v>
      </c>
      <c r="C412" s="6" t="e">
        <f ca="1"/>
        <v>#NAME?</v>
      </c>
      <c r="D412" s="6" t="e">
        <f ca="1"/>
        <v>#NAME?</v>
      </c>
      <c r="E412" s="6" t="e">
        <f ca="1"/>
        <v>#NAME?</v>
      </c>
      <c r="F412" s="6" t="e">
        <f ca="1"/>
        <v>#NAME?</v>
      </c>
      <c r="G412" s="6" t="e">
        <f ca="1"/>
        <v>#NAME?</v>
      </c>
      <c r="H412" s="6" t="e">
        <f ca="1"/>
        <v>#NAME?</v>
      </c>
      <c r="I412" s="6"/>
      <c r="J412" s="6"/>
      <c r="K412" s="6"/>
      <c r="L412" s="6"/>
      <c r="M412" s="6"/>
      <c r="N412" s="6"/>
      <c r="O412" s="6"/>
      <c r="P412" s="6"/>
      <c r="Q412" s="6"/>
      <c r="R412" s="6"/>
      <c r="S412" s="6"/>
      <c r="T412" s="6"/>
    </row>
    <row r="413" spans="1:20">
      <c r="A413" s="6">
        <v>0</v>
      </c>
      <c r="B413" s="6">
        <v>0</v>
      </c>
      <c r="C413" s="6" t="e">
        <f ca="1"/>
        <v>#NAME?</v>
      </c>
      <c r="D413" s="6" t="e">
        <f ca="1"/>
        <v>#NAME?</v>
      </c>
      <c r="E413" s="6" t="e">
        <f ca="1"/>
        <v>#NAME?</v>
      </c>
      <c r="F413" s="6" t="e">
        <f ca="1"/>
        <v>#NAME?</v>
      </c>
      <c r="G413" s="6" t="e">
        <f ca="1"/>
        <v>#NAME?</v>
      </c>
      <c r="H413" s="6" t="e">
        <f ca="1"/>
        <v>#NAME?</v>
      </c>
      <c r="I413" s="6"/>
      <c r="J413" s="6"/>
      <c r="K413" s="6"/>
      <c r="L413" s="6"/>
      <c r="M413" s="6"/>
      <c r="N413" s="6"/>
      <c r="O413" s="6"/>
      <c r="P413" s="6"/>
      <c r="Q413" s="6"/>
      <c r="R413" s="6"/>
      <c r="S413" s="6"/>
      <c r="T413" s="6"/>
    </row>
    <row r="414" spans="1:20">
      <c r="A414" s="6">
        <v>0</v>
      </c>
      <c r="B414" s="6">
        <v>0</v>
      </c>
      <c r="C414" s="6" t="e">
        <f ca="1"/>
        <v>#NAME?</v>
      </c>
      <c r="D414" s="6" t="e">
        <f ca="1"/>
        <v>#NAME?</v>
      </c>
      <c r="E414" s="6" t="e">
        <f ca="1"/>
        <v>#NAME?</v>
      </c>
      <c r="F414" s="6" t="e">
        <f ca="1"/>
        <v>#NAME?</v>
      </c>
      <c r="G414" s="6" t="e">
        <f ca="1"/>
        <v>#NAME?</v>
      </c>
      <c r="H414" s="6" t="e">
        <f ca="1"/>
        <v>#NAME?</v>
      </c>
      <c r="I414" s="6"/>
      <c r="J414" s="6"/>
      <c r="K414" s="6"/>
      <c r="L414" s="6"/>
      <c r="M414" s="6"/>
      <c r="N414" s="6"/>
      <c r="O414" s="6"/>
      <c r="P414" s="6"/>
      <c r="Q414" s="6"/>
      <c r="R414" s="6"/>
      <c r="S414" s="6"/>
      <c r="T414" s="6"/>
    </row>
    <row r="415" spans="1:20">
      <c r="A415" s="6">
        <v>0</v>
      </c>
      <c r="B415" s="6">
        <v>0</v>
      </c>
      <c r="C415" s="6" t="e">
        <f ca="1"/>
        <v>#NAME?</v>
      </c>
      <c r="D415" s="6" t="e">
        <f ca="1"/>
        <v>#NAME?</v>
      </c>
      <c r="E415" s="6" t="e">
        <f ca="1"/>
        <v>#NAME?</v>
      </c>
      <c r="F415" s="6" t="e">
        <f ca="1"/>
        <v>#NAME?</v>
      </c>
      <c r="G415" s="6" t="e">
        <f ca="1"/>
        <v>#NAME?</v>
      </c>
      <c r="H415" s="6" t="e">
        <f ca="1"/>
        <v>#NAME?</v>
      </c>
      <c r="I415" s="6"/>
      <c r="J415" s="6"/>
      <c r="K415" s="6"/>
      <c r="L415" s="6"/>
      <c r="M415" s="6"/>
      <c r="N415" s="6"/>
      <c r="O415" s="6"/>
      <c r="P415" s="6"/>
      <c r="Q415" s="6"/>
      <c r="R415" s="6"/>
      <c r="S415" s="6"/>
      <c r="T415" s="6"/>
    </row>
    <row r="416" spans="1:20">
      <c r="A416" s="6">
        <v>0</v>
      </c>
      <c r="B416" s="6">
        <v>0</v>
      </c>
      <c r="C416" s="6" t="e">
        <f ca="1"/>
        <v>#NAME?</v>
      </c>
      <c r="D416" s="6" t="e">
        <f ca="1"/>
        <v>#NAME?</v>
      </c>
      <c r="E416" s="6" t="e">
        <f ca="1"/>
        <v>#NAME?</v>
      </c>
      <c r="F416" s="6" t="e">
        <f ca="1"/>
        <v>#NAME?</v>
      </c>
      <c r="G416" s="6" t="e">
        <f ca="1"/>
        <v>#NAME?</v>
      </c>
      <c r="H416" s="6" t="e">
        <f ca="1"/>
        <v>#NAME?</v>
      </c>
      <c r="I416" s="6"/>
      <c r="J416" s="6"/>
      <c r="K416" s="6"/>
      <c r="L416" s="6"/>
      <c r="M416" s="6"/>
      <c r="N416" s="6"/>
      <c r="O416" s="6"/>
      <c r="P416" s="6"/>
      <c r="Q416" s="6"/>
      <c r="R416" s="6"/>
      <c r="S416" s="6"/>
      <c r="T416" s="6"/>
    </row>
    <row r="417" spans="1:20">
      <c r="A417" s="6">
        <v>0</v>
      </c>
      <c r="B417" s="6">
        <v>0</v>
      </c>
      <c r="C417" s="6" t="e">
        <f ca="1"/>
        <v>#NAME?</v>
      </c>
      <c r="D417" s="6" t="e">
        <f ca="1"/>
        <v>#NAME?</v>
      </c>
      <c r="E417" s="6" t="e">
        <f ca="1"/>
        <v>#NAME?</v>
      </c>
      <c r="F417" s="6" t="e">
        <f ca="1"/>
        <v>#NAME?</v>
      </c>
      <c r="G417" s="6" t="e">
        <f ca="1"/>
        <v>#NAME?</v>
      </c>
      <c r="H417" s="6" t="e">
        <f ca="1"/>
        <v>#NAME?</v>
      </c>
      <c r="I417" s="6"/>
      <c r="J417" s="6"/>
      <c r="K417" s="6"/>
      <c r="L417" s="6"/>
      <c r="M417" s="6"/>
      <c r="N417" s="6"/>
      <c r="O417" s="6"/>
      <c r="P417" s="6"/>
      <c r="Q417" s="6"/>
      <c r="R417" s="6"/>
      <c r="S417" s="6"/>
      <c r="T417" s="6"/>
    </row>
    <row r="418" spans="1:20">
      <c r="A418" s="6">
        <v>0</v>
      </c>
      <c r="B418" s="6">
        <v>0</v>
      </c>
      <c r="C418" s="6" t="e">
        <f ca="1"/>
        <v>#NAME?</v>
      </c>
      <c r="D418" s="6" t="e">
        <f ca="1"/>
        <v>#NAME?</v>
      </c>
      <c r="E418" s="6" t="e">
        <f ca="1"/>
        <v>#NAME?</v>
      </c>
      <c r="F418" s="6" t="e">
        <f ca="1"/>
        <v>#NAME?</v>
      </c>
      <c r="G418" s="6" t="e">
        <f ca="1"/>
        <v>#NAME?</v>
      </c>
      <c r="H418" s="6" t="e">
        <f ca="1"/>
        <v>#NAME?</v>
      </c>
      <c r="I418" s="6"/>
      <c r="J418" s="6"/>
      <c r="K418" s="6"/>
      <c r="L418" s="6"/>
      <c r="M418" s="6"/>
      <c r="N418" s="6"/>
      <c r="O418" s="6"/>
      <c r="P418" s="6"/>
      <c r="Q418" s="6"/>
      <c r="R418" s="6"/>
      <c r="S418" s="6"/>
      <c r="T418" s="6"/>
    </row>
    <row r="419" spans="1:20">
      <c r="A419" s="6">
        <v>0</v>
      </c>
      <c r="B419" s="6">
        <v>0</v>
      </c>
      <c r="C419" s="6" t="e">
        <f ca="1"/>
        <v>#NAME?</v>
      </c>
      <c r="D419" s="6" t="e">
        <f ca="1"/>
        <v>#NAME?</v>
      </c>
      <c r="E419" s="6" t="e">
        <f ca="1"/>
        <v>#NAME?</v>
      </c>
      <c r="F419" s="6" t="e">
        <f ca="1"/>
        <v>#NAME?</v>
      </c>
      <c r="G419" s="6" t="e">
        <f ca="1"/>
        <v>#NAME?</v>
      </c>
      <c r="H419" s="6" t="e">
        <f ca="1"/>
        <v>#NAME?</v>
      </c>
      <c r="I419" s="6"/>
      <c r="J419" s="6"/>
      <c r="K419" s="6"/>
      <c r="L419" s="6"/>
      <c r="M419" s="6"/>
      <c r="N419" s="6"/>
      <c r="O419" s="6"/>
      <c r="P419" s="6"/>
      <c r="Q419" s="6"/>
      <c r="R419" s="6"/>
      <c r="S419" s="6"/>
      <c r="T419" s="6"/>
    </row>
    <row r="420" spans="1:20">
      <c r="A420" s="6">
        <v>0</v>
      </c>
      <c r="B420" s="6">
        <v>0</v>
      </c>
      <c r="C420" s="6" t="e">
        <f ca="1"/>
        <v>#NAME?</v>
      </c>
      <c r="D420" s="6" t="e">
        <f ca="1"/>
        <v>#NAME?</v>
      </c>
      <c r="E420" s="6" t="e">
        <f ca="1"/>
        <v>#NAME?</v>
      </c>
      <c r="F420" s="6" t="e">
        <f ca="1"/>
        <v>#NAME?</v>
      </c>
      <c r="G420" s="6" t="e">
        <f ca="1"/>
        <v>#NAME?</v>
      </c>
      <c r="H420" s="6" t="e">
        <f ca="1"/>
        <v>#NAME?</v>
      </c>
      <c r="I420" s="6"/>
      <c r="J420" s="6"/>
      <c r="K420" s="6"/>
      <c r="L420" s="6"/>
      <c r="M420" s="6"/>
      <c r="N420" s="6"/>
      <c r="O420" s="6"/>
      <c r="P420" s="6"/>
      <c r="Q420" s="6"/>
      <c r="R420" s="6"/>
      <c r="S420" s="6"/>
      <c r="T420" s="6"/>
    </row>
    <row r="421" spans="1:20">
      <c r="A421" s="6">
        <v>0</v>
      </c>
      <c r="B421" s="6">
        <v>0</v>
      </c>
      <c r="C421" s="6" t="e">
        <f ca="1"/>
        <v>#NAME?</v>
      </c>
      <c r="D421" s="6" t="e">
        <f ca="1"/>
        <v>#NAME?</v>
      </c>
      <c r="E421" s="6" t="e">
        <f ca="1"/>
        <v>#NAME?</v>
      </c>
      <c r="F421" s="6" t="e">
        <f ca="1"/>
        <v>#NAME?</v>
      </c>
      <c r="G421" s="6" t="e">
        <f ca="1"/>
        <v>#NAME?</v>
      </c>
      <c r="H421" s="6" t="e">
        <f ca="1"/>
        <v>#NAME?</v>
      </c>
      <c r="I421" s="6"/>
      <c r="J421" s="6"/>
      <c r="K421" s="6"/>
      <c r="L421" s="6"/>
      <c r="M421" s="6"/>
      <c r="N421" s="6"/>
      <c r="O421" s="6"/>
      <c r="P421" s="6"/>
      <c r="Q421" s="6"/>
      <c r="R421" s="6"/>
      <c r="S421" s="6"/>
      <c r="T421" s="6"/>
    </row>
    <row r="422" spans="1:20">
      <c r="A422" s="6">
        <v>0</v>
      </c>
      <c r="B422" s="6">
        <v>0</v>
      </c>
      <c r="C422" s="6" t="e">
        <f ca="1"/>
        <v>#NAME?</v>
      </c>
      <c r="D422" s="6" t="e">
        <f ca="1"/>
        <v>#NAME?</v>
      </c>
      <c r="E422" s="6" t="e">
        <f ca="1"/>
        <v>#NAME?</v>
      </c>
      <c r="F422" s="6" t="e">
        <f ca="1"/>
        <v>#NAME?</v>
      </c>
      <c r="G422" s="6" t="e">
        <f ca="1"/>
        <v>#NAME?</v>
      </c>
      <c r="H422" s="6" t="e">
        <f ca="1"/>
        <v>#NAME?</v>
      </c>
      <c r="I422" s="6"/>
      <c r="J422" s="6"/>
      <c r="K422" s="6"/>
      <c r="L422" s="6"/>
      <c r="M422" s="6"/>
      <c r="N422" s="6"/>
      <c r="O422" s="6"/>
      <c r="P422" s="6"/>
      <c r="Q422" s="6"/>
      <c r="R422" s="6"/>
      <c r="S422" s="6"/>
      <c r="T422" s="6"/>
    </row>
    <row r="423" spans="1:20">
      <c r="A423" s="6">
        <v>0</v>
      </c>
      <c r="B423" s="6">
        <v>0</v>
      </c>
      <c r="C423" s="6" t="e">
        <f ca="1"/>
        <v>#NAME?</v>
      </c>
      <c r="D423" s="6" t="e">
        <f ca="1"/>
        <v>#NAME?</v>
      </c>
      <c r="E423" s="6" t="e">
        <f ca="1"/>
        <v>#NAME?</v>
      </c>
      <c r="F423" s="6" t="e">
        <f ca="1"/>
        <v>#NAME?</v>
      </c>
      <c r="G423" s="6" t="e">
        <f ca="1"/>
        <v>#NAME?</v>
      </c>
      <c r="H423" s="6" t="e">
        <f ca="1"/>
        <v>#NAME?</v>
      </c>
      <c r="I423" s="6"/>
      <c r="J423" s="6"/>
      <c r="K423" s="6"/>
      <c r="L423" s="6"/>
      <c r="M423" s="6"/>
      <c r="N423" s="6"/>
      <c r="O423" s="6"/>
      <c r="P423" s="6"/>
      <c r="Q423" s="6"/>
      <c r="R423" s="6"/>
      <c r="S423" s="6"/>
      <c r="T423" s="6"/>
    </row>
    <row r="424" spans="1:20">
      <c r="A424" s="6">
        <v>0</v>
      </c>
      <c r="B424" s="6">
        <v>0</v>
      </c>
      <c r="C424" s="6" t="e">
        <f ca="1"/>
        <v>#NAME?</v>
      </c>
      <c r="D424" s="6" t="e">
        <f ca="1"/>
        <v>#NAME?</v>
      </c>
      <c r="E424" s="6" t="e">
        <f ca="1"/>
        <v>#NAME?</v>
      </c>
      <c r="F424" s="6" t="e">
        <f ca="1"/>
        <v>#NAME?</v>
      </c>
      <c r="G424" s="6" t="e">
        <f ca="1"/>
        <v>#NAME?</v>
      </c>
      <c r="H424" s="6" t="e">
        <f ca="1"/>
        <v>#NAME?</v>
      </c>
      <c r="I424" s="6"/>
      <c r="J424" s="6"/>
      <c r="K424" s="6"/>
      <c r="L424" s="6"/>
      <c r="M424" s="6"/>
      <c r="N424" s="6"/>
      <c r="O424" s="6"/>
      <c r="P424" s="6"/>
      <c r="Q424" s="6"/>
      <c r="R424" s="6"/>
      <c r="S424" s="6"/>
      <c r="T424" s="6"/>
    </row>
    <row r="425" spans="1:20">
      <c r="A425" s="6">
        <v>0</v>
      </c>
      <c r="B425" s="6">
        <v>0</v>
      </c>
      <c r="C425" s="6" t="e">
        <f ca="1"/>
        <v>#NAME?</v>
      </c>
      <c r="D425" s="6" t="e">
        <f ca="1"/>
        <v>#NAME?</v>
      </c>
      <c r="E425" s="6" t="e">
        <f ca="1"/>
        <v>#NAME?</v>
      </c>
      <c r="F425" s="6" t="e">
        <f ca="1"/>
        <v>#NAME?</v>
      </c>
      <c r="G425" s="6" t="e">
        <f ca="1"/>
        <v>#NAME?</v>
      </c>
      <c r="H425" s="6" t="e">
        <f ca="1"/>
        <v>#NAME?</v>
      </c>
      <c r="I425" s="6"/>
      <c r="J425" s="6"/>
      <c r="K425" s="6"/>
      <c r="L425" s="6"/>
      <c r="M425" s="6"/>
      <c r="N425" s="6"/>
      <c r="O425" s="6"/>
      <c r="P425" s="6"/>
      <c r="Q425" s="6"/>
      <c r="R425" s="6"/>
      <c r="S425" s="6"/>
      <c r="T425" s="6"/>
    </row>
    <row r="426" spans="1:20">
      <c r="A426" s="6">
        <v>0</v>
      </c>
      <c r="B426" s="6">
        <v>0</v>
      </c>
      <c r="C426" s="6" t="e">
        <f ca="1"/>
        <v>#NAME?</v>
      </c>
      <c r="D426" s="6" t="e">
        <f ca="1"/>
        <v>#NAME?</v>
      </c>
      <c r="E426" s="6" t="e">
        <f ca="1"/>
        <v>#NAME?</v>
      </c>
      <c r="F426" s="6" t="e">
        <f ca="1"/>
        <v>#NAME?</v>
      </c>
      <c r="G426" s="6" t="e">
        <f ca="1"/>
        <v>#NAME?</v>
      </c>
      <c r="H426" s="6" t="e">
        <f ca="1"/>
        <v>#NAME?</v>
      </c>
      <c r="I426" s="6"/>
      <c r="J426" s="6"/>
      <c r="K426" s="6"/>
      <c r="L426" s="6"/>
      <c r="M426" s="6"/>
      <c r="N426" s="6"/>
      <c r="O426" s="6"/>
      <c r="P426" s="6"/>
      <c r="Q426" s="6"/>
      <c r="R426" s="6"/>
      <c r="S426" s="6"/>
      <c r="T426" s="6"/>
    </row>
    <row r="427" spans="1:20">
      <c r="A427" s="6">
        <v>0</v>
      </c>
      <c r="B427" s="6">
        <v>0</v>
      </c>
      <c r="C427" s="6" t="e">
        <f ca="1"/>
        <v>#NAME?</v>
      </c>
      <c r="D427" s="6" t="e">
        <f ca="1"/>
        <v>#NAME?</v>
      </c>
      <c r="E427" s="6" t="e">
        <f ca="1"/>
        <v>#NAME?</v>
      </c>
      <c r="F427" s="6" t="e">
        <f ca="1"/>
        <v>#NAME?</v>
      </c>
      <c r="G427" s="6" t="e">
        <f ca="1"/>
        <v>#NAME?</v>
      </c>
      <c r="H427" s="6" t="e">
        <f ca="1"/>
        <v>#NAME?</v>
      </c>
      <c r="I427" s="6"/>
      <c r="J427" s="6"/>
      <c r="K427" s="6"/>
      <c r="L427" s="6"/>
      <c r="M427" s="6"/>
      <c r="N427" s="6"/>
      <c r="O427" s="6"/>
      <c r="P427" s="6"/>
      <c r="Q427" s="6"/>
      <c r="R427" s="6"/>
      <c r="S427" s="6"/>
      <c r="T427" s="6"/>
    </row>
    <row r="428" spans="1:20">
      <c r="A428" s="6">
        <v>0</v>
      </c>
      <c r="B428" s="6">
        <v>0</v>
      </c>
      <c r="C428" s="6" t="e">
        <f ca="1"/>
        <v>#NAME?</v>
      </c>
      <c r="D428" s="6" t="e">
        <f ca="1"/>
        <v>#NAME?</v>
      </c>
      <c r="E428" s="6" t="e">
        <f ca="1"/>
        <v>#NAME?</v>
      </c>
      <c r="F428" s="6" t="e">
        <f ca="1"/>
        <v>#NAME?</v>
      </c>
      <c r="G428" s="6" t="e">
        <f ca="1"/>
        <v>#NAME?</v>
      </c>
      <c r="H428" s="6" t="e">
        <f ca="1"/>
        <v>#NAME?</v>
      </c>
      <c r="I428" s="6"/>
      <c r="J428" s="6"/>
      <c r="K428" s="6"/>
      <c r="L428" s="6"/>
      <c r="M428" s="6"/>
      <c r="N428" s="6"/>
      <c r="O428" s="6"/>
      <c r="P428" s="6"/>
      <c r="Q428" s="6"/>
      <c r="R428" s="6"/>
      <c r="S428" s="6"/>
      <c r="T428" s="6"/>
    </row>
    <row r="429" spans="1:20">
      <c r="A429" s="6">
        <v>0</v>
      </c>
      <c r="B429" s="6">
        <v>0</v>
      </c>
      <c r="C429" s="6" t="e">
        <f ca="1"/>
        <v>#NAME?</v>
      </c>
      <c r="D429" s="6" t="e">
        <f ca="1"/>
        <v>#NAME?</v>
      </c>
      <c r="E429" s="6" t="e">
        <f ca="1"/>
        <v>#NAME?</v>
      </c>
      <c r="F429" s="6" t="e">
        <f ca="1"/>
        <v>#NAME?</v>
      </c>
      <c r="G429" s="6" t="e">
        <f ca="1"/>
        <v>#NAME?</v>
      </c>
      <c r="H429" s="6" t="e">
        <f ca="1"/>
        <v>#NAME?</v>
      </c>
      <c r="I429" s="6"/>
      <c r="J429" s="6"/>
      <c r="K429" s="6"/>
      <c r="L429" s="6"/>
      <c r="M429" s="6"/>
      <c r="N429" s="6"/>
      <c r="O429" s="6"/>
      <c r="P429" s="6"/>
      <c r="Q429" s="6"/>
      <c r="R429" s="6"/>
      <c r="S429" s="6"/>
      <c r="T429" s="6"/>
    </row>
    <row r="430" spans="1:20">
      <c r="A430" s="6">
        <v>0</v>
      </c>
      <c r="B430" s="6">
        <v>0</v>
      </c>
      <c r="C430" s="6" t="e">
        <f ca="1"/>
        <v>#NAME?</v>
      </c>
      <c r="D430" s="6" t="e">
        <f ca="1"/>
        <v>#NAME?</v>
      </c>
      <c r="E430" s="6" t="e">
        <f ca="1"/>
        <v>#NAME?</v>
      </c>
      <c r="F430" s="6" t="e">
        <f ca="1"/>
        <v>#NAME?</v>
      </c>
      <c r="G430" s="6" t="e">
        <f ca="1"/>
        <v>#NAME?</v>
      </c>
      <c r="H430" s="6" t="e">
        <f ca="1"/>
        <v>#NAME?</v>
      </c>
      <c r="I430" s="6"/>
      <c r="J430" s="6"/>
      <c r="K430" s="6"/>
      <c r="L430" s="6"/>
      <c r="M430" s="6"/>
      <c r="N430" s="6"/>
      <c r="O430" s="6"/>
      <c r="P430" s="6"/>
      <c r="Q430" s="6"/>
      <c r="R430" s="6"/>
      <c r="S430" s="6"/>
      <c r="T430" s="6"/>
    </row>
    <row r="431" spans="1:20">
      <c r="A431" s="6">
        <v>0</v>
      </c>
      <c r="B431" s="6">
        <v>0</v>
      </c>
      <c r="C431" s="6" t="e">
        <f ca="1"/>
        <v>#NAME?</v>
      </c>
      <c r="D431" s="6" t="e">
        <f ca="1"/>
        <v>#NAME?</v>
      </c>
      <c r="E431" s="6" t="e">
        <f ca="1"/>
        <v>#NAME?</v>
      </c>
      <c r="F431" s="6" t="e">
        <f ca="1"/>
        <v>#NAME?</v>
      </c>
      <c r="G431" s="6" t="e">
        <f ca="1"/>
        <v>#NAME?</v>
      </c>
      <c r="H431" s="6" t="e">
        <f ca="1"/>
        <v>#NAME?</v>
      </c>
      <c r="I431" s="6"/>
      <c r="J431" s="6"/>
      <c r="K431" s="6"/>
      <c r="L431" s="6"/>
      <c r="M431" s="6"/>
      <c r="N431" s="6"/>
      <c r="O431" s="6"/>
      <c r="P431" s="6"/>
      <c r="Q431" s="6"/>
      <c r="R431" s="6"/>
      <c r="S431" s="6"/>
      <c r="T431" s="6"/>
    </row>
    <row r="432" spans="1:20">
      <c r="A432" s="6">
        <v>0</v>
      </c>
      <c r="B432" s="6">
        <v>0</v>
      </c>
      <c r="C432" s="6" t="e">
        <f ca="1"/>
        <v>#NAME?</v>
      </c>
      <c r="D432" s="6" t="e">
        <f ca="1"/>
        <v>#NAME?</v>
      </c>
      <c r="E432" s="6" t="e">
        <f ca="1"/>
        <v>#NAME?</v>
      </c>
      <c r="F432" s="6" t="e">
        <f ca="1"/>
        <v>#NAME?</v>
      </c>
      <c r="G432" s="6" t="e">
        <f ca="1"/>
        <v>#NAME?</v>
      </c>
      <c r="H432" s="6" t="e">
        <f ca="1"/>
        <v>#NAME?</v>
      </c>
      <c r="I432" s="6"/>
      <c r="J432" s="6"/>
      <c r="K432" s="6"/>
      <c r="L432" s="6"/>
      <c r="M432" s="6"/>
      <c r="N432" s="6"/>
      <c r="O432" s="6"/>
      <c r="P432" s="6"/>
      <c r="Q432" s="6"/>
      <c r="R432" s="6"/>
      <c r="S432" s="6"/>
      <c r="T432" s="6"/>
    </row>
    <row r="433" spans="1:20">
      <c r="A433" s="6">
        <v>0</v>
      </c>
      <c r="B433" s="6">
        <v>0</v>
      </c>
      <c r="C433" s="6" t="e">
        <f ca="1"/>
        <v>#NAME?</v>
      </c>
      <c r="D433" s="6" t="e">
        <f ca="1"/>
        <v>#NAME?</v>
      </c>
      <c r="E433" s="6" t="e">
        <f ca="1"/>
        <v>#NAME?</v>
      </c>
      <c r="F433" s="6" t="e">
        <f ca="1"/>
        <v>#NAME?</v>
      </c>
      <c r="G433" s="6" t="e">
        <f ca="1"/>
        <v>#NAME?</v>
      </c>
      <c r="H433" s="6" t="e">
        <f ca="1"/>
        <v>#NAME?</v>
      </c>
      <c r="I433" s="6"/>
      <c r="J433" s="6"/>
      <c r="K433" s="6"/>
      <c r="L433" s="6"/>
      <c r="M433" s="6"/>
      <c r="N433" s="6"/>
      <c r="O433" s="6"/>
      <c r="P433" s="6"/>
      <c r="Q433" s="6"/>
      <c r="R433" s="6"/>
      <c r="S433" s="6"/>
      <c r="T433" s="6"/>
    </row>
    <row r="434" spans="1:20">
      <c r="A434" s="6">
        <v>0</v>
      </c>
      <c r="B434" s="6">
        <v>0</v>
      </c>
      <c r="C434" s="6" t="e">
        <f ca="1"/>
        <v>#NAME?</v>
      </c>
      <c r="D434" s="6" t="e">
        <f ca="1"/>
        <v>#NAME?</v>
      </c>
      <c r="E434" s="6" t="e">
        <f ca="1"/>
        <v>#NAME?</v>
      </c>
      <c r="F434" s="6" t="e">
        <f ca="1"/>
        <v>#NAME?</v>
      </c>
      <c r="G434" s="6" t="e">
        <f ca="1"/>
        <v>#NAME?</v>
      </c>
      <c r="H434" s="6" t="e">
        <f ca="1"/>
        <v>#NAME?</v>
      </c>
      <c r="I434" s="6"/>
      <c r="J434" s="6"/>
      <c r="K434" s="6"/>
      <c r="L434" s="6"/>
      <c r="M434" s="6"/>
      <c r="N434" s="6"/>
      <c r="O434" s="6"/>
      <c r="P434" s="6"/>
      <c r="Q434" s="6"/>
      <c r="R434" s="6"/>
      <c r="S434" s="6"/>
      <c r="T434" s="6"/>
    </row>
    <row r="435" spans="1:20">
      <c r="A435" s="6">
        <v>0</v>
      </c>
      <c r="B435" s="6">
        <v>0</v>
      </c>
      <c r="C435" s="6" t="e">
        <f ca="1"/>
        <v>#NAME?</v>
      </c>
      <c r="D435" s="6" t="e">
        <f ca="1"/>
        <v>#NAME?</v>
      </c>
      <c r="E435" s="6" t="e">
        <f ca="1"/>
        <v>#NAME?</v>
      </c>
      <c r="F435" s="6" t="e">
        <f ca="1"/>
        <v>#NAME?</v>
      </c>
      <c r="G435" s="6" t="e">
        <f ca="1"/>
        <v>#NAME?</v>
      </c>
      <c r="H435" s="6" t="e">
        <f ca="1"/>
        <v>#NAME?</v>
      </c>
      <c r="I435" s="6"/>
      <c r="J435" s="6"/>
      <c r="K435" s="6"/>
      <c r="L435" s="6"/>
      <c r="M435" s="6"/>
      <c r="N435" s="6"/>
      <c r="O435" s="6"/>
      <c r="P435" s="6"/>
      <c r="Q435" s="6"/>
      <c r="R435" s="6"/>
      <c r="S435" s="6"/>
      <c r="T435" s="6"/>
    </row>
    <row r="436" spans="1:20">
      <c r="A436" s="6">
        <v>0</v>
      </c>
      <c r="B436" s="6">
        <v>0</v>
      </c>
      <c r="C436" s="6" t="e">
        <f ca="1"/>
        <v>#NAME?</v>
      </c>
      <c r="D436" s="6" t="e">
        <f ca="1"/>
        <v>#NAME?</v>
      </c>
      <c r="E436" s="6" t="e">
        <f ca="1"/>
        <v>#NAME?</v>
      </c>
      <c r="F436" s="6" t="e">
        <f ca="1"/>
        <v>#NAME?</v>
      </c>
      <c r="G436" s="6" t="e">
        <f ca="1"/>
        <v>#NAME?</v>
      </c>
      <c r="H436" s="6" t="e">
        <f ca="1"/>
        <v>#NAME?</v>
      </c>
      <c r="I436" s="6"/>
      <c r="J436" s="6"/>
      <c r="K436" s="6"/>
      <c r="L436" s="6"/>
      <c r="M436" s="6"/>
      <c r="N436" s="6"/>
      <c r="O436" s="6"/>
      <c r="P436" s="6"/>
      <c r="Q436" s="6"/>
      <c r="R436" s="6"/>
      <c r="S436" s="6"/>
      <c r="T436" s="6"/>
    </row>
    <row r="437" spans="1:20">
      <c r="A437" s="6">
        <v>0</v>
      </c>
      <c r="B437" s="6">
        <v>0</v>
      </c>
      <c r="C437" s="6" t="e">
        <f ca="1"/>
        <v>#NAME?</v>
      </c>
      <c r="D437" s="6" t="e">
        <f ca="1"/>
        <v>#NAME?</v>
      </c>
      <c r="E437" s="6" t="e">
        <f ca="1"/>
        <v>#NAME?</v>
      </c>
      <c r="F437" s="6" t="e">
        <f ca="1"/>
        <v>#NAME?</v>
      </c>
      <c r="G437" s="6" t="e">
        <f ca="1"/>
        <v>#NAME?</v>
      </c>
      <c r="H437" s="6" t="e">
        <f ca="1"/>
        <v>#NAME?</v>
      </c>
      <c r="I437" s="6"/>
      <c r="J437" s="6"/>
      <c r="K437" s="6"/>
      <c r="L437" s="6"/>
      <c r="M437" s="6"/>
      <c r="N437" s="6"/>
      <c r="O437" s="6"/>
      <c r="P437" s="6"/>
      <c r="Q437" s="6"/>
      <c r="R437" s="6"/>
      <c r="S437" s="6"/>
      <c r="T437" s="6"/>
    </row>
    <row r="438" spans="1:20">
      <c r="A438" s="6">
        <v>0</v>
      </c>
      <c r="B438" s="6">
        <v>0</v>
      </c>
      <c r="C438" s="6" t="e">
        <f ca="1"/>
        <v>#NAME?</v>
      </c>
      <c r="D438" s="6" t="e">
        <f ca="1"/>
        <v>#NAME?</v>
      </c>
      <c r="E438" s="6" t="e">
        <f ca="1"/>
        <v>#NAME?</v>
      </c>
      <c r="F438" s="6" t="e">
        <f ca="1"/>
        <v>#NAME?</v>
      </c>
      <c r="G438" s="6" t="e">
        <f ca="1"/>
        <v>#NAME?</v>
      </c>
      <c r="H438" s="6" t="e">
        <f ca="1"/>
        <v>#NAME?</v>
      </c>
      <c r="I438" s="6"/>
      <c r="J438" s="6"/>
      <c r="K438" s="6"/>
      <c r="L438" s="6"/>
      <c r="M438" s="6"/>
      <c r="N438" s="6"/>
      <c r="O438" s="6"/>
      <c r="P438" s="6"/>
      <c r="Q438" s="6"/>
      <c r="R438" s="6"/>
      <c r="S438" s="6"/>
      <c r="T438" s="6"/>
    </row>
    <row r="439" spans="1:20">
      <c r="A439" s="6">
        <v>0</v>
      </c>
      <c r="B439" s="6">
        <v>0</v>
      </c>
      <c r="C439" s="6" t="e">
        <f ca="1"/>
        <v>#NAME?</v>
      </c>
      <c r="D439" s="6" t="e">
        <f ca="1"/>
        <v>#NAME?</v>
      </c>
      <c r="E439" s="6" t="e">
        <f ca="1"/>
        <v>#NAME?</v>
      </c>
      <c r="F439" s="6" t="e">
        <f ca="1"/>
        <v>#NAME?</v>
      </c>
      <c r="G439" s="6" t="e">
        <f ca="1"/>
        <v>#NAME?</v>
      </c>
      <c r="H439" s="6" t="e">
        <f ca="1"/>
        <v>#NAME?</v>
      </c>
      <c r="I439" s="6"/>
      <c r="J439" s="6"/>
      <c r="K439" s="6"/>
      <c r="L439" s="6"/>
      <c r="M439" s="6"/>
      <c r="N439" s="6"/>
      <c r="O439" s="6"/>
      <c r="P439" s="6"/>
      <c r="Q439" s="6"/>
      <c r="R439" s="6"/>
      <c r="S439" s="6"/>
      <c r="T439" s="6"/>
    </row>
    <row r="440" spans="1:20">
      <c r="A440" s="6">
        <v>0</v>
      </c>
      <c r="B440" s="6">
        <v>0</v>
      </c>
      <c r="C440" s="6" t="e">
        <f ca="1"/>
        <v>#NAME?</v>
      </c>
      <c r="D440" s="6" t="e">
        <f ca="1"/>
        <v>#NAME?</v>
      </c>
      <c r="E440" s="6" t="e">
        <f ca="1"/>
        <v>#NAME?</v>
      </c>
      <c r="F440" s="6" t="e">
        <f ca="1"/>
        <v>#NAME?</v>
      </c>
      <c r="G440" s="6" t="e">
        <f ca="1"/>
        <v>#NAME?</v>
      </c>
      <c r="H440" s="6" t="e">
        <f ca="1"/>
        <v>#NAME?</v>
      </c>
      <c r="I440" s="6"/>
      <c r="J440" s="6"/>
      <c r="K440" s="6"/>
      <c r="L440" s="6"/>
      <c r="M440" s="6"/>
      <c r="N440" s="6"/>
      <c r="O440" s="6"/>
      <c r="P440" s="6"/>
      <c r="Q440" s="6"/>
      <c r="R440" s="6"/>
      <c r="S440" s="6"/>
      <c r="T440" s="6"/>
    </row>
    <row r="441" spans="1:20">
      <c r="A441" s="6">
        <v>0</v>
      </c>
      <c r="B441" s="6">
        <v>0</v>
      </c>
      <c r="C441" s="6" t="e">
        <f ca="1"/>
        <v>#NAME?</v>
      </c>
      <c r="D441" s="6" t="e">
        <f ca="1"/>
        <v>#NAME?</v>
      </c>
      <c r="E441" s="6" t="e">
        <f ca="1"/>
        <v>#NAME?</v>
      </c>
      <c r="F441" s="6" t="e">
        <f ca="1"/>
        <v>#NAME?</v>
      </c>
      <c r="G441" s="6" t="e">
        <f ca="1"/>
        <v>#NAME?</v>
      </c>
      <c r="H441" s="6" t="e">
        <f ca="1"/>
        <v>#NAME?</v>
      </c>
      <c r="I441" s="6"/>
      <c r="J441" s="6"/>
      <c r="K441" s="6"/>
      <c r="L441" s="6"/>
      <c r="M441" s="6"/>
      <c r="N441" s="6"/>
      <c r="O441" s="6"/>
      <c r="P441" s="6"/>
      <c r="Q441" s="6"/>
      <c r="R441" s="6"/>
      <c r="S441" s="6"/>
      <c r="T441" s="6"/>
    </row>
    <row r="442" spans="1:20">
      <c r="A442" s="6">
        <v>0</v>
      </c>
      <c r="B442" s="6">
        <v>0</v>
      </c>
      <c r="C442" s="6" t="e">
        <f ca="1"/>
        <v>#NAME?</v>
      </c>
      <c r="D442" s="6" t="e">
        <f ca="1"/>
        <v>#NAME?</v>
      </c>
      <c r="E442" s="6" t="e">
        <f ca="1"/>
        <v>#NAME?</v>
      </c>
      <c r="F442" s="6" t="e">
        <f ca="1"/>
        <v>#NAME?</v>
      </c>
      <c r="G442" s="6" t="e">
        <f ca="1"/>
        <v>#NAME?</v>
      </c>
      <c r="H442" s="6" t="e">
        <f ca="1"/>
        <v>#NAME?</v>
      </c>
      <c r="I442" s="6"/>
      <c r="J442" s="6"/>
      <c r="K442" s="6"/>
      <c r="L442" s="6"/>
      <c r="M442" s="6"/>
      <c r="N442" s="6"/>
      <c r="O442" s="6"/>
      <c r="P442" s="6"/>
      <c r="Q442" s="6"/>
      <c r="R442" s="6"/>
      <c r="S442" s="6"/>
      <c r="T442" s="6"/>
    </row>
    <row r="443" spans="1:20">
      <c r="A443" s="6">
        <v>0</v>
      </c>
      <c r="B443" s="6">
        <v>0</v>
      </c>
      <c r="C443" s="6" t="e">
        <f ca="1"/>
        <v>#NAME?</v>
      </c>
      <c r="D443" s="6" t="e">
        <f ca="1"/>
        <v>#NAME?</v>
      </c>
      <c r="E443" s="6" t="e">
        <f ca="1"/>
        <v>#NAME?</v>
      </c>
      <c r="F443" s="6" t="e">
        <f ca="1"/>
        <v>#NAME?</v>
      </c>
      <c r="G443" s="6" t="e">
        <f ca="1"/>
        <v>#NAME?</v>
      </c>
      <c r="H443" s="6" t="e">
        <f ca="1"/>
        <v>#NAME?</v>
      </c>
      <c r="I443" s="6"/>
      <c r="J443" s="6"/>
      <c r="K443" s="6"/>
      <c r="L443" s="6"/>
      <c r="M443" s="6"/>
      <c r="N443" s="6"/>
      <c r="O443" s="6"/>
      <c r="P443" s="6"/>
      <c r="Q443" s="6"/>
      <c r="R443" s="6"/>
      <c r="S443" s="6"/>
      <c r="T443" s="6"/>
    </row>
    <row r="444" spans="1:20">
      <c r="A444" s="6">
        <v>0</v>
      </c>
      <c r="B444" s="6">
        <v>0</v>
      </c>
      <c r="C444" s="6" t="e">
        <f ca="1"/>
        <v>#NAME?</v>
      </c>
      <c r="D444" s="6" t="e">
        <f ca="1"/>
        <v>#NAME?</v>
      </c>
      <c r="E444" s="6" t="e">
        <f ca="1"/>
        <v>#NAME?</v>
      </c>
      <c r="F444" s="6" t="e">
        <f ca="1"/>
        <v>#NAME?</v>
      </c>
      <c r="G444" s="6" t="e">
        <f ca="1"/>
        <v>#NAME?</v>
      </c>
      <c r="H444" s="6" t="e">
        <f ca="1"/>
        <v>#NAME?</v>
      </c>
      <c r="I444" s="6"/>
      <c r="J444" s="6"/>
      <c r="K444" s="6"/>
      <c r="L444" s="6"/>
      <c r="M444" s="6"/>
      <c r="N444" s="6"/>
      <c r="O444" s="6"/>
      <c r="P444" s="6"/>
      <c r="Q444" s="6"/>
      <c r="R444" s="6"/>
      <c r="S444" s="6"/>
      <c r="T444" s="6"/>
    </row>
    <row r="445" spans="1:20">
      <c r="A445" s="6">
        <v>0</v>
      </c>
      <c r="B445" s="6">
        <v>0</v>
      </c>
      <c r="C445" s="6" t="e">
        <f ca="1"/>
        <v>#NAME?</v>
      </c>
      <c r="D445" s="6" t="e">
        <f ca="1"/>
        <v>#NAME?</v>
      </c>
      <c r="E445" s="6" t="e">
        <f ca="1"/>
        <v>#NAME?</v>
      </c>
      <c r="F445" s="6" t="e">
        <f ca="1"/>
        <v>#NAME?</v>
      </c>
      <c r="G445" s="6" t="e">
        <f ca="1"/>
        <v>#NAME?</v>
      </c>
      <c r="H445" s="6" t="e">
        <f ca="1"/>
        <v>#NAME?</v>
      </c>
      <c r="I445" s="6"/>
      <c r="J445" s="6"/>
      <c r="K445" s="6"/>
      <c r="L445" s="6"/>
      <c r="M445" s="6"/>
      <c r="N445" s="6"/>
      <c r="O445" s="6"/>
      <c r="P445" s="6"/>
      <c r="Q445" s="6"/>
      <c r="R445" s="6"/>
      <c r="S445" s="6"/>
      <c r="T445" s="6"/>
    </row>
    <row r="446" spans="1:20">
      <c r="A446" s="6">
        <v>0</v>
      </c>
      <c r="B446" s="6">
        <v>0</v>
      </c>
      <c r="C446" s="6" t="e">
        <f ca="1"/>
        <v>#NAME?</v>
      </c>
      <c r="D446" s="6" t="e">
        <f ca="1"/>
        <v>#NAME?</v>
      </c>
      <c r="E446" s="6" t="e">
        <f ca="1"/>
        <v>#NAME?</v>
      </c>
      <c r="F446" s="6" t="e">
        <f ca="1"/>
        <v>#NAME?</v>
      </c>
      <c r="G446" s="6" t="e">
        <f ca="1"/>
        <v>#NAME?</v>
      </c>
      <c r="H446" s="6" t="e">
        <f ca="1"/>
        <v>#NAME?</v>
      </c>
      <c r="I446" s="6"/>
      <c r="J446" s="6"/>
      <c r="K446" s="6"/>
      <c r="L446" s="6"/>
      <c r="M446" s="6"/>
      <c r="N446" s="6"/>
      <c r="O446" s="6"/>
      <c r="P446" s="6"/>
      <c r="Q446" s="6"/>
      <c r="R446" s="6"/>
      <c r="S446" s="6"/>
      <c r="T446" s="6"/>
    </row>
    <row r="447" spans="1:20">
      <c r="A447" s="6">
        <v>0</v>
      </c>
      <c r="B447" s="6">
        <v>0</v>
      </c>
      <c r="C447" s="6" t="e">
        <f ca="1"/>
        <v>#NAME?</v>
      </c>
      <c r="D447" s="6" t="e">
        <f ca="1"/>
        <v>#NAME?</v>
      </c>
      <c r="E447" s="6" t="e">
        <f ca="1"/>
        <v>#NAME?</v>
      </c>
      <c r="F447" s="6" t="e">
        <f ca="1"/>
        <v>#NAME?</v>
      </c>
      <c r="G447" s="6" t="e">
        <f ca="1"/>
        <v>#NAME?</v>
      </c>
      <c r="H447" s="6" t="e">
        <f ca="1"/>
        <v>#NAME?</v>
      </c>
      <c r="I447" s="6"/>
      <c r="J447" s="6"/>
      <c r="K447" s="6"/>
      <c r="L447" s="6"/>
      <c r="M447" s="6"/>
      <c r="N447" s="6"/>
      <c r="O447" s="6"/>
      <c r="P447" s="6"/>
      <c r="Q447" s="6"/>
      <c r="R447" s="6"/>
      <c r="S447" s="6"/>
      <c r="T447" s="6"/>
    </row>
    <row r="448" spans="1:20">
      <c r="A448" s="6">
        <v>0</v>
      </c>
      <c r="B448" s="6">
        <v>0</v>
      </c>
      <c r="C448" s="6" t="e">
        <f ca="1"/>
        <v>#NAME?</v>
      </c>
      <c r="D448" s="6" t="e">
        <f ca="1"/>
        <v>#NAME?</v>
      </c>
      <c r="E448" s="6" t="e">
        <f ca="1"/>
        <v>#NAME?</v>
      </c>
      <c r="F448" s="6" t="e">
        <f ca="1"/>
        <v>#NAME?</v>
      </c>
      <c r="G448" s="6" t="e">
        <f ca="1"/>
        <v>#NAME?</v>
      </c>
      <c r="H448" s="6" t="e">
        <f ca="1"/>
        <v>#NAME?</v>
      </c>
      <c r="I448" s="6"/>
      <c r="J448" s="6"/>
      <c r="K448" s="6"/>
      <c r="L448" s="6"/>
      <c r="M448" s="6"/>
      <c r="N448" s="6"/>
      <c r="O448" s="6"/>
      <c r="P448" s="6"/>
      <c r="Q448" s="6"/>
      <c r="R448" s="6"/>
      <c r="S448" s="6"/>
      <c r="T448" s="6"/>
    </row>
    <row r="449" spans="1:20">
      <c r="A449" s="6">
        <v>0</v>
      </c>
      <c r="B449" s="6">
        <v>0</v>
      </c>
      <c r="C449" s="6" t="e">
        <f ca="1"/>
        <v>#NAME?</v>
      </c>
      <c r="D449" s="6" t="e">
        <f ca="1"/>
        <v>#NAME?</v>
      </c>
      <c r="E449" s="6" t="e">
        <f ca="1"/>
        <v>#NAME?</v>
      </c>
      <c r="F449" s="6" t="e">
        <f ca="1"/>
        <v>#NAME?</v>
      </c>
      <c r="G449" s="6" t="e">
        <f ca="1"/>
        <v>#NAME?</v>
      </c>
      <c r="H449" s="6" t="e">
        <f ca="1"/>
        <v>#NAME?</v>
      </c>
      <c r="I449" s="6"/>
      <c r="J449" s="6"/>
      <c r="K449" s="6"/>
      <c r="L449" s="6"/>
      <c r="M449" s="6"/>
      <c r="N449" s="6"/>
      <c r="O449" s="6"/>
      <c r="P449" s="6"/>
      <c r="Q449" s="6"/>
      <c r="R449" s="6"/>
      <c r="S449" s="6"/>
      <c r="T449" s="6"/>
    </row>
    <row r="450" spans="1:20">
      <c r="A450" s="6">
        <v>0</v>
      </c>
      <c r="B450" s="6">
        <v>0</v>
      </c>
      <c r="C450" s="6" t="e">
        <f ca="1"/>
        <v>#NAME?</v>
      </c>
      <c r="D450" s="6" t="e">
        <f ca="1"/>
        <v>#NAME?</v>
      </c>
      <c r="E450" s="6" t="e">
        <f ca="1"/>
        <v>#NAME?</v>
      </c>
      <c r="F450" s="6" t="e">
        <f ca="1"/>
        <v>#NAME?</v>
      </c>
      <c r="G450" s="6" t="e">
        <f ca="1"/>
        <v>#NAME?</v>
      </c>
      <c r="H450" s="6" t="e">
        <f ca="1"/>
        <v>#NAME?</v>
      </c>
      <c r="I450" s="6"/>
      <c r="J450" s="6"/>
      <c r="K450" s="6"/>
      <c r="L450" s="6"/>
      <c r="M450" s="6"/>
      <c r="N450" s="6"/>
      <c r="O450" s="6"/>
      <c r="P450" s="6"/>
      <c r="Q450" s="6"/>
      <c r="R450" s="6"/>
      <c r="S450" s="6"/>
      <c r="T450" s="6"/>
    </row>
    <row r="451" spans="1:20">
      <c r="A451" s="6">
        <v>0</v>
      </c>
      <c r="B451" s="6">
        <v>0</v>
      </c>
      <c r="C451" s="6" t="e">
        <f ca="1"/>
        <v>#NAME?</v>
      </c>
      <c r="D451" s="6" t="e">
        <f ca="1"/>
        <v>#NAME?</v>
      </c>
      <c r="E451" s="6" t="e">
        <f ca="1"/>
        <v>#NAME?</v>
      </c>
      <c r="F451" s="6" t="e">
        <f ca="1"/>
        <v>#NAME?</v>
      </c>
      <c r="G451" s="6" t="e">
        <f ca="1"/>
        <v>#NAME?</v>
      </c>
      <c r="H451" s="6" t="e">
        <f ca="1"/>
        <v>#NAME?</v>
      </c>
      <c r="I451" s="6"/>
      <c r="J451" s="6"/>
      <c r="K451" s="6"/>
      <c r="L451" s="6"/>
      <c r="M451" s="6"/>
      <c r="N451" s="6"/>
      <c r="O451" s="6"/>
      <c r="P451" s="6"/>
      <c r="Q451" s="6"/>
      <c r="R451" s="6"/>
      <c r="S451" s="6"/>
      <c r="T451" s="6"/>
    </row>
    <row r="452" spans="1:20">
      <c r="A452" s="6">
        <v>0</v>
      </c>
      <c r="B452" s="6">
        <v>0</v>
      </c>
      <c r="C452" s="6" t="e">
        <f ca="1"/>
        <v>#NAME?</v>
      </c>
      <c r="D452" s="6" t="e">
        <f ca="1"/>
        <v>#NAME?</v>
      </c>
      <c r="E452" s="6" t="e">
        <f ca="1"/>
        <v>#NAME?</v>
      </c>
      <c r="F452" s="6" t="e">
        <f ca="1"/>
        <v>#NAME?</v>
      </c>
      <c r="G452" s="6" t="e">
        <f ca="1"/>
        <v>#NAME?</v>
      </c>
      <c r="H452" s="6" t="e">
        <f ca="1"/>
        <v>#NAME?</v>
      </c>
      <c r="I452" s="6"/>
      <c r="J452" s="6"/>
      <c r="K452" s="6"/>
      <c r="L452" s="6"/>
      <c r="M452" s="6"/>
      <c r="N452" s="6"/>
      <c r="O452" s="6"/>
      <c r="P452" s="6"/>
      <c r="Q452" s="6"/>
      <c r="R452" s="6"/>
      <c r="S452" s="6"/>
      <c r="T452" s="6"/>
    </row>
    <row r="453" spans="1:20">
      <c r="A453" s="6">
        <v>0</v>
      </c>
      <c r="B453" s="6">
        <v>0</v>
      </c>
      <c r="C453" s="6" t="e">
        <f ca="1"/>
        <v>#NAME?</v>
      </c>
      <c r="D453" s="6" t="e">
        <f ca="1"/>
        <v>#NAME?</v>
      </c>
      <c r="E453" s="6" t="e">
        <f ca="1"/>
        <v>#NAME?</v>
      </c>
      <c r="F453" s="6" t="e">
        <f ca="1"/>
        <v>#NAME?</v>
      </c>
      <c r="G453" s="6" t="e">
        <f ca="1"/>
        <v>#NAME?</v>
      </c>
      <c r="H453" s="6" t="e">
        <f ca="1"/>
        <v>#NAME?</v>
      </c>
      <c r="I453" s="6"/>
      <c r="J453" s="6"/>
      <c r="K453" s="6"/>
      <c r="L453" s="6"/>
      <c r="M453" s="6"/>
      <c r="N453" s="6"/>
      <c r="O453" s="6"/>
      <c r="P453" s="6"/>
      <c r="Q453" s="6"/>
      <c r="R453" s="6"/>
      <c r="S453" s="6"/>
      <c r="T453" s="6"/>
    </row>
    <row r="454" spans="1:20">
      <c r="A454" s="6">
        <v>0</v>
      </c>
      <c r="B454" s="6">
        <v>0</v>
      </c>
      <c r="C454" s="6" t="e">
        <f ca="1"/>
        <v>#NAME?</v>
      </c>
      <c r="D454" s="6" t="e">
        <f ca="1"/>
        <v>#NAME?</v>
      </c>
      <c r="E454" s="6" t="e">
        <f ca="1"/>
        <v>#NAME?</v>
      </c>
      <c r="F454" s="6" t="e">
        <f ca="1"/>
        <v>#NAME?</v>
      </c>
      <c r="G454" s="6" t="e">
        <f ca="1"/>
        <v>#NAME?</v>
      </c>
      <c r="H454" s="6" t="e">
        <f ca="1"/>
        <v>#NAME?</v>
      </c>
      <c r="I454" s="6"/>
      <c r="J454" s="6"/>
      <c r="K454" s="6"/>
      <c r="L454" s="6"/>
      <c r="M454" s="6"/>
      <c r="N454" s="6"/>
      <c r="O454" s="6"/>
      <c r="P454" s="6"/>
      <c r="Q454" s="6"/>
      <c r="R454" s="6"/>
      <c r="S454" s="6"/>
      <c r="T454" s="6"/>
    </row>
    <row r="455" spans="1:20">
      <c r="A455" s="6">
        <v>0</v>
      </c>
      <c r="B455" s="6">
        <v>0</v>
      </c>
      <c r="C455" s="6" t="e">
        <f ca="1"/>
        <v>#NAME?</v>
      </c>
      <c r="D455" s="6" t="e">
        <f ca="1"/>
        <v>#NAME?</v>
      </c>
      <c r="E455" s="6" t="e">
        <f ca="1"/>
        <v>#NAME?</v>
      </c>
      <c r="F455" s="6" t="e">
        <f ca="1"/>
        <v>#NAME?</v>
      </c>
      <c r="G455" s="6" t="e">
        <f ca="1"/>
        <v>#NAME?</v>
      </c>
      <c r="H455" s="6" t="e">
        <f ca="1"/>
        <v>#NAME?</v>
      </c>
      <c r="I455" s="6"/>
      <c r="J455" s="6"/>
      <c r="K455" s="6"/>
      <c r="L455" s="6"/>
      <c r="M455" s="6"/>
      <c r="N455" s="6"/>
      <c r="O455" s="6"/>
      <c r="P455" s="6"/>
      <c r="Q455" s="6"/>
      <c r="R455" s="6"/>
      <c r="S455" s="6"/>
      <c r="T455" s="6"/>
    </row>
    <row r="456" spans="1:20">
      <c r="A456" s="6">
        <v>0</v>
      </c>
      <c r="B456" s="6">
        <v>0</v>
      </c>
      <c r="C456" s="6" t="e">
        <f ca="1"/>
        <v>#NAME?</v>
      </c>
      <c r="D456" s="6" t="e">
        <f ca="1"/>
        <v>#NAME?</v>
      </c>
      <c r="E456" s="6" t="e">
        <f ca="1"/>
        <v>#NAME?</v>
      </c>
      <c r="F456" s="6" t="e">
        <f ca="1"/>
        <v>#NAME?</v>
      </c>
      <c r="G456" s="6" t="e">
        <f ca="1"/>
        <v>#NAME?</v>
      </c>
      <c r="H456" s="6" t="e">
        <f ca="1"/>
        <v>#NAME?</v>
      </c>
      <c r="I456" s="6"/>
      <c r="J456" s="6"/>
      <c r="K456" s="6"/>
      <c r="L456" s="6"/>
      <c r="M456" s="6"/>
      <c r="N456" s="6"/>
      <c r="O456" s="6"/>
      <c r="P456" s="6"/>
      <c r="Q456" s="6"/>
      <c r="R456" s="6"/>
      <c r="S456" s="6"/>
      <c r="T456" s="6"/>
    </row>
    <row r="457" spans="1:20">
      <c r="A457" s="6">
        <v>0</v>
      </c>
      <c r="B457" s="6">
        <v>0</v>
      </c>
      <c r="C457" s="6" t="e">
        <f ca="1"/>
        <v>#NAME?</v>
      </c>
      <c r="D457" s="6" t="e">
        <f ca="1"/>
        <v>#NAME?</v>
      </c>
      <c r="E457" s="6" t="e">
        <f ca="1"/>
        <v>#NAME?</v>
      </c>
      <c r="F457" s="6" t="e">
        <f ca="1"/>
        <v>#NAME?</v>
      </c>
      <c r="G457" s="6" t="e">
        <f ca="1"/>
        <v>#NAME?</v>
      </c>
      <c r="H457" s="6" t="e">
        <f ca="1"/>
        <v>#NAME?</v>
      </c>
      <c r="I457" s="6"/>
      <c r="J457" s="6"/>
      <c r="K457" s="6"/>
      <c r="L457" s="6"/>
      <c r="M457" s="6"/>
      <c r="N457" s="6"/>
      <c r="O457" s="6"/>
      <c r="P457" s="6"/>
      <c r="Q457" s="6"/>
      <c r="R457" s="6"/>
      <c r="S457" s="6"/>
      <c r="T457" s="6"/>
    </row>
    <row r="458" spans="1:20">
      <c r="A458" s="6">
        <v>0</v>
      </c>
      <c r="B458" s="6">
        <v>0</v>
      </c>
      <c r="C458" s="6" t="e">
        <f ca="1"/>
        <v>#NAME?</v>
      </c>
      <c r="D458" s="6" t="e">
        <f ca="1"/>
        <v>#NAME?</v>
      </c>
      <c r="E458" s="6" t="e">
        <f ca="1"/>
        <v>#NAME?</v>
      </c>
      <c r="F458" s="6" t="e">
        <f ca="1"/>
        <v>#NAME?</v>
      </c>
      <c r="G458" s="6" t="e">
        <f ca="1"/>
        <v>#NAME?</v>
      </c>
      <c r="H458" s="6" t="e">
        <f ca="1"/>
        <v>#NAME?</v>
      </c>
      <c r="I458" s="6"/>
      <c r="J458" s="6"/>
      <c r="K458" s="6"/>
      <c r="L458" s="6"/>
      <c r="M458" s="6"/>
      <c r="N458" s="6"/>
      <c r="O458" s="6"/>
      <c r="P458" s="6"/>
      <c r="Q458" s="6"/>
      <c r="R458" s="6"/>
      <c r="S458" s="6"/>
      <c r="T458" s="6"/>
    </row>
    <row r="459" spans="1:20">
      <c r="A459" s="6">
        <v>0</v>
      </c>
      <c r="B459" s="6">
        <v>0</v>
      </c>
      <c r="C459" s="6" t="e">
        <f ca="1"/>
        <v>#NAME?</v>
      </c>
      <c r="D459" s="6" t="e">
        <f ca="1"/>
        <v>#NAME?</v>
      </c>
      <c r="E459" s="6" t="e">
        <f ca="1"/>
        <v>#NAME?</v>
      </c>
      <c r="F459" s="6" t="e">
        <f ca="1"/>
        <v>#NAME?</v>
      </c>
      <c r="G459" s="6" t="e">
        <f ca="1"/>
        <v>#NAME?</v>
      </c>
      <c r="H459" s="6" t="e">
        <f ca="1"/>
        <v>#NAME?</v>
      </c>
      <c r="I459" s="6"/>
      <c r="J459" s="6"/>
      <c r="K459" s="6"/>
      <c r="L459" s="6"/>
      <c r="M459" s="6"/>
      <c r="N459" s="6"/>
      <c r="O459" s="6"/>
      <c r="P459" s="6"/>
      <c r="Q459" s="6"/>
      <c r="R459" s="6"/>
      <c r="S459" s="6"/>
      <c r="T459" s="6"/>
    </row>
    <row r="460" spans="1:20">
      <c r="A460" s="6">
        <v>0</v>
      </c>
      <c r="B460" s="6">
        <v>0</v>
      </c>
      <c r="C460" s="6" t="e">
        <f ca="1"/>
        <v>#NAME?</v>
      </c>
      <c r="D460" s="6" t="e">
        <f ca="1"/>
        <v>#NAME?</v>
      </c>
      <c r="E460" s="6" t="e">
        <f ca="1"/>
        <v>#NAME?</v>
      </c>
      <c r="F460" s="6" t="e">
        <f ca="1"/>
        <v>#NAME?</v>
      </c>
      <c r="G460" s="6" t="e">
        <f ca="1"/>
        <v>#NAME?</v>
      </c>
      <c r="H460" s="6" t="e">
        <f ca="1"/>
        <v>#NAME?</v>
      </c>
      <c r="I460" s="6"/>
      <c r="J460" s="6"/>
      <c r="K460" s="6"/>
      <c r="L460" s="6"/>
      <c r="M460" s="6"/>
      <c r="N460" s="6"/>
      <c r="O460" s="6"/>
      <c r="P460" s="6"/>
      <c r="Q460" s="6"/>
      <c r="R460" s="6"/>
      <c r="S460" s="6"/>
      <c r="T460" s="6"/>
    </row>
    <row r="461" spans="1:20">
      <c r="A461" s="6">
        <v>0</v>
      </c>
      <c r="B461" s="6">
        <v>0</v>
      </c>
      <c r="C461" s="6" t="e">
        <f ca="1"/>
        <v>#NAME?</v>
      </c>
      <c r="D461" s="6" t="e">
        <f ca="1"/>
        <v>#NAME?</v>
      </c>
      <c r="E461" s="6" t="e">
        <f ca="1"/>
        <v>#NAME?</v>
      </c>
      <c r="F461" s="6" t="e">
        <f ca="1"/>
        <v>#NAME?</v>
      </c>
      <c r="G461" s="6" t="e">
        <f ca="1"/>
        <v>#NAME?</v>
      </c>
      <c r="H461" s="6" t="e">
        <f ca="1"/>
        <v>#NAME?</v>
      </c>
      <c r="I461" s="6"/>
      <c r="J461" s="6"/>
      <c r="K461" s="6"/>
      <c r="L461" s="6"/>
      <c r="M461" s="6"/>
      <c r="N461" s="6"/>
      <c r="O461" s="6"/>
      <c r="P461" s="6"/>
      <c r="Q461" s="6"/>
      <c r="R461" s="6"/>
      <c r="S461" s="6"/>
      <c r="T461" s="6"/>
    </row>
    <row r="462" spans="1:20">
      <c r="A462" s="6">
        <v>0</v>
      </c>
      <c r="B462" s="6">
        <v>0</v>
      </c>
      <c r="C462" s="6" t="e">
        <f ca="1"/>
        <v>#NAME?</v>
      </c>
      <c r="D462" s="6" t="e">
        <f ca="1"/>
        <v>#NAME?</v>
      </c>
      <c r="E462" s="6" t="e">
        <f ca="1"/>
        <v>#NAME?</v>
      </c>
      <c r="F462" s="6" t="e">
        <f ca="1"/>
        <v>#NAME?</v>
      </c>
      <c r="G462" s="6" t="e">
        <f ca="1"/>
        <v>#NAME?</v>
      </c>
      <c r="H462" s="6" t="e">
        <f ca="1"/>
        <v>#NAME?</v>
      </c>
      <c r="I462" s="6"/>
      <c r="J462" s="6"/>
      <c r="K462" s="6"/>
      <c r="L462" s="6"/>
      <c r="M462" s="6"/>
      <c r="N462" s="6"/>
      <c r="O462" s="6"/>
      <c r="P462" s="6"/>
      <c r="Q462" s="6"/>
      <c r="R462" s="6"/>
      <c r="S462" s="6"/>
      <c r="T462" s="6"/>
    </row>
    <row r="463" spans="1:20">
      <c r="A463" s="6">
        <v>0</v>
      </c>
      <c r="B463" s="6">
        <v>0</v>
      </c>
      <c r="C463" s="6" t="e">
        <f ca="1"/>
        <v>#NAME?</v>
      </c>
      <c r="D463" s="6" t="e">
        <f ca="1"/>
        <v>#NAME?</v>
      </c>
      <c r="E463" s="6" t="e">
        <f ca="1"/>
        <v>#NAME?</v>
      </c>
      <c r="F463" s="6" t="e">
        <f ca="1"/>
        <v>#NAME?</v>
      </c>
      <c r="G463" s="6" t="e">
        <f ca="1"/>
        <v>#NAME?</v>
      </c>
      <c r="H463" s="6" t="e">
        <f ca="1"/>
        <v>#NAME?</v>
      </c>
      <c r="I463" s="6"/>
      <c r="J463" s="6"/>
      <c r="K463" s="6"/>
      <c r="L463" s="6"/>
      <c r="M463" s="6"/>
      <c r="N463" s="6"/>
      <c r="O463" s="6"/>
      <c r="P463" s="6"/>
      <c r="Q463" s="6"/>
      <c r="R463" s="6"/>
      <c r="S463" s="6"/>
      <c r="T463" s="6"/>
    </row>
    <row r="464" spans="1:20">
      <c r="A464" s="6">
        <v>0</v>
      </c>
      <c r="B464" s="6">
        <v>0</v>
      </c>
      <c r="C464" s="6" t="e">
        <f ca="1"/>
        <v>#NAME?</v>
      </c>
      <c r="D464" s="6" t="e">
        <f ca="1"/>
        <v>#NAME?</v>
      </c>
      <c r="E464" s="6" t="e">
        <f ca="1"/>
        <v>#NAME?</v>
      </c>
      <c r="F464" s="6" t="e">
        <f ca="1"/>
        <v>#NAME?</v>
      </c>
      <c r="G464" s="6" t="e">
        <f ca="1"/>
        <v>#NAME?</v>
      </c>
      <c r="H464" s="6" t="e">
        <f ca="1"/>
        <v>#NAME?</v>
      </c>
      <c r="I464" s="6"/>
      <c r="J464" s="6"/>
      <c r="K464" s="6"/>
      <c r="L464" s="6"/>
      <c r="M464" s="6"/>
      <c r="N464" s="6"/>
      <c r="O464" s="6"/>
      <c r="P464" s="6"/>
      <c r="Q464" s="6"/>
      <c r="R464" s="6"/>
      <c r="S464" s="6"/>
      <c r="T464" s="6"/>
    </row>
    <row r="465" spans="1:20">
      <c r="A465" s="6">
        <v>0</v>
      </c>
      <c r="B465" s="6">
        <v>0</v>
      </c>
      <c r="C465" s="6" t="e">
        <f ca="1"/>
        <v>#NAME?</v>
      </c>
      <c r="D465" s="6" t="e">
        <f ca="1"/>
        <v>#NAME?</v>
      </c>
      <c r="E465" s="6" t="e">
        <f ca="1"/>
        <v>#NAME?</v>
      </c>
      <c r="F465" s="6" t="e">
        <f ca="1"/>
        <v>#NAME?</v>
      </c>
      <c r="G465" s="6" t="e">
        <f ca="1"/>
        <v>#NAME?</v>
      </c>
      <c r="H465" s="6" t="e">
        <f ca="1"/>
        <v>#NAME?</v>
      </c>
      <c r="I465" s="6"/>
      <c r="J465" s="6"/>
      <c r="K465" s="6"/>
      <c r="L465" s="6"/>
      <c r="M465" s="6"/>
      <c r="N465" s="6"/>
      <c r="O465" s="6"/>
      <c r="P465" s="6"/>
      <c r="Q465" s="6"/>
      <c r="R465" s="6"/>
      <c r="S465" s="6"/>
      <c r="T465" s="6"/>
    </row>
    <row r="466" spans="1:20">
      <c r="A466" s="6">
        <v>0</v>
      </c>
      <c r="B466" s="6">
        <v>0</v>
      </c>
      <c r="C466" s="6" t="e">
        <f ca="1"/>
        <v>#NAME?</v>
      </c>
      <c r="D466" s="6" t="e">
        <f ca="1"/>
        <v>#NAME?</v>
      </c>
      <c r="E466" s="6" t="e">
        <f ca="1"/>
        <v>#NAME?</v>
      </c>
      <c r="F466" s="6" t="e">
        <f ca="1"/>
        <v>#NAME?</v>
      </c>
      <c r="G466" s="6" t="e">
        <f ca="1"/>
        <v>#NAME?</v>
      </c>
      <c r="H466" s="6" t="e">
        <f ca="1"/>
        <v>#NAME?</v>
      </c>
      <c r="I466" s="6"/>
      <c r="J466" s="6"/>
      <c r="K466" s="6"/>
      <c r="L466" s="6"/>
      <c r="M466" s="6"/>
      <c r="N466" s="6"/>
      <c r="O466" s="6"/>
      <c r="P466" s="6"/>
      <c r="Q466" s="6"/>
      <c r="R466" s="6"/>
      <c r="S466" s="6"/>
      <c r="T466" s="6"/>
    </row>
    <row r="467" spans="1:20">
      <c r="A467" s="6">
        <v>0</v>
      </c>
      <c r="B467" s="6">
        <v>0</v>
      </c>
      <c r="C467" s="6" t="e">
        <f ca="1"/>
        <v>#NAME?</v>
      </c>
      <c r="D467" s="6" t="e">
        <f ca="1"/>
        <v>#NAME?</v>
      </c>
      <c r="E467" s="6" t="e">
        <f ca="1"/>
        <v>#NAME?</v>
      </c>
      <c r="F467" s="6" t="e">
        <f ca="1"/>
        <v>#NAME?</v>
      </c>
      <c r="G467" s="6" t="e">
        <f ca="1"/>
        <v>#NAME?</v>
      </c>
      <c r="H467" s="6" t="e">
        <f ca="1"/>
        <v>#NAME?</v>
      </c>
      <c r="I467" s="6"/>
      <c r="J467" s="6"/>
      <c r="K467" s="6"/>
      <c r="L467" s="6"/>
      <c r="M467" s="6"/>
      <c r="N467" s="6"/>
      <c r="O467" s="6"/>
      <c r="P467" s="6"/>
      <c r="Q467" s="6"/>
      <c r="R467" s="6"/>
      <c r="S467" s="6"/>
      <c r="T467" s="6"/>
    </row>
    <row r="468" spans="1:20">
      <c r="A468" s="6">
        <v>0</v>
      </c>
      <c r="B468" s="6">
        <v>0</v>
      </c>
      <c r="C468" s="6" t="e">
        <f ca="1"/>
        <v>#NAME?</v>
      </c>
      <c r="D468" s="6" t="e">
        <f ca="1"/>
        <v>#NAME?</v>
      </c>
      <c r="E468" s="6" t="e">
        <f ca="1"/>
        <v>#NAME?</v>
      </c>
      <c r="F468" s="6" t="e">
        <f ca="1"/>
        <v>#NAME?</v>
      </c>
      <c r="G468" s="6" t="e">
        <f ca="1"/>
        <v>#NAME?</v>
      </c>
      <c r="H468" s="6" t="e">
        <f ca="1"/>
        <v>#NAME?</v>
      </c>
      <c r="I468" s="6"/>
      <c r="J468" s="6"/>
      <c r="K468" s="6"/>
      <c r="L468" s="6"/>
      <c r="M468" s="6"/>
      <c r="N468" s="6"/>
      <c r="O468" s="6"/>
      <c r="P468" s="6"/>
      <c r="Q468" s="6"/>
      <c r="R468" s="6"/>
      <c r="S468" s="6"/>
      <c r="T468" s="6"/>
    </row>
    <row r="469" spans="1:20">
      <c r="A469" s="6">
        <v>0</v>
      </c>
      <c r="B469" s="6">
        <v>0</v>
      </c>
      <c r="C469" s="6" t="e">
        <f ca="1"/>
        <v>#NAME?</v>
      </c>
      <c r="D469" s="6" t="e">
        <f ca="1"/>
        <v>#NAME?</v>
      </c>
      <c r="E469" s="6" t="e">
        <f ca="1"/>
        <v>#NAME?</v>
      </c>
      <c r="F469" s="6" t="e">
        <f ca="1"/>
        <v>#NAME?</v>
      </c>
      <c r="G469" s="6" t="e">
        <f ca="1"/>
        <v>#NAME?</v>
      </c>
      <c r="H469" s="6" t="e">
        <f ca="1"/>
        <v>#NAME?</v>
      </c>
      <c r="I469" s="6"/>
      <c r="J469" s="6"/>
      <c r="K469" s="6"/>
      <c r="L469" s="6"/>
      <c r="M469" s="6"/>
      <c r="N469" s="6"/>
      <c r="O469" s="6"/>
      <c r="P469" s="6"/>
      <c r="Q469" s="6"/>
      <c r="R469" s="6"/>
      <c r="S469" s="6"/>
      <c r="T469" s="6"/>
    </row>
    <row r="470" spans="1:20">
      <c r="A470" s="6">
        <v>0</v>
      </c>
      <c r="B470" s="6">
        <v>0</v>
      </c>
      <c r="C470" s="6" t="e">
        <f ca="1"/>
        <v>#NAME?</v>
      </c>
      <c r="D470" s="6" t="e">
        <f ca="1"/>
        <v>#NAME?</v>
      </c>
      <c r="E470" s="6" t="e">
        <f ca="1"/>
        <v>#NAME?</v>
      </c>
      <c r="F470" s="6" t="e">
        <f ca="1"/>
        <v>#NAME?</v>
      </c>
      <c r="G470" s="6" t="e">
        <f ca="1"/>
        <v>#NAME?</v>
      </c>
      <c r="H470" s="6" t="e">
        <f ca="1"/>
        <v>#NAME?</v>
      </c>
      <c r="I470" s="6"/>
      <c r="J470" s="6"/>
      <c r="K470" s="6"/>
      <c r="L470" s="6"/>
      <c r="M470" s="6"/>
      <c r="N470" s="6"/>
      <c r="O470" s="6"/>
      <c r="P470" s="6"/>
      <c r="Q470" s="6"/>
      <c r="R470" s="6"/>
      <c r="S470" s="6"/>
      <c r="T470" s="6"/>
    </row>
    <row r="471" spans="1:20">
      <c r="A471" s="6">
        <v>0</v>
      </c>
      <c r="B471" s="6">
        <v>0</v>
      </c>
      <c r="C471" s="6" t="e">
        <f ca="1"/>
        <v>#NAME?</v>
      </c>
      <c r="D471" s="6" t="e">
        <f ca="1"/>
        <v>#NAME?</v>
      </c>
      <c r="E471" s="6" t="e">
        <f ca="1"/>
        <v>#NAME?</v>
      </c>
      <c r="F471" s="6" t="e">
        <f ca="1"/>
        <v>#NAME?</v>
      </c>
      <c r="G471" s="6" t="e">
        <f ca="1"/>
        <v>#NAME?</v>
      </c>
      <c r="H471" s="6" t="e">
        <f ca="1"/>
        <v>#NAME?</v>
      </c>
      <c r="I471" s="6"/>
      <c r="J471" s="6"/>
      <c r="K471" s="6"/>
      <c r="L471" s="6"/>
      <c r="M471" s="6"/>
      <c r="N471" s="6"/>
      <c r="O471" s="6"/>
      <c r="P471" s="6"/>
      <c r="Q471" s="6"/>
      <c r="R471" s="6"/>
      <c r="S471" s="6"/>
      <c r="T471" s="6"/>
    </row>
    <row r="472" spans="1:20">
      <c r="A472" s="6">
        <v>0</v>
      </c>
      <c r="B472" s="6">
        <v>0</v>
      </c>
      <c r="C472" s="6" t="e">
        <f ca="1"/>
        <v>#NAME?</v>
      </c>
      <c r="D472" s="6" t="e">
        <f ca="1"/>
        <v>#NAME?</v>
      </c>
      <c r="E472" s="6" t="e">
        <f ca="1"/>
        <v>#NAME?</v>
      </c>
      <c r="F472" s="6" t="e">
        <f ca="1"/>
        <v>#NAME?</v>
      </c>
      <c r="G472" s="6" t="e">
        <f ca="1"/>
        <v>#NAME?</v>
      </c>
      <c r="H472" s="6" t="e">
        <f ca="1"/>
        <v>#NAME?</v>
      </c>
      <c r="I472" s="6"/>
      <c r="J472" s="6"/>
      <c r="K472" s="6"/>
      <c r="L472" s="6"/>
      <c r="M472" s="6"/>
      <c r="N472" s="6"/>
      <c r="O472" s="6"/>
      <c r="P472" s="6"/>
      <c r="Q472" s="6"/>
      <c r="R472" s="6"/>
      <c r="S472" s="6"/>
      <c r="T472" s="6"/>
    </row>
    <row r="473" spans="1:20">
      <c r="A473" s="6">
        <v>0</v>
      </c>
      <c r="B473" s="6">
        <v>0</v>
      </c>
      <c r="C473" s="6" t="e">
        <f ca="1"/>
        <v>#NAME?</v>
      </c>
      <c r="D473" s="6" t="e">
        <f ca="1"/>
        <v>#NAME?</v>
      </c>
      <c r="E473" s="6" t="e">
        <f ca="1"/>
        <v>#NAME?</v>
      </c>
      <c r="F473" s="6" t="e">
        <f ca="1"/>
        <v>#NAME?</v>
      </c>
      <c r="G473" s="6" t="e">
        <f ca="1"/>
        <v>#NAME?</v>
      </c>
      <c r="H473" s="6" t="e">
        <f ca="1"/>
        <v>#NAME?</v>
      </c>
      <c r="I473" s="6"/>
      <c r="J473" s="6"/>
      <c r="K473" s="6"/>
      <c r="L473" s="6"/>
      <c r="M473" s="6"/>
      <c r="N473" s="6"/>
      <c r="O473" s="6"/>
      <c r="P473" s="6"/>
      <c r="Q473" s="6"/>
      <c r="R473" s="6"/>
      <c r="S473" s="6"/>
      <c r="T473" s="6"/>
    </row>
    <row r="474" spans="1:20">
      <c r="A474" s="6">
        <v>0</v>
      </c>
      <c r="B474" s="6">
        <v>0</v>
      </c>
      <c r="C474" s="6" t="e">
        <f ca="1"/>
        <v>#NAME?</v>
      </c>
      <c r="D474" s="6" t="e">
        <f ca="1"/>
        <v>#NAME?</v>
      </c>
      <c r="E474" s="6" t="e">
        <f ca="1"/>
        <v>#NAME?</v>
      </c>
      <c r="F474" s="6" t="e">
        <f ca="1"/>
        <v>#NAME?</v>
      </c>
      <c r="G474" s="6" t="e">
        <f ca="1"/>
        <v>#NAME?</v>
      </c>
      <c r="H474" s="6" t="e">
        <f ca="1"/>
        <v>#NAME?</v>
      </c>
      <c r="I474" s="6"/>
      <c r="J474" s="6"/>
      <c r="K474" s="6"/>
      <c r="L474" s="6"/>
      <c r="M474" s="6"/>
      <c r="N474" s="6"/>
      <c r="O474" s="6"/>
      <c r="P474" s="6"/>
      <c r="Q474" s="6"/>
      <c r="R474" s="6"/>
      <c r="S474" s="6"/>
      <c r="T474" s="6"/>
    </row>
    <row r="475" spans="1:20">
      <c r="A475" s="6">
        <v>0</v>
      </c>
      <c r="B475" s="6">
        <v>0</v>
      </c>
      <c r="C475" s="6" t="e">
        <f ca="1"/>
        <v>#NAME?</v>
      </c>
      <c r="D475" s="6" t="e">
        <f ca="1"/>
        <v>#NAME?</v>
      </c>
      <c r="E475" s="6" t="e">
        <f ca="1"/>
        <v>#NAME?</v>
      </c>
      <c r="F475" s="6" t="e">
        <f ca="1"/>
        <v>#NAME?</v>
      </c>
      <c r="G475" s="6" t="e">
        <f ca="1"/>
        <v>#NAME?</v>
      </c>
      <c r="H475" s="6" t="e">
        <f ca="1"/>
        <v>#NAME?</v>
      </c>
      <c r="I475" s="6"/>
      <c r="J475" s="6"/>
      <c r="K475" s="6"/>
      <c r="L475" s="6"/>
      <c r="M475" s="6"/>
      <c r="N475" s="6"/>
      <c r="O475" s="6"/>
      <c r="P475" s="6"/>
      <c r="Q475" s="6"/>
      <c r="R475" s="6"/>
      <c r="S475" s="6"/>
      <c r="T475" s="6"/>
    </row>
    <row r="476" spans="1:20">
      <c r="A476" s="6">
        <v>0</v>
      </c>
      <c r="B476" s="6">
        <v>0</v>
      </c>
      <c r="C476" s="6" t="e">
        <f ca="1"/>
        <v>#NAME?</v>
      </c>
      <c r="D476" s="6" t="e">
        <f ca="1"/>
        <v>#NAME?</v>
      </c>
      <c r="E476" s="6" t="e">
        <f ca="1"/>
        <v>#NAME?</v>
      </c>
      <c r="F476" s="6" t="e">
        <f ca="1"/>
        <v>#NAME?</v>
      </c>
      <c r="G476" s="6" t="e">
        <f ca="1"/>
        <v>#NAME?</v>
      </c>
      <c r="H476" s="6" t="e">
        <f ca="1"/>
        <v>#NAME?</v>
      </c>
      <c r="I476" s="6"/>
      <c r="J476" s="6"/>
      <c r="K476" s="6"/>
      <c r="L476" s="6"/>
      <c r="M476" s="6"/>
      <c r="N476" s="6"/>
      <c r="O476" s="6"/>
      <c r="P476" s="6"/>
      <c r="Q476" s="6"/>
      <c r="R476" s="6"/>
      <c r="S476" s="6"/>
      <c r="T476" s="6"/>
    </row>
    <row r="477" spans="1:20">
      <c r="A477" s="6">
        <v>0</v>
      </c>
      <c r="B477" s="6">
        <v>0</v>
      </c>
      <c r="C477" s="6" t="e">
        <f ca="1"/>
        <v>#NAME?</v>
      </c>
      <c r="D477" s="6" t="e">
        <f ca="1"/>
        <v>#NAME?</v>
      </c>
      <c r="E477" s="6" t="e">
        <f ca="1"/>
        <v>#NAME?</v>
      </c>
      <c r="F477" s="6" t="e">
        <f ca="1"/>
        <v>#NAME?</v>
      </c>
      <c r="G477" s="6" t="e">
        <f ca="1"/>
        <v>#NAME?</v>
      </c>
      <c r="H477" s="6" t="e">
        <f ca="1"/>
        <v>#NAME?</v>
      </c>
      <c r="I477" s="6"/>
      <c r="J477" s="6"/>
      <c r="K477" s="6"/>
      <c r="L477" s="6"/>
      <c r="M477" s="6"/>
      <c r="N477" s="6"/>
      <c r="O477" s="6"/>
      <c r="P477" s="6"/>
      <c r="Q477" s="6"/>
      <c r="R477" s="6"/>
      <c r="S477" s="6"/>
      <c r="T477" s="6"/>
    </row>
    <row r="478" spans="1:20">
      <c r="A478" s="6">
        <v>0</v>
      </c>
      <c r="B478" s="6">
        <v>0</v>
      </c>
      <c r="C478" s="6" t="e">
        <f ca="1"/>
        <v>#NAME?</v>
      </c>
      <c r="D478" s="6" t="e">
        <f ca="1"/>
        <v>#NAME?</v>
      </c>
      <c r="E478" s="6" t="e">
        <f ca="1"/>
        <v>#NAME?</v>
      </c>
      <c r="F478" s="6" t="e">
        <f ca="1"/>
        <v>#NAME?</v>
      </c>
      <c r="G478" s="6" t="e">
        <f ca="1"/>
        <v>#NAME?</v>
      </c>
      <c r="H478" s="6" t="e">
        <f ca="1"/>
        <v>#NAME?</v>
      </c>
      <c r="I478" s="6"/>
      <c r="J478" s="6"/>
      <c r="K478" s="6"/>
      <c r="L478" s="6"/>
      <c r="M478" s="6"/>
      <c r="N478" s="6"/>
      <c r="O478" s="6"/>
      <c r="P478" s="6"/>
      <c r="Q478" s="6"/>
      <c r="R478" s="6"/>
      <c r="S478" s="6"/>
      <c r="T478" s="6"/>
    </row>
    <row r="479" spans="1:20">
      <c r="A479" s="6">
        <v>0</v>
      </c>
      <c r="B479" s="6">
        <v>0</v>
      </c>
      <c r="C479" s="6" t="e">
        <f ca="1"/>
        <v>#NAME?</v>
      </c>
      <c r="D479" s="6" t="e">
        <f ca="1"/>
        <v>#NAME?</v>
      </c>
      <c r="E479" s="6" t="e">
        <f ca="1"/>
        <v>#NAME?</v>
      </c>
      <c r="F479" s="6" t="e">
        <f ca="1"/>
        <v>#NAME?</v>
      </c>
      <c r="G479" s="6" t="e">
        <f ca="1"/>
        <v>#NAME?</v>
      </c>
      <c r="H479" s="6" t="e">
        <f ca="1"/>
        <v>#NAME?</v>
      </c>
      <c r="I479" s="6"/>
      <c r="J479" s="6"/>
      <c r="K479" s="6"/>
      <c r="L479" s="6"/>
      <c r="M479" s="6"/>
      <c r="N479" s="6"/>
      <c r="O479" s="6"/>
      <c r="P479" s="6"/>
      <c r="Q479" s="6"/>
      <c r="R479" s="6"/>
      <c r="S479" s="6"/>
      <c r="T479" s="6"/>
    </row>
    <row r="480" spans="1:20">
      <c r="A480" s="6">
        <v>0</v>
      </c>
      <c r="B480" s="6">
        <v>0</v>
      </c>
      <c r="C480" s="6" t="e">
        <f ca="1"/>
        <v>#NAME?</v>
      </c>
      <c r="D480" s="6" t="e">
        <f ca="1"/>
        <v>#NAME?</v>
      </c>
      <c r="E480" s="6" t="e">
        <f ca="1"/>
        <v>#NAME?</v>
      </c>
      <c r="F480" s="6" t="e">
        <f ca="1"/>
        <v>#NAME?</v>
      </c>
      <c r="G480" s="6" t="e">
        <f ca="1"/>
        <v>#NAME?</v>
      </c>
      <c r="H480" s="6" t="e">
        <f ca="1"/>
        <v>#NAME?</v>
      </c>
      <c r="I480" s="6"/>
      <c r="J480" s="6"/>
      <c r="K480" s="6"/>
      <c r="L480" s="6"/>
      <c r="M480" s="6"/>
      <c r="N480" s="6"/>
      <c r="O480" s="6"/>
      <c r="P480" s="6"/>
      <c r="Q480" s="6"/>
      <c r="R480" s="6"/>
      <c r="S480" s="6"/>
      <c r="T480" s="6"/>
    </row>
    <row r="481" spans="1:20">
      <c r="A481" s="6">
        <v>0</v>
      </c>
      <c r="B481" s="6">
        <v>0</v>
      </c>
      <c r="C481" s="6" t="e">
        <f ca="1"/>
        <v>#NAME?</v>
      </c>
      <c r="D481" s="6" t="e">
        <f ca="1"/>
        <v>#NAME?</v>
      </c>
      <c r="E481" s="6" t="e">
        <f ca="1"/>
        <v>#NAME?</v>
      </c>
      <c r="F481" s="6" t="e">
        <f ca="1"/>
        <v>#NAME?</v>
      </c>
      <c r="G481" s="6" t="e">
        <f ca="1"/>
        <v>#NAME?</v>
      </c>
      <c r="H481" s="6" t="e">
        <f ca="1"/>
        <v>#NAME?</v>
      </c>
      <c r="I481" s="6"/>
      <c r="J481" s="6"/>
      <c r="K481" s="6"/>
      <c r="L481" s="6"/>
      <c r="M481" s="6"/>
      <c r="N481" s="6"/>
      <c r="O481" s="6"/>
      <c r="P481" s="6"/>
      <c r="Q481" s="6"/>
      <c r="R481" s="6"/>
      <c r="S481" s="6"/>
      <c r="T481" s="6"/>
    </row>
    <row r="482" spans="1:20">
      <c r="A482" s="6">
        <v>0</v>
      </c>
      <c r="B482" s="6">
        <v>0</v>
      </c>
      <c r="C482" s="6" t="e">
        <f ca="1"/>
        <v>#NAME?</v>
      </c>
      <c r="D482" s="6" t="e">
        <f ca="1"/>
        <v>#NAME?</v>
      </c>
      <c r="E482" s="6" t="e">
        <f ca="1"/>
        <v>#NAME?</v>
      </c>
      <c r="F482" s="6" t="e">
        <f ca="1"/>
        <v>#NAME?</v>
      </c>
      <c r="G482" s="6" t="e">
        <f ca="1"/>
        <v>#NAME?</v>
      </c>
      <c r="H482" s="6" t="e">
        <f ca="1"/>
        <v>#NAME?</v>
      </c>
      <c r="I482" s="6"/>
      <c r="J482" s="6"/>
      <c r="K482" s="6"/>
      <c r="L482" s="6"/>
      <c r="M482" s="6"/>
      <c r="N482" s="6"/>
      <c r="O482" s="6"/>
      <c r="P482" s="6"/>
      <c r="Q482" s="6"/>
      <c r="R482" s="6"/>
      <c r="S482" s="6"/>
      <c r="T482" s="6"/>
    </row>
    <row r="483" spans="1:20">
      <c r="A483" s="6">
        <v>0</v>
      </c>
      <c r="B483" s="6">
        <v>0</v>
      </c>
      <c r="C483" s="6" t="e">
        <f ca="1"/>
        <v>#NAME?</v>
      </c>
      <c r="D483" s="6" t="e">
        <f ca="1"/>
        <v>#NAME?</v>
      </c>
      <c r="E483" s="6" t="e">
        <f ca="1"/>
        <v>#NAME?</v>
      </c>
      <c r="F483" s="6" t="e">
        <f ca="1"/>
        <v>#NAME?</v>
      </c>
      <c r="G483" s="6" t="e">
        <f ca="1"/>
        <v>#NAME?</v>
      </c>
      <c r="H483" s="6" t="e">
        <f ca="1"/>
        <v>#NAME?</v>
      </c>
      <c r="I483" s="6"/>
      <c r="J483" s="6"/>
      <c r="K483" s="6"/>
      <c r="L483" s="6"/>
      <c r="M483" s="6"/>
      <c r="N483" s="6"/>
      <c r="O483" s="6"/>
      <c r="P483" s="6"/>
      <c r="Q483" s="6"/>
      <c r="R483" s="6"/>
      <c r="S483" s="6"/>
      <c r="T483" s="6"/>
    </row>
    <row r="484" spans="1:20">
      <c r="A484" s="6">
        <v>0</v>
      </c>
      <c r="B484" s="6">
        <v>0</v>
      </c>
      <c r="C484" s="6" t="e">
        <f ca="1"/>
        <v>#NAME?</v>
      </c>
      <c r="D484" s="6" t="e">
        <f ca="1"/>
        <v>#NAME?</v>
      </c>
      <c r="E484" s="6" t="e">
        <f ca="1"/>
        <v>#NAME?</v>
      </c>
      <c r="F484" s="6" t="e">
        <f ca="1"/>
        <v>#NAME?</v>
      </c>
      <c r="G484" s="6" t="e">
        <f ca="1"/>
        <v>#NAME?</v>
      </c>
      <c r="H484" s="6" t="e">
        <f ca="1"/>
        <v>#NAME?</v>
      </c>
      <c r="I484" s="6"/>
      <c r="J484" s="6"/>
      <c r="K484" s="6"/>
      <c r="L484" s="6"/>
      <c r="M484" s="6"/>
      <c r="N484" s="6"/>
      <c r="O484" s="6"/>
      <c r="P484" s="6"/>
      <c r="Q484" s="6"/>
      <c r="R484" s="6"/>
      <c r="S484" s="6"/>
      <c r="T484" s="6"/>
    </row>
    <row r="485" spans="1:20">
      <c r="A485" s="6">
        <v>0</v>
      </c>
      <c r="B485" s="6">
        <v>0</v>
      </c>
      <c r="C485" s="6" t="e">
        <f ca="1"/>
        <v>#NAME?</v>
      </c>
      <c r="D485" s="6" t="e">
        <f ca="1"/>
        <v>#NAME?</v>
      </c>
      <c r="E485" s="6" t="e">
        <f ca="1"/>
        <v>#NAME?</v>
      </c>
      <c r="F485" s="6" t="e">
        <f ca="1"/>
        <v>#NAME?</v>
      </c>
      <c r="G485" s="6" t="e">
        <f ca="1"/>
        <v>#NAME?</v>
      </c>
      <c r="H485" s="6" t="e">
        <f ca="1"/>
        <v>#NAME?</v>
      </c>
      <c r="I485" s="6"/>
      <c r="J485" s="6"/>
      <c r="K485" s="6"/>
      <c r="L485" s="6"/>
      <c r="M485" s="6"/>
      <c r="N485" s="6"/>
      <c r="O485" s="6"/>
      <c r="P485" s="6"/>
      <c r="Q485" s="6"/>
      <c r="R485" s="6"/>
      <c r="S485" s="6"/>
      <c r="T485" s="6"/>
    </row>
    <row r="486" spans="1:20">
      <c r="A486" s="6">
        <v>0</v>
      </c>
      <c r="B486" s="6">
        <v>0</v>
      </c>
      <c r="C486" s="6" t="e">
        <f ca="1"/>
        <v>#NAME?</v>
      </c>
      <c r="D486" s="6" t="e">
        <f ca="1"/>
        <v>#NAME?</v>
      </c>
      <c r="E486" s="6" t="e">
        <f ca="1"/>
        <v>#NAME?</v>
      </c>
      <c r="F486" s="6" t="e">
        <f ca="1"/>
        <v>#NAME?</v>
      </c>
      <c r="G486" s="6" t="e">
        <f ca="1"/>
        <v>#NAME?</v>
      </c>
      <c r="H486" s="6" t="e">
        <f ca="1"/>
        <v>#NAME?</v>
      </c>
      <c r="I486" s="6"/>
      <c r="J486" s="6"/>
      <c r="K486" s="6"/>
      <c r="L486" s="6"/>
      <c r="M486" s="6"/>
      <c r="N486" s="6"/>
      <c r="O486" s="6"/>
      <c r="P486" s="6"/>
      <c r="Q486" s="6"/>
      <c r="R486" s="6"/>
      <c r="S486" s="6"/>
      <c r="T486" s="6"/>
    </row>
    <row r="487" spans="1:20">
      <c r="A487" s="6">
        <v>0</v>
      </c>
      <c r="B487" s="6">
        <v>0</v>
      </c>
      <c r="C487" s="6" t="e">
        <f ca="1"/>
        <v>#NAME?</v>
      </c>
      <c r="D487" s="6" t="e">
        <f ca="1"/>
        <v>#NAME?</v>
      </c>
      <c r="E487" s="6" t="e">
        <f ca="1"/>
        <v>#NAME?</v>
      </c>
      <c r="F487" s="6" t="e">
        <f ca="1"/>
        <v>#NAME?</v>
      </c>
      <c r="G487" s="6" t="e">
        <f ca="1"/>
        <v>#NAME?</v>
      </c>
      <c r="H487" s="6" t="e">
        <f ca="1"/>
        <v>#NAME?</v>
      </c>
      <c r="I487" s="6"/>
      <c r="J487" s="6"/>
      <c r="K487" s="6"/>
      <c r="L487" s="6"/>
      <c r="M487" s="6"/>
      <c r="N487" s="6"/>
      <c r="O487" s="6"/>
      <c r="P487" s="6"/>
      <c r="Q487" s="6"/>
      <c r="R487" s="6"/>
      <c r="S487" s="6"/>
      <c r="T487" s="6"/>
    </row>
    <row r="488" spans="1:20">
      <c r="A488" s="6">
        <v>0</v>
      </c>
      <c r="B488" s="6">
        <v>0</v>
      </c>
      <c r="C488" s="6" t="e">
        <f ca="1"/>
        <v>#NAME?</v>
      </c>
      <c r="D488" s="6" t="e">
        <f ca="1"/>
        <v>#NAME?</v>
      </c>
      <c r="E488" s="6" t="e">
        <f ca="1"/>
        <v>#NAME?</v>
      </c>
      <c r="F488" s="6" t="e">
        <f ca="1"/>
        <v>#NAME?</v>
      </c>
      <c r="G488" s="6" t="e">
        <f ca="1"/>
        <v>#NAME?</v>
      </c>
      <c r="H488" s="6" t="e">
        <f ca="1"/>
        <v>#NAME?</v>
      </c>
      <c r="I488" s="6"/>
      <c r="J488" s="6"/>
      <c r="K488" s="6"/>
      <c r="L488" s="6"/>
      <c r="M488" s="6"/>
      <c r="N488" s="6"/>
      <c r="O488" s="6"/>
      <c r="P488" s="6"/>
      <c r="Q488" s="6"/>
      <c r="R488" s="6"/>
      <c r="S488" s="6"/>
      <c r="T488" s="6"/>
    </row>
    <row r="489" spans="1:20">
      <c r="A489" s="6">
        <v>0</v>
      </c>
      <c r="B489" s="6">
        <v>0</v>
      </c>
      <c r="C489" s="6" t="e">
        <f ca="1"/>
        <v>#NAME?</v>
      </c>
      <c r="D489" s="6" t="e">
        <f ca="1"/>
        <v>#NAME?</v>
      </c>
      <c r="E489" s="6" t="e">
        <f ca="1"/>
        <v>#NAME?</v>
      </c>
      <c r="F489" s="6" t="e">
        <f ca="1"/>
        <v>#NAME?</v>
      </c>
      <c r="G489" s="6" t="e">
        <f ca="1"/>
        <v>#NAME?</v>
      </c>
      <c r="H489" s="6" t="e">
        <f ca="1"/>
        <v>#NAME?</v>
      </c>
      <c r="I489" s="6"/>
      <c r="J489" s="6"/>
      <c r="K489" s="6"/>
      <c r="L489" s="6"/>
      <c r="M489" s="6"/>
      <c r="N489" s="6"/>
      <c r="O489" s="6"/>
      <c r="P489" s="6"/>
      <c r="Q489" s="6"/>
      <c r="R489" s="6"/>
      <c r="S489" s="6"/>
      <c r="T489" s="6"/>
    </row>
    <row r="490" spans="1:20">
      <c r="A490" s="6">
        <v>0</v>
      </c>
      <c r="B490" s="6">
        <v>0</v>
      </c>
      <c r="C490" s="6" t="e">
        <f ca="1"/>
        <v>#NAME?</v>
      </c>
      <c r="D490" s="6" t="e">
        <f ca="1"/>
        <v>#NAME?</v>
      </c>
      <c r="E490" s="6" t="e">
        <f ca="1"/>
        <v>#NAME?</v>
      </c>
      <c r="F490" s="6" t="e">
        <f ca="1"/>
        <v>#NAME?</v>
      </c>
      <c r="G490" s="6" t="e">
        <f ca="1"/>
        <v>#NAME?</v>
      </c>
      <c r="H490" s="6" t="e">
        <f ca="1"/>
        <v>#NAME?</v>
      </c>
      <c r="I490" s="6"/>
      <c r="J490" s="6"/>
      <c r="K490" s="6"/>
      <c r="L490" s="6"/>
      <c r="M490" s="6"/>
      <c r="N490" s="6"/>
      <c r="O490" s="6"/>
      <c r="P490" s="6"/>
      <c r="Q490" s="6"/>
      <c r="R490" s="6"/>
      <c r="S490" s="6"/>
      <c r="T490" s="6"/>
    </row>
    <row r="491" spans="1:20">
      <c r="A491" s="6">
        <v>0</v>
      </c>
      <c r="B491" s="6">
        <v>0</v>
      </c>
      <c r="C491" s="6" t="e">
        <f ca="1"/>
        <v>#NAME?</v>
      </c>
      <c r="D491" s="6" t="e">
        <f ca="1"/>
        <v>#NAME?</v>
      </c>
      <c r="E491" s="6" t="e">
        <f ca="1"/>
        <v>#NAME?</v>
      </c>
      <c r="F491" s="6" t="e">
        <f ca="1"/>
        <v>#NAME?</v>
      </c>
      <c r="G491" s="6" t="e">
        <f ca="1"/>
        <v>#NAME?</v>
      </c>
      <c r="H491" s="6" t="e">
        <f ca="1"/>
        <v>#NAME?</v>
      </c>
      <c r="I491" s="6"/>
      <c r="J491" s="6"/>
      <c r="K491" s="6"/>
      <c r="L491" s="6"/>
      <c r="M491" s="6"/>
      <c r="N491" s="6"/>
      <c r="O491" s="6"/>
      <c r="P491" s="6"/>
      <c r="Q491" s="6"/>
      <c r="R491" s="6"/>
      <c r="S491" s="6"/>
      <c r="T491" s="6"/>
    </row>
    <row r="492" spans="1:20">
      <c r="A492" s="6">
        <v>0</v>
      </c>
      <c r="B492" s="6">
        <v>0</v>
      </c>
      <c r="C492" s="6" t="e">
        <f ca="1"/>
        <v>#NAME?</v>
      </c>
      <c r="D492" s="6" t="e">
        <f ca="1"/>
        <v>#NAME?</v>
      </c>
      <c r="E492" s="6" t="e">
        <f ca="1"/>
        <v>#NAME?</v>
      </c>
      <c r="F492" s="6" t="e">
        <f ca="1"/>
        <v>#NAME?</v>
      </c>
      <c r="G492" s="6" t="e">
        <f ca="1"/>
        <v>#NAME?</v>
      </c>
      <c r="H492" s="6" t="e">
        <f ca="1"/>
        <v>#NAME?</v>
      </c>
      <c r="I492" s="6"/>
      <c r="J492" s="6"/>
      <c r="K492" s="6"/>
      <c r="L492" s="6"/>
      <c r="M492" s="6"/>
      <c r="N492" s="6"/>
      <c r="O492" s="6"/>
      <c r="P492" s="6"/>
      <c r="Q492" s="6"/>
      <c r="R492" s="6"/>
      <c r="S492" s="6"/>
      <c r="T492" s="6"/>
    </row>
    <row r="493" spans="1:20">
      <c r="A493" s="6">
        <v>0</v>
      </c>
      <c r="B493" s="6">
        <v>0</v>
      </c>
      <c r="C493" s="6" t="e">
        <f ca="1"/>
        <v>#NAME?</v>
      </c>
      <c r="D493" s="6" t="e">
        <f ca="1"/>
        <v>#NAME?</v>
      </c>
      <c r="E493" s="6" t="e">
        <f ca="1"/>
        <v>#NAME?</v>
      </c>
      <c r="F493" s="6" t="e">
        <f ca="1"/>
        <v>#NAME?</v>
      </c>
      <c r="G493" s="6" t="e">
        <f ca="1"/>
        <v>#NAME?</v>
      </c>
      <c r="H493" s="6" t="e">
        <f ca="1"/>
        <v>#NAME?</v>
      </c>
      <c r="I493" s="6"/>
      <c r="J493" s="6"/>
      <c r="K493" s="6"/>
      <c r="L493" s="6"/>
      <c r="M493" s="6"/>
      <c r="N493" s="6"/>
      <c r="O493" s="6"/>
      <c r="P493" s="6"/>
      <c r="Q493" s="6"/>
      <c r="R493" s="6"/>
      <c r="S493" s="6"/>
      <c r="T493" s="6"/>
    </row>
    <row r="494" spans="1:20">
      <c r="A494" s="6">
        <v>0</v>
      </c>
      <c r="B494" s="6">
        <v>0</v>
      </c>
      <c r="C494" s="6" t="e">
        <f ca="1"/>
        <v>#NAME?</v>
      </c>
      <c r="D494" s="6" t="e">
        <f ca="1"/>
        <v>#NAME?</v>
      </c>
      <c r="E494" s="6" t="e">
        <f ca="1"/>
        <v>#NAME?</v>
      </c>
      <c r="F494" s="6" t="e">
        <f ca="1"/>
        <v>#NAME?</v>
      </c>
      <c r="G494" s="6" t="e">
        <f ca="1"/>
        <v>#NAME?</v>
      </c>
      <c r="H494" s="6" t="e">
        <f ca="1"/>
        <v>#NAME?</v>
      </c>
      <c r="I494" s="6"/>
      <c r="J494" s="6"/>
      <c r="K494" s="6"/>
      <c r="L494" s="6"/>
      <c r="M494" s="6"/>
      <c r="N494" s="6"/>
      <c r="O494" s="6"/>
      <c r="P494" s="6"/>
      <c r="Q494" s="6"/>
      <c r="R494" s="6"/>
      <c r="S494" s="6"/>
      <c r="T494" s="6"/>
    </row>
    <row r="495" spans="1:20">
      <c r="A495" s="6">
        <v>0</v>
      </c>
      <c r="B495" s="6">
        <v>0</v>
      </c>
      <c r="C495" s="6" t="e">
        <f ca="1"/>
        <v>#NAME?</v>
      </c>
      <c r="D495" s="6" t="e">
        <f ca="1"/>
        <v>#NAME?</v>
      </c>
      <c r="E495" s="6" t="e">
        <f ca="1"/>
        <v>#NAME?</v>
      </c>
      <c r="F495" s="6" t="e">
        <f ca="1"/>
        <v>#NAME?</v>
      </c>
      <c r="G495" s="6" t="e">
        <f ca="1"/>
        <v>#NAME?</v>
      </c>
      <c r="H495" s="6" t="e">
        <f ca="1"/>
        <v>#NAME?</v>
      </c>
      <c r="I495" s="6"/>
      <c r="J495" s="6"/>
      <c r="K495" s="6"/>
      <c r="L495" s="6"/>
      <c r="M495" s="6"/>
      <c r="N495" s="6"/>
      <c r="O495" s="6"/>
      <c r="P495" s="6"/>
      <c r="Q495" s="6"/>
      <c r="R495" s="6"/>
      <c r="S495" s="6"/>
      <c r="T495" s="6"/>
    </row>
    <row r="496" spans="1:20">
      <c r="A496" s="6">
        <v>0</v>
      </c>
      <c r="B496" s="6">
        <v>0</v>
      </c>
      <c r="C496" s="6" t="e">
        <f ca="1"/>
        <v>#NAME?</v>
      </c>
      <c r="D496" s="6" t="e">
        <f ca="1"/>
        <v>#NAME?</v>
      </c>
      <c r="E496" s="6" t="e">
        <f ca="1"/>
        <v>#NAME?</v>
      </c>
      <c r="F496" s="6" t="e">
        <f ca="1"/>
        <v>#NAME?</v>
      </c>
      <c r="G496" s="6" t="e">
        <f ca="1"/>
        <v>#NAME?</v>
      </c>
      <c r="H496" s="6" t="e">
        <f ca="1"/>
        <v>#NAME?</v>
      </c>
      <c r="I496" s="6"/>
      <c r="J496" s="6"/>
      <c r="K496" s="6"/>
      <c r="L496" s="6"/>
      <c r="M496" s="6"/>
      <c r="N496" s="6"/>
      <c r="O496" s="6"/>
      <c r="P496" s="6"/>
      <c r="Q496" s="6"/>
      <c r="R496" s="6"/>
      <c r="S496" s="6"/>
      <c r="T496" s="6"/>
    </row>
    <row r="497" spans="1:20">
      <c r="A497" s="6">
        <v>0</v>
      </c>
      <c r="B497" s="6">
        <v>0</v>
      </c>
      <c r="C497" s="6" t="e">
        <f ca="1"/>
        <v>#NAME?</v>
      </c>
      <c r="D497" s="6" t="e">
        <f ca="1"/>
        <v>#NAME?</v>
      </c>
      <c r="E497" s="6" t="e">
        <f ca="1"/>
        <v>#NAME?</v>
      </c>
      <c r="F497" s="6" t="e">
        <f ca="1"/>
        <v>#NAME?</v>
      </c>
      <c r="G497" s="6" t="e">
        <f ca="1"/>
        <v>#NAME?</v>
      </c>
      <c r="H497" s="6" t="e">
        <f ca="1"/>
        <v>#NAME?</v>
      </c>
      <c r="I497" s="6"/>
      <c r="J497" s="6"/>
      <c r="K497" s="6"/>
      <c r="L497" s="6"/>
      <c r="M497" s="6"/>
      <c r="N497" s="6"/>
      <c r="O497" s="6"/>
      <c r="P497" s="6"/>
      <c r="Q497" s="6"/>
      <c r="R497" s="6"/>
      <c r="S497" s="6"/>
      <c r="T497" s="6"/>
    </row>
    <row r="498" spans="1:20">
      <c r="A498" s="6">
        <v>0</v>
      </c>
      <c r="B498" s="6">
        <v>0</v>
      </c>
      <c r="C498" s="6" t="e">
        <f ca="1"/>
        <v>#NAME?</v>
      </c>
      <c r="D498" s="6" t="e">
        <f ca="1"/>
        <v>#NAME?</v>
      </c>
      <c r="E498" s="6" t="e">
        <f ca="1"/>
        <v>#NAME?</v>
      </c>
      <c r="F498" s="6" t="e">
        <f ca="1"/>
        <v>#NAME?</v>
      </c>
      <c r="G498" s="6" t="e">
        <f ca="1"/>
        <v>#NAME?</v>
      </c>
      <c r="H498" s="6" t="e">
        <f ca="1"/>
        <v>#NAME?</v>
      </c>
      <c r="I498" s="6"/>
      <c r="J498" s="6"/>
      <c r="K498" s="6"/>
      <c r="L498" s="6"/>
      <c r="M498" s="6"/>
      <c r="N498" s="6"/>
      <c r="O498" s="6"/>
      <c r="P498" s="6"/>
      <c r="Q498" s="6"/>
      <c r="R498" s="6"/>
      <c r="S498" s="6"/>
      <c r="T498" s="6"/>
    </row>
    <row r="499" spans="1:20">
      <c r="A499" s="6">
        <v>0</v>
      </c>
      <c r="B499" s="6">
        <v>0</v>
      </c>
      <c r="C499" s="6" t="e">
        <f ca="1"/>
        <v>#NAME?</v>
      </c>
      <c r="D499" s="6" t="e">
        <f ca="1"/>
        <v>#NAME?</v>
      </c>
      <c r="E499" s="6" t="e">
        <f ca="1"/>
        <v>#NAME?</v>
      </c>
      <c r="F499" s="6" t="e">
        <f ca="1"/>
        <v>#NAME?</v>
      </c>
      <c r="G499" s="6" t="e">
        <f ca="1"/>
        <v>#NAME?</v>
      </c>
      <c r="H499" s="6" t="e">
        <f ca="1"/>
        <v>#NAME?</v>
      </c>
      <c r="I499" s="6"/>
      <c r="J499" s="6"/>
      <c r="K499" s="6"/>
      <c r="L499" s="6"/>
      <c r="M499" s="6"/>
      <c r="N499" s="6"/>
      <c r="O499" s="6"/>
      <c r="P499" s="6"/>
      <c r="Q499" s="6"/>
      <c r="R499" s="6"/>
      <c r="S499" s="6"/>
      <c r="T499" s="6"/>
    </row>
    <row r="500" spans="1:20">
      <c r="A500" s="6">
        <v>0</v>
      </c>
      <c r="B500" s="6">
        <v>0</v>
      </c>
      <c r="C500" s="6" t="e">
        <f ca="1"/>
        <v>#NAME?</v>
      </c>
      <c r="D500" s="6" t="e">
        <f ca="1"/>
        <v>#NAME?</v>
      </c>
      <c r="E500" s="6" t="e">
        <f ca="1"/>
        <v>#NAME?</v>
      </c>
      <c r="F500" s="6" t="e">
        <f ca="1"/>
        <v>#NAME?</v>
      </c>
      <c r="G500" s="6" t="e">
        <f ca="1"/>
        <v>#NAME?</v>
      </c>
      <c r="H500" s="6" t="e">
        <f ca="1"/>
        <v>#NAME?</v>
      </c>
      <c r="I500" s="6"/>
      <c r="J500" s="6"/>
      <c r="K500" s="6"/>
      <c r="L500" s="6"/>
      <c r="M500" s="6"/>
      <c r="N500" s="6"/>
      <c r="O500" s="6"/>
      <c r="P500" s="6"/>
      <c r="Q500" s="6"/>
      <c r="R500" s="6"/>
      <c r="S500" s="6"/>
      <c r="T500" s="6"/>
    </row>
    <row r="501" spans="1:20">
      <c r="A501" s="6">
        <v>0</v>
      </c>
      <c r="B501" s="6">
        <v>0</v>
      </c>
      <c r="C501" s="6" t="e">
        <f ca="1"/>
        <v>#NAME?</v>
      </c>
      <c r="D501" s="6" t="e">
        <f ca="1"/>
        <v>#NAME?</v>
      </c>
      <c r="E501" s="6" t="e">
        <f ca="1"/>
        <v>#NAME?</v>
      </c>
      <c r="F501" s="6" t="e">
        <f ca="1"/>
        <v>#NAME?</v>
      </c>
      <c r="G501" s="6" t="e">
        <f ca="1"/>
        <v>#NAME?</v>
      </c>
      <c r="H501" s="6" t="e">
        <f ca="1"/>
        <v>#NAME?</v>
      </c>
      <c r="I501" s="6"/>
      <c r="J501" s="6"/>
      <c r="K501" s="6"/>
      <c r="L501" s="6"/>
      <c r="M501" s="6"/>
      <c r="N501" s="6"/>
      <c r="O501" s="6"/>
      <c r="P501" s="6"/>
      <c r="Q501" s="6"/>
      <c r="R501" s="6"/>
      <c r="S501" s="6"/>
      <c r="T501" s="6"/>
    </row>
    <row r="502" spans="1:20">
      <c r="A502" s="6">
        <v>0</v>
      </c>
      <c r="B502" s="6">
        <v>0</v>
      </c>
      <c r="C502" s="6" t="e">
        <f ca="1"/>
        <v>#NAME?</v>
      </c>
      <c r="D502" s="6" t="e">
        <f ca="1"/>
        <v>#NAME?</v>
      </c>
      <c r="E502" s="6" t="e">
        <f ca="1"/>
        <v>#NAME?</v>
      </c>
      <c r="F502" s="6" t="e">
        <f ca="1"/>
        <v>#NAME?</v>
      </c>
      <c r="G502" s="6" t="e">
        <f ca="1"/>
        <v>#NAME?</v>
      </c>
      <c r="H502" s="6" t="e">
        <f ca="1"/>
        <v>#NAME?</v>
      </c>
      <c r="I502" s="6"/>
      <c r="J502" s="6"/>
      <c r="K502" s="6"/>
      <c r="L502" s="6"/>
      <c r="M502" s="6"/>
      <c r="N502" s="6"/>
      <c r="O502" s="6"/>
      <c r="P502" s="6"/>
      <c r="Q502" s="6"/>
      <c r="R502" s="6"/>
      <c r="S502" s="6"/>
      <c r="T502" s="6"/>
    </row>
    <row r="503" spans="1:20">
      <c r="A503" s="6">
        <v>0</v>
      </c>
      <c r="B503" s="6">
        <v>0</v>
      </c>
      <c r="C503" s="6" t="e">
        <f ca="1"/>
        <v>#NAME?</v>
      </c>
      <c r="D503" s="6" t="e">
        <f ca="1"/>
        <v>#NAME?</v>
      </c>
      <c r="E503" s="6" t="e">
        <f ca="1"/>
        <v>#NAME?</v>
      </c>
      <c r="F503" s="6" t="e">
        <f ca="1"/>
        <v>#NAME?</v>
      </c>
      <c r="G503" s="6" t="e">
        <f ca="1"/>
        <v>#NAME?</v>
      </c>
      <c r="H503" s="6" t="e">
        <f ca="1"/>
        <v>#NAME?</v>
      </c>
      <c r="I503" s="6"/>
      <c r="J503" s="6"/>
      <c r="K503" s="6"/>
      <c r="L503" s="6"/>
      <c r="M503" s="6"/>
      <c r="N503" s="6"/>
      <c r="O503" s="6"/>
      <c r="P503" s="6"/>
      <c r="Q503" s="6"/>
      <c r="R503" s="6"/>
      <c r="S503" s="6"/>
      <c r="T503" s="6"/>
    </row>
    <row r="504" spans="1:20">
      <c r="A504" s="6">
        <v>0</v>
      </c>
      <c r="B504" s="6">
        <v>0</v>
      </c>
      <c r="C504" s="6" t="e">
        <f ca="1"/>
        <v>#NAME?</v>
      </c>
      <c r="D504" s="6" t="e">
        <f ca="1"/>
        <v>#NAME?</v>
      </c>
      <c r="E504" s="6" t="e">
        <f ca="1"/>
        <v>#NAME?</v>
      </c>
      <c r="F504" s="6" t="e">
        <f ca="1"/>
        <v>#NAME?</v>
      </c>
      <c r="G504" s="6" t="e">
        <f ca="1"/>
        <v>#NAME?</v>
      </c>
      <c r="H504" s="6" t="e">
        <f ca="1"/>
        <v>#NAME?</v>
      </c>
      <c r="I504" s="6"/>
      <c r="J504" s="6"/>
      <c r="K504" s="6"/>
      <c r="L504" s="6"/>
      <c r="M504" s="6"/>
      <c r="N504" s="6"/>
      <c r="O504" s="6"/>
      <c r="P504" s="6"/>
      <c r="Q504" s="6"/>
      <c r="R504" s="6"/>
      <c r="S504" s="6"/>
      <c r="T504" s="6"/>
    </row>
    <row r="505" spans="1:20">
      <c r="A505" s="6">
        <v>0</v>
      </c>
      <c r="B505" s="6">
        <v>0</v>
      </c>
      <c r="C505" s="6" t="e">
        <f ca="1"/>
        <v>#NAME?</v>
      </c>
      <c r="D505" s="6" t="e">
        <f ca="1"/>
        <v>#NAME?</v>
      </c>
      <c r="E505" s="6" t="e">
        <f ca="1"/>
        <v>#NAME?</v>
      </c>
      <c r="F505" s="6" t="e">
        <f ca="1"/>
        <v>#NAME?</v>
      </c>
      <c r="G505" s="6" t="e">
        <f ca="1"/>
        <v>#NAME?</v>
      </c>
      <c r="H505" s="6" t="e">
        <f ca="1"/>
        <v>#NAME?</v>
      </c>
      <c r="I505" s="6"/>
      <c r="J505" s="6"/>
      <c r="K505" s="6"/>
      <c r="L505" s="6"/>
      <c r="M505" s="6"/>
      <c r="N505" s="6"/>
      <c r="O505" s="6"/>
      <c r="P505" s="6"/>
      <c r="Q505" s="6"/>
      <c r="R505" s="6"/>
      <c r="S505" s="6"/>
      <c r="T505" s="6"/>
    </row>
    <row r="506" spans="1:20">
      <c r="A506" s="6">
        <v>0</v>
      </c>
      <c r="B506" s="6">
        <v>0</v>
      </c>
      <c r="C506" s="6" t="e">
        <f ca="1"/>
        <v>#NAME?</v>
      </c>
      <c r="D506" s="6" t="e">
        <f ca="1"/>
        <v>#NAME?</v>
      </c>
      <c r="E506" s="6" t="e">
        <f ca="1"/>
        <v>#NAME?</v>
      </c>
      <c r="F506" s="6" t="e">
        <f ca="1"/>
        <v>#NAME?</v>
      </c>
      <c r="G506" s="6" t="e">
        <f ca="1"/>
        <v>#NAME?</v>
      </c>
      <c r="H506" s="6" t="e">
        <f ca="1"/>
        <v>#NAME?</v>
      </c>
      <c r="I506" s="6"/>
      <c r="J506" s="6"/>
      <c r="K506" s="6"/>
      <c r="L506" s="6"/>
      <c r="M506" s="6"/>
      <c r="N506" s="6"/>
      <c r="O506" s="6"/>
      <c r="P506" s="6"/>
      <c r="Q506" s="6"/>
      <c r="R506" s="6"/>
      <c r="S506" s="6"/>
      <c r="T506" s="6"/>
    </row>
    <row r="507" spans="1:20">
      <c r="A507" s="6">
        <v>0</v>
      </c>
      <c r="B507" s="6">
        <v>0</v>
      </c>
      <c r="C507" s="6" t="e">
        <f ca="1"/>
        <v>#NAME?</v>
      </c>
      <c r="D507" s="6" t="e">
        <f ca="1"/>
        <v>#NAME?</v>
      </c>
      <c r="E507" s="6" t="e">
        <f ca="1"/>
        <v>#NAME?</v>
      </c>
      <c r="F507" s="6" t="e">
        <f ca="1"/>
        <v>#NAME?</v>
      </c>
      <c r="G507" s="6" t="e">
        <f ca="1"/>
        <v>#NAME?</v>
      </c>
      <c r="H507" s="6" t="e">
        <f ca="1"/>
        <v>#NAME?</v>
      </c>
      <c r="I507" s="6"/>
      <c r="J507" s="6"/>
      <c r="K507" s="6"/>
      <c r="L507" s="6"/>
      <c r="M507" s="6"/>
      <c r="N507" s="6"/>
      <c r="O507" s="6"/>
      <c r="P507" s="6"/>
      <c r="Q507" s="6"/>
      <c r="R507" s="6"/>
      <c r="S507" s="6"/>
      <c r="T507" s="6"/>
    </row>
    <row r="508" spans="1:20">
      <c r="A508" s="6">
        <v>0</v>
      </c>
      <c r="B508" s="6">
        <v>0</v>
      </c>
      <c r="C508" s="6" t="e">
        <f ca="1"/>
        <v>#NAME?</v>
      </c>
      <c r="D508" s="6" t="e">
        <f ca="1"/>
        <v>#NAME?</v>
      </c>
      <c r="E508" s="6" t="e">
        <f ca="1"/>
        <v>#NAME?</v>
      </c>
      <c r="F508" s="6" t="e">
        <f ca="1"/>
        <v>#NAME?</v>
      </c>
      <c r="G508" s="6" t="e">
        <f ca="1"/>
        <v>#NAME?</v>
      </c>
      <c r="H508" s="6" t="e">
        <f ca="1"/>
        <v>#NAME?</v>
      </c>
      <c r="I508" s="6"/>
      <c r="J508" s="6"/>
      <c r="K508" s="6"/>
      <c r="L508" s="6"/>
      <c r="M508" s="6"/>
      <c r="N508" s="6"/>
      <c r="O508" s="6"/>
      <c r="P508" s="6"/>
      <c r="Q508" s="6"/>
      <c r="R508" s="6"/>
      <c r="S508" s="6"/>
      <c r="T508" s="6"/>
    </row>
    <row r="509" spans="1:20">
      <c r="A509" s="6">
        <v>0</v>
      </c>
      <c r="B509" s="6">
        <v>0</v>
      </c>
      <c r="C509" s="6" t="e">
        <f ca="1"/>
        <v>#NAME?</v>
      </c>
      <c r="D509" s="6" t="e">
        <f ca="1"/>
        <v>#NAME?</v>
      </c>
      <c r="E509" s="6" t="e">
        <f ca="1"/>
        <v>#NAME?</v>
      </c>
      <c r="F509" s="6" t="e">
        <f ca="1"/>
        <v>#NAME?</v>
      </c>
      <c r="G509" s="6" t="e">
        <f ca="1"/>
        <v>#NAME?</v>
      </c>
      <c r="H509" s="6" t="e">
        <f ca="1"/>
        <v>#NAME?</v>
      </c>
      <c r="I509" s="6"/>
      <c r="J509" s="6"/>
      <c r="K509" s="6"/>
      <c r="L509" s="6"/>
      <c r="M509" s="6"/>
      <c r="N509" s="6"/>
      <c r="O509" s="6"/>
      <c r="P509" s="6"/>
      <c r="Q509" s="6"/>
      <c r="R509" s="6"/>
      <c r="S509" s="6"/>
      <c r="T509" s="6"/>
    </row>
    <row r="510" spans="1:20">
      <c r="A510" s="6">
        <v>0</v>
      </c>
      <c r="B510" s="6">
        <v>0</v>
      </c>
      <c r="C510" s="6" t="e">
        <f ca="1"/>
        <v>#NAME?</v>
      </c>
      <c r="D510" s="6" t="e">
        <f ca="1"/>
        <v>#NAME?</v>
      </c>
      <c r="E510" s="6" t="e">
        <f ca="1"/>
        <v>#NAME?</v>
      </c>
      <c r="F510" s="6" t="e">
        <f ca="1"/>
        <v>#NAME?</v>
      </c>
      <c r="G510" s="6" t="e">
        <f ca="1"/>
        <v>#NAME?</v>
      </c>
      <c r="H510" s="6" t="e">
        <f ca="1"/>
        <v>#NAME?</v>
      </c>
      <c r="I510" s="6"/>
      <c r="J510" s="6"/>
      <c r="K510" s="6"/>
      <c r="L510" s="6"/>
      <c r="M510" s="6"/>
      <c r="N510" s="6"/>
      <c r="O510" s="6"/>
      <c r="P510" s="6"/>
      <c r="Q510" s="6"/>
      <c r="R510" s="6"/>
      <c r="S510" s="6"/>
      <c r="T510" s="6"/>
    </row>
    <row r="511" spans="1:20">
      <c r="A511" s="6">
        <v>0</v>
      </c>
      <c r="B511" s="6">
        <v>0</v>
      </c>
      <c r="C511" s="6" t="e">
        <f ca="1"/>
        <v>#NAME?</v>
      </c>
      <c r="D511" s="6" t="e">
        <f ca="1"/>
        <v>#NAME?</v>
      </c>
      <c r="E511" s="6" t="e">
        <f ca="1"/>
        <v>#NAME?</v>
      </c>
      <c r="F511" s="6" t="e">
        <f ca="1"/>
        <v>#NAME?</v>
      </c>
      <c r="G511" s="6" t="e">
        <f ca="1"/>
        <v>#NAME?</v>
      </c>
      <c r="H511" s="6" t="e">
        <f ca="1"/>
        <v>#NAME?</v>
      </c>
      <c r="I511" s="6"/>
      <c r="J511" s="6"/>
      <c r="K511" s="6"/>
      <c r="L511" s="6"/>
      <c r="M511" s="6"/>
      <c r="N511" s="6"/>
      <c r="O511" s="6"/>
      <c r="P511" s="6"/>
      <c r="Q511" s="6"/>
      <c r="R511" s="6"/>
      <c r="S511" s="6"/>
      <c r="T511" s="6"/>
    </row>
    <row r="512" spans="1:20">
      <c r="A512" s="6">
        <v>0</v>
      </c>
      <c r="B512" s="6">
        <v>0</v>
      </c>
      <c r="C512" s="6" t="e">
        <f ca="1"/>
        <v>#NAME?</v>
      </c>
      <c r="D512" s="6" t="e">
        <f ca="1"/>
        <v>#NAME?</v>
      </c>
      <c r="E512" s="6" t="e">
        <f ca="1"/>
        <v>#NAME?</v>
      </c>
      <c r="F512" s="6" t="e">
        <f ca="1"/>
        <v>#NAME?</v>
      </c>
      <c r="G512" s="6" t="e">
        <f ca="1"/>
        <v>#NAME?</v>
      </c>
      <c r="H512" s="6" t="e">
        <f ca="1"/>
        <v>#NAME?</v>
      </c>
      <c r="I512" s="6"/>
      <c r="J512" s="6"/>
      <c r="K512" s="6"/>
      <c r="L512" s="6"/>
      <c r="M512" s="6"/>
      <c r="N512" s="6"/>
      <c r="O512" s="6"/>
      <c r="P512" s="6"/>
      <c r="Q512" s="6"/>
      <c r="R512" s="6"/>
      <c r="S512" s="6"/>
      <c r="T512" s="6"/>
    </row>
    <row r="513" spans="1:20">
      <c r="A513" s="6">
        <v>0</v>
      </c>
      <c r="B513" s="6">
        <v>0</v>
      </c>
      <c r="C513" s="6" t="e">
        <f ca="1"/>
        <v>#NAME?</v>
      </c>
      <c r="D513" s="6" t="e">
        <f ca="1"/>
        <v>#NAME?</v>
      </c>
      <c r="E513" s="6" t="e">
        <f ca="1"/>
        <v>#NAME?</v>
      </c>
      <c r="F513" s="6" t="e">
        <f ca="1"/>
        <v>#NAME?</v>
      </c>
      <c r="G513" s="6" t="e">
        <f ca="1"/>
        <v>#NAME?</v>
      </c>
      <c r="H513" s="6" t="e">
        <f ca="1"/>
        <v>#NAME?</v>
      </c>
      <c r="I513" s="6"/>
      <c r="J513" s="6"/>
      <c r="K513" s="6"/>
      <c r="L513" s="6"/>
      <c r="M513" s="6"/>
      <c r="N513" s="6"/>
      <c r="O513" s="6"/>
      <c r="P513" s="6"/>
      <c r="Q513" s="6"/>
      <c r="R513" s="6"/>
      <c r="S513" s="6"/>
      <c r="T513" s="6"/>
    </row>
    <row r="514" spans="1:20">
      <c r="A514" s="6">
        <v>0</v>
      </c>
      <c r="B514" s="6">
        <v>0</v>
      </c>
      <c r="C514" s="6" t="e">
        <f ca="1"/>
        <v>#NAME?</v>
      </c>
      <c r="D514" s="6" t="e">
        <f ca="1"/>
        <v>#NAME?</v>
      </c>
      <c r="E514" s="6" t="e">
        <f ca="1"/>
        <v>#NAME?</v>
      </c>
      <c r="F514" s="6" t="e">
        <f ca="1"/>
        <v>#NAME?</v>
      </c>
      <c r="G514" s="6" t="e">
        <f ca="1"/>
        <v>#NAME?</v>
      </c>
      <c r="H514" s="6" t="e">
        <f ca="1"/>
        <v>#NAME?</v>
      </c>
      <c r="I514" s="6"/>
      <c r="J514" s="6"/>
      <c r="K514" s="6"/>
      <c r="L514" s="6"/>
      <c r="M514" s="6"/>
      <c r="N514" s="6"/>
      <c r="O514" s="6"/>
      <c r="P514" s="6"/>
      <c r="Q514" s="6"/>
      <c r="R514" s="6"/>
      <c r="S514" s="6"/>
      <c r="T514" s="6"/>
    </row>
    <row r="515" spans="1:20">
      <c r="A515" s="6">
        <v>0</v>
      </c>
      <c r="B515" s="6">
        <v>0</v>
      </c>
      <c r="C515" s="6" t="e">
        <f ca="1"/>
        <v>#NAME?</v>
      </c>
      <c r="D515" s="6" t="e">
        <f ca="1"/>
        <v>#NAME?</v>
      </c>
      <c r="E515" s="6" t="e">
        <f ca="1"/>
        <v>#NAME?</v>
      </c>
      <c r="F515" s="6" t="e">
        <f ca="1"/>
        <v>#NAME?</v>
      </c>
      <c r="G515" s="6" t="e">
        <f ca="1"/>
        <v>#NAME?</v>
      </c>
      <c r="H515" s="6" t="e">
        <f ca="1"/>
        <v>#NAME?</v>
      </c>
      <c r="I515" s="6"/>
      <c r="J515" s="6"/>
      <c r="K515" s="6"/>
      <c r="L515" s="6"/>
      <c r="M515" s="6"/>
      <c r="N515" s="6"/>
      <c r="O515" s="6"/>
      <c r="P515" s="6"/>
      <c r="Q515" s="6"/>
      <c r="R515" s="6"/>
      <c r="S515" s="6"/>
      <c r="T515" s="6"/>
    </row>
    <row r="516" spans="1:20">
      <c r="A516" s="6">
        <v>0</v>
      </c>
      <c r="B516" s="6">
        <v>0</v>
      </c>
      <c r="C516" s="6" t="e">
        <f ca="1"/>
        <v>#NAME?</v>
      </c>
      <c r="D516" s="6" t="e">
        <f ca="1"/>
        <v>#NAME?</v>
      </c>
      <c r="E516" s="6" t="e">
        <f ca="1"/>
        <v>#NAME?</v>
      </c>
      <c r="F516" s="6" t="e">
        <f ca="1"/>
        <v>#NAME?</v>
      </c>
      <c r="G516" s="6" t="e">
        <f ca="1"/>
        <v>#NAME?</v>
      </c>
      <c r="H516" s="6" t="e">
        <f ca="1"/>
        <v>#NAME?</v>
      </c>
      <c r="I516" s="6"/>
      <c r="J516" s="6"/>
      <c r="K516" s="6"/>
      <c r="L516" s="6"/>
      <c r="M516" s="6"/>
      <c r="N516" s="6"/>
      <c r="O516" s="6"/>
      <c r="P516" s="6"/>
      <c r="Q516" s="6"/>
      <c r="R516" s="6"/>
      <c r="S516" s="6"/>
      <c r="T516" s="6"/>
    </row>
    <row r="517" spans="1:20">
      <c r="A517" s="6">
        <v>0</v>
      </c>
      <c r="B517" s="6">
        <v>0</v>
      </c>
      <c r="C517" s="6" t="e">
        <f ca="1"/>
        <v>#NAME?</v>
      </c>
      <c r="D517" s="6" t="e">
        <f ca="1"/>
        <v>#NAME?</v>
      </c>
      <c r="E517" s="6" t="e">
        <f ca="1"/>
        <v>#NAME?</v>
      </c>
      <c r="F517" s="6" t="e">
        <f ca="1"/>
        <v>#NAME?</v>
      </c>
      <c r="G517" s="6" t="e">
        <f ca="1"/>
        <v>#NAME?</v>
      </c>
      <c r="H517" s="6" t="e">
        <f ca="1"/>
        <v>#NAME?</v>
      </c>
      <c r="I517" s="6"/>
      <c r="J517" s="6"/>
      <c r="K517" s="6"/>
      <c r="L517" s="6"/>
      <c r="M517" s="6"/>
      <c r="N517" s="6"/>
      <c r="O517" s="6"/>
      <c r="P517" s="6"/>
      <c r="Q517" s="6"/>
      <c r="R517" s="6"/>
      <c r="S517" s="6"/>
      <c r="T517" s="6"/>
    </row>
    <row r="518" spans="1:20">
      <c r="A518" s="6">
        <v>0</v>
      </c>
      <c r="B518" s="6">
        <v>0</v>
      </c>
      <c r="C518" s="6" t="e">
        <f ca="1"/>
        <v>#NAME?</v>
      </c>
      <c r="D518" s="6" t="e">
        <f ca="1"/>
        <v>#NAME?</v>
      </c>
      <c r="E518" s="6" t="e">
        <f ca="1"/>
        <v>#NAME?</v>
      </c>
      <c r="F518" s="6" t="e">
        <f ca="1"/>
        <v>#NAME?</v>
      </c>
      <c r="G518" s="6" t="e">
        <f ca="1"/>
        <v>#NAME?</v>
      </c>
      <c r="H518" s="6" t="e">
        <f ca="1"/>
        <v>#NAME?</v>
      </c>
      <c r="I518" s="6"/>
      <c r="J518" s="6"/>
      <c r="K518" s="6"/>
      <c r="L518" s="6"/>
      <c r="M518" s="6"/>
      <c r="N518" s="6"/>
      <c r="O518" s="6"/>
      <c r="P518" s="6"/>
      <c r="Q518" s="6"/>
      <c r="R518" s="6"/>
      <c r="S518" s="6"/>
      <c r="T518" s="6"/>
    </row>
    <row r="519" spans="1:20">
      <c r="A519" s="6">
        <v>0</v>
      </c>
      <c r="B519" s="6">
        <v>0</v>
      </c>
      <c r="C519" s="6" t="e">
        <f ca="1"/>
        <v>#NAME?</v>
      </c>
      <c r="D519" s="6" t="e">
        <f ca="1"/>
        <v>#NAME?</v>
      </c>
      <c r="E519" s="6" t="e">
        <f ca="1"/>
        <v>#NAME?</v>
      </c>
      <c r="F519" s="6" t="e">
        <f ca="1"/>
        <v>#NAME?</v>
      </c>
      <c r="G519" s="6" t="e">
        <f ca="1"/>
        <v>#NAME?</v>
      </c>
      <c r="H519" s="6" t="e">
        <f ca="1"/>
        <v>#NAME?</v>
      </c>
      <c r="I519" s="6"/>
      <c r="J519" s="6"/>
      <c r="K519" s="6"/>
      <c r="L519" s="6"/>
      <c r="M519" s="6"/>
      <c r="N519" s="6"/>
      <c r="O519" s="6"/>
      <c r="P519" s="6"/>
      <c r="Q519" s="6"/>
      <c r="R519" s="6"/>
      <c r="S519" s="6"/>
      <c r="T519" s="6"/>
    </row>
    <row r="520" spans="1:20">
      <c r="A520" s="6">
        <v>0</v>
      </c>
      <c r="B520" s="6">
        <v>0</v>
      </c>
      <c r="C520" s="6" t="e">
        <f ca="1"/>
        <v>#NAME?</v>
      </c>
      <c r="D520" s="6" t="e">
        <f ca="1"/>
        <v>#NAME?</v>
      </c>
      <c r="E520" s="6" t="e">
        <f ca="1"/>
        <v>#NAME?</v>
      </c>
      <c r="F520" s="6" t="e">
        <f ca="1"/>
        <v>#NAME?</v>
      </c>
      <c r="G520" s="6" t="e">
        <f ca="1"/>
        <v>#NAME?</v>
      </c>
      <c r="H520" s="6" t="e">
        <f ca="1"/>
        <v>#NAME?</v>
      </c>
      <c r="I520" s="6"/>
      <c r="J520" s="6"/>
      <c r="K520" s="6"/>
      <c r="L520" s="6"/>
      <c r="M520" s="6"/>
      <c r="N520" s="6"/>
      <c r="O520" s="6"/>
      <c r="P520" s="6"/>
      <c r="Q520" s="6"/>
      <c r="R520" s="6"/>
      <c r="S520" s="6"/>
      <c r="T520" s="6"/>
    </row>
    <row r="521" spans="1:20">
      <c r="A521" s="6">
        <v>0</v>
      </c>
      <c r="B521" s="6">
        <v>0</v>
      </c>
      <c r="C521" s="6" t="e">
        <f ca="1"/>
        <v>#NAME?</v>
      </c>
      <c r="D521" s="6" t="e">
        <f ca="1"/>
        <v>#NAME?</v>
      </c>
      <c r="E521" s="6" t="e">
        <f ca="1"/>
        <v>#NAME?</v>
      </c>
      <c r="F521" s="6" t="e">
        <f ca="1"/>
        <v>#NAME?</v>
      </c>
      <c r="G521" s="6" t="e">
        <f ca="1"/>
        <v>#NAME?</v>
      </c>
      <c r="H521" s="6" t="e">
        <f ca="1"/>
        <v>#NAME?</v>
      </c>
      <c r="I521" s="6"/>
      <c r="J521" s="6"/>
      <c r="K521" s="6"/>
      <c r="L521" s="6"/>
      <c r="M521" s="6"/>
      <c r="N521" s="6"/>
      <c r="O521" s="6"/>
      <c r="P521" s="6"/>
      <c r="Q521" s="6"/>
      <c r="R521" s="6"/>
      <c r="S521" s="6"/>
      <c r="T521" s="6"/>
    </row>
    <row r="522" spans="1:20">
      <c r="A522" s="6">
        <v>0</v>
      </c>
      <c r="B522" s="6">
        <v>0</v>
      </c>
      <c r="C522" s="6" t="e">
        <f ca="1"/>
        <v>#NAME?</v>
      </c>
      <c r="D522" s="6" t="e">
        <f ca="1"/>
        <v>#NAME?</v>
      </c>
      <c r="E522" s="6" t="e">
        <f ca="1"/>
        <v>#NAME?</v>
      </c>
      <c r="F522" s="6" t="e">
        <f ca="1"/>
        <v>#NAME?</v>
      </c>
      <c r="G522" s="6" t="e">
        <f ca="1"/>
        <v>#NAME?</v>
      </c>
      <c r="H522" s="6" t="e">
        <f ca="1"/>
        <v>#NAME?</v>
      </c>
      <c r="I522" s="6"/>
      <c r="J522" s="6"/>
      <c r="K522" s="6"/>
      <c r="L522" s="6"/>
      <c r="M522" s="6"/>
      <c r="N522" s="6"/>
      <c r="O522" s="6"/>
      <c r="P522" s="6"/>
      <c r="Q522" s="6"/>
      <c r="R522" s="6"/>
      <c r="S522" s="6"/>
      <c r="T522" s="6"/>
    </row>
    <row r="523" spans="1:20">
      <c r="A523" s="6">
        <v>0</v>
      </c>
      <c r="B523" s="6">
        <v>0</v>
      </c>
      <c r="C523" s="6" t="e">
        <f ca="1"/>
        <v>#NAME?</v>
      </c>
      <c r="D523" s="6" t="e">
        <f ca="1"/>
        <v>#NAME?</v>
      </c>
      <c r="E523" s="6" t="e">
        <f ca="1"/>
        <v>#NAME?</v>
      </c>
      <c r="F523" s="6" t="e">
        <f ca="1"/>
        <v>#NAME?</v>
      </c>
      <c r="G523" s="6" t="e">
        <f ca="1"/>
        <v>#NAME?</v>
      </c>
      <c r="H523" s="6" t="e">
        <f ca="1"/>
        <v>#NAME?</v>
      </c>
      <c r="I523" s="6"/>
      <c r="J523" s="6"/>
      <c r="K523" s="6"/>
      <c r="L523" s="6"/>
      <c r="M523" s="6"/>
      <c r="N523" s="6"/>
      <c r="O523" s="6"/>
      <c r="P523" s="6"/>
      <c r="Q523" s="6"/>
      <c r="R523" s="6"/>
      <c r="S523" s="6"/>
      <c r="T523" s="6"/>
    </row>
    <row r="524" spans="1:20">
      <c r="A524" s="6">
        <v>0</v>
      </c>
      <c r="B524" s="6">
        <v>0</v>
      </c>
      <c r="C524" s="6" t="e">
        <f ca="1"/>
        <v>#NAME?</v>
      </c>
      <c r="D524" s="6" t="e">
        <f ca="1"/>
        <v>#NAME?</v>
      </c>
      <c r="E524" s="6" t="e">
        <f ca="1"/>
        <v>#NAME?</v>
      </c>
      <c r="F524" s="6" t="e">
        <f ca="1"/>
        <v>#NAME?</v>
      </c>
      <c r="G524" s="6" t="e">
        <f ca="1"/>
        <v>#NAME?</v>
      </c>
      <c r="H524" s="6" t="e">
        <f ca="1"/>
        <v>#NAME?</v>
      </c>
      <c r="I524" s="6"/>
      <c r="J524" s="6"/>
      <c r="K524" s="6"/>
      <c r="L524" s="6"/>
      <c r="M524" s="6"/>
      <c r="N524" s="6"/>
      <c r="O524" s="6"/>
      <c r="P524" s="6"/>
      <c r="Q524" s="6"/>
      <c r="R524" s="6"/>
      <c r="S524" s="6"/>
      <c r="T524" s="6"/>
    </row>
    <row r="525" spans="1:20">
      <c r="A525" s="6">
        <v>0</v>
      </c>
      <c r="B525" s="6">
        <v>0</v>
      </c>
      <c r="C525" s="6" t="e">
        <f ca="1"/>
        <v>#NAME?</v>
      </c>
      <c r="D525" s="6" t="e">
        <f ca="1"/>
        <v>#NAME?</v>
      </c>
      <c r="E525" s="6" t="e">
        <f ca="1"/>
        <v>#NAME?</v>
      </c>
      <c r="F525" s="6" t="e">
        <f ca="1"/>
        <v>#NAME?</v>
      </c>
      <c r="G525" s="6" t="e">
        <f ca="1"/>
        <v>#NAME?</v>
      </c>
      <c r="H525" s="6" t="e">
        <f ca="1"/>
        <v>#NAME?</v>
      </c>
      <c r="I525" s="6"/>
      <c r="J525" s="6"/>
      <c r="K525" s="6"/>
      <c r="L525" s="6"/>
      <c r="M525" s="6"/>
      <c r="N525" s="6"/>
      <c r="O525" s="6"/>
      <c r="P525" s="6"/>
      <c r="Q525" s="6"/>
      <c r="R525" s="6"/>
      <c r="S525" s="6"/>
      <c r="T525" s="6"/>
    </row>
    <row r="526" spans="1:20">
      <c r="A526" s="6">
        <v>0</v>
      </c>
      <c r="B526" s="6">
        <v>0</v>
      </c>
      <c r="C526" s="6" t="e">
        <f ca="1"/>
        <v>#NAME?</v>
      </c>
      <c r="D526" s="6" t="e">
        <f ca="1"/>
        <v>#NAME?</v>
      </c>
      <c r="E526" s="6" t="e">
        <f ca="1"/>
        <v>#NAME?</v>
      </c>
      <c r="F526" s="6" t="e">
        <f ca="1"/>
        <v>#NAME?</v>
      </c>
      <c r="G526" s="6" t="e">
        <f ca="1"/>
        <v>#NAME?</v>
      </c>
      <c r="H526" s="6" t="e">
        <f ca="1"/>
        <v>#NAME?</v>
      </c>
      <c r="I526" s="6"/>
      <c r="J526" s="6"/>
      <c r="K526" s="6"/>
      <c r="L526" s="6"/>
      <c r="M526" s="6"/>
      <c r="N526" s="6"/>
      <c r="O526" s="6"/>
      <c r="P526" s="6"/>
      <c r="Q526" s="6"/>
      <c r="R526" s="6"/>
      <c r="S526" s="6"/>
      <c r="T526" s="6"/>
    </row>
    <row r="527" spans="1:20">
      <c r="A527" s="6">
        <v>0</v>
      </c>
      <c r="B527" s="6">
        <v>0</v>
      </c>
      <c r="C527" s="6" t="e">
        <f ca="1"/>
        <v>#NAME?</v>
      </c>
      <c r="D527" s="6" t="e">
        <f ca="1"/>
        <v>#NAME?</v>
      </c>
      <c r="E527" s="6" t="e">
        <f ca="1"/>
        <v>#NAME?</v>
      </c>
      <c r="F527" s="6" t="e">
        <f ca="1"/>
        <v>#NAME?</v>
      </c>
      <c r="G527" s="6" t="e">
        <f ca="1"/>
        <v>#NAME?</v>
      </c>
      <c r="H527" s="6" t="e">
        <f ca="1"/>
        <v>#NAME?</v>
      </c>
      <c r="I527" s="6"/>
      <c r="J527" s="6"/>
      <c r="K527" s="6"/>
      <c r="L527" s="6"/>
      <c r="M527" s="6"/>
      <c r="N527" s="6"/>
      <c r="O527" s="6"/>
      <c r="P527" s="6"/>
      <c r="Q527" s="6"/>
      <c r="R527" s="6"/>
      <c r="S527" s="6"/>
      <c r="T527" s="6"/>
    </row>
    <row r="528" spans="1:20">
      <c r="A528" s="6">
        <v>0</v>
      </c>
      <c r="B528" s="6">
        <v>0</v>
      </c>
      <c r="C528" s="6" t="e">
        <f ca="1"/>
        <v>#NAME?</v>
      </c>
      <c r="D528" s="6" t="e">
        <f ca="1"/>
        <v>#NAME?</v>
      </c>
      <c r="E528" s="6" t="e">
        <f ca="1"/>
        <v>#NAME?</v>
      </c>
      <c r="F528" s="6" t="e">
        <f ca="1"/>
        <v>#NAME?</v>
      </c>
      <c r="G528" s="6" t="e">
        <f ca="1"/>
        <v>#NAME?</v>
      </c>
      <c r="H528" s="6" t="e">
        <f ca="1"/>
        <v>#NAME?</v>
      </c>
      <c r="I528" s="6"/>
      <c r="J528" s="6"/>
      <c r="K528" s="6"/>
      <c r="L528" s="6"/>
      <c r="M528" s="6"/>
      <c r="N528" s="6"/>
      <c r="O528" s="6"/>
      <c r="P528" s="6"/>
      <c r="Q528" s="6"/>
      <c r="R528" s="6"/>
      <c r="S528" s="6"/>
      <c r="T528" s="6"/>
    </row>
    <row r="529" spans="1:20">
      <c r="A529" s="6">
        <v>0</v>
      </c>
      <c r="B529" s="6">
        <v>0</v>
      </c>
      <c r="C529" s="6" t="e">
        <f ca="1"/>
        <v>#NAME?</v>
      </c>
      <c r="D529" s="6" t="e">
        <f ca="1"/>
        <v>#NAME?</v>
      </c>
      <c r="E529" s="6" t="e">
        <f ca="1"/>
        <v>#NAME?</v>
      </c>
      <c r="F529" s="6" t="e">
        <f ca="1"/>
        <v>#NAME?</v>
      </c>
      <c r="G529" s="6" t="e">
        <f ca="1"/>
        <v>#NAME?</v>
      </c>
      <c r="H529" s="6" t="e">
        <f ca="1"/>
        <v>#NAME?</v>
      </c>
      <c r="I529" s="6"/>
      <c r="J529" s="6"/>
      <c r="K529" s="6"/>
      <c r="L529" s="6"/>
      <c r="M529" s="6"/>
      <c r="N529" s="6"/>
      <c r="O529" s="6"/>
      <c r="P529" s="6"/>
      <c r="Q529" s="6"/>
      <c r="R529" s="6"/>
      <c r="S529" s="6"/>
      <c r="T529" s="6"/>
    </row>
    <row r="530" spans="1:20">
      <c r="A530" s="6">
        <v>0</v>
      </c>
      <c r="B530" s="6">
        <v>0</v>
      </c>
      <c r="C530" s="6" t="e">
        <f ca="1"/>
        <v>#NAME?</v>
      </c>
      <c r="D530" s="6" t="e">
        <f ca="1"/>
        <v>#NAME?</v>
      </c>
      <c r="E530" s="6" t="e">
        <f ca="1"/>
        <v>#NAME?</v>
      </c>
      <c r="F530" s="6" t="e">
        <f ca="1"/>
        <v>#NAME?</v>
      </c>
      <c r="G530" s="6" t="e">
        <f ca="1"/>
        <v>#NAME?</v>
      </c>
      <c r="H530" s="6" t="e">
        <f ca="1"/>
        <v>#NAME?</v>
      </c>
      <c r="I530" s="6"/>
      <c r="J530" s="6"/>
      <c r="K530" s="6"/>
      <c r="L530" s="6"/>
      <c r="M530" s="6"/>
      <c r="N530" s="6"/>
      <c r="O530" s="6"/>
      <c r="P530" s="6"/>
      <c r="Q530" s="6"/>
      <c r="R530" s="6"/>
      <c r="S530" s="6"/>
      <c r="T530" s="6"/>
    </row>
    <row r="531" spans="1:20">
      <c r="A531" s="6">
        <v>0</v>
      </c>
      <c r="B531" s="6">
        <v>0</v>
      </c>
      <c r="C531" s="6" t="e">
        <f ca="1"/>
        <v>#NAME?</v>
      </c>
      <c r="D531" s="6" t="e">
        <f ca="1"/>
        <v>#NAME?</v>
      </c>
      <c r="E531" s="6" t="e">
        <f ca="1"/>
        <v>#NAME?</v>
      </c>
      <c r="F531" s="6" t="e">
        <f ca="1"/>
        <v>#NAME?</v>
      </c>
      <c r="G531" s="6" t="e">
        <f ca="1"/>
        <v>#NAME?</v>
      </c>
      <c r="H531" s="6" t="e">
        <f ca="1"/>
        <v>#NAME?</v>
      </c>
      <c r="I531" s="6"/>
      <c r="J531" s="6"/>
      <c r="K531" s="6"/>
      <c r="L531" s="6"/>
      <c r="M531" s="6"/>
      <c r="N531" s="6"/>
      <c r="O531" s="6"/>
      <c r="P531" s="6"/>
      <c r="Q531" s="6"/>
      <c r="R531" s="6"/>
      <c r="S531" s="6"/>
      <c r="T531" s="6"/>
    </row>
    <row r="532" spans="1:20">
      <c r="A532" s="6">
        <v>0</v>
      </c>
      <c r="B532" s="6">
        <v>0</v>
      </c>
      <c r="C532" s="6" t="e">
        <f ca="1"/>
        <v>#NAME?</v>
      </c>
      <c r="D532" s="6" t="e">
        <f ca="1"/>
        <v>#NAME?</v>
      </c>
      <c r="E532" s="6" t="e">
        <f ca="1"/>
        <v>#NAME?</v>
      </c>
      <c r="F532" s="6" t="e">
        <f ca="1"/>
        <v>#NAME?</v>
      </c>
      <c r="G532" s="6" t="e">
        <f ca="1"/>
        <v>#NAME?</v>
      </c>
      <c r="H532" s="6" t="e">
        <f ca="1"/>
        <v>#NAME?</v>
      </c>
      <c r="I532" s="6"/>
      <c r="J532" s="6"/>
      <c r="K532" s="6"/>
      <c r="L532" s="6"/>
      <c r="M532" s="6"/>
      <c r="N532" s="6"/>
      <c r="O532" s="6"/>
      <c r="P532" s="6"/>
      <c r="Q532" s="6"/>
      <c r="R532" s="6"/>
      <c r="S532" s="6"/>
      <c r="T532" s="6"/>
    </row>
    <row r="533" spans="1:20">
      <c r="A533" s="6">
        <v>0</v>
      </c>
      <c r="B533" s="6">
        <v>0</v>
      </c>
      <c r="C533" s="6" t="e">
        <f ca="1"/>
        <v>#NAME?</v>
      </c>
      <c r="D533" s="6" t="e">
        <f ca="1"/>
        <v>#NAME?</v>
      </c>
      <c r="E533" s="6" t="e">
        <f ca="1"/>
        <v>#NAME?</v>
      </c>
      <c r="F533" s="6" t="e">
        <f ca="1"/>
        <v>#NAME?</v>
      </c>
      <c r="G533" s="6" t="e">
        <f ca="1"/>
        <v>#NAME?</v>
      </c>
      <c r="H533" s="6" t="e">
        <f ca="1"/>
        <v>#NAME?</v>
      </c>
      <c r="I533" s="6"/>
      <c r="J533" s="6"/>
      <c r="K533" s="6"/>
      <c r="L533" s="6"/>
      <c r="M533" s="6"/>
      <c r="N533" s="6"/>
      <c r="O533" s="6"/>
      <c r="P533" s="6"/>
      <c r="Q533" s="6"/>
      <c r="R533" s="6"/>
      <c r="S533" s="6"/>
      <c r="T533" s="6"/>
    </row>
    <row r="534" spans="1:20">
      <c r="A534" s="6">
        <v>0</v>
      </c>
      <c r="B534" s="6">
        <v>0</v>
      </c>
      <c r="C534" s="6" t="e">
        <f ca="1"/>
        <v>#NAME?</v>
      </c>
      <c r="D534" s="6" t="e">
        <f ca="1"/>
        <v>#NAME?</v>
      </c>
      <c r="E534" s="6" t="e">
        <f ca="1"/>
        <v>#NAME?</v>
      </c>
      <c r="F534" s="6" t="e">
        <f ca="1"/>
        <v>#NAME?</v>
      </c>
      <c r="G534" s="6" t="e">
        <f ca="1"/>
        <v>#NAME?</v>
      </c>
      <c r="H534" s="6" t="e">
        <f ca="1"/>
        <v>#NAME?</v>
      </c>
      <c r="I534" s="6"/>
      <c r="J534" s="6"/>
      <c r="K534" s="6"/>
      <c r="L534" s="6"/>
      <c r="M534" s="6"/>
      <c r="N534" s="6"/>
      <c r="O534" s="6"/>
      <c r="P534" s="6"/>
      <c r="Q534" s="6"/>
      <c r="R534" s="6"/>
      <c r="S534" s="6"/>
      <c r="T534" s="6"/>
    </row>
    <row r="535" spans="1:20">
      <c r="A535" s="6">
        <v>0</v>
      </c>
      <c r="B535" s="6">
        <v>0</v>
      </c>
      <c r="C535" s="6" t="e">
        <f ca="1"/>
        <v>#NAME?</v>
      </c>
      <c r="D535" s="6" t="e">
        <f ca="1"/>
        <v>#NAME?</v>
      </c>
      <c r="E535" s="6" t="e">
        <f ca="1"/>
        <v>#NAME?</v>
      </c>
      <c r="F535" s="6" t="e">
        <f ca="1"/>
        <v>#NAME?</v>
      </c>
      <c r="G535" s="6" t="e">
        <f ca="1"/>
        <v>#NAME?</v>
      </c>
      <c r="H535" s="6" t="e">
        <f ca="1"/>
        <v>#NAME?</v>
      </c>
      <c r="I535" s="6"/>
      <c r="J535" s="6"/>
      <c r="K535" s="6"/>
      <c r="L535" s="6"/>
      <c r="M535" s="6"/>
      <c r="N535" s="6"/>
      <c r="O535" s="6"/>
      <c r="P535" s="6"/>
      <c r="Q535" s="6"/>
      <c r="R535" s="6"/>
      <c r="S535" s="6"/>
      <c r="T535" s="6"/>
    </row>
    <row r="536" spans="1:20">
      <c r="A536" s="6">
        <v>0</v>
      </c>
      <c r="B536" s="6">
        <v>0</v>
      </c>
      <c r="C536" s="6" t="e">
        <f ca="1"/>
        <v>#NAME?</v>
      </c>
      <c r="D536" s="6" t="e">
        <f ca="1"/>
        <v>#NAME?</v>
      </c>
      <c r="E536" s="6" t="e">
        <f ca="1"/>
        <v>#NAME?</v>
      </c>
      <c r="F536" s="6" t="e">
        <f ca="1"/>
        <v>#NAME?</v>
      </c>
      <c r="G536" s="6" t="e">
        <f ca="1"/>
        <v>#NAME?</v>
      </c>
      <c r="H536" s="6" t="e">
        <f ca="1"/>
        <v>#NAME?</v>
      </c>
      <c r="I536" s="6"/>
      <c r="J536" s="6"/>
      <c r="K536" s="6"/>
      <c r="L536" s="6"/>
      <c r="M536" s="6"/>
      <c r="N536" s="6"/>
      <c r="O536" s="6"/>
      <c r="P536" s="6"/>
      <c r="Q536" s="6"/>
      <c r="R536" s="6"/>
      <c r="S536" s="6"/>
      <c r="T536" s="6"/>
    </row>
    <row r="537" spans="1:20">
      <c r="A537" s="6">
        <v>0</v>
      </c>
      <c r="B537" s="6">
        <v>0</v>
      </c>
      <c r="C537" s="6" t="e">
        <f ca="1"/>
        <v>#NAME?</v>
      </c>
      <c r="D537" s="6" t="e">
        <f ca="1"/>
        <v>#NAME?</v>
      </c>
      <c r="E537" s="6" t="e">
        <f ca="1"/>
        <v>#NAME?</v>
      </c>
      <c r="F537" s="6" t="e">
        <f ca="1"/>
        <v>#NAME?</v>
      </c>
      <c r="G537" s="6" t="e">
        <f ca="1"/>
        <v>#NAME?</v>
      </c>
      <c r="H537" s="6" t="e">
        <f ca="1"/>
        <v>#NAME?</v>
      </c>
      <c r="I537" s="6"/>
      <c r="J537" s="6"/>
      <c r="K537" s="6"/>
      <c r="L537" s="6"/>
      <c r="M537" s="6"/>
      <c r="N537" s="6"/>
      <c r="O537" s="6"/>
      <c r="P537" s="6"/>
      <c r="Q537" s="6"/>
      <c r="R537" s="6"/>
      <c r="S537" s="6"/>
      <c r="T537" s="6"/>
    </row>
    <row r="538" spans="1:20">
      <c r="A538" s="6">
        <v>0</v>
      </c>
      <c r="B538" s="6">
        <v>0</v>
      </c>
      <c r="C538" s="6" t="e">
        <f ca="1"/>
        <v>#NAME?</v>
      </c>
      <c r="D538" s="6" t="e">
        <f ca="1"/>
        <v>#NAME?</v>
      </c>
      <c r="E538" s="6" t="e">
        <f ca="1"/>
        <v>#NAME?</v>
      </c>
      <c r="F538" s="6" t="e">
        <f ca="1"/>
        <v>#NAME?</v>
      </c>
      <c r="G538" s="6" t="e">
        <f ca="1"/>
        <v>#NAME?</v>
      </c>
      <c r="H538" s="6" t="e">
        <f ca="1"/>
        <v>#NAME?</v>
      </c>
      <c r="I538" s="6"/>
      <c r="J538" s="6"/>
      <c r="K538" s="6"/>
      <c r="L538" s="6"/>
      <c r="M538" s="6"/>
      <c r="N538" s="6"/>
      <c r="O538" s="6"/>
      <c r="P538" s="6"/>
      <c r="Q538" s="6"/>
      <c r="R538" s="6"/>
      <c r="S538" s="6"/>
      <c r="T538" s="6"/>
    </row>
    <row r="539" spans="1:20">
      <c r="A539" s="6">
        <v>0</v>
      </c>
      <c r="B539" s="6">
        <v>0</v>
      </c>
      <c r="C539" s="6" t="e">
        <f ca="1"/>
        <v>#NAME?</v>
      </c>
      <c r="D539" s="6" t="e">
        <f ca="1"/>
        <v>#NAME?</v>
      </c>
      <c r="E539" s="6" t="e">
        <f ca="1"/>
        <v>#NAME?</v>
      </c>
      <c r="F539" s="6" t="e">
        <f ca="1"/>
        <v>#NAME?</v>
      </c>
      <c r="G539" s="6" t="e">
        <f ca="1"/>
        <v>#NAME?</v>
      </c>
      <c r="H539" s="6" t="e">
        <f ca="1"/>
        <v>#NAME?</v>
      </c>
      <c r="I539" s="6"/>
      <c r="J539" s="6"/>
      <c r="K539" s="6"/>
      <c r="L539" s="6"/>
      <c r="M539" s="6"/>
      <c r="N539" s="6"/>
      <c r="O539" s="6"/>
      <c r="P539" s="6"/>
      <c r="Q539" s="6"/>
      <c r="R539" s="6"/>
      <c r="S539" s="6"/>
      <c r="T539" s="6"/>
    </row>
    <row r="540" spans="1:20">
      <c r="A540" s="6">
        <v>0</v>
      </c>
      <c r="B540" s="6">
        <v>0</v>
      </c>
      <c r="C540" s="6" t="e">
        <f ca="1"/>
        <v>#NAME?</v>
      </c>
      <c r="D540" s="6" t="e">
        <f ca="1"/>
        <v>#NAME?</v>
      </c>
      <c r="E540" s="6" t="e">
        <f ca="1"/>
        <v>#NAME?</v>
      </c>
      <c r="F540" s="6" t="e">
        <f ca="1"/>
        <v>#NAME?</v>
      </c>
      <c r="G540" s="6" t="e">
        <f ca="1"/>
        <v>#NAME?</v>
      </c>
      <c r="H540" s="6" t="e">
        <f ca="1"/>
        <v>#NAME?</v>
      </c>
      <c r="I540" s="6"/>
      <c r="J540" s="6"/>
      <c r="K540" s="6"/>
      <c r="L540" s="6"/>
      <c r="M540" s="6"/>
      <c r="N540" s="6"/>
      <c r="O540" s="6"/>
      <c r="P540" s="6"/>
      <c r="Q540" s="6"/>
      <c r="R540" s="6"/>
      <c r="S540" s="6"/>
      <c r="T540" s="6"/>
    </row>
    <row r="541" spans="1:20">
      <c r="A541" s="6">
        <v>0</v>
      </c>
      <c r="B541" s="6">
        <v>0</v>
      </c>
      <c r="C541" s="6" t="e">
        <f ca="1"/>
        <v>#NAME?</v>
      </c>
      <c r="D541" s="6" t="e">
        <f ca="1"/>
        <v>#NAME?</v>
      </c>
      <c r="E541" s="6" t="e">
        <f ca="1"/>
        <v>#NAME?</v>
      </c>
      <c r="F541" s="6" t="e">
        <f ca="1"/>
        <v>#NAME?</v>
      </c>
      <c r="G541" s="6" t="e">
        <f ca="1"/>
        <v>#NAME?</v>
      </c>
      <c r="H541" s="6" t="e">
        <f ca="1"/>
        <v>#NAME?</v>
      </c>
      <c r="I541" s="6"/>
      <c r="J541" s="6"/>
      <c r="K541" s="6"/>
      <c r="L541" s="6"/>
      <c r="M541" s="6"/>
      <c r="N541" s="6"/>
      <c r="O541" s="6"/>
      <c r="P541" s="6"/>
      <c r="Q541" s="6"/>
      <c r="R541" s="6"/>
      <c r="S541" s="6"/>
      <c r="T541" s="6"/>
    </row>
    <row r="542" spans="1:20">
      <c r="A542" s="6">
        <v>0</v>
      </c>
      <c r="B542" s="6">
        <v>0</v>
      </c>
      <c r="C542" s="6" t="e">
        <f ca="1"/>
        <v>#NAME?</v>
      </c>
      <c r="D542" s="6" t="e">
        <f ca="1"/>
        <v>#NAME?</v>
      </c>
      <c r="E542" s="6" t="e">
        <f ca="1"/>
        <v>#NAME?</v>
      </c>
      <c r="F542" s="6" t="e">
        <f ca="1"/>
        <v>#NAME?</v>
      </c>
      <c r="G542" s="6" t="e">
        <f ca="1"/>
        <v>#NAME?</v>
      </c>
      <c r="H542" s="6" t="e">
        <f ca="1"/>
        <v>#NAME?</v>
      </c>
      <c r="I542" s="6"/>
      <c r="J542" s="6"/>
      <c r="K542" s="6"/>
      <c r="L542" s="6"/>
      <c r="M542" s="6"/>
      <c r="N542" s="6"/>
      <c r="O542" s="6"/>
      <c r="P542" s="6"/>
      <c r="Q542" s="6"/>
      <c r="R542" s="6"/>
      <c r="S542" s="6"/>
      <c r="T542" s="6"/>
    </row>
    <row r="543" spans="1:20">
      <c r="A543" s="6">
        <v>0</v>
      </c>
      <c r="B543" s="6">
        <v>0</v>
      </c>
      <c r="C543" s="6" t="e">
        <f ca="1"/>
        <v>#NAME?</v>
      </c>
      <c r="D543" s="6" t="e">
        <f ca="1"/>
        <v>#NAME?</v>
      </c>
      <c r="E543" s="6" t="e">
        <f ca="1"/>
        <v>#NAME?</v>
      </c>
      <c r="F543" s="6" t="e">
        <f ca="1"/>
        <v>#NAME?</v>
      </c>
      <c r="G543" s="6" t="e">
        <f ca="1"/>
        <v>#NAME?</v>
      </c>
      <c r="H543" s="6" t="e">
        <f ca="1"/>
        <v>#NAME?</v>
      </c>
      <c r="I543" s="6"/>
      <c r="J543" s="6"/>
      <c r="K543" s="6"/>
      <c r="L543" s="6"/>
      <c r="M543" s="6"/>
      <c r="N543" s="6"/>
      <c r="O543" s="6"/>
      <c r="P543" s="6"/>
      <c r="Q543" s="6"/>
      <c r="R543" s="6"/>
      <c r="S543" s="6"/>
      <c r="T543" s="6"/>
    </row>
    <row r="544" spans="1:20">
      <c r="A544" s="6">
        <v>0</v>
      </c>
      <c r="B544" s="6">
        <v>0</v>
      </c>
      <c r="C544" s="6" t="e">
        <f ca="1"/>
        <v>#NAME?</v>
      </c>
      <c r="D544" s="6" t="e">
        <f ca="1"/>
        <v>#NAME?</v>
      </c>
      <c r="E544" s="6" t="e">
        <f ca="1"/>
        <v>#NAME?</v>
      </c>
      <c r="F544" s="6" t="e">
        <f ca="1"/>
        <v>#NAME?</v>
      </c>
      <c r="G544" s="6" t="e">
        <f ca="1"/>
        <v>#NAME?</v>
      </c>
      <c r="H544" s="6" t="e">
        <f ca="1"/>
        <v>#NAME?</v>
      </c>
      <c r="I544" s="6"/>
      <c r="J544" s="6"/>
      <c r="K544" s="6"/>
      <c r="L544" s="6"/>
      <c r="M544" s="6"/>
      <c r="N544" s="6"/>
      <c r="O544" s="6"/>
      <c r="P544" s="6"/>
      <c r="Q544" s="6"/>
      <c r="R544" s="6"/>
      <c r="S544" s="6"/>
      <c r="T544" s="6"/>
    </row>
    <row r="545" spans="1:20">
      <c r="A545" s="6">
        <v>0</v>
      </c>
      <c r="B545" s="6">
        <v>0</v>
      </c>
      <c r="C545" s="6" t="e">
        <f ca="1"/>
        <v>#NAME?</v>
      </c>
      <c r="D545" s="6" t="e">
        <f ca="1"/>
        <v>#NAME?</v>
      </c>
      <c r="E545" s="6" t="e">
        <f ca="1"/>
        <v>#NAME?</v>
      </c>
      <c r="F545" s="6" t="e">
        <f ca="1"/>
        <v>#NAME?</v>
      </c>
      <c r="G545" s="6" t="e">
        <f ca="1"/>
        <v>#NAME?</v>
      </c>
      <c r="H545" s="6" t="e">
        <f ca="1"/>
        <v>#NAME?</v>
      </c>
      <c r="I545" s="6"/>
      <c r="J545" s="6"/>
      <c r="K545" s="6"/>
      <c r="L545" s="6"/>
      <c r="M545" s="6"/>
      <c r="N545" s="6"/>
      <c r="O545" s="6"/>
      <c r="P545" s="6"/>
      <c r="Q545" s="6"/>
      <c r="R545" s="6"/>
      <c r="S545" s="6"/>
      <c r="T545" s="6"/>
    </row>
    <row r="546" spans="1:20">
      <c r="A546" s="6">
        <v>0</v>
      </c>
      <c r="B546" s="6">
        <v>0</v>
      </c>
      <c r="C546" s="6" t="e">
        <f ca="1"/>
        <v>#NAME?</v>
      </c>
      <c r="D546" s="6" t="e">
        <f ca="1"/>
        <v>#NAME?</v>
      </c>
      <c r="E546" s="6" t="e">
        <f ca="1"/>
        <v>#NAME?</v>
      </c>
      <c r="F546" s="6" t="e">
        <f ca="1"/>
        <v>#NAME?</v>
      </c>
      <c r="G546" s="6" t="e">
        <f ca="1"/>
        <v>#NAME?</v>
      </c>
      <c r="H546" s="6" t="e">
        <f ca="1"/>
        <v>#NAME?</v>
      </c>
      <c r="I546" s="6"/>
      <c r="J546" s="6"/>
      <c r="K546" s="6"/>
      <c r="L546" s="6"/>
      <c r="M546" s="6"/>
      <c r="N546" s="6"/>
      <c r="O546" s="6"/>
      <c r="P546" s="6"/>
      <c r="Q546" s="6"/>
      <c r="R546" s="6"/>
      <c r="S546" s="6"/>
      <c r="T546" s="6"/>
    </row>
    <row r="547" spans="1:20">
      <c r="A547" s="6">
        <v>0</v>
      </c>
      <c r="B547" s="6">
        <v>0</v>
      </c>
      <c r="C547" s="6" t="e">
        <f ca="1"/>
        <v>#NAME?</v>
      </c>
      <c r="D547" s="6" t="e">
        <f ca="1"/>
        <v>#NAME?</v>
      </c>
      <c r="E547" s="6" t="e">
        <f ca="1"/>
        <v>#NAME?</v>
      </c>
      <c r="F547" s="6" t="e">
        <f ca="1"/>
        <v>#NAME?</v>
      </c>
      <c r="G547" s="6" t="e">
        <f ca="1"/>
        <v>#NAME?</v>
      </c>
      <c r="H547" s="6" t="e">
        <f ca="1"/>
        <v>#NAME?</v>
      </c>
      <c r="I547" s="6"/>
      <c r="J547" s="6"/>
      <c r="K547" s="6"/>
      <c r="L547" s="6"/>
      <c r="M547" s="6"/>
      <c r="N547" s="6"/>
      <c r="O547" s="6"/>
      <c r="P547" s="6"/>
      <c r="Q547" s="6"/>
      <c r="R547" s="6"/>
      <c r="S547" s="6"/>
      <c r="T547" s="6"/>
    </row>
    <row r="548" spans="1:20">
      <c r="A548" s="6">
        <v>0</v>
      </c>
      <c r="B548" s="6">
        <v>0</v>
      </c>
      <c r="C548" s="6" t="e">
        <f ca="1"/>
        <v>#NAME?</v>
      </c>
      <c r="D548" s="6" t="e">
        <f ca="1"/>
        <v>#NAME?</v>
      </c>
      <c r="E548" s="6" t="e">
        <f ca="1"/>
        <v>#NAME?</v>
      </c>
      <c r="F548" s="6" t="e">
        <f ca="1"/>
        <v>#NAME?</v>
      </c>
      <c r="G548" s="6" t="e">
        <f ca="1"/>
        <v>#NAME?</v>
      </c>
      <c r="H548" s="6" t="e">
        <f ca="1"/>
        <v>#NAME?</v>
      </c>
      <c r="I548" s="6"/>
      <c r="J548" s="6"/>
      <c r="K548" s="6"/>
      <c r="L548" s="6"/>
      <c r="M548" s="6"/>
      <c r="N548" s="6"/>
      <c r="O548" s="6"/>
      <c r="P548" s="6"/>
      <c r="Q548" s="6"/>
      <c r="R548" s="6"/>
      <c r="S548" s="6"/>
      <c r="T548" s="6"/>
    </row>
    <row r="549" spans="1:20">
      <c r="A549" s="6">
        <v>0</v>
      </c>
      <c r="B549" s="6">
        <v>0</v>
      </c>
      <c r="C549" s="6" t="e">
        <f ca="1"/>
        <v>#NAME?</v>
      </c>
      <c r="D549" s="6" t="e">
        <f ca="1"/>
        <v>#NAME?</v>
      </c>
      <c r="E549" s="6" t="e">
        <f ca="1"/>
        <v>#NAME?</v>
      </c>
      <c r="F549" s="6" t="e">
        <f ca="1"/>
        <v>#NAME?</v>
      </c>
      <c r="G549" s="6" t="e">
        <f ca="1"/>
        <v>#NAME?</v>
      </c>
      <c r="H549" s="6" t="e">
        <f ca="1"/>
        <v>#NAME?</v>
      </c>
      <c r="I549" s="6"/>
      <c r="J549" s="6"/>
      <c r="K549" s="6"/>
      <c r="L549" s="6"/>
      <c r="M549" s="6"/>
      <c r="N549" s="6"/>
      <c r="O549" s="6"/>
      <c r="P549" s="6"/>
      <c r="Q549" s="6"/>
      <c r="R549" s="6"/>
      <c r="S549" s="6"/>
      <c r="T549" s="6"/>
    </row>
    <row r="550" spans="1:20">
      <c r="A550" s="6">
        <v>0</v>
      </c>
      <c r="B550" s="6">
        <v>0</v>
      </c>
      <c r="C550" s="6" t="e">
        <f ca="1"/>
        <v>#NAME?</v>
      </c>
      <c r="D550" s="6" t="e">
        <f ca="1"/>
        <v>#NAME?</v>
      </c>
      <c r="E550" s="6" t="e">
        <f ca="1"/>
        <v>#NAME?</v>
      </c>
      <c r="F550" s="6" t="e">
        <f ca="1"/>
        <v>#NAME?</v>
      </c>
      <c r="G550" s="6" t="e">
        <f ca="1"/>
        <v>#NAME?</v>
      </c>
      <c r="H550" s="6" t="e">
        <f ca="1"/>
        <v>#NAME?</v>
      </c>
      <c r="I550" s="6"/>
      <c r="J550" s="6"/>
      <c r="K550" s="6"/>
      <c r="L550" s="6"/>
      <c r="M550" s="6"/>
      <c r="N550" s="6"/>
      <c r="O550" s="6"/>
      <c r="P550" s="6"/>
      <c r="Q550" s="6"/>
      <c r="R550" s="6"/>
      <c r="S550" s="6"/>
      <c r="T550" s="6"/>
    </row>
    <row r="551" spans="1:20">
      <c r="A551" s="6">
        <v>0</v>
      </c>
      <c r="B551" s="6">
        <v>0</v>
      </c>
      <c r="C551" s="6" t="e">
        <f ca="1"/>
        <v>#NAME?</v>
      </c>
      <c r="D551" s="6" t="e">
        <f ca="1"/>
        <v>#NAME?</v>
      </c>
      <c r="E551" s="6" t="e">
        <f ca="1"/>
        <v>#NAME?</v>
      </c>
      <c r="F551" s="6" t="e">
        <f ca="1"/>
        <v>#NAME?</v>
      </c>
      <c r="G551" s="6" t="e">
        <f ca="1"/>
        <v>#NAME?</v>
      </c>
      <c r="H551" s="6" t="e">
        <f ca="1"/>
        <v>#NAME?</v>
      </c>
      <c r="I551" s="6"/>
      <c r="J551" s="6"/>
      <c r="K551" s="6"/>
      <c r="L551" s="6"/>
      <c r="M551" s="6"/>
      <c r="N551" s="6"/>
      <c r="O551" s="6"/>
      <c r="P551" s="6"/>
      <c r="Q551" s="6"/>
      <c r="R551" s="6"/>
      <c r="S551" s="6"/>
      <c r="T551" s="6"/>
    </row>
    <row r="552" spans="1:20">
      <c r="A552" s="6">
        <v>0</v>
      </c>
      <c r="B552" s="6">
        <v>0</v>
      </c>
      <c r="C552" s="6" t="e">
        <f ca="1"/>
        <v>#NAME?</v>
      </c>
      <c r="D552" s="6" t="e">
        <f ca="1"/>
        <v>#NAME?</v>
      </c>
      <c r="E552" s="6" t="e">
        <f ca="1"/>
        <v>#NAME?</v>
      </c>
      <c r="F552" s="6" t="e">
        <f ca="1"/>
        <v>#NAME?</v>
      </c>
      <c r="G552" s="6" t="e">
        <f ca="1"/>
        <v>#NAME?</v>
      </c>
      <c r="H552" s="6" t="e">
        <f ca="1"/>
        <v>#NAME?</v>
      </c>
      <c r="I552" s="6"/>
      <c r="J552" s="6"/>
      <c r="K552" s="6"/>
      <c r="L552" s="6"/>
      <c r="M552" s="6"/>
      <c r="N552" s="6"/>
      <c r="O552" s="6"/>
      <c r="P552" s="6"/>
      <c r="Q552" s="6"/>
      <c r="R552" s="6"/>
      <c r="S552" s="6"/>
      <c r="T552" s="6"/>
    </row>
    <row r="553" spans="1:20">
      <c r="A553" s="6">
        <v>0</v>
      </c>
      <c r="B553" s="6">
        <v>0</v>
      </c>
      <c r="C553" s="6" t="e">
        <f ca="1"/>
        <v>#NAME?</v>
      </c>
      <c r="D553" s="6" t="e">
        <f ca="1"/>
        <v>#NAME?</v>
      </c>
      <c r="E553" s="6" t="e">
        <f ca="1"/>
        <v>#NAME?</v>
      </c>
      <c r="F553" s="6" t="e">
        <f ca="1"/>
        <v>#NAME?</v>
      </c>
      <c r="G553" s="6" t="e">
        <f ca="1"/>
        <v>#NAME?</v>
      </c>
      <c r="H553" s="6" t="e">
        <f ca="1"/>
        <v>#NAME?</v>
      </c>
      <c r="I553" s="6"/>
      <c r="J553" s="6"/>
      <c r="K553" s="6"/>
      <c r="L553" s="6"/>
      <c r="M553" s="6"/>
      <c r="N553" s="6"/>
      <c r="O553" s="6"/>
      <c r="P553" s="6"/>
      <c r="Q553" s="6"/>
      <c r="R553" s="6"/>
      <c r="S553" s="6"/>
      <c r="T553" s="6"/>
    </row>
    <row r="554" spans="1:20">
      <c r="A554" s="6">
        <v>0</v>
      </c>
      <c r="B554" s="6">
        <v>0</v>
      </c>
      <c r="C554" s="6" t="e">
        <f ca="1"/>
        <v>#NAME?</v>
      </c>
      <c r="D554" s="6" t="e">
        <f ca="1"/>
        <v>#NAME?</v>
      </c>
      <c r="E554" s="6" t="e">
        <f ca="1"/>
        <v>#NAME?</v>
      </c>
      <c r="F554" s="6" t="e">
        <f ca="1"/>
        <v>#NAME?</v>
      </c>
      <c r="G554" s="6" t="e">
        <f ca="1"/>
        <v>#NAME?</v>
      </c>
      <c r="H554" s="6" t="e">
        <f ca="1"/>
        <v>#NAME?</v>
      </c>
      <c r="I554" s="6"/>
      <c r="J554" s="6"/>
      <c r="K554" s="6"/>
      <c r="L554" s="6"/>
      <c r="M554" s="6"/>
      <c r="N554" s="6"/>
      <c r="O554" s="6"/>
      <c r="P554" s="6"/>
      <c r="Q554" s="6"/>
      <c r="R554" s="6"/>
      <c r="S554" s="6"/>
      <c r="T554" s="6"/>
    </row>
    <row r="555" spans="1:20">
      <c r="A555" s="6">
        <v>0</v>
      </c>
      <c r="B555" s="6">
        <v>0</v>
      </c>
      <c r="C555" s="6" t="e">
        <f ca="1"/>
        <v>#NAME?</v>
      </c>
      <c r="D555" s="6" t="e">
        <f ca="1"/>
        <v>#NAME?</v>
      </c>
      <c r="E555" s="6" t="e">
        <f ca="1"/>
        <v>#NAME?</v>
      </c>
      <c r="F555" s="6" t="e">
        <f ca="1"/>
        <v>#NAME?</v>
      </c>
      <c r="G555" s="6" t="e">
        <f ca="1"/>
        <v>#NAME?</v>
      </c>
      <c r="H555" s="6" t="e">
        <f ca="1"/>
        <v>#NAME?</v>
      </c>
      <c r="I555" s="6"/>
      <c r="J555" s="6"/>
      <c r="K555" s="6"/>
      <c r="L555" s="6"/>
      <c r="M555" s="6"/>
      <c r="N555" s="6"/>
      <c r="O555" s="6"/>
      <c r="P555" s="6"/>
      <c r="Q555" s="6"/>
      <c r="R555" s="6"/>
      <c r="S555" s="6"/>
      <c r="T555" s="6"/>
    </row>
    <row r="556" spans="1:20">
      <c r="A556" s="6">
        <v>0</v>
      </c>
      <c r="B556" s="6">
        <v>0</v>
      </c>
      <c r="C556" s="6" t="e">
        <f ca="1"/>
        <v>#NAME?</v>
      </c>
      <c r="D556" s="6" t="e">
        <f ca="1"/>
        <v>#NAME?</v>
      </c>
      <c r="E556" s="6" t="e">
        <f ca="1"/>
        <v>#NAME?</v>
      </c>
      <c r="F556" s="6" t="e">
        <f ca="1"/>
        <v>#NAME?</v>
      </c>
      <c r="G556" s="6" t="e">
        <f ca="1"/>
        <v>#NAME?</v>
      </c>
      <c r="H556" s="6" t="e">
        <f ca="1"/>
        <v>#NAME?</v>
      </c>
      <c r="I556" s="6"/>
      <c r="J556" s="6"/>
      <c r="K556" s="6"/>
      <c r="L556" s="6"/>
      <c r="M556" s="6"/>
      <c r="N556" s="6"/>
      <c r="O556" s="6"/>
      <c r="P556" s="6"/>
      <c r="Q556" s="6"/>
      <c r="R556" s="6"/>
      <c r="S556" s="6"/>
      <c r="T556" s="6"/>
    </row>
    <row r="557" spans="1:20">
      <c r="A557" s="6">
        <v>0</v>
      </c>
      <c r="B557" s="6">
        <v>0</v>
      </c>
      <c r="C557" s="6" t="e">
        <f ca="1"/>
        <v>#NAME?</v>
      </c>
      <c r="D557" s="6" t="e">
        <f ca="1"/>
        <v>#NAME?</v>
      </c>
      <c r="E557" s="6" t="e">
        <f ca="1"/>
        <v>#NAME?</v>
      </c>
      <c r="F557" s="6" t="e">
        <f ca="1"/>
        <v>#NAME?</v>
      </c>
      <c r="G557" s="6" t="e">
        <f ca="1"/>
        <v>#NAME?</v>
      </c>
      <c r="H557" s="6" t="e">
        <f ca="1"/>
        <v>#NAME?</v>
      </c>
      <c r="I557" s="6"/>
      <c r="J557" s="6"/>
      <c r="K557" s="6"/>
      <c r="L557" s="6"/>
      <c r="M557" s="6"/>
      <c r="N557" s="6"/>
      <c r="O557" s="6"/>
      <c r="P557" s="6"/>
      <c r="Q557" s="6"/>
      <c r="R557" s="6"/>
      <c r="S557" s="6"/>
      <c r="T557" s="6"/>
    </row>
    <row r="558" spans="1:20">
      <c r="A558" s="6">
        <v>0</v>
      </c>
      <c r="B558" s="6">
        <v>0</v>
      </c>
      <c r="C558" s="6" t="e">
        <f ca="1"/>
        <v>#NAME?</v>
      </c>
      <c r="D558" s="6" t="e">
        <f ca="1"/>
        <v>#NAME?</v>
      </c>
      <c r="E558" s="6" t="e">
        <f ca="1"/>
        <v>#NAME?</v>
      </c>
      <c r="F558" s="6" t="e">
        <f ca="1"/>
        <v>#NAME?</v>
      </c>
      <c r="G558" s="6" t="e">
        <f ca="1"/>
        <v>#NAME?</v>
      </c>
      <c r="H558" s="6" t="e">
        <f ca="1"/>
        <v>#NAME?</v>
      </c>
      <c r="I558" s="6"/>
      <c r="J558" s="6"/>
      <c r="K558" s="6"/>
      <c r="L558" s="6"/>
      <c r="M558" s="6"/>
      <c r="N558" s="6"/>
      <c r="O558" s="6"/>
      <c r="P558" s="6"/>
      <c r="Q558" s="6"/>
      <c r="R558" s="6"/>
      <c r="S558" s="6"/>
      <c r="T558" s="6"/>
    </row>
    <row r="559" spans="1:20">
      <c r="A559" s="6">
        <v>0</v>
      </c>
      <c r="B559" s="6">
        <v>0</v>
      </c>
      <c r="C559" s="6" t="e">
        <f ca="1"/>
        <v>#NAME?</v>
      </c>
      <c r="D559" s="6" t="e">
        <f ca="1"/>
        <v>#NAME?</v>
      </c>
      <c r="E559" s="6" t="e">
        <f ca="1"/>
        <v>#NAME?</v>
      </c>
      <c r="F559" s="6" t="e">
        <f ca="1"/>
        <v>#NAME?</v>
      </c>
      <c r="G559" s="6" t="e">
        <f ca="1"/>
        <v>#NAME?</v>
      </c>
      <c r="H559" s="6" t="e">
        <f ca="1"/>
        <v>#NAME?</v>
      </c>
      <c r="I559" s="6"/>
      <c r="J559" s="6"/>
      <c r="K559" s="6"/>
      <c r="L559" s="6"/>
      <c r="M559" s="6"/>
      <c r="N559" s="6"/>
      <c r="O559" s="6"/>
      <c r="P559" s="6"/>
      <c r="Q559" s="6"/>
      <c r="R559" s="6"/>
      <c r="S559" s="6"/>
      <c r="T559" s="6"/>
    </row>
    <row r="560" spans="1:20">
      <c r="A560" s="6">
        <v>0</v>
      </c>
      <c r="B560" s="6">
        <v>0</v>
      </c>
      <c r="C560" s="6" t="e">
        <f ca="1"/>
        <v>#NAME?</v>
      </c>
      <c r="D560" s="6" t="e">
        <f ca="1"/>
        <v>#NAME?</v>
      </c>
      <c r="E560" s="6" t="e">
        <f ca="1"/>
        <v>#NAME?</v>
      </c>
      <c r="F560" s="6" t="e">
        <f ca="1"/>
        <v>#NAME?</v>
      </c>
      <c r="G560" s="6" t="e">
        <f ca="1"/>
        <v>#NAME?</v>
      </c>
      <c r="H560" s="6" t="e">
        <f ca="1"/>
        <v>#NAME?</v>
      </c>
      <c r="I560" s="6"/>
      <c r="J560" s="6"/>
      <c r="K560" s="6"/>
      <c r="L560" s="6"/>
      <c r="M560" s="6"/>
      <c r="N560" s="6"/>
      <c r="O560" s="6"/>
      <c r="P560" s="6"/>
      <c r="Q560" s="6"/>
      <c r="R560" s="6"/>
      <c r="S560" s="6"/>
      <c r="T560" s="6"/>
    </row>
    <row r="561" spans="1:20">
      <c r="A561" s="6">
        <v>0</v>
      </c>
      <c r="B561" s="6">
        <v>0</v>
      </c>
      <c r="C561" s="6" t="e">
        <f ca="1"/>
        <v>#NAME?</v>
      </c>
      <c r="D561" s="6" t="e">
        <f ca="1"/>
        <v>#NAME?</v>
      </c>
      <c r="E561" s="6" t="e">
        <f ca="1"/>
        <v>#NAME?</v>
      </c>
      <c r="F561" s="6" t="e">
        <f ca="1"/>
        <v>#NAME?</v>
      </c>
      <c r="G561" s="6" t="e">
        <f ca="1"/>
        <v>#NAME?</v>
      </c>
      <c r="H561" s="6" t="e">
        <f ca="1"/>
        <v>#NAME?</v>
      </c>
      <c r="I561" s="6"/>
      <c r="J561" s="6"/>
      <c r="K561" s="6"/>
      <c r="L561" s="6"/>
      <c r="M561" s="6"/>
      <c r="N561" s="6"/>
      <c r="O561" s="6"/>
      <c r="P561" s="6"/>
      <c r="Q561" s="6"/>
      <c r="R561" s="6"/>
      <c r="S561" s="6"/>
      <c r="T561" s="6"/>
    </row>
    <row r="562" spans="1:20">
      <c r="A562" s="6">
        <v>0</v>
      </c>
      <c r="B562" s="6">
        <v>0</v>
      </c>
      <c r="C562" s="6" t="e">
        <f ca="1"/>
        <v>#NAME?</v>
      </c>
      <c r="D562" s="6" t="e">
        <f ca="1"/>
        <v>#NAME?</v>
      </c>
      <c r="E562" s="6" t="e">
        <f ca="1"/>
        <v>#NAME?</v>
      </c>
      <c r="F562" s="6" t="e">
        <f ca="1"/>
        <v>#NAME?</v>
      </c>
      <c r="G562" s="6" t="e">
        <f ca="1"/>
        <v>#NAME?</v>
      </c>
      <c r="H562" s="6" t="e">
        <f ca="1"/>
        <v>#NAME?</v>
      </c>
      <c r="I562" s="6"/>
      <c r="J562" s="6"/>
      <c r="K562" s="6"/>
      <c r="L562" s="6"/>
      <c r="M562" s="6"/>
      <c r="N562" s="6"/>
      <c r="O562" s="6"/>
      <c r="P562" s="6"/>
      <c r="Q562" s="6"/>
      <c r="R562" s="6"/>
      <c r="S562" s="6"/>
      <c r="T562" s="6"/>
    </row>
    <row r="563" spans="1:20">
      <c r="A563" s="6">
        <v>0</v>
      </c>
      <c r="B563" s="6">
        <v>0</v>
      </c>
      <c r="C563" s="6" t="e">
        <f ca="1"/>
        <v>#NAME?</v>
      </c>
      <c r="D563" s="6" t="e">
        <f ca="1"/>
        <v>#NAME?</v>
      </c>
      <c r="E563" s="6" t="e">
        <f ca="1"/>
        <v>#NAME?</v>
      </c>
      <c r="F563" s="6" t="e">
        <f ca="1"/>
        <v>#NAME?</v>
      </c>
      <c r="G563" s="6" t="e">
        <f ca="1"/>
        <v>#NAME?</v>
      </c>
      <c r="H563" s="6" t="e">
        <f ca="1"/>
        <v>#NAME?</v>
      </c>
      <c r="I563" s="6"/>
      <c r="J563" s="6"/>
      <c r="K563" s="6"/>
      <c r="L563" s="6"/>
      <c r="M563" s="6"/>
      <c r="N563" s="6"/>
      <c r="O563" s="6"/>
      <c r="P563" s="6"/>
      <c r="Q563" s="6"/>
      <c r="R563" s="6"/>
      <c r="S563" s="6"/>
      <c r="T563" s="6"/>
    </row>
    <row r="564" spans="1:20">
      <c r="A564" s="6">
        <v>0</v>
      </c>
      <c r="B564" s="6">
        <v>0</v>
      </c>
      <c r="C564" s="6" t="e">
        <f ca="1"/>
        <v>#NAME?</v>
      </c>
      <c r="D564" s="6" t="e">
        <f ca="1"/>
        <v>#NAME?</v>
      </c>
      <c r="E564" s="6" t="e">
        <f ca="1"/>
        <v>#NAME?</v>
      </c>
      <c r="F564" s="6" t="e">
        <f ca="1"/>
        <v>#NAME?</v>
      </c>
      <c r="G564" s="6" t="e">
        <f ca="1"/>
        <v>#NAME?</v>
      </c>
      <c r="H564" s="6" t="e">
        <f ca="1"/>
        <v>#NAME?</v>
      </c>
      <c r="I564" s="6"/>
      <c r="J564" s="6"/>
      <c r="K564" s="6"/>
      <c r="L564" s="6"/>
      <c r="M564" s="6"/>
      <c r="N564" s="6"/>
      <c r="O564" s="6"/>
      <c r="P564" s="6"/>
      <c r="Q564" s="6"/>
      <c r="R564" s="6"/>
      <c r="S564" s="6"/>
      <c r="T564" s="6"/>
    </row>
    <row r="565" spans="1:20">
      <c r="A565" s="6">
        <v>0</v>
      </c>
      <c r="B565" s="6">
        <v>0</v>
      </c>
      <c r="C565" s="6" t="e">
        <f ca="1"/>
        <v>#NAME?</v>
      </c>
      <c r="D565" s="6" t="e">
        <f ca="1"/>
        <v>#NAME?</v>
      </c>
      <c r="E565" s="6" t="e">
        <f ca="1"/>
        <v>#NAME?</v>
      </c>
      <c r="F565" s="6" t="e">
        <f ca="1"/>
        <v>#NAME?</v>
      </c>
      <c r="G565" s="6" t="e">
        <f ca="1"/>
        <v>#NAME?</v>
      </c>
      <c r="H565" s="6" t="e">
        <f ca="1"/>
        <v>#NAME?</v>
      </c>
      <c r="I565" s="6"/>
      <c r="J565" s="6"/>
      <c r="K565" s="6"/>
      <c r="L565" s="6"/>
      <c r="M565" s="6"/>
      <c r="N565" s="6"/>
      <c r="O565" s="6"/>
      <c r="P565" s="6"/>
      <c r="Q565" s="6"/>
      <c r="R565" s="6"/>
      <c r="S565" s="6"/>
      <c r="T565" s="6"/>
    </row>
    <row r="566" spans="1:20">
      <c r="A566" s="6">
        <v>0</v>
      </c>
      <c r="B566" s="6">
        <v>0</v>
      </c>
      <c r="C566" s="6" t="e">
        <f ca="1"/>
        <v>#NAME?</v>
      </c>
      <c r="D566" s="6" t="e">
        <f ca="1"/>
        <v>#NAME?</v>
      </c>
      <c r="E566" s="6" t="e">
        <f ca="1"/>
        <v>#NAME?</v>
      </c>
      <c r="F566" s="6" t="e">
        <f ca="1"/>
        <v>#NAME?</v>
      </c>
      <c r="G566" s="6" t="e">
        <f ca="1"/>
        <v>#NAME?</v>
      </c>
      <c r="H566" s="6" t="e">
        <f ca="1"/>
        <v>#NAME?</v>
      </c>
      <c r="I566" s="6"/>
      <c r="J566" s="6"/>
      <c r="K566" s="6"/>
      <c r="L566" s="6"/>
      <c r="M566" s="6"/>
      <c r="N566" s="6"/>
      <c r="O566" s="6"/>
      <c r="P566" s="6"/>
      <c r="Q566" s="6"/>
      <c r="R566" s="6"/>
      <c r="S566" s="6"/>
      <c r="T566" s="6"/>
    </row>
    <row r="567" spans="1:20">
      <c r="A567" s="6">
        <v>0</v>
      </c>
      <c r="B567" s="6">
        <v>0</v>
      </c>
      <c r="C567" s="6" t="e">
        <f ca="1"/>
        <v>#NAME?</v>
      </c>
      <c r="D567" s="6" t="e">
        <f ca="1"/>
        <v>#NAME?</v>
      </c>
      <c r="E567" s="6" t="e">
        <f ca="1"/>
        <v>#NAME?</v>
      </c>
      <c r="F567" s="6" t="e">
        <f ca="1"/>
        <v>#NAME?</v>
      </c>
      <c r="G567" s="6" t="e">
        <f ca="1"/>
        <v>#NAME?</v>
      </c>
      <c r="H567" s="6" t="e">
        <f ca="1"/>
        <v>#NAME?</v>
      </c>
      <c r="I567" s="6"/>
      <c r="J567" s="6"/>
      <c r="K567" s="6"/>
      <c r="L567" s="6"/>
      <c r="M567" s="6"/>
      <c r="N567" s="6"/>
      <c r="O567" s="6"/>
      <c r="P567" s="6"/>
      <c r="Q567" s="6"/>
      <c r="R567" s="6"/>
      <c r="S567" s="6"/>
      <c r="T567" s="6"/>
    </row>
    <row r="568" spans="1:20">
      <c r="A568" s="6">
        <v>0</v>
      </c>
      <c r="B568" s="6">
        <v>0</v>
      </c>
      <c r="C568" s="6" t="e">
        <f ca="1"/>
        <v>#NAME?</v>
      </c>
      <c r="D568" s="6" t="e">
        <f ca="1"/>
        <v>#NAME?</v>
      </c>
      <c r="E568" s="6" t="e">
        <f ca="1"/>
        <v>#NAME?</v>
      </c>
      <c r="F568" s="6" t="e">
        <f ca="1"/>
        <v>#NAME?</v>
      </c>
      <c r="G568" s="6" t="e">
        <f ca="1"/>
        <v>#NAME?</v>
      </c>
      <c r="H568" s="6" t="e">
        <f ca="1"/>
        <v>#NAME?</v>
      </c>
      <c r="I568" s="6"/>
      <c r="J568" s="6"/>
      <c r="K568" s="6"/>
      <c r="L568" s="6"/>
      <c r="M568" s="6"/>
      <c r="N568" s="6"/>
      <c r="O568" s="6"/>
      <c r="P568" s="6"/>
      <c r="Q568" s="6"/>
      <c r="R568" s="6"/>
      <c r="S568" s="6"/>
      <c r="T568" s="6"/>
    </row>
    <row r="569" spans="1:20">
      <c r="A569" s="6">
        <v>0</v>
      </c>
      <c r="B569" s="6">
        <v>0</v>
      </c>
      <c r="C569" s="6" t="e">
        <f ca="1"/>
        <v>#NAME?</v>
      </c>
      <c r="D569" s="6" t="e">
        <f ca="1"/>
        <v>#NAME?</v>
      </c>
      <c r="E569" s="6" t="e">
        <f ca="1"/>
        <v>#NAME?</v>
      </c>
      <c r="F569" s="6" t="e">
        <f ca="1"/>
        <v>#NAME?</v>
      </c>
      <c r="G569" s="6" t="e">
        <f ca="1"/>
        <v>#NAME?</v>
      </c>
      <c r="H569" s="6" t="e">
        <f ca="1"/>
        <v>#NAME?</v>
      </c>
      <c r="I569" s="6"/>
      <c r="J569" s="6"/>
      <c r="K569" s="6"/>
      <c r="L569" s="6"/>
      <c r="M569" s="6"/>
      <c r="N569" s="6"/>
      <c r="O569" s="6"/>
      <c r="P569" s="6"/>
      <c r="Q569" s="6"/>
      <c r="R569" s="6"/>
      <c r="S569" s="6"/>
      <c r="T569" s="6"/>
    </row>
    <row r="570" spans="1:20">
      <c r="A570" s="6">
        <v>0</v>
      </c>
      <c r="B570" s="6">
        <v>0</v>
      </c>
      <c r="C570" s="6" t="e">
        <f ca="1"/>
        <v>#NAME?</v>
      </c>
      <c r="D570" s="6" t="e">
        <f ca="1"/>
        <v>#NAME?</v>
      </c>
      <c r="E570" s="6" t="e">
        <f ca="1"/>
        <v>#NAME?</v>
      </c>
      <c r="F570" s="6" t="e">
        <f ca="1"/>
        <v>#NAME?</v>
      </c>
      <c r="G570" s="6" t="e">
        <f ca="1"/>
        <v>#NAME?</v>
      </c>
      <c r="H570" s="6" t="e">
        <f ca="1"/>
        <v>#NAME?</v>
      </c>
      <c r="I570" s="6"/>
      <c r="J570" s="6"/>
      <c r="K570" s="6"/>
      <c r="L570" s="6"/>
      <c r="M570" s="6"/>
      <c r="N570" s="6"/>
      <c r="O570" s="6"/>
      <c r="P570" s="6"/>
      <c r="Q570" s="6"/>
      <c r="R570" s="6"/>
      <c r="S570" s="6"/>
      <c r="T570" s="6"/>
    </row>
    <row r="571" spans="1:20">
      <c r="A571" s="6">
        <v>0</v>
      </c>
      <c r="B571" s="6">
        <v>0</v>
      </c>
      <c r="C571" s="6" t="e">
        <f ca="1"/>
        <v>#NAME?</v>
      </c>
      <c r="D571" s="6" t="e">
        <f ca="1"/>
        <v>#NAME?</v>
      </c>
      <c r="E571" s="6" t="e">
        <f ca="1"/>
        <v>#NAME?</v>
      </c>
      <c r="F571" s="6" t="e">
        <f ca="1"/>
        <v>#NAME?</v>
      </c>
      <c r="G571" s="6" t="e">
        <f ca="1"/>
        <v>#NAME?</v>
      </c>
      <c r="H571" s="6" t="e">
        <f ca="1"/>
        <v>#NAME?</v>
      </c>
      <c r="I571" s="6"/>
      <c r="J571" s="6"/>
      <c r="K571" s="6"/>
      <c r="L571" s="6"/>
      <c r="M571" s="6"/>
      <c r="N571" s="6"/>
      <c r="O571" s="6"/>
      <c r="P571" s="6"/>
      <c r="Q571" s="6"/>
      <c r="R571" s="6"/>
      <c r="S571" s="6"/>
      <c r="T571" s="6"/>
    </row>
    <row r="572" spans="1:20">
      <c r="A572" s="6">
        <v>0</v>
      </c>
      <c r="B572" s="6">
        <v>0</v>
      </c>
      <c r="C572" s="6" t="e">
        <f ca="1"/>
        <v>#NAME?</v>
      </c>
      <c r="D572" s="6" t="e">
        <f ca="1"/>
        <v>#NAME?</v>
      </c>
      <c r="E572" s="6" t="e">
        <f ca="1"/>
        <v>#NAME?</v>
      </c>
      <c r="F572" s="6" t="e">
        <f ca="1"/>
        <v>#NAME?</v>
      </c>
      <c r="G572" s="6" t="e">
        <f ca="1"/>
        <v>#NAME?</v>
      </c>
      <c r="H572" s="6" t="e">
        <f ca="1"/>
        <v>#NAME?</v>
      </c>
      <c r="I572" s="6"/>
      <c r="J572" s="6"/>
      <c r="K572" s="6"/>
      <c r="L572" s="6"/>
      <c r="M572" s="6"/>
      <c r="N572" s="6"/>
      <c r="O572" s="6"/>
      <c r="P572" s="6"/>
      <c r="Q572" s="6"/>
      <c r="R572" s="6"/>
      <c r="S572" s="6"/>
      <c r="T572" s="6"/>
    </row>
    <row r="573" spans="1:20">
      <c r="A573" s="6">
        <v>0</v>
      </c>
      <c r="B573" s="6">
        <v>0</v>
      </c>
      <c r="C573" s="6" t="e">
        <f ca="1"/>
        <v>#NAME?</v>
      </c>
      <c r="D573" s="6" t="e">
        <f ca="1"/>
        <v>#NAME?</v>
      </c>
      <c r="E573" s="6" t="e">
        <f ca="1"/>
        <v>#NAME?</v>
      </c>
      <c r="F573" s="6" t="e">
        <f ca="1"/>
        <v>#NAME?</v>
      </c>
      <c r="G573" s="6" t="e">
        <f ca="1"/>
        <v>#NAME?</v>
      </c>
      <c r="H573" s="6" t="e">
        <f ca="1"/>
        <v>#NAME?</v>
      </c>
      <c r="I573" s="6"/>
      <c r="J573" s="6"/>
      <c r="K573" s="6"/>
      <c r="L573" s="6"/>
      <c r="M573" s="6"/>
      <c r="N573" s="6"/>
      <c r="O573" s="6"/>
      <c r="P573" s="6"/>
      <c r="Q573" s="6"/>
      <c r="R573" s="6"/>
      <c r="S573" s="6"/>
      <c r="T573" s="6"/>
    </row>
    <row r="574" spans="1:20">
      <c r="A574" s="6">
        <v>0</v>
      </c>
      <c r="B574" s="6">
        <v>0</v>
      </c>
      <c r="C574" s="6" t="e">
        <f ca="1"/>
        <v>#NAME?</v>
      </c>
      <c r="D574" s="6" t="e">
        <f ca="1"/>
        <v>#NAME?</v>
      </c>
      <c r="E574" s="6" t="e">
        <f ca="1"/>
        <v>#NAME?</v>
      </c>
      <c r="F574" s="6" t="e">
        <f ca="1"/>
        <v>#NAME?</v>
      </c>
      <c r="G574" s="6" t="e">
        <f ca="1"/>
        <v>#NAME?</v>
      </c>
      <c r="H574" s="6" t="e">
        <f ca="1"/>
        <v>#NAME?</v>
      </c>
      <c r="I574" s="6"/>
      <c r="J574" s="6"/>
      <c r="K574" s="6"/>
      <c r="L574" s="6"/>
      <c r="M574" s="6"/>
      <c r="N574" s="6"/>
      <c r="O574" s="6"/>
      <c r="P574" s="6"/>
      <c r="Q574" s="6"/>
      <c r="R574" s="6"/>
      <c r="S574" s="6"/>
      <c r="T574" s="6"/>
    </row>
    <row r="575" spans="1:20">
      <c r="A575" s="6">
        <v>0</v>
      </c>
      <c r="B575" s="6">
        <v>0</v>
      </c>
      <c r="C575" s="6" t="e">
        <f ca="1"/>
        <v>#NAME?</v>
      </c>
      <c r="D575" s="6" t="e">
        <f ca="1"/>
        <v>#NAME?</v>
      </c>
      <c r="E575" s="6" t="e">
        <f ca="1"/>
        <v>#NAME?</v>
      </c>
      <c r="F575" s="6" t="e">
        <f ca="1"/>
        <v>#NAME?</v>
      </c>
      <c r="G575" s="6" t="e">
        <f ca="1"/>
        <v>#NAME?</v>
      </c>
      <c r="H575" s="6" t="e">
        <f ca="1"/>
        <v>#NAME?</v>
      </c>
      <c r="I575" s="6"/>
      <c r="J575" s="6"/>
      <c r="K575" s="6"/>
      <c r="L575" s="6"/>
      <c r="M575" s="6"/>
      <c r="N575" s="6"/>
      <c r="O575" s="6"/>
      <c r="P575" s="6"/>
      <c r="Q575" s="6"/>
      <c r="R575" s="6"/>
      <c r="S575" s="6"/>
      <c r="T575" s="6"/>
    </row>
    <row r="576" spans="1:20">
      <c r="A576" s="6">
        <v>0</v>
      </c>
      <c r="B576" s="6">
        <v>0</v>
      </c>
      <c r="C576" s="6" t="e">
        <f ca="1"/>
        <v>#NAME?</v>
      </c>
      <c r="D576" s="6" t="e">
        <f ca="1"/>
        <v>#NAME?</v>
      </c>
      <c r="E576" s="6" t="e">
        <f ca="1"/>
        <v>#NAME?</v>
      </c>
      <c r="F576" s="6" t="e">
        <f ca="1"/>
        <v>#NAME?</v>
      </c>
      <c r="G576" s="6" t="e">
        <f ca="1"/>
        <v>#NAME?</v>
      </c>
      <c r="H576" s="6" t="e">
        <f ca="1"/>
        <v>#NAME?</v>
      </c>
      <c r="I576" s="6"/>
      <c r="J576" s="6"/>
      <c r="K576" s="6"/>
      <c r="L576" s="6"/>
      <c r="M576" s="6"/>
      <c r="N576" s="6"/>
      <c r="O576" s="6"/>
      <c r="P576" s="6"/>
      <c r="Q576" s="6"/>
      <c r="R576" s="6"/>
      <c r="S576" s="6"/>
      <c r="T576" s="6"/>
    </row>
    <row r="577" spans="1:20">
      <c r="A577" s="6">
        <v>0</v>
      </c>
      <c r="B577" s="6">
        <v>0</v>
      </c>
      <c r="C577" s="6" t="e">
        <f ca="1"/>
        <v>#NAME?</v>
      </c>
      <c r="D577" s="6" t="e">
        <f ca="1"/>
        <v>#NAME?</v>
      </c>
      <c r="E577" s="6" t="e">
        <f ca="1"/>
        <v>#NAME?</v>
      </c>
      <c r="F577" s="6" t="e">
        <f ca="1"/>
        <v>#NAME?</v>
      </c>
      <c r="G577" s="6" t="e">
        <f ca="1"/>
        <v>#NAME?</v>
      </c>
      <c r="H577" s="6" t="e">
        <f ca="1"/>
        <v>#NAME?</v>
      </c>
      <c r="I577" s="6"/>
      <c r="J577" s="6"/>
      <c r="K577" s="6"/>
      <c r="L577" s="6"/>
      <c r="M577" s="6"/>
      <c r="N577" s="6"/>
      <c r="O577" s="6"/>
      <c r="P577" s="6"/>
      <c r="Q577" s="6"/>
      <c r="R577" s="6"/>
      <c r="S577" s="6"/>
      <c r="T577" s="6"/>
    </row>
    <row r="578" spans="1:20">
      <c r="A578" s="6">
        <v>0</v>
      </c>
      <c r="B578" s="6">
        <v>0</v>
      </c>
      <c r="C578" s="6" t="e">
        <f ca="1"/>
        <v>#NAME?</v>
      </c>
      <c r="D578" s="6" t="e">
        <f ca="1"/>
        <v>#NAME?</v>
      </c>
      <c r="E578" s="6" t="e">
        <f ca="1"/>
        <v>#NAME?</v>
      </c>
      <c r="F578" s="6" t="e">
        <f ca="1"/>
        <v>#NAME?</v>
      </c>
      <c r="G578" s="6" t="e">
        <f ca="1"/>
        <v>#NAME?</v>
      </c>
      <c r="H578" s="6" t="e">
        <f ca="1"/>
        <v>#NAME?</v>
      </c>
      <c r="I578" s="6"/>
      <c r="J578" s="6"/>
      <c r="K578" s="6"/>
      <c r="L578" s="6"/>
      <c r="M578" s="6"/>
      <c r="N578" s="6"/>
      <c r="O578" s="6"/>
      <c r="P578" s="6"/>
      <c r="Q578" s="6"/>
      <c r="R578" s="6"/>
      <c r="S578" s="6"/>
      <c r="T578" s="6"/>
    </row>
    <row r="579" spans="1:20">
      <c r="A579" s="6">
        <v>0</v>
      </c>
      <c r="B579" s="6">
        <v>0</v>
      </c>
      <c r="C579" s="6" t="e">
        <f ca="1"/>
        <v>#NAME?</v>
      </c>
      <c r="D579" s="6" t="e">
        <f ca="1"/>
        <v>#NAME?</v>
      </c>
      <c r="E579" s="6" t="e">
        <f ca="1"/>
        <v>#NAME?</v>
      </c>
      <c r="F579" s="6" t="e">
        <f ca="1"/>
        <v>#NAME?</v>
      </c>
      <c r="G579" s="6" t="e">
        <f ca="1"/>
        <v>#NAME?</v>
      </c>
      <c r="H579" s="6" t="e">
        <f ca="1"/>
        <v>#NAME?</v>
      </c>
      <c r="I579" s="6"/>
      <c r="J579" s="6"/>
      <c r="K579" s="6"/>
      <c r="L579" s="6"/>
      <c r="M579" s="6"/>
      <c r="N579" s="6"/>
      <c r="O579" s="6"/>
      <c r="P579" s="6"/>
      <c r="Q579" s="6"/>
      <c r="R579" s="6"/>
      <c r="S579" s="6"/>
      <c r="T579" s="6"/>
    </row>
    <row r="580" spans="1:20">
      <c r="A580" s="6">
        <v>0</v>
      </c>
      <c r="B580" s="6">
        <v>0</v>
      </c>
      <c r="C580" s="6" t="e">
        <f ca="1"/>
        <v>#NAME?</v>
      </c>
      <c r="D580" s="6" t="e">
        <f ca="1"/>
        <v>#NAME?</v>
      </c>
      <c r="E580" s="6" t="e">
        <f ca="1"/>
        <v>#NAME?</v>
      </c>
      <c r="F580" s="6" t="e">
        <f ca="1"/>
        <v>#NAME?</v>
      </c>
      <c r="G580" s="6" t="e">
        <f ca="1"/>
        <v>#NAME?</v>
      </c>
      <c r="H580" s="6" t="e">
        <f ca="1"/>
        <v>#NAME?</v>
      </c>
      <c r="I580" s="6"/>
      <c r="J580" s="6"/>
      <c r="K580" s="6"/>
      <c r="L580" s="6"/>
      <c r="M580" s="6"/>
      <c r="N580" s="6"/>
      <c r="O580" s="6"/>
      <c r="P580" s="6"/>
      <c r="Q580" s="6"/>
      <c r="R580" s="6"/>
      <c r="S580" s="6"/>
      <c r="T580" s="6"/>
    </row>
    <row r="581" spans="1:20">
      <c r="A581" s="6">
        <v>0</v>
      </c>
      <c r="B581" s="6">
        <v>0</v>
      </c>
      <c r="C581" s="6" t="e">
        <f ca="1"/>
        <v>#NAME?</v>
      </c>
      <c r="D581" s="6" t="e">
        <f ca="1"/>
        <v>#NAME?</v>
      </c>
      <c r="E581" s="6" t="e">
        <f ca="1"/>
        <v>#NAME?</v>
      </c>
      <c r="F581" s="6" t="e">
        <f ca="1"/>
        <v>#NAME?</v>
      </c>
      <c r="G581" s="6" t="e">
        <f ca="1"/>
        <v>#NAME?</v>
      </c>
      <c r="H581" s="6" t="e">
        <f ca="1"/>
        <v>#NAME?</v>
      </c>
      <c r="I581" s="6"/>
      <c r="J581" s="6"/>
      <c r="K581" s="6"/>
      <c r="L581" s="6"/>
      <c r="M581" s="6"/>
      <c r="N581" s="6"/>
      <c r="O581" s="6"/>
      <c r="P581" s="6"/>
      <c r="Q581" s="6"/>
      <c r="R581" s="6"/>
      <c r="S581" s="6"/>
      <c r="T581" s="6"/>
    </row>
    <row r="582" spans="1:20">
      <c r="A582" s="6">
        <v>0</v>
      </c>
      <c r="B582" s="6">
        <v>0</v>
      </c>
      <c r="C582" s="6" t="e">
        <f ca="1"/>
        <v>#NAME?</v>
      </c>
      <c r="D582" s="6" t="e">
        <f ca="1"/>
        <v>#NAME?</v>
      </c>
      <c r="E582" s="6" t="e">
        <f ca="1"/>
        <v>#NAME?</v>
      </c>
      <c r="F582" s="6" t="e">
        <f ca="1"/>
        <v>#NAME?</v>
      </c>
      <c r="G582" s="6" t="e">
        <f ca="1"/>
        <v>#NAME?</v>
      </c>
      <c r="H582" s="6" t="e">
        <f ca="1"/>
        <v>#NAME?</v>
      </c>
      <c r="I582" s="6"/>
      <c r="J582" s="6"/>
      <c r="K582" s="6"/>
      <c r="L582" s="6"/>
      <c r="M582" s="6"/>
      <c r="N582" s="6"/>
      <c r="O582" s="6"/>
      <c r="P582" s="6"/>
      <c r="Q582" s="6"/>
      <c r="R582" s="6"/>
      <c r="S582" s="6"/>
      <c r="T582" s="6"/>
    </row>
    <row r="583" spans="1:20">
      <c r="A583" s="6">
        <v>0</v>
      </c>
      <c r="B583" s="6">
        <v>0</v>
      </c>
      <c r="C583" s="6" t="e">
        <f ca="1"/>
        <v>#NAME?</v>
      </c>
      <c r="D583" s="6" t="e">
        <f ca="1"/>
        <v>#NAME?</v>
      </c>
      <c r="E583" s="6" t="e">
        <f ca="1"/>
        <v>#NAME?</v>
      </c>
      <c r="F583" s="6" t="e">
        <f ca="1"/>
        <v>#NAME?</v>
      </c>
      <c r="G583" s="6" t="e">
        <f ca="1"/>
        <v>#NAME?</v>
      </c>
      <c r="H583" s="6" t="e">
        <f ca="1"/>
        <v>#NAME?</v>
      </c>
      <c r="I583" s="6"/>
      <c r="J583" s="6"/>
      <c r="K583" s="6"/>
      <c r="L583" s="6"/>
      <c r="M583" s="6"/>
      <c r="N583" s="6"/>
      <c r="O583" s="6"/>
      <c r="P583" s="6"/>
      <c r="Q583" s="6"/>
      <c r="R583" s="6"/>
      <c r="S583" s="6"/>
      <c r="T583" s="6"/>
    </row>
    <row r="584" spans="1:20">
      <c r="A584" s="6">
        <v>0</v>
      </c>
      <c r="B584" s="6">
        <v>0</v>
      </c>
      <c r="C584" s="6" t="e">
        <f ca="1"/>
        <v>#NAME?</v>
      </c>
      <c r="D584" s="6" t="e">
        <f ca="1"/>
        <v>#NAME?</v>
      </c>
      <c r="E584" s="6" t="e">
        <f ca="1"/>
        <v>#NAME?</v>
      </c>
      <c r="F584" s="6" t="e">
        <f ca="1"/>
        <v>#NAME?</v>
      </c>
      <c r="G584" s="6" t="e">
        <f ca="1"/>
        <v>#NAME?</v>
      </c>
      <c r="H584" s="6" t="e">
        <f ca="1"/>
        <v>#NAME?</v>
      </c>
      <c r="I584" s="6"/>
      <c r="J584" s="6"/>
      <c r="K584" s="6"/>
      <c r="L584" s="6"/>
      <c r="M584" s="6"/>
      <c r="N584" s="6"/>
      <c r="O584" s="6"/>
      <c r="P584" s="6"/>
      <c r="Q584" s="6"/>
      <c r="R584" s="6"/>
      <c r="S584" s="6"/>
      <c r="T584" s="6"/>
    </row>
    <row r="585" spans="1:20">
      <c r="A585" s="6">
        <v>0</v>
      </c>
      <c r="B585" s="6">
        <v>0</v>
      </c>
      <c r="C585" s="6" t="e">
        <f ca="1"/>
        <v>#NAME?</v>
      </c>
      <c r="D585" s="6" t="e">
        <f ca="1"/>
        <v>#NAME?</v>
      </c>
      <c r="E585" s="6" t="e">
        <f ca="1"/>
        <v>#NAME?</v>
      </c>
      <c r="F585" s="6" t="e">
        <f ca="1"/>
        <v>#NAME?</v>
      </c>
      <c r="G585" s="6" t="e">
        <f ca="1"/>
        <v>#NAME?</v>
      </c>
      <c r="H585" s="6" t="e">
        <f ca="1"/>
        <v>#NAME?</v>
      </c>
      <c r="I585" s="6"/>
      <c r="J585" s="6"/>
      <c r="K585" s="6"/>
      <c r="L585" s="6"/>
      <c r="M585" s="6"/>
      <c r="N585" s="6"/>
      <c r="O585" s="6"/>
      <c r="P585" s="6"/>
      <c r="Q585" s="6"/>
      <c r="R585" s="6"/>
      <c r="S585" s="6"/>
      <c r="T585" s="6"/>
    </row>
    <row r="586" spans="1:20">
      <c r="A586" s="6">
        <v>0</v>
      </c>
      <c r="B586" s="6">
        <v>0</v>
      </c>
      <c r="C586" s="6" t="e">
        <f ca="1"/>
        <v>#NAME?</v>
      </c>
      <c r="D586" s="6" t="e">
        <f ca="1"/>
        <v>#NAME?</v>
      </c>
      <c r="E586" s="6" t="e">
        <f ca="1"/>
        <v>#NAME?</v>
      </c>
      <c r="F586" s="6" t="e">
        <f ca="1"/>
        <v>#NAME?</v>
      </c>
      <c r="G586" s="6" t="e">
        <f ca="1"/>
        <v>#NAME?</v>
      </c>
      <c r="H586" s="6" t="e">
        <f ca="1"/>
        <v>#NAME?</v>
      </c>
      <c r="I586" s="6"/>
      <c r="J586" s="6"/>
      <c r="K586" s="6"/>
      <c r="L586" s="6"/>
      <c r="M586" s="6"/>
      <c r="N586" s="6"/>
      <c r="O586" s="6"/>
      <c r="P586" s="6"/>
      <c r="Q586" s="6"/>
      <c r="R586" s="6"/>
      <c r="S586" s="6"/>
      <c r="T586" s="6"/>
    </row>
    <row r="587" spans="1:20">
      <c r="A587" s="6">
        <v>0</v>
      </c>
      <c r="B587" s="6">
        <v>0</v>
      </c>
      <c r="C587" s="6" t="e">
        <f ca="1"/>
        <v>#NAME?</v>
      </c>
      <c r="D587" s="6" t="e">
        <f ca="1"/>
        <v>#NAME?</v>
      </c>
      <c r="E587" s="6" t="e">
        <f ca="1"/>
        <v>#NAME?</v>
      </c>
      <c r="F587" s="6" t="e">
        <f ca="1"/>
        <v>#NAME?</v>
      </c>
      <c r="G587" s="6" t="e">
        <f ca="1"/>
        <v>#NAME?</v>
      </c>
      <c r="H587" s="6" t="e">
        <f ca="1"/>
        <v>#NAME?</v>
      </c>
      <c r="I587" s="6"/>
      <c r="J587" s="6"/>
      <c r="K587" s="6"/>
      <c r="L587" s="6"/>
      <c r="M587" s="6"/>
      <c r="N587" s="6"/>
      <c r="O587" s="6"/>
      <c r="P587" s="6"/>
      <c r="Q587" s="6"/>
      <c r="R587" s="6"/>
      <c r="S587" s="6"/>
      <c r="T587" s="6"/>
    </row>
    <row r="588" spans="1:20">
      <c r="A588" s="6">
        <v>0</v>
      </c>
      <c r="B588" s="6">
        <v>0</v>
      </c>
      <c r="C588" s="6" t="e">
        <f ca="1"/>
        <v>#NAME?</v>
      </c>
      <c r="D588" s="6" t="e">
        <f ca="1"/>
        <v>#NAME?</v>
      </c>
      <c r="E588" s="6" t="e">
        <f ca="1"/>
        <v>#NAME?</v>
      </c>
      <c r="F588" s="6" t="e">
        <f ca="1"/>
        <v>#NAME?</v>
      </c>
      <c r="G588" s="6" t="e">
        <f ca="1"/>
        <v>#NAME?</v>
      </c>
      <c r="H588" s="6" t="e">
        <f ca="1"/>
        <v>#NAME?</v>
      </c>
      <c r="I588" s="6"/>
      <c r="J588" s="6"/>
      <c r="K588" s="6"/>
      <c r="L588" s="6"/>
      <c r="M588" s="6"/>
      <c r="N588" s="6"/>
      <c r="O588" s="6"/>
      <c r="P588" s="6"/>
      <c r="Q588" s="6"/>
      <c r="R588" s="6"/>
      <c r="S588" s="6"/>
      <c r="T588" s="6"/>
    </row>
    <row r="589" spans="1:20">
      <c r="A589" s="6">
        <v>0</v>
      </c>
      <c r="B589" s="6">
        <v>0</v>
      </c>
      <c r="C589" s="6" t="e">
        <f ca="1"/>
        <v>#NAME?</v>
      </c>
      <c r="D589" s="6" t="e">
        <f ca="1"/>
        <v>#NAME?</v>
      </c>
      <c r="E589" s="6" t="e">
        <f ca="1"/>
        <v>#NAME?</v>
      </c>
      <c r="F589" s="6" t="e">
        <f ca="1"/>
        <v>#NAME?</v>
      </c>
      <c r="G589" s="6" t="e">
        <f ca="1"/>
        <v>#NAME?</v>
      </c>
      <c r="H589" s="6" t="e">
        <f ca="1"/>
        <v>#NAME?</v>
      </c>
      <c r="I589" s="6"/>
      <c r="J589" s="6"/>
      <c r="K589" s="6"/>
      <c r="L589" s="6"/>
      <c r="M589" s="6"/>
      <c r="N589" s="6"/>
      <c r="O589" s="6"/>
      <c r="P589" s="6"/>
      <c r="Q589" s="6"/>
      <c r="R589" s="6"/>
      <c r="S589" s="6"/>
      <c r="T589" s="6"/>
    </row>
    <row r="590" spans="1:20">
      <c r="A590" s="6">
        <v>0</v>
      </c>
      <c r="B590" s="6">
        <v>0</v>
      </c>
      <c r="C590" s="6" t="e">
        <f ca="1"/>
        <v>#NAME?</v>
      </c>
      <c r="D590" s="6" t="e">
        <f ca="1"/>
        <v>#NAME?</v>
      </c>
      <c r="E590" s="6" t="e">
        <f ca="1"/>
        <v>#NAME?</v>
      </c>
      <c r="F590" s="6" t="e">
        <f ca="1"/>
        <v>#NAME?</v>
      </c>
      <c r="G590" s="6" t="e">
        <f ca="1"/>
        <v>#NAME?</v>
      </c>
      <c r="H590" s="6" t="e">
        <f ca="1"/>
        <v>#NAME?</v>
      </c>
      <c r="I590" s="6"/>
      <c r="J590" s="6"/>
      <c r="K590" s="6"/>
      <c r="L590" s="6"/>
      <c r="M590" s="6"/>
      <c r="N590" s="6"/>
      <c r="O590" s="6"/>
      <c r="P590" s="6"/>
      <c r="Q590" s="6"/>
      <c r="R590" s="6"/>
      <c r="S590" s="6"/>
      <c r="T590" s="6"/>
    </row>
    <row r="591" spans="1:20">
      <c r="A591" s="6">
        <v>0</v>
      </c>
      <c r="B591" s="6">
        <v>0</v>
      </c>
      <c r="C591" s="6" t="e">
        <f ca="1"/>
        <v>#NAME?</v>
      </c>
      <c r="D591" s="6" t="e">
        <f ca="1"/>
        <v>#NAME?</v>
      </c>
      <c r="E591" s="6" t="e">
        <f ca="1"/>
        <v>#NAME?</v>
      </c>
      <c r="F591" s="6" t="e">
        <f ca="1"/>
        <v>#NAME?</v>
      </c>
      <c r="G591" s="6" t="e">
        <f ca="1"/>
        <v>#NAME?</v>
      </c>
      <c r="H591" s="6" t="e">
        <f ca="1"/>
        <v>#NAME?</v>
      </c>
      <c r="I591" s="6"/>
      <c r="J591" s="6"/>
      <c r="K591" s="6"/>
      <c r="L591" s="6"/>
      <c r="M591" s="6"/>
      <c r="N591" s="6"/>
      <c r="O591" s="6"/>
      <c r="P591" s="6"/>
      <c r="Q591" s="6"/>
      <c r="R591" s="6"/>
      <c r="S591" s="6"/>
      <c r="T591" s="6"/>
    </row>
    <row r="592" spans="1:20">
      <c r="A592" s="6">
        <v>0</v>
      </c>
      <c r="B592" s="6">
        <v>0</v>
      </c>
      <c r="C592" s="6" t="e">
        <f ca="1"/>
        <v>#NAME?</v>
      </c>
      <c r="D592" s="6" t="e">
        <f ca="1"/>
        <v>#NAME?</v>
      </c>
      <c r="E592" s="6" t="e">
        <f ca="1"/>
        <v>#NAME?</v>
      </c>
      <c r="F592" s="6" t="e">
        <f ca="1"/>
        <v>#NAME?</v>
      </c>
      <c r="G592" s="6" t="e">
        <f ca="1"/>
        <v>#NAME?</v>
      </c>
      <c r="H592" s="6" t="e">
        <f ca="1"/>
        <v>#NAME?</v>
      </c>
      <c r="I592" s="6"/>
      <c r="J592" s="6"/>
      <c r="K592" s="6"/>
      <c r="L592" s="6"/>
      <c r="M592" s="6"/>
      <c r="N592" s="6"/>
      <c r="O592" s="6"/>
      <c r="P592" s="6"/>
      <c r="Q592" s="6"/>
      <c r="R592" s="6"/>
      <c r="S592" s="6"/>
      <c r="T592" s="6"/>
    </row>
    <row r="593" spans="1:20">
      <c r="A593" s="6">
        <v>0</v>
      </c>
      <c r="B593" s="6">
        <v>0</v>
      </c>
      <c r="C593" s="6" t="e">
        <f ca="1"/>
        <v>#NAME?</v>
      </c>
      <c r="D593" s="6" t="e">
        <f ca="1"/>
        <v>#NAME?</v>
      </c>
      <c r="E593" s="6" t="e">
        <f ca="1"/>
        <v>#NAME?</v>
      </c>
      <c r="F593" s="6" t="e">
        <f ca="1"/>
        <v>#NAME?</v>
      </c>
      <c r="G593" s="6" t="e">
        <f ca="1"/>
        <v>#NAME?</v>
      </c>
      <c r="H593" s="6" t="e">
        <f ca="1"/>
        <v>#NAME?</v>
      </c>
      <c r="I593" s="6"/>
      <c r="J593" s="6"/>
      <c r="K593" s="6"/>
      <c r="L593" s="6"/>
      <c r="M593" s="6"/>
      <c r="N593" s="6"/>
      <c r="O593" s="6"/>
      <c r="P593" s="6"/>
      <c r="Q593" s="6"/>
      <c r="R593" s="6"/>
      <c r="S593" s="6"/>
      <c r="T593" s="6"/>
    </row>
    <row r="594" spans="1:20">
      <c r="A594" s="6">
        <v>0</v>
      </c>
      <c r="B594" s="6">
        <v>0</v>
      </c>
      <c r="C594" s="6" t="e">
        <f ca="1"/>
        <v>#NAME?</v>
      </c>
      <c r="D594" s="6" t="e">
        <f ca="1"/>
        <v>#NAME?</v>
      </c>
      <c r="E594" s="6" t="e">
        <f ca="1"/>
        <v>#NAME?</v>
      </c>
      <c r="F594" s="6" t="e">
        <f ca="1"/>
        <v>#NAME?</v>
      </c>
      <c r="G594" s="6" t="e">
        <f ca="1"/>
        <v>#NAME?</v>
      </c>
      <c r="H594" s="6" t="e">
        <f ca="1"/>
        <v>#NAME?</v>
      </c>
      <c r="I594" s="6"/>
      <c r="J594" s="6"/>
      <c r="K594" s="6"/>
      <c r="L594" s="6"/>
      <c r="M594" s="6"/>
      <c r="N594" s="6"/>
      <c r="O594" s="6"/>
      <c r="P594" s="6"/>
      <c r="Q594" s="6"/>
      <c r="R594" s="6"/>
      <c r="S594" s="6"/>
      <c r="T594" s="6"/>
    </row>
    <row r="595" spans="1:20">
      <c r="A595" s="6">
        <v>0</v>
      </c>
      <c r="B595" s="6">
        <v>0</v>
      </c>
      <c r="C595" s="6" t="e">
        <f ca="1"/>
        <v>#NAME?</v>
      </c>
      <c r="D595" s="6" t="e">
        <f ca="1"/>
        <v>#NAME?</v>
      </c>
      <c r="E595" s="6" t="e">
        <f ca="1"/>
        <v>#NAME?</v>
      </c>
      <c r="F595" s="6" t="e">
        <f ca="1"/>
        <v>#NAME?</v>
      </c>
      <c r="G595" s="6" t="e">
        <f ca="1"/>
        <v>#NAME?</v>
      </c>
      <c r="H595" s="6" t="e">
        <f ca="1"/>
        <v>#NAME?</v>
      </c>
      <c r="I595" s="6"/>
      <c r="J595" s="6"/>
      <c r="K595" s="6"/>
      <c r="L595" s="6"/>
      <c r="M595" s="6"/>
      <c r="N595" s="6"/>
      <c r="O595" s="6"/>
      <c r="P595" s="6"/>
      <c r="Q595" s="6"/>
      <c r="R595" s="6"/>
      <c r="S595" s="6"/>
      <c r="T595" s="6"/>
    </row>
    <row r="596" spans="1:20">
      <c r="A596" s="6">
        <v>0</v>
      </c>
      <c r="B596" s="6">
        <v>0</v>
      </c>
      <c r="C596" s="6" t="e">
        <f ca="1"/>
        <v>#NAME?</v>
      </c>
      <c r="D596" s="6" t="e">
        <f ca="1"/>
        <v>#NAME?</v>
      </c>
      <c r="E596" s="6" t="e">
        <f ca="1"/>
        <v>#NAME?</v>
      </c>
      <c r="F596" s="6" t="e">
        <f ca="1"/>
        <v>#NAME?</v>
      </c>
      <c r="G596" s="6" t="e">
        <f ca="1"/>
        <v>#NAME?</v>
      </c>
      <c r="H596" s="6" t="e">
        <f ca="1"/>
        <v>#NAME?</v>
      </c>
      <c r="I596" s="6"/>
      <c r="J596" s="6"/>
      <c r="K596" s="6"/>
      <c r="L596" s="6"/>
      <c r="M596" s="6"/>
      <c r="N596" s="6"/>
      <c r="O596" s="6"/>
      <c r="P596" s="6"/>
      <c r="Q596" s="6"/>
      <c r="R596" s="6"/>
      <c r="S596" s="6"/>
      <c r="T596" s="6"/>
    </row>
    <row r="597" spans="1:20">
      <c r="A597" s="6">
        <v>0</v>
      </c>
      <c r="B597" s="6">
        <v>0</v>
      </c>
      <c r="C597" s="6" t="e">
        <f ca="1"/>
        <v>#NAME?</v>
      </c>
      <c r="D597" s="6" t="e">
        <f ca="1"/>
        <v>#NAME?</v>
      </c>
      <c r="E597" s="6" t="e">
        <f ca="1"/>
        <v>#NAME?</v>
      </c>
      <c r="F597" s="6" t="e">
        <f ca="1"/>
        <v>#NAME?</v>
      </c>
      <c r="G597" s="6" t="e">
        <f ca="1"/>
        <v>#NAME?</v>
      </c>
      <c r="H597" s="6" t="e">
        <f ca="1"/>
        <v>#NAME?</v>
      </c>
      <c r="I597" s="6"/>
      <c r="J597" s="6"/>
      <c r="K597" s="6"/>
      <c r="L597" s="6"/>
      <c r="M597" s="6"/>
      <c r="N597" s="6"/>
      <c r="O597" s="6"/>
      <c r="P597" s="6"/>
      <c r="Q597" s="6"/>
      <c r="R597" s="6"/>
      <c r="S597" s="6"/>
      <c r="T597" s="6"/>
    </row>
    <row r="598" spans="1:20">
      <c r="A598" s="6">
        <v>0</v>
      </c>
      <c r="B598" s="6">
        <v>0</v>
      </c>
      <c r="C598" s="6" t="e">
        <f ca="1"/>
        <v>#NAME?</v>
      </c>
      <c r="D598" s="6" t="e">
        <f ca="1"/>
        <v>#NAME?</v>
      </c>
      <c r="E598" s="6" t="e">
        <f ca="1"/>
        <v>#NAME?</v>
      </c>
      <c r="F598" s="6" t="e">
        <f ca="1"/>
        <v>#NAME?</v>
      </c>
      <c r="G598" s="6" t="e">
        <f ca="1"/>
        <v>#NAME?</v>
      </c>
      <c r="H598" s="6" t="e">
        <f ca="1"/>
        <v>#NAME?</v>
      </c>
      <c r="I598" s="6"/>
      <c r="J598" s="6"/>
      <c r="K598" s="6"/>
      <c r="L598" s="6"/>
      <c r="M598" s="6"/>
      <c r="N598" s="6"/>
      <c r="O598" s="6"/>
      <c r="P598" s="6"/>
      <c r="Q598" s="6"/>
      <c r="R598" s="6"/>
      <c r="S598" s="6"/>
      <c r="T598" s="6"/>
    </row>
    <row r="599" spans="1:20">
      <c r="A599" s="6">
        <v>0</v>
      </c>
      <c r="B599" s="6">
        <v>0</v>
      </c>
      <c r="C599" s="6" t="e">
        <f ca="1"/>
        <v>#NAME?</v>
      </c>
      <c r="D599" s="6" t="e">
        <f ca="1"/>
        <v>#NAME?</v>
      </c>
      <c r="E599" s="6" t="e">
        <f ca="1"/>
        <v>#NAME?</v>
      </c>
      <c r="F599" s="6" t="e">
        <f ca="1"/>
        <v>#NAME?</v>
      </c>
      <c r="G599" s="6" t="e">
        <f ca="1"/>
        <v>#NAME?</v>
      </c>
      <c r="H599" s="6" t="e">
        <f ca="1"/>
        <v>#NAME?</v>
      </c>
      <c r="I599" s="6"/>
      <c r="J599" s="6"/>
      <c r="K599" s="6"/>
      <c r="L599" s="6"/>
      <c r="M599" s="6"/>
      <c r="N599" s="6"/>
      <c r="O599" s="6"/>
      <c r="P599" s="6"/>
      <c r="Q599" s="6"/>
      <c r="R599" s="6"/>
      <c r="S599" s="6"/>
      <c r="T599" s="6"/>
    </row>
    <row r="600" spans="1:20">
      <c r="A600" s="6">
        <v>0</v>
      </c>
      <c r="B600" s="6">
        <v>0</v>
      </c>
      <c r="C600" s="6" t="e">
        <f ca="1"/>
        <v>#NAME?</v>
      </c>
      <c r="D600" s="6" t="e">
        <f ca="1"/>
        <v>#NAME?</v>
      </c>
      <c r="E600" s="6" t="e">
        <f ca="1"/>
        <v>#NAME?</v>
      </c>
      <c r="F600" s="6" t="e">
        <f ca="1"/>
        <v>#NAME?</v>
      </c>
      <c r="G600" s="6" t="e">
        <f ca="1"/>
        <v>#NAME?</v>
      </c>
      <c r="H600" s="6" t="e">
        <f ca="1"/>
        <v>#NAME?</v>
      </c>
      <c r="I600" s="6"/>
      <c r="J600" s="6"/>
      <c r="K600" s="6"/>
      <c r="L600" s="6"/>
      <c r="M600" s="6"/>
      <c r="N600" s="6"/>
      <c r="O600" s="6"/>
      <c r="P600" s="6"/>
      <c r="Q600" s="6"/>
      <c r="R600" s="6"/>
      <c r="S600" s="6"/>
      <c r="T600" s="6"/>
    </row>
    <row r="601" spans="1:20">
      <c r="A601" s="6">
        <v>0</v>
      </c>
      <c r="B601" s="6">
        <v>0</v>
      </c>
      <c r="C601" s="6" t="e">
        <f ca="1"/>
        <v>#NAME?</v>
      </c>
      <c r="D601" s="6" t="e">
        <f ca="1"/>
        <v>#NAME?</v>
      </c>
      <c r="E601" s="6" t="e">
        <f ca="1"/>
        <v>#NAME?</v>
      </c>
      <c r="F601" s="6" t="e">
        <f ca="1"/>
        <v>#NAME?</v>
      </c>
      <c r="G601" s="6" t="e">
        <f ca="1"/>
        <v>#NAME?</v>
      </c>
      <c r="H601" s="6" t="e">
        <f ca="1"/>
        <v>#NAME?</v>
      </c>
      <c r="I601" s="6"/>
      <c r="J601" s="6"/>
      <c r="K601" s="6"/>
      <c r="L601" s="6"/>
      <c r="M601" s="6"/>
      <c r="N601" s="6"/>
      <c r="O601" s="6"/>
      <c r="P601" s="6"/>
      <c r="Q601" s="6"/>
      <c r="R601" s="6"/>
      <c r="S601" s="6"/>
      <c r="T601" s="6"/>
    </row>
    <row r="602" spans="1:20">
      <c r="A602" s="6">
        <v>0</v>
      </c>
      <c r="B602" s="6">
        <v>0</v>
      </c>
      <c r="C602" s="6" t="e">
        <f ca="1"/>
        <v>#NAME?</v>
      </c>
      <c r="D602" s="6" t="e">
        <f ca="1"/>
        <v>#NAME?</v>
      </c>
      <c r="E602" s="6" t="e">
        <f ca="1"/>
        <v>#NAME?</v>
      </c>
      <c r="F602" s="6" t="e">
        <f ca="1"/>
        <v>#NAME?</v>
      </c>
      <c r="G602" s="6" t="e">
        <f ca="1"/>
        <v>#NAME?</v>
      </c>
      <c r="H602" s="6" t="e">
        <f ca="1"/>
        <v>#NAME?</v>
      </c>
      <c r="I602" s="6"/>
      <c r="J602" s="6"/>
      <c r="K602" s="6"/>
      <c r="L602" s="6"/>
      <c r="M602" s="6"/>
      <c r="N602" s="6"/>
      <c r="O602" s="6"/>
      <c r="P602" s="6"/>
      <c r="Q602" s="6"/>
      <c r="R602" s="6"/>
      <c r="S602" s="6"/>
      <c r="T602" s="6"/>
    </row>
    <row r="603" spans="1:20">
      <c r="A603" s="6">
        <v>0</v>
      </c>
      <c r="B603" s="6">
        <v>0</v>
      </c>
      <c r="C603" s="6" t="e">
        <f ca="1"/>
        <v>#NAME?</v>
      </c>
      <c r="D603" s="6" t="e">
        <f ca="1"/>
        <v>#NAME?</v>
      </c>
      <c r="E603" s="6" t="e">
        <f ca="1"/>
        <v>#NAME?</v>
      </c>
      <c r="F603" s="6" t="e">
        <f ca="1"/>
        <v>#NAME?</v>
      </c>
      <c r="G603" s="6" t="e">
        <f ca="1"/>
        <v>#NAME?</v>
      </c>
      <c r="H603" s="6" t="e">
        <f ca="1"/>
        <v>#NAME?</v>
      </c>
      <c r="I603" s="6"/>
      <c r="J603" s="6"/>
      <c r="K603" s="6"/>
      <c r="L603" s="6"/>
      <c r="M603" s="6"/>
      <c r="N603" s="6"/>
      <c r="O603" s="6"/>
      <c r="P603" s="6"/>
      <c r="Q603" s="6"/>
      <c r="R603" s="6"/>
      <c r="S603" s="6"/>
      <c r="T603" s="6"/>
    </row>
    <row r="604" spans="1:20">
      <c r="A604" s="6">
        <v>0</v>
      </c>
      <c r="B604" s="6">
        <v>0</v>
      </c>
      <c r="C604" s="6" t="e">
        <f ca="1"/>
        <v>#NAME?</v>
      </c>
      <c r="D604" s="6" t="e">
        <f ca="1"/>
        <v>#NAME?</v>
      </c>
      <c r="E604" s="6" t="e">
        <f ca="1"/>
        <v>#NAME?</v>
      </c>
      <c r="F604" s="6" t="e">
        <f ca="1"/>
        <v>#NAME?</v>
      </c>
      <c r="G604" s="6" t="e">
        <f ca="1"/>
        <v>#NAME?</v>
      </c>
      <c r="H604" s="6" t="e">
        <f ca="1"/>
        <v>#NAME?</v>
      </c>
      <c r="I604" s="6"/>
      <c r="J604" s="6"/>
      <c r="K604" s="6"/>
      <c r="L604" s="6"/>
      <c r="M604" s="6"/>
      <c r="N604" s="6"/>
      <c r="O604" s="6"/>
      <c r="P604" s="6"/>
      <c r="Q604" s="6"/>
      <c r="R604" s="6"/>
      <c r="S604" s="6"/>
      <c r="T604" s="6"/>
    </row>
    <row r="605" spans="1:20">
      <c r="A605" s="6">
        <v>0</v>
      </c>
      <c r="B605" s="6">
        <v>0</v>
      </c>
      <c r="C605" s="6" t="e">
        <f ca="1"/>
        <v>#NAME?</v>
      </c>
      <c r="D605" s="6" t="e">
        <f ca="1"/>
        <v>#NAME?</v>
      </c>
      <c r="E605" s="6" t="e">
        <f ca="1"/>
        <v>#NAME?</v>
      </c>
      <c r="F605" s="6" t="e">
        <f ca="1"/>
        <v>#NAME?</v>
      </c>
      <c r="G605" s="6" t="e">
        <f ca="1"/>
        <v>#NAME?</v>
      </c>
      <c r="H605" s="6" t="e">
        <f ca="1"/>
        <v>#NAME?</v>
      </c>
      <c r="I605" s="6"/>
      <c r="J605" s="6"/>
      <c r="K605" s="6"/>
      <c r="L605" s="6"/>
      <c r="M605" s="6"/>
      <c r="N605" s="6"/>
      <c r="O605" s="6"/>
      <c r="P605" s="6"/>
      <c r="Q605" s="6"/>
      <c r="R605" s="6"/>
      <c r="S605" s="6"/>
      <c r="T605" s="6"/>
    </row>
    <row r="606" spans="1:20">
      <c r="A606" s="6">
        <v>0</v>
      </c>
      <c r="B606" s="6">
        <v>0</v>
      </c>
      <c r="C606" s="6" t="e">
        <f ca="1"/>
        <v>#NAME?</v>
      </c>
      <c r="D606" s="6" t="e">
        <f ca="1"/>
        <v>#NAME?</v>
      </c>
      <c r="E606" s="6" t="e">
        <f ca="1"/>
        <v>#NAME?</v>
      </c>
      <c r="F606" s="6" t="e">
        <f ca="1"/>
        <v>#NAME?</v>
      </c>
      <c r="G606" s="6" t="e">
        <f ca="1"/>
        <v>#NAME?</v>
      </c>
      <c r="H606" s="6" t="e">
        <f ca="1"/>
        <v>#NAME?</v>
      </c>
      <c r="I606" s="6"/>
      <c r="J606" s="6"/>
      <c r="K606" s="6"/>
      <c r="L606" s="6"/>
      <c r="M606" s="6"/>
      <c r="N606" s="6"/>
      <c r="O606" s="6"/>
      <c r="P606" s="6"/>
      <c r="Q606" s="6"/>
      <c r="R606" s="6"/>
      <c r="S606" s="6"/>
      <c r="T606" s="6"/>
    </row>
    <row r="607" spans="1:20">
      <c r="A607" s="6">
        <v>0</v>
      </c>
      <c r="B607" s="6">
        <v>0</v>
      </c>
      <c r="C607" s="6" t="e">
        <f ca="1"/>
        <v>#NAME?</v>
      </c>
      <c r="D607" s="6" t="e">
        <f ca="1"/>
        <v>#NAME?</v>
      </c>
      <c r="E607" s="6" t="e">
        <f ca="1"/>
        <v>#NAME?</v>
      </c>
      <c r="F607" s="6" t="e">
        <f ca="1"/>
        <v>#NAME?</v>
      </c>
      <c r="G607" s="6" t="e">
        <f ca="1"/>
        <v>#NAME?</v>
      </c>
      <c r="H607" s="6" t="e">
        <f ca="1"/>
        <v>#NAME?</v>
      </c>
      <c r="I607" s="6"/>
      <c r="J607" s="6"/>
      <c r="K607" s="6"/>
      <c r="L607" s="6"/>
      <c r="M607" s="6"/>
      <c r="N607" s="6"/>
      <c r="O607" s="6"/>
      <c r="P607" s="6"/>
      <c r="Q607" s="6"/>
      <c r="R607" s="6"/>
      <c r="S607" s="6"/>
      <c r="T607" s="6"/>
    </row>
    <row r="608" spans="1:20">
      <c r="A608" s="6">
        <v>0</v>
      </c>
      <c r="B608" s="6">
        <v>0</v>
      </c>
      <c r="C608" s="6" t="e">
        <f ca="1"/>
        <v>#NAME?</v>
      </c>
      <c r="D608" s="6" t="e">
        <f ca="1"/>
        <v>#NAME?</v>
      </c>
      <c r="E608" s="6" t="e">
        <f ca="1"/>
        <v>#NAME?</v>
      </c>
      <c r="F608" s="6" t="e">
        <f ca="1"/>
        <v>#NAME?</v>
      </c>
      <c r="G608" s="6" t="e">
        <f ca="1"/>
        <v>#NAME?</v>
      </c>
      <c r="H608" s="6" t="e">
        <f ca="1"/>
        <v>#NAME?</v>
      </c>
      <c r="I608" s="6"/>
      <c r="J608" s="6"/>
      <c r="K608" s="6"/>
      <c r="L608" s="6"/>
      <c r="M608" s="6"/>
      <c r="N608" s="6"/>
      <c r="O608" s="6"/>
      <c r="P608" s="6"/>
      <c r="Q608" s="6"/>
      <c r="R608" s="6"/>
      <c r="S608" s="6"/>
      <c r="T608" s="6"/>
    </row>
    <row r="609" spans="1:20">
      <c r="A609" s="6">
        <v>0</v>
      </c>
      <c r="B609" s="6">
        <v>0</v>
      </c>
      <c r="C609" s="6" t="e">
        <f ca="1"/>
        <v>#NAME?</v>
      </c>
      <c r="D609" s="6" t="e">
        <f ca="1"/>
        <v>#NAME?</v>
      </c>
      <c r="E609" s="6" t="e">
        <f ca="1"/>
        <v>#NAME?</v>
      </c>
      <c r="F609" s="6" t="e">
        <f ca="1"/>
        <v>#NAME?</v>
      </c>
      <c r="G609" s="6" t="e">
        <f ca="1"/>
        <v>#NAME?</v>
      </c>
      <c r="H609" s="6" t="e">
        <f ca="1"/>
        <v>#NAME?</v>
      </c>
      <c r="I609" s="6"/>
      <c r="J609" s="6"/>
      <c r="K609" s="6"/>
      <c r="L609" s="6"/>
      <c r="M609" s="6"/>
      <c r="N609" s="6"/>
      <c r="O609" s="6"/>
      <c r="P609" s="6"/>
      <c r="Q609" s="6"/>
      <c r="R609" s="6"/>
      <c r="S609" s="6"/>
      <c r="T609" s="6"/>
    </row>
    <row r="610" spans="1:20">
      <c r="A610" s="6">
        <v>0</v>
      </c>
      <c r="B610" s="6">
        <v>0</v>
      </c>
      <c r="C610" s="6" t="e">
        <f ca="1"/>
        <v>#NAME?</v>
      </c>
      <c r="D610" s="6" t="e">
        <f ca="1"/>
        <v>#NAME?</v>
      </c>
      <c r="E610" s="6" t="e">
        <f ca="1"/>
        <v>#NAME?</v>
      </c>
      <c r="F610" s="6" t="e">
        <f ca="1"/>
        <v>#NAME?</v>
      </c>
      <c r="G610" s="6" t="e">
        <f ca="1"/>
        <v>#NAME?</v>
      </c>
      <c r="H610" s="6" t="e">
        <f ca="1"/>
        <v>#NAME?</v>
      </c>
      <c r="I610" s="6"/>
      <c r="J610" s="6"/>
      <c r="K610" s="6"/>
      <c r="L610" s="6"/>
      <c r="M610" s="6"/>
      <c r="N610" s="6"/>
      <c r="O610" s="6"/>
      <c r="P610" s="6"/>
      <c r="Q610" s="6"/>
      <c r="R610" s="6"/>
      <c r="S610" s="6"/>
      <c r="T610" s="6"/>
    </row>
    <row r="611" spans="1:20">
      <c r="A611" s="6">
        <v>0</v>
      </c>
      <c r="B611" s="6">
        <v>0</v>
      </c>
      <c r="C611" s="6" t="e">
        <f ca="1"/>
        <v>#NAME?</v>
      </c>
      <c r="D611" s="6" t="e">
        <f ca="1"/>
        <v>#NAME?</v>
      </c>
      <c r="E611" s="6" t="e">
        <f ca="1"/>
        <v>#NAME?</v>
      </c>
      <c r="F611" s="6" t="e">
        <f ca="1"/>
        <v>#NAME?</v>
      </c>
      <c r="G611" s="6" t="e">
        <f ca="1"/>
        <v>#NAME?</v>
      </c>
      <c r="H611" s="6" t="e">
        <f ca="1"/>
        <v>#NAME?</v>
      </c>
      <c r="I611" s="6"/>
      <c r="J611" s="6"/>
      <c r="K611" s="6"/>
      <c r="L611" s="6"/>
      <c r="M611" s="6"/>
      <c r="N611" s="6"/>
      <c r="O611" s="6"/>
      <c r="P611" s="6"/>
      <c r="Q611" s="6"/>
      <c r="R611" s="6"/>
      <c r="S611" s="6"/>
      <c r="T611" s="6"/>
    </row>
    <row r="612" spans="1:20">
      <c r="A612" s="6">
        <v>0</v>
      </c>
      <c r="B612" s="6">
        <v>0</v>
      </c>
      <c r="C612" s="6" t="e">
        <f ca="1"/>
        <v>#NAME?</v>
      </c>
      <c r="D612" s="6" t="e">
        <f ca="1"/>
        <v>#NAME?</v>
      </c>
      <c r="E612" s="6" t="e">
        <f ca="1"/>
        <v>#NAME?</v>
      </c>
      <c r="F612" s="6" t="e">
        <f ca="1"/>
        <v>#NAME?</v>
      </c>
      <c r="G612" s="6" t="e">
        <f ca="1"/>
        <v>#NAME?</v>
      </c>
      <c r="H612" s="6" t="e">
        <f ca="1"/>
        <v>#NAME?</v>
      </c>
      <c r="I612" s="6"/>
      <c r="J612" s="6"/>
      <c r="K612" s="6"/>
      <c r="L612" s="6"/>
      <c r="M612" s="6"/>
      <c r="N612" s="6"/>
      <c r="O612" s="6"/>
      <c r="P612" s="6"/>
      <c r="Q612" s="6"/>
      <c r="R612" s="6"/>
      <c r="S612" s="6"/>
      <c r="T612" s="6"/>
    </row>
    <row r="613" spans="1:20">
      <c r="A613" s="6">
        <v>0</v>
      </c>
      <c r="B613" s="6">
        <v>0</v>
      </c>
      <c r="C613" s="6" t="e">
        <f ca="1"/>
        <v>#NAME?</v>
      </c>
      <c r="D613" s="6" t="e">
        <f ca="1"/>
        <v>#NAME?</v>
      </c>
      <c r="E613" s="6" t="e">
        <f ca="1"/>
        <v>#NAME?</v>
      </c>
      <c r="F613" s="6" t="e">
        <f ca="1"/>
        <v>#NAME?</v>
      </c>
      <c r="G613" s="6" t="e">
        <f ca="1"/>
        <v>#NAME?</v>
      </c>
      <c r="H613" s="6" t="e">
        <f ca="1"/>
        <v>#NAME?</v>
      </c>
      <c r="I613" s="6"/>
      <c r="J613" s="6"/>
      <c r="K613" s="6"/>
      <c r="L613" s="6"/>
      <c r="M613" s="6"/>
      <c r="N613" s="6"/>
      <c r="O613" s="6"/>
      <c r="P613" s="6"/>
      <c r="Q613" s="6"/>
      <c r="R613" s="6"/>
      <c r="S613" s="6"/>
      <c r="T613" s="6"/>
    </row>
    <row r="614" spans="1:20">
      <c r="A614" s="6">
        <v>0</v>
      </c>
      <c r="B614" s="6">
        <v>0</v>
      </c>
      <c r="C614" s="6" t="e">
        <f ca="1"/>
        <v>#NAME?</v>
      </c>
      <c r="D614" s="6" t="e">
        <f ca="1"/>
        <v>#NAME?</v>
      </c>
      <c r="E614" s="6" t="e">
        <f ca="1"/>
        <v>#NAME?</v>
      </c>
      <c r="F614" s="6" t="e">
        <f ca="1"/>
        <v>#NAME?</v>
      </c>
      <c r="G614" s="6" t="e">
        <f ca="1"/>
        <v>#NAME?</v>
      </c>
      <c r="H614" s="6" t="e">
        <f ca="1"/>
        <v>#NAME?</v>
      </c>
      <c r="I614" s="6"/>
      <c r="J614" s="6"/>
      <c r="K614" s="6"/>
      <c r="L614" s="6"/>
      <c r="M614" s="6"/>
      <c r="N614" s="6"/>
      <c r="O614" s="6"/>
      <c r="P614" s="6"/>
      <c r="Q614" s="6"/>
      <c r="R614" s="6"/>
      <c r="S614" s="6"/>
      <c r="T614" s="6"/>
    </row>
    <row r="615" spans="1:20">
      <c r="A615" s="6">
        <v>0</v>
      </c>
      <c r="B615" s="6">
        <v>0</v>
      </c>
      <c r="C615" s="6" t="e">
        <f ca="1"/>
        <v>#NAME?</v>
      </c>
      <c r="D615" s="6" t="e">
        <f ca="1"/>
        <v>#NAME?</v>
      </c>
      <c r="E615" s="6" t="e">
        <f ca="1"/>
        <v>#NAME?</v>
      </c>
      <c r="F615" s="6" t="e">
        <f ca="1"/>
        <v>#NAME?</v>
      </c>
      <c r="G615" s="6" t="e">
        <f ca="1"/>
        <v>#NAME?</v>
      </c>
      <c r="H615" s="6" t="e">
        <f ca="1"/>
        <v>#NAME?</v>
      </c>
      <c r="I615" s="6"/>
      <c r="J615" s="6"/>
      <c r="K615" s="6"/>
      <c r="L615" s="6"/>
      <c r="M615" s="6"/>
      <c r="N615" s="6"/>
      <c r="O615" s="6"/>
      <c r="P615" s="6"/>
      <c r="Q615" s="6"/>
      <c r="R615" s="6"/>
      <c r="S615" s="6"/>
      <c r="T615" s="6"/>
    </row>
    <row r="616" spans="1:20">
      <c r="A616" s="6">
        <v>0</v>
      </c>
      <c r="B616" s="6">
        <v>0</v>
      </c>
      <c r="C616" s="6" t="e">
        <f ca="1"/>
        <v>#NAME?</v>
      </c>
      <c r="D616" s="6" t="e">
        <f ca="1"/>
        <v>#NAME?</v>
      </c>
      <c r="E616" s="6" t="e">
        <f ca="1"/>
        <v>#NAME?</v>
      </c>
      <c r="F616" s="6" t="e">
        <f ca="1"/>
        <v>#NAME?</v>
      </c>
      <c r="G616" s="6" t="e">
        <f ca="1"/>
        <v>#NAME?</v>
      </c>
      <c r="H616" s="6" t="e">
        <f ca="1"/>
        <v>#NAME?</v>
      </c>
      <c r="I616" s="6"/>
      <c r="J616" s="6"/>
      <c r="K616" s="6"/>
      <c r="L616" s="6"/>
      <c r="M616" s="6"/>
      <c r="N616" s="6"/>
      <c r="O616" s="6"/>
      <c r="P616" s="6"/>
      <c r="Q616" s="6"/>
      <c r="R616" s="6"/>
      <c r="S616" s="6"/>
      <c r="T616" s="6"/>
    </row>
    <row r="617" spans="1:20">
      <c r="A617" s="6">
        <v>0</v>
      </c>
      <c r="B617" s="6">
        <v>0</v>
      </c>
      <c r="C617" s="6" t="e">
        <f ca="1"/>
        <v>#NAME?</v>
      </c>
      <c r="D617" s="6" t="e">
        <f ca="1"/>
        <v>#NAME?</v>
      </c>
      <c r="E617" s="6" t="e">
        <f ca="1"/>
        <v>#NAME?</v>
      </c>
      <c r="F617" s="6" t="e">
        <f ca="1"/>
        <v>#NAME?</v>
      </c>
      <c r="G617" s="6" t="e">
        <f ca="1"/>
        <v>#NAME?</v>
      </c>
      <c r="H617" s="6" t="e">
        <f ca="1"/>
        <v>#NAME?</v>
      </c>
      <c r="I617" s="6"/>
      <c r="J617" s="6"/>
      <c r="K617" s="6"/>
      <c r="L617" s="6"/>
      <c r="M617" s="6"/>
      <c r="N617" s="6"/>
      <c r="O617" s="6"/>
      <c r="P617" s="6"/>
      <c r="Q617" s="6"/>
      <c r="R617" s="6"/>
      <c r="S617" s="6"/>
      <c r="T617" s="6"/>
    </row>
    <row r="618" spans="1:20">
      <c r="A618" s="6">
        <v>0</v>
      </c>
      <c r="B618" s="6">
        <v>0</v>
      </c>
      <c r="C618" s="6" t="e">
        <f ca="1"/>
        <v>#NAME?</v>
      </c>
      <c r="D618" s="6" t="e">
        <f ca="1"/>
        <v>#NAME?</v>
      </c>
      <c r="E618" s="6" t="e">
        <f ca="1"/>
        <v>#NAME?</v>
      </c>
      <c r="F618" s="6" t="e">
        <f ca="1"/>
        <v>#NAME?</v>
      </c>
      <c r="G618" s="6" t="e">
        <f ca="1"/>
        <v>#NAME?</v>
      </c>
      <c r="H618" s="6" t="e">
        <f ca="1"/>
        <v>#NAME?</v>
      </c>
      <c r="I618" s="6"/>
      <c r="J618" s="6"/>
      <c r="K618" s="6"/>
      <c r="L618" s="6"/>
      <c r="M618" s="6"/>
      <c r="N618" s="6"/>
      <c r="O618" s="6"/>
      <c r="P618" s="6"/>
      <c r="Q618" s="6"/>
      <c r="R618" s="6"/>
      <c r="S618" s="6"/>
      <c r="T618" s="6"/>
    </row>
    <row r="619" spans="1:20">
      <c r="A619" s="6">
        <v>0</v>
      </c>
      <c r="B619" s="6">
        <v>0</v>
      </c>
      <c r="C619" s="6" t="e">
        <f ca="1"/>
        <v>#NAME?</v>
      </c>
      <c r="D619" s="6" t="e">
        <f ca="1"/>
        <v>#NAME?</v>
      </c>
      <c r="E619" s="6" t="e">
        <f ca="1"/>
        <v>#NAME?</v>
      </c>
      <c r="F619" s="6" t="e">
        <f ca="1"/>
        <v>#NAME?</v>
      </c>
      <c r="G619" s="6" t="e">
        <f ca="1"/>
        <v>#NAME?</v>
      </c>
      <c r="H619" s="6" t="e">
        <f ca="1"/>
        <v>#NAME?</v>
      </c>
      <c r="I619" s="6"/>
      <c r="J619" s="6"/>
      <c r="K619" s="6"/>
      <c r="L619" s="6"/>
      <c r="M619" s="6"/>
      <c r="N619" s="6"/>
      <c r="O619" s="6"/>
      <c r="P619" s="6"/>
      <c r="Q619" s="6"/>
      <c r="R619" s="6"/>
      <c r="S619" s="6"/>
      <c r="T619" s="6"/>
    </row>
    <row r="620" spans="1:20">
      <c r="A620" s="6">
        <v>0</v>
      </c>
      <c r="B620" s="6">
        <v>0</v>
      </c>
      <c r="C620" s="6" t="e">
        <f ca="1"/>
        <v>#NAME?</v>
      </c>
      <c r="D620" s="6" t="e">
        <f ca="1"/>
        <v>#NAME?</v>
      </c>
      <c r="E620" s="6" t="e">
        <f ca="1"/>
        <v>#NAME?</v>
      </c>
      <c r="F620" s="6" t="e">
        <f ca="1"/>
        <v>#NAME?</v>
      </c>
      <c r="G620" s="6" t="e">
        <f ca="1"/>
        <v>#NAME?</v>
      </c>
      <c r="H620" s="6" t="e">
        <f ca="1"/>
        <v>#NAME?</v>
      </c>
      <c r="I620" s="6"/>
      <c r="J620" s="6"/>
      <c r="K620" s="6"/>
      <c r="L620" s="6"/>
      <c r="M620" s="6"/>
      <c r="N620" s="6"/>
      <c r="O620" s="6"/>
      <c r="P620" s="6"/>
      <c r="Q620" s="6"/>
      <c r="R620" s="6"/>
      <c r="S620" s="6"/>
      <c r="T620" s="6"/>
    </row>
    <row r="621" spans="1:20">
      <c r="A621" s="6">
        <v>0</v>
      </c>
      <c r="B621" s="6">
        <v>0</v>
      </c>
      <c r="C621" s="6" t="e">
        <f ca="1"/>
        <v>#NAME?</v>
      </c>
      <c r="D621" s="6" t="e">
        <f ca="1"/>
        <v>#NAME?</v>
      </c>
      <c r="E621" s="6" t="e">
        <f ca="1"/>
        <v>#NAME?</v>
      </c>
      <c r="F621" s="6" t="e">
        <f ca="1"/>
        <v>#NAME?</v>
      </c>
      <c r="G621" s="6" t="e">
        <f ca="1"/>
        <v>#NAME?</v>
      </c>
      <c r="H621" s="6" t="e">
        <f ca="1"/>
        <v>#NAME?</v>
      </c>
      <c r="I621" s="6"/>
      <c r="J621" s="6"/>
      <c r="K621" s="6"/>
      <c r="L621" s="6"/>
      <c r="M621" s="6"/>
      <c r="N621" s="6"/>
      <c r="O621" s="6"/>
      <c r="P621" s="6"/>
      <c r="Q621" s="6"/>
      <c r="R621" s="6"/>
      <c r="S621" s="6"/>
      <c r="T621" s="6"/>
    </row>
    <row r="622" spans="1:20">
      <c r="A622" s="6">
        <v>0</v>
      </c>
      <c r="B622" s="6">
        <v>0</v>
      </c>
      <c r="C622" s="6" t="e">
        <f ca="1"/>
        <v>#NAME?</v>
      </c>
      <c r="D622" s="6" t="e">
        <f ca="1"/>
        <v>#NAME?</v>
      </c>
      <c r="E622" s="6" t="e">
        <f ca="1"/>
        <v>#NAME?</v>
      </c>
      <c r="F622" s="6" t="e">
        <f ca="1"/>
        <v>#NAME?</v>
      </c>
      <c r="G622" s="6" t="e">
        <f ca="1"/>
        <v>#NAME?</v>
      </c>
      <c r="H622" s="6" t="e">
        <f ca="1"/>
        <v>#NAME?</v>
      </c>
      <c r="I622" s="6"/>
      <c r="J622" s="6"/>
      <c r="K622" s="6"/>
      <c r="L622" s="6"/>
      <c r="M622" s="6"/>
      <c r="N622" s="6"/>
      <c r="O622" s="6"/>
      <c r="P622" s="6"/>
      <c r="Q622" s="6"/>
      <c r="R622" s="6"/>
      <c r="S622" s="6"/>
      <c r="T622" s="6"/>
    </row>
    <row r="623" spans="1:20">
      <c r="A623" s="6">
        <v>0</v>
      </c>
      <c r="B623" s="6">
        <v>0</v>
      </c>
      <c r="C623" s="6" t="e">
        <f ca="1"/>
        <v>#NAME?</v>
      </c>
      <c r="D623" s="6" t="e">
        <f ca="1"/>
        <v>#NAME?</v>
      </c>
      <c r="E623" s="6" t="e">
        <f ca="1"/>
        <v>#NAME?</v>
      </c>
      <c r="F623" s="6" t="e">
        <f ca="1"/>
        <v>#NAME?</v>
      </c>
      <c r="G623" s="6" t="e">
        <f ca="1"/>
        <v>#NAME?</v>
      </c>
      <c r="H623" s="6" t="e">
        <f ca="1"/>
        <v>#NAME?</v>
      </c>
      <c r="I623" s="6"/>
      <c r="J623" s="6"/>
      <c r="K623" s="6"/>
      <c r="L623" s="6"/>
      <c r="M623" s="6"/>
      <c r="N623" s="6"/>
      <c r="O623" s="6"/>
      <c r="P623" s="6"/>
      <c r="Q623" s="6"/>
      <c r="R623" s="6"/>
      <c r="S623" s="6"/>
      <c r="T623" s="6"/>
    </row>
    <row r="624" spans="1:20">
      <c r="A624" s="6">
        <v>0</v>
      </c>
      <c r="B624" s="6">
        <v>0</v>
      </c>
      <c r="C624" s="6" t="e">
        <f ca="1"/>
        <v>#NAME?</v>
      </c>
      <c r="D624" s="6" t="e">
        <f ca="1"/>
        <v>#NAME?</v>
      </c>
      <c r="E624" s="6" t="e">
        <f ca="1"/>
        <v>#NAME?</v>
      </c>
      <c r="F624" s="6" t="e">
        <f ca="1"/>
        <v>#NAME?</v>
      </c>
      <c r="G624" s="6" t="e">
        <f ca="1"/>
        <v>#NAME?</v>
      </c>
      <c r="H624" s="6" t="e">
        <f ca="1"/>
        <v>#NAME?</v>
      </c>
      <c r="I624" s="6"/>
      <c r="J624" s="6"/>
      <c r="K624" s="6"/>
      <c r="L624" s="6"/>
      <c r="M624" s="6"/>
      <c r="N624" s="6"/>
      <c r="O624" s="6"/>
      <c r="P624" s="6"/>
      <c r="Q624" s="6"/>
      <c r="R624" s="6"/>
      <c r="S624" s="6"/>
      <c r="T624" s="6"/>
    </row>
    <row r="625" spans="1:20">
      <c r="A625" s="6">
        <v>0</v>
      </c>
      <c r="B625" s="6">
        <v>0</v>
      </c>
      <c r="C625" s="6" t="e">
        <f ca="1"/>
        <v>#NAME?</v>
      </c>
      <c r="D625" s="6" t="e">
        <f ca="1"/>
        <v>#NAME?</v>
      </c>
      <c r="E625" s="6" t="e">
        <f ca="1"/>
        <v>#NAME?</v>
      </c>
      <c r="F625" s="6" t="e">
        <f ca="1"/>
        <v>#NAME?</v>
      </c>
      <c r="G625" s="6" t="e">
        <f ca="1"/>
        <v>#NAME?</v>
      </c>
      <c r="H625" s="6" t="e">
        <f ca="1"/>
        <v>#NAME?</v>
      </c>
      <c r="I625" s="6"/>
      <c r="J625" s="6"/>
      <c r="K625" s="6"/>
      <c r="L625" s="6"/>
      <c r="M625" s="6"/>
      <c r="N625" s="6"/>
      <c r="O625" s="6"/>
      <c r="P625" s="6"/>
      <c r="Q625" s="6"/>
      <c r="R625" s="6"/>
      <c r="S625" s="6"/>
      <c r="T625" s="6"/>
    </row>
    <row r="626" spans="1:20">
      <c r="A626" s="6">
        <v>0</v>
      </c>
      <c r="B626" s="6">
        <v>0</v>
      </c>
      <c r="C626" s="6" t="e">
        <f ca="1"/>
        <v>#NAME?</v>
      </c>
      <c r="D626" s="6" t="e">
        <f ca="1"/>
        <v>#NAME?</v>
      </c>
      <c r="E626" s="6" t="e">
        <f ca="1"/>
        <v>#NAME?</v>
      </c>
      <c r="F626" s="6" t="e">
        <f ca="1"/>
        <v>#NAME?</v>
      </c>
      <c r="G626" s="6" t="e">
        <f ca="1"/>
        <v>#NAME?</v>
      </c>
      <c r="H626" s="6" t="e">
        <f ca="1"/>
        <v>#NAME?</v>
      </c>
      <c r="I626" s="6"/>
      <c r="J626" s="6"/>
      <c r="K626" s="6"/>
      <c r="L626" s="6"/>
      <c r="M626" s="6"/>
      <c r="N626" s="6"/>
      <c r="O626" s="6"/>
      <c r="P626" s="6"/>
      <c r="Q626" s="6"/>
      <c r="R626" s="6"/>
      <c r="S626" s="6"/>
      <c r="T626" s="6"/>
    </row>
    <row r="627" spans="1:20">
      <c r="A627" s="6">
        <v>0</v>
      </c>
      <c r="B627" s="6">
        <v>0</v>
      </c>
      <c r="C627" s="6" t="e">
        <f ca="1"/>
        <v>#NAME?</v>
      </c>
      <c r="D627" s="6" t="e">
        <f ca="1"/>
        <v>#NAME?</v>
      </c>
      <c r="E627" s="6" t="e">
        <f ca="1"/>
        <v>#NAME?</v>
      </c>
      <c r="F627" s="6" t="e">
        <f ca="1"/>
        <v>#NAME?</v>
      </c>
      <c r="G627" s="6" t="e">
        <f ca="1"/>
        <v>#NAME?</v>
      </c>
      <c r="H627" s="6" t="e">
        <f ca="1"/>
        <v>#NAME?</v>
      </c>
      <c r="I627" s="6"/>
      <c r="J627" s="6"/>
      <c r="K627" s="6"/>
      <c r="L627" s="6"/>
      <c r="M627" s="6"/>
      <c r="N627" s="6"/>
      <c r="O627" s="6"/>
      <c r="P627" s="6"/>
      <c r="Q627" s="6"/>
      <c r="R627" s="6"/>
      <c r="S627" s="6"/>
      <c r="T627" s="6"/>
    </row>
    <row r="628" spans="1:20">
      <c r="A628" s="6">
        <v>0</v>
      </c>
      <c r="B628" s="6">
        <v>0</v>
      </c>
      <c r="C628" s="6" t="e">
        <f ca="1"/>
        <v>#NAME?</v>
      </c>
      <c r="D628" s="6" t="e">
        <f ca="1"/>
        <v>#NAME?</v>
      </c>
      <c r="E628" s="6" t="e">
        <f ca="1"/>
        <v>#NAME?</v>
      </c>
      <c r="F628" s="6" t="e">
        <f ca="1"/>
        <v>#NAME?</v>
      </c>
      <c r="G628" s="6" t="e">
        <f ca="1"/>
        <v>#NAME?</v>
      </c>
      <c r="H628" s="6" t="e">
        <f ca="1"/>
        <v>#NAME?</v>
      </c>
      <c r="I628" s="6"/>
      <c r="J628" s="6"/>
      <c r="K628" s="6"/>
      <c r="L628" s="6"/>
      <c r="M628" s="6"/>
      <c r="N628" s="6"/>
      <c r="O628" s="6"/>
      <c r="P628" s="6"/>
      <c r="Q628" s="6"/>
      <c r="R628" s="6"/>
      <c r="S628" s="6"/>
      <c r="T628" s="6"/>
    </row>
    <row r="629" spans="1:20">
      <c r="A629" s="6">
        <v>0</v>
      </c>
      <c r="B629" s="6">
        <v>0</v>
      </c>
      <c r="C629" s="6" t="e">
        <f ca="1"/>
        <v>#NAME?</v>
      </c>
      <c r="D629" s="6" t="e">
        <f ca="1"/>
        <v>#NAME?</v>
      </c>
      <c r="E629" s="6" t="e">
        <f ca="1"/>
        <v>#NAME?</v>
      </c>
      <c r="F629" s="6" t="e">
        <f ca="1"/>
        <v>#NAME?</v>
      </c>
      <c r="G629" s="6" t="e">
        <f ca="1"/>
        <v>#NAME?</v>
      </c>
      <c r="H629" s="6" t="e">
        <f ca="1"/>
        <v>#NAME?</v>
      </c>
      <c r="I629" s="6"/>
      <c r="J629" s="6"/>
      <c r="K629" s="6"/>
      <c r="L629" s="6"/>
      <c r="M629" s="6"/>
      <c r="N629" s="6"/>
      <c r="O629" s="6"/>
      <c r="P629" s="6"/>
      <c r="Q629" s="6"/>
      <c r="R629" s="6"/>
      <c r="S629" s="6"/>
      <c r="T629" s="6"/>
    </row>
    <row r="630" spans="1:20">
      <c r="A630" s="6">
        <v>0</v>
      </c>
      <c r="B630" s="6">
        <v>0</v>
      </c>
      <c r="C630" s="6" t="e">
        <f ca="1"/>
        <v>#NAME?</v>
      </c>
      <c r="D630" s="6" t="e">
        <f ca="1"/>
        <v>#NAME?</v>
      </c>
      <c r="E630" s="6" t="e">
        <f ca="1"/>
        <v>#NAME?</v>
      </c>
      <c r="F630" s="6" t="e">
        <f ca="1"/>
        <v>#NAME?</v>
      </c>
      <c r="G630" s="6" t="e">
        <f ca="1"/>
        <v>#NAME?</v>
      </c>
      <c r="H630" s="6" t="e">
        <f ca="1"/>
        <v>#NAME?</v>
      </c>
      <c r="I630" s="6"/>
      <c r="J630" s="6"/>
      <c r="K630" s="6"/>
      <c r="L630" s="6"/>
      <c r="M630" s="6"/>
      <c r="N630" s="6"/>
      <c r="O630" s="6"/>
      <c r="P630" s="6"/>
      <c r="Q630" s="6"/>
      <c r="R630" s="6"/>
      <c r="S630" s="6"/>
      <c r="T630" s="6"/>
    </row>
    <row r="631" spans="1:20">
      <c r="A631" s="6">
        <v>0</v>
      </c>
      <c r="B631" s="6">
        <v>0</v>
      </c>
      <c r="C631" s="6" t="e">
        <f ca="1"/>
        <v>#NAME?</v>
      </c>
      <c r="D631" s="6" t="e">
        <f ca="1"/>
        <v>#NAME?</v>
      </c>
      <c r="E631" s="6" t="e">
        <f ca="1"/>
        <v>#NAME?</v>
      </c>
      <c r="F631" s="6" t="e">
        <f ca="1"/>
        <v>#NAME?</v>
      </c>
      <c r="G631" s="6" t="e">
        <f ca="1"/>
        <v>#NAME?</v>
      </c>
      <c r="H631" s="6" t="e">
        <f ca="1"/>
        <v>#NAME?</v>
      </c>
      <c r="I631" s="6"/>
      <c r="J631" s="6"/>
      <c r="K631" s="6"/>
      <c r="L631" s="6"/>
      <c r="M631" s="6"/>
      <c r="N631" s="6"/>
      <c r="O631" s="6"/>
      <c r="P631" s="6"/>
      <c r="Q631" s="6"/>
      <c r="R631" s="6"/>
      <c r="S631" s="6"/>
      <c r="T631" s="6"/>
    </row>
    <row r="632" spans="1:20">
      <c r="A632" s="6">
        <v>0</v>
      </c>
      <c r="B632" s="6">
        <v>0</v>
      </c>
      <c r="C632" s="6" t="e">
        <f ca="1"/>
        <v>#NAME?</v>
      </c>
      <c r="D632" s="6" t="e">
        <f ca="1"/>
        <v>#NAME?</v>
      </c>
      <c r="E632" s="6" t="e">
        <f ca="1"/>
        <v>#NAME?</v>
      </c>
      <c r="F632" s="6" t="e">
        <f ca="1"/>
        <v>#NAME?</v>
      </c>
      <c r="G632" s="6" t="e">
        <f ca="1"/>
        <v>#NAME?</v>
      </c>
      <c r="H632" s="6" t="e">
        <f ca="1"/>
        <v>#NAME?</v>
      </c>
      <c r="I632" s="6"/>
      <c r="J632" s="6"/>
      <c r="K632" s="6"/>
      <c r="L632" s="6"/>
      <c r="M632" s="6"/>
      <c r="N632" s="6"/>
      <c r="O632" s="6"/>
      <c r="P632" s="6"/>
      <c r="Q632" s="6"/>
      <c r="R632" s="6"/>
      <c r="S632" s="6"/>
      <c r="T632" s="6"/>
    </row>
    <row r="633" spans="1:20">
      <c r="A633" s="6">
        <v>0</v>
      </c>
      <c r="B633" s="6">
        <v>0</v>
      </c>
      <c r="C633" s="6" t="e">
        <f ca="1"/>
        <v>#NAME?</v>
      </c>
      <c r="D633" s="6" t="e">
        <f ca="1"/>
        <v>#NAME?</v>
      </c>
      <c r="E633" s="6" t="e">
        <f ca="1"/>
        <v>#NAME?</v>
      </c>
      <c r="F633" s="6" t="e">
        <f ca="1"/>
        <v>#NAME?</v>
      </c>
      <c r="G633" s="6" t="e">
        <f ca="1"/>
        <v>#NAME?</v>
      </c>
      <c r="H633" s="6" t="e">
        <f ca="1"/>
        <v>#NAME?</v>
      </c>
      <c r="I633" s="6"/>
      <c r="J633" s="6"/>
      <c r="K633" s="6"/>
      <c r="L633" s="6"/>
      <c r="M633" s="6"/>
      <c r="N633" s="6"/>
      <c r="O633" s="6"/>
      <c r="P633" s="6"/>
      <c r="Q633" s="6"/>
      <c r="R633" s="6"/>
      <c r="S633" s="6"/>
      <c r="T633" s="6"/>
    </row>
    <row r="634" spans="1:20">
      <c r="A634" s="6">
        <v>0</v>
      </c>
      <c r="B634" s="6">
        <v>0</v>
      </c>
      <c r="C634" s="6" t="e">
        <f ca="1"/>
        <v>#NAME?</v>
      </c>
      <c r="D634" s="6" t="e">
        <f ca="1"/>
        <v>#NAME?</v>
      </c>
      <c r="E634" s="6" t="e">
        <f ca="1"/>
        <v>#NAME?</v>
      </c>
      <c r="F634" s="6" t="e">
        <f ca="1"/>
        <v>#NAME?</v>
      </c>
      <c r="G634" s="6" t="e">
        <f ca="1"/>
        <v>#NAME?</v>
      </c>
      <c r="H634" s="6" t="e">
        <f ca="1"/>
        <v>#NAME?</v>
      </c>
      <c r="I634" s="6"/>
      <c r="J634" s="6"/>
      <c r="K634" s="6"/>
      <c r="L634" s="6"/>
      <c r="M634" s="6"/>
      <c r="N634" s="6"/>
      <c r="O634" s="6"/>
      <c r="P634" s="6"/>
      <c r="Q634" s="6"/>
      <c r="R634" s="6"/>
      <c r="S634" s="6"/>
      <c r="T634" s="6"/>
    </row>
    <row r="635" spans="1:20">
      <c r="A635" s="6">
        <v>0</v>
      </c>
      <c r="B635" s="6">
        <v>0</v>
      </c>
      <c r="C635" s="6" t="e">
        <f ca="1"/>
        <v>#NAME?</v>
      </c>
      <c r="D635" s="6" t="e">
        <f ca="1"/>
        <v>#NAME?</v>
      </c>
      <c r="E635" s="6" t="e">
        <f ca="1"/>
        <v>#NAME?</v>
      </c>
      <c r="F635" s="6" t="e">
        <f ca="1"/>
        <v>#NAME?</v>
      </c>
      <c r="G635" s="6" t="e">
        <f ca="1"/>
        <v>#NAME?</v>
      </c>
      <c r="H635" s="6" t="e">
        <f ca="1"/>
        <v>#NAME?</v>
      </c>
      <c r="I635" s="6"/>
      <c r="J635" s="6"/>
      <c r="K635" s="6"/>
      <c r="L635" s="6"/>
      <c r="M635" s="6"/>
      <c r="N635" s="6"/>
      <c r="O635" s="6"/>
      <c r="P635" s="6"/>
      <c r="Q635" s="6"/>
      <c r="R635" s="6"/>
      <c r="S635" s="6"/>
      <c r="T635" s="6"/>
    </row>
    <row r="636" spans="1:20">
      <c r="A636" s="6">
        <v>0</v>
      </c>
      <c r="B636" s="6">
        <v>0</v>
      </c>
      <c r="C636" s="6" t="e">
        <f ca="1"/>
        <v>#NAME?</v>
      </c>
      <c r="D636" s="6" t="e">
        <f ca="1"/>
        <v>#NAME?</v>
      </c>
      <c r="E636" s="6" t="e">
        <f ca="1"/>
        <v>#NAME?</v>
      </c>
      <c r="F636" s="6" t="e">
        <f ca="1"/>
        <v>#NAME?</v>
      </c>
      <c r="G636" s="6" t="e">
        <f ca="1"/>
        <v>#NAME?</v>
      </c>
      <c r="H636" s="6" t="e">
        <f ca="1"/>
        <v>#NAME?</v>
      </c>
      <c r="I636" s="6"/>
      <c r="J636" s="6"/>
      <c r="K636" s="6"/>
      <c r="L636" s="6"/>
      <c r="M636" s="6"/>
      <c r="N636" s="6"/>
      <c r="O636" s="6"/>
      <c r="P636" s="6"/>
      <c r="Q636" s="6"/>
      <c r="R636" s="6"/>
      <c r="S636" s="6"/>
      <c r="T636" s="6"/>
    </row>
    <row r="637" spans="1:20">
      <c r="A637" s="6">
        <v>0</v>
      </c>
      <c r="B637" s="6">
        <v>0</v>
      </c>
      <c r="C637" s="6" t="e">
        <f ca="1"/>
        <v>#NAME?</v>
      </c>
      <c r="D637" s="6" t="e">
        <f ca="1"/>
        <v>#NAME?</v>
      </c>
      <c r="E637" s="6" t="e">
        <f ca="1"/>
        <v>#NAME?</v>
      </c>
      <c r="F637" s="6" t="e">
        <f ca="1"/>
        <v>#NAME?</v>
      </c>
      <c r="G637" s="6" t="e">
        <f ca="1"/>
        <v>#NAME?</v>
      </c>
      <c r="H637" s="6" t="e">
        <f ca="1"/>
        <v>#NAME?</v>
      </c>
      <c r="I637" s="6"/>
      <c r="J637" s="6"/>
      <c r="K637" s="6"/>
      <c r="L637" s="6"/>
      <c r="M637" s="6"/>
      <c r="N637" s="6"/>
      <c r="O637" s="6"/>
      <c r="P637" s="6"/>
      <c r="Q637" s="6"/>
      <c r="R637" s="6"/>
      <c r="S637" s="6"/>
      <c r="T637" s="6"/>
    </row>
    <row r="638" spans="1:20">
      <c r="A638" s="6">
        <v>0</v>
      </c>
      <c r="B638" s="6">
        <v>0</v>
      </c>
      <c r="C638" s="6" t="e">
        <f ca="1"/>
        <v>#NAME?</v>
      </c>
      <c r="D638" s="6" t="e">
        <f ca="1"/>
        <v>#NAME?</v>
      </c>
      <c r="E638" s="6" t="e">
        <f ca="1"/>
        <v>#NAME?</v>
      </c>
      <c r="F638" s="6" t="e">
        <f ca="1"/>
        <v>#NAME?</v>
      </c>
      <c r="G638" s="6" t="e">
        <f ca="1"/>
        <v>#NAME?</v>
      </c>
      <c r="H638" s="6" t="e">
        <f ca="1"/>
        <v>#NAME?</v>
      </c>
      <c r="I638" s="6"/>
      <c r="J638" s="6"/>
      <c r="K638" s="6"/>
      <c r="L638" s="6"/>
      <c r="M638" s="6"/>
      <c r="N638" s="6"/>
      <c r="O638" s="6"/>
      <c r="P638" s="6"/>
      <c r="Q638" s="6"/>
      <c r="R638" s="6"/>
      <c r="S638" s="6"/>
      <c r="T638" s="6"/>
    </row>
    <row r="639" spans="1:20">
      <c r="A639" s="6">
        <v>0</v>
      </c>
      <c r="B639" s="6">
        <v>0</v>
      </c>
      <c r="C639" s="6" t="e">
        <f ca="1"/>
        <v>#NAME?</v>
      </c>
      <c r="D639" s="6" t="e">
        <f ca="1"/>
        <v>#NAME?</v>
      </c>
      <c r="E639" s="6" t="e">
        <f ca="1"/>
        <v>#NAME?</v>
      </c>
      <c r="F639" s="6" t="e">
        <f ca="1"/>
        <v>#NAME?</v>
      </c>
      <c r="G639" s="6" t="e">
        <f ca="1"/>
        <v>#NAME?</v>
      </c>
      <c r="H639" s="6" t="e">
        <f ca="1"/>
        <v>#NAME?</v>
      </c>
      <c r="I639" s="6"/>
      <c r="J639" s="6"/>
      <c r="K639" s="6"/>
      <c r="L639" s="6"/>
      <c r="M639" s="6"/>
      <c r="N639" s="6"/>
      <c r="O639" s="6"/>
      <c r="P639" s="6"/>
      <c r="Q639" s="6"/>
      <c r="R639" s="6"/>
      <c r="S639" s="6"/>
      <c r="T639" s="6"/>
    </row>
    <row r="640" spans="1:20">
      <c r="A640" s="6">
        <v>0</v>
      </c>
      <c r="B640" s="6">
        <v>0</v>
      </c>
      <c r="C640" s="6" t="e">
        <f ca="1"/>
        <v>#NAME?</v>
      </c>
      <c r="D640" s="6" t="e">
        <f ca="1"/>
        <v>#NAME?</v>
      </c>
      <c r="E640" s="6" t="e">
        <f ca="1"/>
        <v>#NAME?</v>
      </c>
      <c r="F640" s="6" t="e">
        <f ca="1"/>
        <v>#NAME?</v>
      </c>
      <c r="G640" s="6" t="e">
        <f ca="1"/>
        <v>#NAME?</v>
      </c>
      <c r="H640" s="6" t="e">
        <f ca="1"/>
        <v>#NAME?</v>
      </c>
      <c r="I640" s="6"/>
      <c r="J640" s="6"/>
      <c r="K640" s="6"/>
      <c r="L640" s="6"/>
      <c r="M640" s="6"/>
      <c r="N640" s="6"/>
      <c r="O640" s="6"/>
      <c r="P640" s="6"/>
      <c r="Q640" s="6"/>
      <c r="R640" s="6"/>
      <c r="S640" s="6"/>
      <c r="T640" s="6"/>
    </row>
    <row r="641" spans="1:20">
      <c r="A641" s="6">
        <v>0</v>
      </c>
      <c r="B641" s="6">
        <v>0</v>
      </c>
      <c r="C641" s="6" t="e">
        <f ca="1"/>
        <v>#NAME?</v>
      </c>
      <c r="D641" s="6" t="e">
        <f ca="1"/>
        <v>#NAME?</v>
      </c>
      <c r="E641" s="6" t="e">
        <f ca="1"/>
        <v>#NAME?</v>
      </c>
      <c r="F641" s="6" t="e">
        <f ca="1"/>
        <v>#NAME?</v>
      </c>
      <c r="G641" s="6" t="e">
        <f ca="1"/>
        <v>#NAME?</v>
      </c>
      <c r="H641" s="6" t="e">
        <f ca="1"/>
        <v>#NAME?</v>
      </c>
      <c r="I641" s="6"/>
      <c r="J641" s="6"/>
      <c r="K641" s="6"/>
      <c r="L641" s="6"/>
      <c r="M641" s="6"/>
      <c r="N641" s="6"/>
      <c r="O641" s="6"/>
      <c r="P641" s="6"/>
      <c r="Q641" s="6"/>
      <c r="R641" s="6"/>
      <c r="S641" s="6"/>
      <c r="T641" s="6"/>
    </row>
    <row r="642" spans="1:20">
      <c r="A642" s="6">
        <v>0</v>
      </c>
      <c r="B642" s="6">
        <v>0</v>
      </c>
      <c r="C642" s="6" t="e">
        <f ca="1"/>
        <v>#NAME?</v>
      </c>
      <c r="D642" s="6" t="e">
        <f ca="1"/>
        <v>#NAME?</v>
      </c>
      <c r="E642" s="6" t="e">
        <f ca="1"/>
        <v>#NAME?</v>
      </c>
      <c r="F642" s="6" t="e">
        <f ca="1"/>
        <v>#NAME?</v>
      </c>
      <c r="G642" s="6" t="e">
        <f ca="1"/>
        <v>#NAME?</v>
      </c>
      <c r="H642" s="6" t="e">
        <f ca="1"/>
        <v>#NAME?</v>
      </c>
      <c r="I642" s="6"/>
      <c r="J642" s="6"/>
      <c r="K642" s="6"/>
      <c r="L642" s="6"/>
      <c r="M642" s="6"/>
      <c r="N642" s="6"/>
      <c r="O642" s="6"/>
      <c r="P642" s="6"/>
      <c r="Q642" s="6"/>
      <c r="R642" s="6"/>
      <c r="S642" s="6"/>
      <c r="T642" s="6"/>
    </row>
    <row r="643" spans="1:20">
      <c r="A643" s="6">
        <v>0</v>
      </c>
      <c r="B643" s="6">
        <v>0</v>
      </c>
      <c r="C643" s="6" t="e">
        <f ca="1"/>
        <v>#NAME?</v>
      </c>
      <c r="D643" s="6" t="e">
        <f ca="1"/>
        <v>#NAME?</v>
      </c>
      <c r="E643" s="6" t="e">
        <f ca="1"/>
        <v>#NAME?</v>
      </c>
      <c r="F643" s="6" t="e">
        <f ca="1"/>
        <v>#NAME?</v>
      </c>
      <c r="G643" s="6" t="e">
        <f ca="1"/>
        <v>#NAME?</v>
      </c>
      <c r="H643" s="6" t="e">
        <f ca="1"/>
        <v>#NAME?</v>
      </c>
      <c r="I643" s="6"/>
      <c r="J643" s="6"/>
      <c r="K643" s="6"/>
      <c r="L643" s="6"/>
      <c r="M643" s="6"/>
      <c r="N643" s="6"/>
      <c r="O643" s="6"/>
      <c r="P643" s="6"/>
      <c r="Q643" s="6"/>
      <c r="R643" s="6"/>
      <c r="S643" s="6"/>
      <c r="T643" s="6"/>
    </row>
    <row r="644" spans="1:20">
      <c r="A644" s="6">
        <v>0</v>
      </c>
      <c r="B644" s="6">
        <v>0</v>
      </c>
      <c r="C644" s="6" t="e">
        <f ca="1"/>
        <v>#NAME?</v>
      </c>
      <c r="D644" s="6" t="e">
        <f ca="1"/>
        <v>#NAME?</v>
      </c>
      <c r="E644" s="6" t="e">
        <f ca="1"/>
        <v>#NAME?</v>
      </c>
      <c r="F644" s="6" t="e">
        <f ca="1"/>
        <v>#NAME?</v>
      </c>
      <c r="G644" s="6" t="e">
        <f ca="1"/>
        <v>#NAME?</v>
      </c>
      <c r="H644" s="6" t="e">
        <f ca="1"/>
        <v>#NAME?</v>
      </c>
      <c r="I644" s="6"/>
      <c r="J644" s="6"/>
      <c r="K644" s="6"/>
      <c r="L644" s="6"/>
      <c r="M644" s="6"/>
      <c r="N644" s="6"/>
      <c r="O644" s="6"/>
      <c r="P644" s="6"/>
      <c r="Q644" s="6"/>
      <c r="R644" s="6"/>
      <c r="S644" s="6"/>
      <c r="T644" s="6"/>
    </row>
    <row r="645" spans="1:20">
      <c r="A645" s="6">
        <v>0</v>
      </c>
      <c r="B645" s="6">
        <v>0</v>
      </c>
      <c r="C645" s="6" t="e">
        <f ca="1"/>
        <v>#NAME?</v>
      </c>
      <c r="D645" s="6" t="e">
        <f ca="1"/>
        <v>#NAME?</v>
      </c>
      <c r="E645" s="6" t="e">
        <f ca="1"/>
        <v>#NAME?</v>
      </c>
      <c r="F645" s="6" t="e">
        <f ca="1"/>
        <v>#NAME?</v>
      </c>
      <c r="G645" s="6" t="e">
        <f ca="1"/>
        <v>#NAME?</v>
      </c>
      <c r="H645" s="6" t="e">
        <f ca="1"/>
        <v>#NAME?</v>
      </c>
      <c r="I645" s="6"/>
      <c r="J645" s="6"/>
      <c r="K645" s="6"/>
      <c r="L645" s="6"/>
      <c r="M645" s="6"/>
      <c r="N645" s="6"/>
      <c r="O645" s="6"/>
      <c r="P645" s="6"/>
      <c r="Q645" s="6"/>
      <c r="R645" s="6"/>
      <c r="S645" s="6"/>
      <c r="T645" s="6"/>
    </row>
    <row r="646" spans="1:20">
      <c r="A646" s="6">
        <v>0</v>
      </c>
      <c r="B646" s="6">
        <v>0</v>
      </c>
      <c r="C646" s="6" t="e">
        <f ca="1"/>
        <v>#NAME?</v>
      </c>
      <c r="D646" s="6" t="e">
        <f ca="1"/>
        <v>#NAME?</v>
      </c>
      <c r="E646" s="6" t="e">
        <f ca="1"/>
        <v>#NAME?</v>
      </c>
      <c r="F646" s="6" t="e">
        <f ca="1"/>
        <v>#NAME?</v>
      </c>
      <c r="G646" s="6" t="e">
        <f ca="1"/>
        <v>#NAME?</v>
      </c>
      <c r="H646" s="6" t="e">
        <f ca="1"/>
        <v>#NAME?</v>
      </c>
      <c r="I646" s="6"/>
      <c r="J646" s="6"/>
      <c r="K646" s="6"/>
      <c r="L646" s="6"/>
      <c r="M646" s="6"/>
      <c r="N646" s="6"/>
      <c r="O646" s="6"/>
      <c r="P646" s="6"/>
      <c r="Q646" s="6"/>
      <c r="R646" s="6"/>
      <c r="S646" s="6"/>
      <c r="T646" s="6"/>
    </row>
    <row r="647" spans="1:20">
      <c r="A647" s="6">
        <v>0</v>
      </c>
      <c r="B647" s="6">
        <v>0</v>
      </c>
      <c r="C647" s="6" t="e">
        <f ca="1"/>
        <v>#NAME?</v>
      </c>
      <c r="D647" s="6" t="e">
        <f ca="1"/>
        <v>#NAME?</v>
      </c>
      <c r="E647" s="6" t="e">
        <f ca="1"/>
        <v>#NAME?</v>
      </c>
      <c r="F647" s="6" t="e">
        <f ca="1"/>
        <v>#NAME?</v>
      </c>
      <c r="G647" s="6" t="e">
        <f ca="1"/>
        <v>#NAME?</v>
      </c>
      <c r="H647" s="6" t="e">
        <f ca="1"/>
        <v>#NAME?</v>
      </c>
      <c r="I647" s="6"/>
      <c r="J647" s="6"/>
      <c r="K647" s="6"/>
      <c r="L647" s="6"/>
      <c r="M647" s="6"/>
      <c r="N647" s="6"/>
      <c r="O647" s="6"/>
      <c r="P647" s="6"/>
      <c r="Q647" s="6"/>
      <c r="R647" s="6"/>
      <c r="S647" s="6"/>
      <c r="T647" s="6"/>
    </row>
    <row r="648" spans="1:20">
      <c r="A648" s="6">
        <v>0</v>
      </c>
      <c r="B648" s="6">
        <v>0</v>
      </c>
      <c r="C648" s="6" t="e">
        <f ca="1"/>
        <v>#NAME?</v>
      </c>
      <c r="D648" s="6" t="e">
        <f ca="1"/>
        <v>#NAME?</v>
      </c>
      <c r="E648" s="6" t="e">
        <f ca="1"/>
        <v>#NAME?</v>
      </c>
      <c r="F648" s="6" t="e">
        <f ca="1"/>
        <v>#NAME?</v>
      </c>
      <c r="G648" s="6" t="e">
        <f ca="1"/>
        <v>#NAME?</v>
      </c>
      <c r="H648" s="6" t="e">
        <f ca="1"/>
        <v>#NAME?</v>
      </c>
      <c r="I648" s="6"/>
      <c r="J648" s="6"/>
      <c r="K648" s="6"/>
      <c r="L648" s="6"/>
      <c r="M648" s="6"/>
      <c r="N648" s="6"/>
      <c r="O648" s="6"/>
      <c r="P648" s="6"/>
      <c r="Q648" s="6"/>
      <c r="R648" s="6"/>
      <c r="S648" s="6"/>
      <c r="T648" s="6"/>
    </row>
    <row r="649" spans="1:20">
      <c r="A649" s="6">
        <v>0</v>
      </c>
      <c r="B649" s="6">
        <v>0</v>
      </c>
      <c r="C649" s="6" t="e">
        <f ca="1"/>
        <v>#NAME?</v>
      </c>
      <c r="D649" s="6" t="e">
        <f ca="1"/>
        <v>#NAME?</v>
      </c>
      <c r="E649" s="6" t="e">
        <f ca="1"/>
        <v>#NAME?</v>
      </c>
      <c r="F649" s="6" t="e">
        <f ca="1"/>
        <v>#NAME?</v>
      </c>
      <c r="G649" s="6" t="e">
        <f ca="1"/>
        <v>#NAME?</v>
      </c>
      <c r="H649" s="6" t="e">
        <f ca="1"/>
        <v>#NAME?</v>
      </c>
      <c r="I649" s="6"/>
      <c r="J649" s="6"/>
      <c r="K649" s="6"/>
      <c r="L649" s="6"/>
      <c r="M649" s="6"/>
      <c r="N649" s="6"/>
      <c r="O649" s="6"/>
      <c r="P649" s="6"/>
      <c r="Q649" s="6"/>
      <c r="R649" s="6"/>
      <c r="S649" s="6"/>
      <c r="T649" s="6"/>
    </row>
    <row r="650" spans="1:20">
      <c r="A650" s="6">
        <v>0</v>
      </c>
      <c r="B650" s="6">
        <v>0</v>
      </c>
      <c r="C650" s="6" t="e">
        <f ca="1"/>
        <v>#NAME?</v>
      </c>
      <c r="D650" s="6" t="e">
        <f ca="1"/>
        <v>#NAME?</v>
      </c>
      <c r="E650" s="6" t="e">
        <f ca="1"/>
        <v>#NAME?</v>
      </c>
      <c r="F650" s="6" t="e">
        <f ca="1"/>
        <v>#NAME?</v>
      </c>
      <c r="G650" s="6" t="e">
        <f ca="1"/>
        <v>#NAME?</v>
      </c>
      <c r="H650" s="6" t="e">
        <f ca="1"/>
        <v>#NAME?</v>
      </c>
      <c r="I650" s="6"/>
      <c r="J650" s="6"/>
      <c r="K650" s="6"/>
      <c r="L650" s="6"/>
      <c r="M650" s="6"/>
      <c r="N650" s="6"/>
      <c r="O650" s="6"/>
      <c r="P650" s="6"/>
      <c r="Q650" s="6"/>
      <c r="R650" s="6"/>
      <c r="S650" s="6"/>
      <c r="T650" s="6"/>
    </row>
    <row r="651" spans="1:20">
      <c r="A651" s="6">
        <v>0</v>
      </c>
      <c r="B651" s="6">
        <v>0</v>
      </c>
      <c r="C651" s="6" t="e">
        <f ca="1"/>
        <v>#NAME?</v>
      </c>
      <c r="D651" s="6" t="e">
        <f ca="1"/>
        <v>#NAME?</v>
      </c>
      <c r="E651" s="6" t="e">
        <f ca="1"/>
        <v>#NAME?</v>
      </c>
      <c r="F651" s="6" t="e">
        <f ca="1"/>
        <v>#NAME?</v>
      </c>
      <c r="G651" s="6" t="e">
        <f ca="1"/>
        <v>#NAME?</v>
      </c>
      <c r="H651" s="6" t="e">
        <f ca="1"/>
        <v>#NAME?</v>
      </c>
      <c r="I651" s="6"/>
      <c r="J651" s="6"/>
      <c r="K651" s="6"/>
      <c r="L651" s="6"/>
      <c r="M651" s="6"/>
      <c r="N651" s="6"/>
      <c r="O651" s="6"/>
      <c r="P651" s="6"/>
      <c r="Q651" s="6"/>
      <c r="R651" s="6"/>
      <c r="S651" s="6"/>
      <c r="T651" s="6"/>
    </row>
    <row r="652" spans="1:20">
      <c r="A652" s="6">
        <v>0</v>
      </c>
      <c r="B652" s="6">
        <v>0</v>
      </c>
      <c r="C652" s="6" t="e">
        <f ca="1"/>
        <v>#NAME?</v>
      </c>
      <c r="D652" s="6" t="e">
        <f ca="1"/>
        <v>#NAME?</v>
      </c>
      <c r="E652" s="6" t="e">
        <f ca="1"/>
        <v>#NAME?</v>
      </c>
      <c r="F652" s="6" t="e">
        <f ca="1"/>
        <v>#NAME?</v>
      </c>
      <c r="G652" s="6" t="e">
        <f ca="1"/>
        <v>#NAME?</v>
      </c>
      <c r="H652" s="6" t="e">
        <f ca="1"/>
        <v>#NAME?</v>
      </c>
      <c r="I652" s="6"/>
      <c r="J652" s="6"/>
      <c r="K652" s="6"/>
      <c r="L652" s="6"/>
      <c r="M652" s="6"/>
      <c r="N652" s="6"/>
      <c r="O652" s="6"/>
      <c r="P652" s="6"/>
      <c r="Q652" s="6"/>
      <c r="R652" s="6"/>
      <c r="S652" s="6"/>
      <c r="T652" s="6"/>
    </row>
    <row r="653" spans="1:20">
      <c r="A653" s="6">
        <v>0</v>
      </c>
      <c r="B653" s="6">
        <v>0</v>
      </c>
      <c r="C653" s="6" t="e">
        <f ca="1"/>
        <v>#NAME?</v>
      </c>
      <c r="D653" s="6" t="e">
        <f ca="1"/>
        <v>#NAME?</v>
      </c>
      <c r="E653" s="6" t="e">
        <f ca="1"/>
        <v>#NAME?</v>
      </c>
      <c r="F653" s="6" t="e">
        <f ca="1"/>
        <v>#NAME?</v>
      </c>
      <c r="G653" s="6" t="e">
        <f ca="1"/>
        <v>#NAME?</v>
      </c>
      <c r="H653" s="6" t="e">
        <f ca="1"/>
        <v>#NAME?</v>
      </c>
      <c r="I653" s="6"/>
      <c r="J653" s="6"/>
      <c r="K653" s="6"/>
      <c r="L653" s="6"/>
      <c r="M653" s="6"/>
      <c r="N653" s="6"/>
      <c r="O653" s="6"/>
      <c r="P653" s="6"/>
      <c r="Q653" s="6"/>
      <c r="R653" s="6"/>
      <c r="S653" s="6"/>
      <c r="T653" s="6"/>
    </row>
    <row r="654" spans="1:20">
      <c r="A654" s="6">
        <v>0</v>
      </c>
      <c r="B654" s="6">
        <v>0</v>
      </c>
      <c r="C654" s="6" t="e">
        <f ca="1"/>
        <v>#NAME?</v>
      </c>
      <c r="D654" s="6" t="e">
        <f ca="1"/>
        <v>#NAME?</v>
      </c>
      <c r="E654" s="6" t="e">
        <f ca="1"/>
        <v>#NAME?</v>
      </c>
      <c r="F654" s="6" t="e">
        <f ca="1"/>
        <v>#NAME?</v>
      </c>
      <c r="G654" s="6" t="e">
        <f ca="1"/>
        <v>#NAME?</v>
      </c>
      <c r="H654" s="6" t="e">
        <f ca="1"/>
        <v>#NAME?</v>
      </c>
      <c r="I654" s="6"/>
      <c r="J654" s="6"/>
      <c r="K654" s="6"/>
      <c r="L654" s="6"/>
      <c r="M654" s="6"/>
      <c r="N654" s="6"/>
      <c r="O654" s="6"/>
      <c r="P654" s="6"/>
      <c r="Q654" s="6"/>
      <c r="R654" s="6"/>
      <c r="S654" s="6"/>
      <c r="T654" s="6"/>
    </row>
    <row r="655" spans="1:20">
      <c r="A655" s="6">
        <v>0</v>
      </c>
      <c r="B655" s="6">
        <v>0</v>
      </c>
      <c r="C655" s="6" t="e">
        <f ca="1"/>
        <v>#NAME?</v>
      </c>
      <c r="D655" s="6" t="e">
        <f ca="1"/>
        <v>#NAME?</v>
      </c>
      <c r="E655" s="6" t="e">
        <f ca="1"/>
        <v>#NAME?</v>
      </c>
      <c r="F655" s="6" t="e">
        <f ca="1"/>
        <v>#NAME?</v>
      </c>
      <c r="G655" s="6" t="e">
        <f ca="1"/>
        <v>#NAME?</v>
      </c>
      <c r="H655" s="6" t="e">
        <f ca="1"/>
        <v>#NAME?</v>
      </c>
      <c r="I655" s="6"/>
      <c r="J655" s="6"/>
      <c r="K655" s="6"/>
      <c r="L655" s="6"/>
      <c r="M655" s="6"/>
      <c r="N655" s="6"/>
      <c r="O655" s="6"/>
      <c r="P655" s="6"/>
      <c r="Q655" s="6"/>
      <c r="R655" s="6"/>
      <c r="S655" s="6"/>
      <c r="T655" s="6"/>
    </row>
    <row r="656" spans="1:20">
      <c r="A656" s="6">
        <v>0</v>
      </c>
      <c r="B656" s="6">
        <v>0</v>
      </c>
      <c r="C656" s="6" t="e">
        <f ca="1"/>
        <v>#NAME?</v>
      </c>
      <c r="D656" s="6" t="e">
        <f ca="1"/>
        <v>#NAME?</v>
      </c>
      <c r="E656" s="6" t="e">
        <f ca="1"/>
        <v>#NAME?</v>
      </c>
      <c r="F656" s="6" t="e">
        <f ca="1"/>
        <v>#NAME?</v>
      </c>
      <c r="G656" s="6" t="e">
        <f ca="1"/>
        <v>#NAME?</v>
      </c>
      <c r="H656" s="6" t="e">
        <f ca="1"/>
        <v>#NAME?</v>
      </c>
      <c r="I656" s="6"/>
      <c r="J656" s="6"/>
      <c r="K656" s="6"/>
      <c r="L656" s="6"/>
      <c r="M656" s="6"/>
      <c r="N656" s="6"/>
      <c r="O656" s="6"/>
      <c r="P656" s="6"/>
      <c r="Q656" s="6"/>
      <c r="R656" s="6"/>
      <c r="S656" s="6"/>
      <c r="T656" s="6"/>
    </row>
    <row r="657" spans="1:20">
      <c r="A657" s="6">
        <v>0</v>
      </c>
      <c r="B657" s="6">
        <v>0</v>
      </c>
      <c r="C657" s="6" t="e">
        <f ca="1"/>
        <v>#NAME?</v>
      </c>
      <c r="D657" s="6" t="e">
        <f ca="1"/>
        <v>#NAME?</v>
      </c>
      <c r="E657" s="6" t="e">
        <f ca="1"/>
        <v>#NAME?</v>
      </c>
      <c r="F657" s="6" t="e">
        <f ca="1"/>
        <v>#NAME?</v>
      </c>
      <c r="G657" s="6" t="e">
        <f ca="1"/>
        <v>#NAME?</v>
      </c>
      <c r="H657" s="6" t="e">
        <f ca="1"/>
        <v>#NAME?</v>
      </c>
      <c r="I657" s="6"/>
      <c r="J657" s="6"/>
      <c r="K657" s="6"/>
      <c r="L657" s="6"/>
      <c r="M657" s="6"/>
      <c r="N657" s="6"/>
      <c r="O657" s="6"/>
      <c r="P657" s="6"/>
      <c r="Q657" s="6"/>
      <c r="R657" s="6"/>
      <c r="S657" s="6"/>
      <c r="T657" s="6"/>
    </row>
    <row r="658" spans="1:20">
      <c r="A658" s="6">
        <v>0</v>
      </c>
      <c r="B658" s="6">
        <v>0</v>
      </c>
      <c r="C658" s="6" t="e">
        <f ca="1"/>
        <v>#NAME?</v>
      </c>
      <c r="D658" s="6" t="e">
        <f ca="1"/>
        <v>#NAME?</v>
      </c>
      <c r="E658" s="6" t="e">
        <f ca="1"/>
        <v>#NAME?</v>
      </c>
      <c r="F658" s="6" t="e">
        <f ca="1"/>
        <v>#NAME?</v>
      </c>
      <c r="G658" s="6" t="e">
        <f ca="1"/>
        <v>#NAME?</v>
      </c>
      <c r="H658" s="6" t="e">
        <f ca="1"/>
        <v>#NAME?</v>
      </c>
      <c r="I658" s="6"/>
      <c r="J658" s="6"/>
      <c r="K658" s="6"/>
      <c r="L658" s="6"/>
      <c r="M658" s="6"/>
      <c r="N658" s="6"/>
      <c r="O658" s="6"/>
      <c r="P658" s="6"/>
      <c r="Q658" s="6"/>
      <c r="R658" s="6"/>
      <c r="S658" s="6"/>
      <c r="T658" s="6"/>
    </row>
    <row r="659" spans="1:20">
      <c r="A659" s="6">
        <v>0</v>
      </c>
      <c r="B659" s="6">
        <v>0</v>
      </c>
      <c r="C659" s="6" t="e">
        <f ca="1"/>
        <v>#NAME?</v>
      </c>
      <c r="D659" s="6" t="e">
        <f ca="1"/>
        <v>#NAME?</v>
      </c>
      <c r="E659" s="6" t="e">
        <f ca="1"/>
        <v>#NAME?</v>
      </c>
      <c r="F659" s="6" t="e">
        <f ca="1"/>
        <v>#NAME?</v>
      </c>
      <c r="G659" s="6" t="e">
        <f ca="1"/>
        <v>#NAME?</v>
      </c>
      <c r="H659" s="6" t="e">
        <f ca="1"/>
        <v>#NAME?</v>
      </c>
      <c r="I659" s="6"/>
      <c r="J659" s="6"/>
      <c r="K659" s="6"/>
      <c r="L659" s="6"/>
      <c r="M659" s="6"/>
      <c r="N659" s="6"/>
      <c r="O659" s="6"/>
      <c r="P659" s="6"/>
      <c r="Q659" s="6"/>
      <c r="R659" s="6"/>
      <c r="S659" s="6"/>
      <c r="T659" s="6"/>
    </row>
    <row r="660" spans="1:20">
      <c r="A660" s="6">
        <v>0</v>
      </c>
      <c r="B660" s="6">
        <v>0</v>
      </c>
      <c r="C660" s="6" t="e">
        <f ca="1"/>
        <v>#NAME?</v>
      </c>
      <c r="D660" s="6" t="e">
        <f ca="1"/>
        <v>#NAME?</v>
      </c>
      <c r="E660" s="6" t="e">
        <f ca="1"/>
        <v>#NAME?</v>
      </c>
      <c r="F660" s="6" t="e">
        <f ca="1"/>
        <v>#NAME?</v>
      </c>
      <c r="G660" s="6" t="e">
        <f ca="1"/>
        <v>#NAME?</v>
      </c>
      <c r="H660" s="6" t="e">
        <f ca="1"/>
        <v>#NAME?</v>
      </c>
      <c r="I660" s="6"/>
      <c r="J660" s="6"/>
      <c r="K660" s="6"/>
      <c r="L660" s="6"/>
      <c r="M660" s="6"/>
      <c r="N660" s="6"/>
      <c r="O660" s="6"/>
      <c r="P660" s="6"/>
      <c r="Q660" s="6"/>
      <c r="R660" s="6"/>
      <c r="S660" s="6"/>
      <c r="T660" s="6"/>
    </row>
    <row r="661" spans="1:20">
      <c r="A661" s="6">
        <v>0</v>
      </c>
      <c r="B661" s="6">
        <v>0</v>
      </c>
      <c r="C661" s="6" t="e">
        <f ca="1"/>
        <v>#NAME?</v>
      </c>
      <c r="D661" s="6" t="e">
        <f ca="1"/>
        <v>#NAME?</v>
      </c>
      <c r="E661" s="6" t="e">
        <f ca="1"/>
        <v>#NAME?</v>
      </c>
      <c r="F661" s="6" t="e">
        <f ca="1"/>
        <v>#NAME?</v>
      </c>
      <c r="G661" s="6" t="e">
        <f ca="1"/>
        <v>#NAME?</v>
      </c>
      <c r="H661" s="6" t="e">
        <f ca="1"/>
        <v>#NAME?</v>
      </c>
      <c r="I661" s="6"/>
      <c r="J661" s="6"/>
      <c r="K661" s="6"/>
      <c r="L661" s="6"/>
      <c r="M661" s="6"/>
      <c r="N661" s="6"/>
      <c r="O661" s="6"/>
      <c r="P661" s="6"/>
      <c r="Q661" s="6"/>
      <c r="R661" s="6"/>
      <c r="S661" s="6"/>
      <c r="T661" s="6"/>
    </row>
    <row r="662" spans="1:20">
      <c r="A662" s="6">
        <v>0</v>
      </c>
      <c r="B662" s="6">
        <v>0</v>
      </c>
      <c r="C662" s="6" t="e">
        <f ca="1"/>
        <v>#NAME?</v>
      </c>
      <c r="D662" s="6" t="e">
        <f ca="1"/>
        <v>#NAME?</v>
      </c>
      <c r="E662" s="6" t="e">
        <f ca="1"/>
        <v>#NAME?</v>
      </c>
      <c r="F662" s="6" t="e">
        <f ca="1"/>
        <v>#NAME?</v>
      </c>
      <c r="G662" s="6" t="e">
        <f ca="1"/>
        <v>#NAME?</v>
      </c>
      <c r="H662" s="6" t="e">
        <f ca="1"/>
        <v>#NAME?</v>
      </c>
      <c r="I662" s="6"/>
      <c r="J662" s="6"/>
      <c r="K662" s="6"/>
      <c r="L662" s="6"/>
      <c r="M662" s="6"/>
      <c r="N662" s="6"/>
      <c r="O662" s="6"/>
      <c r="P662" s="6"/>
      <c r="Q662" s="6"/>
      <c r="R662" s="6"/>
      <c r="S662" s="6"/>
      <c r="T662" s="6"/>
    </row>
    <row r="663" spans="1:20">
      <c r="A663" s="6">
        <v>0</v>
      </c>
      <c r="B663" s="6">
        <v>0</v>
      </c>
      <c r="C663" s="6" t="e">
        <f ca="1"/>
        <v>#NAME?</v>
      </c>
      <c r="D663" s="6" t="e">
        <f ca="1"/>
        <v>#NAME?</v>
      </c>
      <c r="E663" s="6" t="e">
        <f ca="1"/>
        <v>#NAME?</v>
      </c>
      <c r="F663" s="6" t="e">
        <f ca="1"/>
        <v>#NAME?</v>
      </c>
      <c r="G663" s="6" t="e">
        <f ca="1"/>
        <v>#NAME?</v>
      </c>
      <c r="H663" s="6" t="e">
        <f ca="1"/>
        <v>#NAME?</v>
      </c>
      <c r="I663" s="6"/>
      <c r="J663" s="6"/>
      <c r="K663" s="6"/>
      <c r="L663" s="6"/>
      <c r="M663" s="6"/>
      <c r="N663" s="6"/>
      <c r="O663" s="6"/>
      <c r="P663" s="6"/>
      <c r="Q663" s="6"/>
      <c r="R663" s="6"/>
      <c r="S663" s="6"/>
      <c r="T663" s="6"/>
    </row>
    <row r="664" spans="1:20">
      <c r="A664" s="6">
        <v>0</v>
      </c>
      <c r="B664" s="6">
        <v>0</v>
      </c>
      <c r="C664" s="6" t="e">
        <f ca="1"/>
        <v>#NAME?</v>
      </c>
      <c r="D664" s="6" t="e">
        <f ca="1"/>
        <v>#NAME?</v>
      </c>
      <c r="E664" s="6" t="e">
        <f ca="1"/>
        <v>#NAME?</v>
      </c>
      <c r="F664" s="6" t="e">
        <f ca="1"/>
        <v>#NAME?</v>
      </c>
      <c r="G664" s="6" t="e">
        <f ca="1"/>
        <v>#NAME?</v>
      </c>
      <c r="H664" s="6" t="e">
        <f ca="1"/>
        <v>#NAME?</v>
      </c>
      <c r="I664" s="6"/>
      <c r="J664" s="6"/>
      <c r="K664" s="6"/>
      <c r="L664" s="6"/>
      <c r="M664" s="6"/>
      <c r="N664" s="6"/>
      <c r="O664" s="6"/>
      <c r="P664" s="6"/>
      <c r="Q664" s="6"/>
      <c r="R664" s="6"/>
      <c r="S664" s="6"/>
      <c r="T664" s="6"/>
    </row>
    <row r="665" spans="1:20">
      <c r="A665" s="6">
        <v>0</v>
      </c>
      <c r="B665" s="6">
        <v>0</v>
      </c>
      <c r="C665" s="6" t="e">
        <f ca="1"/>
        <v>#NAME?</v>
      </c>
      <c r="D665" s="6" t="e">
        <f ca="1"/>
        <v>#NAME?</v>
      </c>
      <c r="E665" s="6" t="e">
        <f ca="1"/>
        <v>#NAME?</v>
      </c>
      <c r="F665" s="6" t="e">
        <f ca="1"/>
        <v>#NAME?</v>
      </c>
      <c r="G665" s="6" t="e">
        <f ca="1"/>
        <v>#NAME?</v>
      </c>
      <c r="H665" s="6" t="e">
        <f ca="1"/>
        <v>#NAME?</v>
      </c>
      <c r="I665" s="6"/>
      <c r="J665" s="6"/>
      <c r="K665" s="6"/>
      <c r="L665" s="6"/>
      <c r="M665" s="6"/>
      <c r="N665" s="6"/>
      <c r="O665" s="6"/>
      <c r="P665" s="6"/>
      <c r="Q665" s="6"/>
      <c r="R665" s="6"/>
      <c r="S665" s="6"/>
      <c r="T665" s="6"/>
    </row>
    <row r="666" spans="1:20">
      <c r="A666" s="6">
        <v>0</v>
      </c>
      <c r="B666" s="6">
        <v>0</v>
      </c>
      <c r="C666" s="6" t="e">
        <f ca="1"/>
        <v>#NAME?</v>
      </c>
      <c r="D666" s="6" t="e">
        <f ca="1"/>
        <v>#NAME?</v>
      </c>
      <c r="E666" s="6" t="e">
        <f ca="1"/>
        <v>#NAME?</v>
      </c>
      <c r="F666" s="6" t="e">
        <f ca="1"/>
        <v>#NAME?</v>
      </c>
      <c r="G666" s="6" t="e">
        <f ca="1"/>
        <v>#NAME?</v>
      </c>
      <c r="H666" s="6" t="e">
        <f ca="1"/>
        <v>#NAME?</v>
      </c>
      <c r="I666" s="6"/>
      <c r="J666" s="6"/>
      <c r="K666" s="6"/>
      <c r="L666" s="6"/>
      <c r="M666" s="6"/>
      <c r="N666" s="6"/>
      <c r="O666" s="6"/>
      <c r="P666" s="6"/>
      <c r="Q666" s="6"/>
      <c r="R666" s="6"/>
      <c r="S666" s="6"/>
      <c r="T666" s="6"/>
    </row>
    <row r="667" spans="1:20">
      <c r="A667" s="6">
        <v>0</v>
      </c>
      <c r="B667" s="6">
        <v>0</v>
      </c>
      <c r="C667" s="6" t="e">
        <f ca="1"/>
        <v>#NAME?</v>
      </c>
      <c r="D667" s="6" t="e">
        <f ca="1"/>
        <v>#NAME?</v>
      </c>
      <c r="E667" s="6" t="e">
        <f ca="1"/>
        <v>#NAME?</v>
      </c>
      <c r="F667" s="6" t="e">
        <f ca="1"/>
        <v>#NAME?</v>
      </c>
      <c r="G667" s="6" t="e">
        <f ca="1"/>
        <v>#NAME?</v>
      </c>
      <c r="H667" s="6" t="e">
        <f ca="1"/>
        <v>#NAME?</v>
      </c>
      <c r="I667" s="6"/>
      <c r="J667" s="6"/>
      <c r="K667" s="6"/>
      <c r="L667" s="6"/>
      <c r="M667" s="6"/>
      <c r="N667" s="6"/>
      <c r="O667" s="6"/>
      <c r="P667" s="6"/>
      <c r="Q667" s="6"/>
      <c r="R667" s="6"/>
      <c r="S667" s="6"/>
      <c r="T667" s="6"/>
    </row>
    <row r="668" spans="1:20">
      <c r="A668" s="6">
        <v>0</v>
      </c>
      <c r="B668" s="6">
        <v>0</v>
      </c>
      <c r="C668" s="6" t="e">
        <f ca="1"/>
        <v>#NAME?</v>
      </c>
      <c r="D668" s="6" t="e">
        <f ca="1"/>
        <v>#NAME?</v>
      </c>
      <c r="E668" s="6" t="e">
        <f ca="1"/>
        <v>#NAME?</v>
      </c>
      <c r="F668" s="6" t="e">
        <f ca="1"/>
        <v>#NAME?</v>
      </c>
      <c r="G668" s="6" t="e">
        <f ca="1"/>
        <v>#NAME?</v>
      </c>
      <c r="H668" s="6" t="e">
        <f ca="1"/>
        <v>#NAME?</v>
      </c>
      <c r="I668" s="6"/>
      <c r="J668" s="6"/>
      <c r="K668" s="6"/>
      <c r="L668" s="6"/>
      <c r="M668" s="6"/>
      <c r="N668" s="6"/>
      <c r="O668" s="6"/>
      <c r="P668" s="6"/>
      <c r="Q668" s="6"/>
      <c r="R668" s="6"/>
      <c r="S668" s="6"/>
      <c r="T668" s="6"/>
    </row>
    <row r="669" spans="1:20">
      <c r="A669" s="6">
        <v>0</v>
      </c>
      <c r="B669" s="6">
        <v>0</v>
      </c>
      <c r="C669" s="6" t="e">
        <f ca="1"/>
        <v>#NAME?</v>
      </c>
      <c r="D669" s="6" t="e">
        <f ca="1"/>
        <v>#NAME?</v>
      </c>
      <c r="E669" s="6" t="e">
        <f ca="1"/>
        <v>#NAME?</v>
      </c>
      <c r="F669" s="6" t="e">
        <f ca="1"/>
        <v>#NAME?</v>
      </c>
      <c r="G669" s="6" t="e">
        <f ca="1"/>
        <v>#NAME?</v>
      </c>
      <c r="H669" s="6" t="e">
        <f ca="1"/>
        <v>#NAME?</v>
      </c>
      <c r="I669" s="6"/>
      <c r="J669" s="6"/>
      <c r="K669" s="6"/>
      <c r="L669" s="6"/>
      <c r="M669" s="6"/>
      <c r="N669" s="6"/>
      <c r="O669" s="6"/>
      <c r="P669" s="6"/>
      <c r="Q669" s="6"/>
      <c r="R669" s="6"/>
      <c r="S669" s="6"/>
      <c r="T669" s="6"/>
    </row>
    <row r="670" spans="1:20">
      <c r="A670" s="6">
        <v>0</v>
      </c>
      <c r="B670" s="6">
        <v>0</v>
      </c>
      <c r="C670" s="6" t="e">
        <f ca="1"/>
        <v>#NAME?</v>
      </c>
      <c r="D670" s="6" t="e">
        <f ca="1"/>
        <v>#NAME?</v>
      </c>
      <c r="E670" s="6" t="e">
        <f ca="1"/>
        <v>#NAME?</v>
      </c>
      <c r="F670" s="6" t="e">
        <f ca="1"/>
        <v>#NAME?</v>
      </c>
      <c r="G670" s="6" t="e">
        <f ca="1"/>
        <v>#NAME?</v>
      </c>
      <c r="H670" s="6" t="e">
        <f ca="1"/>
        <v>#NAME?</v>
      </c>
      <c r="I670" s="6"/>
      <c r="J670" s="6"/>
      <c r="K670" s="6"/>
      <c r="L670" s="6"/>
      <c r="M670" s="6"/>
      <c r="N670" s="6"/>
      <c r="O670" s="6"/>
      <c r="P670" s="6"/>
      <c r="Q670" s="6"/>
      <c r="R670" s="6"/>
      <c r="S670" s="6"/>
      <c r="T670" s="6"/>
    </row>
    <row r="671" spans="1:20">
      <c r="A671" s="6">
        <v>0</v>
      </c>
      <c r="B671" s="6">
        <v>0</v>
      </c>
      <c r="C671" s="6" t="e">
        <f ca="1"/>
        <v>#NAME?</v>
      </c>
      <c r="D671" s="6" t="e">
        <f ca="1"/>
        <v>#NAME?</v>
      </c>
      <c r="E671" s="6" t="e">
        <f ca="1"/>
        <v>#NAME?</v>
      </c>
      <c r="F671" s="6" t="e">
        <f ca="1"/>
        <v>#NAME?</v>
      </c>
      <c r="G671" s="6" t="e">
        <f ca="1"/>
        <v>#NAME?</v>
      </c>
      <c r="H671" s="6" t="e">
        <f ca="1"/>
        <v>#NAME?</v>
      </c>
      <c r="I671" s="6"/>
      <c r="J671" s="6"/>
      <c r="K671" s="6"/>
      <c r="L671" s="6"/>
      <c r="M671" s="6"/>
      <c r="N671" s="6"/>
      <c r="O671" s="6"/>
      <c r="P671" s="6"/>
      <c r="Q671" s="6"/>
      <c r="R671" s="6"/>
      <c r="S671" s="6"/>
      <c r="T671" s="6"/>
    </row>
    <row r="672" spans="1:20">
      <c r="A672" s="6">
        <v>0</v>
      </c>
      <c r="B672" s="6">
        <v>0</v>
      </c>
      <c r="C672" s="6" t="e">
        <f ca="1"/>
        <v>#NAME?</v>
      </c>
      <c r="D672" s="6" t="e">
        <f ca="1"/>
        <v>#NAME?</v>
      </c>
      <c r="E672" s="6" t="e">
        <f ca="1"/>
        <v>#NAME?</v>
      </c>
      <c r="F672" s="6" t="e">
        <f ca="1"/>
        <v>#NAME?</v>
      </c>
      <c r="G672" s="6" t="e">
        <f ca="1"/>
        <v>#NAME?</v>
      </c>
      <c r="H672" s="6" t="e">
        <f ca="1"/>
        <v>#NAME?</v>
      </c>
      <c r="I672" s="6"/>
      <c r="J672" s="6"/>
      <c r="K672" s="6"/>
      <c r="L672" s="6"/>
      <c r="M672" s="6"/>
      <c r="N672" s="6"/>
      <c r="O672" s="6"/>
      <c r="P672" s="6"/>
      <c r="Q672" s="6"/>
      <c r="R672" s="6"/>
      <c r="S672" s="6"/>
      <c r="T672" s="6"/>
    </row>
    <row r="673" spans="1:20">
      <c r="A673" s="6">
        <v>0</v>
      </c>
      <c r="B673" s="6">
        <v>0</v>
      </c>
      <c r="C673" s="6" t="e">
        <f ca="1"/>
        <v>#NAME?</v>
      </c>
      <c r="D673" s="6" t="e">
        <f ca="1"/>
        <v>#NAME?</v>
      </c>
      <c r="E673" s="6" t="e">
        <f ca="1"/>
        <v>#NAME?</v>
      </c>
      <c r="F673" s="6" t="e">
        <f ca="1"/>
        <v>#NAME?</v>
      </c>
      <c r="G673" s="6" t="e">
        <f ca="1"/>
        <v>#NAME?</v>
      </c>
      <c r="H673" s="6" t="e">
        <f ca="1"/>
        <v>#NAME?</v>
      </c>
      <c r="I673" s="6"/>
      <c r="J673" s="6"/>
      <c r="K673" s="6"/>
      <c r="L673" s="6"/>
      <c r="M673" s="6"/>
      <c r="N673" s="6"/>
      <c r="O673" s="6"/>
      <c r="P673" s="6"/>
      <c r="Q673" s="6"/>
      <c r="R673" s="6"/>
      <c r="S673" s="6"/>
      <c r="T673" s="6"/>
    </row>
    <row r="674" spans="1:20">
      <c r="A674" s="6">
        <v>0</v>
      </c>
      <c r="B674" s="6">
        <v>0</v>
      </c>
      <c r="C674" s="6" t="e">
        <f ca="1"/>
        <v>#NAME?</v>
      </c>
      <c r="D674" s="6" t="e">
        <f ca="1"/>
        <v>#NAME?</v>
      </c>
      <c r="E674" s="6" t="e">
        <f ca="1"/>
        <v>#NAME?</v>
      </c>
      <c r="F674" s="6" t="e">
        <f ca="1"/>
        <v>#NAME?</v>
      </c>
      <c r="G674" s="6" t="e">
        <f ca="1"/>
        <v>#NAME?</v>
      </c>
      <c r="H674" s="6" t="e">
        <f ca="1"/>
        <v>#NAME?</v>
      </c>
      <c r="I674" s="6"/>
      <c r="J674" s="6"/>
      <c r="K674" s="6"/>
      <c r="L674" s="6"/>
      <c r="M674" s="6"/>
      <c r="N674" s="6"/>
      <c r="O674" s="6"/>
      <c r="P674" s="6"/>
      <c r="Q674" s="6"/>
      <c r="R674" s="6"/>
      <c r="S674" s="6"/>
      <c r="T674" s="6"/>
    </row>
    <row r="675" spans="1:20">
      <c r="A675" s="6">
        <v>0</v>
      </c>
      <c r="B675" s="6">
        <v>0</v>
      </c>
      <c r="C675" s="6" t="e">
        <f ca="1"/>
        <v>#NAME?</v>
      </c>
      <c r="D675" s="6" t="e">
        <f ca="1"/>
        <v>#NAME?</v>
      </c>
      <c r="E675" s="6" t="e">
        <f ca="1"/>
        <v>#NAME?</v>
      </c>
      <c r="F675" s="6" t="e">
        <f ca="1"/>
        <v>#NAME?</v>
      </c>
      <c r="G675" s="6" t="e">
        <f ca="1"/>
        <v>#NAME?</v>
      </c>
      <c r="H675" s="6" t="e">
        <f ca="1"/>
        <v>#NAME?</v>
      </c>
      <c r="I675" s="6"/>
      <c r="J675" s="6"/>
      <c r="K675" s="6"/>
      <c r="L675" s="6"/>
      <c r="M675" s="6"/>
      <c r="N675" s="6"/>
      <c r="O675" s="6"/>
      <c r="P675" s="6"/>
      <c r="Q675" s="6"/>
      <c r="R675" s="6"/>
      <c r="S675" s="6"/>
      <c r="T675" s="6"/>
    </row>
    <row r="676" spans="1:20">
      <c r="A676" s="6">
        <v>0</v>
      </c>
      <c r="B676" s="6">
        <v>0</v>
      </c>
      <c r="C676" s="6" t="e">
        <f ca="1"/>
        <v>#NAME?</v>
      </c>
      <c r="D676" s="6" t="e">
        <f ca="1"/>
        <v>#NAME?</v>
      </c>
      <c r="E676" s="6" t="e">
        <f ca="1"/>
        <v>#NAME?</v>
      </c>
      <c r="F676" s="6" t="e">
        <f ca="1"/>
        <v>#NAME?</v>
      </c>
      <c r="G676" s="6" t="e">
        <f ca="1"/>
        <v>#NAME?</v>
      </c>
      <c r="H676" s="6" t="e">
        <f ca="1"/>
        <v>#NAME?</v>
      </c>
      <c r="I676" s="6"/>
      <c r="J676" s="6"/>
      <c r="K676" s="6"/>
      <c r="L676" s="6"/>
      <c r="M676" s="6"/>
      <c r="N676" s="6"/>
      <c r="O676" s="6"/>
      <c r="P676" s="6"/>
      <c r="Q676" s="6"/>
      <c r="R676" s="6"/>
      <c r="S676" s="6"/>
      <c r="T676" s="6"/>
    </row>
    <row r="677" spans="1:20">
      <c r="A677" s="6">
        <v>0</v>
      </c>
      <c r="B677" s="6">
        <v>0</v>
      </c>
      <c r="C677" s="6" t="e">
        <f ca="1"/>
        <v>#NAME?</v>
      </c>
      <c r="D677" s="6" t="e">
        <f ca="1"/>
        <v>#NAME?</v>
      </c>
      <c r="E677" s="6" t="e">
        <f ca="1"/>
        <v>#NAME?</v>
      </c>
      <c r="F677" s="6" t="e">
        <f ca="1"/>
        <v>#NAME?</v>
      </c>
      <c r="G677" s="6" t="e">
        <f ca="1"/>
        <v>#NAME?</v>
      </c>
      <c r="H677" s="6" t="e">
        <f ca="1"/>
        <v>#NAME?</v>
      </c>
      <c r="I677" s="6"/>
      <c r="J677" s="6"/>
      <c r="K677" s="6"/>
      <c r="L677" s="6"/>
      <c r="M677" s="6"/>
      <c r="N677" s="6"/>
      <c r="O677" s="6"/>
      <c r="P677" s="6"/>
      <c r="Q677" s="6"/>
      <c r="R677" s="6"/>
      <c r="S677" s="6"/>
      <c r="T677" s="6"/>
    </row>
    <row r="678" spans="1:20">
      <c r="A678" s="6">
        <v>0</v>
      </c>
      <c r="B678" s="6">
        <v>0</v>
      </c>
      <c r="C678" s="6" t="e">
        <f ca="1"/>
        <v>#NAME?</v>
      </c>
      <c r="D678" s="6" t="e">
        <f ca="1"/>
        <v>#NAME?</v>
      </c>
      <c r="E678" s="6" t="e">
        <f ca="1"/>
        <v>#NAME?</v>
      </c>
      <c r="F678" s="6" t="e">
        <f ca="1"/>
        <v>#NAME?</v>
      </c>
      <c r="G678" s="6" t="e">
        <f ca="1"/>
        <v>#NAME?</v>
      </c>
      <c r="H678" s="6" t="e">
        <f ca="1"/>
        <v>#NAME?</v>
      </c>
      <c r="I678" s="6"/>
      <c r="J678" s="6"/>
      <c r="K678" s="6"/>
      <c r="L678" s="6"/>
      <c r="M678" s="6"/>
      <c r="N678" s="6"/>
      <c r="O678" s="6"/>
      <c r="P678" s="6"/>
      <c r="Q678" s="6"/>
      <c r="R678" s="6"/>
      <c r="S678" s="6"/>
      <c r="T678" s="6"/>
    </row>
    <row r="679" spans="1:20">
      <c r="A679" s="6">
        <v>0</v>
      </c>
      <c r="B679" s="6">
        <v>0</v>
      </c>
      <c r="C679" s="6" t="e">
        <f ca="1"/>
        <v>#NAME?</v>
      </c>
      <c r="D679" s="6" t="e">
        <f ca="1"/>
        <v>#NAME?</v>
      </c>
      <c r="E679" s="6" t="e">
        <f ca="1"/>
        <v>#NAME?</v>
      </c>
      <c r="F679" s="6" t="e">
        <f ca="1"/>
        <v>#NAME?</v>
      </c>
      <c r="G679" s="6" t="e">
        <f ca="1"/>
        <v>#NAME?</v>
      </c>
      <c r="H679" s="6" t="e">
        <f ca="1"/>
        <v>#NAME?</v>
      </c>
      <c r="I679" s="6"/>
      <c r="J679" s="6"/>
      <c r="K679" s="6"/>
      <c r="L679" s="6"/>
      <c r="M679" s="6"/>
      <c r="N679" s="6"/>
      <c r="O679" s="6"/>
      <c r="P679" s="6"/>
      <c r="Q679" s="6"/>
      <c r="R679" s="6"/>
      <c r="S679" s="6"/>
      <c r="T679" s="6"/>
    </row>
    <row r="680" spans="1:20">
      <c r="A680" s="6">
        <v>0</v>
      </c>
      <c r="B680" s="6">
        <v>0</v>
      </c>
      <c r="C680" s="6" t="e">
        <f ca="1"/>
        <v>#NAME?</v>
      </c>
      <c r="D680" s="6" t="e">
        <f ca="1"/>
        <v>#NAME?</v>
      </c>
      <c r="E680" s="6" t="e">
        <f ca="1"/>
        <v>#NAME?</v>
      </c>
      <c r="F680" s="6" t="e">
        <f ca="1"/>
        <v>#NAME?</v>
      </c>
      <c r="G680" s="6" t="e">
        <f ca="1"/>
        <v>#NAME?</v>
      </c>
      <c r="H680" s="6" t="e">
        <f ca="1"/>
        <v>#NAME?</v>
      </c>
      <c r="I680" s="6"/>
      <c r="J680" s="6"/>
      <c r="K680" s="6"/>
      <c r="L680" s="6"/>
      <c r="M680" s="6"/>
      <c r="N680" s="6"/>
      <c r="O680" s="6"/>
      <c r="P680" s="6"/>
      <c r="Q680" s="6"/>
      <c r="R680" s="6"/>
      <c r="S680" s="6"/>
      <c r="T680" s="6"/>
    </row>
    <row r="681" spans="1:20">
      <c r="A681" s="6">
        <v>0</v>
      </c>
      <c r="B681" s="6">
        <v>0</v>
      </c>
      <c r="C681" s="6" t="e">
        <f ca="1"/>
        <v>#NAME?</v>
      </c>
      <c r="D681" s="6" t="e">
        <f ca="1"/>
        <v>#NAME?</v>
      </c>
      <c r="E681" s="6" t="e">
        <f ca="1"/>
        <v>#NAME?</v>
      </c>
      <c r="F681" s="6" t="e">
        <f ca="1"/>
        <v>#NAME?</v>
      </c>
      <c r="G681" s="6" t="e">
        <f ca="1"/>
        <v>#NAME?</v>
      </c>
      <c r="H681" s="6" t="e">
        <f ca="1"/>
        <v>#NAME?</v>
      </c>
      <c r="I681" s="6"/>
      <c r="J681" s="6"/>
      <c r="K681" s="6"/>
      <c r="L681" s="6"/>
      <c r="M681" s="6"/>
      <c r="N681" s="6"/>
      <c r="O681" s="6"/>
      <c r="P681" s="6"/>
      <c r="Q681" s="6"/>
      <c r="R681" s="6"/>
      <c r="S681" s="6"/>
      <c r="T681" s="6"/>
    </row>
    <row r="682" spans="1:20">
      <c r="A682" s="6">
        <v>0</v>
      </c>
      <c r="B682" s="6">
        <v>0</v>
      </c>
      <c r="C682" s="6" t="e">
        <f ca="1"/>
        <v>#NAME?</v>
      </c>
      <c r="D682" s="6" t="e">
        <f ca="1"/>
        <v>#NAME?</v>
      </c>
      <c r="E682" s="6" t="e">
        <f ca="1"/>
        <v>#NAME?</v>
      </c>
      <c r="F682" s="6" t="e">
        <f ca="1"/>
        <v>#NAME?</v>
      </c>
      <c r="G682" s="6" t="e">
        <f ca="1"/>
        <v>#NAME?</v>
      </c>
      <c r="H682" s="6" t="e">
        <f ca="1"/>
        <v>#NAME?</v>
      </c>
      <c r="I682" s="6"/>
      <c r="J682" s="6"/>
      <c r="K682" s="6"/>
      <c r="L682" s="6"/>
      <c r="M682" s="6"/>
      <c r="N682" s="6"/>
      <c r="O682" s="6"/>
      <c r="P682" s="6"/>
      <c r="Q682" s="6"/>
      <c r="R682" s="6"/>
      <c r="S682" s="6"/>
      <c r="T682" s="6"/>
    </row>
    <row r="683" spans="1:20">
      <c r="A683" s="6">
        <v>0</v>
      </c>
      <c r="B683" s="6">
        <v>0</v>
      </c>
      <c r="C683" s="6" t="e">
        <f ca="1"/>
        <v>#NAME?</v>
      </c>
      <c r="D683" s="6" t="e">
        <f ca="1"/>
        <v>#NAME?</v>
      </c>
      <c r="E683" s="6" t="e">
        <f ca="1"/>
        <v>#NAME?</v>
      </c>
      <c r="F683" s="6" t="e">
        <f ca="1"/>
        <v>#NAME?</v>
      </c>
      <c r="G683" s="6" t="e">
        <f ca="1"/>
        <v>#NAME?</v>
      </c>
      <c r="H683" s="6" t="e">
        <f ca="1"/>
        <v>#NAME?</v>
      </c>
      <c r="I683" s="6"/>
      <c r="J683" s="6"/>
      <c r="K683" s="6"/>
      <c r="L683" s="6"/>
      <c r="M683" s="6"/>
      <c r="N683" s="6"/>
      <c r="O683" s="6"/>
      <c r="P683" s="6"/>
      <c r="Q683" s="6"/>
      <c r="R683" s="6"/>
      <c r="S683" s="6"/>
      <c r="T683" s="6"/>
    </row>
    <row r="684" spans="1:20">
      <c r="A684" s="6">
        <v>0</v>
      </c>
      <c r="B684" s="6">
        <v>0</v>
      </c>
      <c r="C684" s="6" t="e">
        <f ca="1"/>
        <v>#NAME?</v>
      </c>
      <c r="D684" s="6" t="e">
        <f ca="1"/>
        <v>#NAME?</v>
      </c>
      <c r="E684" s="6" t="e">
        <f ca="1"/>
        <v>#NAME?</v>
      </c>
      <c r="F684" s="6" t="e">
        <f ca="1"/>
        <v>#NAME?</v>
      </c>
      <c r="G684" s="6" t="e">
        <f ca="1"/>
        <v>#NAME?</v>
      </c>
      <c r="H684" s="6" t="e">
        <f ca="1"/>
        <v>#NAME?</v>
      </c>
      <c r="I684" s="6"/>
      <c r="J684" s="6"/>
      <c r="K684" s="6"/>
      <c r="L684" s="6"/>
      <c r="M684" s="6"/>
      <c r="N684" s="6"/>
      <c r="O684" s="6"/>
      <c r="P684" s="6"/>
      <c r="Q684" s="6"/>
      <c r="R684" s="6"/>
      <c r="S684" s="6"/>
      <c r="T684" s="6"/>
    </row>
    <row r="685" spans="1:20">
      <c r="A685" s="6">
        <v>0</v>
      </c>
      <c r="B685" s="6">
        <v>0</v>
      </c>
      <c r="C685" s="6" t="e">
        <f ca="1"/>
        <v>#NAME?</v>
      </c>
      <c r="D685" s="6" t="e">
        <f ca="1"/>
        <v>#NAME?</v>
      </c>
      <c r="E685" s="6" t="e">
        <f ca="1"/>
        <v>#NAME?</v>
      </c>
      <c r="F685" s="6" t="e">
        <f ca="1"/>
        <v>#NAME?</v>
      </c>
      <c r="G685" s="6" t="e">
        <f ca="1"/>
        <v>#NAME?</v>
      </c>
      <c r="H685" s="6" t="e">
        <f ca="1"/>
        <v>#NAME?</v>
      </c>
      <c r="I685" s="6"/>
      <c r="J685" s="6"/>
      <c r="K685" s="6"/>
      <c r="L685" s="6"/>
      <c r="M685" s="6"/>
      <c r="N685" s="6"/>
      <c r="O685" s="6"/>
      <c r="P685" s="6"/>
      <c r="Q685" s="6"/>
      <c r="R685" s="6"/>
      <c r="S685" s="6"/>
      <c r="T685" s="6"/>
    </row>
    <row r="686" spans="1:20">
      <c r="A686" s="6">
        <v>0</v>
      </c>
      <c r="B686" s="6">
        <v>0</v>
      </c>
      <c r="C686" s="6" t="e">
        <f ca="1"/>
        <v>#NAME?</v>
      </c>
      <c r="D686" s="6" t="e">
        <f ca="1"/>
        <v>#NAME?</v>
      </c>
      <c r="E686" s="6" t="e">
        <f ca="1"/>
        <v>#NAME?</v>
      </c>
      <c r="F686" s="6" t="e">
        <f ca="1"/>
        <v>#NAME?</v>
      </c>
      <c r="G686" s="6" t="e">
        <f ca="1"/>
        <v>#NAME?</v>
      </c>
      <c r="H686" s="6" t="e">
        <f ca="1"/>
        <v>#NAME?</v>
      </c>
      <c r="I686" s="6"/>
      <c r="J686" s="6"/>
      <c r="K686" s="6"/>
      <c r="L686" s="6"/>
      <c r="M686" s="6"/>
      <c r="N686" s="6"/>
      <c r="O686" s="6"/>
      <c r="P686" s="6"/>
      <c r="Q686" s="6"/>
      <c r="R686" s="6"/>
      <c r="S686" s="6"/>
      <c r="T686" s="6"/>
    </row>
    <row r="687" spans="1:20">
      <c r="A687" s="6">
        <v>0</v>
      </c>
      <c r="B687" s="6">
        <v>0</v>
      </c>
      <c r="C687" s="6" t="e">
        <f ca="1"/>
        <v>#NAME?</v>
      </c>
      <c r="D687" s="6" t="e">
        <f ca="1"/>
        <v>#NAME?</v>
      </c>
      <c r="E687" s="6" t="e">
        <f ca="1"/>
        <v>#NAME?</v>
      </c>
      <c r="F687" s="6" t="e">
        <f ca="1"/>
        <v>#NAME?</v>
      </c>
      <c r="G687" s="6" t="e">
        <f ca="1"/>
        <v>#NAME?</v>
      </c>
      <c r="H687" s="6" t="e">
        <f ca="1"/>
        <v>#NAME?</v>
      </c>
      <c r="I687" s="6"/>
      <c r="J687" s="6"/>
      <c r="K687" s="6"/>
      <c r="L687" s="6"/>
      <c r="M687" s="6"/>
      <c r="N687" s="6"/>
      <c r="O687" s="6"/>
      <c r="P687" s="6"/>
      <c r="Q687" s="6"/>
      <c r="R687" s="6"/>
      <c r="S687" s="6"/>
      <c r="T687" s="6"/>
    </row>
    <row r="688" spans="1:20">
      <c r="A688" s="6">
        <v>0</v>
      </c>
      <c r="B688" s="6">
        <v>0</v>
      </c>
      <c r="C688" s="6" t="e">
        <f ca="1"/>
        <v>#NAME?</v>
      </c>
      <c r="D688" s="6" t="e">
        <f ca="1"/>
        <v>#NAME?</v>
      </c>
      <c r="E688" s="6" t="e">
        <f ca="1"/>
        <v>#NAME?</v>
      </c>
      <c r="F688" s="6" t="e">
        <f ca="1"/>
        <v>#NAME?</v>
      </c>
      <c r="G688" s="6" t="e">
        <f ca="1"/>
        <v>#NAME?</v>
      </c>
      <c r="H688" s="6" t="e">
        <f ca="1"/>
        <v>#NAME?</v>
      </c>
      <c r="I688" s="6"/>
      <c r="J688" s="6"/>
      <c r="K688" s="6"/>
      <c r="L688" s="6"/>
      <c r="M688" s="6"/>
      <c r="N688" s="6"/>
      <c r="O688" s="6"/>
      <c r="P688" s="6"/>
      <c r="Q688" s="6"/>
      <c r="R688" s="6"/>
      <c r="S688" s="6"/>
      <c r="T688" s="6"/>
    </row>
    <row r="689" spans="1:20">
      <c r="A689" s="6">
        <v>0</v>
      </c>
      <c r="B689" s="6">
        <v>0</v>
      </c>
      <c r="C689" s="6" t="e">
        <f ca="1"/>
        <v>#NAME?</v>
      </c>
      <c r="D689" s="6" t="e">
        <f ca="1"/>
        <v>#NAME?</v>
      </c>
      <c r="E689" s="6" t="e">
        <f ca="1"/>
        <v>#NAME?</v>
      </c>
      <c r="F689" s="6" t="e">
        <f ca="1"/>
        <v>#NAME?</v>
      </c>
      <c r="G689" s="6" t="e">
        <f ca="1"/>
        <v>#NAME?</v>
      </c>
      <c r="H689" s="6" t="e">
        <f ca="1"/>
        <v>#NAME?</v>
      </c>
      <c r="I689" s="6"/>
      <c r="J689" s="6"/>
      <c r="K689" s="6"/>
      <c r="L689" s="6"/>
      <c r="M689" s="6"/>
      <c r="N689" s="6"/>
      <c r="O689" s="6"/>
      <c r="P689" s="6"/>
      <c r="Q689" s="6"/>
      <c r="R689" s="6"/>
      <c r="S689" s="6"/>
      <c r="T689" s="6"/>
    </row>
    <row r="690" spans="1:20">
      <c r="A690" s="6">
        <v>0</v>
      </c>
      <c r="B690" s="6">
        <v>0</v>
      </c>
      <c r="C690" s="6" t="e">
        <f ca="1"/>
        <v>#NAME?</v>
      </c>
      <c r="D690" s="6" t="e">
        <f ca="1"/>
        <v>#NAME?</v>
      </c>
      <c r="E690" s="6" t="e">
        <f ca="1"/>
        <v>#NAME?</v>
      </c>
      <c r="F690" s="6" t="e">
        <f ca="1"/>
        <v>#NAME?</v>
      </c>
      <c r="G690" s="6" t="e">
        <f ca="1"/>
        <v>#NAME?</v>
      </c>
      <c r="H690" s="6" t="e">
        <f ca="1"/>
        <v>#NAME?</v>
      </c>
      <c r="I690" s="6"/>
      <c r="J690" s="6"/>
      <c r="K690" s="6"/>
      <c r="L690" s="6"/>
      <c r="M690" s="6"/>
      <c r="N690" s="6"/>
      <c r="O690" s="6"/>
      <c r="P690" s="6"/>
      <c r="Q690" s="6"/>
      <c r="R690" s="6"/>
      <c r="S690" s="6"/>
      <c r="T690" s="6"/>
    </row>
    <row r="691" spans="1:20">
      <c r="A691" s="6">
        <v>0</v>
      </c>
      <c r="B691" s="6">
        <v>0</v>
      </c>
      <c r="C691" s="6" t="e">
        <f ca="1"/>
        <v>#NAME?</v>
      </c>
      <c r="D691" s="6" t="e">
        <f ca="1"/>
        <v>#NAME?</v>
      </c>
      <c r="E691" s="6" t="e">
        <f ca="1"/>
        <v>#NAME?</v>
      </c>
      <c r="F691" s="6" t="e">
        <f ca="1"/>
        <v>#NAME?</v>
      </c>
      <c r="G691" s="6" t="e">
        <f ca="1"/>
        <v>#NAME?</v>
      </c>
      <c r="H691" s="6" t="e">
        <f ca="1"/>
        <v>#NAME?</v>
      </c>
      <c r="I691" s="6"/>
      <c r="J691" s="6"/>
      <c r="K691" s="6"/>
      <c r="L691" s="6"/>
      <c r="M691" s="6"/>
      <c r="N691" s="6"/>
      <c r="O691" s="6"/>
      <c r="P691" s="6"/>
      <c r="Q691" s="6"/>
      <c r="R691" s="6"/>
      <c r="S691" s="6"/>
      <c r="T691" s="6"/>
    </row>
    <row r="692" spans="1:20">
      <c r="A692" s="6">
        <v>0</v>
      </c>
      <c r="B692" s="6">
        <v>0</v>
      </c>
      <c r="C692" s="6" t="e">
        <f ca="1"/>
        <v>#NAME?</v>
      </c>
      <c r="D692" s="6" t="e">
        <f ca="1"/>
        <v>#NAME?</v>
      </c>
      <c r="E692" s="6" t="e">
        <f ca="1"/>
        <v>#NAME?</v>
      </c>
      <c r="F692" s="6" t="e">
        <f ca="1"/>
        <v>#NAME?</v>
      </c>
      <c r="G692" s="6" t="e">
        <f ca="1"/>
        <v>#NAME?</v>
      </c>
      <c r="H692" s="6" t="e">
        <f ca="1"/>
        <v>#NAME?</v>
      </c>
      <c r="I692" s="6"/>
      <c r="J692" s="6"/>
      <c r="K692" s="6"/>
      <c r="L692" s="6"/>
      <c r="M692" s="6"/>
      <c r="N692" s="6"/>
      <c r="O692" s="6"/>
      <c r="P692" s="6"/>
      <c r="Q692" s="6"/>
      <c r="R692" s="6"/>
      <c r="S692" s="6"/>
      <c r="T692" s="6"/>
    </row>
    <row r="693" spans="1:20">
      <c r="A693" s="6">
        <v>0</v>
      </c>
      <c r="B693" s="6">
        <v>0</v>
      </c>
      <c r="C693" s="6" t="e">
        <f ca="1"/>
        <v>#NAME?</v>
      </c>
      <c r="D693" s="6" t="e">
        <f ca="1"/>
        <v>#NAME?</v>
      </c>
      <c r="E693" s="6" t="e">
        <f ca="1"/>
        <v>#NAME?</v>
      </c>
      <c r="F693" s="6" t="e">
        <f ca="1"/>
        <v>#NAME?</v>
      </c>
      <c r="G693" s="6" t="e">
        <f ca="1"/>
        <v>#NAME?</v>
      </c>
      <c r="H693" s="6" t="e">
        <f ca="1"/>
        <v>#NAME?</v>
      </c>
      <c r="I693" s="6"/>
      <c r="J693" s="6"/>
      <c r="K693" s="6"/>
      <c r="L693" s="6"/>
      <c r="M693" s="6"/>
      <c r="N693" s="6"/>
      <c r="O693" s="6"/>
      <c r="P693" s="6"/>
      <c r="Q693" s="6"/>
      <c r="R693" s="6"/>
      <c r="S693" s="6"/>
      <c r="T693" s="6"/>
    </row>
    <row r="694" spans="1:20">
      <c r="A694" s="6">
        <v>0</v>
      </c>
      <c r="B694" s="6">
        <v>0</v>
      </c>
      <c r="C694" s="6" t="e">
        <f ca="1"/>
        <v>#NAME?</v>
      </c>
      <c r="D694" s="6" t="e">
        <f ca="1"/>
        <v>#NAME?</v>
      </c>
      <c r="E694" s="6" t="e">
        <f ca="1"/>
        <v>#NAME?</v>
      </c>
      <c r="F694" s="6" t="e">
        <f ca="1"/>
        <v>#NAME?</v>
      </c>
      <c r="G694" s="6" t="e">
        <f ca="1"/>
        <v>#NAME?</v>
      </c>
      <c r="H694" s="6" t="e">
        <f ca="1"/>
        <v>#NAME?</v>
      </c>
      <c r="I694" s="6"/>
      <c r="J694" s="6"/>
      <c r="K694" s="6"/>
      <c r="L694" s="6"/>
      <c r="M694" s="6"/>
      <c r="N694" s="6"/>
      <c r="O694" s="6"/>
      <c r="P694" s="6"/>
      <c r="Q694" s="6"/>
      <c r="R694" s="6"/>
      <c r="S694" s="6"/>
      <c r="T694" s="6"/>
    </row>
    <row r="695" spans="1:20">
      <c r="A695" s="6">
        <v>0</v>
      </c>
      <c r="B695" s="6">
        <v>0</v>
      </c>
      <c r="C695" s="6" t="e">
        <f ca="1"/>
        <v>#NAME?</v>
      </c>
      <c r="D695" s="6" t="e">
        <f ca="1"/>
        <v>#NAME?</v>
      </c>
      <c r="E695" s="6" t="e">
        <f ca="1"/>
        <v>#NAME?</v>
      </c>
      <c r="F695" s="6" t="e">
        <f ca="1"/>
        <v>#NAME?</v>
      </c>
      <c r="G695" s="6" t="e">
        <f ca="1"/>
        <v>#NAME?</v>
      </c>
      <c r="H695" s="6" t="e">
        <f ca="1"/>
        <v>#NAME?</v>
      </c>
      <c r="I695" s="6"/>
      <c r="J695" s="6"/>
      <c r="K695" s="6"/>
      <c r="L695" s="6"/>
      <c r="M695" s="6"/>
      <c r="N695" s="6"/>
      <c r="O695" s="6"/>
      <c r="P695" s="6"/>
      <c r="Q695" s="6"/>
      <c r="R695" s="6"/>
      <c r="S695" s="6"/>
      <c r="T695" s="6"/>
    </row>
    <row r="696" spans="1:20">
      <c r="A696" s="6">
        <v>0</v>
      </c>
      <c r="B696" s="6">
        <v>0</v>
      </c>
      <c r="C696" s="6" t="e">
        <f ca="1"/>
        <v>#NAME?</v>
      </c>
      <c r="D696" s="6" t="e">
        <f ca="1"/>
        <v>#NAME?</v>
      </c>
      <c r="E696" s="6" t="e">
        <f ca="1"/>
        <v>#NAME?</v>
      </c>
      <c r="F696" s="6" t="e">
        <f ca="1"/>
        <v>#NAME?</v>
      </c>
      <c r="G696" s="6" t="e">
        <f ca="1"/>
        <v>#NAME?</v>
      </c>
      <c r="H696" s="6" t="e">
        <f ca="1"/>
        <v>#NAME?</v>
      </c>
      <c r="I696" s="6"/>
      <c r="J696" s="6"/>
      <c r="K696" s="6"/>
      <c r="L696" s="6"/>
      <c r="M696" s="6"/>
      <c r="N696" s="6"/>
      <c r="O696" s="6"/>
      <c r="P696" s="6"/>
      <c r="Q696" s="6"/>
      <c r="R696" s="6"/>
      <c r="S696" s="6"/>
      <c r="T696" s="6"/>
    </row>
    <row r="697" spans="1:20">
      <c r="A697" s="6">
        <v>0</v>
      </c>
      <c r="B697" s="6">
        <v>0</v>
      </c>
      <c r="C697" s="6" t="e">
        <f ca="1"/>
        <v>#NAME?</v>
      </c>
      <c r="D697" s="6" t="e">
        <f ca="1"/>
        <v>#NAME?</v>
      </c>
      <c r="E697" s="6" t="e">
        <f ca="1"/>
        <v>#NAME?</v>
      </c>
      <c r="F697" s="6" t="e">
        <f ca="1"/>
        <v>#NAME?</v>
      </c>
      <c r="G697" s="6" t="e">
        <f ca="1"/>
        <v>#NAME?</v>
      </c>
      <c r="H697" s="6" t="e">
        <f ca="1"/>
        <v>#NAME?</v>
      </c>
      <c r="I697" s="6"/>
      <c r="J697" s="6"/>
      <c r="K697" s="6"/>
      <c r="L697" s="6"/>
      <c r="M697" s="6"/>
      <c r="N697" s="6"/>
      <c r="O697" s="6"/>
      <c r="P697" s="6"/>
      <c r="Q697" s="6"/>
      <c r="R697" s="6"/>
      <c r="S697" s="6"/>
      <c r="T697" s="6"/>
    </row>
    <row r="698" spans="1:20">
      <c r="A698" s="6">
        <v>0</v>
      </c>
      <c r="B698" s="6">
        <v>0</v>
      </c>
      <c r="C698" s="6" t="e">
        <f ca="1"/>
        <v>#NAME?</v>
      </c>
      <c r="D698" s="6" t="e">
        <f ca="1"/>
        <v>#NAME?</v>
      </c>
      <c r="E698" s="6" t="e">
        <f ca="1"/>
        <v>#NAME?</v>
      </c>
      <c r="F698" s="6" t="e">
        <f ca="1"/>
        <v>#NAME?</v>
      </c>
      <c r="G698" s="6" t="e">
        <f ca="1"/>
        <v>#NAME?</v>
      </c>
      <c r="H698" s="6" t="e">
        <f ca="1"/>
        <v>#NAME?</v>
      </c>
      <c r="I698" s="6"/>
      <c r="J698" s="6"/>
      <c r="K698" s="6"/>
      <c r="L698" s="6"/>
      <c r="M698" s="6"/>
      <c r="N698" s="6"/>
      <c r="O698" s="6"/>
      <c r="P698" s="6"/>
      <c r="Q698" s="6"/>
      <c r="R698" s="6"/>
      <c r="S698" s="6"/>
      <c r="T698" s="6"/>
    </row>
    <row r="699" spans="1:20">
      <c r="A699" s="6">
        <v>0</v>
      </c>
      <c r="B699" s="6">
        <v>0</v>
      </c>
      <c r="C699" s="6" t="e">
        <f ca="1"/>
        <v>#NAME?</v>
      </c>
      <c r="D699" s="6" t="e">
        <f ca="1"/>
        <v>#NAME?</v>
      </c>
      <c r="E699" s="6" t="e">
        <f ca="1"/>
        <v>#NAME?</v>
      </c>
      <c r="F699" s="6" t="e">
        <f ca="1"/>
        <v>#NAME?</v>
      </c>
      <c r="G699" s="6" t="e">
        <f ca="1"/>
        <v>#NAME?</v>
      </c>
      <c r="H699" s="6" t="e">
        <f ca="1"/>
        <v>#NAME?</v>
      </c>
      <c r="I699" s="6"/>
      <c r="J699" s="6"/>
      <c r="K699" s="6"/>
      <c r="L699" s="6"/>
      <c r="M699" s="6"/>
      <c r="N699" s="6"/>
      <c r="O699" s="6"/>
      <c r="P699" s="6"/>
      <c r="Q699" s="6"/>
      <c r="R699" s="6"/>
      <c r="S699" s="6"/>
      <c r="T699" s="6"/>
    </row>
    <row r="700" spans="1:20">
      <c r="A700" s="6">
        <v>0</v>
      </c>
      <c r="B700" s="6">
        <v>0</v>
      </c>
      <c r="C700" s="6" t="e">
        <f ca="1"/>
        <v>#NAME?</v>
      </c>
      <c r="D700" s="6" t="e">
        <f ca="1"/>
        <v>#NAME?</v>
      </c>
      <c r="E700" s="6" t="e">
        <f ca="1"/>
        <v>#NAME?</v>
      </c>
      <c r="F700" s="6" t="e">
        <f ca="1"/>
        <v>#NAME?</v>
      </c>
      <c r="G700" s="6" t="e">
        <f ca="1"/>
        <v>#NAME?</v>
      </c>
      <c r="H700" s="6" t="e">
        <f ca="1"/>
        <v>#NAME?</v>
      </c>
      <c r="I700" s="6"/>
      <c r="J700" s="6"/>
      <c r="K700" s="6"/>
      <c r="L700" s="6"/>
      <c r="M700" s="6"/>
      <c r="N700" s="6"/>
      <c r="O700" s="6"/>
      <c r="P700" s="6"/>
      <c r="Q700" s="6"/>
      <c r="R700" s="6"/>
      <c r="S700" s="6"/>
      <c r="T700" s="6"/>
    </row>
    <row r="701" spans="1:20">
      <c r="A701" s="6">
        <v>0</v>
      </c>
      <c r="B701" s="6">
        <v>0</v>
      </c>
      <c r="C701" s="6" t="e">
        <f ca="1"/>
        <v>#NAME?</v>
      </c>
      <c r="D701" s="6" t="e">
        <f ca="1"/>
        <v>#NAME?</v>
      </c>
      <c r="E701" s="6" t="e">
        <f ca="1"/>
        <v>#NAME?</v>
      </c>
      <c r="F701" s="6" t="e">
        <f ca="1"/>
        <v>#NAME?</v>
      </c>
      <c r="G701" s="6" t="e">
        <f ca="1"/>
        <v>#NAME?</v>
      </c>
      <c r="H701" s="6" t="e">
        <f ca="1"/>
        <v>#NAME?</v>
      </c>
      <c r="I701" s="6"/>
      <c r="J701" s="6"/>
      <c r="K701" s="6"/>
      <c r="L701" s="6"/>
      <c r="M701" s="6"/>
      <c r="N701" s="6"/>
      <c r="O701" s="6"/>
      <c r="P701" s="6"/>
      <c r="Q701" s="6"/>
      <c r="R701" s="6"/>
      <c r="S701" s="6"/>
      <c r="T701" s="6"/>
    </row>
    <row r="702" spans="1:20">
      <c r="A702" s="6">
        <v>0</v>
      </c>
      <c r="B702" s="6">
        <v>0</v>
      </c>
      <c r="C702" s="6" t="e">
        <f ca="1"/>
        <v>#NAME?</v>
      </c>
      <c r="D702" s="6" t="e">
        <f ca="1"/>
        <v>#NAME?</v>
      </c>
      <c r="E702" s="6" t="e">
        <f ca="1"/>
        <v>#NAME?</v>
      </c>
      <c r="F702" s="6" t="e">
        <f ca="1"/>
        <v>#NAME?</v>
      </c>
      <c r="G702" s="6" t="e">
        <f ca="1"/>
        <v>#NAME?</v>
      </c>
      <c r="H702" s="6" t="e">
        <f ca="1"/>
        <v>#NAME?</v>
      </c>
      <c r="I702" s="6"/>
      <c r="J702" s="6"/>
      <c r="K702" s="6"/>
      <c r="L702" s="6"/>
      <c r="M702" s="6"/>
      <c r="N702" s="6"/>
      <c r="O702" s="6"/>
      <c r="P702" s="6"/>
      <c r="Q702" s="6"/>
      <c r="R702" s="6"/>
      <c r="S702" s="6"/>
      <c r="T702" s="6"/>
    </row>
    <row r="703" spans="1:20">
      <c r="A703" s="6">
        <v>0</v>
      </c>
      <c r="B703" s="6">
        <v>0</v>
      </c>
      <c r="C703" s="6" t="e">
        <f ca="1"/>
        <v>#NAME?</v>
      </c>
      <c r="D703" s="6" t="e">
        <f ca="1"/>
        <v>#NAME?</v>
      </c>
      <c r="E703" s="6" t="e">
        <f ca="1"/>
        <v>#NAME?</v>
      </c>
      <c r="F703" s="6" t="e">
        <f ca="1"/>
        <v>#NAME?</v>
      </c>
      <c r="G703" s="6" t="e">
        <f ca="1"/>
        <v>#NAME?</v>
      </c>
      <c r="H703" s="6" t="e">
        <f ca="1"/>
        <v>#NAME?</v>
      </c>
      <c r="I703" s="6"/>
      <c r="J703" s="6"/>
      <c r="K703" s="6"/>
      <c r="L703" s="6"/>
      <c r="M703" s="6"/>
      <c r="N703" s="6"/>
      <c r="O703" s="6"/>
      <c r="P703" s="6"/>
      <c r="Q703" s="6"/>
      <c r="R703" s="6"/>
      <c r="S703" s="6"/>
      <c r="T703" s="6"/>
    </row>
    <row r="704" spans="1:20">
      <c r="A704" s="6">
        <v>0</v>
      </c>
      <c r="B704" s="6">
        <v>0</v>
      </c>
      <c r="C704" s="6" t="e">
        <f ca="1"/>
        <v>#NAME?</v>
      </c>
      <c r="D704" s="6" t="e">
        <f ca="1"/>
        <v>#NAME?</v>
      </c>
      <c r="E704" s="6" t="e">
        <f ca="1"/>
        <v>#NAME?</v>
      </c>
      <c r="F704" s="6" t="e">
        <f ca="1"/>
        <v>#NAME?</v>
      </c>
      <c r="G704" s="6" t="e">
        <f ca="1"/>
        <v>#NAME?</v>
      </c>
      <c r="H704" s="6" t="e">
        <f ca="1"/>
        <v>#NAME?</v>
      </c>
      <c r="I704" s="6"/>
      <c r="J704" s="6"/>
      <c r="K704" s="6"/>
      <c r="L704" s="6"/>
      <c r="M704" s="6"/>
      <c r="N704" s="6"/>
      <c r="O704" s="6"/>
      <c r="P704" s="6"/>
      <c r="Q704" s="6"/>
      <c r="R704" s="6"/>
      <c r="S704" s="6"/>
      <c r="T704" s="6"/>
    </row>
    <row r="705" spans="1:20">
      <c r="A705" s="6">
        <v>0</v>
      </c>
      <c r="B705" s="6">
        <v>0</v>
      </c>
      <c r="C705" s="6" t="e">
        <f ca="1"/>
        <v>#NAME?</v>
      </c>
      <c r="D705" s="6" t="e">
        <f ca="1"/>
        <v>#NAME?</v>
      </c>
      <c r="E705" s="6" t="e">
        <f ca="1"/>
        <v>#NAME?</v>
      </c>
      <c r="F705" s="6" t="e">
        <f ca="1"/>
        <v>#NAME?</v>
      </c>
      <c r="G705" s="6" t="e">
        <f ca="1"/>
        <v>#NAME?</v>
      </c>
      <c r="H705" s="6" t="e">
        <f ca="1"/>
        <v>#NAME?</v>
      </c>
      <c r="I705" s="6"/>
      <c r="J705" s="6"/>
      <c r="K705" s="6"/>
      <c r="L705" s="6"/>
      <c r="M705" s="6"/>
      <c r="N705" s="6"/>
      <c r="O705" s="6"/>
      <c r="P705" s="6"/>
      <c r="Q705" s="6"/>
      <c r="R705" s="6"/>
      <c r="S705" s="6"/>
      <c r="T705" s="6"/>
    </row>
    <row r="706" spans="1:20">
      <c r="A706" s="6">
        <v>0</v>
      </c>
      <c r="B706" s="6">
        <v>0</v>
      </c>
      <c r="C706" s="6" t="e">
        <f ca="1"/>
        <v>#NAME?</v>
      </c>
      <c r="D706" s="6" t="e">
        <f ca="1"/>
        <v>#NAME?</v>
      </c>
      <c r="E706" s="6" t="e">
        <f ca="1"/>
        <v>#NAME?</v>
      </c>
      <c r="F706" s="6" t="e">
        <f ca="1"/>
        <v>#NAME?</v>
      </c>
      <c r="G706" s="6" t="e">
        <f ca="1"/>
        <v>#NAME?</v>
      </c>
      <c r="H706" s="6" t="e">
        <f ca="1"/>
        <v>#NAME?</v>
      </c>
      <c r="I706" s="6"/>
      <c r="J706" s="6"/>
      <c r="K706" s="6"/>
      <c r="L706" s="6"/>
      <c r="M706" s="6"/>
      <c r="N706" s="6"/>
      <c r="O706" s="6"/>
      <c r="P706" s="6"/>
      <c r="Q706" s="6"/>
      <c r="R706" s="6"/>
      <c r="S706" s="6"/>
      <c r="T706" s="6"/>
    </row>
    <row r="707" spans="1:20">
      <c r="A707" s="6">
        <v>0</v>
      </c>
      <c r="B707" s="6">
        <v>0</v>
      </c>
      <c r="C707" s="6" t="e">
        <f ca="1"/>
        <v>#NAME?</v>
      </c>
      <c r="D707" s="6" t="e">
        <f ca="1"/>
        <v>#NAME?</v>
      </c>
      <c r="E707" s="6" t="e">
        <f ca="1"/>
        <v>#NAME?</v>
      </c>
      <c r="F707" s="6" t="e">
        <f ca="1"/>
        <v>#NAME?</v>
      </c>
      <c r="G707" s="6" t="e">
        <f ca="1"/>
        <v>#NAME?</v>
      </c>
      <c r="H707" s="6" t="e">
        <f ca="1"/>
        <v>#NAME?</v>
      </c>
      <c r="I707" s="6"/>
      <c r="J707" s="6"/>
      <c r="K707" s="6"/>
      <c r="L707" s="6"/>
      <c r="M707" s="6"/>
      <c r="N707" s="6"/>
      <c r="O707" s="6"/>
      <c r="P707" s="6"/>
      <c r="Q707" s="6"/>
      <c r="R707" s="6"/>
      <c r="S707" s="6"/>
      <c r="T707" s="6"/>
    </row>
    <row r="708" spans="1:20">
      <c r="A708" s="6">
        <v>0</v>
      </c>
      <c r="B708" s="6">
        <v>0</v>
      </c>
      <c r="C708" s="6" t="e">
        <f ca="1"/>
        <v>#NAME?</v>
      </c>
      <c r="D708" s="6" t="e">
        <f ca="1"/>
        <v>#NAME?</v>
      </c>
      <c r="E708" s="6" t="e">
        <f ca="1"/>
        <v>#NAME?</v>
      </c>
      <c r="F708" s="6" t="e">
        <f ca="1"/>
        <v>#NAME?</v>
      </c>
      <c r="G708" s="6" t="e">
        <f ca="1"/>
        <v>#NAME?</v>
      </c>
      <c r="H708" s="6" t="e">
        <f ca="1"/>
        <v>#NAME?</v>
      </c>
      <c r="I708" s="6"/>
      <c r="J708" s="6"/>
      <c r="K708" s="6"/>
      <c r="L708" s="6"/>
      <c r="M708" s="6"/>
      <c r="N708" s="6"/>
      <c r="O708" s="6"/>
      <c r="P708" s="6"/>
      <c r="Q708" s="6"/>
      <c r="R708" s="6"/>
      <c r="S708" s="6"/>
      <c r="T708" s="6"/>
    </row>
    <row r="709" spans="1:20">
      <c r="A709" s="6">
        <v>0</v>
      </c>
      <c r="B709" s="6">
        <v>0</v>
      </c>
      <c r="C709" s="6" t="e">
        <f ca="1"/>
        <v>#NAME?</v>
      </c>
      <c r="D709" s="6" t="e">
        <f ca="1"/>
        <v>#NAME?</v>
      </c>
      <c r="E709" s="6" t="e">
        <f ca="1"/>
        <v>#NAME?</v>
      </c>
      <c r="F709" s="6" t="e">
        <f ca="1"/>
        <v>#NAME?</v>
      </c>
      <c r="G709" s="6" t="e">
        <f ca="1"/>
        <v>#NAME?</v>
      </c>
      <c r="H709" s="6" t="e">
        <f ca="1"/>
        <v>#NAME?</v>
      </c>
      <c r="I709" s="6"/>
      <c r="J709" s="6"/>
      <c r="K709" s="6"/>
      <c r="L709" s="6"/>
      <c r="M709" s="6"/>
      <c r="N709" s="6"/>
      <c r="O709" s="6"/>
      <c r="P709" s="6"/>
      <c r="Q709" s="6"/>
      <c r="R709" s="6"/>
      <c r="S709" s="6"/>
      <c r="T709" s="6"/>
    </row>
    <row r="710" spans="1:20">
      <c r="A710" s="6">
        <v>0</v>
      </c>
      <c r="B710" s="6">
        <v>0</v>
      </c>
      <c r="C710" s="6" t="e">
        <f ca="1"/>
        <v>#NAME?</v>
      </c>
      <c r="D710" s="6" t="e">
        <f ca="1"/>
        <v>#NAME?</v>
      </c>
      <c r="E710" s="6" t="e">
        <f ca="1"/>
        <v>#NAME?</v>
      </c>
      <c r="F710" s="6" t="e">
        <f ca="1"/>
        <v>#NAME?</v>
      </c>
      <c r="G710" s="6" t="e">
        <f ca="1"/>
        <v>#NAME?</v>
      </c>
      <c r="H710" s="6" t="e">
        <f ca="1"/>
        <v>#NAME?</v>
      </c>
      <c r="I710" s="6"/>
      <c r="J710" s="6"/>
      <c r="K710" s="6"/>
      <c r="L710" s="6"/>
      <c r="M710" s="6"/>
      <c r="N710" s="6"/>
      <c r="O710" s="6"/>
      <c r="P710" s="6"/>
      <c r="Q710" s="6"/>
      <c r="R710" s="6"/>
      <c r="S710" s="6"/>
      <c r="T710" s="6"/>
    </row>
    <row r="711" spans="1:20">
      <c r="A711" s="6">
        <v>0</v>
      </c>
      <c r="B711" s="6">
        <v>0</v>
      </c>
      <c r="C711" s="6" t="e">
        <f ca="1"/>
        <v>#NAME?</v>
      </c>
      <c r="D711" s="6" t="e">
        <f ca="1"/>
        <v>#NAME?</v>
      </c>
      <c r="E711" s="6" t="e">
        <f ca="1"/>
        <v>#NAME?</v>
      </c>
      <c r="F711" s="6" t="e">
        <f ca="1"/>
        <v>#NAME?</v>
      </c>
      <c r="G711" s="6" t="e">
        <f ca="1"/>
        <v>#NAME?</v>
      </c>
      <c r="H711" s="6" t="e">
        <f ca="1"/>
        <v>#NAME?</v>
      </c>
      <c r="I711" s="6"/>
      <c r="J711" s="6"/>
      <c r="K711" s="6"/>
      <c r="L711" s="6"/>
      <c r="M711" s="6"/>
      <c r="N711" s="6"/>
      <c r="O711" s="6"/>
      <c r="P711" s="6"/>
      <c r="Q711" s="6"/>
      <c r="R711" s="6"/>
      <c r="S711" s="6"/>
      <c r="T711" s="6"/>
    </row>
    <row r="712" spans="1:20">
      <c r="A712" s="6">
        <v>0</v>
      </c>
      <c r="B712" s="6">
        <v>0</v>
      </c>
      <c r="C712" s="6" t="e">
        <f ca="1"/>
        <v>#NAME?</v>
      </c>
      <c r="D712" s="6" t="e">
        <f ca="1"/>
        <v>#NAME?</v>
      </c>
      <c r="E712" s="6" t="e">
        <f ca="1"/>
        <v>#NAME?</v>
      </c>
      <c r="F712" s="6" t="e">
        <f ca="1"/>
        <v>#NAME?</v>
      </c>
      <c r="G712" s="6" t="e">
        <f ca="1"/>
        <v>#NAME?</v>
      </c>
      <c r="H712" s="6" t="e">
        <f ca="1"/>
        <v>#NAME?</v>
      </c>
      <c r="I712" s="6"/>
      <c r="J712" s="6"/>
      <c r="K712" s="6"/>
      <c r="L712" s="6"/>
      <c r="M712" s="6"/>
      <c r="N712" s="6"/>
      <c r="O712" s="6"/>
      <c r="P712" s="6"/>
      <c r="Q712" s="6"/>
      <c r="R712" s="6"/>
      <c r="S712" s="6"/>
      <c r="T712" s="6"/>
    </row>
    <row r="713" spans="1:20">
      <c r="A713" s="6">
        <v>0</v>
      </c>
      <c r="B713" s="6">
        <v>0</v>
      </c>
      <c r="C713" s="6" t="e">
        <f ca="1"/>
        <v>#NAME?</v>
      </c>
      <c r="D713" s="6" t="e">
        <f ca="1"/>
        <v>#NAME?</v>
      </c>
      <c r="E713" s="6" t="e">
        <f ca="1"/>
        <v>#NAME?</v>
      </c>
      <c r="F713" s="6" t="e">
        <f ca="1"/>
        <v>#NAME?</v>
      </c>
      <c r="G713" s="6" t="e">
        <f ca="1"/>
        <v>#NAME?</v>
      </c>
      <c r="H713" s="6" t="e">
        <f ca="1"/>
        <v>#NAME?</v>
      </c>
      <c r="I713" s="6"/>
      <c r="J713" s="6"/>
      <c r="K713" s="6"/>
      <c r="L713" s="6"/>
      <c r="M713" s="6"/>
      <c r="N713" s="6"/>
      <c r="O713" s="6"/>
      <c r="P713" s="6"/>
      <c r="Q713" s="6"/>
      <c r="R713" s="6"/>
      <c r="S713" s="6"/>
      <c r="T713" s="6"/>
    </row>
    <row r="714" spans="1:20">
      <c r="A714" s="6">
        <v>0</v>
      </c>
      <c r="B714" s="6">
        <v>0</v>
      </c>
      <c r="C714" s="6" t="e">
        <f ca="1"/>
        <v>#NAME?</v>
      </c>
      <c r="D714" s="6" t="e">
        <f ca="1"/>
        <v>#NAME?</v>
      </c>
      <c r="E714" s="6" t="e">
        <f ca="1"/>
        <v>#NAME?</v>
      </c>
      <c r="F714" s="6" t="e">
        <f ca="1"/>
        <v>#NAME?</v>
      </c>
      <c r="G714" s="6" t="e">
        <f ca="1"/>
        <v>#NAME?</v>
      </c>
      <c r="H714" s="6" t="e">
        <f ca="1"/>
        <v>#NAME?</v>
      </c>
      <c r="I714" s="6"/>
      <c r="J714" s="6"/>
      <c r="K714" s="6"/>
      <c r="L714" s="6"/>
      <c r="M714" s="6"/>
      <c r="N714" s="6"/>
      <c r="O714" s="6"/>
      <c r="P714" s="6"/>
      <c r="Q714" s="6"/>
      <c r="R714" s="6"/>
      <c r="S714" s="6"/>
      <c r="T714" s="6"/>
    </row>
    <row r="715" spans="1:20">
      <c r="A715" s="6">
        <v>0</v>
      </c>
      <c r="B715" s="6">
        <v>0</v>
      </c>
      <c r="C715" s="6" t="e">
        <f ca="1"/>
        <v>#NAME?</v>
      </c>
      <c r="D715" s="6" t="e">
        <f ca="1"/>
        <v>#NAME?</v>
      </c>
      <c r="E715" s="6" t="e">
        <f ca="1"/>
        <v>#NAME?</v>
      </c>
      <c r="F715" s="6" t="e">
        <f ca="1"/>
        <v>#NAME?</v>
      </c>
      <c r="G715" s="6" t="e">
        <f ca="1"/>
        <v>#NAME?</v>
      </c>
      <c r="H715" s="6" t="e">
        <f ca="1"/>
        <v>#NAME?</v>
      </c>
      <c r="I715" s="6"/>
      <c r="J715" s="6"/>
      <c r="K715" s="6"/>
      <c r="L715" s="6"/>
      <c r="M715" s="6"/>
      <c r="N715" s="6"/>
      <c r="O715" s="6"/>
      <c r="P715" s="6"/>
      <c r="Q715" s="6"/>
      <c r="R715" s="6"/>
      <c r="S715" s="6"/>
      <c r="T715" s="6"/>
    </row>
    <row r="716" spans="1:20">
      <c r="A716" s="6">
        <v>0</v>
      </c>
      <c r="B716" s="6">
        <v>0</v>
      </c>
      <c r="C716" s="6" t="e">
        <f ca="1"/>
        <v>#NAME?</v>
      </c>
      <c r="D716" s="6" t="e">
        <f ca="1"/>
        <v>#NAME?</v>
      </c>
      <c r="E716" s="6" t="e">
        <f ca="1"/>
        <v>#NAME?</v>
      </c>
      <c r="F716" s="6" t="e">
        <f ca="1"/>
        <v>#NAME?</v>
      </c>
      <c r="G716" s="6" t="e">
        <f ca="1"/>
        <v>#NAME?</v>
      </c>
      <c r="H716" s="6" t="e">
        <f ca="1"/>
        <v>#NAME?</v>
      </c>
      <c r="I716" s="6"/>
      <c r="J716" s="6"/>
      <c r="K716" s="6"/>
      <c r="L716" s="6"/>
      <c r="M716" s="6"/>
      <c r="N716" s="6"/>
      <c r="O716" s="6"/>
      <c r="P716" s="6"/>
      <c r="Q716" s="6"/>
      <c r="R716" s="6"/>
      <c r="S716" s="6"/>
      <c r="T716" s="6"/>
    </row>
    <row r="717" spans="1:20">
      <c r="A717" s="6">
        <v>0</v>
      </c>
      <c r="B717" s="6">
        <v>0</v>
      </c>
      <c r="C717" s="6" t="e">
        <f ca="1"/>
        <v>#NAME?</v>
      </c>
      <c r="D717" s="6" t="e">
        <f ca="1"/>
        <v>#NAME?</v>
      </c>
      <c r="E717" s="6" t="e">
        <f ca="1"/>
        <v>#NAME?</v>
      </c>
      <c r="F717" s="6" t="e">
        <f ca="1"/>
        <v>#NAME?</v>
      </c>
      <c r="G717" s="6" t="e">
        <f ca="1"/>
        <v>#NAME?</v>
      </c>
      <c r="H717" s="6" t="e">
        <f ca="1"/>
        <v>#NAME?</v>
      </c>
      <c r="I717" s="6"/>
      <c r="J717" s="6"/>
      <c r="K717" s="6"/>
      <c r="L717" s="6"/>
      <c r="M717" s="6"/>
      <c r="N717" s="6"/>
      <c r="O717" s="6"/>
      <c r="P717" s="6"/>
      <c r="Q717" s="6"/>
      <c r="R717" s="6"/>
      <c r="S717" s="6"/>
      <c r="T717" s="6"/>
    </row>
    <row r="718" spans="1:20">
      <c r="A718" s="6">
        <v>0</v>
      </c>
      <c r="B718" s="6">
        <v>0</v>
      </c>
      <c r="C718" s="6" t="e">
        <f ca="1"/>
        <v>#NAME?</v>
      </c>
      <c r="D718" s="6" t="e">
        <f ca="1"/>
        <v>#NAME?</v>
      </c>
      <c r="E718" s="6" t="e">
        <f ca="1"/>
        <v>#NAME?</v>
      </c>
      <c r="F718" s="6" t="e">
        <f ca="1"/>
        <v>#NAME?</v>
      </c>
      <c r="G718" s="6" t="e">
        <f ca="1"/>
        <v>#NAME?</v>
      </c>
      <c r="H718" s="6" t="e">
        <f ca="1"/>
        <v>#NAME?</v>
      </c>
      <c r="I718" s="6"/>
      <c r="J718" s="6"/>
      <c r="K718" s="6"/>
      <c r="L718" s="6"/>
      <c r="M718" s="6"/>
      <c r="N718" s="6"/>
      <c r="O718" s="6"/>
      <c r="P718" s="6"/>
      <c r="Q718" s="6"/>
      <c r="R718" s="6"/>
      <c r="S718" s="6"/>
      <c r="T718" s="6"/>
    </row>
    <row r="719" spans="1:20">
      <c r="A719" s="6">
        <v>0</v>
      </c>
      <c r="B719" s="6">
        <v>0</v>
      </c>
      <c r="C719" s="6" t="e">
        <f ca="1"/>
        <v>#NAME?</v>
      </c>
      <c r="D719" s="6" t="e">
        <f ca="1"/>
        <v>#NAME?</v>
      </c>
      <c r="E719" s="6" t="e">
        <f ca="1"/>
        <v>#NAME?</v>
      </c>
      <c r="F719" s="6" t="e">
        <f ca="1"/>
        <v>#NAME?</v>
      </c>
      <c r="G719" s="6" t="e">
        <f ca="1"/>
        <v>#NAME?</v>
      </c>
      <c r="H719" s="6" t="e">
        <f ca="1"/>
        <v>#NAME?</v>
      </c>
      <c r="I719" s="6"/>
      <c r="J719" s="6"/>
      <c r="K719" s="6"/>
      <c r="L719" s="6"/>
      <c r="M719" s="6"/>
      <c r="N719" s="6"/>
      <c r="O719" s="6"/>
      <c r="P719" s="6"/>
      <c r="Q719" s="6"/>
      <c r="R719" s="6"/>
      <c r="S719" s="6"/>
      <c r="T719" s="6"/>
    </row>
    <row r="720" spans="1:20">
      <c r="A720" s="6">
        <v>0</v>
      </c>
      <c r="B720" s="6">
        <v>0</v>
      </c>
      <c r="C720" s="6" t="e">
        <f ca="1"/>
        <v>#NAME?</v>
      </c>
      <c r="D720" s="6" t="e">
        <f ca="1"/>
        <v>#NAME?</v>
      </c>
      <c r="E720" s="6" t="e">
        <f ca="1"/>
        <v>#NAME?</v>
      </c>
      <c r="F720" s="6" t="e">
        <f ca="1"/>
        <v>#NAME?</v>
      </c>
      <c r="G720" s="6" t="e">
        <f ca="1"/>
        <v>#NAME?</v>
      </c>
      <c r="H720" s="6" t="e">
        <f ca="1"/>
        <v>#NAME?</v>
      </c>
      <c r="I720" s="6"/>
      <c r="J720" s="6"/>
      <c r="K720" s="6"/>
      <c r="L720" s="6"/>
      <c r="M720" s="6"/>
      <c r="N720" s="6"/>
      <c r="O720" s="6"/>
      <c r="P720" s="6"/>
      <c r="Q720" s="6"/>
      <c r="R720" s="6"/>
      <c r="S720" s="6"/>
      <c r="T720" s="6"/>
    </row>
    <row r="721" spans="1:20">
      <c r="A721" s="6">
        <v>0</v>
      </c>
      <c r="B721" s="6">
        <v>0</v>
      </c>
      <c r="C721" s="6" t="e">
        <f ca="1"/>
        <v>#NAME?</v>
      </c>
      <c r="D721" s="6" t="e">
        <f ca="1"/>
        <v>#NAME?</v>
      </c>
      <c r="E721" s="6" t="e">
        <f ca="1"/>
        <v>#NAME?</v>
      </c>
      <c r="F721" s="6" t="e">
        <f ca="1"/>
        <v>#NAME?</v>
      </c>
      <c r="G721" s="6" t="e">
        <f ca="1"/>
        <v>#NAME?</v>
      </c>
      <c r="H721" s="6" t="e">
        <f ca="1"/>
        <v>#NAME?</v>
      </c>
      <c r="I721" s="6"/>
      <c r="J721" s="6"/>
      <c r="K721" s="6"/>
      <c r="L721" s="6"/>
      <c r="M721" s="6"/>
      <c r="N721" s="6"/>
      <c r="O721" s="6"/>
      <c r="P721" s="6"/>
      <c r="Q721" s="6"/>
      <c r="R721" s="6"/>
      <c r="S721" s="6"/>
      <c r="T721" s="6"/>
    </row>
    <row r="722" spans="1:20">
      <c r="A722" s="6">
        <v>0</v>
      </c>
      <c r="B722" s="6">
        <v>0</v>
      </c>
      <c r="C722" s="6" t="e">
        <f ca="1"/>
        <v>#NAME?</v>
      </c>
      <c r="D722" s="6" t="e">
        <f ca="1"/>
        <v>#NAME?</v>
      </c>
      <c r="E722" s="6" t="e">
        <f ca="1"/>
        <v>#NAME?</v>
      </c>
      <c r="F722" s="6" t="e">
        <f ca="1"/>
        <v>#NAME?</v>
      </c>
      <c r="G722" s="6" t="e">
        <f ca="1"/>
        <v>#NAME?</v>
      </c>
      <c r="H722" s="6" t="e">
        <f ca="1"/>
        <v>#NAME?</v>
      </c>
      <c r="I722" s="6"/>
      <c r="J722" s="6"/>
      <c r="K722" s="6"/>
      <c r="L722" s="6"/>
      <c r="M722" s="6"/>
      <c r="N722" s="6"/>
      <c r="O722" s="6"/>
      <c r="P722" s="6"/>
      <c r="Q722" s="6"/>
      <c r="R722" s="6"/>
      <c r="S722" s="6"/>
      <c r="T722" s="6"/>
    </row>
    <row r="723" spans="1:20">
      <c r="A723" s="6">
        <v>0</v>
      </c>
      <c r="B723" s="6">
        <v>0</v>
      </c>
      <c r="C723" s="6" t="e">
        <f ca="1"/>
        <v>#NAME?</v>
      </c>
      <c r="D723" s="6" t="e">
        <f ca="1"/>
        <v>#NAME?</v>
      </c>
      <c r="E723" s="6" t="e">
        <f ca="1"/>
        <v>#NAME?</v>
      </c>
      <c r="F723" s="6" t="e">
        <f ca="1"/>
        <v>#NAME?</v>
      </c>
      <c r="G723" s="6" t="e">
        <f ca="1"/>
        <v>#NAME?</v>
      </c>
      <c r="H723" s="6" t="e">
        <f ca="1"/>
        <v>#NAME?</v>
      </c>
      <c r="I723" s="6"/>
      <c r="J723" s="6"/>
      <c r="K723" s="6"/>
      <c r="L723" s="6"/>
      <c r="M723" s="6"/>
      <c r="N723" s="6"/>
      <c r="O723" s="6"/>
      <c r="P723" s="6"/>
      <c r="Q723" s="6"/>
      <c r="R723" s="6"/>
      <c r="S723" s="6"/>
      <c r="T723" s="6"/>
    </row>
    <row r="724" spans="1:20">
      <c r="A724" s="6">
        <v>0</v>
      </c>
      <c r="B724" s="6">
        <v>0</v>
      </c>
      <c r="C724" s="6" t="e">
        <f ca="1"/>
        <v>#NAME?</v>
      </c>
      <c r="D724" s="6" t="e">
        <f ca="1"/>
        <v>#NAME?</v>
      </c>
      <c r="E724" s="6" t="e">
        <f ca="1"/>
        <v>#NAME?</v>
      </c>
      <c r="F724" s="6" t="e">
        <f ca="1"/>
        <v>#NAME?</v>
      </c>
      <c r="G724" s="6" t="e">
        <f ca="1"/>
        <v>#NAME?</v>
      </c>
      <c r="H724" s="6" t="e">
        <f ca="1"/>
        <v>#NAME?</v>
      </c>
      <c r="I724" s="6"/>
      <c r="J724" s="6"/>
      <c r="K724" s="6"/>
      <c r="L724" s="6"/>
      <c r="M724" s="6"/>
      <c r="N724" s="6"/>
      <c r="O724" s="6"/>
      <c r="P724" s="6"/>
      <c r="Q724" s="6"/>
      <c r="R724" s="6"/>
      <c r="S724" s="6"/>
      <c r="T724" s="6"/>
    </row>
    <row r="725" spans="1:20">
      <c r="A725" s="6">
        <v>0</v>
      </c>
      <c r="B725" s="6">
        <v>0</v>
      </c>
      <c r="C725" s="6" t="e">
        <f ca="1"/>
        <v>#NAME?</v>
      </c>
      <c r="D725" s="6" t="e">
        <f ca="1"/>
        <v>#NAME?</v>
      </c>
      <c r="E725" s="6" t="e">
        <f ca="1"/>
        <v>#NAME?</v>
      </c>
      <c r="F725" s="6" t="e">
        <f ca="1"/>
        <v>#NAME?</v>
      </c>
      <c r="G725" s="6" t="e">
        <f ca="1"/>
        <v>#NAME?</v>
      </c>
      <c r="H725" s="6" t="e">
        <f ca="1"/>
        <v>#NAME?</v>
      </c>
      <c r="I725" s="6"/>
      <c r="J725" s="6"/>
      <c r="K725" s="6"/>
      <c r="L725" s="6"/>
      <c r="M725" s="6"/>
      <c r="N725" s="6"/>
      <c r="O725" s="6"/>
      <c r="P725" s="6"/>
      <c r="Q725" s="6"/>
      <c r="R725" s="6"/>
      <c r="S725" s="6"/>
      <c r="T725" s="6"/>
    </row>
    <row r="726" spans="1:20">
      <c r="A726" s="6">
        <v>0</v>
      </c>
      <c r="B726" s="6">
        <v>0</v>
      </c>
      <c r="C726" s="6" t="e">
        <f ca="1"/>
        <v>#NAME?</v>
      </c>
      <c r="D726" s="6" t="e">
        <f ca="1"/>
        <v>#NAME?</v>
      </c>
      <c r="E726" s="6" t="e">
        <f ca="1"/>
        <v>#NAME?</v>
      </c>
      <c r="F726" s="6" t="e">
        <f ca="1"/>
        <v>#NAME?</v>
      </c>
      <c r="G726" s="6" t="e">
        <f ca="1"/>
        <v>#NAME?</v>
      </c>
      <c r="H726" s="6" t="e">
        <f ca="1"/>
        <v>#NAME?</v>
      </c>
      <c r="I726" s="6"/>
      <c r="J726" s="6"/>
      <c r="K726" s="6"/>
      <c r="L726" s="6"/>
      <c r="M726" s="6"/>
      <c r="N726" s="6"/>
      <c r="O726" s="6"/>
      <c r="P726" s="6"/>
      <c r="Q726" s="6"/>
      <c r="R726" s="6"/>
      <c r="S726" s="6"/>
      <c r="T726" s="6"/>
    </row>
    <row r="727" spans="1:20">
      <c r="A727" s="6">
        <v>0</v>
      </c>
      <c r="B727" s="6">
        <v>0</v>
      </c>
      <c r="C727" s="6" t="e">
        <f ca="1"/>
        <v>#NAME?</v>
      </c>
      <c r="D727" s="6" t="e">
        <f ca="1"/>
        <v>#NAME?</v>
      </c>
      <c r="E727" s="6" t="e">
        <f ca="1"/>
        <v>#NAME?</v>
      </c>
      <c r="F727" s="6" t="e">
        <f ca="1"/>
        <v>#NAME?</v>
      </c>
      <c r="G727" s="6" t="e">
        <f ca="1"/>
        <v>#NAME?</v>
      </c>
      <c r="H727" s="6" t="e">
        <f ca="1"/>
        <v>#NAME?</v>
      </c>
      <c r="I727" s="6"/>
      <c r="J727" s="6"/>
      <c r="K727" s="6"/>
      <c r="L727" s="6"/>
      <c r="M727" s="6"/>
      <c r="N727" s="6"/>
      <c r="O727" s="6"/>
      <c r="P727" s="6"/>
      <c r="Q727" s="6"/>
      <c r="R727" s="6"/>
      <c r="S727" s="6"/>
      <c r="T727" s="6"/>
    </row>
    <row r="728" spans="1:20">
      <c r="A728" s="6">
        <v>0</v>
      </c>
      <c r="B728" s="6">
        <v>0</v>
      </c>
      <c r="C728" s="6" t="e">
        <f ca="1"/>
        <v>#NAME?</v>
      </c>
      <c r="D728" s="6" t="e">
        <f ca="1"/>
        <v>#NAME?</v>
      </c>
      <c r="E728" s="6" t="e">
        <f ca="1"/>
        <v>#NAME?</v>
      </c>
      <c r="F728" s="6" t="e">
        <f ca="1"/>
        <v>#NAME?</v>
      </c>
      <c r="G728" s="6" t="e">
        <f ca="1"/>
        <v>#NAME?</v>
      </c>
      <c r="H728" s="6" t="e">
        <f ca="1"/>
        <v>#NAME?</v>
      </c>
      <c r="I728" s="6"/>
      <c r="J728" s="6"/>
      <c r="K728" s="6"/>
      <c r="L728" s="6"/>
      <c r="M728" s="6"/>
      <c r="N728" s="6"/>
      <c r="O728" s="6"/>
      <c r="P728" s="6"/>
      <c r="Q728" s="6"/>
      <c r="R728" s="6"/>
      <c r="S728" s="6"/>
      <c r="T728" s="6"/>
    </row>
    <row r="729" spans="1:20">
      <c r="A729" s="6">
        <v>0</v>
      </c>
      <c r="B729" s="6">
        <v>0</v>
      </c>
      <c r="C729" s="6" t="e">
        <f ca="1"/>
        <v>#NAME?</v>
      </c>
      <c r="D729" s="6" t="e">
        <f ca="1"/>
        <v>#NAME?</v>
      </c>
      <c r="E729" s="6" t="e">
        <f ca="1"/>
        <v>#NAME?</v>
      </c>
      <c r="F729" s="6" t="e">
        <f ca="1"/>
        <v>#NAME?</v>
      </c>
      <c r="G729" s="6" t="e">
        <f ca="1"/>
        <v>#NAME?</v>
      </c>
      <c r="H729" s="6" t="e">
        <f ca="1"/>
        <v>#NAME?</v>
      </c>
      <c r="I729" s="6"/>
      <c r="J729" s="6"/>
      <c r="K729" s="6"/>
      <c r="L729" s="6"/>
      <c r="M729" s="6"/>
      <c r="N729" s="6"/>
      <c r="O729" s="6"/>
      <c r="P729" s="6"/>
      <c r="Q729" s="6"/>
      <c r="R729" s="6"/>
      <c r="S729" s="6"/>
      <c r="T729" s="6"/>
    </row>
    <row r="730" spans="1:20">
      <c r="A730" s="6">
        <v>0</v>
      </c>
      <c r="B730" s="6">
        <v>0</v>
      </c>
      <c r="C730" s="6" t="e">
        <f ca="1"/>
        <v>#NAME?</v>
      </c>
      <c r="D730" s="6" t="e">
        <f ca="1"/>
        <v>#NAME?</v>
      </c>
      <c r="E730" s="6" t="e">
        <f ca="1"/>
        <v>#NAME?</v>
      </c>
      <c r="F730" s="6" t="e">
        <f ca="1"/>
        <v>#NAME?</v>
      </c>
      <c r="G730" s="6" t="e">
        <f ca="1"/>
        <v>#NAME?</v>
      </c>
      <c r="H730" s="6" t="e">
        <f ca="1"/>
        <v>#NAME?</v>
      </c>
      <c r="I730" s="6"/>
      <c r="J730" s="6"/>
      <c r="K730" s="6"/>
      <c r="L730" s="6"/>
      <c r="M730" s="6"/>
      <c r="N730" s="6"/>
      <c r="O730" s="6"/>
      <c r="P730" s="6"/>
      <c r="Q730" s="6"/>
      <c r="R730" s="6"/>
      <c r="S730" s="6"/>
      <c r="T730" s="6"/>
    </row>
    <row r="731" spans="1:20">
      <c r="A731" s="6">
        <v>0</v>
      </c>
      <c r="B731" s="6">
        <v>0</v>
      </c>
      <c r="C731" s="6" t="e">
        <f ca="1"/>
        <v>#NAME?</v>
      </c>
      <c r="D731" s="6" t="e">
        <f ca="1"/>
        <v>#NAME?</v>
      </c>
      <c r="E731" s="6" t="e">
        <f ca="1"/>
        <v>#NAME?</v>
      </c>
      <c r="F731" s="6" t="e">
        <f ca="1"/>
        <v>#NAME?</v>
      </c>
      <c r="G731" s="6" t="e">
        <f ca="1"/>
        <v>#NAME?</v>
      </c>
      <c r="H731" s="6" t="e">
        <f ca="1"/>
        <v>#NAME?</v>
      </c>
      <c r="I731" s="6"/>
      <c r="J731" s="6"/>
      <c r="K731" s="6"/>
      <c r="L731" s="6"/>
      <c r="M731" s="6"/>
      <c r="N731" s="6"/>
      <c r="O731" s="6"/>
      <c r="P731" s="6"/>
      <c r="Q731" s="6"/>
      <c r="R731" s="6"/>
      <c r="S731" s="6"/>
      <c r="T731" s="6"/>
    </row>
    <row r="732" spans="1:20">
      <c r="A732" s="6">
        <v>0</v>
      </c>
      <c r="B732" s="6">
        <v>0</v>
      </c>
      <c r="C732" s="6" t="e">
        <f ca="1"/>
        <v>#NAME?</v>
      </c>
      <c r="D732" s="6" t="e">
        <f ca="1"/>
        <v>#NAME?</v>
      </c>
      <c r="E732" s="6" t="e">
        <f ca="1"/>
        <v>#NAME?</v>
      </c>
      <c r="F732" s="6" t="e">
        <f ca="1"/>
        <v>#NAME?</v>
      </c>
      <c r="G732" s="6" t="e">
        <f ca="1"/>
        <v>#NAME?</v>
      </c>
      <c r="H732" s="6" t="e">
        <f ca="1"/>
        <v>#NAME?</v>
      </c>
      <c r="I732" s="6"/>
      <c r="J732" s="6"/>
      <c r="K732" s="6"/>
      <c r="L732" s="6"/>
      <c r="M732" s="6"/>
      <c r="N732" s="6"/>
      <c r="O732" s="6"/>
      <c r="P732" s="6"/>
      <c r="Q732" s="6"/>
      <c r="R732" s="6"/>
      <c r="S732" s="6"/>
      <c r="T732" s="6"/>
    </row>
    <row r="733" spans="1:20">
      <c r="A733" s="6">
        <v>0</v>
      </c>
      <c r="B733" s="6">
        <v>0</v>
      </c>
      <c r="C733" s="6" t="e">
        <f ca="1"/>
        <v>#NAME?</v>
      </c>
      <c r="D733" s="6" t="e">
        <f ca="1"/>
        <v>#NAME?</v>
      </c>
      <c r="E733" s="6" t="e">
        <f ca="1"/>
        <v>#NAME?</v>
      </c>
      <c r="F733" s="6" t="e">
        <f ca="1"/>
        <v>#NAME?</v>
      </c>
      <c r="G733" s="6" t="e">
        <f ca="1"/>
        <v>#NAME?</v>
      </c>
      <c r="H733" s="6" t="e">
        <f ca="1"/>
        <v>#NAME?</v>
      </c>
      <c r="I733" s="6"/>
      <c r="J733" s="6"/>
      <c r="K733" s="6"/>
      <c r="L733" s="6"/>
      <c r="M733" s="6"/>
      <c r="N733" s="6"/>
      <c r="O733" s="6"/>
      <c r="P733" s="6"/>
      <c r="Q733" s="6"/>
      <c r="R733" s="6"/>
      <c r="S733" s="6"/>
      <c r="T733" s="6"/>
    </row>
    <row r="734" spans="1:20">
      <c r="A734" s="6">
        <v>0</v>
      </c>
      <c r="B734" s="6">
        <v>0</v>
      </c>
      <c r="C734" s="6" t="e">
        <f ca="1"/>
        <v>#NAME?</v>
      </c>
      <c r="D734" s="6" t="e">
        <f ca="1"/>
        <v>#NAME?</v>
      </c>
      <c r="E734" s="6" t="e">
        <f ca="1"/>
        <v>#NAME?</v>
      </c>
      <c r="F734" s="6" t="e">
        <f ca="1"/>
        <v>#NAME?</v>
      </c>
      <c r="G734" s="6" t="e">
        <f ca="1"/>
        <v>#NAME?</v>
      </c>
      <c r="H734" s="6" t="e">
        <f ca="1"/>
        <v>#NAME?</v>
      </c>
      <c r="I734" s="6"/>
      <c r="J734" s="6"/>
      <c r="K734" s="6"/>
      <c r="L734" s="6"/>
      <c r="M734" s="6"/>
      <c r="N734" s="6"/>
      <c r="O734" s="6"/>
      <c r="P734" s="6"/>
      <c r="Q734" s="6"/>
      <c r="R734" s="6"/>
      <c r="S734" s="6"/>
      <c r="T734" s="6"/>
    </row>
    <row r="735" spans="1:20">
      <c r="A735" s="6">
        <v>0</v>
      </c>
      <c r="B735" s="6">
        <v>0</v>
      </c>
      <c r="C735" s="6" t="e">
        <f ca="1"/>
        <v>#NAME?</v>
      </c>
      <c r="D735" s="6" t="e">
        <f ca="1"/>
        <v>#NAME?</v>
      </c>
      <c r="E735" s="6" t="e">
        <f ca="1"/>
        <v>#NAME?</v>
      </c>
      <c r="F735" s="6" t="e">
        <f ca="1"/>
        <v>#NAME?</v>
      </c>
      <c r="G735" s="6" t="e">
        <f ca="1"/>
        <v>#NAME?</v>
      </c>
      <c r="H735" s="6" t="e">
        <f ca="1"/>
        <v>#NAME?</v>
      </c>
      <c r="I735" s="6"/>
      <c r="J735" s="6"/>
      <c r="K735" s="6"/>
      <c r="L735" s="6"/>
      <c r="M735" s="6"/>
      <c r="N735" s="6"/>
      <c r="O735" s="6"/>
      <c r="P735" s="6"/>
      <c r="Q735" s="6"/>
      <c r="R735" s="6"/>
      <c r="S735" s="6"/>
      <c r="T735" s="6"/>
    </row>
    <row r="736" spans="1:20">
      <c r="A736" s="6">
        <v>0</v>
      </c>
      <c r="B736" s="6">
        <v>0</v>
      </c>
      <c r="C736" s="6" t="e">
        <f ca="1"/>
        <v>#NAME?</v>
      </c>
      <c r="D736" s="6" t="e">
        <f ca="1"/>
        <v>#NAME?</v>
      </c>
      <c r="E736" s="6" t="e">
        <f ca="1"/>
        <v>#NAME?</v>
      </c>
      <c r="F736" s="6" t="e">
        <f ca="1"/>
        <v>#NAME?</v>
      </c>
      <c r="G736" s="6" t="e">
        <f ca="1"/>
        <v>#NAME?</v>
      </c>
      <c r="H736" s="6" t="e">
        <f ca="1"/>
        <v>#NAME?</v>
      </c>
      <c r="I736" s="6"/>
      <c r="J736" s="6"/>
      <c r="K736" s="6"/>
      <c r="L736" s="6"/>
      <c r="M736" s="6"/>
      <c r="N736" s="6"/>
      <c r="O736" s="6"/>
      <c r="P736" s="6"/>
      <c r="Q736" s="6"/>
      <c r="R736" s="6"/>
      <c r="S736" s="6"/>
      <c r="T736" s="6"/>
    </row>
    <row r="737" spans="1:20">
      <c r="A737" s="6">
        <v>0</v>
      </c>
      <c r="B737" s="6">
        <v>0</v>
      </c>
      <c r="C737" s="6" t="e">
        <f ca="1"/>
        <v>#NAME?</v>
      </c>
      <c r="D737" s="6" t="e">
        <f ca="1"/>
        <v>#NAME?</v>
      </c>
      <c r="E737" s="6" t="e">
        <f ca="1"/>
        <v>#NAME?</v>
      </c>
      <c r="F737" s="6" t="e">
        <f ca="1"/>
        <v>#NAME?</v>
      </c>
      <c r="G737" s="6" t="e">
        <f ca="1"/>
        <v>#NAME?</v>
      </c>
      <c r="H737" s="6" t="e">
        <f ca="1"/>
        <v>#NAME?</v>
      </c>
      <c r="I737" s="6"/>
      <c r="J737" s="6"/>
      <c r="K737" s="6"/>
      <c r="L737" s="6"/>
      <c r="M737" s="6"/>
      <c r="N737" s="6"/>
      <c r="O737" s="6"/>
      <c r="P737" s="6"/>
      <c r="Q737" s="6"/>
      <c r="R737" s="6"/>
      <c r="S737" s="6"/>
      <c r="T737" s="6"/>
    </row>
    <row r="738" spans="1:20">
      <c r="A738" s="6">
        <v>0</v>
      </c>
      <c r="B738" s="6">
        <v>0</v>
      </c>
      <c r="C738" s="6" t="e">
        <f ca="1"/>
        <v>#NAME?</v>
      </c>
      <c r="D738" s="6" t="e">
        <f ca="1"/>
        <v>#NAME?</v>
      </c>
      <c r="E738" s="6" t="e">
        <f ca="1"/>
        <v>#NAME?</v>
      </c>
      <c r="F738" s="6" t="e">
        <f ca="1"/>
        <v>#NAME?</v>
      </c>
      <c r="G738" s="6" t="e">
        <f ca="1"/>
        <v>#NAME?</v>
      </c>
      <c r="H738" s="6" t="e">
        <f ca="1"/>
        <v>#NAME?</v>
      </c>
      <c r="I738" s="6"/>
      <c r="J738" s="6"/>
      <c r="K738" s="6"/>
      <c r="L738" s="6"/>
      <c r="M738" s="6"/>
      <c r="N738" s="6"/>
      <c r="O738" s="6"/>
      <c r="P738" s="6"/>
      <c r="Q738" s="6"/>
      <c r="R738" s="6"/>
      <c r="S738" s="6"/>
      <c r="T738" s="6"/>
    </row>
    <row r="739" spans="1:20">
      <c r="A739" s="6">
        <v>0</v>
      </c>
      <c r="B739" s="6">
        <v>0</v>
      </c>
      <c r="C739" s="6" t="e">
        <f ca="1"/>
        <v>#NAME?</v>
      </c>
      <c r="D739" s="6" t="e">
        <f ca="1"/>
        <v>#NAME?</v>
      </c>
      <c r="E739" s="6" t="e">
        <f ca="1"/>
        <v>#NAME?</v>
      </c>
      <c r="F739" s="6" t="e">
        <f ca="1"/>
        <v>#NAME?</v>
      </c>
      <c r="G739" s="6" t="e">
        <f ca="1"/>
        <v>#NAME?</v>
      </c>
      <c r="H739" s="6" t="e">
        <f ca="1"/>
        <v>#NAME?</v>
      </c>
      <c r="I739" s="6"/>
      <c r="J739" s="6"/>
      <c r="K739" s="6"/>
      <c r="L739" s="6"/>
      <c r="M739" s="6"/>
      <c r="N739" s="6"/>
      <c r="O739" s="6"/>
      <c r="P739" s="6"/>
      <c r="Q739" s="6"/>
      <c r="R739" s="6"/>
      <c r="S739" s="6"/>
      <c r="T739" s="6"/>
    </row>
    <row r="740" spans="1:20">
      <c r="A740" s="6">
        <v>0</v>
      </c>
      <c r="B740" s="6">
        <v>0</v>
      </c>
      <c r="C740" s="6" t="e">
        <f ca="1"/>
        <v>#NAME?</v>
      </c>
      <c r="D740" s="6" t="e">
        <f ca="1"/>
        <v>#NAME?</v>
      </c>
      <c r="E740" s="6" t="e">
        <f ca="1"/>
        <v>#NAME?</v>
      </c>
      <c r="F740" s="6" t="e">
        <f ca="1"/>
        <v>#NAME?</v>
      </c>
      <c r="G740" s="6" t="e">
        <f ca="1"/>
        <v>#NAME?</v>
      </c>
      <c r="H740" s="6" t="e">
        <f ca="1"/>
        <v>#NAME?</v>
      </c>
      <c r="I740" s="6"/>
      <c r="J740" s="6"/>
      <c r="K740" s="6"/>
      <c r="L740" s="6"/>
      <c r="M740" s="6"/>
      <c r="N740" s="6"/>
      <c r="O740" s="6"/>
      <c r="P740" s="6"/>
      <c r="Q740" s="6"/>
      <c r="R740" s="6"/>
      <c r="S740" s="6"/>
      <c r="T740" s="6"/>
    </row>
    <row r="741" spans="1:20">
      <c r="A741" s="6">
        <v>0</v>
      </c>
      <c r="B741" s="6">
        <v>0</v>
      </c>
      <c r="C741" s="6" t="e">
        <f ca="1"/>
        <v>#NAME?</v>
      </c>
      <c r="D741" s="6" t="e">
        <f ca="1"/>
        <v>#NAME?</v>
      </c>
      <c r="E741" s="6" t="e">
        <f ca="1"/>
        <v>#NAME?</v>
      </c>
      <c r="F741" s="6" t="e">
        <f ca="1"/>
        <v>#NAME?</v>
      </c>
      <c r="G741" s="6" t="e">
        <f ca="1"/>
        <v>#NAME?</v>
      </c>
      <c r="H741" s="6" t="e">
        <f ca="1"/>
        <v>#NAME?</v>
      </c>
      <c r="I741" s="6"/>
      <c r="J741" s="6"/>
      <c r="K741" s="6"/>
      <c r="L741" s="6"/>
      <c r="M741" s="6"/>
      <c r="N741" s="6"/>
      <c r="O741" s="6"/>
      <c r="P741" s="6"/>
      <c r="Q741" s="6"/>
      <c r="R741" s="6"/>
      <c r="S741" s="6"/>
      <c r="T741" s="6"/>
    </row>
    <row r="742" spans="1:20">
      <c r="A742" s="6">
        <v>0</v>
      </c>
      <c r="B742" s="6">
        <v>0</v>
      </c>
      <c r="C742" s="6" t="e">
        <f ca="1"/>
        <v>#NAME?</v>
      </c>
      <c r="D742" s="6" t="e">
        <f ca="1"/>
        <v>#NAME?</v>
      </c>
      <c r="E742" s="6" t="e">
        <f ca="1"/>
        <v>#NAME?</v>
      </c>
      <c r="F742" s="6" t="e">
        <f ca="1"/>
        <v>#NAME?</v>
      </c>
      <c r="G742" s="6" t="e">
        <f ca="1"/>
        <v>#NAME?</v>
      </c>
      <c r="H742" s="6" t="e">
        <f ca="1"/>
        <v>#NAME?</v>
      </c>
      <c r="I742" s="6"/>
      <c r="J742" s="6"/>
      <c r="K742" s="6"/>
      <c r="L742" s="6"/>
      <c r="M742" s="6"/>
      <c r="N742" s="6"/>
      <c r="O742" s="6"/>
      <c r="P742" s="6"/>
      <c r="Q742" s="6"/>
      <c r="R742" s="6"/>
      <c r="S742" s="6"/>
      <c r="T742" s="6"/>
    </row>
    <row r="743" spans="1:20">
      <c r="A743" s="6">
        <v>0</v>
      </c>
      <c r="B743" s="6">
        <v>0</v>
      </c>
      <c r="C743" s="6" t="e">
        <f ca="1"/>
        <v>#NAME?</v>
      </c>
      <c r="D743" s="6" t="e">
        <f ca="1"/>
        <v>#NAME?</v>
      </c>
      <c r="E743" s="6" t="e">
        <f ca="1"/>
        <v>#NAME?</v>
      </c>
      <c r="F743" s="6" t="e">
        <f ca="1"/>
        <v>#NAME?</v>
      </c>
      <c r="G743" s="6" t="e">
        <f ca="1"/>
        <v>#NAME?</v>
      </c>
      <c r="H743" s="6" t="e">
        <f ca="1"/>
        <v>#NAME?</v>
      </c>
      <c r="I743" s="6"/>
      <c r="J743" s="6"/>
      <c r="K743" s="6"/>
      <c r="L743" s="6"/>
      <c r="M743" s="6"/>
      <c r="N743" s="6"/>
      <c r="O743" s="6"/>
      <c r="P743" s="6"/>
      <c r="Q743" s="6"/>
      <c r="R743" s="6"/>
      <c r="S743" s="6"/>
      <c r="T743" s="6"/>
    </row>
    <row r="744" spans="1:20">
      <c r="A744" s="6">
        <v>0</v>
      </c>
      <c r="B744" s="6">
        <v>0</v>
      </c>
      <c r="C744" s="6" t="e">
        <f ca="1"/>
        <v>#NAME?</v>
      </c>
      <c r="D744" s="6" t="e">
        <f ca="1"/>
        <v>#NAME?</v>
      </c>
      <c r="E744" s="6" t="e">
        <f ca="1"/>
        <v>#NAME?</v>
      </c>
      <c r="F744" s="6" t="e">
        <f ca="1"/>
        <v>#NAME?</v>
      </c>
      <c r="G744" s="6" t="e">
        <f ca="1"/>
        <v>#NAME?</v>
      </c>
      <c r="H744" s="6" t="e">
        <f ca="1"/>
        <v>#NAME?</v>
      </c>
      <c r="I744" s="6"/>
      <c r="J744" s="6"/>
      <c r="K744" s="6"/>
      <c r="L744" s="6"/>
      <c r="M744" s="6"/>
      <c r="N744" s="6"/>
      <c r="O744" s="6"/>
      <c r="P744" s="6"/>
      <c r="Q744" s="6"/>
      <c r="R744" s="6"/>
      <c r="S744" s="6"/>
      <c r="T744" s="6"/>
    </row>
    <row r="745" spans="1:20">
      <c r="A745" s="6">
        <v>0</v>
      </c>
      <c r="B745" s="6">
        <v>0</v>
      </c>
      <c r="C745" s="6" t="e">
        <f ca="1"/>
        <v>#NAME?</v>
      </c>
      <c r="D745" s="6" t="e">
        <f ca="1"/>
        <v>#NAME?</v>
      </c>
      <c r="E745" s="6" t="e">
        <f ca="1"/>
        <v>#NAME?</v>
      </c>
      <c r="F745" s="6" t="e">
        <f ca="1"/>
        <v>#NAME?</v>
      </c>
      <c r="G745" s="6" t="e">
        <f ca="1"/>
        <v>#NAME?</v>
      </c>
      <c r="H745" s="6" t="e">
        <f ca="1"/>
        <v>#NAME?</v>
      </c>
      <c r="I745" s="6"/>
      <c r="J745" s="6"/>
      <c r="K745" s="6"/>
      <c r="L745" s="6"/>
      <c r="M745" s="6"/>
      <c r="N745" s="6"/>
      <c r="O745" s="6"/>
      <c r="P745" s="6"/>
      <c r="Q745" s="6"/>
      <c r="R745" s="6"/>
      <c r="S745" s="6"/>
      <c r="T745" s="6"/>
    </row>
    <row r="746" spans="1:20">
      <c r="A746" s="6">
        <v>0</v>
      </c>
      <c r="B746" s="6">
        <v>0</v>
      </c>
      <c r="C746" s="6" t="e">
        <f ca="1"/>
        <v>#NAME?</v>
      </c>
      <c r="D746" s="6" t="e">
        <f ca="1"/>
        <v>#NAME?</v>
      </c>
      <c r="E746" s="6" t="e">
        <f ca="1"/>
        <v>#NAME?</v>
      </c>
      <c r="F746" s="6" t="e">
        <f ca="1"/>
        <v>#NAME?</v>
      </c>
      <c r="G746" s="6" t="e">
        <f ca="1"/>
        <v>#NAME?</v>
      </c>
      <c r="H746" s="6" t="e">
        <f ca="1"/>
        <v>#NAME?</v>
      </c>
      <c r="I746" s="6"/>
      <c r="J746" s="6"/>
      <c r="K746" s="6"/>
      <c r="L746" s="6"/>
      <c r="M746" s="6"/>
      <c r="N746" s="6"/>
      <c r="O746" s="6"/>
      <c r="P746" s="6"/>
      <c r="Q746" s="6"/>
      <c r="R746" s="6"/>
      <c r="S746" s="6"/>
      <c r="T746" s="6"/>
    </row>
    <row r="747" spans="1:20">
      <c r="A747" s="6">
        <v>0</v>
      </c>
      <c r="B747" s="6">
        <v>0</v>
      </c>
      <c r="C747" s="6" t="e">
        <f ca="1"/>
        <v>#NAME?</v>
      </c>
      <c r="D747" s="6" t="e">
        <f ca="1"/>
        <v>#NAME?</v>
      </c>
      <c r="E747" s="6" t="e">
        <f ca="1"/>
        <v>#NAME?</v>
      </c>
      <c r="F747" s="6" t="e">
        <f ca="1"/>
        <v>#NAME?</v>
      </c>
      <c r="G747" s="6" t="e">
        <f ca="1"/>
        <v>#NAME?</v>
      </c>
      <c r="H747" s="6" t="e">
        <f ca="1"/>
        <v>#NAME?</v>
      </c>
      <c r="I747" s="6"/>
      <c r="J747" s="6"/>
      <c r="K747" s="6"/>
      <c r="L747" s="6"/>
      <c r="M747" s="6"/>
      <c r="N747" s="6"/>
      <c r="O747" s="6"/>
      <c r="P747" s="6"/>
      <c r="Q747" s="6"/>
      <c r="R747" s="6"/>
      <c r="S747" s="6"/>
      <c r="T747" s="6"/>
    </row>
    <row r="748" spans="1:20">
      <c r="A748" s="6">
        <v>0</v>
      </c>
      <c r="B748" s="6">
        <v>0</v>
      </c>
      <c r="C748" s="6" t="e">
        <f ca="1"/>
        <v>#NAME?</v>
      </c>
      <c r="D748" s="6" t="e">
        <f ca="1"/>
        <v>#NAME?</v>
      </c>
      <c r="E748" s="6" t="e">
        <f ca="1"/>
        <v>#NAME?</v>
      </c>
      <c r="F748" s="6" t="e">
        <f ca="1"/>
        <v>#NAME?</v>
      </c>
      <c r="G748" s="6" t="e">
        <f ca="1"/>
        <v>#NAME?</v>
      </c>
      <c r="H748" s="6" t="e">
        <f ca="1"/>
        <v>#NAME?</v>
      </c>
      <c r="I748" s="6"/>
      <c r="J748" s="6"/>
      <c r="K748" s="6"/>
      <c r="L748" s="6"/>
      <c r="M748" s="6"/>
      <c r="N748" s="6"/>
      <c r="O748" s="6"/>
      <c r="P748" s="6"/>
      <c r="Q748" s="6"/>
      <c r="R748" s="6"/>
      <c r="S748" s="6"/>
      <c r="T748" s="6"/>
    </row>
    <row r="749" spans="1:20">
      <c r="A749" s="6">
        <v>0</v>
      </c>
      <c r="B749" s="6">
        <v>0</v>
      </c>
      <c r="C749" s="6" t="e">
        <f ca="1"/>
        <v>#NAME?</v>
      </c>
      <c r="D749" s="6" t="e">
        <f ca="1"/>
        <v>#NAME?</v>
      </c>
      <c r="E749" s="6" t="e">
        <f ca="1"/>
        <v>#NAME?</v>
      </c>
      <c r="F749" s="6" t="e">
        <f ca="1"/>
        <v>#NAME?</v>
      </c>
      <c r="G749" s="6" t="e">
        <f ca="1"/>
        <v>#NAME?</v>
      </c>
      <c r="H749" s="6" t="e">
        <f ca="1"/>
        <v>#NAME?</v>
      </c>
      <c r="I749" s="6"/>
      <c r="J749" s="6"/>
      <c r="K749" s="6"/>
      <c r="L749" s="6"/>
      <c r="M749" s="6"/>
      <c r="N749" s="6"/>
      <c r="O749" s="6"/>
      <c r="P749" s="6"/>
      <c r="Q749" s="6"/>
      <c r="R749" s="6"/>
      <c r="S749" s="6"/>
      <c r="T749" s="6"/>
    </row>
    <row r="750" spans="1:20">
      <c r="A750" s="6">
        <v>0</v>
      </c>
      <c r="B750" s="6">
        <v>0</v>
      </c>
      <c r="C750" s="6" t="e">
        <f ca="1"/>
        <v>#NAME?</v>
      </c>
      <c r="D750" s="6" t="e">
        <f ca="1"/>
        <v>#NAME?</v>
      </c>
      <c r="E750" s="6" t="e">
        <f ca="1"/>
        <v>#NAME?</v>
      </c>
      <c r="F750" s="6" t="e">
        <f ca="1"/>
        <v>#NAME?</v>
      </c>
      <c r="G750" s="6" t="e">
        <f ca="1"/>
        <v>#NAME?</v>
      </c>
      <c r="H750" s="6" t="e">
        <f ca="1"/>
        <v>#NAME?</v>
      </c>
      <c r="I750" s="6"/>
      <c r="J750" s="6"/>
      <c r="K750" s="6"/>
      <c r="L750" s="6"/>
      <c r="M750" s="6"/>
      <c r="N750" s="6"/>
      <c r="O750" s="6"/>
      <c r="P750" s="6"/>
      <c r="Q750" s="6"/>
      <c r="R750" s="6"/>
      <c r="S750" s="6"/>
      <c r="T750" s="6"/>
    </row>
    <row r="751" spans="1:20">
      <c r="A751" s="6">
        <v>0</v>
      </c>
      <c r="B751" s="6">
        <v>0</v>
      </c>
      <c r="C751" s="6" t="e">
        <f ca="1"/>
        <v>#NAME?</v>
      </c>
      <c r="D751" s="6" t="e">
        <f ca="1"/>
        <v>#NAME?</v>
      </c>
      <c r="E751" s="6" t="e">
        <f ca="1"/>
        <v>#NAME?</v>
      </c>
      <c r="F751" s="6" t="e">
        <f ca="1"/>
        <v>#NAME?</v>
      </c>
      <c r="G751" s="6" t="e">
        <f ca="1"/>
        <v>#NAME?</v>
      </c>
      <c r="H751" s="6" t="e">
        <f ca="1"/>
        <v>#NAME?</v>
      </c>
      <c r="I751" s="6"/>
      <c r="J751" s="6"/>
      <c r="K751" s="6"/>
      <c r="L751" s="6"/>
      <c r="M751" s="6"/>
      <c r="N751" s="6"/>
      <c r="O751" s="6"/>
      <c r="P751" s="6"/>
      <c r="Q751" s="6"/>
      <c r="R751" s="6"/>
      <c r="S751" s="6"/>
      <c r="T751" s="6"/>
    </row>
    <row r="752" spans="1:20">
      <c r="A752" s="6">
        <v>0</v>
      </c>
      <c r="B752" s="6">
        <v>0</v>
      </c>
      <c r="C752" s="6" t="e">
        <f ca="1"/>
        <v>#NAME?</v>
      </c>
      <c r="D752" s="6" t="e">
        <f ca="1"/>
        <v>#NAME?</v>
      </c>
      <c r="E752" s="6" t="e">
        <f ca="1"/>
        <v>#NAME?</v>
      </c>
      <c r="F752" s="6" t="e">
        <f ca="1"/>
        <v>#NAME?</v>
      </c>
      <c r="G752" s="6" t="e">
        <f ca="1"/>
        <v>#NAME?</v>
      </c>
      <c r="H752" s="6" t="e">
        <f ca="1"/>
        <v>#NAME?</v>
      </c>
      <c r="I752" s="6"/>
      <c r="J752" s="6"/>
      <c r="K752" s="6"/>
      <c r="L752" s="6"/>
      <c r="M752" s="6"/>
      <c r="N752" s="6"/>
      <c r="O752" s="6"/>
      <c r="P752" s="6"/>
      <c r="Q752" s="6"/>
      <c r="R752" s="6"/>
      <c r="S752" s="6"/>
      <c r="T752" s="6"/>
    </row>
    <row r="753" spans="1:20">
      <c r="A753" s="6">
        <v>0</v>
      </c>
      <c r="B753" s="6">
        <v>0</v>
      </c>
      <c r="C753" s="6" t="e">
        <f ca="1"/>
        <v>#NAME?</v>
      </c>
      <c r="D753" s="6" t="e">
        <f ca="1"/>
        <v>#NAME?</v>
      </c>
      <c r="E753" s="6" t="e">
        <f ca="1"/>
        <v>#NAME?</v>
      </c>
      <c r="F753" s="6" t="e">
        <f ca="1"/>
        <v>#NAME?</v>
      </c>
      <c r="G753" s="6" t="e">
        <f ca="1"/>
        <v>#NAME?</v>
      </c>
      <c r="H753" s="6" t="e">
        <f ca="1"/>
        <v>#NAME?</v>
      </c>
      <c r="I753" s="6"/>
      <c r="J753" s="6"/>
      <c r="K753" s="6"/>
      <c r="L753" s="6"/>
      <c r="M753" s="6"/>
      <c r="N753" s="6"/>
      <c r="O753" s="6"/>
      <c r="P753" s="6"/>
      <c r="Q753" s="6"/>
      <c r="R753" s="6"/>
      <c r="S753" s="6"/>
      <c r="T753" s="6"/>
    </row>
    <row r="754" spans="1:20">
      <c r="A754" s="6">
        <v>0</v>
      </c>
      <c r="B754" s="6">
        <v>0</v>
      </c>
      <c r="C754" s="6" t="e">
        <f ca="1"/>
        <v>#NAME?</v>
      </c>
      <c r="D754" s="6" t="e">
        <f ca="1"/>
        <v>#NAME?</v>
      </c>
      <c r="E754" s="6" t="e">
        <f ca="1"/>
        <v>#NAME?</v>
      </c>
      <c r="F754" s="6" t="e">
        <f ca="1"/>
        <v>#NAME?</v>
      </c>
      <c r="G754" s="6" t="e">
        <f ca="1"/>
        <v>#NAME?</v>
      </c>
      <c r="H754" s="6" t="e">
        <f ca="1"/>
        <v>#NAME?</v>
      </c>
      <c r="I754" s="6"/>
      <c r="J754" s="6"/>
      <c r="K754" s="6"/>
      <c r="L754" s="6"/>
      <c r="M754" s="6"/>
      <c r="N754" s="6"/>
      <c r="O754" s="6"/>
      <c r="P754" s="6"/>
      <c r="Q754" s="6"/>
      <c r="R754" s="6"/>
      <c r="S754" s="6"/>
      <c r="T754" s="6"/>
    </row>
    <row r="755" spans="1:20">
      <c r="A755" s="6">
        <v>0</v>
      </c>
      <c r="B755" s="6">
        <v>0</v>
      </c>
      <c r="C755" s="6" t="e">
        <f ca="1"/>
        <v>#NAME?</v>
      </c>
      <c r="D755" s="6" t="e">
        <f ca="1"/>
        <v>#NAME?</v>
      </c>
      <c r="E755" s="6" t="e">
        <f ca="1"/>
        <v>#NAME?</v>
      </c>
      <c r="F755" s="6" t="e">
        <f ca="1"/>
        <v>#NAME?</v>
      </c>
      <c r="G755" s="6" t="e">
        <f ca="1"/>
        <v>#NAME?</v>
      </c>
      <c r="H755" s="6" t="e">
        <f ca="1"/>
        <v>#NAME?</v>
      </c>
      <c r="I755" s="6"/>
      <c r="J755" s="6"/>
      <c r="K755" s="6"/>
      <c r="L755" s="6"/>
      <c r="M755" s="6"/>
      <c r="N755" s="6"/>
      <c r="O755" s="6"/>
      <c r="P755" s="6"/>
      <c r="Q755" s="6"/>
      <c r="R755" s="6"/>
      <c r="S755" s="6"/>
      <c r="T755" s="6"/>
    </row>
    <row r="756" spans="1:20">
      <c r="A756" s="6">
        <v>0</v>
      </c>
      <c r="B756" s="6">
        <v>0</v>
      </c>
      <c r="C756" s="6" t="e">
        <f ca="1"/>
        <v>#NAME?</v>
      </c>
      <c r="D756" s="6" t="e">
        <f ca="1"/>
        <v>#NAME?</v>
      </c>
      <c r="E756" s="6" t="e">
        <f ca="1"/>
        <v>#NAME?</v>
      </c>
      <c r="F756" s="6" t="e">
        <f ca="1"/>
        <v>#NAME?</v>
      </c>
      <c r="G756" s="6" t="e">
        <f ca="1"/>
        <v>#NAME?</v>
      </c>
      <c r="H756" s="6" t="e">
        <f ca="1"/>
        <v>#NAME?</v>
      </c>
      <c r="I756" s="6"/>
      <c r="J756" s="6"/>
      <c r="K756" s="6"/>
      <c r="L756" s="6"/>
      <c r="M756" s="6"/>
      <c r="N756" s="6"/>
      <c r="O756" s="6"/>
      <c r="P756" s="6"/>
      <c r="Q756" s="6"/>
      <c r="R756" s="6"/>
      <c r="S756" s="6"/>
      <c r="T756" s="6"/>
    </row>
    <row r="757" spans="1:20">
      <c r="A757" s="6">
        <v>0</v>
      </c>
      <c r="B757" s="6">
        <v>0</v>
      </c>
      <c r="C757" s="6" t="e">
        <f ca="1"/>
        <v>#NAME?</v>
      </c>
      <c r="D757" s="6" t="e">
        <f ca="1"/>
        <v>#NAME?</v>
      </c>
      <c r="E757" s="6" t="e">
        <f ca="1"/>
        <v>#NAME?</v>
      </c>
      <c r="F757" s="6" t="e">
        <f ca="1"/>
        <v>#NAME?</v>
      </c>
      <c r="G757" s="6" t="e">
        <f ca="1"/>
        <v>#NAME?</v>
      </c>
      <c r="H757" s="6" t="e">
        <f ca="1"/>
        <v>#NAME?</v>
      </c>
      <c r="I757" s="6"/>
      <c r="J757" s="6"/>
      <c r="K757" s="6"/>
      <c r="L757" s="6"/>
      <c r="M757" s="6"/>
      <c r="N757" s="6"/>
      <c r="O757" s="6"/>
      <c r="P757" s="6"/>
      <c r="Q757" s="6"/>
      <c r="R757" s="6"/>
      <c r="S757" s="6"/>
      <c r="T757" s="6"/>
    </row>
    <row r="758" spans="1:20">
      <c r="A758" s="6">
        <v>0</v>
      </c>
      <c r="B758" s="6">
        <v>0</v>
      </c>
      <c r="C758" s="6" t="e">
        <f ca="1"/>
        <v>#NAME?</v>
      </c>
      <c r="D758" s="6" t="e">
        <f ca="1"/>
        <v>#NAME?</v>
      </c>
      <c r="E758" s="6" t="e">
        <f ca="1"/>
        <v>#NAME?</v>
      </c>
      <c r="F758" s="6" t="e">
        <f ca="1"/>
        <v>#NAME?</v>
      </c>
      <c r="G758" s="6" t="e">
        <f ca="1"/>
        <v>#NAME?</v>
      </c>
      <c r="H758" s="6" t="e">
        <f ca="1"/>
        <v>#NAME?</v>
      </c>
      <c r="I758" s="6"/>
      <c r="J758" s="6"/>
      <c r="K758" s="6"/>
      <c r="L758" s="6"/>
      <c r="M758" s="6"/>
      <c r="N758" s="6"/>
      <c r="O758" s="6"/>
      <c r="P758" s="6"/>
      <c r="Q758" s="6"/>
      <c r="R758" s="6"/>
      <c r="S758" s="6"/>
      <c r="T758" s="6"/>
    </row>
    <row r="759" spans="1:20">
      <c r="A759" s="6">
        <v>0</v>
      </c>
      <c r="B759" s="6">
        <v>0</v>
      </c>
      <c r="C759" s="6" t="e">
        <f ca="1"/>
        <v>#NAME?</v>
      </c>
      <c r="D759" s="6" t="e">
        <f ca="1"/>
        <v>#NAME?</v>
      </c>
      <c r="E759" s="6" t="e">
        <f ca="1"/>
        <v>#NAME?</v>
      </c>
      <c r="F759" s="6" t="e">
        <f ca="1"/>
        <v>#NAME?</v>
      </c>
      <c r="G759" s="6" t="e">
        <f ca="1"/>
        <v>#NAME?</v>
      </c>
      <c r="H759" s="6" t="e">
        <f ca="1"/>
        <v>#NAME?</v>
      </c>
      <c r="I759" s="6"/>
      <c r="J759" s="6"/>
      <c r="K759" s="6"/>
      <c r="L759" s="6"/>
      <c r="M759" s="6"/>
      <c r="N759" s="6"/>
      <c r="O759" s="6"/>
      <c r="P759" s="6"/>
      <c r="Q759" s="6"/>
      <c r="R759" s="6"/>
      <c r="S759" s="6"/>
      <c r="T759" s="6"/>
    </row>
    <row r="760" spans="1:20">
      <c r="A760" s="6">
        <v>0</v>
      </c>
      <c r="B760" s="6">
        <v>0</v>
      </c>
      <c r="C760" s="6" t="e">
        <f ca="1"/>
        <v>#NAME?</v>
      </c>
      <c r="D760" s="6" t="e">
        <f ca="1"/>
        <v>#NAME?</v>
      </c>
      <c r="E760" s="6" t="e">
        <f ca="1"/>
        <v>#NAME?</v>
      </c>
      <c r="F760" s="6" t="e">
        <f ca="1"/>
        <v>#NAME?</v>
      </c>
      <c r="G760" s="6" t="e">
        <f ca="1"/>
        <v>#NAME?</v>
      </c>
      <c r="H760" s="6" t="e">
        <f ca="1"/>
        <v>#NAME?</v>
      </c>
      <c r="I760" s="6"/>
      <c r="J760" s="6"/>
      <c r="K760" s="6"/>
      <c r="L760" s="6"/>
      <c r="M760" s="6"/>
      <c r="N760" s="6"/>
      <c r="O760" s="6"/>
      <c r="P760" s="6"/>
      <c r="Q760" s="6"/>
      <c r="R760" s="6"/>
      <c r="S760" s="6"/>
      <c r="T760" s="6"/>
    </row>
    <row r="761" spans="1:20">
      <c r="A761" s="6">
        <v>0</v>
      </c>
      <c r="B761" s="6">
        <v>0</v>
      </c>
      <c r="C761" s="6" t="e">
        <f ca="1"/>
        <v>#NAME?</v>
      </c>
      <c r="D761" s="6" t="e">
        <f ca="1"/>
        <v>#NAME?</v>
      </c>
      <c r="E761" s="6" t="e">
        <f ca="1"/>
        <v>#NAME?</v>
      </c>
      <c r="F761" s="6" t="e">
        <f ca="1"/>
        <v>#NAME?</v>
      </c>
      <c r="G761" s="6" t="e">
        <f ca="1"/>
        <v>#NAME?</v>
      </c>
      <c r="H761" s="6" t="e">
        <f ca="1"/>
        <v>#NAME?</v>
      </c>
      <c r="I761" s="6"/>
      <c r="J761" s="6"/>
      <c r="K761" s="6"/>
      <c r="L761" s="6"/>
      <c r="M761" s="6"/>
      <c r="N761" s="6"/>
      <c r="O761" s="6"/>
      <c r="P761" s="6"/>
      <c r="Q761" s="6"/>
      <c r="R761" s="6"/>
      <c r="S761" s="6"/>
      <c r="T761" s="6"/>
    </row>
    <row r="762" spans="1:20">
      <c r="A762" s="6">
        <v>0</v>
      </c>
      <c r="B762" s="6">
        <v>0</v>
      </c>
      <c r="C762" s="6" t="e">
        <f ca="1"/>
        <v>#NAME?</v>
      </c>
      <c r="D762" s="6" t="e">
        <f ca="1"/>
        <v>#NAME?</v>
      </c>
      <c r="E762" s="6" t="e">
        <f ca="1"/>
        <v>#NAME?</v>
      </c>
      <c r="F762" s="6" t="e">
        <f ca="1"/>
        <v>#NAME?</v>
      </c>
      <c r="G762" s="6" t="e">
        <f ca="1"/>
        <v>#NAME?</v>
      </c>
      <c r="H762" s="6" t="e">
        <f ca="1"/>
        <v>#NAME?</v>
      </c>
      <c r="I762" s="6"/>
      <c r="J762" s="6"/>
      <c r="K762" s="6"/>
      <c r="L762" s="6"/>
      <c r="M762" s="6"/>
      <c r="N762" s="6"/>
      <c r="O762" s="6"/>
      <c r="P762" s="6"/>
      <c r="Q762" s="6"/>
      <c r="R762" s="6"/>
      <c r="S762" s="6"/>
      <c r="T762" s="6"/>
    </row>
    <row r="763" spans="1:20">
      <c r="A763" s="6">
        <v>0</v>
      </c>
      <c r="B763" s="6">
        <v>0</v>
      </c>
      <c r="C763" s="6" t="e">
        <f ca="1"/>
        <v>#NAME?</v>
      </c>
      <c r="D763" s="6" t="e">
        <f ca="1"/>
        <v>#NAME?</v>
      </c>
      <c r="E763" s="6" t="e">
        <f ca="1"/>
        <v>#NAME?</v>
      </c>
      <c r="F763" s="6" t="e">
        <f ca="1"/>
        <v>#NAME?</v>
      </c>
      <c r="G763" s="6" t="e">
        <f ca="1"/>
        <v>#NAME?</v>
      </c>
      <c r="H763" s="6" t="e">
        <f ca="1"/>
        <v>#NAME?</v>
      </c>
      <c r="I763" s="6"/>
      <c r="J763" s="6"/>
      <c r="K763" s="6"/>
      <c r="L763" s="6"/>
      <c r="M763" s="6"/>
      <c r="N763" s="6"/>
      <c r="O763" s="6"/>
      <c r="P763" s="6"/>
      <c r="Q763" s="6"/>
      <c r="R763" s="6"/>
      <c r="S763" s="6"/>
      <c r="T763" s="6"/>
    </row>
    <row r="764" spans="1:20">
      <c r="A764" s="6">
        <v>0</v>
      </c>
      <c r="B764" s="6">
        <v>0</v>
      </c>
      <c r="C764" s="6" t="e">
        <f ca="1"/>
        <v>#NAME?</v>
      </c>
      <c r="D764" s="6" t="e">
        <f ca="1"/>
        <v>#NAME?</v>
      </c>
      <c r="E764" s="6" t="e">
        <f ca="1"/>
        <v>#NAME?</v>
      </c>
      <c r="F764" s="6" t="e">
        <f ca="1"/>
        <v>#NAME?</v>
      </c>
      <c r="G764" s="6" t="e">
        <f ca="1"/>
        <v>#NAME?</v>
      </c>
      <c r="H764" s="6" t="e">
        <f ca="1"/>
        <v>#NAME?</v>
      </c>
      <c r="I764" s="6"/>
      <c r="J764" s="6"/>
      <c r="K764" s="6"/>
      <c r="L764" s="6"/>
      <c r="M764" s="6"/>
      <c r="N764" s="6"/>
      <c r="O764" s="6"/>
      <c r="P764" s="6"/>
      <c r="Q764" s="6"/>
      <c r="R764" s="6"/>
      <c r="S764" s="6"/>
      <c r="T764" s="6"/>
    </row>
    <row r="765" spans="1:20">
      <c r="A765" s="6">
        <v>0</v>
      </c>
      <c r="B765" s="6">
        <v>0</v>
      </c>
      <c r="C765" s="6" t="e">
        <f ca="1"/>
        <v>#NAME?</v>
      </c>
      <c r="D765" s="6" t="e">
        <f ca="1"/>
        <v>#NAME?</v>
      </c>
      <c r="E765" s="6" t="e">
        <f ca="1"/>
        <v>#NAME?</v>
      </c>
      <c r="F765" s="6" t="e">
        <f ca="1"/>
        <v>#NAME?</v>
      </c>
      <c r="G765" s="6" t="e">
        <f ca="1"/>
        <v>#NAME?</v>
      </c>
      <c r="H765" s="6" t="e">
        <f ca="1"/>
        <v>#NAME?</v>
      </c>
      <c r="I765" s="6"/>
      <c r="J765" s="6"/>
      <c r="K765" s="6"/>
      <c r="L765" s="6"/>
      <c r="M765" s="6"/>
      <c r="N765" s="6"/>
      <c r="O765" s="6"/>
      <c r="P765" s="6"/>
      <c r="Q765" s="6"/>
      <c r="R765" s="6"/>
      <c r="S765" s="6"/>
      <c r="T765" s="6"/>
    </row>
    <row r="766" spans="1:20">
      <c r="A766" s="6">
        <v>0</v>
      </c>
      <c r="B766" s="6">
        <v>0</v>
      </c>
      <c r="C766" s="6" t="e">
        <f ca="1"/>
        <v>#NAME?</v>
      </c>
      <c r="D766" s="6" t="e">
        <f ca="1"/>
        <v>#NAME?</v>
      </c>
      <c r="E766" s="6" t="e">
        <f ca="1"/>
        <v>#NAME?</v>
      </c>
      <c r="F766" s="6" t="e">
        <f ca="1"/>
        <v>#NAME?</v>
      </c>
      <c r="G766" s="6" t="e">
        <f ca="1"/>
        <v>#NAME?</v>
      </c>
      <c r="H766" s="6" t="e">
        <f ca="1"/>
        <v>#NAME?</v>
      </c>
      <c r="I766" s="6"/>
      <c r="J766" s="6"/>
      <c r="K766" s="6"/>
      <c r="L766" s="6"/>
      <c r="M766" s="6"/>
      <c r="N766" s="6"/>
      <c r="O766" s="6"/>
      <c r="P766" s="6"/>
      <c r="Q766" s="6"/>
      <c r="R766" s="6"/>
      <c r="S766" s="6"/>
      <c r="T766" s="6"/>
    </row>
    <row r="767" spans="1:20">
      <c r="A767" s="6">
        <v>0</v>
      </c>
      <c r="B767" s="6">
        <v>0</v>
      </c>
      <c r="C767" s="6" t="e">
        <f ca="1"/>
        <v>#NAME?</v>
      </c>
      <c r="D767" s="6" t="e">
        <f ca="1"/>
        <v>#NAME?</v>
      </c>
      <c r="E767" s="6" t="e">
        <f ca="1"/>
        <v>#NAME?</v>
      </c>
      <c r="F767" s="6" t="e">
        <f ca="1"/>
        <v>#NAME?</v>
      </c>
      <c r="G767" s="6" t="e">
        <f ca="1"/>
        <v>#NAME?</v>
      </c>
      <c r="H767" s="6" t="e">
        <f ca="1"/>
        <v>#NAME?</v>
      </c>
      <c r="I767" s="6"/>
      <c r="J767" s="6"/>
      <c r="K767" s="6"/>
      <c r="L767" s="6"/>
      <c r="M767" s="6"/>
      <c r="N767" s="6"/>
      <c r="O767" s="6"/>
      <c r="P767" s="6"/>
      <c r="Q767" s="6"/>
      <c r="R767" s="6"/>
      <c r="S767" s="6"/>
      <c r="T767" s="6"/>
    </row>
    <row r="768" spans="1:20">
      <c r="A768" s="6">
        <v>0</v>
      </c>
      <c r="B768" s="6">
        <v>0</v>
      </c>
      <c r="C768" s="6" t="e">
        <f ca="1"/>
        <v>#NAME?</v>
      </c>
      <c r="D768" s="6" t="e">
        <f ca="1"/>
        <v>#NAME?</v>
      </c>
      <c r="E768" s="6" t="e">
        <f ca="1"/>
        <v>#NAME?</v>
      </c>
      <c r="F768" s="6" t="e">
        <f ca="1"/>
        <v>#NAME?</v>
      </c>
      <c r="G768" s="6" t="e">
        <f ca="1"/>
        <v>#NAME?</v>
      </c>
      <c r="H768" s="6" t="e">
        <f ca="1"/>
        <v>#NAME?</v>
      </c>
      <c r="I768" s="6"/>
      <c r="J768" s="6"/>
      <c r="K768" s="6"/>
      <c r="L768" s="6"/>
      <c r="M768" s="6"/>
      <c r="N768" s="6"/>
      <c r="O768" s="6"/>
      <c r="P768" s="6"/>
      <c r="Q768" s="6"/>
      <c r="R768" s="6"/>
      <c r="S768" s="6"/>
      <c r="T768" s="6"/>
    </row>
    <row r="769" spans="1:20">
      <c r="A769" s="6">
        <v>0</v>
      </c>
      <c r="B769" s="6">
        <v>0</v>
      </c>
      <c r="C769" s="6" t="e">
        <f ca="1"/>
        <v>#NAME?</v>
      </c>
      <c r="D769" s="6" t="e">
        <f ca="1"/>
        <v>#NAME?</v>
      </c>
      <c r="E769" s="6" t="e">
        <f ca="1"/>
        <v>#NAME?</v>
      </c>
      <c r="F769" s="6" t="e">
        <f ca="1"/>
        <v>#NAME?</v>
      </c>
      <c r="G769" s="6" t="e">
        <f ca="1"/>
        <v>#NAME?</v>
      </c>
      <c r="H769" s="6" t="e">
        <f ca="1"/>
        <v>#NAME?</v>
      </c>
      <c r="I769" s="6"/>
      <c r="J769" s="6"/>
      <c r="K769" s="6"/>
      <c r="L769" s="6"/>
      <c r="M769" s="6"/>
      <c r="N769" s="6"/>
      <c r="O769" s="6"/>
      <c r="P769" s="6"/>
      <c r="Q769" s="6"/>
      <c r="R769" s="6"/>
      <c r="S769" s="6"/>
      <c r="T769" s="6"/>
    </row>
    <row r="770" spans="1:20">
      <c r="A770" s="6">
        <v>0</v>
      </c>
      <c r="B770" s="6">
        <v>0</v>
      </c>
      <c r="C770" s="6" t="e">
        <f ca="1"/>
        <v>#NAME?</v>
      </c>
      <c r="D770" s="6" t="e">
        <f ca="1"/>
        <v>#NAME?</v>
      </c>
      <c r="E770" s="6" t="e">
        <f ca="1"/>
        <v>#NAME?</v>
      </c>
      <c r="F770" s="6" t="e">
        <f ca="1"/>
        <v>#NAME?</v>
      </c>
      <c r="G770" s="6" t="e">
        <f ca="1"/>
        <v>#NAME?</v>
      </c>
      <c r="H770" s="6" t="e">
        <f ca="1"/>
        <v>#NAME?</v>
      </c>
      <c r="I770" s="6"/>
      <c r="J770" s="6"/>
      <c r="K770" s="6"/>
      <c r="L770" s="6"/>
      <c r="M770" s="6"/>
      <c r="N770" s="6"/>
      <c r="O770" s="6"/>
      <c r="P770" s="6"/>
      <c r="Q770" s="6"/>
      <c r="R770" s="6"/>
      <c r="S770" s="6"/>
      <c r="T770" s="6"/>
    </row>
    <row r="771" spans="1:20">
      <c r="A771" s="6">
        <v>0</v>
      </c>
      <c r="B771" s="6">
        <v>0</v>
      </c>
      <c r="C771" s="6" t="e">
        <f ca="1"/>
        <v>#NAME?</v>
      </c>
      <c r="D771" s="6" t="e">
        <f ca="1"/>
        <v>#NAME?</v>
      </c>
      <c r="E771" s="6" t="e">
        <f ca="1"/>
        <v>#NAME?</v>
      </c>
      <c r="F771" s="6" t="e">
        <f ca="1"/>
        <v>#NAME?</v>
      </c>
      <c r="G771" s="6" t="e">
        <f ca="1"/>
        <v>#NAME?</v>
      </c>
      <c r="H771" s="6" t="e">
        <f ca="1"/>
        <v>#NAME?</v>
      </c>
      <c r="I771" s="6"/>
      <c r="J771" s="6"/>
      <c r="K771" s="6"/>
      <c r="L771" s="6"/>
      <c r="M771" s="6"/>
      <c r="N771" s="6"/>
      <c r="O771" s="6"/>
      <c r="P771" s="6"/>
      <c r="Q771" s="6"/>
      <c r="R771" s="6"/>
      <c r="S771" s="6"/>
      <c r="T771" s="6"/>
    </row>
    <row r="772" spans="1:20">
      <c r="A772" s="6">
        <v>0</v>
      </c>
      <c r="B772" s="6">
        <v>0</v>
      </c>
      <c r="C772" s="6" t="e">
        <f ca="1"/>
        <v>#NAME?</v>
      </c>
      <c r="D772" s="6" t="e">
        <f ca="1"/>
        <v>#NAME?</v>
      </c>
      <c r="E772" s="6" t="e">
        <f ca="1"/>
        <v>#NAME?</v>
      </c>
      <c r="F772" s="6" t="e">
        <f ca="1"/>
        <v>#NAME?</v>
      </c>
      <c r="G772" s="6" t="e">
        <f ca="1"/>
        <v>#NAME?</v>
      </c>
      <c r="H772" s="6" t="e">
        <f ca="1"/>
        <v>#NAME?</v>
      </c>
      <c r="I772" s="6"/>
      <c r="J772" s="6"/>
      <c r="K772" s="6"/>
      <c r="L772" s="6"/>
      <c r="M772" s="6"/>
      <c r="N772" s="6"/>
      <c r="O772" s="6"/>
      <c r="P772" s="6"/>
      <c r="Q772" s="6"/>
      <c r="R772" s="6"/>
      <c r="S772" s="6"/>
      <c r="T772" s="6"/>
    </row>
    <row r="773" spans="1:20">
      <c r="A773" s="6">
        <v>0</v>
      </c>
      <c r="B773" s="6">
        <v>0</v>
      </c>
      <c r="C773" s="6" t="e">
        <f ca="1"/>
        <v>#NAME?</v>
      </c>
      <c r="D773" s="6" t="e">
        <f ca="1"/>
        <v>#NAME?</v>
      </c>
      <c r="E773" s="6" t="e">
        <f ca="1"/>
        <v>#NAME?</v>
      </c>
      <c r="F773" s="6" t="e">
        <f ca="1"/>
        <v>#NAME?</v>
      </c>
      <c r="G773" s="6" t="e">
        <f ca="1"/>
        <v>#NAME?</v>
      </c>
      <c r="H773" s="6" t="e">
        <f ca="1"/>
        <v>#NAME?</v>
      </c>
      <c r="I773" s="6"/>
      <c r="J773" s="6"/>
      <c r="K773" s="6"/>
      <c r="L773" s="6"/>
      <c r="M773" s="6"/>
      <c r="N773" s="6"/>
      <c r="O773" s="6"/>
      <c r="P773" s="6"/>
      <c r="Q773" s="6"/>
      <c r="R773" s="6"/>
      <c r="S773" s="6"/>
      <c r="T773" s="6"/>
    </row>
    <row r="774" spans="1:20">
      <c r="A774" s="6">
        <v>0</v>
      </c>
      <c r="B774" s="6">
        <v>0</v>
      </c>
      <c r="C774" s="6" t="e">
        <f ca="1"/>
        <v>#NAME?</v>
      </c>
      <c r="D774" s="6" t="e">
        <f ca="1"/>
        <v>#NAME?</v>
      </c>
      <c r="E774" s="6" t="e">
        <f ca="1"/>
        <v>#NAME?</v>
      </c>
      <c r="F774" s="6" t="e">
        <f ca="1"/>
        <v>#NAME?</v>
      </c>
      <c r="G774" s="6" t="e">
        <f ca="1"/>
        <v>#NAME?</v>
      </c>
      <c r="H774" s="6" t="e">
        <f ca="1"/>
        <v>#NAME?</v>
      </c>
      <c r="I774" s="6"/>
      <c r="J774" s="6"/>
      <c r="K774" s="6"/>
      <c r="L774" s="6"/>
      <c r="M774" s="6"/>
      <c r="N774" s="6"/>
      <c r="O774" s="6"/>
      <c r="P774" s="6"/>
      <c r="Q774" s="6"/>
      <c r="R774" s="6"/>
      <c r="S774" s="6"/>
      <c r="T774" s="6"/>
    </row>
    <row r="775" spans="1:20">
      <c r="A775" s="6">
        <v>0</v>
      </c>
      <c r="B775" s="6">
        <v>0</v>
      </c>
      <c r="C775" s="6" t="e">
        <f ca="1"/>
        <v>#NAME?</v>
      </c>
      <c r="D775" s="6" t="e">
        <f ca="1"/>
        <v>#NAME?</v>
      </c>
      <c r="E775" s="6" t="e">
        <f ca="1"/>
        <v>#NAME?</v>
      </c>
      <c r="F775" s="6" t="e">
        <f ca="1"/>
        <v>#NAME?</v>
      </c>
      <c r="G775" s="6" t="e">
        <f ca="1"/>
        <v>#NAME?</v>
      </c>
      <c r="H775" s="6" t="e">
        <f ca="1"/>
        <v>#NAME?</v>
      </c>
      <c r="I775" s="6"/>
      <c r="J775" s="6"/>
      <c r="K775" s="6"/>
      <c r="L775" s="6"/>
      <c r="M775" s="6"/>
      <c r="N775" s="6"/>
      <c r="O775" s="6"/>
      <c r="P775" s="6"/>
      <c r="Q775" s="6"/>
      <c r="R775" s="6"/>
      <c r="S775" s="6"/>
      <c r="T775" s="6"/>
    </row>
    <row r="776" spans="1:20">
      <c r="A776" s="6">
        <v>0</v>
      </c>
      <c r="B776" s="6">
        <v>0</v>
      </c>
      <c r="C776" s="6" t="e">
        <f ca="1"/>
        <v>#NAME?</v>
      </c>
      <c r="D776" s="6" t="e">
        <f ca="1"/>
        <v>#NAME?</v>
      </c>
      <c r="E776" s="6" t="e">
        <f ca="1"/>
        <v>#NAME?</v>
      </c>
      <c r="F776" s="6" t="e">
        <f ca="1"/>
        <v>#NAME?</v>
      </c>
      <c r="G776" s="6" t="e">
        <f ca="1"/>
        <v>#NAME?</v>
      </c>
      <c r="H776" s="6" t="e">
        <f ca="1"/>
        <v>#NAME?</v>
      </c>
      <c r="I776" s="6"/>
      <c r="J776" s="6"/>
      <c r="K776" s="6"/>
      <c r="L776" s="6"/>
      <c r="M776" s="6"/>
      <c r="N776" s="6"/>
      <c r="O776" s="6"/>
      <c r="P776" s="6"/>
      <c r="Q776" s="6"/>
      <c r="R776" s="6"/>
      <c r="S776" s="6"/>
      <c r="T776" s="6"/>
    </row>
    <row r="777" spans="1:20">
      <c r="A777" s="6">
        <v>0</v>
      </c>
      <c r="B777" s="6">
        <v>0</v>
      </c>
      <c r="C777" s="6" t="e">
        <f ca="1"/>
        <v>#NAME?</v>
      </c>
      <c r="D777" s="6" t="e">
        <f ca="1"/>
        <v>#NAME?</v>
      </c>
      <c r="E777" s="6" t="e">
        <f ca="1"/>
        <v>#NAME?</v>
      </c>
      <c r="F777" s="6" t="e">
        <f ca="1"/>
        <v>#NAME?</v>
      </c>
      <c r="G777" s="6" t="e">
        <f ca="1"/>
        <v>#NAME?</v>
      </c>
      <c r="H777" s="6" t="e">
        <f ca="1"/>
        <v>#NAME?</v>
      </c>
      <c r="I777" s="6"/>
      <c r="J777" s="6"/>
      <c r="K777" s="6"/>
      <c r="L777" s="6"/>
      <c r="M777" s="6"/>
      <c r="N777" s="6"/>
      <c r="O777" s="6"/>
      <c r="P777" s="6"/>
      <c r="Q777" s="6"/>
      <c r="R777" s="6"/>
      <c r="S777" s="6"/>
      <c r="T777" s="6"/>
    </row>
    <row r="778" spans="1:20">
      <c r="A778" s="6">
        <v>0</v>
      </c>
      <c r="B778" s="6">
        <v>0</v>
      </c>
      <c r="C778" s="6" t="e">
        <f ca="1"/>
        <v>#NAME?</v>
      </c>
      <c r="D778" s="6" t="e">
        <f ca="1"/>
        <v>#NAME?</v>
      </c>
      <c r="E778" s="6" t="e">
        <f ca="1"/>
        <v>#NAME?</v>
      </c>
      <c r="F778" s="6" t="e">
        <f ca="1"/>
        <v>#NAME?</v>
      </c>
      <c r="G778" s="6" t="e">
        <f ca="1"/>
        <v>#NAME?</v>
      </c>
      <c r="H778" s="6" t="e">
        <f ca="1"/>
        <v>#NAME?</v>
      </c>
      <c r="I778" s="6"/>
      <c r="J778" s="6"/>
      <c r="K778" s="6"/>
      <c r="L778" s="6"/>
      <c r="M778" s="6"/>
      <c r="N778" s="6"/>
      <c r="O778" s="6"/>
      <c r="P778" s="6"/>
      <c r="Q778" s="6"/>
      <c r="R778" s="6"/>
      <c r="S778" s="6"/>
      <c r="T778" s="6"/>
    </row>
    <row r="779" spans="1:20">
      <c r="A779" s="6">
        <v>0</v>
      </c>
      <c r="B779" s="6">
        <v>0</v>
      </c>
      <c r="C779" s="6" t="e">
        <f ca="1"/>
        <v>#NAME?</v>
      </c>
      <c r="D779" s="6" t="e">
        <f ca="1"/>
        <v>#NAME?</v>
      </c>
      <c r="E779" s="6" t="e">
        <f ca="1"/>
        <v>#NAME?</v>
      </c>
      <c r="F779" s="6" t="e">
        <f ca="1"/>
        <v>#NAME?</v>
      </c>
      <c r="G779" s="6" t="e">
        <f ca="1"/>
        <v>#NAME?</v>
      </c>
      <c r="H779" s="6" t="e">
        <f ca="1"/>
        <v>#NAME?</v>
      </c>
      <c r="I779" s="6"/>
      <c r="J779" s="6"/>
      <c r="K779" s="6"/>
      <c r="L779" s="6"/>
      <c r="M779" s="6"/>
      <c r="N779" s="6"/>
      <c r="O779" s="6"/>
      <c r="P779" s="6"/>
      <c r="Q779" s="6"/>
      <c r="R779" s="6"/>
      <c r="S779" s="6"/>
      <c r="T779" s="6"/>
    </row>
    <row r="780" spans="1:20">
      <c r="A780" s="6">
        <v>0</v>
      </c>
      <c r="B780" s="6">
        <v>0</v>
      </c>
      <c r="C780" s="6" t="e">
        <f ca="1"/>
        <v>#NAME?</v>
      </c>
      <c r="D780" s="6" t="e">
        <f ca="1"/>
        <v>#NAME?</v>
      </c>
      <c r="E780" s="6" t="e">
        <f ca="1"/>
        <v>#NAME?</v>
      </c>
      <c r="F780" s="6" t="e">
        <f ca="1"/>
        <v>#NAME?</v>
      </c>
      <c r="G780" s="6" t="e">
        <f ca="1"/>
        <v>#NAME?</v>
      </c>
      <c r="H780" s="6" t="e">
        <f ca="1"/>
        <v>#NAME?</v>
      </c>
      <c r="I780" s="6"/>
      <c r="J780" s="6"/>
      <c r="K780" s="6"/>
      <c r="L780" s="6"/>
      <c r="M780" s="6"/>
      <c r="N780" s="6"/>
      <c r="O780" s="6"/>
      <c r="P780" s="6"/>
      <c r="Q780" s="6"/>
      <c r="R780" s="6"/>
      <c r="S780" s="6"/>
      <c r="T780" s="6"/>
    </row>
    <row r="781" spans="1:20">
      <c r="A781" s="6">
        <v>0</v>
      </c>
      <c r="B781" s="6">
        <v>0</v>
      </c>
      <c r="C781" s="6" t="e">
        <f ca="1"/>
        <v>#NAME?</v>
      </c>
      <c r="D781" s="6" t="e">
        <f ca="1"/>
        <v>#NAME?</v>
      </c>
      <c r="E781" s="6" t="e">
        <f ca="1"/>
        <v>#NAME?</v>
      </c>
      <c r="F781" s="6" t="e">
        <f ca="1"/>
        <v>#NAME?</v>
      </c>
      <c r="G781" s="6" t="e">
        <f ca="1"/>
        <v>#NAME?</v>
      </c>
      <c r="H781" s="6" t="e">
        <f ca="1"/>
        <v>#NAME?</v>
      </c>
      <c r="I781" s="6"/>
      <c r="J781" s="6"/>
      <c r="K781" s="6"/>
      <c r="L781" s="6"/>
      <c r="M781" s="6"/>
      <c r="N781" s="6"/>
      <c r="O781" s="6"/>
      <c r="P781" s="6"/>
      <c r="Q781" s="6"/>
      <c r="R781" s="6"/>
      <c r="S781" s="6"/>
      <c r="T781" s="6"/>
    </row>
    <row r="782" spans="1:20">
      <c r="A782" s="6">
        <v>0</v>
      </c>
      <c r="B782" s="6">
        <v>0</v>
      </c>
      <c r="C782" s="6" t="e">
        <f ca="1"/>
        <v>#NAME?</v>
      </c>
      <c r="D782" s="6" t="e">
        <f ca="1"/>
        <v>#NAME?</v>
      </c>
      <c r="E782" s="6" t="e">
        <f ca="1"/>
        <v>#NAME?</v>
      </c>
      <c r="F782" s="6" t="e">
        <f ca="1"/>
        <v>#NAME?</v>
      </c>
      <c r="G782" s="6" t="e">
        <f ca="1"/>
        <v>#NAME?</v>
      </c>
      <c r="H782" s="6" t="e">
        <f ca="1"/>
        <v>#NAME?</v>
      </c>
      <c r="I782" s="6"/>
      <c r="J782" s="6"/>
      <c r="K782" s="6"/>
      <c r="L782" s="6"/>
      <c r="M782" s="6"/>
      <c r="N782" s="6"/>
      <c r="O782" s="6"/>
      <c r="P782" s="6"/>
      <c r="Q782" s="6"/>
      <c r="R782" s="6"/>
      <c r="S782" s="6"/>
      <c r="T782" s="6"/>
    </row>
    <row r="783" spans="1:20">
      <c r="A783" s="6">
        <v>0</v>
      </c>
      <c r="B783" s="6">
        <v>0</v>
      </c>
      <c r="C783" s="6" t="e">
        <f ca="1"/>
        <v>#NAME?</v>
      </c>
      <c r="D783" s="6" t="e">
        <f ca="1"/>
        <v>#NAME?</v>
      </c>
      <c r="E783" s="6" t="e">
        <f ca="1"/>
        <v>#NAME?</v>
      </c>
      <c r="F783" s="6" t="e">
        <f ca="1"/>
        <v>#NAME?</v>
      </c>
      <c r="G783" s="6" t="e">
        <f ca="1"/>
        <v>#NAME?</v>
      </c>
      <c r="H783" s="6" t="e">
        <f ca="1"/>
        <v>#NAME?</v>
      </c>
      <c r="I783" s="6"/>
      <c r="J783" s="6"/>
      <c r="K783" s="6"/>
      <c r="L783" s="6"/>
      <c r="M783" s="6"/>
      <c r="N783" s="6"/>
      <c r="O783" s="6"/>
      <c r="P783" s="6"/>
      <c r="Q783" s="6"/>
      <c r="R783" s="6"/>
      <c r="S783" s="6"/>
      <c r="T783" s="6"/>
    </row>
    <row r="784" spans="1:20">
      <c r="A784" s="6">
        <v>0</v>
      </c>
      <c r="B784" s="6">
        <v>0</v>
      </c>
      <c r="C784" s="6" t="e">
        <f ca="1"/>
        <v>#NAME?</v>
      </c>
      <c r="D784" s="6" t="e">
        <f ca="1"/>
        <v>#NAME?</v>
      </c>
      <c r="E784" s="6" t="e">
        <f ca="1"/>
        <v>#NAME?</v>
      </c>
      <c r="F784" s="6" t="e">
        <f ca="1"/>
        <v>#NAME?</v>
      </c>
      <c r="G784" s="6" t="e">
        <f ca="1"/>
        <v>#NAME?</v>
      </c>
      <c r="H784" s="6" t="e">
        <f ca="1"/>
        <v>#NAME?</v>
      </c>
      <c r="I784" s="6"/>
      <c r="J784" s="6"/>
      <c r="K784" s="6"/>
      <c r="L784" s="6"/>
      <c r="M784" s="6"/>
      <c r="N784" s="6"/>
      <c r="O784" s="6"/>
      <c r="P784" s="6"/>
      <c r="Q784" s="6"/>
      <c r="R784" s="6"/>
      <c r="S784" s="6"/>
      <c r="T784" s="6"/>
    </row>
    <row r="785" spans="1:20">
      <c r="A785" s="6">
        <v>0</v>
      </c>
      <c r="B785" s="6">
        <v>0</v>
      </c>
      <c r="C785" s="6" t="e">
        <f ca="1"/>
        <v>#NAME?</v>
      </c>
      <c r="D785" s="6" t="e">
        <f ca="1"/>
        <v>#NAME?</v>
      </c>
      <c r="E785" s="6" t="e">
        <f ca="1"/>
        <v>#NAME?</v>
      </c>
      <c r="F785" s="6" t="e">
        <f ca="1"/>
        <v>#NAME?</v>
      </c>
      <c r="G785" s="6" t="e">
        <f ca="1"/>
        <v>#NAME?</v>
      </c>
      <c r="H785" s="6" t="e">
        <f ca="1"/>
        <v>#NAME?</v>
      </c>
      <c r="I785" s="6"/>
      <c r="J785" s="6"/>
      <c r="K785" s="6"/>
      <c r="L785" s="6"/>
      <c r="M785" s="6"/>
      <c r="N785" s="6"/>
      <c r="O785" s="6"/>
      <c r="P785" s="6"/>
      <c r="Q785" s="6"/>
      <c r="R785" s="6"/>
      <c r="S785" s="6"/>
      <c r="T785" s="6"/>
    </row>
    <row r="786" spans="1:20">
      <c r="A786" s="6">
        <v>0</v>
      </c>
      <c r="B786" s="6">
        <v>0</v>
      </c>
      <c r="C786" s="6" t="e">
        <f ca="1"/>
        <v>#NAME?</v>
      </c>
      <c r="D786" s="6" t="e">
        <f ca="1"/>
        <v>#NAME?</v>
      </c>
      <c r="E786" s="6" t="e">
        <f ca="1"/>
        <v>#NAME?</v>
      </c>
      <c r="F786" s="6" t="e">
        <f ca="1"/>
        <v>#NAME?</v>
      </c>
      <c r="G786" s="6" t="e">
        <f ca="1"/>
        <v>#NAME?</v>
      </c>
      <c r="H786" s="6" t="e">
        <f ca="1"/>
        <v>#NAME?</v>
      </c>
      <c r="I786" s="6"/>
      <c r="J786" s="6"/>
      <c r="K786" s="6"/>
      <c r="L786" s="6"/>
      <c r="M786" s="6"/>
      <c r="N786" s="6"/>
      <c r="O786" s="6"/>
      <c r="P786" s="6"/>
      <c r="Q786" s="6"/>
      <c r="R786" s="6"/>
      <c r="S786" s="6"/>
      <c r="T786" s="6"/>
    </row>
    <row r="787" spans="1:20">
      <c r="A787" s="6">
        <v>0</v>
      </c>
      <c r="B787" s="6">
        <v>0</v>
      </c>
      <c r="C787" s="6" t="e">
        <f ca="1"/>
        <v>#NAME?</v>
      </c>
      <c r="D787" s="6" t="e">
        <f ca="1"/>
        <v>#NAME?</v>
      </c>
      <c r="E787" s="6" t="e">
        <f ca="1"/>
        <v>#NAME?</v>
      </c>
      <c r="F787" s="6" t="e">
        <f ca="1"/>
        <v>#NAME?</v>
      </c>
      <c r="G787" s="6" t="e">
        <f ca="1"/>
        <v>#NAME?</v>
      </c>
      <c r="H787" s="6" t="e">
        <f ca="1"/>
        <v>#NAME?</v>
      </c>
      <c r="I787" s="6"/>
      <c r="J787" s="6"/>
      <c r="K787" s="6"/>
      <c r="L787" s="6"/>
      <c r="M787" s="6"/>
      <c r="N787" s="6"/>
      <c r="O787" s="6"/>
      <c r="P787" s="6"/>
      <c r="Q787" s="6"/>
      <c r="R787" s="6"/>
      <c r="S787" s="6"/>
      <c r="T787" s="6"/>
    </row>
    <row r="788" spans="1:20">
      <c r="A788" s="6">
        <v>0</v>
      </c>
      <c r="B788" s="6">
        <v>0</v>
      </c>
      <c r="C788" s="6" t="e">
        <f ca="1"/>
        <v>#NAME?</v>
      </c>
      <c r="D788" s="6" t="e">
        <f ca="1"/>
        <v>#NAME?</v>
      </c>
      <c r="E788" s="6" t="e">
        <f ca="1"/>
        <v>#NAME?</v>
      </c>
      <c r="F788" s="6" t="e">
        <f ca="1"/>
        <v>#NAME?</v>
      </c>
      <c r="G788" s="6" t="e">
        <f ca="1"/>
        <v>#NAME?</v>
      </c>
      <c r="H788" s="6" t="e">
        <f ca="1"/>
        <v>#NAME?</v>
      </c>
      <c r="I788" s="6"/>
      <c r="J788" s="6"/>
      <c r="K788" s="6"/>
      <c r="L788" s="6"/>
      <c r="M788" s="6"/>
      <c r="N788" s="6"/>
      <c r="O788" s="6"/>
      <c r="P788" s="6"/>
      <c r="Q788" s="6"/>
      <c r="R788" s="6"/>
      <c r="S788" s="6"/>
      <c r="T788" s="6"/>
    </row>
    <row r="789" spans="1:20">
      <c r="A789" s="6">
        <v>0</v>
      </c>
      <c r="B789" s="6">
        <v>0</v>
      </c>
      <c r="C789" s="6" t="e">
        <f ca="1"/>
        <v>#NAME?</v>
      </c>
      <c r="D789" s="6" t="e">
        <f ca="1"/>
        <v>#NAME?</v>
      </c>
      <c r="E789" s="6" t="e">
        <f ca="1"/>
        <v>#NAME?</v>
      </c>
      <c r="F789" s="6" t="e">
        <f ca="1"/>
        <v>#NAME?</v>
      </c>
      <c r="G789" s="6" t="e">
        <f ca="1"/>
        <v>#NAME?</v>
      </c>
      <c r="H789" s="6" t="e">
        <f ca="1"/>
        <v>#NAME?</v>
      </c>
      <c r="I789" s="6"/>
      <c r="J789" s="6"/>
      <c r="K789" s="6"/>
      <c r="L789" s="6"/>
      <c r="M789" s="6"/>
      <c r="N789" s="6"/>
      <c r="O789" s="6"/>
      <c r="P789" s="6"/>
      <c r="Q789" s="6"/>
      <c r="R789" s="6"/>
      <c r="S789" s="6"/>
      <c r="T789" s="6"/>
    </row>
    <row r="790" spans="1:20">
      <c r="A790" s="6">
        <v>0</v>
      </c>
      <c r="B790" s="6">
        <v>0</v>
      </c>
      <c r="C790" s="6" t="e">
        <f ca="1"/>
        <v>#NAME?</v>
      </c>
      <c r="D790" s="6" t="e">
        <f ca="1"/>
        <v>#NAME?</v>
      </c>
      <c r="E790" s="6" t="e">
        <f ca="1"/>
        <v>#NAME?</v>
      </c>
      <c r="F790" s="6" t="e">
        <f ca="1"/>
        <v>#NAME?</v>
      </c>
      <c r="G790" s="6" t="e">
        <f ca="1"/>
        <v>#NAME?</v>
      </c>
      <c r="H790" s="6" t="e">
        <f ca="1"/>
        <v>#NAME?</v>
      </c>
      <c r="I790" s="6"/>
      <c r="J790" s="6"/>
      <c r="K790" s="6"/>
      <c r="L790" s="6"/>
      <c r="M790" s="6"/>
      <c r="N790" s="6"/>
      <c r="O790" s="6"/>
      <c r="P790" s="6"/>
      <c r="Q790" s="6"/>
      <c r="R790" s="6"/>
      <c r="S790" s="6"/>
      <c r="T790" s="6"/>
    </row>
    <row r="791" spans="1:20">
      <c r="A791" s="6">
        <v>0</v>
      </c>
      <c r="B791" s="6">
        <v>0</v>
      </c>
      <c r="C791" s="6" t="e">
        <f ca="1"/>
        <v>#NAME?</v>
      </c>
      <c r="D791" s="6" t="e">
        <f ca="1"/>
        <v>#NAME?</v>
      </c>
      <c r="E791" s="6" t="e">
        <f ca="1"/>
        <v>#NAME?</v>
      </c>
      <c r="F791" s="6" t="e">
        <f ca="1"/>
        <v>#NAME?</v>
      </c>
      <c r="G791" s="6" t="e">
        <f ca="1"/>
        <v>#NAME?</v>
      </c>
      <c r="H791" s="6" t="e">
        <f ca="1"/>
        <v>#NAME?</v>
      </c>
      <c r="I791" s="6"/>
      <c r="J791" s="6"/>
      <c r="K791" s="6"/>
      <c r="L791" s="6"/>
      <c r="M791" s="6"/>
      <c r="N791" s="6"/>
      <c r="O791" s="6"/>
      <c r="P791" s="6"/>
      <c r="Q791" s="6"/>
      <c r="R791" s="6"/>
      <c r="S791" s="6"/>
      <c r="T791" s="6"/>
    </row>
    <row r="792" spans="1:20">
      <c r="A792" s="6">
        <v>0</v>
      </c>
      <c r="B792" s="6">
        <v>0</v>
      </c>
      <c r="C792" s="6" t="e">
        <f ca="1"/>
        <v>#NAME?</v>
      </c>
      <c r="D792" s="6" t="e">
        <f ca="1"/>
        <v>#NAME?</v>
      </c>
      <c r="E792" s="6" t="e">
        <f ca="1"/>
        <v>#NAME?</v>
      </c>
      <c r="F792" s="6" t="e">
        <f ca="1"/>
        <v>#NAME?</v>
      </c>
      <c r="G792" s="6" t="e">
        <f ca="1"/>
        <v>#NAME?</v>
      </c>
      <c r="H792" s="6" t="e">
        <f ca="1"/>
        <v>#NAME?</v>
      </c>
      <c r="I792" s="6"/>
      <c r="J792" s="6"/>
      <c r="K792" s="6"/>
      <c r="L792" s="6"/>
      <c r="M792" s="6"/>
      <c r="N792" s="6"/>
      <c r="O792" s="6"/>
      <c r="P792" s="6"/>
      <c r="Q792" s="6"/>
      <c r="R792" s="6"/>
      <c r="S792" s="6"/>
      <c r="T792" s="6"/>
    </row>
    <row r="793" spans="1:20">
      <c r="A793" s="6">
        <v>0</v>
      </c>
      <c r="B793" s="6">
        <v>0</v>
      </c>
      <c r="C793" s="6" t="e">
        <f ca="1"/>
        <v>#NAME?</v>
      </c>
      <c r="D793" s="6" t="e">
        <f ca="1"/>
        <v>#NAME?</v>
      </c>
      <c r="E793" s="6" t="e">
        <f ca="1"/>
        <v>#NAME?</v>
      </c>
      <c r="F793" s="6" t="e">
        <f ca="1"/>
        <v>#NAME?</v>
      </c>
      <c r="G793" s="6" t="e">
        <f ca="1"/>
        <v>#NAME?</v>
      </c>
      <c r="H793" s="6" t="e">
        <f ca="1"/>
        <v>#NAME?</v>
      </c>
      <c r="I793" s="6"/>
      <c r="J793" s="6"/>
      <c r="K793" s="6"/>
      <c r="L793" s="6"/>
      <c r="M793" s="6"/>
      <c r="N793" s="6"/>
      <c r="O793" s="6"/>
      <c r="P793" s="6"/>
      <c r="Q793" s="6"/>
      <c r="R793" s="6"/>
      <c r="S793" s="6"/>
      <c r="T793" s="6"/>
    </row>
    <row r="794" spans="1:20">
      <c r="A794" s="6">
        <v>0</v>
      </c>
      <c r="B794" s="6">
        <v>0</v>
      </c>
      <c r="C794" s="6" t="e">
        <f ca="1"/>
        <v>#NAME?</v>
      </c>
      <c r="D794" s="6" t="e">
        <f ca="1"/>
        <v>#NAME?</v>
      </c>
      <c r="E794" s="6" t="e">
        <f ca="1"/>
        <v>#NAME?</v>
      </c>
      <c r="F794" s="6" t="e">
        <f ca="1"/>
        <v>#NAME?</v>
      </c>
      <c r="G794" s="6" t="e">
        <f ca="1"/>
        <v>#NAME?</v>
      </c>
      <c r="H794" s="6" t="e">
        <f ca="1"/>
        <v>#NAME?</v>
      </c>
      <c r="I794" s="6"/>
      <c r="J794" s="6"/>
      <c r="K794" s="6"/>
      <c r="L794" s="6"/>
      <c r="M794" s="6"/>
      <c r="N794" s="6"/>
      <c r="O794" s="6"/>
      <c r="P794" s="6"/>
      <c r="Q794" s="6"/>
      <c r="R794" s="6"/>
      <c r="S794" s="6"/>
      <c r="T794" s="6"/>
    </row>
    <row r="795" spans="1:20">
      <c r="A795" s="6">
        <v>0</v>
      </c>
      <c r="B795" s="6">
        <v>0</v>
      </c>
      <c r="C795" s="6" t="e">
        <f ca="1"/>
        <v>#NAME?</v>
      </c>
      <c r="D795" s="6" t="e">
        <f ca="1"/>
        <v>#NAME?</v>
      </c>
      <c r="E795" s="6" t="e">
        <f ca="1"/>
        <v>#NAME?</v>
      </c>
      <c r="F795" s="6" t="e">
        <f ca="1"/>
        <v>#NAME?</v>
      </c>
      <c r="G795" s="6" t="e">
        <f ca="1"/>
        <v>#NAME?</v>
      </c>
      <c r="H795" s="6" t="e">
        <f ca="1"/>
        <v>#NAME?</v>
      </c>
      <c r="I795" s="6"/>
      <c r="J795" s="6"/>
      <c r="K795" s="6"/>
      <c r="L795" s="6"/>
      <c r="M795" s="6"/>
      <c r="N795" s="6"/>
      <c r="O795" s="6"/>
      <c r="P795" s="6"/>
      <c r="Q795" s="6"/>
      <c r="R795" s="6"/>
      <c r="S795" s="6"/>
      <c r="T795" s="6"/>
    </row>
    <row r="796" spans="1:20">
      <c r="A796" s="6">
        <v>0</v>
      </c>
      <c r="B796" s="6">
        <v>0</v>
      </c>
      <c r="C796" s="6" t="e">
        <f ca="1"/>
        <v>#NAME?</v>
      </c>
      <c r="D796" s="6" t="e">
        <f ca="1"/>
        <v>#NAME?</v>
      </c>
      <c r="E796" s="6" t="e">
        <f ca="1"/>
        <v>#NAME?</v>
      </c>
      <c r="F796" s="6" t="e">
        <f ca="1"/>
        <v>#NAME?</v>
      </c>
      <c r="G796" s="6" t="e">
        <f ca="1"/>
        <v>#NAME?</v>
      </c>
      <c r="H796" s="6" t="e">
        <f ca="1"/>
        <v>#NAME?</v>
      </c>
      <c r="I796" s="6"/>
      <c r="J796" s="6"/>
      <c r="K796" s="6"/>
      <c r="L796" s="6"/>
      <c r="M796" s="6"/>
      <c r="N796" s="6"/>
      <c r="O796" s="6"/>
      <c r="P796" s="6"/>
      <c r="Q796" s="6"/>
      <c r="R796" s="6"/>
      <c r="S796" s="6"/>
      <c r="T796" s="6"/>
    </row>
    <row r="797" spans="1:20">
      <c r="A797" s="6">
        <v>0</v>
      </c>
      <c r="B797" s="6">
        <v>0</v>
      </c>
      <c r="C797" s="6" t="e">
        <f ca="1"/>
        <v>#NAME?</v>
      </c>
      <c r="D797" s="6" t="e">
        <f ca="1"/>
        <v>#NAME?</v>
      </c>
      <c r="E797" s="6" t="e">
        <f ca="1"/>
        <v>#NAME?</v>
      </c>
      <c r="F797" s="6" t="e">
        <f ca="1"/>
        <v>#NAME?</v>
      </c>
      <c r="G797" s="6" t="e">
        <f ca="1"/>
        <v>#NAME?</v>
      </c>
      <c r="H797" s="6" t="e">
        <f ca="1"/>
        <v>#NAME?</v>
      </c>
      <c r="I797" s="6"/>
      <c r="J797" s="6"/>
      <c r="K797" s="6"/>
      <c r="L797" s="6"/>
      <c r="M797" s="6"/>
      <c r="N797" s="6"/>
      <c r="O797" s="6"/>
      <c r="P797" s="6"/>
      <c r="Q797" s="6"/>
      <c r="R797" s="6"/>
      <c r="S797" s="6"/>
      <c r="T797" s="6"/>
    </row>
    <row r="798" spans="1:20">
      <c r="A798" s="6">
        <v>0</v>
      </c>
      <c r="B798" s="6">
        <v>0</v>
      </c>
      <c r="C798" s="6" t="e">
        <f ca="1"/>
        <v>#NAME?</v>
      </c>
      <c r="D798" s="6" t="e">
        <f ca="1"/>
        <v>#NAME?</v>
      </c>
      <c r="E798" s="6" t="e">
        <f ca="1"/>
        <v>#NAME?</v>
      </c>
      <c r="F798" s="6" t="e">
        <f ca="1"/>
        <v>#NAME?</v>
      </c>
      <c r="G798" s="6" t="e">
        <f ca="1"/>
        <v>#NAME?</v>
      </c>
      <c r="H798" s="6" t="e">
        <f ca="1"/>
        <v>#NAME?</v>
      </c>
      <c r="I798" s="6"/>
      <c r="J798" s="6"/>
      <c r="K798" s="6"/>
      <c r="L798" s="6"/>
      <c r="M798" s="6"/>
      <c r="N798" s="6"/>
      <c r="O798" s="6"/>
      <c r="P798" s="6"/>
      <c r="Q798" s="6"/>
      <c r="R798" s="6"/>
      <c r="S798" s="6"/>
      <c r="T798" s="6"/>
    </row>
    <row r="799" spans="1:20">
      <c r="A799" s="6">
        <v>0</v>
      </c>
      <c r="B799" s="6">
        <v>0</v>
      </c>
      <c r="C799" s="6" t="e">
        <f ca="1"/>
        <v>#NAME?</v>
      </c>
      <c r="D799" s="6" t="e">
        <f ca="1"/>
        <v>#NAME?</v>
      </c>
      <c r="E799" s="6" t="e">
        <f ca="1"/>
        <v>#NAME?</v>
      </c>
      <c r="F799" s="6" t="e">
        <f ca="1"/>
        <v>#NAME?</v>
      </c>
      <c r="G799" s="6" t="e">
        <f ca="1"/>
        <v>#NAME?</v>
      </c>
      <c r="H799" s="6" t="e">
        <f ca="1"/>
        <v>#NAME?</v>
      </c>
      <c r="I799" s="6"/>
      <c r="J799" s="6"/>
      <c r="K799" s="6"/>
      <c r="L799" s="6"/>
      <c r="M799" s="6"/>
      <c r="N799" s="6"/>
      <c r="O799" s="6"/>
      <c r="P799" s="6"/>
      <c r="Q799" s="6"/>
      <c r="R799" s="6"/>
      <c r="S799" s="6"/>
      <c r="T799" s="6"/>
    </row>
    <row r="800" spans="1:20">
      <c r="A800" s="6">
        <v>0</v>
      </c>
      <c r="B800" s="6">
        <v>0</v>
      </c>
      <c r="C800" s="6" t="e">
        <f ca="1"/>
        <v>#NAME?</v>
      </c>
      <c r="D800" s="6" t="e">
        <f ca="1"/>
        <v>#NAME?</v>
      </c>
      <c r="E800" s="6" t="e">
        <f ca="1"/>
        <v>#NAME?</v>
      </c>
      <c r="F800" s="6" t="e">
        <f ca="1"/>
        <v>#NAME?</v>
      </c>
      <c r="G800" s="6" t="e">
        <f ca="1"/>
        <v>#NAME?</v>
      </c>
      <c r="H800" s="6" t="e">
        <f ca="1"/>
        <v>#NAME?</v>
      </c>
      <c r="I800" s="6"/>
      <c r="J800" s="6"/>
      <c r="K800" s="6"/>
      <c r="L800" s="6"/>
      <c r="M800" s="6"/>
      <c r="N800" s="6"/>
      <c r="O800" s="6"/>
      <c r="P800" s="6"/>
      <c r="Q800" s="6"/>
      <c r="R800" s="6"/>
      <c r="S800" s="6"/>
      <c r="T800" s="6"/>
    </row>
    <row r="801" spans="1:20">
      <c r="A801" s="6">
        <v>0</v>
      </c>
      <c r="B801" s="6">
        <v>0</v>
      </c>
      <c r="C801" s="6" t="e">
        <f ca="1"/>
        <v>#NAME?</v>
      </c>
      <c r="D801" s="6" t="e">
        <f ca="1"/>
        <v>#NAME?</v>
      </c>
      <c r="E801" s="6" t="e">
        <f ca="1"/>
        <v>#NAME?</v>
      </c>
      <c r="F801" s="6" t="e">
        <f ca="1"/>
        <v>#NAME?</v>
      </c>
      <c r="G801" s="6" t="e">
        <f ca="1"/>
        <v>#NAME?</v>
      </c>
      <c r="H801" s="6" t="e">
        <f ca="1"/>
        <v>#NAME?</v>
      </c>
      <c r="I801" s="6"/>
      <c r="J801" s="6"/>
      <c r="K801" s="6"/>
      <c r="L801" s="6"/>
      <c r="M801" s="6"/>
      <c r="N801" s="6"/>
      <c r="O801" s="6"/>
      <c r="P801" s="6"/>
      <c r="Q801" s="6"/>
      <c r="R801" s="6"/>
      <c r="S801" s="6"/>
      <c r="T801" s="6"/>
    </row>
    <row r="802" spans="1:20">
      <c r="A802" s="6">
        <v>0</v>
      </c>
      <c r="B802" s="6">
        <v>0</v>
      </c>
      <c r="C802" s="6" t="e">
        <f ca="1"/>
        <v>#NAME?</v>
      </c>
      <c r="D802" s="6" t="e">
        <f ca="1"/>
        <v>#NAME?</v>
      </c>
      <c r="E802" s="6" t="e">
        <f ca="1"/>
        <v>#NAME?</v>
      </c>
      <c r="F802" s="6" t="e">
        <f ca="1"/>
        <v>#NAME?</v>
      </c>
      <c r="G802" s="6" t="e">
        <f ca="1"/>
        <v>#NAME?</v>
      </c>
      <c r="H802" s="6" t="e">
        <f ca="1"/>
        <v>#NAME?</v>
      </c>
      <c r="I802" s="6"/>
      <c r="J802" s="6"/>
      <c r="K802" s="6"/>
      <c r="L802" s="6"/>
      <c r="M802" s="6"/>
      <c r="N802" s="6"/>
      <c r="O802" s="6"/>
      <c r="P802" s="6"/>
      <c r="Q802" s="6"/>
      <c r="R802" s="6"/>
      <c r="S802" s="6"/>
      <c r="T802" s="6"/>
    </row>
    <row r="803" spans="1:20">
      <c r="A803" s="6">
        <v>0</v>
      </c>
      <c r="B803" s="6">
        <v>0</v>
      </c>
      <c r="C803" s="6" t="e">
        <f ca="1"/>
        <v>#NAME?</v>
      </c>
      <c r="D803" s="6" t="e">
        <f ca="1"/>
        <v>#NAME?</v>
      </c>
      <c r="E803" s="6" t="e">
        <f ca="1"/>
        <v>#NAME?</v>
      </c>
      <c r="F803" s="6" t="e">
        <f ca="1"/>
        <v>#NAME?</v>
      </c>
      <c r="G803" s="6" t="e">
        <f ca="1"/>
        <v>#NAME?</v>
      </c>
      <c r="H803" s="6" t="e">
        <f ca="1"/>
        <v>#NAME?</v>
      </c>
      <c r="I803" s="6"/>
      <c r="J803" s="6"/>
      <c r="K803" s="6"/>
      <c r="L803" s="6"/>
      <c r="M803" s="6"/>
      <c r="N803" s="6"/>
      <c r="O803" s="6"/>
      <c r="P803" s="6"/>
      <c r="Q803" s="6"/>
      <c r="R803" s="6"/>
      <c r="S803" s="6"/>
      <c r="T803" s="6"/>
    </row>
    <row r="804" spans="1:20">
      <c r="A804" s="6">
        <v>0</v>
      </c>
      <c r="B804" s="6">
        <v>0</v>
      </c>
      <c r="C804" s="6" t="e">
        <f ca="1"/>
        <v>#NAME?</v>
      </c>
      <c r="D804" s="6" t="e">
        <f ca="1"/>
        <v>#NAME?</v>
      </c>
      <c r="E804" s="6" t="e">
        <f ca="1"/>
        <v>#NAME?</v>
      </c>
      <c r="F804" s="6" t="e">
        <f ca="1"/>
        <v>#NAME?</v>
      </c>
      <c r="G804" s="6" t="e">
        <f ca="1"/>
        <v>#NAME?</v>
      </c>
      <c r="H804" s="6" t="e">
        <f ca="1"/>
        <v>#NAME?</v>
      </c>
      <c r="I804" s="6"/>
      <c r="J804" s="6"/>
      <c r="K804" s="6"/>
      <c r="L804" s="6"/>
      <c r="M804" s="6"/>
      <c r="N804" s="6"/>
      <c r="O804" s="6"/>
      <c r="P804" s="6"/>
      <c r="Q804" s="6"/>
      <c r="R804" s="6"/>
      <c r="S804" s="6"/>
      <c r="T804" s="6"/>
    </row>
    <row r="805" spans="1:20">
      <c r="A805" s="6">
        <v>0</v>
      </c>
      <c r="B805" s="6">
        <v>0</v>
      </c>
      <c r="C805" s="6" t="e">
        <f ca="1"/>
        <v>#NAME?</v>
      </c>
      <c r="D805" s="6" t="e">
        <f ca="1"/>
        <v>#NAME?</v>
      </c>
      <c r="E805" s="6" t="e">
        <f ca="1"/>
        <v>#NAME?</v>
      </c>
      <c r="F805" s="6" t="e">
        <f ca="1"/>
        <v>#NAME?</v>
      </c>
      <c r="G805" s="6" t="e">
        <f ca="1"/>
        <v>#NAME?</v>
      </c>
      <c r="H805" s="6" t="e">
        <f ca="1"/>
        <v>#NAME?</v>
      </c>
      <c r="I805" s="6"/>
      <c r="J805" s="6"/>
      <c r="K805" s="6"/>
      <c r="L805" s="6"/>
      <c r="M805" s="6"/>
      <c r="N805" s="6"/>
      <c r="O805" s="6"/>
      <c r="P805" s="6"/>
      <c r="Q805" s="6"/>
      <c r="R805" s="6"/>
      <c r="S805" s="6"/>
      <c r="T805" s="6"/>
    </row>
    <row r="806" spans="1:20">
      <c r="A806" s="6">
        <v>0</v>
      </c>
      <c r="B806" s="6">
        <v>0</v>
      </c>
      <c r="C806" s="6" t="e">
        <f ca="1"/>
        <v>#NAME?</v>
      </c>
      <c r="D806" s="6" t="e">
        <f ca="1"/>
        <v>#NAME?</v>
      </c>
      <c r="E806" s="6" t="e">
        <f ca="1"/>
        <v>#NAME?</v>
      </c>
      <c r="F806" s="6" t="e">
        <f ca="1"/>
        <v>#NAME?</v>
      </c>
      <c r="G806" s="6" t="e">
        <f ca="1"/>
        <v>#NAME?</v>
      </c>
      <c r="H806" s="6" t="e">
        <f ca="1"/>
        <v>#NAME?</v>
      </c>
      <c r="I806" s="6"/>
      <c r="J806" s="6"/>
      <c r="K806" s="6"/>
      <c r="L806" s="6"/>
      <c r="M806" s="6"/>
      <c r="N806" s="6"/>
      <c r="O806" s="6"/>
      <c r="P806" s="6"/>
      <c r="Q806" s="6"/>
      <c r="R806" s="6"/>
      <c r="S806" s="6"/>
      <c r="T806" s="6"/>
    </row>
    <row r="807" spans="1:20">
      <c r="A807" s="6">
        <v>0</v>
      </c>
      <c r="B807" s="6">
        <v>0</v>
      </c>
      <c r="C807" s="6" t="e">
        <f ca="1"/>
        <v>#NAME?</v>
      </c>
      <c r="D807" s="6" t="e">
        <f ca="1"/>
        <v>#NAME?</v>
      </c>
      <c r="E807" s="6" t="e">
        <f ca="1"/>
        <v>#NAME?</v>
      </c>
      <c r="F807" s="6" t="e">
        <f ca="1"/>
        <v>#NAME?</v>
      </c>
      <c r="G807" s="6" t="e">
        <f ca="1"/>
        <v>#NAME?</v>
      </c>
      <c r="H807" s="6" t="e">
        <f ca="1"/>
        <v>#NAME?</v>
      </c>
      <c r="I807" s="6"/>
      <c r="J807" s="6"/>
      <c r="K807" s="6"/>
      <c r="L807" s="6"/>
      <c r="M807" s="6"/>
      <c r="N807" s="6"/>
      <c r="O807" s="6"/>
      <c r="P807" s="6"/>
      <c r="Q807" s="6"/>
      <c r="R807" s="6"/>
      <c r="S807" s="6"/>
      <c r="T807" s="6"/>
    </row>
    <row r="808" spans="1:20">
      <c r="A808" s="6">
        <v>0</v>
      </c>
      <c r="B808" s="6">
        <v>0</v>
      </c>
      <c r="C808" s="6" t="e">
        <f ca="1"/>
        <v>#NAME?</v>
      </c>
      <c r="D808" s="6" t="e">
        <f ca="1"/>
        <v>#NAME?</v>
      </c>
      <c r="E808" s="6" t="e">
        <f ca="1"/>
        <v>#NAME?</v>
      </c>
      <c r="F808" s="6" t="e">
        <f ca="1"/>
        <v>#NAME?</v>
      </c>
      <c r="G808" s="6" t="e">
        <f ca="1"/>
        <v>#NAME?</v>
      </c>
      <c r="H808" s="6" t="e">
        <f ca="1"/>
        <v>#NAME?</v>
      </c>
      <c r="I808" s="6"/>
      <c r="J808" s="6"/>
      <c r="K808" s="6"/>
      <c r="L808" s="6"/>
      <c r="M808" s="6"/>
      <c r="N808" s="6"/>
      <c r="O808" s="6"/>
      <c r="P808" s="6"/>
      <c r="Q808" s="6"/>
      <c r="R808" s="6"/>
      <c r="S808" s="6"/>
      <c r="T808" s="6"/>
    </row>
    <row r="809" spans="1:20">
      <c r="A809" s="6">
        <v>0</v>
      </c>
      <c r="B809" s="6">
        <v>0</v>
      </c>
      <c r="C809" s="6" t="e">
        <f ca="1"/>
        <v>#NAME?</v>
      </c>
      <c r="D809" s="6" t="e">
        <f ca="1"/>
        <v>#NAME?</v>
      </c>
      <c r="E809" s="6" t="e">
        <f ca="1"/>
        <v>#NAME?</v>
      </c>
      <c r="F809" s="6" t="e">
        <f ca="1"/>
        <v>#NAME?</v>
      </c>
      <c r="G809" s="6" t="e">
        <f ca="1"/>
        <v>#NAME?</v>
      </c>
      <c r="H809" s="6" t="e">
        <f ca="1"/>
        <v>#NAME?</v>
      </c>
      <c r="I809" s="6"/>
      <c r="J809" s="6"/>
      <c r="K809" s="6"/>
      <c r="L809" s="6"/>
      <c r="M809" s="6"/>
      <c r="N809" s="6"/>
      <c r="O809" s="6"/>
      <c r="P809" s="6"/>
      <c r="Q809" s="6"/>
      <c r="R809" s="6"/>
      <c r="S809" s="6"/>
      <c r="T809" s="6"/>
    </row>
    <row r="810" spans="1:20">
      <c r="A810" s="6">
        <v>0</v>
      </c>
      <c r="B810" s="6">
        <v>0</v>
      </c>
      <c r="C810" s="6" t="e">
        <f ca="1"/>
        <v>#NAME?</v>
      </c>
      <c r="D810" s="6" t="e">
        <f ca="1"/>
        <v>#NAME?</v>
      </c>
      <c r="E810" s="6" t="e">
        <f ca="1"/>
        <v>#NAME?</v>
      </c>
      <c r="F810" s="6" t="e">
        <f ca="1"/>
        <v>#NAME?</v>
      </c>
      <c r="G810" s="6" t="e">
        <f ca="1"/>
        <v>#NAME?</v>
      </c>
      <c r="H810" s="6" t="e">
        <f ca="1"/>
        <v>#NAME?</v>
      </c>
      <c r="I810" s="6"/>
      <c r="J810" s="6"/>
      <c r="K810" s="6"/>
      <c r="L810" s="6"/>
      <c r="M810" s="6"/>
      <c r="N810" s="6"/>
      <c r="O810" s="6"/>
      <c r="P810" s="6"/>
      <c r="Q810" s="6"/>
      <c r="R810" s="6"/>
      <c r="S810" s="6"/>
      <c r="T810" s="6"/>
    </row>
    <row r="811" spans="1:20">
      <c r="A811" s="6">
        <v>0</v>
      </c>
      <c r="B811" s="6">
        <v>0</v>
      </c>
      <c r="C811" s="6" t="e">
        <f ca="1"/>
        <v>#NAME?</v>
      </c>
      <c r="D811" s="6" t="e">
        <f ca="1"/>
        <v>#NAME?</v>
      </c>
      <c r="E811" s="6" t="e">
        <f ca="1"/>
        <v>#NAME?</v>
      </c>
      <c r="F811" s="6" t="e">
        <f ca="1"/>
        <v>#NAME?</v>
      </c>
      <c r="G811" s="6" t="e">
        <f ca="1"/>
        <v>#NAME?</v>
      </c>
      <c r="H811" s="6" t="e">
        <f ca="1"/>
        <v>#NAME?</v>
      </c>
      <c r="I811" s="6"/>
      <c r="J811" s="6"/>
      <c r="K811" s="6"/>
      <c r="L811" s="6"/>
      <c r="M811" s="6"/>
      <c r="N811" s="6"/>
      <c r="O811" s="6"/>
      <c r="P811" s="6"/>
      <c r="Q811" s="6"/>
      <c r="R811" s="6"/>
      <c r="S811" s="6"/>
      <c r="T811" s="6"/>
    </row>
    <row r="812" spans="1:20">
      <c r="A812" s="6">
        <v>0</v>
      </c>
      <c r="B812" s="6">
        <v>0</v>
      </c>
      <c r="C812" s="6" t="e">
        <f ca="1"/>
        <v>#NAME?</v>
      </c>
      <c r="D812" s="6" t="e">
        <f ca="1"/>
        <v>#NAME?</v>
      </c>
      <c r="E812" s="6" t="e">
        <f ca="1"/>
        <v>#NAME?</v>
      </c>
      <c r="F812" s="6" t="e">
        <f ca="1"/>
        <v>#NAME?</v>
      </c>
      <c r="G812" s="6" t="e">
        <f ca="1"/>
        <v>#NAME?</v>
      </c>
      <c r="H812" s="6" t="e">
        <f ca="1"/>
        <v>#NAME?</v>
      </c>
      <c r="I812" s="6"/>
      <c r="J812" s="6"/>
      <c r="K812" s="6"/>
      <c r="L812" s="6"/>
      <c r="M812" s="6"/>
      <c r="N812" s="6"/>
      <c r="O812" s="6"/>
      <c r="P812" s="6"/>
      <c r="Q812" s="6"/>
      <c r="R812" s="6"/>
      <c r="S812" s="6"/>
      <c r="T812" s="6"/>
    </row>
    <row r="813" spans="1:20">
      <c r="A813" s="6">
        <v>0</v>
      </c>
      <c r="B813" s="6">
        <v>0</v>
      </c>
      <c r="C813" s="6" t="e">
        <f ca="1"/>
        <v>#NAME?</v>
      </c>
      <c r="D813" s="6" t="e">
        <f ca="1"/>
        <v>#NAME?</v>
      </c>
      <c r="E813" s="6" t="e">
        <f ca="1"/>
        <v>#NAME?</v>
      </c>
      <c r="F813" s="6" t="e">
        <f ca="1"/>
        <v>#NAME?</v>
      </c>
      <c r="G813" s="6" t="e">
        <f ca="1"/>
        <v>#NAME?</v>
      </c>
      <c r="H813" s="6" t="e">
        <f ca="1"/>
        <v>#NAME?</v>
      </c>
      <c r="I813" s="6"/>
      <c r="J813" s="6"/>
      <c r="K813" s="6"/>
      <c r="L813" s="6"/>
      <c r="M813" s="6"/>
      <c r="N813" s="6"/>
      <c r="O813" s="6"/>
      <c r="P813" s="6"/>
      <c r="Q813" s="6"/>
      <c r="R813" s="6"/>
      <c r="S813" s="6"/>
      <c r="T813" s="6"/>
    </row>
    <row r="814" spans="1:20">
      <c r="A814" s="6">
        <v>0</v>
      </c>
      <c r="B814" s="6">
        <v>0</v>
      </c>
      <c r="C814" s="6" t="e">
        <f ca="1"/>
        <v>#NAME?</v>
      </c>
      <c r="D814" s="6" t="e">
        <f ca="1"/>
        <v>#NAME?</v>
      </c>
      <c r="E814" s="6" t="e">
        <f ca="1"/>
        <v>#NAME?</v>
      </c>
      <c r="F814" s="6" t="e">
        <f ca="1"/>
        <v>#NAME?</v>
      </c>
      <c r="G814" s="6" t="e">
        <f ca="1"/>
        <v>#NAME?</v>
      </c>
      <c r="H814" s="6" t="e">
        <f ca="1"/>
        <v>#NAME?</v>
      </c>
      <c r="I814" s="6"/>
      <c r="J814" s="6"/>
      <c r="K814" s="6"/>
      <c r="L814" s="6"/>
      <c r="M814" s="6"/>
      <c r="N814" s="6"/>
      <c r="O814" s="6"/>
      <c r="P814" s="6"/>
      <c r="Q814" s="6"/>
      <c r="R814" s="6"/>
      <c r="S814" s="6"/>
      <c r="T814" s="6"/>
    </row>
    <row r="815" spans="1:20">
      <c r="A815" s="6">
        <v>0</v>
      </c>
      <c r="B815" s="6">
        <v>0</v>
      </c>
      <c r="C815" s="6" t="e">
        <f ca="1"/>
        <v>#NAME?</v>
      </c>
      <c r="D815" s="6" t="e">
        <f ca="1"/>
        <v>#NAME?</v>
      </c>
      <c r="E815" s="6" t="e">
        <f ca="1"/>
        <v>#NAME?</v>
      </c>
      <c r="F815" s="6" t="e">
        <f ca="1"/>
        <v>#NAME?</v>
      </c>
      <c r="G815" s="6" t="e">
        <f ca="1"/>
        <v>#NAME?</v>
      </c>
      <c r="H815" s="6" t="e">
        <f ca="1"/>
        <v>#NAME?</v>
      </c>
      <c r="I815" s="6"/>
      <c r="J815" s="6"/>
      <c r="K815" s="6"/>
      <c r="L815" s="6"/>
      <c r="M815" s="6"/>
      <c r="N815" s="6"/>
      <c r="O815" s="6"/>
      <c r="P815" s="6"/>
      <c r="Q815" s="6"/>
      <c r="R815" s="6"/>
      <c r="S815" s="6"/>
      <c r="T815" s="6"/>
    </row>
    <row r="816" spans="1:20">
      <c r="A816" s="6">
        <v>0</v>
      </c>
      <c r="B816" s="6">
        <v>0</v>
      </c>
      <c r="C816" s="6" t="e">
        <f ca="1"/>
        <v>#NAME?</v>
      </c>
      <c r="D816" s="6" t="e">
        <f ca="1"/>
        <v>#NAME?</v>
      </c>
      <c r="E816" s="6" t="e">
        <f ca="1"/>
        <v>#NAME?</v>
      </c>
      <c r="F816" s="6" t="e">
        <f ca="1"/>
        <v>#NAME?</v>
      </c>
      <c r="G816" s="6" t="e">
        <f ca="1"/>
        <v>#NAME?</v>
      </c>
      <c r="H816" s="6" t="e">
        <f ca="1"/>
        <v>#NAME?</v>
      </c>
      <c r="I816" s="6"/>
      <c r="J816" s="6"/>
      <c r="K816" s="6"/>
      <c r="L816" s="6"/>
      <c r="M816" s="6"/>
      <c r="N816" s="6"/>
      <c r="O816" s="6"/>
      <c r="P816" s="6"/>
      <c r="Q816" s="6"/>
      <c r="R816" s="6"/>
      <c r="S816" s="6"/>
      <c r="T816" s="6"/>
    </row>
    <row r="817" spans="1:20">
      <c r="A817" s="6">
        <v>0</v>
      </c>
      <c r="B817" s="6">
        <v>0</v>
      </c>
      <c r="C817" s="6" t="e">
        <f ca="1"/>
        <v>#NAME?</v>
      </c>
      <c r="D817" s="6" t="e">
        <f ca="1"/>
        <v>#NAME?</v>
      </c>
      <c r="E817" s="6" t="e">
        <f ca="1"/>
        <v>#NAME?</v>
      </c>
      <c r="F817" s="6" t="e">
        <f ca="1"/>
        <v>#NAME?</v>
      </c>
      <c r="G817" s="6" t="e">
        <f ca="1"/>
        <v>#NAME?</v>
      </c>
      <c r="H817" s="6" t="e">
        <f ca="1"/>
        <v>#NAME?</v>
      </c>
      <c r="I817" s="6"/>
      <c r="J817" s="6"/>
      <c r="K817" s="6"/>
      <c r="L817" s="6"/>
      <c r="M817" s="6"/>
      <c r="N817" s="6"/>
      <c r="O817" s="6"/>
      <c r="P817" s="6"/>
      <c r="Q817" s="6"/>
      <c r="R817" s="6"/>
      <c r="S817" s="6"/>
      <c r="T817" s="6"/>
    </row>
    <row r="818" spans="1:20">
      <c r="A818" s="6">
        <v>0</v>
      </c>
      <c r="B818" s="6">
        <v>0</v>
      </c>
      <c r="C818" s="6" t="e">
        <f ca="1"/>
        <v>#NAME?</v>
      </c>
      <c r="D818" s="6" t="e">
        <f ca="1"/>
        <v>#NAME?</v>
      </c>
      <c r="E818" s="6" t="e">
        <f ca="1"/>
        <v>#NAME?</v>
      </c>
      <c r="F818" s="6" t="e">
        <f ca="1"/>
        <v>#NAME?</v>
      </c>
      <c r="G818" s="6" t="e">
        <f ca="1"/>
        <v>#NAME?</v>
      </c>
      <c r="H818" s="6" t="e">
        <f ca="1"/>
        <v>#NAME?</v>
      </c>
      <c r="I818" s="6"/>
      <c r="J818" s="6"/>
      <c r="K818" s="6"/>
      <c r="L818" s="6"/>
      <c r="M818" s="6"/>
      <c r="N818" s="6"/>
      <c r="O818" s="6"/>
      <c r="P818" s="6"/>
      <c r="Q818" s="6"/>
      <c r="R818" s="6"/>
      <c r="S818" s="6"/>
      <c r="T818" s="6"/>
    </row>
    <row r="819" spans="1:20">
      <c r="A819" s="6">
        <v>0</v>
      </c>
      <c r="B819" s="6">
        <v>0</v>
      </c>
      <c r="C819" s="6" t="e">
        <f ca="1"/>
        <v>#NAME?</v>
      </c>
      <c r="D819" s="6" t="e">
        <f ca="1"/>
        <v>#NAME?</v>
      </c>
      <c r="E819" s="6" t="e">
        <f ca="1"/>
        <v>#NAME?</v>
      </c>
      <c r="F819" s="6" t="e">
        <f ca="1"/>
        <v>#NAME?</v>
      </c>
      <c r="G819" s="6" t="e">
        <f ca="1"/>
        <v>#NAME?</v>
      </c>
      <c r="H819" s="6" t="e">
        <f ca="1"/>
        <v>#NAME?</v>
      </c>
      <c r="I819" s="6"/>
      <c r="J819" s="6"/>
      <c r="K819" s="6"/>
      <c r="L819" s="6"/>
      <c r="M819" s="6"/>
      <c r="N819" s="6"/>
      <c r="O819" s="6"/>
      <c r="P819" s="6"/>
      <c r="Q819" s="6"/>
      <c r="R819" s="6"/>
      <c r="S819" s="6"/>
      <c r="T819" s="6"/>
    </row>
    <row r="820" spans="1:20">
      <c r="A820" s="6">
        <v>0</v>
      </c>
      <c r="B820" s="6">
        <v>0</v>
      </c>
      <c r="C820" s="6" t="e">
        <f ca="1"/>
        <v>#NAME?</v>
      </c>
      <c r="D820" s="6" t="e">
        <f ca="1"/>
        <v>#NAME?</v>
      </c>
      <c r="E820" s="6" t="e">
        <f ca="1"/>
        <v>#NAME?</v>
      </c>
      <c r="F820" s="6" t="e">
        <f ca="1"/>
        <v>#NAME?</v>
      </c>
      <c r="G820" s="6" t="e">
        <f ca="1"/>
        <v>#NAME?</v>
      </c>
      <c r="H820" s="6" t="e">
        <f ca="1"/>
        <v>#NAME?</v>
      </c>
      <c r="I820" s="6"/>
      <c r="J820" s="6"/>
      <c r="K820" s="6"/>
      <c r="L820" s="6"/>
      <c r="M820" s="6"/>
      <c r="N820" s="6"/>
      <c r="O820" s="6"/>
      <c r="P820" s="6"/>
      <c r="Q820" s="6"/>
      <c r="R820" s="6"/>
      <c r="S820" s="6"/>
      <c r="T820" s="6"/>
    </row>
    <row r="821" spans="1:20">
      <c r="A821" s="6">
        <v>0</v>
      </c>
      <c r="B821" s="6">
        <v>0</v>
      </c>
      <c r="C821" s="6" t="e">
        <f ca="1"/>
        <v>#NAME?</v>
      </c>
      <c r="D821" s="6" t="e">
        <f ca="1"/>
        <v>#NAME?</v>
      </c>
      <c r="E821" s="6" t="e">
        <f ca="1"/>
        <v>#NAME?</v>
      </c>
      <c r="F821" s="6" t="e">
        <f ca="1"/>
        <v>#NAME?</v>
      </c>
      <c r="G821" s="6" t="e">
        <f ca="1"/>
        <v>#NAME?</v>
      </c>
      <c r="H821" s="6" t="e">
        <f ca="1"/>
        <v>#NAME?</v>
      </c>
      <c r="I821" s="6"/>
      <c r="J821" s="6"/>
      <c r="K821" s="6"/>
      <c r="L821" s="6"/>
      <c r="M821" s="6"/>
      <c r="N821" s="6"/>
      <c r="O821" s="6"/>
      <c r="P821" s="6"/>
      <c r="Q821" s="6"/>
      <c r="R821" s="6"/>
      <c r="S821" s="6"/>
      <c r="T821" s="6"/>
    </row>
    <row r="822" spans="1:20">
      <c r="A822" s="6">
        <v>0</v>
      </c>
      <c r="B822" s="6">
        <v>0</v>
      </c>
      <c r="C822" s="6" t="e">
        <f ca="1"/>
        <v>#NAME?</v>
      </c>
      <c r="D822" s="6" t="e">
        <f ca="1"/>
        <v>#NAME?</v>
      </c>
      <c r="E822" s="6" t="e">
        <f ca="1"/>
        <v>#NAME?</v>
      </c>
      <c r="F822" s="6" t="e">
        <f ca="1"/>
        <v>#NAME?</v>
      </c>
      <c r="G822" s="6" t="e">
        <f ca="1"/>
        <v>#NAME?</v>
      </c>
      <c r="H822" s="6" t="e">
        <f ca="1"/>
        <v>#NAME?</v>
      </c>
      <c r="I822" s="6"/>
      <c r="J822" s="6"/>
      <c r="K822" s="6"/>
      <c r="L822" s="6"/>
      <c r="M822" s="6"/>
      <c r="N822" s="6"/>
      <c r="O822" s="6"/>
      <c r="P822" s="6"/>
      <c r="Q822" s="6"/>
      <c r="R822" s="6"/>
      <c r="S822" s="6"/>
      <c r="T822" s="6"/>
    </row>
    <row r="823" spans="1:20">
      <c r="A823" s="6">
        <v>0</v>
      </c>
      <c r="B823" s="6">
        <v>0</v>
      </c>
      <c r="C823" s="6" t="e">
        <f ca="1"/>
        <v>#NAME?</v>
      </c>
      <c r="D823" s="6" t="e">
        <f ca="1"/>
        <v>#NAME?</v>
      </c>
      <c r="E823" s="6" t="e">
        <f ca="1"/>
        <v>#NAME?</v>
      </c>
      <c r="F823" s="6" t="e">
        <f ca="1"/>
        <v>#NAME?</v>
      </c>
      <c r="G823" s="6" t="e">
        <f ca="1"/>
        <v>#NAME?</v>
      </c>
      <c r="H823" s="6" t="e">
        <f ca="1"/>
        <v>#NAME?</v>
      </c>
      <c r="I823" s="6"/>
      <c r="J823" s="6"/>
      <c r="K823" s="6"/>
      <c r="L823" s="6"/>
      <c r="M823" s="6"/>
      <c r="N823" s="6"/>
      <c r="O823" s="6"/>
      <c r="P823" s="6"/>
      <c r="Q823" s="6"/>
      <c r="R823" s="6"/>
      <c r="S823" s="6"/>
      <c r="T823" s="6"/>
    </row>
    <row r="824" spans="1:20">
      <c r="A824" s="6">
        <v>0</v>
      </c>
      <c r="B824" s="6">
        <v>0</v>
      </c>
      <c r="C824" s="6" t="e">
        <f ca="1"/>
        <v>#NAME?</v>
      </c>
      <c r="D824" s="6" t="e">
        <f ca="1"/>
        <v>#NAME?</v>
      </c>
      <c r="E824" s="6" t="e">
        <f ca="1"/>
        <v>#NAME?</v>
      </c>
      <c r="F824" s="6" t="e">
        <f ca="1"/>
        <v>#NAME?</v>
      </c>
      <c r="G824" s="6" t="e">
        <f ca="1"/>
        <v>#NAME?</v>
      </c>
      <c r="H824" s="6" t="e">
        <f ca="1"/>
        <v>#NAME?</v>
      </c>
      <c r="I824" s="6"/>
      <c r="J824" s="6"/>
      <c r="K824" s="6"/>
      <c r="L824" s="6"/>
      <c r="M824" s="6"/>
      <c r="N824" s="6"/>
      <c r="O824" s="6"/>
      <c r="P824" s="6"/>
      <c r="Q824" s="6"/>
      <c r="R824" s="6"/>
      <c r="S824" s="6"/>
      <c r="T824" s="6"/>
    </row>
    <row r="825" spans="1:20">
      <c r="A825" s="6">
        <v>0</v>
      </c>
      <c r="B825" s="6">
        <v>0</v>
      </c>
      <c r="C825" s="6" t="e">
        <f ca="1"/>
        <v>#NAME?</v>
      </c>
      <c r="D825" s="6" t="e">
        <f ca="1"/>
        <v>#NAME?</v>
      </c>
      <c r="E825" s="6" t="e">
        <f ca="1"/>
        <v>#NAME?</v>
      </c>
      <c r="F825" s="6" t="e">
        <f ca="1"/>
        <v>#NAME?</v>
      </c>
      <c r="G825" s="6" t="e">
        <f ca="1"/>
        <v>#NAME?</v>
      </c>
      <c r="H825" s="6" t="e">
        <f ca="1"/>
        <v>#NAME?</v>
      </c>
      <c r="I825" s="6"/>
      <c r="J825" s="6"/>
      <c r="K825" s="6"/>
      <c r="L825" s="6"/>
      <c r="M825" s="6"/>
      <c r="N825" s="6"/>
      <c r="O825" s="6"/>
      <c r="P825" s="6"/>
      <c r="Q825" s="6"/>
      <c r="R825" s="6"/>
      <c r="S825" s="6"/>
      <c r="T825" s="6"/>
    </row>
    <row r="826" spans="1:20">
      <c r="A826" s="6">
        <v>0</v>
      </c>
      <c r="B826" s="6">
        <v>0</v>
      </c>
      <c r="C826" s="6" t="e">
        <f ca="1"/>
        <v>#NAME?</v>
      </c>
      <c r="D826" s="6" t="e">
        <f ca="1"/>
        <v>#NAME?</v>
      </c>
      <c r="E826" s="6" t="e">
        <f ca="1"/>
        <v>#NAME?</v>
      </c>
      <c r="F826" s="6" t="e">
        <f ca="1"/>
        <v>#NAME?</v>
      </c>
      <c r="G826" s="6" t="e">
        <f ca="1"/>
        <v>#NAME?</v>
      </c>
      <c r="H826" s="6" t="e">
        <f ca="1"/>
        <v>#NAME?</v>
      </c>
      <c r="I826" s="6"/>
      <c r="J826" s="6"/>
      <c r="K826" s="6"/>
      <c r="L826" s="6"/>
      <c r="M826" s="6"/>
      <c r="N826" s="6"/>
      <c r="O826" s="6"/>
      <c r="P826" s="6"/>
      <c r="Q826" s="6"/>
      <c r="R826" s="6"/>
      <c r="S826" s="6"/>
      <c r="T826" s="6"/>
    </row>
    <row r="827" spans="1:20">
      <c r="A827" s="6">
        <v>0</v>
      </c>
      <c r="B827" s="6">
        <v>0</v>
      </c>
      <c r="C827" s="6" t="e">
        <f ca="1"/>
        <v>#NAME?</v>
      </c>
      <c r="D827" s="6" t="e">
        <f ca="1"/>
        <v>#NAME?</v>
      </c>
      <c r="E827" s="6" t="e">
        <f ca="1"/>
        <v>#NAME?</v>
      </c>
      <c r="F827" s="6" t="e">
        <f ca="1"/>
        <v>#NAME?</v>
      </c>
      <c r="G827" s="6" t="e">
        <f ca="1"/>
        <v>#NAME?</v>
      </c>
      <c r="H827" s="6" t="e">
        <f ca="1"/>
        <v>#NAME?</v>
      </c>
      <c r="I827" s="6"/>
      <c r="J827" s="6"/>
      <c r="K827" s="6"/>
      <c r="L827" s="6"/>
      <c r="M827" s="6"/>
      <c r="N827" s="6"/>
      <c r="O827" s="6"/>
      <c r="P827" s="6"/>
      <c r="Q827" s="6"/>
      <c r="R827" s="6"/>
      <c r="S827" s="6"/>
      <c r="T827" s="6"/>
    </row>
    <row r="828" spans="1:20">
      <c r="A828" s="6">
        <v>0</v>
      </c>
      <c r="B828" s="6">
        <v>0</v>
      </c>
      <c r="C828" s="6" t="e">
        <f ca="1"/>
        <v>#NAME?</v>
      </c>
      <c r="D828" s="6" t="e">
        <f ca="1"/>
        <v>#NAME?</v>
      </c>
      <c r="E828" s="6" t="e">
        <f ca="1"/>
        <v>#NAME?</v>
      </c>
      <c r="F828" s="6" t="e">
        <f ca="1"/>
        <v>#NAME?</v>
      </c>
      <c r="G828" s="6" t="e">
        <f ca="1"/>
        <v>#NAME?</v>
      </c>
      <c r="H828" s="6" t="e">
        <f ca="1"/>
        <v>#NAME?</v>
      </c>
      <c r="I828" s="6"/>
      <c r="J828" s="6"/>
      <c r="K828" s="6"/>
      <c r="L828" s="6"/>
      <c r="M828" s="6"/>
      <c r="N828" s="6"/>
      <c r="O828" s="6"/>
      <c r="P828" s="6"/>
      <c r="Q828" s="6"/>
      <c r="R828" s="6"/>
      <c r="S828" s="6"/>
      <c r="T828" s="6"/>
    </row>
    <row r="829" spans="1:20">
      <c r="A829" s="6">
        <v>0</v>
      </c>
      <c r="B829" s="6">
        <v>0</v>
      </c>
      <c r="C829" s="6" t="e">
        <f ca="1"/>
        <v>#NAME?</v>
      </c>
      <c r="D829" s="6" t="e">
        <f ca="1"/>
        <v>#NAME?</v>
      </c>
      <c r="E829" s="6" t="e">
        <f ca="1"/>
        <v>#NAME?</v>
      </c>
      <c r="F829" s="6" t="e">
        <f ca="1"/>
        <v>#NAME?</v>
      </c>
      <c r="G829" s="6" t="e">
        <f ca="1"/>
        <v>#NAME?</v>
      </c>
      <c r="H829" s="6" t="e">
        <f ca="1"/>
        <v>#NAME?</v>
      </c>
      <c r="I829" s="6"/>
      <c r="J829" s="6"/>
      <c r="K829" s="6"/>
      <c r="L829" s="6"/>
      <c r="M829" s="6"/>
      <c r="N829" s="6"/>
      <c r="O829" s="6"/>
      <c r="P829" s="6"/>
      <c r="Q829" s="6"/>
      <c r="R829" s="6"/>
      <c r="S829" s="6"/>
      <c r="T829" s="6"/>
    </row>
    <row r="830" spans="1:20">
      <c r="A830" s="6">
        <v>0</v>
      </c>
      <c r="B830" s="6">
        <v>0</v>
      </c>
      <c r="C830" s="6" t="e">
        <f ca="1"/>
        <v>#NAME?</v>
      </c>
      <c r="D830" s="6" t="e">
        <f ca="1"/>
        <v>#NAME?</v>
      </c>
      <c r="E830" s="6" t="e">
        <f ca="1"/>
        <v>#NAME?</v>
      </c>
      <c r="F830" s="6" t="e">
        <f ca="1"/>
        <v>#NAME?</v>
      </c>
      <c r="G830" s="6" t="e">
        <f ca="1"/>
        <v>#NAME?</v>
      </c>
      <c r="H830" s="6" t="e">
        <f ca="1"/>
        <v>#NAME?</v>
      </c>
      <c r="I830" s="6"/>
      <c r="J830" s="6"/>
      <c r="K830" s="6"/>
      <c r="L830" s="6"/>
      <c r="M830" s="6"/>
      <c r="N830" s="6"/>
      <c r="O830" s="6"/>
      <c r="P830" s="6"/>
      <c r="Q830" s="6"/>
      <c r="R830" s="6"/>
      <c r="S830" s="6"/>
      <c r="T830" s="6"/>
    </row>
    <row r="831" spans="1:20">
      <c r="A831" s="6">
        <v>0</v>
      </c>
      <c r="B831" s="6">
        <v>0</v>
      </c>
      <c r="C831" s="6" t="e">
        <f ca="1"/>
        <v>#NAME?</v>
      </c>
      <c r="D831" s="6" t="e">
        <f ca="1"/>
        <v>#NAME?</v>
      </c>
      <c r="E831" s="6" t="e">
        <f ca="1"/>
        <v>#NAME?</v>
      </c>
      <c r="F831" s="6" t="e">
        <f ca="1"/>
        <v>#NAME?</v>
      </c>
      <c r="G831" s="6" t="e">
        <f ca="1"/>
        <v>#NAME?</v>
      </c>
      <c r="H831" s="6" t="e">
        <f ca="1"/>
        <v>#NAME?</v>
      </c>
      <c r="I831" s="6"/>
      <c r="J831" s="6"/>
      <c r="K831" s="6"/>
      <c r="L831" s="6"/>
      <c r="M831" s="6"/>
      <c r="N831" s="6"/>
      <c r="O831" s="6"/>
      <c r="P831" s="6"/>
      <c r="Q831" s="6"/>
      <c r="R831" s="6"/>
      <c r="S831" s="6"/>
      <c r="T831" s="6"/>
    </row>
    <row r="832" spans="1:20">
      <c r="A832" s="6">
        <v>0</v>
      </c>
      <c r="B832" s="6">
        <v>0</v>
      </c>
      <c r="C832" s="6" t="e">
        <f ca="1"/>
        <v>#NAME?</v>
      </c>
      <c r="D832" s="6" t="e">
        <f ca="1"/>
        <v>#NAME?</v>
      </c>
      <c r="E832" s="6" t="e">
        <f ca="1"/>
        <v>#NAME?</v>
      </c>
      <c r="F832" s="6" t="e">
        <f ca="1"/>
        <v>#NAME?</v>
      </c>
      <c r="G832" s="6" t="e">
        <f ca="1"/>
        <v>#NAME?</v>
      </c>
      <c r="H832" s="6" t="e">
        <f ca="1"/>
        <v>#NAME?</v>
      </c>
      <c r="I832" s="6"/>
      <c r="J832" s="6"/>
      <c r="K832" s="6"/>
      <c r="L832" s="6"/>
      <c r="M832" s="6"/>
      <c r="N832" s="6"/>
      <c r="O832" s="6"/>
      <c r="P832" s="6"/>
      <c r="Q832" s="6"/>
      <c r="R832" s="6"/>
      <c r="S832" s="6"/>
      <c r="T832" s="6"/>
    </row>
    <row r="833" spans="1:20">
      <c r="A833" s="6">
        <v>0</v>
      </c>
      <c r="B833" s="6">
        <v>0</v>
      </c>
      <c r="C833" s="6" t="e">
        <f ca="1"/>
        <v>#NAME?</v>
      </c>
      <c r="D833" s="6" t="e">
        <f ca="1"/>
        <v>#NAME?</v>
      </c>
      <c r="E833" s="6" t="e">
        <f ca="1"/>
        <v>#NAME?</v>
      </c>
      <c r="F833" s="6" t="e">
        <f ca="1"/>
        <v>#NAME?</v>
      </c>
      <c r="G833" s="6" t="e">
        <f ca="1"/>
        <v>#NAME?</v>
      </c>
      <c r="H833" s="6" t="e">
        <f ca="1"/>
        <v>#NAME?</v>
      </c>
      <c r="I833" s="6"/>
      <c r="J833" s="6"/>
      <c r="K833" s="6"/>
      <c r="L833" s="6"/>
      <c r="M833" s="6"/>
      <c r="N833" s="6"/>
      <c r="O833" s="6"/>
      <c r="P833" s="6"/>
      <c r="Q833" s="6"/>
      <c r="R833" s="6"/>
      <c r="S833" s="6"/>
      <c r="T833" s="6"/>
    </row>
    <row r="834" spans="1:20">
      <c r="A834" s="6">
        <v>0</v>
      </c>
      <c r="B834" s="6">
        <v>0</v>
      </c>
      <c r="C834" s="6" t="e">
        <f ca="1"/>
        <v>#NAME?</v>
      </c>
      <c r="D834" s="6" t="e">
        <f ca="1"/>
        <v>#NAME?</v>
      </c>
      <c r="E834" s="6" t="e">
        <f ca="1"/>
        <v>#NAME?</v>
      </c>
      <c r="F834" s="6" t="e">
        <f ca="1"/>
        <v>#NAME?</v>
      </c>
      <c r="G834" s="6" t="e">
        <f ca="1"/>
        <v>#NAME?</v>
      </c>
      <c r="H834" s="6" t="e">
        <f ca="1"/>
        <v>#NAME?</v>
      </c>
      <c r="I834" s="6"/>
      <c r="J834" s="6"/>
      <c r="K834" s="6"/>
      <c r="L834" s="6"/>
      <c r="M834" s="6"/>
      <c r="N834" s="6"/>
      <c r="O834" s="6"/>
      <c r="P834" s="6"/>
      <c r="Q834" s="6"/>
      <c r="R834" s="6"/>
      <c r="S834" s="6"/>
      <c r="T834" s="6"/>
    </row>
    <row r="835" spans="1:20">
      <c r="A835" s="6">
        <v>0</v>
      </c>
      <c r="B835" s="6">
        <v>0</v>
      </c>
      <c r="C835" s="6" t="e">
        <f ca="1"/>
        <v>#NAME?</v>
      </c>
      <c r="D835" s="6" t="e">
        <f ca="1"/>
        <v>#NAME?</v>
      </c>
      <c r="E835" s="6" t="e">
        <f ca="1"/>
        <v>#NAME?</v>
      </c>
      <c r="F835" s="6" t="e">
        <f ca="1"/>
        <v>#NAME?</v>
      </c>
      <c r="G835" s="6" t="e">
        <f ca="1"/>
        <v>#NAME?</v>
      </c>
      <c r="H835" s="6" t="e">
        <f ca="1"/>
        <v>#NAME?</v>
      </c>
      <c r="I835" s="6"/>
      <c r="J835" s="6"/>
      <c r="K835" s="6"/>
      <c r="L835" s="6"/>
      <c r="M835" s="6"/>
      <c r="N835" s="6"/>
      <c r="O835" s="6"/>
      <c r="P835" s="6"/>
      <c r="Q835" s="6"/>
      <c r="R835" s="6"/>
      <c r="S835" s="6"/>
      <c r="T835" s="6"/>
    </row>
    <row r="836" spans="1:20">
      <c r="A836" s="6">
        <v>0</v>
      </c>
      <c r="B836" s="6">
        <v>0</v>
      </c>
      <c r="C836" s="6" t="e">
        <f ca="1"/>
        <v>#NAME?</v>
      </c>
      <c r="D836" s="6" t="e">
        <f ca="1"/>
        <v>#NAME?</v>
      </c>
      <c r="E836" s="6" t="e">
        <f ca="1"/>
        <v>#NAME?</v>
      </c>
      <c r="F836" s="6" t="e">
        <f ca="1"/>
        <v>#NAME?</v>
      </c>
      <c r="G836" s="6" t="e">
        <f ca="1"/>
        <v>#NAME?</v>
      </c>
      <c r="H836" s="6" t="e">
        <f ca="1"/>
        <v>#NAME?</v>
      </c>
      <c r="I836" s="6"/>
      <c r="J836" s="6"/>
      <c r="K836" s="6"/>
      <c r="L836" s="6"/>
      <c r="M836" s="6"/>
      <c r="N836" s="6"/>
      <c r="O836" s="6"/>
      <c r="P836" s="6"/>
      <c r="Q836" s="6"/>
      <c r="R836" s="6"/>
      <c r="S836" s="6"/>
      <c r="T836" s="6"/>
    </row>
    <row r="837" spans="1:20">
      <c r="A837" s="6">
        <v>0</v>
      </c>
      <c r="B837" s="6">
        <v>0</v>
      </c>
      <c r="C837" s="6" t="e">
        <f ca="1"/>
        <v>#NAME?</v>
      </c>
      <c r="D837" s="6" t="e">
        <f ca="1"/>
        <v>#NAME?</v>
      </c>
      <c r="E837" s="6" t="e">
        <f ca="1"/>
        <v>#NAME?</v>
      </c>
      <c r="F837" s="6" t="e">
        <f ca="1"/>
        <v>#NAME?</v>
      </c>
      <c r="G837" s="6" t="e">
        <f ca="1"/>
        <v>#NAME?</v>
      </c>
      <c r="H837" s="6" t="e">
        <f ca="1"/>
        <v>#NAME?</v>
      </c>
      <c r="I837" s="6"/>
      <c r="J837" s="6"/>
      <c r="K837" s="6"/>
      <c r="L837" s="6"/>
      <c r="M837" s="6"/>
      <c r="N837" s="6"/>
      <c r="O837" s="6"/>
      <c r="P837" s="6"/>
      <c r="Q837" s="6"/>
      <c r="R837" s="6"/>
      <c r="S837" s="6"/>
      <c r="T837" s="6"/>
    </row>
    <row r="838" spans="1:20">
      <c r="A838" s="6">
        <v>0</v>
      </c>
      <c r="B838" s="6">
        <v>0</v>
      </c>
      <c r="C838" s="6" t="e">
        <f ca="1"/>
        <v>#NAME?</v>
      </c>
      <c r="D838" s="6" t="e">
        <f ca="1"/>
        <v>#NAME?</v>
      </c>
      <c r="E838" s="6" t="e">
        <f ca="1"/>
        <v>#NAME?</v>
      </c>
      <c r="F838" s="6" t="e">
        <f ca="1"/>
        <v>#NAME?</v>
      </c>
      <c r="G838" s="6" t="e">
        <f ca="1"/>
        <v>#NAME?</v>
      </c>
      <c r="H838" s="6" t="e">
        <f ca="1"/>
        <v>#NAME?</v>
      </c>
      <c r="I838" s="6"/>
      <c r="J838" s="6"/>
      <c r="K838" s="6"/>
      <c r="L838" s="6"/>
      <c r="M838" s="6"/>
      <c r="N838" s="6"/>
      <c r="O838" s="6"/>
      <c r="P838" s="6"/>
      <c r="Q838" s="6"/>
      <c r="R838" s="6"/>
      <c r="S838" s="6"/>
      <c r="T838" s="6"/>
    </row>
    <row r="839" spans="1:20">
      <c r="A839" s="6">
        <v>0</v>
      </c>
      <c r="B839" s="6">
        <v>0</v>
      </c>
      <c r="C839" s="6" t="e">
        <f ca="1"/>
        <v>#NAME?</v>
      </c>
      <c r="D839" s="6" t="e">
        <f ca="1"/>
        <v>#NAME?</v>
      </c>
      <c r="E839" s="6" t="e">
        <f ca="1"/>
        <v>#NAME?</v>
      </c>
      <c r="F839" s="6" t="e">
        <f ca="1"/>
        <v>#NAME?</v>
      </c>
      <c r="G839" s="6" t="e">
        <f ca="1"/>
        <v>#NAME?</v>
      </c>
      <c r="H839" s="6" t="e">
        <f ca="1"/>
        <v>#NAME?</v>
      </c>
      <c r="I839" s="6"/>
      <c r="J839" s="6"/>
      <c r="K839" s="6"/>
      <c r="L839" s="6"/>
      <c r="M839" s="6"/>
      <c r="N839" s="6"/>
      <c r="O839" s="6"/>
      <c r="P839" s="6"/>
      <c r="Q839" s="6"/>
      <c r="R839" s="6"/>
      <c r="S839" s="6"/>
      <c r="T839" s="6"/>
    </row>
    <row r="840" spans="1:20">
      <c r="A840" s="6">
        <v>0</v>
      </c>
      <c r="B840" s="6">
        <v>0</v>
      </c>
      <c r="C840" s="6" t="e">
        <f ca="1"/>
        <v>#NAME?</v>
      </c>
      <c r="D840" s="6" t="e">
        <f ca="1"/>
        <v>#NAME?</v>
      </c>
      <c r="E840" s="6" t="e">
        <f ca="1"/>
        <v>#NAME?</v>
      </c>
      <c r="F840" s="6" t="e">
        <f ca="1"/>
        <v>#NAME?</v>
      </c>
      <c r="G840" s="6" t="e">
        <f ca="1"/>
        <v>#NAME?</v>
      </c>
      <c r="H840" s="6" t="e">
        <f ca="1"/>
        <v>#NAME?</v>
      </c>
      <c r="I840" s="6"/>
      <c r="J840" s="6"/>
      <c r="K840" s="6"/>
      <c r="L840" s="6"/>
      <c r="M840" s="6"/>
      <c r="N840" s="6"/>
      <c r="O840" s="6"/>
      <c r="P840" s="6"/>
      <c r="Q840" s="6"/>
      <c r="R840" s="6"/>
      <c r="S840" s="6"/>
      <c r="T840" s="6"/>
    </row>
    <row r="841" spans="1:20">
      <c r="A841" s="6">
        <v>0</v>
      </c>
      <c r="B841" s="6">
        <v>0</v>
      </c>
      <c r="C841" s="6" t="e">
        <f ca="1"/>
        <v>#NAME?</v>
      </c>
      <c r="D841" s="6" t="e">
        <f ca="1"/>
        <v>#NAME?</v>
      </c>
      <c r="E841" s="6" t="e">
        <f ca="1"/>
        <v>#NAME?</v>
      </c>
      <c r="F841" s="6" t="e">
        <f ca="1"/>
        <v>#NAME?</v>
      </c>
      <c r="G841" s="6" t="e">
        <f ca="1"/>
        <v>#NAME?</v>
      </c>
      <c r="H841" s="6" t="e">
        <f ca="1"/>
        <v>#NAME?</v>
      </c>
      <c r="I841" s="6"/>
      <c r="J841" s="6"/>
      <c r="K841" s="6"/>
      <c r="L841" s="6"/>
      <c r="M841" s="6"/>
      <c r="N841" s="6"/>
      <c r="O841" s="6"/>
      <c r="P841" s="6"/>
      <c r="Q841" s="6"/>
      <c r="R841" s="6"/>
      <c r="S841" s="6"/>
      <c r="T841" s="6"/>
    </row>
    <row r="842" spans="1:20">
      <c r="A842" s="6">
        <v>0</v>
      </c>
      <c r="B842" s="6">
        <v>0</v>
      </c>
      <c r="C842" s="6" t="e">
        <f ca="1"/>
        <v>#NAME?</v>
      </c>
      <c r="D842" s="6" t="e">
        <f ca="1"/>
        <v>#NAME?</v>
      </c>
      <c r="E842" s="6" t="e">
        <f ca="1"/>
        <v>#NAME?</v>
      </c>
      <c r="F842" s="6" t="e">
        <f ca="1"/>
        <v>#NAME?</v>
      </c>
      <c r="G842" s="6" t="e">
        <f ca="1"/>
        <v>#NAME?</v>
      </c>
      <c r="H842" s="6" t="e">
        <f ca="1"/>
        <v>#NAME?</v>
      </c>
      <c r="I842" s="6"/>
      <c r="J842" s="6"/>
      <c r="K842" s="6"/>
      <c r="L842" s="6"/>
      <c r="M842" s="6"/>
      <c r="N842" s="6"/>
      <c r="O842" s="6"/>
      <c r="P842" s="6"/>
      <c r="Q842" s="6"/>
      <c r="R842" s="6"/>
      <c r="S842" s="6"/>
      <c r="T842" s="6"/>
    </row>
    <row r="843" spans="1:20">
      <c r="A843" s="6">
        <v>0</v>
      </c>
      <c r="B843" s="6">
        <v>0</v>
      </c>
      <c r="C843" s="6" t="e">
        <f ca="1"/>
        <v>#NAME?</v>
      </c>
      <c r="D843" s="6" t="e">
        <f ca="1"/>
        <v>#NAME?</v>
      </c>
      <c r="E843" s="6" t="e">
        <f ca="1"/>
        <v>#NAME?</v>
      </c>
      <c r="F843" s="6" t="e">
        <f ca="1"/>
        <v>#NAME?</v>
      </c>
      <c r="G843" s="6" t="e">
        <f ca="1"/>
        <v>#NAME?</v>
      </c>
      <c r="H843" s="6" t="e">
        <f ca="1"/>
        <v>#NAME?</v>
      </c>
      <c r="I843" s="6"/>
      <c r="J843" s="6"/>
      <c r="K843" s="6"/>
      <c r="L843" s="6"/>
      <c r="M843" s="6"/>
      <c r="N843" s="6"/>
      <c r="O843" s="6"/>
      <c r="P843" s="6"/>
      <c r="Q843" s="6"/>
      <c r="R843" s="6"/>
      <c r="S843" s="6"/>
      <c r="T843" s="6"/>
    </row>
    <row r="844" spans="1:20">
      <c r="A844" s="6">
        <v>0</v>
      </c>
      <c r="B844" s="6">
        <v>0</v>
      </c>
      <c r="C844" s="6" t="e">
        <f ca="1"/>
        <v>#NAME?</v>
      </c>
      <c r="D844" s="6" t="e">
        <f ca="1"/>
        <v>#NAME?</v>
      </c>
      <c r="E844" s="6" t="e">
        <f ca="1"/>
        <v>#NAME?</v>
      </c>
      <c r="F844" s="6" t="e">
        <f ca="1"/>
        <v>#NAME?</v>
      </c>
      <c r="G844" s="6" t="e">
        <f ca="1"/>
        <v>#NAME?</v>
      </c>
      <c r="H844" s="6" t="e">
        <f ca="1"/>
        <v>#NAME?</v>
      </c>
      <c r="I844" s="6"/>
      <c r="J844" s="6"/>
      <c r="K844" s="6"/>
      <c r="L844" s="6"/>
      <c r="M844" s="6"/>
      <c r="N844" s="6"/>
      <c r="O844" s="6"/>
      <c r="P844" s="6"/>
      <c r="Q844" s="6"/>
      <c r="R844" s="6"/>
      <c r="S844" s="6"/>
      <c r="T844" s="6"/>
    </row>
    <row r="845" spans="1:20">
      <c r="A845" s="6">
        <v>0</v>
      </c>
      <c r="B845" s="6">
        <v>0</v>
      </c>
      <c r="C845" s="6" t="e">
        <f ca="1"/>
        <v>#NAME?</v>
      </c>
      <c r="D845" s="6" t="e">
        <f ca="1"/>
        <v>#NAME?</v>
      </c>
      <c r="E845" s="6" t="e">
        <f ca="1"/>
        <v>#NAME?</v>
      </c>
      <c r="F845" s="6" t="e">
        <f ca="1"/>
        <v>#NAME?</v>
      </c>
      <c r="G845" s="6" t="e">
        <f ca="1"/>
        <v>#NAME?</v>
      </c>
      <c r="H845" s="6" t="e">
        <f ca="1"/>
        <v>#NAME?</v>
      </c>
      <c r="I845" s="6"/>
      <c r="J845" s="6"/>
      <c r="K845" s="6"/>
      <c r="L845" s="6"/>
      <c r="M845" s="6"/>
      <c r="N845" s="6"/>
      <c r="O845" s="6"/>
      <c r="P845" s="6"/>
      <c r="Q845" s="6"/>
      <c r="R845" s="6"/>
      <c r="S845" s="6"/>
      <c r="T845" s="6"/>
    </row>
    <row r="846" spans="1:20">
      <c r="A846" s="6">
        <v>0</v>
      </c>
      <c r="B846" s="6">
        <v>0</v>
      </c>
      <c r="C846" s="6" t="e">
        <f ca="1"/>
        <v>#NAME?</v>
      </c>
      <c r="D846" s="6" t="e">
        <f ca="1"/>
        <v>#NAME?</v>
      </c>
      <c r="E846" s="6" t="e">
        <f ca="1"/>
        <v>#NAME?</v>
      </c>
      <c r="F846" s="6" t="e">
        <f ca="1"/>
        <v>#NAME?</v>
      </c>
      <c r="G846" s="6" t="e">
        <f ca="1"/>
        <v>#NAME?</v>
      </c>
      <c r="H846" s="6" t="e">
        <f ca="1"/>
        <v>#NAME?</v>
      </c>
      <c r="I846" s="6"/>
      <c r="J846" s="6"/>
      <c r="K846" s="6"/>
      <c r="L846" s="6"/>
      <c r="M846" s="6"/>
      <c r="N846" s="6"/>
      <c r="O846" s="6"/>
      <c r="P846" s="6"/>
      <c r="Q846" s="6"/>
      <c r="R846" s="6"/>
      <c r="S846" s="6"/>
      <c r="T846" s="6"/>
    </row>
    <row r="847" spans="1:20">
      <c r="A847" s="6">
        <v>0</v>
      </c>
      <c r="B847" s="6">
        <v>0</v>
      </c>
      <c r="C847" s="6" t="e">
        <f ca="1"/>
        <v>#NAME?</v>
      </c>
      <c r="D847" s="6" t="e">
        <f ca="1"/>
        <v>#NAME?</v>
      </c>
      <c r="E847" s="6" t="e">
        <f ca="1"/>
        <v>#NAME?</v>
      </c>
      <c r="F847" s="6" t="e">
        <f ca="1"/>
        <v>#NAME?</v>
      </c>
      <c r="G847" s="6" t="e">
        <f ca="1"/>
        <v>#NAME?</v>
      </c>
      <c r="H847" s="6" t="e">
        <f ca="1"/>
        <v>#NAME?</v>
      </c>
      <c r="I847" s="6"/>
      <c r="J847" s="6"/>
      <c r="K847" s="6"/>
      <c r="L847" s="6"/>
      <c r="M847" s="6"/>
      <c r="N847" s="6"/>
      <c r="O847" s="6"/>
      <c r="P847" s="6"/>
      <c r="Q847" s="6"/>
      <c r="R847" s="6"/>
      <c r="S847" s="6"/>
      <c r="T847" s="6"/>
    </row>
    <row r="848" spans="1:20">
      <c r="A848" s="6">
        <v>0</v>
      </c>
      <c r="B848" s="6">
        <v>0</v>
      </c>
      <c r="C848" s="6" t="e">
        <f ca="1"/>
        <v>#NAME?</v>
      </c>
      <c r="D848" s="6" t="e">
        <f ca="1"/>
        <v>#NAME?</v>
      </c>
      <c r="E848" s="6" t="e">
        <f ca="1"/>
        <v>#NAME?</v>
      </c>
      <c r="F848" s="6" t="e">
        <f ca="1"/>
        <v>#NAME?</v>
      </c>
      <c r="G848" s="6" t="e">
        <f ca="1"/>
        <v>#NAME?</v>
      </c>
      <c r="H848" s="6" t="e">
        <f ca="1"/>
        <v>#NAME?</v>
      </c>
      <c r="I848" s="6"/>
      <c r="J848" s="6"/>
      <c r="K848" s="6"/>
      <c r="L848" s="6"/>
      <c r="M848" s="6"/>
      <c r="N848" s="6"/>
      <c r="O848" s="6"/>
      <c r="P848" s="6"/>
      <c r="Q848" s="6"/>
      <c r="R848" s="6"/>
      <c r="S848" s="6"/>
      <c r="T848" s="6"/>
    </row>
    <row r="849" spans="1:20">
      <c r="A849" s="6">
        <v>0</v>
      </c>
      <c r="B849" s="6">
        <v>0</v>
      </c>
      <c r="C849" s="6" t="e">
        <f ca="1"/>
        <v>#NAME?</v>
      </c>
      <c r="D849" s="6" t="e">
        <f ca="1"/>
        <v>#NAME?</v>
      </c>
      <c r="E849" s="6" t="e">
        <f ca="1"/>
        <v>#NAME?</v>
      </c>
      <c r="F849" s="6" t="e">
        <f ca="1"/>
        <v>#NAME?</v>
      </c>
      <c r="G849" s="6" t="e">
        <f ca="1"/>
        <v>#NAME?</v>
      </c>
      <c r="H849" s="6" t="e">
        <f ca="1"/>
        <v>#NAME?</v>
      </c>
      <c r="I849" s="6"/>
      <c r="J849" s="6"/>
      <c r="K849" s="6"/>
      <c r="L849" s="6"/>
      <c r="M849" s="6"/>
      <c r="N849" s="6"/>
      <c r="O849" s="6"/>
      <c r="P849" s="6"/>
      <c r="Q849" s="6"/>
      <c r="R849" s="6"/>
      <c r="S849" s="6"/>
      <c r="T849" s="6"/>
    </row>
    <row r="850" spans="1:20">
      <c r="A850" s="6">
        <v>0</v>
      </c>
      <c r="B850" s="6">
        <v>0</v>
      </c>
      <c r="C850" s="6" t="e">
        <f ca="1"/>
        <v>#NAME?</v>
      </c>
      <c r="D850" s="6" t="e">
        <f ca="1"/>
        <v>#NAME?</v>
      </c>
      <c r="E850" s="6" t="e">
        <f ca="1"/>
        <v>#NAME?</v>
      </c>
      <c r="F850" s="6" t="e">
        <f ca="1"/>
        <v>#NAME?</v>
      </c>
      <c r="G850" s="6" t="e">
        <f ca="1"/>
        <v>#NAME?</v>
      </c>
      <c r="H850" s="6" t="e">
        <f ca="1"/>
        <v>#NAME?</v>
      </c>
      <c r="I850" s="6"/>
      <c r="J850" s="6"/>
      <c r="K850" s="6"/>
      <c r="L850" s="6"/>
      <c r="M850" s="6"/>
      <c r="N850" s="6"/>
      <c r="O850" s="6"/>
      <c r="P850" s="6"/>
      <c r="Q850" s="6"/>
      <c r="R850" s="6"/>
      <c r="S850" s="6"/>
      <c r="T850" s="6"/>
    </row>
    <row r="851" spans="1:20">
      <c r="A851" s="6">
        <v>0</v>
      </c>
      <c r="B851" s="6">
        <v>0</v>
      </c>
      <c r="C851" s="6" t="e">
        <f ca="1"/>
        <v>#NAME?</v>
      </c>
      <c r="D851" s="6" t="e">
        <f ca="1"/>
        <v>#NAME?</v>
      </c>
      <c r="E851" s="6" t="e">
        <f ca="1"/>
        <v>#NAME?</v>
      </c>
      <c r="F851" s="6" t="e">
        <f ca="1"/>
        <v>#NAME?</v>
      </c>
      <c r="G851" s="6" t="e">
        <f ca="1"/>
        <v>#NAME?</v>
      </c>
      <c r="H851" s="6" t="e">
        <f ca="1"/>
        <v>#NAME?</v>
      </c>
      <c r="I851" s="6"/>
      <c r="J851" s="6"/>
      <c r="K851" s="6"/>
      <c r="L851" s="6"/>
      <c r="M851" s="6"/>
      <c r="N851" s="6"/>
      <c r="O851" s="6"/>
      <c r="P851" s="6"/>
      <c r="Q851" s="6"/>
      <c r="R851" s="6"/>
      <c r="S851" s="6"/>
      <c r="T851" s="6"/>
    </row>
    <row r="852" spans="1:20">
      <c r="A852" s="6">
        <v>0</v>
      </c>
      <c r="B852" s="6">
        <v>0</v>
      </c>
      <c r="C852" s="6" t="e">
        <f ca="1"/>
        <v>#NAME?</v>
      </c>
      <c r="D852" s="6" t="e">
        <f ca="1"/>
        <v>#NAME?</v>
      </c>
      <c r="E852" s="6" t="e">
        <f ca="1"/>
        <v>#NAME?</v>
      </c>
      <c r="F852" s="6" t="e">
        <f ca="1"/>
        <v>#NAME?</v>
      </c>
      <c r="G852" s="6" t="e">
        <f ca="1"/>
        <v>#NAME?</v>
      </c>
      <c r="H852" s="6" t="e">
        <f ca="1"/>
        <v>#NAME?</v>
      </c>
      <c r="I852" s="6"/>
      <c r="J852" s="6"/>
      <c r="K852" s="6"/>
      <c r="L852" s="6"/>
      <c r="M852" s="6"/>
      <c r="N852" s="6"/>
      <c r="O852" s="6"/>
      <c r="P852" s="6"/>
      <c r="Q852" s="6"/>
      <c r="R852" s="6"/>
      <c r="S852" s="6"/>
      <c r="T852" s="6"/>
    </row>
    <row r="853" spans="1:20">
      <c r="A853" s="6">
        <v>0</v>
      </c>
      <c r="B853" s="6">
        <v>0</v>
      </c>
      <c r="C853" s="6" t="e">
        <f ca="1"/>
        <v>#NAME?</v>
      </c>
      <c r="D853" s="6" t="e">
        <f ca="1"/>
        <v>#NAME?</v>
      </c>
      <c r="E853" s="6" t="e">
        <f ca="1"/>
        <v>#NAME?</v>
      </c>
      <c r="F853" s="6" t="e">
        <f ca="1"/>
        <v>#NAME?</v>
      </c>
      <c r="G853" s="6" t="e">
        <f ca="1"/>
        <v>#NAME?</v>
      </c>
      <c r="H853" s="6" t="e">
        <f ca="1"/>
        <v>#NAME?</v>
      </c>
      <c r="I853" s="6"/>
      <c r="J853" s="6"/>
      <c r="K853" s="6"/>
      <c r="L853" s="6"/>
      <c r="M853" s="6"/>
      <c r="N853" s="6"/>
      <c r="O853" s="6"/>
      <c r="P853" s="6"/>
      <c r="Q853" s="6"/>
      <c r="R853" s="6"/>
      <c r="S853" s="6"/>
      <c r="T853" s="6"/>
    </row>
    <row r="854" spans="1:20">
      <c r="A854" s="6">
        <v>0</v>
      </c>
      <c r="B854" s="6">
        <v>0</v>
      </c>
      <c r="C854" s="6" t="e">
        <f ca="1"/>
        <v>#NAME?</v>
      </c>
      <c r="D854" s="6" t="e">
        <f ca="1"/>
        <v>#NAME?</v>
      </c>
      <c r="E854" s="6" t="e">
        <f ca="1"/>
        <v>#NAME?</v>
      </c>
      <c r="F854" s="6" t="e">
        <f ca="1"/>
        <v>#NAME?</v>
      </c>
      <c r="G854" s="6" t="e">
        <f ca="1"/>
        <v>#NAME?</v>
      </c>
      <c r="H854" s="6" t="e">
        <f ca="1"/>
        <v>#NAME?</v>
      </c>
      <c r="I854" s="6"/>
      <c r="J854" s="6"/>
      <c r="K854" s="6"/>
      <c r="L854" s="6"/>
      <c r="M854" s="6"/>
      <c r="N854" s="6"/>
      <c r="O854" s="6"/>
      <c r="P854" s="6"/>
      <c r="Q854" s="6"/>
      <c r="R854" s="6"/>
      <c r="S854" s="6"/>
      <c r="T854" s="6"/>
    </row>
    <row r="855" spans="1:20">
      <c r="A855" s="6">
        <v>0</v>
      </c>
      <c r="B855" s="6">
        <v>0</v>
      </c>
      <c r="C855" s="6" t="e">
        <f ca="1"/>
        <v>#NAME?</v>
      </c>
      <c r="D855" s="6" t="e">
        <f ca="1"/>
        <v>#NAME?</v>
      </c>
      <c r="E855" s="6" t="e">
        <f ca="1"/>
        <v>#NAME?</v>
      </c>
      <c r="F855" s="6" t="e">
        <f ca="1"/>
        <v>#NAME?</v>
      </c>
      <c r="G855" s="6" t="e">
        <f ca="1"/>
        <v>#NAME?</v>
      </c>
      <c r="H855" s="6" t="e">
        <f ca="1"/>
        <v>#NAME?</v>
      </c>
      <c r="I855" s="6"/>
      <c r="J855" s="6"/>
      <c r="K855" s="6"/>
      <c r="L855" s="6"/>
      <c r="M855" s="6"/>
      <c r="N855" s="6"/>
      <c r="O855" s="6"/>
      <c r="P855" s="6"/>
      <c r="Q855" s="6"/>
      <c r="R855" s="6"/>
      <c r="S855" s="6"/>
      <c r="T855" s="6"/>
    </row>
    <row r="856" spans="1:20">
      <c r="A856" s="6">
        <v>0</v>
      </c>
      <c r="B856" s="6">
        <v>0</v>
      </c>
      <c r="C856" s="6" t="e">
        <f ca="1"/>
        <v>#NAME?</v>
      </c>
      <c r="D856" s="6" t="e">
        <f ca="1"/>
        <v>#NAME?</v>
      </c>
      <c r="E856" s="6" t="e">
        <f ca="1"/>
        <v>#NAME?</v>
      </c>
      <c r="F856" s="6" t="e">
        <f ca="1"/>
        <v>#NAME?</v>
      </c>
      <c r="G856" s="6" t="e">
        <f ca="1"/>
        <v>#NAME?</v>
      </c>
      <c r="H856" s="6" t="e">
        <f ca="1"/>
        <v>#NAME?</v>
      </c>
      <c r="I856" s="6"/>
      <c r="J856" s="6"/>
      <c r="K856" s="6"/>
      <c r="L856" s="6"/>
      <c r="M856" s="6"/>
      <c r="N856" s="6"/>
      <c r="O856" s="6"/>
      <c r="P856" s="6"/>
      <c r="Q856" s="6"/>
      <c r="R856" s="6"/>
      <c r="S856" s="6"/>
      <c r="T856" s="6"/>
    </row>
    <row r="857" spans="1:20">
      <c r="A857" s="6">
        <v>0</v>
      </c>
      <c r="B857" s="6">
        <v>0</v>
      </c>
      <c r="C857" s="6" t="e">
        <f ca="1"/>
        <v>#NAME?</v>
      </c>
      <c r="D857" s="6" t="e">
        <f ca="1"/>
        <v>#NAME?</v>
      </c>
      <c r="E857" s="6" t="e">
        <f ca="1"/>
        <v>#NAME?</v>
      </c>
      <c r="F857" s="6" t="e">
        <f ca="1"/>
        <v>#NAME?</v>
      </c>
      <c r="G857" s="6" t="e">
        <f ca="1"/>
        <v>#NAME?</v>
      </c>
      <c r="H857" s="6" t="e">
        <f ca="1"/>
        <v>#NAME?</v>
      </c>
      <c r="I857" s="6"/>
      <c r="J857" s="6"/>
      <c r="K857" s="6"/>
      <c r="L857" s="6"/>
      <c r="M857" s="6"/>
      <c r="N857" s="6"/>
      <c r="O857" s="6"/>
      <c r="P857" s="6"/>
      <c r="Q857" s="6"/>
      <c r="R857" s="6"/>
      <c r="S857" s="6"/>
      <c r="T857" s="6"/>
    </row>
    <row r="858" spans="1:20">
      <c r="A858" s="6">
        <v>0</v>
      </c>
      <c r="B858" s="6">
        <v>0</v>
      </c>
      <c r="C858" s="6" t="e">
        <f ca="1"/>
        <v>#NAME?</v>
      </c>
      <c r="D858" s="6" t="e">
        <f ca="1"/>
        <v>#NAME?</v>
      </c>
      <c r="E858" s="6" t="e">
        <f ca="1"/>
        <v>#NAME?</v>
      </c>
      <c r="F858" s="6" t="e">
        <f ca="1"/>
        <v>#NAME?</v>
      </c>
      <c r="G858" s="6" t="e">
        <f ca="1"/>
        <v>#NAME?</v>
      </c>
      <c r="H858" s="6" t="e">
        <f ca="1"/>
        <v>#NAME?</v>
      </c>
      <c r="I858" s="6"/>
      <c r="J858" s="6"/>
      <c r="K858" s="6"/>
      <c r="L858" s="6"/>
      <c r="M858" s="6"/>
      <c r="N858" s="6"/>
      <c r="O858" s="6"/>
      <c r="P858" s="6"/>
      <c r="Q858" s="6"/>
      <c r="R858" s="6"/>
      <c r="S858" s="6"/>
      <c r="T858" s="6"/>
    </row>
    <row r="859" spans="1:20">
      <c r="A859" s="6">
        <v>0</v>
      </c>
      <c r="B859" s="6">
        <v>0</v>
      </c>
      <c r="C859" s="6" t="e">
        <f ca="1"/>
        <v>#NAME?</v>
      </c>
      <c r="D859" s="6" t="e">
        <f ca="1"/>
        <v>#NAME?</v>
      </c>
      <c r="E859" s="6" t="e">
        <f ca="1"/>
        <v>#NAME?</v>
      </c>
      <c r="F859" s="6" t="e">
        <f ca="1"/>
        <v>#NAME?</v>
      </c>
      <c r="G859" s="6" t="e">
        <f ca="1"/>
        <v>#NAME?</v>
      </c>
      <c r="H859" s="6" t="e">
        <f ca="1"/>
        <v>#NAME?</v>
      </c>
      <c r="I859" s="6"/>
      <c r="J859" s="6"/>
      <c r="K859" s="6"/>
      <c r="L859" s="6"/>
      <c r="M859" s="6"/>
      <c r="N859" s="6"/>
      <c r="O859" s="6"/>
      <c r="P859" s="6"/>
      <c r="Q859" s="6"/>
      <c r="R859" s="6"/>
      <c r="S859" s="6"/>
      <c r="T859" s="6"/>
    </row>
    <row r="860" spans="1:20">
      <c r="A860" s="6">
        <v>0</v>
      </c>
      <c r="B860" s="6">
        <v>0</v>
      </c>
      <c r="C860" s="6" t="e">
        <f ca="1"/>
        <v>#NAME?</v>
      </c>
      <c r="D860" s="6" t="e">
        <f ca="1"/>
        <v>#NAME?</v>
      </c>
      <c r="E860" s="6" t="e">
        <f ca="1"/>
        <v>#NAME?</v>
      </c>
      <c r="F860" s="6" t="e">
        <f ca="1"/>
        <v>#NAME?</v>
      </c>
      <c r="G860" s="6" t="e">
        <f ca="1"/>
        <v>#NAME?</v>
      </c>
      <c r="H860" s="6" t="e">
        <f ca="1"/>
        <v>#NAME?</v>
      </c>
      <c r="I860" s="6"/>
      <c r="J860" s="6"/>
      <c r="K860" s="6"/>
      <c r="L860" s="6"/>
      <c r="M860" s="6"/>
      <c r="N860" s="6"/>
      <c r="O860" s="6"/>
      <c r="P860" s="6"/>
      <c r="Q860" s="6"/>
      <c r="R860" s="6"/>
      <c r="S860" s="6"/>
      <c r="T860" s="6"/>
    </row>
    <row r="861" spans="1:20">
      <c r="A861" s="6">
        <v>0</v>
      </c>
      <c r="B861" s="6">
        <v>0</v>
      </c>
      <c r="C861" s="6" t="e">
        <f ca="1"/>
        <v>#NAME?</v>
      </c>
      <c r="D861" s="6" t="e">
        <f ca="1"/>
        <v>#NAME?</v>
      </c>
      <c r="E861" s="6" t="e">
        <f ca="1"/>
        <v>#NAME?</v>
      </c>
      <c r="F861" s="6" t="e">
        <f ca="1"/>
        <v>#NAME?</v>
      </c>
      <c r="G861" s="6" t="e">
        <f ca="1"/>
        <v>#NAME?</v>
      </c>
      <c r="H861" s="6" t="e">
        <f ca="1"/>
        <v>#NAME?</v>
      </c>
      <c r="I861" s="6"/>
      <c r="J861" s="6"/>
      <c r="K861" s="6"/>
      <c r="L861" s="6"/>
      <c r="M861" s="6"/>
      <c r="N861" s="6"/>
      <c r="O861" s="6"/>
      <c r="P861" s="6"/>
      <c r="Q861" s="6"/>
      <c r="R861" s="6"/>
      <c r="S861" s="6"/>
      <c r="T861" s="6"/>
    </row>
    <row r="862" spans="1:20">
      <c r="A862" s="6">
        <v>0</v>
      </c>
      <c r="B862" s="6">
        <v>0</v>
      </c>
      <c r="C862" s="6" t="e">
        <f ca="1"/>
        <v>#NAME?</v>
      </c>
      <c r="D862" s="6" t="e">
        <f ca="1"/>
        <v>#NAME?</v>
      </c>
      <c r="E862" s="6" t="e">
        <f ca="1"/>
        <v>#NAME?</v>
      </c>
      <c r="F862" s="6" t="e">
        <f ca="1"/>
        <v>#NAME?</v>
      </c>
      <c r="G862" s="6" t="e">
        <f ca="1"/>
        <v>#NAME?</v>
      </c>
      <c r="H862" s="6" t="e">
        <f ca="1"/>
        <v>#NAME?</v>
      </c>
      <c r="I862" s="6"/>
      <c r="J862" s="6"/>
      <c r="K862" s="6"/>
      <c r="L862" s="6"/>
      <c r="M862" s="6"/>
      <c r="N862" s="6"/>
      <c r="O862" s="6"/>
      <c r="P862" s="6"/>
      <c r="Q862" s="6"/>
      <c r="R862" s="6"/>
      <c r="S862" s="6"/>
      <c r="T862" s="6"/>
    </row>
    <row r="863" spans="1:20">
      <c r="A863" s="6">
        <v>0</v>
      </c>
      <c r="B863" s="6">
        <v>0</v>
      </c>
      <c r="C863" s="6" t="e">
        <f ca="1"/>
        <v>#NAME?</v>
      </c>
      <c r="D863" s="6" t="e">
        <f ca="1"/>
        <v>#NAME?</v>
      </c>
      <c r="E863" s="6" t="e">
        <f ca="1"/>
        <v>#NAME?</v>
      </c>
      <c r="F863" s="6" t="e">
        <f ca="1"/>
        <v>#NAME?</v>
      </c>
      <c r="G863" s="6" t="e">
        <f ca="1"/>
        <v>#NAME?</v>
      </c>
      <c r="H863" s="6" t="e">
        <f ca="1"/>
        <v>#NAME?</v>
      </c>
      <c r="I863" s="6"/>
      <c r="J863" s="6"/>
      <c r="K863" s="6"/>
      <c r="L863" s="6"/>
      <c r="M863" s="6"/>
      <c r="N863" s="6"/>
      <c r="O863" s="6"/>
      <c r="P863" s="6"/>
      <c r="Q863" s="6"/>
      <c r="R863" s="6"/>
      <c r="S863" s="6"/>
      <c r="T863" s="6"/>
    </row>
    <row r="864" spans="1:20">
      <c r="A864" s="6">
        <v>0</v>
      </c>
      <c r="B864" s="6">
        <v>0</v>
      </c>
      <c r="C864" s="6" t="e">
        <f ca="1"/>
        <v>#NAME?</v>
      </c>
      <c r="D864" s="6" t="e">
        <f ca="1"/>
        <v>#NAME?</v>
      </c>
      <c r="E864" s="6" t="e">
        <f ca="1"/>
        <v>#NAME?</v>
      </c>
      <c r="F864" s="6" t="e">
        <f ca="1"/>
        <v>#NAME?</v>
      </c>
      <c r="G864" s="6" t="e">
        <f ca="1"/>
        <v>#NAME?</v>
      </c>
      <c r="H864" s="6" t="e">
        <f ca="1"/>
        <v>#NAME?</v>
      </c>
      <c r="I864" s="6"/>
      <c r="J864" s="6"/>
      <c r="K864" s="6"/>
      <c r="L864" s="6"/>
      <c r="M864" s="6"/>
      <c r="N864" s="6"/>
      <c r="O864" s="6"/>
      <c r="P864" s="6"/>
      <c r="Q864" s="6"/>
      <c r="R864" s="6"/>
      <c r="S864" s="6"/>
      <c r="T864" s="6"/>
    </row>
    <row r="865" spans="1:20">
      <c r="A865" s="6">
        <v>0</v>
      </c>
      <c r="B865" s="6">
        <v>0</v>
      </c>
      <c r="C865" s="6" t="e">
        <f ca="1"/>
        <v>#NAME?</v>
      </c>
      <c r="D865" s="6" t="e">
        <f ca="1"/>
        <v>#NAME?</v>
      </c>
      <c r="E865" s="6" t="e">
        <f ca="1"/>
        <v>#NAME?</v>
      </c>
      <c r="F865" s="6" t="e">
        <f ca="1"/>
        <v>#NAME?</v>
      </c>
      <c r="G865" s="6" t="e">
        <f ca="1"/>
        <v>#NAME?</v>
      </c>
      <c r="H865" s="6" t="e">
        <f ca="1"/>
        <v>#NAME?</v>
      </c>
      <c r="I865" s="6"/>
      <c r="J865" s="6"/>
      <c r="K865" s="6"/>
      <c r="L865" s="6"/>
      <c r="M865" s="6"/>
      <c r="N865" s="6"/>
      <c r="O865" s="6"/>
      <c r="P865" s="6"/>
      <c r="Q865" s="6"/>
      <c r="R865" s="6"/>
      <c r="S865" s="6"/>
      <c r="T865" s="6"/>
    </row>
    <row r="866" spans="1:20">
      <c r="A866" s="6">
        <v>0</v>
      </c>
      <c r="B866" s="6">
        <v>0</v>
      </c>
      <c r="C866" s="6" t="e">
        <f ca="1"/>
        <v>#NAME?</v>
      </c>
      <c r="D866" s="6" t="e">
        <f ca="1"/>
        <v>#NAME?</v>
      </c>
      <c r="E866" s="6" t="e">
        <f ca="1"/>
        <v>#NAME?</v>
      </c>
      <c r="F866" s="6" t="e">
        <f ca="1"/>
        <v>#NAME?</v>
      </c>
      <c r="G866" s="6" t="e">
        <f ca="1"/>
        <v>#NAME?</v>
      </c>
      <c r="H866" s="6" t="e">
        <f ca="1"/>
        <v>#NAME?</v>
      </c>
      <c r="I866" s="6"/>
      <c r="J866" s="6"/>
      <c r="K866" s="6"/>
      <c r="L866" s="6"/>
      <c r="M866" s="6"/>
      <c r="N866" s="6"/>
      <c r="O866" s="6"/>
      <c r="P866" s="6"/>
      <c r="Q866" s="6"/>
      <c r="R866" s="6"/>
      <c r="S866" s="6"/>
      <c r="T866" s="6"/>
    </row>
    <row r="867" spans="1:20">
      <c r="A867" s="6">
        <v>0</v>
      </c>
      <c r="B867" s="6">
        <v>0</v>
      </c>
      <c r="C867" s="6" t="e">
        <f ca="1"/>
        <v>#NAME?</v>
      </c>
      <c r="D867" s="6" t="e">
        <f ca="1"/>
        <v>#NAME?</v>
      </c>
      <c r="E867" s="6" t="e">
        <f ca="1"/>
        <v>#NAME?</v>
      </c>
      <c r="F867" s="6" t="e">
        <f ca="1"/>
        <v>#NAME?</v>
      </c>
      <c r="G867" s="6" t="e">
        <f ca="1"/>
        <v>#NAME?</v>
      </c>
      <c r="H867" s="6" t="e">
        <f ca="1"/>
        <v>#NAME?</v>
      </c>
      <c r="I867" s="6"/>
      <c r="J867" s="6"/>
      <c r="K867" s="6"/>
      <c r="L867" s="6"/>
      <c r="M867" s="6"/>
      <c r="N867" s="6"/>
      <c r="O867" s="6"/>
      <c r="P867" s="6"/>
      <c r="Q867" s="6"/>
      <c r="R867" s="6"/>
      <c r="S867" s="6"/>
      <c r="T867" s="6"/>
    </row>
    <row r="868" spans="1:20">
      <c r="A868" s="6">
        <v>0</v>
      </c>
      <c r="B868" s="6">
        <v>0</v>
      </c>
      <c r="C868" s="6" t="e">
        <f ca="1"/>
        <v>#NAME?</v>
      </c>
      <c r="D868" s="6" t="e">
        <f ca="1"/>
        <v>#NAME?</v>
      </c>
      <c r="E868" s="6" t="e">
        <f ca="1"/>
        <v>#NAME?</v>
      </c>
      <c r="F868" s="6" t="e">
        <f ca="1"/>
        <v>#NAME?</v>
      </c>
      <c r="G868" s="6" t="e">
        <f ca="1"/>
        <v>#NAME?</v>
      </c>
      <c r="H868" s="6" t="e">
        <f ca="1"/>
        <v>#NAME?</v>
      </c>
      <c r="I868" s="6"/>
      <c r="J868" s="6"/>
      <c r="K868" s="6"/>
      <c r="L868" s="6"/>
      <c r="M868" s="6"/>
      <c r="N868" s="6"/>
      <c r="O868" s="6"/>
      <c r="P868" s="6"/>
      <c r="Q868" s="6"/>
      <c r="R868" s="6"/>
      <c r="S868" s="6"/>
      <c r="T868" s="6"/>
    </row>
    <row r="869" spans="1:20">
      <c r="A869" s="6">
        <v>0</v>
      </c>
      <c r="B869" s="6">
        <v>0</v>
      </c>
      <c r="C869" s="6" t="e">
        <f ca="1"/>
        <v>#NAME?</v>
      </c>
      <c r="D869" s="6" t="e">
        <f ca="1"/>
        <v>#NAME?</v>
      </c>
      <c r="E869" s="6" t="e">
        <f ca="1"/>
        <v>#NAME?</v>
      </c>
      <c r="F869" s="6" t="e">
        <f ca="1"/>
        <v>#NAME?</v>
      </c>
      <c r="G869" s="6" t="e">
        <f ca="1"/>
        <v>#NAME?</v>
      </c>
      <c r="H869" s="6" t="e">
        <f ca="1"/>
        <v>#NAME?</v>
      </c>
      <c r="I869" s="6"/>
      <c r="J869" s="6"/>
      <c r="K869" s="6"/>
      <c r="L869" s="6"/>
      <c r="M869" s="6"/>
      <c r="N869" s="6"/>
      <c r="O869" s="6"/>
      <c r="P869" s="6"/>
      <c r="Q869" s="6"/>
      <c r="R869" s="6"/>
      <c r="S869" s="6"/>
      <c r="T869" s="6"/>
    </row>
    <row r="870" spans="1:20">
      <c r="A870" s="6">
        <v>0</v>
      </c>
      <c r="B870" s="6">
        <v>0</v>
      </c>
      <c r="C870" s="6" t="e">
        <f ca="1"/>
        <v>#NAME?</v>
      </c>
      <c r="D870" s="6" t="e">
        <f ca="1"/>
        <v>#NAME?</v>
      </c>
      <c r="E870" s="6" t="e">
        <f ca="1"/>
        <v>#NAME?</v>
      </c>
      <c r="F870" s="6" t="e">
        <f ca="1"/>
        <v>#NAME?</v>
      </c>
      <c r="G870" s="6" t="e">
        <f ca="1"/>
        <v>#NAME?</v>
      </c>
      <c r="H870" s="6" t="e">
        <f ca="1"/>
        <v>#NAME?</v>
      </c>
      <c r="I870" s="6"/>
      <c r="J870" s="6"/>
      <c r="K870" s="6"/>
      <c r="L870" s="6"/>
      <c r="M870" s="6"/>
      <c r="N870" s="6"/>
      <c r="O870" s="6"/>
      <c r="P870" s="6"/>
      <c r="Q870" s="6"/>
      <c r="R870" s="6"/>
      <c r="S870" s="6"/>
      <c r="T870" s="6"/>
    </row>
    <row r="871" spans="1:20">
      <c r="A871" s="6">
        <v>0</v>
      </c>
      <c r="B871" s="6">
        <v>0</v>
      </c>
      <c r="C871" s="6" t="e">
        <f ca="1"/>
        <v>#NAME?</v>
      </c>
      <c r="D871" s="6" t="e">
        <f ca="1"/>
        <v>#NAME?</v>
      </c>
      <c r="E871" s="6" t="e">
        <f ca="1"/>
        <v>#NAME?</v>
      </c>
      <c r="F871" s="6" t="e">
        <f ca="1"/>
        <v>#NAME?</v>
      </c>
      <c r="G871" s="6" t="e">
        <f ca="1"/>
        <v>#NAME?</v>
      </c>
      <c r="H871" s="6" t="e">
        <f ca="1"/>
        <v>#NAME?</v>
      </c>
      <c r="I871" s="6"/>
      <c r="J871" s="6"/>
      <c r="K871" s="6"/>
      <c r="L871" s="6"/>
      <c r="M871" s="6"/>
      <c r="N871" s="6"/>
      <c r="O871" s="6"/>
      <c r="P871" s="6"/>
      <c r="Q871" s="6"/>
      <c r="R871" s="6"/>
      <c r="S871" s="6"/>
      <c r="T871" s="6"/>
    </row>
    <row r="872" spans="1:20">
      <c r="A872" s="6">
        <v>0</v>
      </c>
      <c r="B872" s="6">
        <v>0</v>
      </c>
      <c r="C872" s="6" t="e">
        <f ca="1"/>
        <v>#NAME?</v>
      </c>
      <c r="D872" s="6" t="e">
        <f ca="1"/>
        <v>#NAME?</v>
      </c>
      <c r="E872" s="6" t="e">
        <f ca="1"/>
        <v>#NAME?</v>
      </c>
      <c r="F872" s="6" t="e">
        <f ca="1"/>
        <v>#NAME?</v>
      </c>
      <c r="G872" s="6" t="e">
        <f ca="1"/>
        <v>#NAME?</v>
      </c>
      <c r="H872" s="6" t="e">
        <f ca="1"/>
        <v>#NAME?</v>
      </c>
      <c r="I872" s="6"/>
      <c r="J872" s="6"/>
      <c r="K872" s="6"/>
      <c r="L872" s="6"/>
      <c r="M872" s="6"/>
      <c r="N872" s="6"/>
      <c r="O872" s="6"/>
      <c r="P872" s="6"/>
      <c r="Q872" s="6"/>
      <c r="R872" s="6"/>
      <c r="S872" s="6"/>
      <c r="T872" s="6"/>
    </row>
    <row r="873" spans="1:20">
      <c r="A873" s="6">
        <v>0</v>
      </c>
      <c r="B873" s="6">
        <v>0</v>
      </c>
      <c r="C873" s="6" t="e">
        <f ca="1"/>
        <v>#NAME?</v>
      </c>
      <c r="D873" s="6" t="e">
        <f ca="1"/>
        <v>#NAME?</v>
      </c>
      <c r="E873" s="6" t="e">
        <f ca="1"/>
        <v>#NAME?</v>
      </c>
      <c r="F873" s="6" t="e">
        <f ca="1"/>
        <v>#NAME?</v>
      </c>
      <c r="G873" s="6" t="e">
        <f ca="1"/>
        <v>#NAME?</v>
      </c>
      <c r="H873" s="6" t="e">
        <f ca="1"/>
        <v>#NAME?</v>
      </c>
      <c r="I873" s="6"/>
      <c r="J873" s="6"/>
      <c r="K873" s="6"/>
      <c r="L873" s="6"/>
      <c r="M873" s="6"/>
      <c r="N873" s="6"/>
      <c r="O873" s="6"/>
      <c r="P873" s="6"/>
      <c r="Q873" s="6"/>
      <c r="R873" s="6"/>
      <c r="S873" s="6"/>
      <c r="T873" s="6"/>
    </row>
    <row r="874" spans="1:20">
      <c r="A874" s="6">
        <v>0</v>
      </c>
      <c r="B874" s="6">
        <v>0</v>
      </c>
      <c r="C874" s="6" t="e">
        <f ca="1"/>
        <v>#NAME?</v>
      </c>
      <c r="D874" s="6" t="e">
        <f ca="1"/>
        <v>#NAME?</v>
      </c>
      <c r="E874" s="6" t="e">
        <f ca="1"/>
        <v>#NAME?</v>
      </c>
      <c r="F874" s="6" t="e">
        <f ca="1"/>
        <v>#NAME?</v>
      </c>
      <c r="G874" s="6" t="e">
        <f ca="1"/>
        <v>#NAME?</v>
      </c>
      <c r="H874" s="6" t="e">
        <f ca="1"/>
        <v>#NAME?</v>
      </c>
      <c r="I874" s="6"/>
      <c r="J874" s="6"/>
      <c r="K874" s="6"/>
      <c r="L874" s="6"/>
      <c r="M874" s="6"/>
      <c r="N874" s="6"/>
      <c r="O874" s="6"/>
      <c r="P874" s="6"/>
      <c r="Q874" s="6"/>
      <c r="R874" s="6"/>
      <c r="S874" s="6"/>
      <c r="T874" s="6"/>
    </row>
    <row r="875" spans="1:20">
      <c r="A875" s="6">
        <v>0</v>
      </c>
      <c r="B875" s="6">
        <v>0</v>
      </c>
      <c r="C875" s="6" t="e">
        <f ca="1"/>
        <v>#NAME?</v>
      </c>
      <c r="D875" s="6" t="e">
        <f ca="1"/>
        <v>#NAME?</v>
      </c>
      <c r="E875" s="6" t="e">
        <f ca="1"/>
        <v>#NAME?</v>
      </c>
      <c r="F875" s="6" t="e">
        <f ca="1"/>
        <v>#NAME?</v>
      </c>
      <c r="G875" s="6" t="e">
        <f ca="1"/>
        <v>#NAME?</v>
      </c>
      <c r="H875" s="6" t="e">
        <f ca="1"/>
        <v>#NAME?</v>
      </c>
      <c r="I875" s="6"/>
      <c r="J875" s="6"/>
      <c r="K875" s="6"/>
      <c r="L875" s="6"/>
      <c r="M875" s="6"/>
      <c r="N875" s="6"/>
      <c r="O875" s="6"/>
      <c r="P875" s="6"/>
      <c r="Q875" s="6"/>
      <c r="R875" s="6"/>
      <c r="S875" s="6"/>
      <c r="T875" s="6"/>
    </row>
    <row r="876" spans="1:20">
      <c r="A876" s="6">
        <v>0</v>
      </c>
      <c r="B876" s="6">
        <v>0</v>
      </c>
      <c r="C876" s="6" t="e">
        <f ca="1"/>
        <v>#NAME?</v>
      </c>
      <c r="D876" s="6" t="e">
        <f ca="1"/>
        <v>#NAME?</v>
      </c>
      <c r="E876" s="6" t="e">
        <f ca="1"/>
        <v>#NAME?</v>
      </c>
      <c r="F876" s="6" t="e">
        <f ca="1"/>
        <v>#NAME?</v>
      </c>
      <c r="G876" s="6" t="e">
        <f ca="1"/>
        <v>#NAME?</v>
      </c>
      <c r="H876" s="6" t="e">
        <f ca="1"/>
        <v>#NAME?</v>
      </c>
      <c r="I876" s="6"/>
      <c r="J876" s="6"/>
      <c r="K876" s="6"/>
      <c r="L876" s="6"/>
      <c r="M876" s="6"/>
      <c r="N876" s="6"/>
      <c r="O876" s="6"/>
      <c r="P876" s="6"/>
      <c r="Q876" s="6"/>
      <c r="R876" s="6"/>
      <c r="S876" s="6"/>
      <c r="T876" s="6"/>
    </row>
    <row r="877" spans="1:20">
      <c r="A877" s="6">
        <v>0</v>
      </c>
      <c r="B877" s="6">
        <v>0</v>
      </c>
      <c r="C877" s="6" t="e">
        <f ca="1"/>
        <v>#NAME?</v>
      </c>
      <c r="D877" s="6" t="e">
        <f ca="1"/>
        <v>#NAME?</v>
      </c>
      <c r="E877" s="6" t="e">
        <f ca="1"/>
        <v>#NAME?</v>
      </c>
      <c r="F877" s="6" t="e">
        <f ca="1"/>
        <v>#NAME?</v>
      </c>
      <c r="G877" s="6" t="e">
        <f ca="1"/>
        <v>#NAME?</v>
      </c>
      <c r="H877" s="6" t="e">
        <f ca="1"/>
        <v>#NAME?</v>
      </c>
      <c r="I877" s="6"/>
      <c r="J877" s="6"/>
      <c r="K877" s="6"/>
      <c r="L877" s="6"/>
      <c r="M877" s="6"/>
      <c r="N877" s="6"/>
      <c r="O877" s="6"/>
      <c r="P877" s="6"/>
      <c r="Q877" s="6"/>
      <c r="R877" s="6"/>
      <c r="S877" s="6"/>
      <c r="T877" s="6"/>
    </row>
    <row r="878" spans="1:20">
      <c r="A878" s="6">
        <v>0</v>
      </c>
      <c r="B878" s="6">
        <v>0</v>
      </c>
      <c r="C878" s="6" t="e">
        <f ca="1"/>
        <v>#NAME?</v>
      </c>
      <c r="D878" s="6" t="e">
        <f ca="1"/>
        <v>#NAME?</v>
      </c>
      <c r="E878" s="6" t="e">
        <f ca="1"/>
        <v>#NAME?</v>
      </c>
      <c r="F878" s="6" t="e">
        <f ca="1"/>
        <v>#NAME?</v>
      </c>
      <c r="G878" s="6" t="e">
        <f ca="1"/>
        <v>#NAME?</v>
      </c>
      <c r="H878" s="6" t="e">
        <f ca="1"/>
        <v>#NAME?</v>
      </c>
      <c r="I878" s="6"/>
      <c r="J878" s="6"/>
      <c r="K878" s="6"/>
      <c r="L878" s="6"/>
      <c r="M878" s="6"/>
      <c r="N878" s="6"/>
      <c r="O878" s="6"/>
      <c r="P878" s="6"/>
      <c r="Q878" s="6"/>
      <c r="R878" s="6"/>
      <c r="S878" s="6"/>
      <c r="T878" s="6"/>
    </row>
    <row r="879" spans="1:20">
      <c r="A879" s="6">
        <v>0</v>
      </c>
      <c r="B879" s="6">
        <v>0</v>
      </c>
      <c r="C879" s="6" t="e">
        <f ca="1"/>
        <v>#NAME?</v>
      </c>
      <c r="D879" s="6" t="e">
        <f ca="1"/>
        <v>#NAME?</v>
      </c>
      <c r="E879" s="6" t="e">
        <f ca="1"/>
        <v>#NAME?</v>
      </c>
      <c r="F879" s="6" t="e">
        <f ca="1"/>
        <v>#NAME?</v>
      </c>
      <c r="G879" s="6" t="e">
        <f ca="1"/>
        <v>#NAME?</v>
      </c>
      <c r="H879" s="6" t="e">
        <f ca="1"/>
        <v>#NAME?</v>
      </c>
      <c r="I879" s="6"/>
      <c r="J879" s="6"/>
      <c r="K879" s="6"/>
      <c r="L879" s="6"/>
      <c r="M879" s="6"/>
      <c r="N879" s="6"/>
      <c r="O879" s="6"/>
      <c r="P879" s="6"/>
      <c r="Q879" s="6"/>
      <c r="R879" s="6"/>
      <c r="S879" s="6"/>
      <c r="T879" s="6"/>
    </row>
    <row r="880" spans="1:20">
      <c r="A880" s="6">
        <v>0</v>
      </c>
      <c r="B880" s="6">
        <v>0</v>
      </c>
      <c r="C880" s="6" t="e">
        <f ca="1"/>
        <v>#NAME?</v>
      </c>
      <c r="D880" s="6" t="e">
        <f ca="1"/>
        <v>#NAME?</v>
      </c>
      <c r="E880" s="6" t="e">
        <f ca="1"/>
        <v>#NAME?</v>
      </c>
      <c r="F880" s="6" t="e">
        <f ca="1"/>
        <v>#NAME?</v>
      </c>
      <c r="G880" s="6" t="e">
        <f ca="1"/>
        <v>#NAME?</v>
      </c>
      <c r="H880" s="6" t="e">
        <f ca="1"/>
        <v>#NAME?</v>
      </c>
      <c r="I880" s="6"/>
      <c r="J880" s="6"/>
      <c r="K880" s="6"/>
      <c r="L880" s="6"/>
      <c r="M880" s="6"/>
      <c r="N880" s="6"/>
      <c r="O880" s="6"/>
      <c r="P880" s="6"/>
      <c r="Q880" s="6"/>
      <c r="R880" s="6"/>
      <c r="S880" s="6"/>
      <c r="T880" s="6"/>
    </row>
    <row r="881" spans="1:20">
      <c r="A881" s="6">
        <v>0</v>
      </c>
      <c r="B881" s="6">
        <v>0</v>
      </c>
      <c r="C881" s="6" t="e">
        <f ca="1"/>
        <v>#NAME?</v>
      </c>
      <c r="D881" s="6" t="e">
        <f ca="1"/>
        <v>#NAME?</v>
      </c>
      <c r="E881" s="6" t="e">
        <f ca="1"/>
        <v>#NAME?</v>
      </c>
      <c r="F881" s="6" t="e">
        <f ca="1"/>
        <v>#NAME?</v>
      </c>
      <c r="G881" s="6" t="e">
        <f ca="1"/>
        <v>#NAME?</v>
      </c>
      <c r="H881" s="6" t="e">
        <f ca="1"/>
        <v>#NAME?</v>
      </c>
      <c r="I881" s="6"/>
      <c r="J881" s="6"/>
      <c r="K881" s="6"/>
      <c r="L881" s="6"/>
      <c r="M881" s="6"/>
      <c r="N881" s="6"/>
      <c r="O881" s="6"/>
      <c r="P881" s="6"/>
      <c r="Q881" s="6"/>
      <c r="R881" s="6"/>
      <c r="S881" s="6"/>
      <c r="T881" s="6"/>
    </row>
    <row r="882" spans="1:20">
      <c r="A882" s="6">
        <v>0</v>
      </c>
      <c r="B882" s="6">
        <v>0</v>
      </c>
      <c r="C882" s="6" t="e">
        <f ca="1"/>
        <v>#NAME?</v>
      </c>
      <c r="D882" s="6" t="e">
        <f ca="1"/>
        <v>#NAME?</v>
      </c>
      <c r="E882" s="6" t="e">
        <f ca="1"/>
        <v>#NAME?</v>
      </c>
      <c r="F882" s="6" t="e">
        <f ca="1"/>
        <v>#NAME?</v>
      </c>
      <c r="G882" s="6" t="e">
        <f ca="1"/>
        <v>#NAME?</v>
      </c>
      <c r="H882" s="6" t="e">
        <f ca="1"/>
        <v>#NAME?</v>
      </c>
      <c r="I882" s="6"/>
      <c r="J882" s="6"/>
      <c r="K882" s="6"/>
      <c r="L882" s="6"/>
      <c r="M882" s="6"/>
      <c r="N882" s="6"/>
      <c r="O882" s="6"/>
      <c r="P882" s="6"/>
      <c r="Q882" s="6"/>
      <c r="R882" s="6"/>
      <c r="S882" s="6"/>
      <c r="T882" s="6"/>
    </row>
    <row r="883" spans="1:20">
      <c r="A883" s="6">
        <v>0</v>
      </c>
      <c r="B883" s="6">
        <v>0</v>
      </c>
      <c r="C883" s="6" t="e">
        <f ca="1"/>
        <v>#NAME?</v>
      </c>
      <c r="D883" s="6" t="e">
        <f ca="1"/>
        <v>#NAME?</v>
      </c>
      <c r="E883" s="6" t="e">
        <f ca="1"/>
        <v>#NAME?</v>
      </c>
      <c r="F883" s="6" t="e">
        <f ca="1"/>
        <v>#NAME?</v>
      </c>
      <c r="G883" s="6" t="e">
        <f ca="1"/>
        <v>#NAME?</v>
      </c>
      <c r="H883" s="6" t="e">
        <f ca="1"/>
        <v>#NAME?</v>
      </c>
      <c r="I883" s="6"/>
      <c r="J883" s="6"/>
      <c r="K883" s="6"/>
      <c r="L883" s="6"/>
      <c r="M883" s="6"/>
      <c r="N883" s="6"/>
      <c r="O883" s="6"/>
      <c r="P883" s="6"/>
      <c r="Q883" s="6"/>
      <c r="R883" s="6"/>
      <c r="S883" s="6"/>
      <c r="T883" s="6"/>
    </row>
    <row r="884" spans="1:20">
      <c r="A884" s="6">
        <v>0</v>
      </c>
      <c r="B884" s="6">
        <v>0</v>
      </c>
      <c r="C884" s="6" t="e">
        <f ca="1"/>
        <v>#NAME?</v>
      </c>
      <c r="D884" s="6" t="e">
        <f ca="1"/>
        <v>#NAME?</v>
      </c>
      <c r="E884" s="6" t="e">
        <f ca="1"/>
        <v>#NAME?</v>
      </c>
      <c r="F884" s="6" t="e">
        <f ca="1"/>
        <v>#NAME?</v>
      </c>
      <c r="G884" s="6" t="e">
        <f ca="1"/>
        <v>#NAME?</v>
      </c>
      <c r="H884" s="6" t="e">
        <f ca="1"/>
        <v>#NAME?</v>
      </c>
      <c r="I884" s="6"/>
      <c r="J884" s="6"/>
      <c r="K884" s="6"/>
      <c r="L884" s="6"/>
      <c r="M884" s="6"/>
      <c r="N884" s="6"/>
      <c r="O884" s="6"/>
      <c r="P884" s="6"/>
      <c r="Q884" s="6"/>
      <c r="R884" s="6"/>
      <c r="S884" s="6"/>
      <c r="T884" s="6"/>
    </row>
    <row r="885" spans="1:20">
      <c r="A885" s="6">
        <v>0</v>
      </c>
      <c r="B885" s="6">
        <v>0</v>
      </c>
      <c r="C885" s="6" t="e">
        <f ca="1"/>
        <v>#NAME?</v>
      </c>
      <c r="D885" s="6" t="e">
        <f ca="1"/>
        <v>#NAME?</v>
      </c>
      <c r="E885" s="6" t="e">
        <f ca="1"/>
        <v>#NAME?</v>
      </c>
      <c r="F885" s="6" t="e">
        <f ca="1"/>
        <v>#NAME?</v>
      </c>
      <c r="G885" s="6" t="e">
        <f ca="1"/>
        <v>#NAME?</v>
      </c>
      <c r="H885" s="6" t="e">
        <f ca="1"/>
        <v>#NAME?</v>
      </c>
      <c r="I885" s="6"/>
      <c r="J885" s="6"/>
      <c r="K885" s="6"/>
      <c r="L885" s="6"/>
      <c r="M885" s="6"/>
      <c r="N885" s="6"/>
      <c r="O885" s="6"/>
      <c r="P885" s="6"/>
      <c r="Q885" s="6"/>
      <c r="R885" s="6"/>
      <c r="S885" s="6"/>
      <c r="T885" s="6"/>
    </row>
    <row r="886" spans="1:20">
      <c r="A886" s="6">
        <v>0</v>
      </c>
      <c r="B886" s="6">
        <v>0</v>
      </c>
      <c r="C886" s="6" t="e">
        <f ca="1"/>
        <v>#NAME?</v>
      </c>
      <c r="D886" s="6" t="e">
        <f ca="1"/>
        <v>#NAME?</v>
      </c>
      <c r="E886" s="6" t="e">
        <f ca="1"/>
        <v>#NAME?</v>
      </c>
      <c r="F886" s="6" t="e">
        <f ca="1"/>
        <v>#NAME?</v>
      </c>
      <c r="G886" s="6" t="e">
        <f ca="1"/>
        <v>#NAME?</v>
      </c>
      <c r="H886" s="6" t="e">
        <f ca="1"/>
        <v>#NAME?</v>
      </c>
      <c r="I886" s="6"/>
      <c r="J886" s="6"/>
      <c r="K886" s="6"/>
      <c r="L886" s="6"/>
      <c r="M886" s="6"/>
      <c r="N886" s="6"/>
      <c r="O886" s="6"/>
      <c r="P886" s="6"/>
      <c r="Q886" s="6"/>
      <c r="R886" s="6"/>
      <c r="S886" s="6"/>
      <c r="T886" s="6"/>
    </row>
    <row r="887" spans="1:20">
      <c r="A887" s="6">
        <v>0</v>
      </c>
      <c r="B887" s="6">
        <v>0</v>
      </c>
      <c r="C887" s="6" t="e">
        <f ca="1"/>
        <v>#NAME?</v>
      </c>
      <c r="D887" s="6" t="e">
        <f ca="1"/>
        <v>#NAME?</v>
      </c>
      <c r="E887" s="6" t="e">
        <f ca="1"/>
        <v>#NAME?</v>
      </c>
      <c r="F887" s="6" t="e">
        <f ca="1"/>
        <v>#NAME?</v>
      </c>
      <c r="G887" s="6" t="e">
        <f ca="1"/>
        <v>#NAME?</v>
      </c>
      <c r="H887" s="6" t="e">
        <f ca="1"/>
        <v>#NAME?</v>
      </c>
      <c r="I887" s="6"/>
      <c r="J887" s="6"/>
      <c r="K887" s="6"/>
      <c r="L887" s="6"/>
      <c r="M887" s="6"/>
      <c r="N887" s="6"/>
      <c r="O887" s="6"/>
      <c r="P887" s="6"/>
      <c r="Q887" s="6"/>
      <c r="R887" s="6"/>
      <c r="S887" s="6"/>
      <c r="T887" s="6"/>
    </row>
    <row r="888" spans="1:20">
      <c r="A888" s="6">
        <v>0</v>
      </c>
      <c r="B888" s="6">
        <v>0</v>
      </c>
      <c r="C888" s="6" t="e">
        <f ca="1"/>
        <v>#NAME?</v>
      </c>
      <c r="D888" s="6" t="e">
        <f ca="1"/>
        <v>#NAME?</v>
      </c>
      <c r="E888" s="6" t="e">
        <f ca="1"/>
        <v>#NAME?</v>
      </c>
      <c r="F888" s="6" t="e">
        <f ca="1"/>
        <v>#NAME?</v>
      </c>
      <c r="G888" s="6" t="e">
        <f ca="1"/>
        <v>#NAME?</v>
      </c>
      <c r="H888" s="6" t="e">
        <f ca="1"/>
        <v>#NAME?</v>
      </c>
      <c r="I888" s="6"/>
      <c r="J888" s="6"/>
      <c r="K888" s="6"/>
      <c r="L888" s="6"/>
      <c r="M888" s="6"/>
      <c r="N888" s="6"/>
      <c r="O888" s="6"/>
      <c r="P888" s="6"/>
      <c r="Q888" s="6"/>
      <c r="R888" s="6"/>
      <c r="S888" s="6"/>
      <c r="T888" s="6"/>
    </row>
    <row r="889" spans="1:20">
      <c r="A889" s="6">
        <v>0</v>
      </c>
      <c r="B889" s="6">
        <v>0</v>
      </c>
      <c r="C889" s="6" t="e">
        <f ca="1"/>
        <v>#NAME?</v>
      </c>
      <c r="D889" s="6" t="e">
        <f ca="1"/>
        <v>#NAME?</v>
      </c>
      <c r="E889" s="6" t="e">
        <f ca="1"/>
        <v>#NAME?</v>
      </c>
      <c r="F889" s="6" t="e">
        <f ca="1"/>
        <v>#NAME?</v>
      </c>
      <c r="G889" s="6" t="e">
        <f ca="1"/>
        <v>#NAME?</v>
      </c>
      <c r="H889" s="6" t="e">
        <f ca="1"/>
        <v>#NAME?</v>
      </c>
      <c r="I889" s="6"/>
      <c r="J889" s="6"/>
      <c r="K889" s="6"/>
      <c r="L889" s="6"/>
      <c r="M889" s="6"/>
      <c r="N889" s="6"/>
      <c r="O889" s="6"/>
      <c r="P889" s="6"/>
      <c r="Q889" s="6"/>
      <c r="R889" s="6"/>
      <c r="S889" s="6"/>
      <c r="T889" s="6"/>
    </row>
    <row r="890" spans="1:20">
      <c r="A890" s="6">
        <v>0</v>
      </c>
      <c r="B890" s="6">
        <v>0</v>
      </c>
      <c r="C890" s="6" t="e">
        <f ca="1"/>
        <v>#NAME?</v>
      </c>
      <c r="D890" s="6" t="e">
        <f ca="1"/>
        <v>#NAME?</v>
      </c>
      <c r="E890" s="6" t="e">
        <f ca="1"/>
        <v>#NAME?</v>
      </c>
      <c r="F890" s="6" t="e">
        <f ca="1"/>
        <v>#NAME?</v>
      </c>
      <c r="G890" s="6" t="e">
        <f ca="1"/>
        <v>#NAME?</v>
      </c>
      <c r="H890" s="6" t="e">
        <f ca="1"/>
        <v>#NAME?</v>
      </c>
      <c r="I890" s="6"/>
      <c r="J890" s="6"/>
      <c r="K890" s="6"/>
      <c r="L890" s="6"/>
      <c r="M890" s="6"/>
      <c r="N890" s="6"/>
      <c r="O890" s="6"/>
      <c r="P890" s="6"/>
      <c r="Q890" s="6"/>
      <c r="R890" s="6"/>
      <c r="S890" s="6"/>
      <c r="T890" s="6"/>
    </row>
    <row r="891" spans="1:20">
      <c r="A891" s="6">
        <v>0</v>
      </c>
      <c r="B891" s="6">
        <v>0</v>
      </c>
      <c r="C891" s="6" t="e">
        <f ca="1"/>
        <v>#NAME?</v>
      </c>
      <c r="D891" s="6" t="e">
        <f ca="1"/>
        <v>#NAME?</v>
      </c>
      <c r="E891" s="6" t="e">
        <f ca="1"/>
        <v>#NAME?</v>
      </c>
      <c r="F891" s="6" t="e">
        <f ca="1"/>
        <v>#NAME?</v>
      </c>
      <c r="G891" s="6" t="e">
        <f ca="1"/>
        <v>#NAME?</v>
      </c>
      <c r="H891" s="6" t="e">
        <f ca="1"/>
        <v>#NAME?</v>
      </c>
      <c r="I891" s="6"/>
      <c r="J891" s="6"/>
      <c r="K891" s="6"/>
      <c r="L891" s="6"/>
      <c r="M891" s="6"/>
      <c r="N891" s="6"/>
      <c r="O891" s="6"/>
      <c r="P891" s="6"/>
      <c r="Q891" s="6"/>
      <c r="R891" s="6"/>
      <c r="S891" s="6"/>
      <c r="T891" s="6"/>
    </row>
    <row r="892" spans="1:20">
      <c r="A892" s="6">
        <v>0</v>
      </c>
      <c r="B892" s="6">
        <v>0</v>
      </c>
      <c r="C892" s="6" t="e">
        <f ca="1"/>
        <v>#NAME?</v>
      </c>
      <c r="D892" s="6" t="e">
        <f ca="1"/>
        <v>#NAME?</v>
      </c>
      <c r="E892" s="6" t="e">
        <f ca="1"/>
        <v>#NAME?</v>
      </c>
      <c r="F892" s="6" t="e">
        <f ca="1"/>
        <v>#NAME?</v>
      </c>
      <c r="G892" s="6" t="e">
        <f ca="1"/>
        <v>#NAME?</v>
      </c>
      <c r="H892" s="6" t="e">
        <f ca="1"/>
        <v>#NAME?</v>
      </c>
      <c r="I892" s="6"/>
      <c r="J892" s="6"/>
      <c r="K892" s="6"/>
      <c r="L892" s="6"/>
      <c r="M892" s="6"/>
      <c r="N892" s="6"/>
      <c r="O892" s="6"/>
      <c r="P892" s="6"/>
      <c r="Q892" s="6"/>
      <c r="R892" s="6"/>
      <c r="S892" s="6"/>
      <c r="T892" s="6"/>
    </row>
    <row r="893" spans="1:20">
      <c r="A893" s="6">
        <v>0</v>
      </c>
      <c r="B893" s="6">
        <v>0</v>
      </c>
      <c r="C893" s="6" t="e">
        <f ca="1"/>
        <v>#NAME?</v>
      </c>
      <c r="D893" s="6" t="e">
        <f ca="1"/>
        <v>#NAME?</v>
      </c>
      <c r="E893" s="6" t="e">
        <f ca="1"/>
        <v>#NAME?</v>
      </c>
      <c r="F893" s="6" t="e">
        <f ca="1"/>
        <v>#NAME?</v>
      </c>
      <c r="G893" s="6" t="e">
        <f ca="1"/>
        <v>#NAME?</v>
      </c>
      <c r="H893" s="6" t="e">
        <f ca="1"/>
        <v>#NAME?</v>
      </c>
      <c r="I893" s="6"/>
      <c r="J893" s="6"/>
      <c r="K893" s="6"/>
      <c r="L893" s="6"/>
      <c r="M893" s="6"/>
      <c r="N893" s="6"/>
      <c r="O893" s="6"/>
      <c r="P893" s="6"/>
      <c r="Q893" s="6"/>
      <c r="R893" s="6"/>
      <c r="S893" s="6"/>
      <c r="T893" s="6"/>
    </row>
    <row r="894" spans="1:20">
      <c r="A894" s="6">
        <v>0</v>
      </c>
      <c r="B894" s="6">
        <v>0</v>
      </c>
      <c r="C894" s="6" t="e">
        <f ca="1"/>
        <v>#NAME?</v>
      </c>
      <c r="D894" s="6" t="e">
        <f ca="1"/>
        <v>#NAME?</v>
      </c>
      <c r="E894" s="6" t="e">
        <f ca="1"/>
        <v>#NAME?</v>
      </c>
      <c r="F894" s="6" t="e">
        <f ca="1"/>
        <v>#NAME?</v>
      </c>
      <c r="G894" s="6" t="e">
        <f ca="1"/>
        <v>#NAME?</v>
      </c>
      <c r="H894" s="6" t="e">
        <f ca="1"/>
        <v>#NAME?</v>
      </c>
      <c r="I894" s="6"/>
      <c r="J894" s="6"/>
      <c r="K894" s="6"/>
      <c r="L894" s="6"/>
      <c r="M894" s="6"/>
      <c r="N894" s="6"/>
      <c r="O894" s="6"/>
      <c r="P894" s="6"/>
      <c r="Q894" s="6"/>
      <c r="R894" s="6"/>
      <c r="S894" s="6"/>
      <c r="T894" s="6"/>
    </row>
    <row r="895" spans="1:20">
      <c r="A895" s="6">
        <v>0</v>
      </c>
      <c r="B895" s="6">
        <v>0</v>
      </c>
      <c r="C895" s="6" t="e">
        <f ca="1"/>
        <v>#NAME?</v>
      </c>
      <c r="D895" s="6" t="e">
        <f ca="1"/>
        <v>#NAME?</v>
      </c>
      <c r="E895" s="6" t="e">
        <f ca="1"/>
        <v>#NAME?</v>
      </c>
      <c r="F895" s="6" t="e">
        <f ca="1"/>
        <v>#NAME?</v>
      </c>
      <c r="G895" s="6" t="e">
        <f ca="1"/>
        <v>#NAME?</v>
      </c>
      <c r="H895" s="6" t="e">
        <f ca="1"/>
        <v>#NAME?</v>
      </c>
      <c r="I895" s="6"/>
      <c r="J895" s="6"/>
      <c r="K895" s="6"/>
      <c r="L895" s="6"/>
      <c r="M895" s="6"/>
      <c r="N895" s="6"/>
      <c r="O895" s="6"/>
      <c r="P895" s="6"/>
      <c r="Q895" s="6"/>
      <c r="R895" s="6"/>
      <c r="S895" s="6"/>
      <c r="T895" s="6"/>
    </row>
    <row r="896" spans="1:20">
      <c r="A896" s="6">
        <v>0</v>
      </c>
      <c r="B896" s="6">
        <v>0</v>
      </c>
      <c r="C896" s="6" t="e">
        <f ca="1"/>
        <v>#NAME?</v>
      </c>
      <c r="D896" s="6" t="e">
        <f ca="1"/>
        <v>#NAME?</v>
      </c>
      <c r="E896" s="6" t="e">
        <f ca="1"/>
        <v>#NAME?</v>
      </c>
      <c r="F896" s="6" t="e">
        <f ca="1"/>
        <v>#NAME?</v>
      </c>
      <c r="G896" s="6" t="e">
        <f ca="1"/>
        <v>#NAME?</v>
      </c>
      <c r="H896" s="6" t="e">
        <f ca="1"/>
        <v>#NAME?</v>
      </c>
      <c r="I896" s="6"/>
      <c r="J896" s="6"/>
      <c r="K896" s="6"/>
      <c r="L896" s="6"/>
      <c r="M896" s="6"/>
      <c r="N896" s="6"/>
      <c r="O896" s="6"/>
      <c r="P896" s="6"/>
      <c r="Q896" s="6"/>
      <c r="R896" s="6"/>
      <c r="S896" s="6"/>
      <c r="T896" s="6"/>
    </row>
    <row r="897" spans="1:20">
      <c r="A897" s="6">
        <v>0</v>
      </c>
      <c r="B897" s="6">
        <v>0</v>
      </c>
      <c r="C897" s="6" t="e">
        <f ca="1"/>
        <v>#NAME?</v>
      </c>
      <c r="D897" s="6" t="e">
        <f ca="1"/>
        <v>#NAME?</v>
      </c>
      <c r="E897" s="6" t="e">
        <f ca="1"/>
        <v>#NAME?</v>
      </c>
      <c r="F897" s="6" t="e">
        <f ca="1"/>
        <v>#NAME?</v>
      </c>
      <c r="G897" s="6" t="e">
        <f ca="1"/>
        <v>#NAME?</v>
      </c>
      <c r="H897" s="6" t="e">
        <f ca="1"/>
        <v>#NAME?</v>
      </c>
      <c r="I897" s="6"/>
      <c r="J897" s="6"/>
      <c r="K897" s="6"/>
      <c r="L897" s="6"/>
      <c r="M897" s="6"/>
      <c r="N897" s="6"/>
      <c r="O897" s="6"/>
      <c r="P897" s="6"/>
      <c r="Q897" s="6"/>
      <c r="R897" s="6"/>
      <c r="S897" s="6"/>
      <c r="T897" s="6"/>
    </row>
    <row r="898" spans="1:20">
      <c r="A898" s="6">
        <v>0</v>
      </c>
      <c r="B898" s="6">
        <v>0</v>
      </c>
      <c r="C898" s="6" t="e">
        <f ca="1"/>
        <v>#NAME?</v>
      </c>
      <c r="D898" s="6" t="e">
        <f ca="1"/>
        <v>#NAME?</v>
      </c>
      <c r="E898" s="6" t="e">
        <f ca="1"/>
        <v>#NAME?</v>
      </c>
      <c r="F898" s="6" t="e">
        <f ca="1"/>
        <v>#NAME?</v>
      </c>
      <c r="G898" s="6" t="e">
        <f ca="1"/>
        <v>#NAME?</v>
      </c>
      <c r="H898" s="6" t="e">
        <f ca="1"/>
        <v>#NAME?</v>
      </c>
      <c r="I898" s="6"/>
      <c r="J898" s="6"/>
      <c r="K898" s="6"/>
      <c r="L898" s="6"/>
      <c r="M898" s="6"/>
      <c r="N898" s="6"/>
      <c r="O898" s="6"/>
      <c r="P898" s="6"/>
      <c r="Q898" s="6"/>
      <c r="R898" s="6"/>
      <c r="S898" s="6"/>
      <c r="T898" s="6"/>
    </row>
    <row r="899" spans="1:20">
      <c r="A899" s="6">
        <v>0</v>
      </c>
      <c r="B899" s="6">
        <v>0</v>
      </c>
      <c r="C899" s="6" t="e">
        <f ca="1"/>
        <v>#NAME?</v>
      </c>
      <c r="D899" s="6" t="e">
        <f ca="1"/>
        <v>#NAME?</v>
      </c>
      <c r="E899" s="6" t="e">
        <f ca="1"/>
        <v>#NAME?</v>
      </c>
      <c r="F899" s="6" t="e">
        <f ca="1"/>
        <v>#NAME?</v>
      </c>
      <c r="G899" s="6" t="e">
        <f ca="1"/>
        <v>#NAME?</v>
      </c>
      <c r="H899" s="6" t="e">
        <f ca="1"/>
        <v>#NAME?</v>
      </c>
      <c r="I899" s="6"/>
      <c r="J899" s="6"/>
      <c r="K899" s="6"/>
      <c r="L899" s="6"/>
      <c r="M899" s="6"/>
      <c r="N899" s="6"/>
      <c r="O899" s="6"/>
      <c r="P899" s="6"/>
      <c r="Q899" s="6"/>
      <c r="R899" s="6"/>
      <c r="S899" s="6"/>
      <c r="T899" s="6"/>
    </row>
    <row r="900" spans="1:20">
      <c r="A900" s="6">
        <v>0</v>
      </c>
      <c r="B900" s="6">
        <v>0</v>
      </c>
      <c r="C900" s="6" t="e">
        <f ca="1"/>
        <v>#NAME?</v>
      </c>
      <c r="D900" s="6" t="e">
        <f ca="1"/>
        <v>#NAME?</v>
      </c>
      <c r="E900" s="6" t="e">
        <f ca="1"/>
        <v>#NAME?</v>
      </c>
      <c r="F900" s="6" t="e">
        <f ca="1"/>
        <v>#NAME?</v>
      </c>
      <c r="G900" s="6" t="e">
        <f ca="1"/>
        <v>#NAME?</v>
      </c>
      <c r="H900" s="6" t="e">
        <f ca="1"/>
        <v>#NAME?</v>
      </c>
      <c r="I900" s="6"/>
      <c r="J900" s="6"/>
      <c r="K900" s="6"/>
      <c r="L900" s="6"/>
      <c r="M900" s="6"/>
      <c r="N900" s="6"/>
      <c r="O900" s="6"/>
      <c r="P900" s="6"/>
      <c r="Q900" s="6"/>
      <c r="R900" s="6"/>
      <c r="S900" s="6"/>
      <c r="T900" s="6"/>
    </row>
    <row r="901" spans="1:20">
      <c r="A901" s="6">
        <v>0</v>
      </c>
      <c r="B901" s="6">
        <v>0</v>
      </c>
      <c r="C901" s="6" t="e">
        <f ca="1"/>
        <v>#NAME?</v>
      </c>
      <c r="D901" s="6" t="e">
        <f ca="1"/>
        <v>#NAME?</v>
      </c>
      <c r="E901" s="6" t="e">
        <f ca="1"/>
        <v>#NAME?</v>
      </c>
      <c r="F901" s="6" t="e">
        <f ca="1"/>
        <v>#NAME?</v>
      </c>
      <c r="G901" s="6" t="e">
        <f ca="1"/>
        <v>#NAME?</v>
      </c>
      <c r="H901" s="6" t="e">
        <f ca="1"/>
        <v>#NAME?</v>
      </c>
      <c r="I901" s="6"/>
      <c r="J901" s="6"/>
      <c r="K901" s="6"/>
      <c r="L901" s="6"/>
      <c r="M901" s="6"/>
      <c r="N901" s="6"/>
      <c r="O901" s="6"/>
      <c r="P901" s="6"/>
      <c r="Q901" s="6"/>
      <c r="R901" s="6"/>
      <c r="S901" s="6"/>
      <c r="T901" s="6"/>
    </row>
    <row r="902" spans="1:20">
      <c r="A902" s="6">
        <v>0</v>
      </c>
      <c r="B902" s="6">
        <v>0</v>
      </c>
      <c r="C902" s="6" t="e">
        <f ca="1"/>
        <v>#NAME?</v>
      </c>
      <c r="D902" s="6" t="e">
        <f ca="1"/>
        <v>#NAME?</v>
      </c>
      <c r="E902" s="6" t="e">
        <f ca="1"/>
        <v>#NAME?</v>
      </c>
      <c r="F902" s="6" t="e">
        <f ca="1"/>
        <v>#NAME?</v>
      </c>
      <c r="G902" s="6" t="e">
        <f ca="1"/>
        <v>#NAME?</v>
      </c>
      <c r="H902" s="6" t="e">
        <f ca="1"/>
        <v>#NAME?</v>
      </c>
      <c r="I902" s="6"/>
      <c r="J902" s="6"/>
      <c r="K902" s="6"/>
      <c r="L902" s="6"/>
      <c r="M902" s="6"/>
      <c r="N902" s="6"/>
      <c r="O902" s="6"/>
      <c r="P902" s="6"/>
      <c r="Q902" s="6"/>
      <c r="R902" s="6"/>
      <c r="S902" s="6"/>
      <c r="T902" s="6"/>
    </row>
    <row r="903" spans="1:20">
      <c r="A903" s="6">
        <v>0</v>
      </c>
      <c r="B903" s="6">
        <v>0</v>
      </c>
      <c r="C903" s="6" t="e">
        <f ca="1"/>
        <v>#NAME?</v>
      </c>
      <c r="D903" s="6" t="e">
        <f ca="1"/>
        <v>#NAME?</v>
      </c>
      <c r="E903" s="6" t="e">
        <f ca="1"/>
        <v>#NAME?</v>
      </c>
      <c r="F903" s="6" t="e">
        <f ca="1"/>
        <v>#NAME?</v>
      </c>
      <c r="G903" s="6" t="e">
        <f ca="1"/>
        <v>#NAME?</v>
      </c>
      <c r="H903" s="6" t="e">
        <f ca="1"/>
        <v>#NAME?</v>
      </c>
      <c r="I903" s="6"/>
      <c r="J903" s="6"/>
      <c r="K903" s="6"/>
      <c r="L903" s="6"/>
      <c r="M903" s="6"/>
      <c r="N903" s="6"/>
      <c r="O903" s="6"/>
      <c r="P903" s="6"/>
      <c r="Q903" s="6"/>
      <c r="R903" s="6"/>
      <c r="S903" s="6"/>
      <c r="T903" s="6"/>
    </row>
    <row r="904" spans="1:20">
      <c r="A904" s="6">
        <v>0</v>
      </c>
      <c r="B904" s="6">
        <v>0</v>
      </c>
      <c r="C904" s="6" t="e">
        <f ca="1"/>
        <v>#NAME?</v>
      </c>
      <c r="D904" s="6" t="e">
        <f ca="1"/>
        <v>#NAME?</v>
      </c>
      <c r="E904" s="6" t="e">
        <f ca="1"/>
        <v>#NAME?</v>
      </c>
      <c r="F904" s="6" t="e">
        <f ca="1"/>
        <v>#NAME?</v>
      </c>
      <c r="G904" s="6" t="e">
        <f ca="1"/>
        <v>#NAME?</v>
      </c>
      <c r="H904" s="6" t="e">
        <f ca="1"/>
        <v>#NAME?</v>
      </c>
      <c r="I904" s="6"/>
      <c r="J904" s="6"/>
      <c r="K904" s="6"/>
      <c r="L904" s="6"/>
      <c r="M904" s="6"/>
      <c r="N904" s="6"/>
      <c r="O904" s="6"/>
      <c r="P904" s="6"/>
      <c r="Q904" s="6"/>
      <c r="R904" s="6"/>
      <c r="S904" s="6"/>
      <c r="T904" s="6"/>
    </row>
    <row r="905" spans="1:20">
      <c r="A905" s="6">
        <v>0</v>
      </c>
      <c r="B905" s="6">
        <v>0</v>
      </c>
      <c r="C905" s="6" t="e">
        <f ca="1"/>
        <v>#NAME?</v>
      </c>
      <c r="D905" s="6" t="e">
        <f ca="1"/>
        <v>#NAME?</v>
      </c>
      <c r="E905" s="6" t="e">
        <f ca="1"/>
        <v>#NAME?</v>
      </c>
      <c r="F905" s="6" t="e">
        <f ca="1"/>
        <v>#NAME?</v>
      </c>
      <c r="G905" s="6" t="e">
        <f ca="1"/>
        <v>#NAME?</v>
      </c>
      <c r="H905" s="6" t="e">
        <f ca="1"/>
        <v>#NAME?</v>
      </c>
      <c r="I905" s="6"/>
      <c r="J905" s="6"/>
      <c r="K905" s="6"/>
      <c r="L905" s="6"/>
      <c r="M905" s="6"/>
      <c r="N905" s="6"/>
      <c r="O905" s="6"/>
      <c r="P905" s="6"/>
      <c r="Q905" s="6"/>
      <c r="R905" s="6"/>
      <c r="S905" s="6"/>
      <c r="T905" s="6"/>
    </row>
    <row r="906" spans="1:20">
      <c r="A906" s="6">
        <v>0</v>
      </c>
      <c r="B906" s="6">
        <v>0</v>
      </c>
      <c r="C906" s="6" t="e">
        <f ca="1"/>
        <v>#NAME?</v>
      </c>
      <c r="D906" s="6" t="e">
        <f ca="1"/>
        <v>#NAME?</v>
      </c>
      <c r="E906" s="6" t="e">
        <f ca="1"/>
        <v>#NAME?</v>
      </c>
      <c r="F906" s="6" t="e">
        <f ca="1"/>
        <v>#NAME?</v>
      </c>
      <c r="G906" s="6" t="e">
        <f ca="1"/>
        <v>#NAME?</v>
      </c>
      <c r="H906" s="6" t="e">
        <f ca="1"/>
        <v>#NAME?</v>
      </c>
      <c r="I906" s="6"/>
      <c r="J906" s="6"/>
      <c r="K906" s="6"/>
      <c r="L906" s="6"/>
      <c r="M906" s="6"/>
      <c r="N906" s="6"/>
      <c r="O906" s="6"/>
      <c r="P906" s="6"/>
      <c r="Q906" s="6"/>
      <c r="R906" s="6"/>
      <c r="S906" s="6"/>
      <c r="T906" s="6"/>
    </row>
    <row r="907" spans="1:20">
      <c r="A907" s="6">
        <v>0</v>
      </c>
      <c r="B907" s="6">
        <v>0</v>
      </c>
      <c r="C907" s="6" t="e">
        <f ca="1"/>
        <v>#NAME?</v>
      </c>
      <c r="D907" s="6" t="e">
        <f ca="1"/>
        <v>#NAME?</v>
      </c>
      <c r="E907" s="6" t="e">
        <f ca="1"/>
        <v>#NAME?</v>
      </c>
      <c r="F907" s="6" t="e">
        <f ca="1"/>
        <v>#NAME?</v>
      </c>
      <c r="G907" s="6" t="e">
        <f ca="1"/>
        <v>#NAME?</v>
      </c>
      <c r="H907" s="6" t="e">
        <f ca="1"/>
        <v>#NAME?</v>
      </c>
      <c r="I907" s="6"/>
      <c r="J907" s="6"/>
      <c r="K907" s="6"/>
      <c r="L907" s="6"/>
      <c r="M907" s="6"/>
      <c r="N907" s="6"/>
      <c r="O907" s="6"/>
      <c r="P907" s="6"/>
      <c r="Q907" s="6"/>
      <c r="R907" s="6"/>
      <c r="S907" s="6"/>
      <c r="T907" s="6"/>
    </row>
    <row r="908" spans="1:20">
      <c r="A908" s="6">
        <v>0</v>
      </c>
      <c r="B908" s="6">
        <v>0</v>
      </c>
      <c r="C908" s="6" t="e">
        <f ca="1"/>
        <v>#NAME?</v>
      </c>
      <c r="D908" s="6" t="e">
        <f ca="1"/>
        <v>#NAME?</v>
      </c>
      <c r="E908" s="6" t="e">
        <f ca="1"/>
        <v>#NAME?</v>
      </c>
      <c r="F908" s="6" t="e">
        <f ca="1"/>
        <v>#NAME?</v>
      </c>
      <c r="G908" s="6" t="e">
        <f ca="1"/>
        <v>#NAME?</v>
      </c>
      <c r="H908" s="6" t="e">
        <f ca="1"/>
        <v>#NAME?</v>
      </c>
      <c r="I908" s="6"/>
      <c r="J908" s="6"/>
      <c r="K908" s="6"/>
      <c r="L908" s="6"/>
      <c r="M908" s="6"/>
      <c r="N908" s="6"/>
      <c r="O908" s="6"/>
      <c r="P908" s="6"/>
      <c r="Q908" s="6"/>
      <c r="R908" s="6"/>
      <c r="S908" s="6"/>
      <c r="T908" s="6"/>
    </row>
    <row r="909" spans="1:20">
      <c r="A909" s="6">
        <v>0</v>
      </c>
      <c r="B909" s="6">
        <v>0</v>
      </c>
      <c r="C909" s="6" t="e">
        <f ca="1"/>
        <v>#NAME?</v>
      </c>
      <c r="D909" s="6" t="e">
        <f ca="1"/>
        <v>#NAME?</v>
      </c>
      <c r="E909" s="6" t="e">
        <f ca="1"/>
        <v>#NAME?</v>
      </c>
      <c r="F909" s="6" t="e">
        <f ca="1"/>
        <v>#NAME?</v>
      </c>
      <c r="G909" s="6" t="e">
        <f ca="1"/>
        <v>#NAME?</v>
      </c>
      <c r="H909" s="6" t="e">
        <f ca="1"/>
        <v>#NAME?</v>
      </c>
      <c r="I909" s="6"/>
      <c r="J909" s="6"/>
      <c r="K909" s="6"/>
      <c r="L909" s="6"/>
      <c r="M909" s="6"/>
      <c r="N909" s="6"/>
      <c r="O909" s="6"/>
      <c r="P909" s="6"/>
      <c r="Q909" s="6"/>
      <c r="R909" s="6"/>
      <c r="S909" s="6"/>
      <c r="T909" s="6"/>
    </row>
    <row r="910" spans="1:20">
      <c r="A910" s="6">
        <v>0</v>
      </c>
      <c r="B910" s="6">
        <v>0</v>
      </c>
      <c r="C910" s="6" t="e">
        <f ca="1"/>
        <v>#NAME?</v>
      </c>
      <c r="D910" s="6" t="e">
        <f ca="1"/>
        <v>#NAME?</v>
      </c>
      <c r="E910" s="6" t="e">
        <f ca="1"/>
        <v>#NAME?</v>
      </c>
      <c r="F910" s="6" t="e">
        <f ca="1"/>
        <v>#NAME?</v>
      </c>
      <c r="G910" s="6" t="e">
        <f ca="1"/>
        <v>#NAME?</v>
      </c>
      <c r="H910" s="6" t="e">
        <f ca="1"/>
        <v>#NAME?</v>
      </c>
      <c r="I910" s="6"/>
      <c r="J910" s="6"/>
      <c r="K910" s="6"/>
      <c r="L910" s="6"/>
      <c r="M910" s="6"/>
      <c r="N910" s="6"/>
      <c r="O910" s="6"/>
      <c r="P910" s="6"/>
      <c r="Q910" s="6"/>
      <c r="R910" s="6"/>
      <c r="S910" s="6"/>
      <c r="T910" s="6"/>
    </row>
    <row r="911" spans="1:20">
      <c r="A911" s="6">
        <v>0</v>
      </c>
      <c r="B911" s="6">
        <v>0</v>
      </c>
      <c r="C911" s="6" t="e">
        <f ca="1"/>
        <v>#NAME?</v>
      </c>
      <c r="D911" s="6" t="e">
        <f ca="1"/>
        <v>#NAME?</v>
      </c>
      <c r="E911" s="6" t="e">
        <f ca="1"/>
        <v>#NAME?</v>
      </c>
      <c r="F911" s="6" t="e">
        <f ca="1"/>
        <v>#NAME?</v>
      </c>
      <c r="G911" s="6" t="e">
        <f ca="1"/>
        <v>#NAME?</v>
      </c>
      <c r="H911" s="6" t="e">
        <f ca="1"/>
        <v>#NAME?</v>
      </c>
      <c r="I911" s="6"/>
      <c r="J911" s="6"/>
      <c r="K911" s="6"/>
      <c r="L911" s="6"/>
      <c r="M911" s="6"/>
      <c r="N911" s="6"/>
      <c r="O911" s="6"/>
      <c r="P911" s="6"/>
      <c r="Q911" s="6"/>
      <c r="R911" s="6"/>
      <c r="S911" s="6"/>
      <c r="T911" s="6"/>
    </row>
    <row r="912" spans="1:20">
      <c r="A912" s="6">
        <v>0</v>
      </c>
      <c r="B912" s="6">
        <v>0</v>
      </c>
      <c r="C912" s="6" t="e">
        <f ca="1"/>
        <v>#NAME?</v>
      </c>
      <c r="D912" s="6" t="e">
        <f ca="1"/>
        <v>#NAME?</v>
      </c>
      <c r="E912" s="6" t="e">
        <f ca="1"/>
        <v>#NAME?</v>
      </c>
      <c r="F912" s="6" t="e">
        <f ca="1"/>
        <v>#NAME?</v>
      </c>
      <c r="G912" s="6" t="e">
        <f ca="1"/>
        <v>#NAME?</v>
      </c>
      <c r="H912" s="6" t="e">
        <f ca="1"/>
        <v>#NAME?</v>
      </c>
      <c r="I912" s="6"/>
      <c r="J912" s="6"/>
      <c r="K912" s="6"/>
      <c r="L912" s="6"/>
      <c r="M912" s="6"/>
      <c r="N912" s="6"/>
      <c r="O912" s="6"/>
      <c r="P912" s="6"/>
      <c r="Q912" s="6"/>
      <c r="R912" s="6"/>
      <c r="S912" s="6"/>
      <c r="T912" s="6"/>
    </row>
    <row r="913" spans="1:20">
      <c r="A913" s="6">
        <v>0</v>
      </c>
      <c r="B913" s="6">
        <v>0</v>
      </c>
      <c r="C913" s="6" t="e">
        <f ca="1"/>
        <v>#NAME?</v>
      </c>
      <c r="D913" s="6" t="e">
        <f ca="1"/>
        <v>#NAME?</v>
      </c>
      <c r="E913" s="6" t="e">
        <f ca="1"/>
        <v>#NAME?</v>
      </c>
      <c r="F913" s="6" t="e">
        <f ca="1"/>
        <v>#NAME?</v>
      </c>
      <c r="G913" s="6" t="e">
        <f ca="1"/>
        <v>#NAME?</v>
      </c>
      <c r="H913" s="6" t="e">
        <f ca="1"/>
        <v>#NAME?</v>
      </c>
      <c r="I913" s="6"/>
      <c r="J913" s="6"/>
      <c r="K913" s="6"/>
      <c r="L913" s="6"/>
      <c r="M913" s="6"/>
      <c r="N913" s="6"/>
      <c r="O913" s="6"/>
      <c r="P913" s="6"/>
      <c r="Q913" s="6"/>
      <c r="R913" s="6"/>
      <c r="S913" s="6"/>
      <c r="T913" s="6"/>
    </row>
    <row r="914" spans="1:20">
      <c r="A914" s="6">
        <v>0</v>
      </c>
      <c r="B914" s="6">
        <v>0</v>
      </c>
      <c r="C914" s="6" t="e">
        <f ca="1"/>
        <v>#NAME?</v>
      </c>
      <c r="D914" s="6" t="e">
        <f ca="1"/>
        <v>#NAME?</v>
      </c>
      <c r="E914" s="6" t="e">
        <f ca="1"/>
        <v>#NAME?</v>
      </c>
      <c r="F914" s="6" t="e">
        <f ca="1"/>
        <v>#NAME?</v>
      </c>
      <c r="G914" s="6" t="e">
        <f ca="1"/>
        <v>#NAME?</v>
      </c>
      <c r="H914" s="6" t="e">
        <f ca="1"/>
        <v>#NAME?</v>
      </c>
      <c r="I914" s="6"/>
      <c r="J914" s="6"/>
      <c r="K914" s="6"/>
      <c r="L914" s="6"/>
      <c r="M914" s="6"/>
      <c r="N914" s="6"/>
      <c r="O914" s="6"/>
      <c r="P914" s="6"/>
      <c r="Q914" s="6"/>
      <c r="R914" s="6"/>
      <c r="S914" s="6"/>
      <c r="T914" s="6"/>
    </row>
    <row r="915" spans="1:20">
      <c r="A915" s="6">
        <v>0</v>
      </c>
      <c r="B915" s="6">
        <v>0</v>
      </c>
      <c r="C915" s="6" t="e">
        <f ca="1"/>
        <v>#NAME?</v>
      </c>
      <c r="D915" s="6" t="e">
        <f ca="1"/>
        <v>#NAME?</v>
      </c>
      <c r="E915" s="6" t="e">
        <f ca="1"/>
        <v>#NAME?</v>
      </c>
      <c r="F915" s="6" t="e">
        <f ca="1"/>
        <v>#NAME?</v>
      </c>
      <c r="G915" s="6" t="e">
        <f ca="1"/>
        <v>#NAME?</v>
      </c>
      <c r="H915" s="6" t="e">
        <f ca="1"/>
        <v>#NAME?</v>
      </c>
      <c r="I915" s="6"/>
      <c r="J915" s="6"/>
      <c r="K915" s="6"/>
      <c r="L915" s="6"/>
      <c r="M915" s="6"/>
      <c r="N915" s="6"/>
      <c r="O915" s="6"/>
      <c r="P915" s="6"/>
      <c r="Q915" s="6"/>
      <c r="R915" s="6"/>
      <c r="S915" s="6"/>
      <c r="T915" s="6"/>
    </row>
    <row r="916" spans="1:20">
      <c r="A916" s="6">
        <v>0</v>
      </c>
      <c r="B916" s="6">
        <v>0</v>
      </c>
      <c r="C916" s="6" t="e">
        <f ca="1"/>
        <v>#NAME?</v>
      </c>
      <c r="D916" s="6" t="e">
        <f ca="1"/>
        <v>#NAME?</v>
      </c>
      <c r="E916" s="6" t="e">
        <f ca="1"/>
        <v>#NAME?</v>
      </c>
      <c r="F916" s="6" t="e">
        <f ca="1"/>
        <v>#NAME?</v>
      </c>
      <c r="G916" s="6" t="e">
        <f ca="1"/>
        <v>#NAME?</v>
      </c>
      <c r="H916" s="6" t="e">
        <f ca="1"/>
        <v>#NAME?</v>
      </c>
      <c r="I916" s="6"/>
      <c r="J916" s="6"/>
      <c r="K916" s="6"/>
      <c r="L916" s="6"/>
      <c r="M916" s="6"/>
      <c r="N916" s="6"/>
      <c r="O916" s="6"/>
      <c r="P916" s="6"/>
      <c r="Q916" s="6"/>
      <c r="R916" s="6"/>
      <c r="S916" s="6"/>
      <c r="T916" s="6"/>
    </row>
    <row r="917" spans="1:20">
      <c r="A917" s="6">
        <v>0</v>
      </c>
      <c r="B917" s="6">
        <v>0</v>
      </c>
      <c r="C917" s="6" t="e">
        <f ca="1"/>
        <v>#NAME?</v>
      </c>
      <c r="D917" s="6" t="e">
        <f ca="1"/>
        <v>#NAME?</v>
      </c>
      <c r="E917" s="6" t="e">
        <f ca="1"/>
        <v>#NAME?</v>
      </c>
      <c r="F917" s="6" t="e">
        <f ca="1"/>
        <v>#NAME?</v>
      </c>
      <c r="G917" s="6" t="e">
        <f ca="1"/>
        <v>#NAME?</v>
      </c>
      <c r="H917" s="6" t="e">
        <f ca="1"/>
        <v>#NAME?</v>
      </c>
      <c r="I917" s="6"/>
      <c r="J917" s="6"/>
      <c r="K917" s="6"/>
      <c r="L917" s="6"/>
      <c r="M917" s="6"/>
      <c r="N917" s="6"/>
      <c r="O917" s="6"/>
      <c r="P917" s="6"/>
      <c r="Q917" s="6"/>
      <c r="R917" s="6"/>
      <c r="S917" s="6"/>
      <c r="T917" s="6"/>
    </row>
    <row r="918" spans="1:20">
      <c r="A918" s="6">
        <v>0</v>
      </c>
      <c r="B918" s="6">
        <v>0</v>
      </c>
      <c r="C918" s="6" t="e">
        <f ca="1"/>
        <v>#NAME?</v>
      </c>
      <c r="D918" s="6" t="e">
        <f ca="1"/>
        <v>#NAME?</v>
      </c>
      <c r="E918" s="6" t="e">
        <f ca="1"/>
        <v>#NAME?</v>
      </c>
      <c r="F918" s="6" t="e">
        <f ca="1"/>
        <v>#NAME?</v>
      </c>
      <c r="G918" s="6" t="e">
        <f ca="1"/>
        <v>#NAME?</v>
      </c>
      <c r="H918" s="6" t="e">
        <f ca="1"/>
        <v>#NAME?</v>
      </c>
      <c r="I918" s="6"/>
      <c r="J918" s="6"/>
      <c r="K918" s="6"/>
      <c r="L918" s="6"/>
      <c r="M918" s="6"/>
      <c r="N918" s="6"/>
      <c r="O918" s="6"/>
      <c r="P918" s="6"/>
      <c r="Q918" s="6"/>
      <c r="R918" s="6"/>
      <c r="S918" s="6"/>
      <c r="T918" s="6"/>
    </row>
    <row r="919" spans="1:20">
      <c r="A919" s="6">
        <v>0</v>
      </c>
      <c r="B919" s="6">
        <v>0</v>
      </c>
      <c r="C919" s="6" t="e">
        <f ca="1"/>
        <v>#NAME?</v>
      </c>
      <c r="D919" s="6" t="e">
        <f ca="1"/>
        <v>#NAME?</v>
      </c>
      <c r="E919" s="6" t="e">
        <f ca="1"/>
        <v>#NAME?</v>
      </c>
      <c r="F919" s="6" t="e">
        <f ca="1"/>
        <v>#NAME?</v>
      </c>
      <c r="G919" s="6" t="e">
        <f ca="1"/>
        <v>#NAME?</v>
      </c>
      <c r="H919" s="6" t="e">
        <f ca="1"/>
        <v>#NAME?</v>
      </c>
      <c r="I919" s="6"/>
      <c r="J919" s="6"/>
      <c r="K919" s="6"/>
      <c r="L919" s="6"/>
      <c r="M919" s="6"/>
      <c r="N919" s="6"/>
      <c r="O919" s="6"/>
      <c r="P919" s="6"/>
      <c r="Q919" s="6"/>
      <c r="R919" s="6"/>
      <c r="S919" s="6"/>
      <c r="T919" s="6"/>
    </row>
    <row r="920" spans="1:20">
      <c r="A920" s="6">
        <v>0</v>
      </c>
      <c r="B920" s="6">
        <v>0</v>
      </c>
      <c r="C920" s="6" t="e">
        <f ca="1"/>
        <v>#NAME?</v>
      </c>
      <c r="D920" s="6" t="e">
        <f ca="1"/>
        <v>#NAME?</v>
      </c>
      <c r="E920" s="6" t="e">
        <f ca="1"/>
        <v>#NAME?</v>
      </c>
      <c r="F920" s="6" t="e">
        <f ca="1"/>
        <v>#NAME?</v>
      </c>
      <c r="G920" s="6" t="e">
        <f ca="1"/>
        <v>#NAME?</v>
      </c>
      <c r="H920" s="6" t="e">
        <f ca="1"/>
        <v>#NAME?</v>
      </c>
      <c r="I920" s="6"/>
      <c r="J920" s="6"/>
      <c r="K920" s="6"/>
      <c r="L920" s="6"/>
      <c r="M920" s="6"/>
      <c r="N920" s="6"/>
      <c r="O920" s="6"/>
      <c r="P920" s="6"/>
      <c r="Q920" s="6"/>
      <c r="R920" s="6"/>
      <c r="S920" s="6"/>
      <c r="T920" s="6"/>
    </row>
    <row r="921" spans="1:20">
      <c r="A921" s="6">
        <v>0</v>
      </c>
      <c r="B921" s="6">
        <v>0</v>
      </c>
      <c r="C921" s="6" t="e">
        <f ca="1"/>
        <v>#NAME?</v>
      </c>
      <c r="D921" s="6" t="e">
        <f ca="1"/>
        <v>#NAME?</v>
      </c>
      <c r="E921" s="6" t="e">
        <f ca="1"/>
        <v>#NAME?</v>
      </c>
      <c r="F921" s="6" t="e">
        <f ca="1"/>
        <v>#NAME?</v>
      </c>
      <c r="G921" s="6" t="e">
        <f ca="1"/>
        <v>#NAME?</v>
      </c>
      <c r="H921" s="6" t="e">
        <f ca="1"/>
        <v>#NAME?</v>
      </c>
      <c r="I921" s="6"/>
      <c r="J921" s="6"/>
      <c r="K921" s="6"/>
      <c r="L921" s="6"/>
      <c r="M921" s="6"/>
      <c r="N921" s="6"/>
      <c r="O921" s="6"/>
      <c r="P921" s="6"/>
      <c r="Q921" s="6"/>
      <c r="R921" s="6"/>
      <c r="S921" s="6"/>
      <c r="T921" s="6"/>
    </row>
    <row r="922" spans="1:20">
      <c r="A922" s="6">
        <v>0</v>
      </c>
      <c r="B922" s="6">
        <v>0</v>
      </c>
      <c r="C922" s="6" t="e">
        <f ca="1"/>
        <v>#NAME?</v>
      </c>
      <c r="D922" s="6" t="e">
        <f ca="1"/>
        <v>#NAME?</v>
      </c>
      <c r="E922" s="6" t="e">
        <f ca="1"/>
        <v>#NAME?</v>
      </c>
      <c r="F922" s="6" t="e">
        <f ca="1"/>
        <v>#NAME?</v>
      </c>
      <c r="G922" s="6" t="e">
        <f ca="1"/>
        <v>#NAME?</v>
      </c>
      <c r="H922" s="6" t="e">
        <f ca="1"/>
        <v>#NAME?</v>
      </c>
      <c r="I922" s="6"/>
      <c r="J922" s="6"/>
      <c r="K922" s="6"/>
      <c r="L922" s="6"/>
      <c r="M922" s="6"/>
      <c r="N922" s="6"/>
      <c r="O922" s="6"/>
      <c r="P922" s="6"/>
      <c r="Q922" s="6"/>
      <c r="R922" s="6"/>
      <c r="S922" s="6"/>
      <c r="T922" s="6"/>
    </row>
    <row r="923" spans="1:20">
      <c r="A923" s="6">
        <v>0</v>
      </c>
      <c r="B923" s="6">
        <v>0</v>
      </c>
      <c r="C923" s="6" t="e">
        <f ca="1"/>
        <v>#NAME?</v>
      </c>
      <c r="D923" s="6" t="e">
        <f ca="1"/>
        <v>#NAME?</v>
      </c>
      <c r="E923" s="6" t="e">
        <f ca="1"/>
        <v>#NAME?</v>
      </c>
      <c r="F923" s="6" t="e">
        <f ca="1"/>
        <v>#NAME?</v>
      </c>
      <c r="G923" s="6" t="e">
        <f ca="1"/>
        <v>#NAME?</v>
      </c>
      <c r="H923" s="6" t="e">
        <f ca="1"/>
        <v>#NAME?</v>
      </c>
      <c r="I923" s="6"/>
      <c r="J923" s="6"/>
      <c r="K923" s="6"/>
      <c r="L923" s="6"/>
      <c r="M923" s="6"/>
      <c r="N923" s="6"/>
      <c r="O923" s="6"/>
      <c r="P923" s="6"/>
      <c r="Q923" s="6"/>
      <c r="R923" s="6"/>
      <c r="S923" s="6"/>
      <c r="T923" s="6"/>
    </row>
    <row r="924" spans="1:20">
      <c r="A924" s="6">
        <v>0</v>
      </c>
      <c r="B924" s="6">
        <v>0</v>
      </c>
      <c r="C924" s="6" t="e">
        <f ca="1"/>
        <v>#NAME?</v>
      </c>
      <c r="D924" s="6" t="e">
        <f ca="1"/>
        <v>#NAME?</v>
      </c>
      <c r="E924" s="6" t="e">
        <f ca="1"/>
        <v>#NAME?</v>
      </c>
      <c r="F924" s="6" t="e">
        <f ca="1"/>
        <v>#NAME?</v>
      </c>
      <c r="G924" s="6" t="e">
        <f ca="1"/>
        <v>#NAME?</v>
      </c>
      <c r="H924" s="6" t="e">
        <f ca="1"/>
        <v>#NAME?</v>
      </c>
      <c r="I924" s="6"/>
      <c r="J924" s="6"/>
      <c r="K924" s="6"/>
      <c r="L924" s="6"/>
      <c r="M924" s="6"/>
      <c r="N924" s="6"/>
      <c r="O924" s="6"/>
      <c r="P924" s="6"/>
      <c r="Q924" s="6"/>
      <c r="R924" s="6"/>
      <c r="S924" s="6"/>
      <c r="T924" s="6"/>
    </row>
    <row r="925" spans="1:20">
      <c r="A925" s="6">
        <v>0</v>
      </c>
      <c r="B925" s="6">
        <v>0</v>
      </c>
      <c r="C925" s="6" t="e">
        <f ca="1"/>
        <v>#NAME?</v>
      </c>
      <c r="D925" s="6" t="e">
        <f ca="1"/>
        <v>#NAME?</v>
      </c>
      <c r="E925" s="6" t="e">
        <f ca="1"/>
        <v>#NAME?</v>
      </c>
      <c r="F925" s="6" t="e">
        <f ca="1"/>
        <v>#NAME?</v>
      </c>
      <c r="G925" s="6" t="e">
        <f ca="1"/>
        <v>#NAME?</v>
      </c>
      <c r="H925" s="6" t="e">
        <f ca="1"/>
        <v>#NAME?</v>
      </c>
      <c r="I925" s="6"/>
      <c r="J925" s="6"/>
      <c r="K925" s="6"/>
      <c r="L925" s="6"/>
      <c r="M925" s="6"/>
      <c r="N925" s="6"/>
      <c r="O925" s="6"/>
      <c r="P925" s="6"/>
      <c r="Q925" s="6"/>
      <c r="R925" s="6"/>
      <c r="S925" s="6"/>
      <c r="T925" s="6"/>
    </row>
    <row r="926" spans="1:20">
      <c r="A926" s="6">
        <v>0</v>
      </c>
      <c r="B926" s="6">
        <v>0</v>
      </c>
      <c r="C926" s="6" t="e">
        <f ca="1"/>
        <v>#NAME?</v>
      </c>
      <c r="D926" s="6" t="e">
        <f ca="1"/>
        <v>#NAME?</v>
      </c>
      <c r="E926" s="6" t="e">
        <f ca="1"/>
        <v>#NAME?</v>
      </c>
      <c r="F926" s="6" t="e">
        <f ca="1"/>
        <v>#NAME?</v>
      </c>
      <c r="G926" s="6" t="e">
        <f ca="1"/>
        <v>#NAME?</v>
      </c>
      <c r="H926" s="6" t="e">
        <f ca="1"/>
        <v>#NAME?</v>
      </c>
      <c r="I926" s="6"/>
      <c r="J926" s="6"/>
      <c r="K926" s="6"/>
      <c r="L926" s="6"/>
      <c r="M926" s="6"/>
      <c r="N926" s="6"/>
      <c r="O926" s="6"/>
      <c r="P926" s="6"/>
      <c r="Q926" s="6"/>
      <c r="R926" s="6"/>
      <c r="S926" s="6"/>
      <c r="T926" s="6"/>
    </row>
    <row r="927" spans="1:20">
      <c r="A927" s="6">
        <v>0</v>
      </c>
      <c r="B927" s="6">
        <v>0</v>
      </c>
      <c r="C927" s="6" t="e">
        <f ca="1"/>
        <v>#NAME?</v>
      </c>
      <c r="D927" s="6" t="e">
        <f ca="1"/>
        <v>#NAME?</v>
      </c>
      <c r="E927" s="6" t="e">
        <f ca="1"/>
        <v>#NAME?</v>
      </c>
      <c r="F927" s="6" t="e">
        <f ca="1"/>
        <v>#NAME?</v>
      </c>
      <c r="G927" s="6" t="e">
        <f ca="1"/>
        <v>#NAME?</v>
      </c>
      <c r="H927" s="6" t="e">
        <f ca="1"/>
        <v>#NAME?</v>
      </c>
      <c r="I927" s="6"/>
      <c r="J927" s="6"/>
      <c r="K927" s="6"/>
      <c r="L927" s="6"/>
      <c r="M927" s="6"/>
      <c r="N927" s="6"/>
      <c r="O927" s="6"/>
      <c r="P927" s="6"/>
      <c r="Q927" s="6"/>
      <c r="R927" s="6"/>
      <c r="S927" s="6"/>
      <c r="T927" s="6"/>
    </row>
    <row r="928" spans="1:20">
      <c r="A928" s="6">
        <v>0</v>
      </c>
      <c r="B928" s="6">
        <v>0</v>
      </c>
      <c r="C928" s="6" t="e">
        <f ca="1"/>
        <v>#NAME?</v>
      </c>
      <c r="D928" s="6" t="e">
        <f ca="1"/>
        <v>#NAME?</v>
      </c>
      <c r="E928" s="6" t="e">
        <f ca="1"/>
        <v>#NAME?</v>
      </c>
      <c r="F928" s="6" t="e">
        <f ca="1"/>
        <v>#NAME?</v>
      </c>
      <c r="G928" s="6" t="e">
        <f ca="1"/>
        <v>#NAME?</v>
      </c>
      <c r="H928" s="6" t="e">
        <f ca="1"/>
        <v>#NAME?</v>
      </c>
      <c r="I928" s="6"/>
      <c r="J928" s="6"/>
      <c r="K928" s="6"/>
      <c r="L928" s="6"/>
      <c r="M928" s="6"/>
      <c r="N928" s="6"/>
      <c r="O928" s="6"/>
      <c r="P928" s="6"/>
      <c r="Q928" s="6"/>
      <c r="R928" s="6"/>
      <c r="S928" s="6"/>
      <c r="T928" s="6"/>
    </row>
    <row r="929" spans="1:20">
      <c r="A929" s="6">
        <v>0</v>
      </c>
      <c r="B929" s="6">
        <v>0</v>
      </c>
      <c r="C929" s="6" t="e">
        <f ca="1"/>
        <v>#NAME?</v>
      </c>
      <c r="D929" s="6" t="e">
        <f ca="1"/>
        <v>#NAME?</v>
      </c>
      <c r="E929" s="6" t="e">
        <f ca="1"/>
        <v>#NAME?</v>
      </c>
      <c r="F929" s="6" t="e">
        <f ca="1"/>
        <v>#NAME?</v>
      </c>
      <c r="G929" s="6" t="e">
        <f ca="1"/>
        <v>#NAME?</v>
      </c>
      <c r="H929" s="6" t="e">
        <f ca="1"/>
        <v>#NAME?</v>
      </c>
      <c r="I929" s="6"/>
      <c r="J929" s="6"/>
      <c r="K929" s="6"/>
      <c r="L929" s="6"/>
      <c r="M929" s="6"/>
      <c r="N929" s="6"/>
      <c r="O929" s="6"/>
      <c r="P929" s="6"/>
      <c r="Q929" s="6"/>
      <c r="R929" s="6"/>
      <c r="S929" s="6"/>
      <c r="T929" s="6"/>
    </row>
    <row r="930" spans="1:20">
      <c r="A930" s="6">
        <v>0</v>
      </c>
      <c r="B930" s="6">
        <v>0</v>
      </c>
      <c r="C930" s="6" t="e">
        <f ca="1"/>
        <v>#NAME?</v>
      </c>
      <c r="D930" s="6" t="e">
        <f ca="1"/>
        <v>#NAME?</v>
      </c>
      <c r="E930" s="6" t="e">
        <f ca="1"/>
        <v>#NAME?</v>
      </c>
      <c r="F930" s="6" t="e">
        <f ca="1"/>
        <v>#NAME?</v>
      </c>
      <c r="G930" s="6" t="e">
        <f ca="1"/>
        <v>#NAME?</v>
      </c>
      <c r="H930" s="6" t="e">
        <f ca="1"/>
        <v>#NAME?</v>
      </c>
      <c r="I930" s="6"/>
      <c r="J930" s="6"/>
      <c r="K930" s="6"/>
      <c r="L930" s="6"/>
      <c r="M930" s="6"/>
      <c r="N930" s="6"/>
      <c r="O930" s="6"/>
      <c r="P930" s="6"/>
      <c r="Q930" s="6"/>
      <c r="R930" s="6"/>
      <c r="S930" s="6"/>
      <c r="T930" s="6"/>
    </row>
    <row r="931" spans="1:20">
      <c r="A931" s="6">
        <v>0</v>
      </c>
      <c r="B931" s="6">
        <v>0</v>
      </c>
      <c r="C931" s="6" t="e">
        <f ca="1"/>
        <v>#NAME?</v>
      </c>
      <c r="D931" s="6" t="e">
        <f ca="1"/>
        <v>#NAME?</v>
      </c>
      <c r="E931" s="6" t="e">
        <f ca="1"/>
        <v>#NAME?</v>
      </c>
      <c r="F931" s="6" t="e">
        <f ca="1"/>
        <v>#NAME?</v>
      </c>
      <c r="G931" s="6" t="e">
        <f ca="1"/>
        <v>#NAME?</v>
      </c>
      <c r="H931" s="6" t="e">
        <f ca="1"/>
        <v>#NAME?</v>
      </c>
      <c r="I931" s="6"/>
      <c r="J931" s="6"/>
      <c r="K931" s="6"/>
      <c r="L931" s="6"/>
      <c r="M931" s="6"/>
      <c r="N931" s="6"/>
      <c r="O931" s="6"/>
      <c r="P931" s="6"/>
      <c r="Q931" s="6"/>
      <c r="R931" s="6"/>
      <c r="S931" s="6"/>
      <c r="T931" s="6"/>
    </row>
    <row r="932" spans="1:20">
      <c r="A932" s="6">
        <v>0</v>
      </c>
      <c r="B932" s="6">
        <v>0</v>
      </c>
      <c r="C932" s="6" t="e">
        <f ca="1"/>
        <v>#NAME?</v>
      </c>
      <c r="D932" s="6" t="e">
        <f ca="1"/>
        <v>#NAME?</v>
      </c>
      <c r="E932" s="6" t="e">
        <f ca="1"/>
        <v>#NAME?</v>
      </c>
      <c r="F932" s="6" t="e">
        <f ca="1"/>
        <v>#NAME?</v>
      </c>
      <c r="G932" s="6" t="e">
        <f ca="1"/>
        <v>#NAME?</v>
      </c>
      <c r="H932" s="6" t="e">
        <f ca="1"/>
        <v>#NAME?</v>
      </c>
      <c r="I932" s="6"/>
      <c r="J932" s="6"/>
      <c r="K932" s="6"/>
      <c r="L932" s="6"/>
      <c r="M932" s="6"/>
      <c r="N932" s="6"/>
      <c r="O932" s="6"/>
      <c r="P932" s="6"/>
      <c r="Q932" s="6"/>
      <c r="R932" s="6"/>
      <c r="S932" s="6"/>
      <c r="T932" s="6"/>
    </row>
    <row r="933" spans="1:20">
      <c r="A933" s="6">
        <v>0</v>
      </c>
      <c r="B933" s="6">
        <v>0</v>
      </c>
      <c r="C933" s="6" t="e">
        <f ca="1"/>
        <v>#NAME?</v>
      </c>
      <c r="D933" s="6" t="e">
        <f ca="1"/>
        <v>#NAME?</v>
      </c>
      <c r="E933" s="6" t="e">
        <f ca="1"/>
        <v>#NAME?</v>
      </c>
      <c r="F933" s="6" t="e">
        <f ca="1"/>
        <v>#NAME?</v>
      </c>
      <c r="G933" s="6" t="e">
        <f ca="1"/>
        <v>#NAME?</v>
      </c>
      <c r="H933" s="6" t="e">
        <f ca="1"/>
        <v>#NAME?</v>
      </c>
      <c r="I933" s="6"/>
      <c r="J933" s="6"/>
      <c r="K933" s="6"/>
      <c r="L933" s="6"/>
      <c r="M933" s="6"/>
      <c r="N933" s="6"/>
      <c r="O933" s="6"/>
      <c r="P933" s="6"/>
      <c r="Q933" s="6"/>
      <c r="R933" s="6"/>
      <c r="S933" s="6"/>
      <c r="T933" s="6"/>
    </row>
    <row r="934" spans="1:20">
      <c r="A934" s="6">
        <v>0</v>
      </c>
      <c r="B934" s="6">
        <v>0</v>
      </c>
      <c r="C934" s="6" t="e">
        <f ca="1"/>
        <v>#NAME?</v>
      </c>
      <c r="D934" s="6" t="e">
        <f ca="1"/>
        <v>#NAME?</v>
      </c>
      <c r="E934" s="6" t="e">
        <f ca="1"/>
        <v>#NAME?</v>
      </c>
      <c r="F934" s="6" t="e">
        <f ca="1"/>
        <v>#NAME?</v>
      </c>
      <c r="G934" s="6" t="e">
        <f ca="1"/>
        <v>#NAME?</v>
      </c>
      <c r="H934" s="6" t="e">
        <f ca="1"/>
        <v>#NAME?</v>
      </c>
      <c r="I934" s="6"/>
      <c r="J934" s="6"/>
      <c r="K934" s="6"/>
      <c r="L934" s="6"/>
      <c r="M934" s="6"/>
      <c r="N934" s="6"/>
      <c r="O934" s="6"/>
      <c r="P934" s="6"/>
      <c r="Q934" s="6"/>
      <c r="R934" s="6"/>
      <c r="S934" s="6"/>
      <c r="T934" s="6"/>
    </row>
    <row r="935" spans="1:20">
      <c r="A935" s="6">
        <v>0</v>
      </c>
      <c r="B935" s="6">
        <v>0</v>
      </c>
      <c r="C935" s="6" t="e">
        <f ca="1"/>
        <v>#NAME?</v>
      </c>
      <c r="D935" s="6" t="e">
        <f ca="1"/>
        <v>#NAME?</v>
      </c>
      <c r="E935" s="6" t="e">
        <f ca="1"/>
        <v>#NAME?</v>
      </c>
      <c r="F935" s="6" t="e">
        <f ca="1"/>
        <v>#NAME?</v>
      </c>
      <c r="G935" s="6" t="e">
        <f ca="1"/>
        <v>#NAME?</v>
      </c>
      <c r="H935" s="6" t="e">
        <f ca="1"/>
        <v>#NAME?</v>
      </c>
      <c r="I935" s="6"/>
      <c r="J935" s="6"/>
      <c r="K935" s="6"/>
      <c r="L935" s="6"/>
      <c r="M935" s="6"/>
      <c r="N935" s="6"/>
      <c r="O935" s="6"/>
      <c r="P935" s="6"/>
      <c r="Q935" s="6"/>
      <c r="R935" s="6"/>
      <c r="S935" s="6"/>
      <c r="T935" s="6"/>
    </row>
    <row r="936" spans="1:20">
      <c r="A936" s="6">
        <v>0</v>
      </c>
      <c r="B936" s="6">
        <v>0</v>
      </c>
      <c r="C936" s="6" t="e">
        <f ca="1"/>
        <v>#NAME?</v>
      </c>
      <c r="D936" s="6" t="e">
        <f ca="1"/>
        <v>#NAME?</v>
      </c>
      <c r="E936" s="6" t="e">
        <f ca="1"/>
        <v>#NAME?</v>
      </c>
      <c r="F936" s="6" t="e">
        <f ca="1"/>
        <v>#NAME?</v>
      </c>
      <c r="G936" s="6" t="e">
        <f ca="1"/>
        <v>#NAME?</v>
      </c>
      <c r="H936" s="6" t="e">
        <f ca="1"/>
        <v>#NAME?</v>
      </c>
      <c r="I936" s="6"/>
      <c r="J936" s="6"/>
      <c r="K936" s="6"/>
      <c r="L936" s="6"/>
      <c r="M936" s="6"/>
      <c r="N936" s="6"/>
      <c r="O936" s="6"/>
      <c r="P936" s="6"/>
      <c r="Q936" s="6"/>
      <c r="R936" s="6"/>
      <c r="S936" s="6"/>
      <c r="T936" s="6"/>
    </row>
    <row r="937" spans="1:20">
      <c r="A937" s="6">
        <v>0</v>
      </c>
      <c r="B937" s="6">
        <v>0</v>
      </c>
      <c r="C937" s="6" t="e">
        <f ca="1"/>
        <v>#NAME?</v>
      </c>
      <c r="D937" s="6" t="e">
        <f ca="1"/>
        <v>#NAME?</v>
      </c>
      <c r="E937" s="6" t="e">
        <f ca="1"/>
        <v>#NAME?</v>
      </c>
      <c r="F937" s="6" t="e">
        <f ca="1"/>
        <v>#NAME?</v>
      </c>
      <c r="G937" s="6" t="e">
        <f ca="1"/>
        <v>#NAME?</v>
      </c>
      <c r="H937" s="6" t="e">
        <f ca="1"/>
        <v>#NAME?</v>
      </c>
      <c r="I937" s="6"/>
      <c r="J937" s="6"/>
      <c r="K937" s="6"/>
      <c r="L937" s="6"/>
      <c r="M937" s="6"/>
      <c r="N937" s="6"/>
      <c r="O937" s="6"/>
      <c r="P937" s="6"/>
      <c r="Q937" s="6"/>
      <c r="R937" s="6"/>
      <c r="S937" s="6"/>
      <c r="T937" s="6"/>
    </row>
    <row r="938" spans="1:20">
      <c r="A938" s="6">
        <v>0</v>
      </c>
      <c r="B938" s="6">
        <v>0</v>
      </c>
      <c r="C938" s="6" t="e">
        <f ca="1"/>
        <v>#NAME?</v>
      </c>
      <c r="D938" s="6" t="e">
        <f ca="1"/>
        <v>#NAME?</v>
      </c>
      <c r="E938" s="6" t="e">
        <f ca="1"/>
        <v>#NAME?</v>
      </c>
      <c r="F938" s="6" t="e">
        <f ca="1"/>
        <v>#NAME?</v>
      </c>
      <c r="G938" s="6" t="e">
        <f ca="1"/>
        <v>#NAME?</v>
      </c>
      <c r="H938" s="6" t="e">
        <f ca="1"/>
        <v>#NAME?</v>
      </c>
      <c r="I938" s="6"/>
      <c r="J938" s="6"/>
      <c r="K938" s="6"/>
      <c r="L938" s="6"/>
      <c r="M938" s="6"/>
      <c r="N938" s="6"/>
      <c r="O938" s="6"/>
      <c r="P938" s="6"/>
      <c r="Q938" s="6"/>
      <c r="R938" s="6"/>
      <c r="S938" s="6"/>
      <c r="T938" s="6"/>
    </row>
    <row r="939" spans="1:20">
      <c r="A939" s="6">
        <v>0</v>
      </c>
      <c r="B939" s="6">
        <v>0</v>
      </c>
      <c r="C939" s="6" t="e">
        <f ca="1"/>
        <v>#NAME?</v>
      </c>
      <c r="D939" s="6" t="e">
        <f ca="1"/>
        <v>#NAME?</v>
      </c>
      <c r="E939" s="6" t="e">
        <f ca="1"/>
        <v>#NAME?</v>
      </c>
      <c r="F939" s="6" t="e">
        <f ca="1"/>
        <v>#NAME?</v>
      </c>
      <c r="G939" s="6" t="e">
        <f ca="1"/>
        <v>#NAME?</v>
      </c>
      <c r="H939" s="6" t="e">
        <f ca="1"/>
        <v>#NAME?</v>
      </c>
      <c r="I939" s="6"/>
      <c r="J939" s="6"/>
      <c r="K939" s="6"/>
      <c r="L939" s="6"/>
      <c r="M939" s="6"/>
      <c r="N939" s="6"/>
      <c r="O939" s="6"/>
      <c r="P939" s="6"/>
      <c r="Q939" s="6"/>
      <c r="R939" s="6"/>
      <c r="S939" s="6"/>
      <c r="T939" s="6"/>
    </row>
    <row r="940" spans="1:20">
      <c r="A940" s="6">
        <v>0</v>
      </c>
      <c r="B940" s="6">
        <v>0</v>
      </c>
      <c r="C940" s="6" t="e">
        <f ca="1"/>
        <v>#NAME?</v>
      </c>
      <c r="D940" s="6" t="e">
        <f ca="1"/>
        <v>#NAME?</v>
      </c>
      <c r="E940" s="6" t="e">
        <f ca="1"/>
        <v>#NAME?</v>
      </c>
      <c r="F940" s="6" t="e">
        <f ca="1"/>
        <v>#NAME?</v>
      </c>
      <c r="G940" s="6" t="e">
        <f ca="1"/>
        <v>#NAME?</v>
      </c>
      <c r="H940" s="6" t="e">
        <f ca="1"/>
        <v>#NAME?</v>
      </c>
      <c r="I940" s="6"/>
      <c r="J940" s="6"/>
      <c r="K940" s="6"/>
      <c r="L940" s="6"/>
      <c r="M940" s="6"/>
      <c r="N940" s="6"/>
      <c r="O940" s="6"/>
      <c r="P940" s="6"/>
      <c r="Q940" s="6"/>
      <c r="R940" s="6"/>
      <c r="S940" s="6"/>
      <c r="T940" s="6"/>
    </row>
    <row r="941" spans="1:20">
      <c r="A941" s="6">
        <v>0</v>
      </c>
      <c r="B941" s="6">
        <v>0</v>
      </c>
      <c r="C941" s="6" t="e">
        <f ca="1"/>
        <v>#NAME?</v>
      </c>
      <c r="D941" s="6" t="e">
        <f ca="1"/>
        <v>#NAME?</v>
      </c>
      <c r="E941" s="6" t="e">
        <f ca="1"/>
        <v>#NAME?</v>
      </c>
      <c r="F941" s="6" t="e">
        <f ca="1"/>
        <v>#NAME?</v>
      </c>
      <c r="G941" s="6" t="e">
        <f ca="1"/>
        <v>#NAME?</v>
      </c>
      <c r="H941" s="6" t="e">
        <f ca="1"/>
        <v>#NAME?</v>
      </c>
      <c r="I941" s="6"/>
      <c r="J941" s="6"/>
      <c r="K941" s="6"/>
      <c r="L941" s="6"/>
      <c r="M941" s="6"/>
      <c r="N941" s="6"/>
      <c r="O941" s="6"/>
      <c r="P941" s="6"/>
      <c r="Q941" s="6"/>
      <c r="R941" s="6"/>
      <c r="S941" s="6"/>
      <c r="T941" s="6"/>
    </row>
    <row r="942" spans="1:20">
      <c r="A942" s="6">
        <v>0</v>
      </c>
      <c r="B942" s="6">
        <v>0</v>
      </c>
      <c r="C942" s="6" t="e">
        <f ca="1"/>
        <v>#NAME?</v>
      </c>
      <c r="D942" s="6" t="e">
        <f ca="1"/>
        <v>#NAME?</v>
      </c>
      <c r="E942" s="6" t="e">
        <f ca="1"/>
        <v>#NAME?</v>
      </c>
      <c r="F942" s="6" t="e">
        <f ca="1"/>
        <v>#NAME?</v>
      </c>
      <c r="G942" s="6" t="e">
        <f ca="1"/>
        <v>#NAME?</v>
      </c>
      <c r="H942" s="6" t="e">
        <f ca="1"/>
        <v>#NAME?</v>
      </c>
      <c r="I942" s="6"/>
      <c r="J942" s="6"/>
      <c r="K942" s="6"/>
      <c r="L942" s="6"/>
      <c r="M942" s="6"/>
      <c r="N942" s="6"/>
      <c r="O942" s="6"/>
      <c r="P942" s="6"/>
      <c r="Q942" s="6"/>
      <c r="R942" s="6"/>
      <c r="S942" s="6"/>
      <c r="T942" s="6"/>
    </row>
    <row r="943" spans="1:20">
      <c r="A943" s="6">
        <v>0</v>
      </c>
      <c r="B943" s="6">
        <v>0</v>
      </c>
      <c r="C943" s="6" t="e">
        <f ca="1"/>
        <v>#NAME?</v>
      </c>
      <c r="D943" s="6" t="e">
        <f ca="1"/>
        <v>#NAME?</v>
      </c>
      <c r="E943" s="6" t="e">
        <f ca="1"/>
        <v>#NAME?</v>
      </c>
      <c r="F943" s="6" t="e">
        <f ca="1"/>
        <v>#NAME?</v>
      </c>
      <c r="G943" s="6" t="e">
        <f ca="1"/>
        <v>#NAME?</v>
      </c>
      <c r="H943" s="6" t="e">
        <f ca="1"/>
        <v>#NAME?</v>
      </c>
      <c r="I943" s="6"/>
      <c r="J943" s="6"/>
      <c r="K943" s="6"/>
      <c r="L943" s="6"/>
      <c r="M943" s="6"/>
      <c r="N943" s="6"/>
      <c r="O943" s="6"/>
      <c r="P943" s="6"/>
      <c r="Q943" s="6"/>
      <c r="R943" s="6"/>
      <c r="S943" s="6"/>
      <c r="T943" s="6"/>
    </row>
    <row r="944" spans="1:20">
      <c r="A944" s="6">
        <v>0</v>
      </c>
      <c r="B944" s="6">
        <v>0</v>
      </c>
      <c r="C944" s="6" t="e">
        <f ca="1"/>
        <v>#NAME?</v>
      </c>
      <c r="D944" s="6" t="e">
        <f ca="1"/>
        <v>#NAME?</v>
      </c>
      <c r="E944" s="6" t="e">
        <f ca="1"/>
        <v>#NAME?</v>
      </c>
      <c r="F944" s="6" t="e">
        <f ca="1"/>
        <v>#NAME?</v>
      </c>
      <c r="G944" s="6" t="e">
        <f ca="1"/>
        <v>#NAME?</v>
      </c>
      <c r="H944" s="6" t="e">
        <f ca="1"/>
        <v>#NAME?</v>
      </c>
      <c r="I944" s="6"/>
      <c r="J944" s="6"/>
      <c r="K944" s="6"/>
      <c r="L944" s="6"/>
      <c r="M944" s="6"/>
      <c r="N944" s="6"/>
      <c r="O944" s="6"/>
      <c r="P944" s="6"/>
      <c r="Q944" s="6"/>
      <c r="R944" s="6"/>
      <c r="S944" s="6"/>
      <c r="T944" s="6"/>
    </row>
    <row r="945" spans="1:20">
      <c r="A945" s="6">
        <v>0</v>
      </c>
      <c r="B945" s="6">
        <v>0</v>
      </c>
      <c r="C945" s="6" t="e">
        <f ca="1"/>
        <v>#NAME?</v>
      </c>
      <c r="D945" s="6" t="e">
        <f ca="1"/>
        <v>#NAME?</v>
      </c>
      <c r="E945" s="6" t="e">
        <f ca="1"/>
        <v>#NAME?</v>
      </c>
      <c r="F945" s="6" t="e">
        <f ca="1"/>
        <v>#NAME?</v>
      </c>
      <c r="G945" s="6" t="e">
        <f ca="1"/>
        <v>#NAME?</v>
      </c>
      <c r="H945" s="6" t="e">
        <f ca="1"/>
        <v>#NAME?</v>
      </c>
      <c r="I945" s="6"/>
      <c r="J945" s="6"/>
      <c r="K945" s="6"/>
      <c r="L945" s="6"/>
      <c r="M945" s="6"/>
      <c r="N945" s="6"/>
      <c r="O945" s="6"/>
      <c r="P945" s="6"/>
      <c r="Q945" s="6"/>
      <c r="R945" s="6"/>
      <c r="S945" s="6"/>
      <c r="T945" s="6"/>
    </row>
    <row r="946" spans="1:20">
      <c r="A946" s="6">
        <v>0</v>
      </c>
      <c r="B946" s="6">
        <v>0</v>
      </c>
      <c r="C946" s="6" t="e">
        <f ca="1"/>
        <v>#NAME?</v>
      </c>
      <c r="D946" s="6" t="e">
        <f ca="1"/>
        <v>#NAME?</v>
      </c>
      <c r="E946" s="6" t="e">
        <f ca="1"/>
        <v>#NAME?</v>
      </c>
      <c r="F946" s="6" t="e">
        <f ca="1"/>
        <v>#NAME?</v>
      </c>
      <c r="G946" s="6" t="e">
        <f ca="1"/>
        <v>#NAME?</v>
      </c>
      <c r="H946" s="6" t="e">
        <f ca="1"/>
        <v>#NAME?</v>
      </c>
      <c r="I946" s="6"/>
      <c r="J946" s="6"/>
      <c r="K946" s="6"/>
      <c r="L946" s="6"/>
      <c r="M946" s="6"/>
      <c r="N946" s="6"/>
      <c r="O946" s="6"/>
      <c r="P946" s="6"/>
      <c r="Q946" s="6"/>
      <c r="R946" s="6"/>
      <c r="S946" s="6"/>
      <c r="T946" s="6"/>
    </row>
    <row r="947" spans="1:20">
      <c r="A947" s="6">
        <v>0</v>
      </c>
      <c r="B947" s="6">
        <v>0</v>
      </c>
      <c r="C947" s="6" t="e">
        <f ca="1"/>
        <v>#NAME?</v>
      </c>
      <c r="D947" s="6" t="e">
        <f ca="1"/>
        <v>#NAME?</v>
      </c>
      <c r="E947" s="6" t="e">
        <f ca="1"/>
        <v>#NAME?</v>
      </c>
      <c r="F947" s="6" t="e">
        <f ca="1"/>
        <v>#NAME?</v>
      </c>
      <c r="G947" s="6" t="e">
        <f ca="1"/>
        <v>#NAME?</v>
      </c>
      <c r="H947" s="6" t="e">
        <f ca="1"/>
        <v>#NAME?</v>
      </c>
      <c r="I947" s="6"/>
      <c r="J947" s="6"/>
      <c r="K947" s="6"/>
      <c r="L947" s="6"/>
      <c r="M947" s="6"/>
      <c r="N947" s="6"/>
      <c r="O947" s="6"/>
      <c r="P947" s="6"/>
      <c r="Q947" s="6"/>
      <c r="R947" s="6"/>
      <c r="S947" s="6"/>
      <c r="T947" s="6"/>
    </row>
    <row r="948" spans="1:20">
      <c r="A948" s="6">
        <v>0</v>
      </c>
      <c r="B948" s="6">
        <v>0</v>
      </c>
      <c r="C948" s="6" t="e">
        <f ca="1"/>
        <v>#NAME?</v>
      </c>
      <c r="D948" s="6" t="e">
        <f ca="1"/>
        <v>#NAME?</v>
      </c>
      <c r="E948" s="6" t="e">
        <f ca="1"/>
        <v>#NAME?</v>
      </c>
      <c r="F948" s="6" t="e">
        <f ca="1"/>
        <v>#NAME?</v>
      </c>
      <c r="G948" s="6" t="e">
        <f ca="1"/>
        <v>#NAME?</v>
      </c>
      <c r="H948" s="6" t="e">
        <f ca="1"/>
        <v>#NAME?</v>
      </c>
      <c r="I948" s="6"/>
      <c r="J948" s="6"/>
      <c r="K948" s="6"/>
      <c r="L948" s="6"/>
      <c r="M948" s="6"/>
      <c r="N948" s="6"/>
      <c r="O948" s="6"/>
      <c r="P948" s="6"/>
      <c r="Q948" s="6"/>
      <c r="R948" s="6"/>
      <c r="S948" s="6"/>
      <c r="T948" s="6"/>
    </row>
    <row r="949" spans="1:20">
      <c r="A949" s="6">
        <v>0</v>
      </c>
      <c r="B949" s="6">
        <v>0</v>
      </c>
      <c r="C949" s="6" t="e">
        <f ca="1"/>
        <v>#NAME?</v>
      </c>
      <c r="D949" s="6" t="e">
        <f ca="1"/>
        <v>#NAME?</v>
      </c>
      <c r="E949" s="6" t="e">
        <f ca="1"/>
        <v>#NAME?</v>
      </c>
      <c r="F949" s="6" t="e">
        <f ca="1"/>
        <v>#NAME?</v>
      </c>
      <c r="G949" s="6" t="e">
        <f ca="1"/>
        <v>#NAME?</v>
      </c>
      <c r="H949" s="6" t="e">
        <f ca="1"/>
        <v>#NAME?</v>
      </c>
      <c r="I949" s="6"/>
      <c r="J949" s="6"/>
      <c r="K949" s="6"/>
      <c r="L949" s="6"/>
      <c r="M949" s="6"/>
      <c r="N949" s="6"/>
      <c r="O949" s="6"/>
      <c r="P949" s="6"/>
      <c r="Q949" s="6"/>
      <c r="R949" s="6"/>
      <c r="S949" s="6"/>
      <c r="T949" s="6"/>
    </row>
    <row r="950" spans="1:20">
      <c r="A950" s="6">
        <v>0</v>
      </c>
      <c r="B950" s="6">
        <v>0</v>
      </c>
      <c r="C950" s="6" t="e">
        <f ca="1"/>
        <v>#NAME?</v>
      </c>
      <c r="D950" s="6" t="e">
        <f ca="1"/>
        <v>#NAME?</v>
      </c>
      <c r="E950" s="6" t="e">
        <f ca="1"/>
        <v>#NAME?</v>
      </c>
      <c r="F950" s="6" t="e">
        <f ca="1"/>
        <v>#NAME?</v>
      </c>
      <c r="G950" s="6" t="e">
        <f ca="1"/>
        <v>#NAME?</v>
      </c>
      <c r="H950" s="6" t="e">
        <f ca="1"/>
        <v>#NAME?</v>
      </c>
      <c r="I950" s="6"/>
      <c r="J950" s="6"/>
      <c r="K950" s="6"/>
      <c r="L950" s="6"/>
      <c r="M950" s="6"/>
      <c r="N950" s="6"/>
      <c r="O950" s="6"/>
      <c r="P950" s="6"/>
      <c r="Q950" s="6"/>
      <c r="R950" s="6"/>
      <c r="S950" s="6"/>
      <c r="T950" s="6"/>
    </row>
    <row r="951" spans="1:20">
      <c r="A951" s="6">
        <v>0</v>
      </c>
      <c r="B951" s="6">
        <v>0</v>
      </c>
      <c r="C951" s="6" t="e">
        <f ca="1"/>
        <v>#NAME?</v>
      </c>
      <c r="D951" s="6" t="e">
        <f ca="1"/>
        <v>#NAME?</v>
      </c>
      <c r="E951" s="6" t="e">
        <f ca="1"/>
        <v>#NAME?</v>
      </c>
      <c r="F951" s="6" t="e">
        <f ca="1"/>
        <v>#NAME?</v>
      </c>
      <c r="G951" s="6" t="e">
        <f ca="1"/>
        <v>#NAME?</v>
      </c>
      <c r="H951" s="6" t="e">
        <f ca="1"/>
        <v>#NAME?</v>
      </c>
      <c r="I951" s="6"/>
      <c r="J951" s="6"/>
      <c r="K951" s="6"/>
      <c r="L951" s="6"/>
      <c r="M951" s="6"/>
      <c r="N951" s="6"/>
      <c r="O951" s="6"/>
      <c r="P951" s="6"/>
      <c r="Q951" s="6"/>
      <c r="R951" s="6"/>
      <c r="S951" s="6"/>
      <c r="T951" s="6"/>
    </row>
    <row r="952" spans="1:20">
      <c r="A952" s="6">
        <v>0</v>
      </c>
      <c r="B952" s="6">
        <v>0</v>
      </c>
      <c r="C952" s="6" t="e">
        <f ca="1"/>
        <v>#NAME?</v>
      </c>
      <c r="D952" s="6" t="e">
        <f ca="1"/>
        <v>#NAME?</v>
      </c>
      <c r="E952" s="6" t="e">
        <f ca="1"/>
        <v>#NAME?</v>
      </c>
      <c r="F952" s="6" t="e">
        <f ca="1"/>
        <v>#NAME?</v>
      </c>
      <c r="G952" s="6" t="e">
        <f ca="1"/>
        <v>#NAME?</v>
      </c>
      <c r="H952" s="6" t="e">
        <f ca="1"/>
        <v>#NAME?</v>
      </c>
      <c r="I952" s="6"/>
      <c r="J952" s="6"/>
      <c r="K952" s="6"/>
      <c r="L952" s="6"/>
      <c r="M952" s="6"/>
      <c r="N952" s="6"/>
      <c r="O952" s="6"/>
      <c r="P952" s="6"/>
      <c r="Q952" s="6"/>
      <c r="R952" s="6"/>
      <c r="S952" s="6"/>
      <c r="T952" s="6"/>
    </row>
    <row r="953" spans="1:20">
      <c r="A953" s="6">
        <v>0</v>
      </c>
      <c r="B953" s="6">
        <v>0</v>
      </c>
      <c r="C953" s="6" t="e">
        <f ca="1"/>
        <v>#NAME?</v>
      </c>
      <c r="D953" s="6" t="e">
        <f ca="1"/>
        <v>#NAME?</v>
      </c>
      <c r="E953" s="6" t="e">
        <f ca="1"/>
        <v>#NAME?</v>
      </c>
      <c r="F953" s="6" t="e">
        <f ca="1"/>
        <v>#NAME?</v>
      </c>
      <c r="G953" s="6" t="e">
        <f ca="1"/>
        <v>#NAME?</v>
      </c>
      <c r="H953" s="6" t="e">
        <f ca="1"/>
        <v>#NAME?</v>
      </c>
      <c r="I953" s="6"/>
      <c r="J953" s="6"/>
      <c r="K953" s="6"/>
      <c r="L953" s="6"/>
      <c r="M953" s="6"/>
      <c r="N953" s="6"/>
      <c r="O953" s="6"/>
      <c r="P953" s="6"/>
      <c r="Q953" s="6"/>
      <c r="R953" s="6"/>
      <c r="S953" s="6"/>
      <c r="T953" s="6"/>
    </row>
    <row r="954" spans="1:20">
      <c r="A954" s="6">
        <v>0</v>
      </c>
      <c r="B954" s="6">
        <v>0</v>
      </c>
      <c r="C954" s="6" t="e">
        <f ca="1"/>
        <v>#NAME?</v>
      </c>
      <c r="D954" s="6" t="e">
        <f ca="1"/>
        <v>#NAME?</v>
      </c>
      <c r="E954" s="6" t="e">
        <f ca="1"/>
        <v>#NAME?</v>
      </c>
      <c r="F954" s="6" t="e">
        <f ca="1"/>
        <v>#NAME?</v>
      </c>
      <c r="G954" s="6" t="e">
        <f ca="1"/>
        <v>#NAME?</v>
      </c>
      <c r="H954" s="6" t="e">
        <f ca="1"/>
        <v>#NAME?</v>
      </c>
      <c r="I954" s="6"/>
      <c r="J954" s="6"/>
      <c r="K954" s="6"/>
      <c r="L954" s="6"/>
      <c r="M954" s="6"/>
      <c r="N954" s="6"/>
      <c r="O954" s="6"/>
      <c r="P954" s="6"/>
      <c r="Q954" s="6"/>
      <c r="R954" s="6"/>
      <c r="S954" s="6"/>
      <c r="T954" s="6"/>
    </row>
    <row r="955" spans="1:20">
      <c r="A955" s="6">
        <v>0</v>
      </c>
      <c r="B955" s="6">
        <v>0</v>
      </c>
      <c r="C955" s="6" t="e">
        <f ca="1"/>
        <v>#NAME?</v>
      </c>
      <c r="D955" s="6" t="e">
        <f ca="1"/>
        <v>#NAME?</v>
      </c>
      <c r="E955" s="6" t="e">
        <f ca="1"/>
        <v>#NAME?</v>
      </c>
      <c r="F955" s="6" t="e">
        <f ca="1"/>
        <v>#NAME?</v>
      </c>
      <c r="G955" s="6" t="e">
        <f ca="1"/>
        <v>#NAME?</v>
      </c>
      <c r="H955" s="6" t="e">
        <f ca="1"/>
        <v>#NAME?</v>
      </c>
      <c r="I955" s="6"/>
      <c r="J955" s="6"/>
      <c r="K955" s="6"/>
      <c r="L955" s="6"/>
      <c r="M955" s="6"/>
      <c r="N955" s="6"/>
      <c r="O955" s="6"/>
      <c r="P955" s="6"/>
      <c r="Q955" s="6"/>
      <c r="R955" s="6"/>
      <c r="S955" s="6"/>
      <c r="T955" s="6"/>
    </row>
    <row r="956" spans="1:20">
      <c r="A956" s="6">
        <v>0</v>
      </c>
      <c r="B956" s="6">
        <v>0</v>
      </c>
      <c r="C956" s="6" t="e">
        <f ca="1"/>
        <v>#NAME?</v>
      </c>
      <c r="D956" s="6" t="e">
        <f ca="1"/>
        <v>#NAME?</v>
      </c>
      <c r="E956" s="6" t="e">
        <f ca="1"/>
        <v>#NAME?</v>
      </c>
      <c r="F956" s="6" t="e">
        <f ca="1"/>
        <v>#NAME?</v>
      </c>
      <c r="G956" s="6" t="e">
        <f ca="1"/>
        <v>#NAME?</v>
      </c>
      <c r="H956" s="6" t="e">
        <f ca="1"/>
        <v>#NAME?</v>
      </c>
      <c r="I956" s="6"/>
      <c r="J956" s="6"/>
      <c r="K956" s="6"/>
      <c r="L956" s="6"/>
      <c r="M956" s="6"/>
      <c r="N956" s="6"/>
      <c r="O956" s="6"/>
      <c r="P956" s="6"/>
      <c r="Q956" s="6"/>
      <c r="R956" s="6"/>
      <c r="S956" s="6"/>
      <c r="T956" s="6"/>
    </row>
    <row r="957" spans="1:20">
      <c r="A957" s="6">
        <v>0</v>
      </c>
      <c r="B957" s="6">
        <v>0</v>
      </c>
      <c r="C957" s="6" t="e">
        <f ca="1"/>
        <v>#NAME?</v>
      </c>
      <c r="D957" s="6" t="e">
        <f ca="1"/>
        <v>#NAME?</v>
      </c>
      <c r="E957" s="6" t="e">
        <f ca="1"/>
        <v>#NAME?</v>
      </c>
      <c r="F957" s="6" t="e">
        <f ca="1"/>
        <v>#NAME?</v>
      </c>
      <c r="G957" s="6" t="e">
        <f ca="1"/>
        <v>#NAME?</v>
      </c>
      <c r="H957" s="6" t="e">
        <f ca="1"/>
        <v>#NAME?</v>
      </c>
      <c r="I957" s="6"/>
      <c r="J957" s="6"/>
      <c r="K957" s="6"/>
      <c r="L957" s="6"/>
      <c r="M957" s="6"/>
      <c r="N957" s="6"/>
      <c r="O957" s="6"/>
      <c r="P957" s="6"/>
      <c r="Q957" s="6"/>
      <c r="R957" s="6"/>
      <c r="S957" s="6"/>
      <c r="T957" s="6"/>
    </row>
    <row r="958" spans="1:20">
      <c r="A958" s="6">
        <v>0</v>
      </c>
      <c r="B958" s="6">
        <v>0</v>
      </c>
      <c r="C958" s="6" t="e">
        <f ca="1"/>
        <v>#NAME?</v>
      </c>
      <c r="D958" s="6" t="e">
        <f ca="1"/>
        <v>#NAME?</v>
      </c>
      <c r="E958" s="6" t="e">
        <f ca="1"/>
        <v>#NAME?</v>
      </c>
      <c r="F958" s="6" t="e">
        <f ca="1"/>
        <v>#NAME?</v>
      </c>
      <c r="G958" s="6" t="e">
        <f ca="1"/>
        <v>#NAME?</v>
      </c>
      <c r="H958" s="6" t="e">
        <f ca="1"/>
        <v>#NAME?</v>
      </c>
      <c r="I958" s="6"/>
      <c r="J958" s="6"/>
      <c r="K958" s="6"/>
      <c r="L958" s="6"/>
      <c r="M958" s="6"/>
      <c r="N958" s="6"/>
      <c r="O958" s="6"/>
      <c r="P958" s="6"/>
      <c r="Q958" s="6"/>
      <c r="R958" s="6"/>
      <c r="S958" s="6"/>
      <c r="T958" s="6"/>
    </row>
    <row r="959" spans="1:20">
      <c r="A959" s="6">
        <v>0</v>
      </c>
      <c r="B959" s="6">
        <v>0</v>
      </c>
      <c r="C959" s="6" t="e">
        <f ca="1"/>
        <v>#NAME?</v>
      </c>
      <c r="D959" s="6" t="e">
        <f ca="1"/>
        <v>#NAME?</v>
      </c>
      <c r="E959" s="6" t="e">
        <f ca="1"/>
        <v>#NAME?</v>
      </c>
      <c r="F959" s="6" t="e">
        <f ca="1"/>
        <v>#NAME?</v>
      </c>
      <c r="G959" s="6" t="e">
        <f ca="1"/>
        <v>#NAME?</v>
      </c>
      <c r="H959" s="6" t="e">
        <f ca="1"/>
        <v>#NAME?</v>
      </c>
      <c r="I959" s="6"/>
      <c r="J959" s="6"/>
      <c r="K959" s="6"/>
      <c r="L959" s="6"/>
      <c r="M959" s="6"/>
      <c r="N959" s="6"/>
      <c r="O959" s="6"/>
      <c r="P959" s="6"/>
      <c r="Q959" s="6"/>
      <c r="R959" s="6"/>
      <c r="S959" s="6"/>
      <c r="T959" s="6"/>
    </row>
    <row r="960" spans="1:20">
      <c r="A960" s="6">
        <v>0</v>
      </c>
      <c r="B960" s="6">
        <v>0</v>
      </c>
      <c r="C960" s="6" t="e">
        <f ca="1"/>
        <v>#NAME?</v>
      </c>
      <c r="D960" s="6" t="e">
        <f ca="1"/>
        <v>#NAME?</v>
      </c>
      <c r="E960" s="6" t="e">
        <f ca="1"/>
        <v>#NAME?</v>
      </c>
      <c r="F960" s="6" t="e">
        <f ca="1"/>
        <v>#NAME?</v>
      </c>
      <c r="G960" s="6" t="e">
        <f ca="1"/>
        <v>#NAME?</v>
      </c>
      <c r="H960" s="6" t="e">
        <f ca="1"/>
        <v>#NAME?</v>
      </c>
      <c r="I960" s="6"/>
      <c r="J960" s="6"/>
      <c r="K960" s="6"/>
      <c r="L960" s="6"/>
      <c r="M960" s="6"/>
      <c r="N960" s="6"/>
      <c r="O960" s="6"/>
      <c r="P960" s="6"/>
      <c r="Q960" s="6"/>
      <c r="R960" s="6"/>
      <c r="S960" s="6"/>
      <c r="T960" s="6"/>
    </row>
    <row r="961" spans="1:20">
      <c r="A961" s="6">
        <v>0</v>
      </c>
      <c r="B961" s="6">
        <v>0</v>
      </c>
      <c r="C961" s="6" t="e">
        <f ca="1"/>
        <v>#NAME?</v>
      </c>
      <c r="D961" s="6" t="e">
        <f ca="1"/>
        <v>#NAME?</v>
      </c>
      <c r="E961" s="6" t="e">
        <f ca="1"/>
        <v>#NAME?</v>
      </c>
      <c r="F961" s="6" t="e">
        <f ca="1"/>
        <v>#NAME?</v>
      </c>
      <c r="G961" s="6" t="e">
        <f ca="1"/>
        <v>#NAME?</v>
      </c>
      <c r="H961" s="6" t="e">
        <f ca="1"/>
        <v>#NAME?</v>
      </c>
      <c r="I961" s="6"/>
      <c r="J961" s="6"/>
      <c r="K961" s="6"/>
      <c r="L961" s="6"/>
      <c r="M961" s="6"/>
      <c r="N961" s="6"/>
      <c r="O961" s="6"/>
      <c r="P961" s="6"/>
      <c r="Q961" s="6"/>
      <c r="R961" s="6"/>
      <c r="S961" s="6"/>
      <c r="T961" s="6"/>
    </row>
    <row r="962" spans="1:20">
      <c r="A962" s="6">
        <v>0</v>
      </c>
      <c r="B962" s="6">
        <v>0</v>
      </c>
      <c r="C962" s="6" t="e">
        <f ca="1"/>
        <v>#NAME?</v>
      </c>
      <c r="D962" s="6" t="e">
        <f ca="1"/>
        <v>#NAME?</v>
      </c>
      <c r="E962" s="6" t="e">
        <f ca="1"/>
        <v>#NAME?</v>
      </c>
      <c r="F962" s="6" t="e">
        <f ca="1"/>
        <v>#NAME?</v>
      </c>
      <c r="G962" s="6" t="e">
        <f ca="1"/>
        <v>#NAME?</v>
      </c>
      <c r="H962" s="6" t="e">
        <f ca="1"/>
        <v>#NAME?</v>
      </c>
      <c r="I962" s="6"/>
      <c r="J962" s="6"/>
      <c r="K962" s="6"/>
      <c r="L962" s="6"/>
      <c r="M962" s="6"/>
      <c r="N962" s="6"/>
      <c r="O962" s="6"/>
      <c r="P962" s="6"/>
      <c r="Q962" s="6"/>
      <c r="R962" s="6"/>
      <c r="S962" s="6"/>
      <c r="T962" s="6"/>
    </row>
    <row r="963" spans="1:20">
      <c r="A963" s="6">
        <v>0</v>
      </c>
      <c r="B963" s="6">
        <v>0</v>
      </c>
      <c r="C963" s="6" t="e">
        <f ca="1"/>
        <v>#NAME?</v>
      </c>
      <c r="D963" s="6" t="e">
        <f ca="1"/>
        <v>#NAME?</v>
      </c>
      <c r="E963" s="6" t="e">
        <f ca="1"/>
        <v>#NAME?</v>
      </c>
      <c r="F963" s="6" t="e">
        <f ca="1"/>
        <v>#NAME?</v>
      </c>
      <c r="G963" s="6" t="e">
        <f ca="1"/>
        <v>#NAME?</v>
      </c>
      <c r="H963" s="6" t="e">
        <f ca="1"/>
        <v>#NAME?</v>
      </c>
      <c r="I963" s="6"/>
      <c r="J963" s="6"/>
      <c r="K963" s="6"/>
      <c r="L963" s="6"/>
      <c r="M963" s="6"/>
      <c r="N963" s="6"/>
      <c r="O963" s="6"/>
      <c r="P963" s="6"/>
      <c r="Q963" s="6"/>
      <c r="R963" s="6"/>
      <c r="S963" s="6"/>
      <c r="T963" s="6"/>
    </row>
    <row r="964" spans="1:20">
      <c r="A964" s="6">
        <v>0</v>
      </c>
      <c r="B964" s="6">
        <v>0</v>
      </c>
      <c r="C964" s="6" t="e">
        <f ca="1"/>
        <v>#NAME?</v>
      </c>
      <c r="D964" s="6" t="e">
        <f ca="1"/>
        <v>#NAME?</v>
      </c>
      <c r="E964" s="6" t="e">
        <f ca="1"/>
        <v>#NAME?</v>
      </c>
      <c r="F964" s="6" t="e">
        <f ca="1"/>
        <v>#NAME?</v>
      </c>
      <c r="G964" s="6" t="e">
        <f ca="1"/>
        <v>#NAME?</v>
      </c>
      <c r="H964" s="6" t="e">
        <f ca="1"/>
        <v>#NAME?</v>
      </c>
      <c r="I964" s="6"/>
      <c r="J964" s="6"/>
      <c r="K964" s="6"/>
      <c r="L964" s="6"/>
      <c r="M964" s="6"/>
      <c r="N964" s="6"/>
      <c r="O964" s="6"/>
      <c r="P964" s="6"/>
      <c r="Q964" s="6"/>
      <c r="R964" s="6"/>
      <c r="S964" s="6"/>
      <c r="T964" s="6"/>
    </row>
    <row r="965" spans="1:20">
      <c r="A965" s="6">
        <v>0</v>
      </c>
      <c r="B965" s="6">
        <v>0</v>
      </c>
      <c r="C965" s="6" t="e">
        <f ca="1"/>
        <v>#NAME?</v>
      </c>
      <c r="D965" s="6" t="e">
        <f ca="1"/>
        <v>#NAME?</v>
      </c>
      <c r="E965" s="6" t="e">
        <f ca="1"/>
        <v>#NAME?</v>
      </c>
      <c r="F965" s="6" t="e">
        <f ca="1"/>
        <v>#NAME?</v>
      </c>
      <c r="G965" s="6" t="e">
        <f ca="1"/>
        <v>#NAME?</v>
      </c>
      <c r="H965" s="6" t="e">
        <f ca="1"/>
        <v>#NAME?</v>
      </c>
      <c r="I965" s="6"/>
      <c r="J965" s="6"/>
      <c r="K965" s="6"/>
      <c r="L965" s="6"/>
      <c r="M965" s="6"/>
      <c r="N965" s="6"/>
      <c r="O965" s="6"/>
      <c r="P965" s="6"/>
      <c r="Q965" s="6"/>
      <c r="R965" s="6"/>
      <c r="S965" s="6"/>
      <c r="T965" s="6"/>
    </row>
    <row r="966" spans="1:20">
      <c r="A966" s="6">
        <v>0</v>
      </c>
      <c r="B966" s="6">
        <v>0</v>
      </c>
      <c r="C966" s="6" t="e">
        <f ca="1"/>
        <v>#NAME?</v>
      </c>
      <c r="D966" s="6" t="e">
        <f ca="1"/>
        <v>#NAME?</v>
      </c>
      <c r="E966" s="6" t="e">
        <f ca="1"/>
        <v>#NAME?</v>
      </c>
      <c r="F966" s="6" t="e">
        <f ca="1"/>
        <v>#NAME?</v>
      </c>
      <c r="G966" s="6" t="e">
        <f ca="1"/>
        <v>#NAME?</v>
      </c>
      <c r="H966" s="6" t="e">
        <f ca="1"/>
        <v>#NAME?</v>
      </c>
      <c r="I966" s="6"/>
      <c r="J966" s="6"/>
      <c r="K966" s="6"/>
      <c r="L966" s="6"/>
      <c r="M966" s="6"/>
      <c r="N966" s="6"/>
      <c r="O966" s="6"/>
      <c r="P966" s="6"/>
      <c r="Q966" s="6"/>
      <c r="R966" s="6"/>
      <c r="S966" s="6"/>
      <c r="T966" s="6"/>
    </row>
    <row r="967" spans="1:20">
      <c r="A967" s="6">
        <v>0</v>
      </c>
      <c r="B967" s="6">
        <v>0</v>
      </c>
      <c r="C967" s="6" t="e">
        <f ca="1"/>
        <v>#NAME?</v>
      </c>
      <c r="D967" s="6" t="e">
        <f ca="1"/>
        <v>#NAME?</v>
      </c>
      <c r="E967" s="6" t="e">
        <f ca="1"/>
        <v>#NAME?</v>
      </c>
      <c r="F967" s="6" t="e">
        <f ca="1"/>
        <v>#NAME?</v>
      </c>
      <c r="G967" s="6" t="e">
        <f ca="1"/>
        <v>#NAME?</v>
      </c>
      <c r="H967" s="6" t="e">
        <f ca="1"/>
        <v>#NAME?</v>
      </c>
      <c r="I967" s="6"/>
      <c r="J967" s="6"/>
      <c r="K967" s="6"/>
      <c r="L967" s="6"/>
      <c r="M967" s="6"/>
      <c r="N967" s="6"/>
      <c r="O967" s="6"/>
      <c r="P967" s="6"/>
      <c r="Q967" s="6"/>
      <c r="R967" s="6"/>
      <c r="S967" s="6"/>
      <c r="T967" s="6"/>
    </row>
    <row r="968" spans="1:20">
      <c r="A968" s="6">
        <v>0</v>
      </c>
      <c r="B968" s="6">
        <v>0</v>
      </c>
      <c r="C968" s="6" t="e">
        <f ca="1"/>
        <v>#NAME?</v>
      </c>
      <c r="D968" s="6" t="e">
        <f ca="1"/>
        <v>#NAME?</v>
      </c>
      <c r="E968" s="6" t="e">
        <f ca="1"/>
        <v>#NAME?</v>
      </c>
      <c r="F968" s="6" t="e">
        <f ca="1"/>
        <v>#NAME?</v>
      </c>
      <c r="G968" s="6" t="e">
        <f ca="1"/>
        <v>#NAME?</v>
      </c>
      <c r="H968" s="6" t="e">
        <f ca="1"/>
        <v>#NAME?</v>
      </c>
      <c r="I968" s="6"/>
      <c r="J968" s="6"/>
      <c r="K968" s="6"/>
      <c r="L968" s="6"/>
      <c r="M968" s="6"/>
      <c r="N968" s="6"/>
      <c r="O968" s="6"/>
      <c r="P968" s="6"/>
      <c r="Q968" s="6"/>
      <c r="R968" s="6"/>
      <c r="S968" s="6"/>
      <c r="T968" s="6"/>
    </row>
    <row r="969" spans="1:20">
      <c r="A969" s="6">
        <v>0</v>
      </c>
      <c r="B969" s="6">
        <v>0</v>
      </c>
      <c r="C969" s="6" t="e">
        <f ca="1"/>
        <v>#NAME?</v>
      </c>
      <c r="D969" s="6" t="e">
        <f ca="1"/>
        <v>#NAME?</v>
      </c>
      <c r="E969" s="6" t="e">
        <f ca="1"/>
        <v>#NAME?</v>
      </c>
      <c r="F969" s="6" t="e">
        <f ca="1"/>
        <v>#NAME?</v>
      </c>
      <c r="G969" s="6" t="e">
        <f ca="1"/>
        <v>#NAME?</v>
      </c>
      <c r="H969" s="6" t="e">
        <f ca="1"/>
        <v>#NAME?</v>
      </c>
      <c r="I969" s="6"/>
      <c r="J969" s="6"/>
      <c r="K969" s="6"/>
      <c r="L969" s="6"/>
      <c r="M969" s="6"/>
      <c r="N969" s="6"/>
      <c r="O969" s="6"/>
      <c r="P969" s="6"/>
      <c r="Q969" s="6"/>
      <c r="R969" s="6"/>
      <c r="S969" s="6"/>
      <c r="T969" s="6"/>
    </row>
    <row r="970" spans="1:20">
      <c r="A970" s="6">
        <v>0</v>
      </c>
      <c r="B970" s="6">
        <v>0</v>
      </c>
      <c r="C970" s="6" t="e">
        <f ca="1"/>
        <v>#NAME?</v>
      </c>
      <c r="D970" s="6" t="e">
        <f ca="1"/>
        <v>#NAME?</v>
      </c>
      <c r="E970" s="6" t="e">
        <f ca="1"/>
        <v>#NAME?</v>
      </c>
      <c r="F970" s="6" t="e">
        <f ca="1"/>
        <v>#NAME?</v>
      </c>
      <c r="G970" s="6" t="e">
        <f ca="1"/>
        <v>#NAME?</v>
      </c>
      <c r="H970" s="6" t="e">
        <f ca="1"/>
        <v>#NAME?</v>
      </c>
      <c r="I970" s="6"/>
      <c r="J970" s="6"/>
      <c r="K970" s="6"/>
      <c r="L970" s="6"/>
      <c r="M970" s="6"/>
      <c r="N970" s="6"/>
      <c r="O970" s="6"/>
      <c r="P970" s="6"/>
      <c r="Q970" s="6"/>
      <c r="R970" s="6"/>
      <c r="S970" s="6"/>
      <c r="T970" s="6"/>
    </row>
    <row r="971" spans="1:20">
      <c r="A971" s="6">
        <v>0</v>
      </c>
      <c r="B971" s="6">
        <v>0</v>
      </c>
      <c r="C971" s="6" t="e">
        <f ca="1"/>
        <v>#NAME?</v>
      </c>
      <c r="D971" s="6" t="e">
        <f ca="1"/>
        <v>#NAME?</v>
      </c>
      <c r="E971" s="6" t="e">
        <f ca="1"/>
        <v>#NAME?</v>
      </c>
      <c r="F971" s="6" t="e">
        <f ca="1"/>
        <v>#NAME?</v>
      </c>
      <c r="G971" s="6" t="e">
        <f ca="1"/>
        <v>#NAME?</v>
      </c>
      <c r="H971" s="6" t="e">
        <f ca="1"/>
        <v>#NAME?</v>
      </c>
      <c r="I971" s="6"/>
      <c r="J971" s="6"/>
      <c r="K971" s="6"/>
      <c r="L971" s="6"/>
      <c r="M971" s="6"/>
      <c r="N971" s="6"/>
      <c r="O971" s="6"/>
      <c r="P971" s="6"/>
      <c r="Q971" s="6"/>
      <c r="R971" s="6"/>
      <c r="S971" s="6"/>
      <c r="T971" s="6"/>
    </row>
    <row r="972" spans="1:20">
      <c r="A972" s="6">
        <v>0</v>
      </c>
      <c r="B972" s="6">
        <v>0</v>
      </c>
      <c r="C972" s="6" t="e">
        <f ca="1"/>
        <v>#NAME?</v>
      </c>
      <c r="D972" s="6" t="e">
        <f ca="1"/>
        <v>#NAME?</v>
      </c>
      <c r="E972" s="6" t="e">
        <f ca="1"/>
        <v>#NAME?</v>
      </c>
      <c r="F972" s="6" t="e">
        <f ca="1"/>
        <v>#NAME?</v>
      </c>
      <c r="G972" s="6" t="e">
        <f ca="1"/>
        <v>#NAME?</v>
      </c>
      <c r="H972" s="6" t="e">
        <f ca="1"/>
        <v>#NAME?</v>
      </c>
      <c r="I972" s="6"/>
      <c r="J972" s="6"/>
      <c r="K972" s="6"/>
      <c r="L972" s="6"/>
      <c r="M972" s="6"/>
      <c r="N972" s="6"/>
      <c r="O972" s="6"/>
      <c r="P972" s="6"/>
      <c r="Q972" s="6"/>
      <c r="R972" s="6"/>
      <c r="S972" s="6"/>
      <c r="T972" s="6"/>
    </row>
    <row r="973" spans="1:20">
      <c r="A973" s="6">
        <v>0</v>
      </c>
      <c r="B973" s="6">
        <v>0</v>
      </c>
      <c r="C973" s="6" t="e">
        <f ca="1"/>
        <v>#NAME?</v>
      </c>
      <c r="D973" s="6" t="e">
        <f ca="1"/>
        <v>#NAME?</v>
      </c>
      <c r="E973" s="6" t="e">
        <f ca="1"/>
        <v>#NAME?</v>
      </c>
      <c r="F973" s="6" t="e">
        <f ca="1"/>
        <v>#NAME?</v>
      </c>
      <c r="G973" s="6" t="e">
        <f ca="1"/>
        <v>#NAME?</v>
      </c>
      <c r="H973" s="6" t="e">
        <f ca="1"/>
        <v>#NAME?</v>
      </c>
      <c r="I973" s="6"/>
      <c r="J973" s="6"/>
      <c r="K973" s="6"/>
      <c r="L973" s="6"/>
      <c r="M973" s="6"/>
      <c r="N973" s="6"/>
      <c r="O973" s="6"/>
      <c r="P973" s="6"/>
      <c r="Q973" s="6"/>
      <c r="R973" s="6"/>
      <c r="S973" s="6"/>
      <c r="T973" s="6"/>
    </row>
    <row r="974" spans="1:20">
      <c r="A974" s="6">
        <v>0</v>
      </c>
      <c r="B974" s="6">
        <v>0</v>
      </c>
      <c r="C974" s="6" t="e">
        <f ca="1"/>
        <v>#NAME?</v>
      </c>
      <c r="D974" s="6" t="e">
        <f ca="1"/>
        <v>#NAME?</v>
      </c>
      <c r="E974" s="6" t="e">
        <f ca="1"/>
        <v>#NAME?</v>
      </c>
      <c r="F974" s="6" t="e">
        <f ca="1"/>
        <v>#NAME?</v>
      </c>
      <c r="G974" s="6" t="e">
        <f ca="1"/>
        <v>#NAME?</v>
      </c>
      <c r="H974" s="6" t="e">
        <f ca="1"/>
        <v>#NAME?</v>
      </c>
      <c r="I974" s="6"/>
      <c r="J974" s="6"/>
      <c r="K974" s="6"/>
      <c r="L974" s="6"/>
      <c r="M974" s="6"/>
      <c r="N974" s="6"/>
      <c r="O974" s="6"/>
      <c r="P974" s="6"/>
      <c r="Q974" s="6"/>
      <c r="R974" s="6"/>
      <c r="S974" s="6"/>
      <c r="T974" s="6"/>
    </row>
    <row r="975" spans="1:20">
      <c r="A975" s="6">
        <v>0</v>
      </c>
      <c r="B975" s="6">
        <v>0</v>
      </c>
      <c r="C975" s="6" t="e">
        <f ca="1"/>
        <v>#NAME?</v>
      </c>
      <c r="D975" s="6" t="e">
        <f ca="1"/>
        <v>#NAME?</v>
      </c>
      <c r="E975" s="6" t="e">
        <f ca="1"/>
        <v>#NAME?</v>
      </c>
      <c r="F975" s="6" t="e">
        <f ca="1"/>
        <v>#NAME?</v>
      </c>
      <c r="G975" s="6" t="e">
        <f ca="1"/>
        <v>#NAME?</v>
      </c>
      <c r="H975" s="6" t="e">
        <f ca="1"/>
        <v>#NAME?</v>
      </c>
      <c r="I975" s="6"/>
      <c r="J975" s="6"/>
      <c r="K975" s="6"/>
      <c r="L975" s="6"/>
      <c r="M975" s="6"/>
      <c r="N975" s="6"/>
      <c r="O975" s="6"/>
      <c r="P975" s="6"/>
      <c r="Q975" s="6"/>
      <c r="R975" s="6"/>
      <c r="S975" s="6"/>
      <c r="T975" s="6"/>
    </row>
    <row r="976" spans="1:20">
      <c r="A976" s="6">
        <v>0</v>
      </c>
      <c r="B976" s="6">
        <v>0</v>
      </c>
      <c r="C976" s="6" t="e">
        <f ca="1"/>
        <v>#NAME?</v>
      </c>
      <c r="D976" s="6" t="e">
        <f ca="1"/>
        <v>#NAME?</v>
      </c>
      <c r="E976" s="6" t="e">
        <f ca="1"/>
        <v>#NAME?</v>
      </c>
      <c r="F976" s="6" t="e">
        <f ca="1"/>
        <v>#NAME?</v>
      </c>
      <c r="G976" s="6" t="e">
        <f ca="1"/>
        <v>#NAME?</v>
      </c>
      <c r="H976" s="6" t="e">
        <f ca="1"/>
        <v>#NAME?</v>
      </c>
      <c r="I976" s="6"/>
      <c r="J976" s="6"/>
      <c r="K976" s="6"/>
      <c r="L976" s="6"/>
      <c r="M976" s="6"/>
      <c r="N976" s="6"/>
      <c r="O976" s="6"/>
      <c r="P976" s="6"/>
      <c r="Q976" s="6"/>
      <c r="R976" s="6"/>
      <c r="S976" s="6"/>
      <c r="T976" s="6"/>
    </row>
    <row r="977" spans="1:20">
      <c r="A977" s="6">
        <v>0</v>
      </c>
      <c r="B977" s="6">
        <v>0</v>
      </c>
      <c r="C977" s="6" t="e">
        <f ca="1"/>
        <v>#NAME?</v>
      </c>
      <c r="D977" s="6" t="e">
        <f ca="1"/>
        <v>#NAME?</v>
      </c>
      <c r="E977" s="6" t="e">
        <f ca="1"/>
        <v>#NAME?</v>
      </c>
      <c r="F977" s="6" t="e">
        <f ca="1"/>
        <v>#NAME?</v>
      </c>
      <c r="G977" s="6" t="e">
        <f ca="1"/>
        <v>#NAME?</v>
      </c>
      <c r="H977" s="6" t="e">
        <f ca="1"/>
        <v>#NAME?</v>
      </c>
      <c r="I977" s="6"/>
      <c r="J977" s="6"/>
      <c r="K977" s="6"/>
      <c r="L977" s="6"/>
      <c r="M977" s="6"/>
      <c r="N977" s="6"/>
      <c r="O977" s="6"/>
      <c r="P977" s="6"/>
      <c r="Q977" s="6"/>
      <c r="R977" s="6"/>
      <c r="S977" s="6"/>
      <c r="T977" s="6"/>
    </row>
    <row r="978" spans="1:20">
      <c r="A978" s="6">
        <v>0</v>
      </c>
      <c r="B978" s="6">
        <v>0</v>
      </c>
      <c r="C978" s="6" t="e">
        <f ca="1"/>
        <v>#NAME?</v>
      </c>
      <c r="D978" s="6" t="e">
        <f ca="1"/>
        <v>#NAME?</v>
      </c>
      <c r="E978" s="6" t="e">
        <f ca="1"/>
        <v>#NAME?</v>
      </c>
      <c r="F978" s="6" t="e">
        <f ca="1"/>
        <v>#NAME?</v>
      </c>
      <c r="G978" s="6" t="e">
        <f ca="1"/>
        <v>#NAME?</v>
      </c>
      <c r="H978" s="6" t="e">
        <f ca="1"/>
        <v>#NAME?</v>
      </c>
      <c r="I978" s="6"/>
      <c r="J978" s="6"/>
      <c r="K978" s="6"/>
      <c r="L978" s="6"/>
      <c r="M978" s="6"/>
      <c r="N978" s="6"/>
      <c r="O978" s="6"/>
      <c r="P978" s="6"/>
      <c r="Q978" s="6"/>
      <c r="R978" s="6"/>
      <c r="S978" s="6"/>
      <c r="T978" s="6"/>
    </row>
    <row r="979" spans="1:20">
      <c r="A979" s="6">
        <v>0</v>
      </c>
      <c r="B979" s="6">
        <v>0</v>
      </c>
      <c r="C979" s="6" t="e">
        <f ca="1"/>
        <v>#NAME?</v>
      </c>
      <c r="D979" s="6" t="e">
        <f ca="1"/>
        <v>#NAME?</v>
      </c>
      <c r="E979" s="6" t="e">
        <f ca="1"/>
        <v>#NAME?</v>
      </c>
      <c r="F979" s="6" t="e">
        <f ca="1"/>
        <v>#NAME?</v>
      </c>
      <c r="G979" s="6" t="e">
        <f ca="1"/>
        <v>#NAME?</v>
      </c>
      <c r="H979" s="6" t="e">
        <f ca="1"/>
        <v>#NAME?</v>
      </c>
      <c r="I979" s="6"/>
      <c r="J979" s="6"/>
      <c r="K979" s="6"/>
      <c r="L979" s="6"/>
      <c r="M979" s="6"/>
      <c r="N979" s="6"/>
      <c r="O979" s="6"/>
      <c r="P979" s="6"/>
      <c r="Q979" s="6"/>
      <c r="R979" s="6"/>
      <c r="S979" s="6"/>
      <c r="T979" s="6"/>
    </row>
    <row r="980" spans="1:20">
      <c r="A980" s="6">
        <v>0</v>
      </c>
      <c r="B980" s="6">
        <v>0</v>
      </c>
      <c r="C980" s="6" t="e">
        <f ca="1"/>
        <v>#NAME?</v>
      </c>
      <c r="D980" s="6" t="e">
        <f ca="1"/>
        <v>#NAME?</v>
      </c>
      <c r="E980" s="6" t="e">
        <f ca="1"/>
        <v>#NAME?</v>
      </c>
      <c r="F980" s="6" t="e">
        <f ca="1"/>
        <v>#NAME?</v>
      </c>
      <c r="G980" s="6" t="e">
        <f ca="1"/>
        <v>#NAME?</v>
      </c>
      <c r="H980" s="6" t="e">
        <f ca="1"/>
        <v>#NAME?</v>
      </c>
      <c r="I980" s="6"/>
      <c r="J980" s="6"/>
      <c r="K980" s="6"/>
      <c r="L980" s="6"/>
      <c r="M980" s="6"/>
      <c r="N980" s="6"/>
      <c r="O980" s="6"/>
      <c r="P980" s="6"/>
      <c r="Q980" s="6"/>
      <c r="R980" s="6"/>
      <c r="S980" s="6"/>
      <c r="T980" s="6"/>
    </row>
    <row r="981" spans="1:20">
      <c r="A981" s="6">
        <v>0</v>
      </c>
      <c r="B981" s="6">
        <v>0</v>
      </c>
      <c r="C981" s="6" t="e">
        <f ca="1"/>
        <v>#NAME?</v>
      </c>
      <c r="D981" s="6" t="e">
        <f ca="1"/>
        <v>#NAME?</v>
      </c>
      <c r="E981" s="6" t="e">
        <f ca="1"/>
        <v>#NAME?</v>
      </c>
      <c r="F981" s="6" t="e">
        <f ca="1"/>
        <v>#NAME?</v>
      </c>
      <c r="G981" s="6" t="e">
        <f ca="1"/>
        <v>#NAME?</v>
      </c>
      <c r="H981" s="6" t="e">
        <f ca="1"/>
        <v>#NAME?</v>
      </c>
      <c r="I981" s="6"/>
      <c r="J981" s="6"/>
      <c r="K981" s="6"/>
      <c r="L981" s="6"/>
      <c r="M981" s="6"/>
      <c r="N981" s="6"/>
      <c r="O981" s="6"/>
      <c r="P981" s="6"/>
      <c r="Q981" s="6"/>
      <c r="R981" s="6"/>
      <c r="S981" s="6"/>
      <c r="T981" s="6"/>
    </row>
    <row r="982" spans="1:20">
      <c r="A982" s="6">
        <v>0</v>
      </c>
      <c r="B982" s="6">
        <v>0</v>
      </c>
      <c r="C982" s="6" t="e">
        <f ca="1"/>
        <v>#NAME?</v>
      </c>
      <c r="D982" s="6" t="e">
        <f ca="1"/>
        <v>#NAME?</v>
      </c>
      <c r="E982" s="6" t="e">
        <f ca="1"/>
        <v>#NAME?</v>
      </c>
      <c r="F982" s="6" t="e">
        <f ca="1"/>
        <v>#NAME?</v>
      </c>
      <c r="G982" s="6" t="e">
        <f ca="1"/>
        <v>#NAME?</v>
      </c>
      <c r="H982" s="6" t="e">
        <f ca="1"/>
        <v>#NAME?</v>
      </c>
      <c r="I982" s="6"/>
      <c r="J982" s="6"/>
      <c r="K982" s="6"/>
      <c r="L982" s="6"/>
      <c r="M982" s="6"/>
      <c r="N982" s="6"/>
      <c r="O982" s="6"/>
      <c r="P982" s="6"/>
      <c r="Q982" s="6"/>
      <c r="R982" s="6"/>
      <c r="S982" s="6"/>
      <c r="T982" s="6"/>
    </row>
    <row r="983" spans="1:20">
      <c r="A983" s="6">
        <v>0</v>
      </c>
      <c r="B983" s="6">
        <v>0</v>
      </c>
      <c r="C983" s="6" t="e">
        <f ca="1"/>
        <v>#NAME?</v>
      </c>
      <c r="D983" s="6" t="e">
        <f ca="1"/>
        <v>#NAME?</v>
      </c>
      <c r="E983" s="6" t="e">
        <f ca="1"/>
        <v>#NAME?</v>
      </c>
      <c r="F983" s="6" t="e">
        <f ca="1"/>
        <v>#NAME?</v>
      </c>
      <c r="G983" s="6" t="e">
        <f ca="1"/>
        <v>#NAME?</v>
      </c>
      <c r="H983" s="6" t="e">
        <f ca="1"/>
        <v>#NAME?</v>
      </c>
      <c r="I983" s="6"/>
      <c r="J983" s="6"/>
      <c r="K983" s="6"/>
      <c r="L983" s="6"/>
      <c r="M983" s="6"/>
      <c r="N983" s="6"/>
      <c r="O983" s="6"/>
      <c r="P983" s="6"/>
      <c r="Q983" s="6"/>
      <c r="R983" s="6"/>
      <c r="S983" s="6"/>
      <c r="T983" s="6"/>
    </row>
    <row r="984" spans="1:20">
      <c r="A984" s="6">
        <v>0</v>
      </c>
      <c r="B984" s="6">
        <v>0</v>
      </c>
      <c r="C984" s="6" t="e">
        <f ca="1"/>
        <v>#NAME?</v>
      </c>
      <c r="D984" s="6" t="e">
        <f ca="1"/>
        <v>#NAME?</v>
      </c>
      <c r="E984" s="6" t="e">
        <f ca="1"/>
        <v>#NAME?</v>
      </c>
      <c r="F984" s="6" t="e">
        <f ca="1"/>
        <v>#NAME?</v>
      </c>
      <c r="G984" s="6" t="e">
        <f ca="1"/>
        <v>#NAME?</v>
      </c>
      <c r="H984" s="6" t="e">
        <f ca="1"/>
        <v>#NAME?</v>
      </c>
      <c r="I984" s="6"/>
      <c r="J984" s="6"/>
      <c r="K984" s="6"/>
      <c r="L984" s="6"/>
      <c r="M984" s="6"/>
      <c r="N984" s="6"/>
      <c r="O984" s="6"/>
      <c r="P984" s="6"/>
      <c r="Q984" s="6"/>
      <c r="R984" s="6"/>
      <c r="S984" s="6"/>
      <c r="T984" s="6"/>
    </row>
    <row r="985" spans="1:20">
      <c r="A985" s="6">
        <v>0</v>
      </c>
      <c r="B985" s="6">
        <v>0</v>
      </c>
      <c r="C985" s="6" t="e">
        <f ca="1"/>
        <v>#NAME?</v>
      </c>
      <c r="D985" s="6" t="e">
        <f ca="1"/>
        <v>#NAME?</v>
      </c>
      <c r="E985" s="6" t="e">
        <f ca="1"/>
        <v>#NAME?</v>
      </c>
      <c r="F985" s="6" t="e">
        <f ca="1"/>
        <v>#NAME?</v>
      </c>
      <c r="G985" s="6" t="e">
        <f ca="1"/>
        <v>#NAME?</v>
      </c>
      <c r="H985" s="6" t="e">
        <f ca="1"/>
        <v>#NAME?</v>
      </c>
      <c r="I985" s="6"/>
      <c r="J985" s="6"/>
      <c r="K985" s="6"/>
      <c r="L985" s="6"/>
      <c r="M985" s="6"/>
      <c r="N985" s="6"/>
      <c r="O985" s="6"/>
      <c r="P985" s="6"/>
      <c r="Q985" s="6"/>
      <c r="R985" s="6"/>
      <c r="S985" s="6"/>
      <c r="T985" s="6"/>
    </row>
    <row r="986" spans="1:20">
      <c r="A986" s="6">
        <v>0</v>
      </c>
      <c r="B986" s="6">
        <v>0</v>
      </c>
      <c r="C986" s="6" t="e">
        <f ca="1"/>
        <v>#NAME?</v>
      </c>
      <c r="D986" s="6" t="e">
        <f ca="1"/>
        <v>#NAME?</v>
      </c>
      <c r="E986" s="6" t="e">
        <f ca="1"/>
        <v>#NAME?</v>
      </c>
      <c r="F986" s="6" t="e">
        <f ca="1"/>
        <v>#NAME?</v>
      </c>
      <c r="G986" s="6" t="e">
        <f ca="1"/>
        <v>#NAME?</v>
      </c>
      <c r="H986" s="6" t="e">
        <f ca="1"/>
        <v>#NAME?</v>
      </c>
      <c r="I986" s="6"/>
      <c r="J986" s="6"/>
      <c r="K986" s="6"/>
      <c r="L986" s="6"/>
      <c r="M986" s="6"/>
      <c r="N986" s="6"/>
      <c r="O986" s="6"/>
      <c r="P986" s="6"/>
      <c r="Q986" s="6"/>
      <c r="R986" s="6"/>
      <c r="S986" s="6"/>
      <c r="T986" s="6"/>
    </row>
    <row r="987" spans="1:20">
      <c r="A987" s="6">
        <v>0</v>
      </c>
      <c r="B987" s="6">
        <v>0</v>
      </c>
      <c r="C987" s="6" t="e">
        <f ca="1"/>
        <v>#NAME?</v>
      </c>
      <c r="D987" s="6" t="e">
        <f ca="1"/>
        <v>#NAME?</v>
      </c>
      <c r="E987" s="6" t="e">
        <f ca="1"/>
        <v>#NAME?</v>
      </c>
      <c r="F987" s="6" t="e">
        <f ca="1"/>
        <v>#NAME?</v>
      </c>
      <c r="G987" s="6" t="e">
        <f ca="1"/>
        <v>#NAME?</v>
      </c>
      <c r="H987" s="6" t="e">
        <f ca="1"/>
        <v>#NAME?</v>
      </c>
      <c r="I987" s="6"/>
      <c r="J987" s="6"/>
      <c r="K987" s="6"/>
      <c r="L987" s="6"/>
      <c r="M987" s="6"/>
      <c r="N987" s="6"/>
      <c r="O987" s="6"/>
      <c r="P987" s="6"/>
      <c r="Q987" s="6"/>
      <c r="R987" s="6"/>
      <c r="S987" s="6"/>
      <c r="T987" s="6"/>
    </row>
    <row r="988" spans="1:20">
      <c r="A988" s="6">
        <v>0</v>
      </c>
      <c r="B988" s="6">
        <v>0</v>
      </c>
      <c r="C988" s="6" t="e">
        <f ca="1"/>
        <v>#NAME?</v>
      </c>
      <c r="D988" s="6" t="e">
        <f ca="1"/>
        <v>#NAME?</v>
      </c>
      <c r="E988" s="6" t="e">
        <f ca="1"/>
        <v>#NAME?</v>
      </c>
      <c r="F988" s="6" t="e">
        <f ca="1"/>
        <v>#NAME?</v>
      </c>
      <c r="G988" s="6" t="e">
        <f ca="1"/>
        <v>#NAME?</v>
      </c>
      <c r="H988" s="6" t="e">
        <f ca="1"/>
        <v>#NAME?</v>
      </c>
      <c r="I988" s="6"/>
      <c r="J988" s="6"/>
      <c r="K988" s="6"/>
      <c r="L988" s="6"/>
      <c r="M988" s="6"/>
      <c r="N988" s="6"/>
      <c r="O988" s="6"/>
      <c r="P988" s="6"/>
      <c r="Q988" s="6"/>
      <c r="R988" s="6"/>
      <c r="S988" s="6"/>
      <c r="T988" s="6"/>
    </row>
    <row r="989" spans="1:20">
      <c r="A989" s="6">
        <v>0</v>
      </c>
      <c r="B989" s="6">
        <v>0</v>
      </c>
      <c r="C989" s="6" t="e">
        <f ca="1"/>
        <v>#NAME?</v>
      </c>
      <c r="D989" s="6" t="e">
        <f ca="1"/>
        <v>#NAME?</v>
      </c>
      <c r="E989" s="6" t="e">
        <f ca="1"/>
        <v>#NAME?</v>
      </c>
      <c r="F989" s="6" t="e">
        <f ca="1"/>
        <v>#NAME?</v>
      </c>
      <c r="G989" s="6" t="e">
        <f ca="1"/>
        <v>#NAME?</v>
      </c>
      <c r="H989" s="6" t="e">
        <f ca="1"/>
        <v>#NAME?</v>
      </c>
      <c r="I989" s="6"/>
      <c r="J989" s="6"/>
      <c r="K989" s="6"/>
      <c r="L989" s="6"/>
      <c r="M989" s="6"/>
      <c r="N989" s="6"/>
      <c r="O989" s="6"/>
      <c r="P989" s="6"/>
      <c r="Q989" s="6"/>
      <c r="R989" s="6"/>
      <c r="S989" s="6"/>
      <c r="T989" s="6"/>
    </row>
    <row r="990" spans="1:20">
      <c r="A990" s="6">
        <v>0</v>
      </c>
      <c r="B990" s="6">
        <v>0</v>
      </c>
      <c r="C990" s="6" t="e">
        <f ca="1"/>
        <v>#NAME?</v>
      </c>
      <c r="D990" s="6" t="e">
        <f ca="1"/>
        <v>#NAME?</v>
      </c>
      <c r="E990" s="6" t="e">
        <f ca="1"/>
        <v>#NAME?</v>
      </c>
      <c r="F990" s="6" t="e">
        <f ca="1"/>
        <v>#NAME?</v>
      </c>
      <c r="G990" s="6" t="e">
        <f ca="1"/>
        <v>#NAME?</v>
      </c>
      <c r="H990" s="6" t="e">
        <f ca="1"/>
        <v>#NAME?</v>
      </c>
      <c r="I990" s="6"/>
      <c r="J990" s="6"/>
      <c r="K990" s="6"/>
      <c r="L990" s="6"/>
      <c r="M990" s="6"/>
      <c r="N990" s="6"/>
      <c r="O990" s="6"/>
      <c r="P990" s="6"/>
      <c r="Q990" s="6"/>
      <c r="R990" s="6"/>
      <c r="S990" s="6"/>
      <c r="T990" s="6"/>
    </row>
    <row r="991" spans="1:20">
      <c r="A991" s="6">
        <v>0</v>
      </c>
      <c r="B991" s="6">
        <v>0</v>
      </c>
      <c r="C991" s="6" t="e">
        <f ca="1"/>
        <v>#NAME?</v>
      </c>
      <c r="D991" s="6" t="e">
        <f ca="1"/>
        <v>#NAME?</v>
      </c>
      <c r="E991" s="6" t="e">
        <f ca="1"/>
        <v>#NAME?</v>
      </c>
      <c r="F991" s="6" t="e">
        <f ca="1"/>
        <v>#NAME?</v>
      </c>
      <c r="G991" s="6" t="e">
        <f ca="1"/>
        <v>#NAME?</v>
      </c>
      <c r="H991" s="6" t="e">
        <f ca="1"/>
        <v>#NAME?</v>
      </c>
      <c r="I991" s="6"/>
      <c r="J991" s="6"/>
      <c r="K991" s="6"/>
      <c r="L991" s="6"/>
      <c r="M991" s="6"/>
      <c r="N991" s="6"/>
      <c r="O991" s="6"/>
      <c r="P991" s="6"/>
      <c r="Q991" s="6"/>
      <c r="R991" s="6"/>
      <c r="S991" s="6"/>
      <c r="T991" s="6"/>
    </row>
    <row r="992" spans="1:20">
      <c r="A992" s="6">
        <v>0</v>
      </c>
      <c r="B992" s="6">
        <v>0</v>
      </c>
      <c r="C992" s="6" t="e">
        <f ca="1"/>
        <v>#NAME?</v>
      </c>
      <c r="D992" s="6" t="e">
        <f ca="1"/>
        <v>#NAME?</v>
      </c>
      <c r="E992" s="6" t="e">
        <f ca="1"/>
        <v>#NAME?</v>
      </c>
      <c r="F992" s="6" t="e">
        <f ca="1"/>
        <v>#NAME?</v>
      </c>
      <c r="G992" s="6" t="e">
        <f ca="1"/>
        <v>#NAME?</v>
      </c>
      <c r="H992" s="6" t="e">
        <f ca="1"/>
        <v>#NAME?</v>
      </c>
      <c r="I992" s="6"/>
      <c r="J992" s="6"/>
      <c r="K992" s="6"/>
      <c r="L992" s="6"/>
      <c r="M992" s="6"/>
      <c r="N992" s="6"/>
      <c r="O992" s="6"/>
      <c r="P992" s="6"/>
      <c r="Q992" s="6"/>
      <c r="R992" s="6"/>
      <c r="S992" s="6"/>
      <c r="T992" s="6"/>
    </row>
    <row r="993" spans="1:20">
      <c r="A993" s="6">
        <v>0</v>
      </c>
      <c r="B993" s="6">
        <v>0</v>
      </c>
      <c r="C993" s="6" t="e">
        <f ca="1"/>
        <v>#NAME?</v>
      </c>
      <c r="D993" s="6" t="e">
        <f ca="1"/>
        <v>#NAME?</v>
      </c>
      <c r="E993" s="6" t="e">
        <f ca="1"/>
        <v>#NAME?</v>
      </c>
      <c r="F993" s="6" t="e">
        <f ca="1"/>
        <v>#NAME?</v>
      </c>
      <c r="G993" s="6" t="e">
        <f ca="1"/>
        <v>#NAME?</v>
      </c>
      <c r="H993" s="6" t="e">
        <f ca="1"/>
        <v>#NAME?</v>
      </c>
      <c r="I993" s="6"/>
      <c r="J993" s="6"/>
      <c r="K993" s="6"/>
      <c r="L993" s="6"/>
      <c r="M993" s="6"/>
      <c r="N993" s="6"/>
      <c r="O993" s="6"/>
      <c r="P993" s="6"/>
      <c r="Q993" s="6"/>
      <c r="R993" s="6"/>
      <c r="S993" s="6"/>
      <c r="T993" s="6"/>
    </row>
    <row r="994" spans="1:20">
      <c r="A994" s="6">
        <v>0</v>
      </c>
      <c r="B994" s="6">
        <v>0</v>
      </c>
      <c r="C994" s="6" t="e">
        <f ca="1"/>
        <v>#NAME?</v>
      </c>
      <c r="D994" s="6" t="e">
        <f ca="1"/>
        <v>#NAME?</v>
      </c>
      <c r="E994" s="6" t="e">
        <f ca="1"/>
        <v>#NAME?</v>
      </c>
      <c r="F994" s="6" t="e">
        <f ca="1"/>
        <v>#NAME?</v>
      </c>
      <c r="G994" s="6" t="e">
        <f ca="1"/>
        <v>#NAME?</v>
      </c>
      <c r="H994" s="6" t="e">
        <f ca="1"/>
        <v>#NAME?</v>
      </c>
      <c r="I994" s="6"/>
      <c r="J994" s="6"/>
      <c r="K994" s="6"/>
      <c r="L994" s="6"/>
      <c r="M994" s="6"/>
      <c r="N994" s="6"/>
      <c r="O994" s="6"/>
      <c r="P994" s="6"/>
      <c r="Q994" s="6"/>
      <c r="R994" s="6"/>
      <c r="S994" s="6"/>
      <c r="T994" s="6"/>
    </row>
    <row r="995" spans="1:20">
      <c r="A995" s="6">
        <v>0</v>
      </c>
      <c r="B995" s="6">
        <v>0</v>
      </c>
      <c r="C995" s="6" t="e">
        <f ca="1"/>
        <v>#NAME?</v>
      </c>
      <c r="D995" s="6" t="e">
        <f ca="1"/>
        <v>#NAME?</v>
      </c>
      <c r="E995" s="6" t="e">
        <f ca="1"/>
        <v>#NAME?</v>
      </c>
      <c r="F995" s="6" t="e">
        <f ca="1"/>
        <v>#NAME?</v>
      </c>
      <c r="G995" s="6" t="e">
        <f ca="1"/>
        <v>#NAME?</v>
      </c>
      <c r="H995" s="6" t="e">
        <f ca="1"/>
        <v>#NAME?</v>
      </c>
      <c r="I995" s="6"/>
      <c r="J995" s="6"/>
      <c r="K995" s="6"/>
      <c r="L995" s="6"/>
      <c r="M995" s="6"/>
      <c r="N995" s="6"/>
      <c r="O995" s="6"/>
      <c r="P995" s="6"/>
      <c r="Q995" s="6"/>
      <c r="R995" s="6"/>
      <c r="S995" s="6"/>
      <c r="T995" s="6"/>
    </row>
    <row r="996" spans="1:20">
      <c r="A996" s="6">
        <v>0</v>
      </c>
      <c r="B996" s="6">
        <v>0</v>
      </c>
      <c r="C996" s="6" t="e">
        <f ca="1"/>
        <v>#NAME?</v>
      </c>
      <c r="D996" s="6" t="e">
        <f ca="1"/>
        <v>#NAME?</v>
      </c>
      <c r="E996" s="6" t="e">
        <f ca="1"/>
        <v>#NAME?</v>
      </c>
      <c r="F996" s="6" t="e">
        <f ca="1"/>
        <v>#NAME?</v>
      </c>
      <c r="G996" s="6" t="e">
        <f ca="1"/>
        <v>#NAME?</v>
      </c>
      <c r="H996" s="6" t="e">
        <f ca="1"/>
        <v>#NAME?</v>
      </c>
      <c r="I996" s="6"/>
      <c r="J996" s="6"/>
      <c r="K996" s="6"/>
      <c r="L996" s="6"/>
      <c r="M996" s="6"/>
      <c r="N996" s="6"/>
      <c r="O996" s="6"/>
      <c r="P996" s="6"/>
      <c r="Q996" s="6"/>
      <c r="R996" s="6"/>
      <c r="S996" s="6"/>
      <c r="T996" s="6"/>
    </row>
    <row r="997" spans="1:20">
      <c r="A997" s="6">
        <v>0</v>
      </c>
      <c r="B997" s="6">
        <v>0</v>
      </c>
      <c r="C997" s="6" t="e">
        <f ca="1"/>
        <v>#NAME?</v>
      </c>
      <c r="D997" s="6" t="e">
        <f ca="1"/>
        <v>#NAME?</v>
      </c>
      <c r="E997" s="6" t="e">
        <f ca="1"/>
        <v>#NAME?</v>
      </c>
      <c r="F997" s="6" t="e">
        <f ca="1"/>
        <v>#NAME?</v>
      </c>
      <c r="G997" s="6" t="e">
        <f ca="1"/>
        <v>#NAME?</v>
      </c>
      <c r="H997" s="6" t="e">
        <f ca="1"/>
        <v>#NAME?</v>
      </c>
      <c r="I997" s="6"/>
      <c r="J997" s="6"/>
      <c r="K997" s="6"/>
      <c r="L997" s="6"/>
      <c r="M997" s="6"/>
      <c r="N997" s="6"/>
      <c r="O997" s="6"/>
      <c r="P997" s="6"/>
      <c r="Q997" s="6"/>
      <c r="R997" s="6"/>
      <c r="S997" s="6"/>
      <c r="T997" s="6"/>
    </row>
    <row r="998" spans="1:20">
      <c r="A998" s="6">
        <v>0</v>
      </c>
      <c r="B998" s="6">
        <v>0</v>
      </c>
      <c r="C998" s="6" t="e">
        <f ca="1"/>
        <v>#NAME?</v>
      </c>
      <c r="D998" s="6" t="e">
        <f ca="1"/>
        <v>#NAME?</v>
      </c>
      <c r="E998" s="6" t="e">
        <f ca="1"/>
        <v>#NAME?</v>
      </c>
      <c r="F998" s="6" t="e">
        <f ca="1"/>
        <v>#NAME?</v>
      </c>
      <c r="G998" s="6" t="e">
        <f ca="1"/>
        <v>#NAME?</v>
      </c>
      <c r="H998" s="6" t="e">
        <f ca="1"/>
        <v>#NAME?</v>
      </c>
      <c r="I998" s="6"/>
      <c r="J998" s="6"/>
      <c r="K998" s="6"/>
      <c r="L998" s="6"/>
      <c r="M998" s="6"/>
      <c r="N998" s="6"/>
      <c r="O998" s="6"/>
      <c r="P998" s="6"/>
      <c r="Q998" s="6"/>
      <c r="R998" s="6"/>
      <c r="S998" s="6"/>
      <c r="T998" s="6"/>
    </row>
    <row r="999" spans="1:20">
      <c r="A999" s="6">
        <v>0</v>
      </c>
      <c r="B999" s="6">
        <v>0</v>
      </c>
      <c r="C999" s="6" t="e">
        <f ca="1"/>
        <v>#NAME?</v>
      </c>
      <c r="D999" s="6" t="e">
        <f ca="1"/>
        <v>#NAME?</v>
      </c>
      <c r="E999" s="6" t="e">
        <f ca="1"/>
        <v>#NAME?</v>
      </c>
      <c r="F999" s="6" t="e">
        <f ca="1"/>
        <v>#NAME?</v>
      </c>
      <c r="G999" s="6" t="e">
        <f ca="1"/>
        <v>#NAME?</v>
      </c>
      <c r="H999" s="6" t="e">
        <f ca="1"/>
        <v>#NAME?</v>
      </c>
      <c r="I999" s="6"/>
      <c r="J999" s="6"/>
      <c r="K999" s="6"/>
      <c r="L999" s="6"/>
      <c r="M999" s="6"/>
      <c r="N999" s="6"/>
      <c r="O999" s="6"/>
      <c r="P999" s="6"/>
      <c r="Q999" s="6"/>
      <c r="R999" s="6"/>
      <c r="S999" s="6"/>
      <c r="T999" s="6"/>
    </row>
    <row r="1000" spans="1:20">
      <c r="A1000" s="6">
        <v>0</v>
      </c>
      <c r="B1000" s="6">
        <v>0</v>
      </c>
      <c r="C1000" s="6" t="e">
        <f ca="1"/>
        <v>#NAME?</v>
      </c>
      <c r="D1000" s="6" t="e">
        <f ca="1"/>
        <v>#NAME?</v>
      </c>
      <c r="E1000" s="6" t="e">
        <f ca="1"/>
        <v>#NAME?</v>
      </c>
      <c r="F1000" s="6" t="e">
        <f ca="1"/>
        <v>#NAME?</v>
      </c>
      <c r="G1000" s="6" t="e">
        <f ca="1"/>
        <v>#NAME?</v>
      </c>
      <c r="H1000" s="6" t="e">
        <f ca="1"/>
        <v>#NAME?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W82"/>
  <sheetViews>
    <sheetView workbookViewId="0"/>
  </sheetViews>
  <sheetFormatPr defaultColWidth="12.5703125" defaultRowHeight="15.75" customHeight="1"/>
  <cols>
    <col min="1" max="1" width="12.28515625" customWidth="1"/>
    <col min="2" max="2" width="15.7109375" customWidth="1"/>
    <col min="3" max="3" width="11.42578125" customWidth="1"/>
    <col min="4" max="4" width="6.42578125" customWidth="1"/>
    <col min="5" max="5" width="13.140625" customWidth="1"/>
    <col min="6" max="6" width="17.42578125" customWidth="1"/>
    <col min="7" max="7" width="12.85546875" customWidth="1"/>
    <col min="8" max="8" width="14.7109375" customWidth="1"/>
    <col min="9" max="9" width="17.42578125" customWidth="1"/>
    <col min="10" max="10" width="12.85546875" customWidth="1"/>
    <col min="11" max="11" width="14.7109375" customWidth="1"/>
    <col min="12" max="12" width="17.42578125" customWidth="1"/>
    <col min="13" max="13" width="12.85546875" customWidth="1"/>
    <col min="14" max="14" width="14.7109375" customWidth="1"/>
    <col min="15" max="15" width="17.42578125" customWidth="1"/>
    <col min="16" max="16" width="12.85546875" customWidth="1"/>
    <col min="17" max="17" width="14.7109375" customWidth="1"/>
    <col min="18" max="18" width="17.42578125" customWidth="1"/>
    <col min="19" max="19" width="12.85546875" customWidth="1"/>
    <col min="20" max="20" width="14.7109375" customWidth="1"/>
    <col min="21" max="21" width="17.42578125" customWidth="1"/>
    <col min="22" max="22" width="12.85546875" customWidth="1"/>
    <col min="23" max="23" width="14.7109375" customWidth="1"/>
  </cols>
  <sheetData>
    <row r="1" spans="1:23">
      <c r="A1" s="6" t="s">
        <v>611</v>
      </c>
      <c r="B1" s="6" t="s">
        <v>612</v>
      </c>
      <c r="C1" s="6" t="s">
        <v>202</v>
      </c>
      <c r="D1" s="6" t="s">
        <v>613</v>
      </c>
      <c r="E1" s="6" t="s">
        <v>614</v>
      </c>
      <c r="F1" s="6" t="s">
        <v>615</v>
      </c>
      <c r="G1" s="6" t="s">
        <v>616</v>
      </c>
      <c r="H1" s="6" t="s">
        <v>617</v>
      </c>
      <c r="I1" s="6" t="s">
        <v>618</v>
      </c>
      <c r="J1" s="6" t="s">
        <v>619</v>
      </c>
      <c r="K1" s="6" t="s">
        <v>620</v>
      </c>
      <c r="L1" s="6" t="s">
        <v>621</v>
      </c>
      <c r="M1" s="6" t="s">
        <v>622</v>
      </c>
      <c r="N1" s="6" t="s">
        <v>623</v>
      </c>
      <c r="O1" s="6" t="s">
        <v>624</v>
      </c>
      <c r="P1" s="6" t="s">
        <v>625</v>
      </c>
      <c r="Q1" s="6" t="s">
        <v>626</v>
      </c>
      <c r="R1" s="6" t="s">
        <v>627</v>
      </c>
      <c r="S1" s="6" t="s">
        <v>628</v>
      </c>
      <c r="T1" s="6" t="s">
        <v>629</v>
      </c>
      <c r="U1" s="6" t="s">
        <v>630</v>
      </c>
      <c r="V1" s="6" t="s">
        <v>631</v>
      </c>
      <c r="W1" s="6" t="s">
        <v>632</v>
      </c>
    </row>
    <row r="2" spans="1:23">
      <c r="A2" s="6" t="s">
        <v>633</v>
      </c>
      <c r="B2" s="139">
        <v>45716.375</v>
      </c>
      <c r="C2" s="6">
        <v>1</v>
      </c>
      <c r="D2" s="6" t="s">
        <v>634</v>
      </c>
      <c r="E2" s="6" t="s">
        <v>280</v>
      </c>
      <c r="F2" s="6">
        <v>5690</v>
      </c>
      <c r="G2" s="6" t="s">
        <v>635</v>
      </c>
      <c r="H2" s="6" t="b">
        <v>0</v>
      </c>
      <c r="I2" s="6">
        <v>2290</v>
      </c>
      <c r="J2" s="6" t="s">
        <v>636</v>
      </c>
      <c r="K2" s="6" t="b">
        <v>0</v>
      </c>
      <c r="L2" s="6">
        <v>3212</v>
      </c>
      <c r="M2" s="6" t="s">
        <v>637</v>
      </c>
      <c r="N2" s="6" t="b">
        <v>0</v>
      </c>
      <c r="O2" s="6">
        <v>2501</v>
      </c>
      <c r="P2" s="6" t="s">
        <v>638</v>
      </c>
      <c r="Q2" s="6" t="b">
        <v>0</v>
      </c>
      <c r="R2" s="6">
        <v>6047</v>
      </c>
      <c r="S2" s="6" t="s">
        <v>639</v>
      </c>
      <c r="T2" s="6" t="b">
        <v>0</v>
      </c>
      <c r="U2" s="6">
        <v>112</v>
      </c>
      <c r="V2" s="6" t="s">
        <v>640</v>
      </c>
      <c r="W2" s="6" t="b">
        <v>0</v>
      </c>
    </row>
    <row r="3" spans="1:23">
      <c r="A3" s="6" t="s">
        <v>641</v>
      </c>
      <c r="B3" s="139">
        <v>45716.381249999999</v>
      </c>
      <c r="C3" s="6">
        <v>2</v>
      </c>
      <c r="D3" s="6" t="s">
        <v>634</v>
      </c>
      <c r="E3" s="6" t="s">
        <v>280</v>
      </c>
      <c r="F3" s="6">
        <v>2239</v>
      </c>
      <c r="G3" s="6" t="s">
        <v>635</v>
      </c>
      <c r="H3" s="6" t="b">
        <v>0</v>
      </c>
      <c r="I3" s="6">
        <v>1410</v>
      </c>
      <c r="J3" s="6" t="s">
        <v>636</v>
      </c>
      <c r="K3" s="6" t="b">
        <v>0</v>
      </c>
      <c r="L3" s="6">
        <v>6758</v>
      </c>
      <c r="M3" s="6" t="s">
        <v>637</v>
      </c>
      <c r="N3" s="6" t="b">
        <v>0</v>
      </c>
      <c r="O3" s="6">
        <v>2472</v>
      </c>
      <c r="P3" s="6" t="s">
        <v>638</v>
      </c>
      <c r="Q3" s="6" t="b">
        <v>0</v>
      </c>
      <c r="R3" s="6">
        <v>2513</v>
      </c>
      <c r="S3" s="6" t="s">
        <v>639</v>
      </c>
      <c r="T3" s="6" t="b">
        <v>0</v>
      </c>
      <c r="U3" s="6">
        <v>3691</v>
      </c>
      <c r="V3" s="6" t="s">
        <v>640</v>
      </c>
      <c r="W3" s="6" t="b">
        <v>0</v>
      </c>
    </row>
    <row r="4" spans="1:23">
      <c r="A4" s="6" t="s">
        <v>642</v>
      </c>
      <c r="B4" s="139">
        <v>45716.387499999997</v>
      </c>
      <c r="C4" s="6">
        <v>3</v>
      </c>
      <c r="D4" s="6" t="s">
        <v>634</v>
      </c>
      <c r="E4" s="6" t="s">
        <v>280</v>
      </c>
      <c r="F4" s="6">
        <v>3298</v>
      </c>
      <c r="G4" s="6" t="s">
        <v>635</v>
      </c>
      <c r="H4" s="6" t="b">
        <v>0</v>
      </c>
      <c r="I4" s="6">
        <v>10173</v>
      </c>
      <c r="J4" s="6" t="s">
        <v>636</v>
      </c>
      <c r="K4" s="6" t="b">
        <v>0</v>
      </c>
      <c r="L4" s="6">
        <v>111</v>
      </c>
      <c r="M4" s="6" t="s">
        <v>637</v>
      </c>
      <c r="N4" s="6" t="b">
        <v>0</v>
      </c>
      <c r="O4" s="6">
        <v>4230</v>
      </c>
      <c r="P4" s="6" t="s">
        <v>638</v>
      </c>
      <c r="Q4" s="6" t="b">
        <v>0</v>
      </c>
      <c r="R4" s="6">
        <v>2512</v>
      </c>
      <c r="S4" s="6" t="s">
        <v>639</v>
      </c>
      <c r="T4" s="6" t="b">
        <v>0</v>
      </c>
      <c r="U4" s="6">
        <v>5720</v>
      </c>
      <c r="V4" s="6" t="s">
        <v>640</v>
      </c>
      <c r="W4" s="6" t="b">
        <v>0</v>
      </c>
    </row>
    <row r="5" spans="1:23">
      <c r="A5" s="6" t="s">
        <v>643</v>
      </c>
      <c r="B5" s="139">
        <v>45716.393750000003</v>
      </c>
      <c r="C5" s="6">
        <v>4</v>
      </c>
      <c r="D5" s="6" t="s">
        <v>634</v>
      </c>
      <c r="E5" s="6" t="s">
        <v>280</v>
      </c>
      <c r="F5" s="6">
        <v>2177</v>
      </c>
      <c r="G5" s="6" t="s">
        <v>635</v>
      </c>
      <c r="H5" s="6" t="b">
        <v>0</v>
      </c>
      <c r="I5" s="6">
        <v>1816</v>
      </c>
      <c r="J5" s="6" t="s">
        <v>636</v>
      </c>
      <c r="K5" s="6" t="b">
        <v>0</v>
      </c>
      <c r="L5" s="6">
        <v>3023</v>
      </c>
      <c r="M5" s="6" t="s">
        <v>637</v>
      </c>
      <c r="N5" s="6" t="b">
        <v>0</v>
      </c>
      <c r="O5" s="6">
        <v>2491</v>
      </c>
      <c r="P5" s="6" t="s">
        <v>638</v>
      </c>
      <c r="Q5" s="6" t="b">
        <v>0</v>
      </c>
      <c r="R5" s="6">
        <v>5253</v>
      </c>
      <c r="S5" s="6" t="s">
        <v>639</v>
      </c>
      <c r="T5" s="6" t="b">
        <v>0</v>
      </c>
      <c r="U5" s="6">
        <v>2383</v>
      </c>
      <c r="V5" s="6" t="s">
        <v>640</v>
      </c>
      <c r="W5" s="6" t="b">
        <v>0</v>
      </c>
    </row>
    <row r="6" spans="1:23">
      <c r="A6" s="6" t="s">
        <v>644</v>
      </c>
      <c r="B6" s="139">
        <v>45716.4</v>
      </c>
      <c r="C6" s="6">
        <v>5</v>
      </c>
      <c r="D6" s="6" t="s">
        <v>634</v>
      </c>
      <c r="E6" s="6" t="s">
        <v>280</v>
      </c>
      <c r="F6" s="6">
        <v>5232</v>
      </c>
      <c r="G6" s="6" t="s">
        <v>635</v>
      </c>
      <c r="H6" s="6" t="b">
        <v>0</v>
      </c>
      <c r="I6" s="6">
        <v>525</v>
      </c>
      <c r="J6" s="6" t="s">
        <v>636</v>
      </c>
      <c r="K6" s="6" t="b">
        <v>0</v>
      </c>
      <c r="L6" s="6">
        <v>5913</v>
      </c>
      <c r="M6" s="6" t="s">
        <v>637</v>
      </c>
      <c r="N6" s="6" t="b">
        <v>0</v>
      </c>
      <c r="O6" s="6">
        <v>7021</v>
      </c>
      <c r="P6" s="6" t="s">
        <v>638</v>
      </c>
      <c r="Q6" s="6" t="b">
        <v>0</v>
      </c>
      <c r="R6" s="6">
        <v>4593</v>
      </c>
      <c r="S6" s="6" t="s">
        <v>639</v>
      </c>
      <c r="T6" s="6" t="b">
        <v>0</v>
      </c>
      <c r="U6" s="6">
        <v>4215</v>
      </c>
      <c r="V6" s="6" t="s">
        <v>640</v>
      </c>
      <c r="W6" s="6" t="b">
        <v>0</v>
      </c>
    </row>
    <row r="7" spans="1:23">
      <c r="A7" s="6" t="s">
        <v>645</v>
      </c>
      <c r="B7" s="139">
        <v>45716.40625</v>
      </c>
      <c r="C7" s="6">
        <v>6</v>
      </c>
      <c r="D7" s="6" t="s">
        <v>634</v>
      </c>
      <c r="E7" s="6" t="s">
        <v>280</v>
      </c>
      <c r="F7" s="6">
        <v>4166</v>
      </c>
      <c r="G7" s="6" t="s">
        <v>635</v>
      </c>
      <c r="H7" s="6" t="b">
        <v>0</v>
      </c>
      <c r="I7" s="6">
        <v>6160</v>
      </c>
      <c r="J7" s="6" t="s">
        <v>636</v>
      </c>
      <c r="K7" s="6" t="b">
        <v>0</v>
      </c>
      <c r="L7" s="6">
        <v>3883</v>
      </c>
      <c r="M7" s="6" t="s">
        <v>637</v>
      </c>
      <c r="N7" s="6" t="b">
        <v>0</v>
      </c>
      <c r="O7" s="6">
        <v>2052</v>
      </c>
      <c r="P7" s="6" t="s">
        <v>638</v>
      </c>
      <c r="Q7" s="6" t="b">
        <v>0</v>
      </c>
      <c r="R7" s="6">
        <v>2240</v>
      </c>
      <c r="S7" s="6" t="s">
        <v>639</v>
      </c>
      <c r="T7" s="6" t="b">
        <v>0</v>
      </c>
      <c r="U7" s="6">
        <v>2977</v>
      </c>
      <c r="V7" s="6" t="s">
        <v>640</v>
      </c>
      <c r="W7" s="6" t="b">
        <v>0</v>
      </c>
    </row>
    <row r="8" spans="1:23">
      <c r="A8" s="6" t="s">
        <v>646</v>
      </c>
      <c r="B8" s="139">
        <v>45716.412499999999</v>
      </c>
      <c r="C8" s="6">
        <v>7</v>
      </c>
      <c r="D8" s="6" t="s">
        <v>634</v>
      </c>
      <c r="E8" s="6" t="s">
        <v>280</v>
      </c>
      <c r="F8" s="6">
        <v>4360</v>
      </c>
      <c r="G8" s="6" t="s">
        <v>635</v>
      </c>
      <c r="H8" s="6" t="b">
        <v>0</v>
      </c>
      <c r="I8" s="6">
        <v>3061</v>
      </c>
      <c r="J8" s="6" t="s">
        <v>636</v>
      </c>
      <c r="K8" s="6" t="b">
        <v>0</v>
      </c>
      <c r="L8" s="6">
        <v>6132</v>
      </c>
      <c r="M8" s="6" t="s">
        <v>637</v>
      </c>
      <c r="N8" s="6" t="b">
        <v>0</v>
      </c>
      <c r="O8" s="6">
        <v>10474</v>
      </c>
      <c r="P8" s="6" t="s">
        <v>638</v>
      </c>
      <c r="Q8" s="6" t="b">
        <v>0</v>
      </c>
      <c r="R8" s="6">
        <v>7041</v>
      </c>
      <c r="S8" s="6" t="s">
        <v>639</v>
      </c>
      <c r="T8" s="6" t="b">
        <v>0</v>
      </c>
      <c r="U8" s="6">
        <v>2531</v>
      </c>
      <c r="V8" s="6" t="s">
        <v>640</v>
      </c>
      <c r="W8" s="6" t="b">
        <v>0</v>
      </c>
    </row>
    <row r="9" spans="1:23">
      <c r="A9" s="6" t="s">
        <v>647</v>
      </c>
      <c r="B9" s="139">
        <v>45716.418749999997</v>
      </c>
      <c r="C9" s="6">
        <v>8</v>
      </c>
      <c r="D9" s="6" t="s">
        <v>634</v>
      </c>
      <c r="E9" s="6" t="s">
        <v>280</v>
      </c>
      <c r="F9" s="6">
        <v>7048</v>
      </c>
      <c r="G9" s="6" t="s">
        <v>635</v>
      </c>
      <c r="H9" s="6" t="b">
        <v>0</v>
      </c>
      <c r="I9" s="6">
        <v>3054</v>
      </c>
      <c r="J9" s="6" t="s">
        <v>636</v>
      </c>
      <c r="K9" s="6" t="b">
        <v>0</v>
      </c>
      <c r="L9" s="6">
        <v>4531</v>
      </c>
      <c r="M9" s="6" t="s">
        <v>637</v>
      </c>
      <c r="N9" s="6" t="b">
        <v>0</v>
      </c>
      <c r="O9" s="6">
        <v>5339</v>
      </c>
      <c r="P9" s="6" t="s">
        <v>638</v>
      </c>
      <c r="Q9" s="6" t="b">
        <v>0</v>
      </c>
      <c r="R9" s="6">
        <v>2450</v>
      </c>
      <c r="S9" s="6" t="s">
        <v>639</v>
      </c>
      <c r="T9" s="6" t="b">
        <v>0</v>
      </c>
      <c r="U9" s="6">
        <v>4418</v>
      </c>
      <c r="V9" s="6" t="s">
        <v>640</v>
      </c>
      <c r="W9" s="6" t="b">
        <v>0</v>
      </c>
    </row>
    <row r="10" spans="1:23">
      <c r="A10" s="6" t="s">
        <v>2</v>
      </c>
      <c r="B10" s="139">
        <v>45716.424305555556</v>
      </c>
      <c r="C10" s="6">
        <v>9</v>
      </c>
      <c r="D10" s="6" t="s">
        <v>634</v>
      </c>
      <c r="E10" s="6" t="s">
        <v>280</v>
      </c>
      <c r="F10" s="6">
        <v>4009</v>
      </c>
      <c r="G10" s="6" t="s">
        <v>635</v>
      </c>
      <c r="H10" s="6" t="b">
        <v>0</v>
      </c>
      <c r="I10" s="6">
        <v>6420</v>
      </c>
      <c r="J10" s="6" t="s">
        <v>636</v>
      </c>
      <c r="K10" s="6" t="b">
        <v>0</v>
      </c>
      <c r="L10" s="6">
        <v>6044</v>
      </c>
      <c r="M10" s="6" t="s">
        <v>637</v>
      </c>
      <c r="N10" s="6" t="b">
        <v>0</v>
      </c>
      <c r="O10" s="6">
        <v>4623</v>
      </c>
      <c r="P10" s="6" t="s">
        <v>638</v>
      </c>
      <c r="Q10" s="6" t="b">
        <v>0</v>
      </c>
      <c r="R10" s="6">
        <v>1716</v>
      </c>
      <c r="S10" s="6" t="s">
        <v>639</v>
      </c>
      <c r="T10" s="6" t="b">
        <v>0</v>
      </c>
      <c r="U10" s="6">
        <v>3042</v>
      </c>
      <c r="V10" s="6" t="s">
        <v>640</v>
      </c>
      <c r="W10" s="6" t="b">
        <v>0</v>
      </c>
    </row>
    <row r="11" spans="1:23">
      <c r="A11" s="6" t="s">
        <v>648</v>
      </c>
      <c r="B11" s="139">
        <v>45716.429861111108</v>
      </c>
      <c r="C11" s="6">
        <v>10</v>
      </c>
      <c r="D11" s="6" t="s">
        <v>634</v>
      </c>
      <c r="E11" s="6" t="s">
        <v>280</v>
      </c>
      <c r="F11" s="6">
        <v>2383</v>
      </c>
      <c r="G11" s="6" t="s">
        <v>635</v>
      </c>
      <c r="H11" s="6" t="b">
        <v>0</v>
      </c>
      <c r="I11" s="6">
        <v>2290</v>
      </c>
      <c r="J11" s="6" t="s">
        <v>636</v>
      </c>
      <c r="K11" s="6" t="b">
        <v>0</v>
      </c>
      <c r="L11" s="6">
        <v>2472</v>
      </c>
      <c r="M11" s="6" t="s">
        <v>637</v>
      </c>
      <c r="N11" s="6" t="b">
        <v>0</v>
      </c>
      <c r="O11" s="6">
        <v>3212</v>
      </c>
      <c r="P11" s="6" t="s">
        <v>638</v>
      </c>
      <c r="Q11" s="6" t="b">
        <v>0</v>
      </c>
      <c r="R11" s="6">
        <v>2491</v>
      </c>
      <c r="S11" s="6" t="s">
        <v>639</v>
      </c>
      <c r="T11" s="6" t="b">
        <v>0</v>
      </c>
      <c r="U11" s="6">
        <v>5720</v>
      </c>
      <c r="V11" s="6" t="s">
        <v>640</v>
      </c>
      <c r="W11" s="6" t="b">
        <v>0</v>
      </c>
    </row>
    <row r="12" spans="1:23">
      <c r="A12" s="6" t="s">
        <v>649</v>
      </c>
      <c r="B12" s="139">
        <v>45716.435416666667</v>
      </c>
      <c r="C12" s="6">
        <v>11</v>
      </c>
      <c r="D12" s="6" t="s">
        <v>634</v>
      </c>
      <c r="E12" s="6" t="s">
        <v>280</v>
      </c>
      <c r="F12" s="6">
        <v>1410</v>
      </c>
      <c r="G12" s="6" t="s">
        <v>635</v>
      </c>
      <c r="H12" s="6" t="b">
        <v>0</v>
      </c>
      <c r="I12" s="6">
        <v>3023</v>
      </c>
      <c r="J12" s="6" t="s">
        <v>636</v>
      </c>
      <c r="K12" s="6" t="b">
        <v>0</v>
      </c>
      <c r="L12" s="6">
        <v>10173</v>
      </c>
      <c r="M12" s="6" t="s">
        <v>637</v>
      </c>
      <c r="N12" s="6" t="b">
        <v>0</v>
      </c>
      <c r="O12" s="6">
        <v>1816</v>
      </c>
      <c r="P12" s="6" t="s">
        <v>638</v>
      </c>
      <c r="Q12" s="6" t="b">
        <v>0</v>
      </c>
      <c r="R12" s="6">
        <v>6758</v>
      </c>
      <c r="S12" s="6" t="s">
        <v>639</v>
      </c>
      <c r="T12" s="6" t="b">
        <v>0</v>
      </c>
      <c r="U12" s="6">
        <v>5913</v>
      </c>
      <c r="V12" s="6" t="s">
        <v>640</v>
      </c>
      <c r="W12" s="6" t="b">
        <v>0</v>
      </c>
    </row>
    <row r="13" spans="1:23">
      <c r="A13" s="6" t="s">
        <v>650</v>
      </c>
      <c r="B13" s="139">
        <v>45716.440972222219</v>
      </c>
      <c r="C13" s="6">
        <v>12</v>
      </c>
      <c r="D13" s="6" t="s">
        <v>634</v>
      </c>
      <c r="E13" s="6" t="s">
        <v>280</v>
      </c>
      <c r="F13" s="6">
        <v>111</v>
      </c>
      <c r="G13" s="6" t="s">
        <v>635</v>
      </c>
      <c r="H13" s="6" t="b">
        <v>0</v>
      </c>
      <c r="I13" s="6">
        <v>4230</v>
      </c>
      <c r="J13" s="6" t="s">
        <v>636</v>
      </c>
      <c r="K13" s="6" t="b">
        <v>0</v>
      </c>
      <c r="L13" s="6">
        <v>6160</v>
      </c>
      <c r="M13" s="6" t="s">
        <v>637</v>
      </c>
      <c r="N13" s="6" t="b">
        <v>0</v>
      </c>
      <c r="O13" s="6">
        <v>5253</v>
      </c>
      <c r="P13" s="6" t="s">
        <v>638</v>
      </c>
      <c r="Q13" s="6" t="b">
        <v>0</v>
      </c>
      <c r="R13" s="6">
        <v>4215</v>
      </c>
      <c r="S13" s="6" t="s">
        <v>639</v>
      </c>
      <c r="T13" s="6" t="b">
        <v>0</v>
      </c>
      <c r="U13" s="6">
        <v>2239</v>
      </c>
      <c r="V13" s="6" t="s">
        <v>640</v>
      </c>
      <c r="W13" s="6" t="b">
        <v>0</v>
      </c>
    </row>
    <row r="14" spans="1:23">
      <c r="A14" s="6" t="s">
        <v>651</v>
      </c>
      <c r="B14" s="139">
        <v>45716.446527777778</v>
      </c>
      <c r="C14" s="6">
        <v>13</v>
      </c>
      <c r="D14" s="6" t="s">
        <v>634</v>
      </c>
      <c r="E14" s="6" t="s">
        <v>280</v>
      </c>
      <c r="F14" s="6">
        <v>3883</v>
      </c>
      <c r="G14" s="6" t="s">
        <v>635</v>
      </c>
      <c r="H14" s="6" t="b">
        <v>0</v>
      </c>
      <c r="I14" s="6">
        <v>3298</v>
      </c>
      <c r="J14" s="6" t="s">
        <v>636</v>
      </c>
      <c r="K14" s="6" t="b">
        <v>0</v>
      </c>
      <c r="L14" s="6">
        <v>2513</v>
      </c>
      <c r="M14" s="6" t="s">
        <v>637</v>
      </c>
      <c r="N14" s="6" t="b">
        <v>0</v>
      </c>
      <c r="O14" s="6">
        <v>5690</v>
      </c>
      <c r="P14" s="6" t="s">
        <v>638</v>
      </c>
      <c r="Q14" s="6" t="b">
        <v>0</v>
      </c>
      <c r="R14" s="6">
        <v>7021</v>
      </c>
      <c r="S14" s="6" t="s">
        <v>639</v>
      </c>
      <c r="T14" s="6" t="b">
        <v>0</v>
      </c>
      <c r="U14" s="6">
        <v>10474</v>
      </c>
      <c r="V14" s="6" t="s">
        <v>640</v>
      </c>
      <c r="W14" s="6" t="b">
        <v>0</v>
      </c>
    </row>
    <row r="15" spans="1:23">
      <c r="A15" s="6" t="s">
        <v>652</v>
      </c>
      <c r="B15" s="139">
        <v>45716.45208333333</v>
      </c>
      <c r="C15" s="6">
        <v>14</v>
      </c>
      <c r="D15" s="6" t="s">
        <v>634</v>
      </c>
      <c r="E15" s="6" t="s">
        <v>280</v>
      </c>
      <c r="F15" s="6">
        <v>6132</v>
      </c>
      <c r="G15" s="6" t="s">
        <v>635</v>
      </c>
      <c r="H15" s="6" t="b">
        <v>0</v>
      </c>
      <c r="I15" s="6">
        <v>2240</v>
      </c>
      <c r="J15" s="6" t="s">
        <v>636</v>
      </c>
      <c r="K15" s="6" t="b">
        <v>0</v>
      </c>
      <c r="L15" s="6">
        <v>2177</v>
      </c>
      <c r="M15" s="6" t="s">
        <v>637</v>
      </c>
      <c r="N15" s="6" t="b">
        <v>0</v>
      </c>
      <c r="O15" s="6">
        <v>3061</v>
      </c>
      <c r="P15" s="6" t="s">
        <v>638</v>
      </c>
      <c r="Q15" s="6" t="b">
        <v>0</v>
      </c>
      <c r="R15" s="6">
        <v>4531</v>
      </c>
      <c r="S15" s="6" t="s">
        <v>639</v>
      </c>
      <c r="T15" s="6" t="b">
        <v>0</v>
      </c>
      <c r="U15" s="6">
        <v>525</v>
      </c>
      <c r="V15" s="6" t="s">
        <v>640</v>
      </c>
      <c r="W15" s="6" t="b">
        <v>0</v>
      </c>
    </row>
    <row r="16" spans="1:23">
      <c r="A16" s="6" t="s">
        <v>653</v>
      </c>
      <c r="B16" s="139">
        <v>45716.457638888889</v>
      </c>
      <c r="C16" s="6">
        <v>15</v>
      </c>
      <c r="D16" s="6" t="s">
        <v>634</v>
      </c>
      <c r="E16" s="6" t="s">
        <v>280</v>
      </c>
      <c r="F16" s="6">
        <v>112</v>
      </c>
      <c r="G16" s="6" t="s">
        <v>635</v>
      </c>
      <c r="H16" s="6" t="b">
        <v>0</v>
      </c>
      <c r="I16" s="6">
        <v>3042</v>
      </c>
      <c r="J16" s="6" t="s">
        <v>636</v>
      </c>
      <c r="K16" s="6" t="b">
        <v>0</v>
      </c>
      <c r="L16" s="6">
        <v>4593</v>
      </c>
      <c r="M16" s="6" t="s">
        <v>637</v>
      </c>
      <c r="N16" s="6" t="b">
        <v>0</v>
      </c>
      <c r="O16" s="6">
        <v>4166</v>
      </c>
      <c r="P16" s="6" t="s">
        <v>638</v>
      </c>
      <c r="Q16" s="6" t="b">
        <v>0</v>
      </c>
      <c r="R16" s="6">
        <v>3054</v>
      </c>
      <c r="S16" s="6" t="s">
        <v>639</v>
      </c>
      <c r="T16" s="6" t="b">
        <v>0</v>
      </c>
      <c r="U16" s="6">
        <v>7041</v>
      </c>
      <c r="V16" s="6" t="s">
        <v>640</v>
      </c>
      <c r="W16" s="6" t="b">
        <v>0</v>
      </c>
    </row>
    <row r="17" spans="1:23">
      <c r="A17" s="6" t="s">
        <v>654</v>
      </c>
      <c r="B17" s="139">
        <v>45716.463194444441</v>
      </c>
      <c r="C17" s="6">
        <v>16</v>
      </c>
      <c r="D17" s="6" t="s">
        <v>634</v>
      </c>
      <c r="E17" s="6" t="s">
        <v>280</v>
      </c>
      <c r="F17" s="6">
        <v>4623</v>
      </c>
      <c r="G17" s="6" t="s">
        <v>635</v>
      </c>
      <c r="H17" s="6" t="b">
        <v>0</v>
      </c>
      <c r="I17" s="6">
        <v>4418</v>
      </c>
      <c r="J17" s="6" t="s">
        <v>636</v>
      </c>
      <c r="K17" s="6" t="b">
        <v>0</v>
      </c>
      <c r="L17" s="6">
        <v>6044</v>
      </c>
      <c r="M17" s="6" t="s">
        <v>637</v>
      </c>
      <c r="N17" s="6" t="b">
        <v>0</v>
      </c>
      <c r="O17" s="6">
        <v>2450</v>
      </c>
      <c r="P17" s="6" t="s">
        <v>638</v>
      </c>
      <c r="Q17" s="6" t="b">
        <v>0</v>
      </c>
      <c r="R17" s="6">
        <v>2501</v>
      </c>
      <c r="S17" s="6" t="s">
        <v>639</v>
      </c>
      <c r="T17" s="6" t="b">
        <v>0</v>
      </c>
      <c r="U17" s="6">
        <v>4360</v>
      </c>
      <c r="V17" s="6" t="s">
        <v>640</v>
      </c>
      <c r="W17" s="6" t="b">
        <v>0</v>
      </c>
    </row>
    <row r="18" spans="1:23">
      <c r="A18" s="6" t="s">
        <v>655</v>
      </c>
      <c r="B18" s="139">
        <v>45716.46875</v>
      </c>
      <c r="C18" s="6">
        <v>17</v>
      </c>
      <c r="D18" s="6" t="s">
        <v>634</v>
      </c>
      <c r="E18" s="6" t="s">
        <v>280</v>
      </c>
      <c r="F18" s="6">
        <v>2512</v>
      </c>
      <c r="G18" s="6" t="s">
        <v>635</v>
      </c>
      <c r="H18" s="6" t="b">
        <v>0</v>
      </c>
      <c r="I18" s="6">
        <v>2052</v>
      </c>
      <c r="J18" s="6" t="s">
        <v>636</v>
      </c>
      <c r="K18" s="6" t="b">
        <v>0</v>
      </c>
      <c r="L18" s="6">
        <v>6047</v>
      </c>
      <c r="M18" s="6" t="s">
        <v>637</v>
      </c>
      <c r="N18" s="6" t="b">
        <v>0</v>
      </c>
      <c r="O18" s="6">
        <v>2977</v>
      </c>
      <c r="P18" s="6" t="s">
        <v>638</v>
      </c>
      <c r="Q18" s="6" t="b">
        <v>0</v>
      </c>
      <c r="R18" s="6">
        <v>7048</v>
      </c>
      <c r="S18" s="6" t="s">
        <v>639</v>
      </c>
      <c r="T18" s="6" t="b">
        <v>0</v>
      </c>
      <c r="U18" s="6">
        <v>1716</v>
      </c>
      <c r="V18" s="6" t="s">
        <v>640</v>
      </c>
      <c r="W18" s="6" t="b">
        <v>0</v>
      </c>
    </row>
    <row r="19" spans="1:23">
      <c r="A19" s="6" t="s">
        <v>656</v>
      </c>
      <c r="B19" s="139">
        <v>45716.474305555559</v>
      </c>
      <c r="C19" s="6">
        <v>18</v>
      </c>
      <c r="D19" s="6" t="s">
        <v>634</v>
      </c>
      <c r="E19" s="6" t="s">
        <v>280</v>
      </c>
      <c r="F19" s="6">
        <v>3691</v>
      </c>
      <c r="G19" s="6" t="s">
        <v>635</v>
      </c>
      <c r="H19" s="6" t="b">
        <v>0</v>
      </c>
      <c r="I19" s="6">
        <v>5339</v>
      </c>
      <c r="J19" s="6" t="s">
        <v>636</v>
      </c>
      <c r="K19" s="6" t="b">
        <v>0</v>
      </c>
      <c r="L19" s="6">
        <v>6420</v>
      </c>
      <c r="M19" s="6" t="s">
        <v>637</v>
      </c>
      <c r="N19" s="6" t="b">
        <v>0</v>
      </c>
      <c r="O19" s="6">
        <v>4009</v>
      </c>
      <c r="P19" s="6" t="s">
        <v>638</v>
      </c>
      <c r="Q19" s="6" t="b">
        <v>0</v>
      </c>
      <c r="R19" s="6">
        <v>2531</v>
      </c>
      <c r="S19" s="6" t="s">
        <v>639</v>
      </c>
      <c r="T19" s="6" t="b">
        <v>0</v>
      </c>
      <c r="U19" s="6">
        <v>5232</v>
      </c>
      <c r="V19" s="6" t="s">
        <v>640</v>
      </c>
      <c r="W19" s="6" t="b">
        <v>0</v>
      </c>
    </row>
    <row r="20" spans="1:23">
      <c r="A20" s="6" t="s">
        <v>657</v>
      </c>
      <c r="B20" s="139">
        <v>45716.479861111111</v>
      </c>
      <c r="C20" s="6">
        <v>19</v>
      </c>
      <c r="D20" s="6" t="s">
        <v>634</v>
      </c>
      <c r="E20" s="6" t="s">
        <v>280</v>
      </c>
      <c r="F20" s="6">
        <v>6160</v>
      </c>
      <c r="G20" s="6" t="s">
        <v>635</v>
      </c>
      <c r="H20" s="6" t="b">
        <v>0</v>
      </c>
      <c r="I20" s="6">
        <v>10173</v>
      </c>
      <c r="J20" s="6" t="s">
        <v>636</v>
      </c>
      <c r="K20" s="6" t="b">
        <v>0</v>
      </c>
      <c r="L20" s="6">
        <v>10474</v>
      </c>
      <c r="M20" s="6" t="s">
        <v>637</v>
      </c>
      <c r="N20" s="6" t="b">
        <v>0</v>
      </c>
      <c r="O20" s="6">
        <v>111</v>
      </c>
      <c r="P20" s="6" t="s">
        <v>638</v>
      </c>
      <c r="Q20" s="6" t="b">
        <v>0</v>
      </c>
      <c r="R20" s="6">
        <v>2383</v>
      </c>
      <c r="S20" s="6" t="s">
        <v>639</v>
      </c>
      <c r="T20" s="6" t="b">
        <v>0</v>
      </c>
      <c r="U20" s="6">
        <v>1410</v>
      </c>
      <c r="V20" s="6" t="s">
        <v>640</v>
      </c>
      <c r="W20" s="6" t="b">
        <v>0</v>
      </c>
    </row>
    <row r="21" spans="1:23">
      <c r="A21" s="6" t="s">
        <v>658</v>
      </c>
      <c r="B21" s="139">
        <v>45716.48541666667</v>
      </c>
      <c r="C21" s="6">
        <v>20</v>
      </c>
      <c r="D21" s="6" t="s">
        <v>634</v>
      </c>
      <c r="E21" s="6" t="s">
        <v>280</v>
      </c>
      <c r="F21" s="6">
        <v>2513</v>
      </c>
      <c r="G21" s="6" t="s">
        <v>635</v>
      </c>
      <c r="H21" s="6" t="b">
        <v>0</v>
      </c>
      <c r="I21" s="6">
        <v>4230</v>
      </c>
      <c r="J21" s="6" t="s">
        <v>636</v>
      </c>
      <c r="K21" s="6" t="b">
        <v>0</v>
      </c>
      <c r="L21" s="6">
        <v>7021</v>
      </c>
      <c r="M21" s="6" t="s">
        <v>637</v>
      </c>
      <c r="N21" s="6" t="b">
        <v>0</v>
      </c>
      <c r="O21" s="6">
        <v>4531</v>
      </c>
      <c r="P21" s="6" t="s">
        <v>638</v>
      </c>
      <c r="Q21" s="6" t="b">
        <v>0</v>
      </c>
      <c r="R21" s="6">
        <v>3212</v>
      </c>
      <c r="S21" s="6" t="s">
        <v>639</v>
      </c>
      <c r="T21" s="6" t="b">
        <v>0</v>
      </c>
      <c r="U21" s="6">
        <v>2240</v>
      </c>
      <c r="V21" s="6" t="s">
        <v>640</v>
      </c>
      <c r="W21" s="6" t="b">
        <v>0</v>
      </c>
    </row>
    <row r="22" spans="1:23">
      <c r="A22" s="6" t="s">
        <v>659</v>
      </c>
      <c r="B22" s="139">
        <v>45716.490972222222</v>
      </c>
      <c r="C22" s="6">
        <v>21</v>
      </c>
      <c r="D22" s="6" t="s">
        <v>634</v>
      </c>
      <c r="E22" s="6" t="s">
        <v>280</v>
      </c>
      <c r="F22" s="6">
        <v>5913</v>
      </c>
      <c r="G22" s="6" t="s">
        <v>635</v>
      </c>
      <c r="H22" s="6" t="b">
        <v>0</v>
      </c>
      <c r="I22" s="6">
        <v>3298</v>
      </c>
      <c r="J22" s="6" t="s">
        <v>636</v>
      </c>
      <c r="K22" s="6" t="b">
        <v>0</v>
      </c>
      <c r="L22" s="6">
        <v>2472</v>
      </c>
      <c r="M22" s="6" t="s">
        <v>637</v>
      </c>
      <c r="N22" s="6" t="b">
        <v>0</v>
      </c>
      <c r="O22" s="6">
        <v>112</v>
      </c>
      <c r="P22" s="6" t="s">
        <v>638</v>
      </c>
      <c r="Q22" s="6" t="b">
        <v>0</v>
      </c>
      <c r="R22" s="6">
        <v>2177</v>
      </c>
      <c r="S22" s="6" t="s">
        <v>639</v>
      </c>
      <c r="T22" s="6" t="b">
        <v>0</v>
      </c>
      <c r="U22" s="6">
        <v>3054</v>
      </c>
      <c r="V22" s="6" t="s">
        <v>640</v>
      </c>
      <c r="W22" s="6" t="b">
        <v>0</v>
      </c>
    </row>
    <row r="23" spans="1:23">
      <c r="A23" s="6" t="s">
        <v>660</v>
      </c>
      <c r="B23" s="139">
        <v>45716.496527777781</v>
      </c>
      <c r="C23" s="6">
        <v>22</v>
      </c>
      <c r="D23" s="6" t="s">
        <v>634</v>
      </c>
      <c r="E23" s="6" t="s">
        <v>280</v>
      </c>
      <c r="F23" s="6">
        <v>5720</v>
      </c>
      <c r="G23" s="6" t="s">
        <v>635</v>
      </c>
      <c r="H23" s="6" t="b">
        <v>0</v>
      </c>
      <c r="I23" s="6">
        <v>3883</v>
      </c>
      <c r="J23" s="6" t="s">
        <v>636</v>
      </c>
      <c r="K23" s="6" t="b">
        <v>0</v>
      </c>
      <c r="L23" s="6">
        <v>3023</v>
      </c>
      <c r="M23" s="6" t="s">
        <v>637</v>
      </c>
      <c r="N23" s="6" t="b">
        <v>0</v>
      </c>
      <c r="O23" s="6">
        <v>6132</v>
      </c>
      <c r="P23" s="6" t="s">
        <v>638</v>
      </c>
      <c r="Q23" s="6" t="b">
        <v>0</v>
      </c>
      <c r="R23" s="6">
        <v>4623</v>
      </c>
      <c r="S23" s="6" t="s">
        <v>639</v>
      </c>
      <c r="T23" s="6" t="b">
        <v>0</v>
      </c>
      <c r="U23" s="6">
        <v>2501</v>
      </c>
      <c r="V23" s="6" t="s">
        <v>640</v>
      </c>
      <c r="W23" s="6" t="b">
        <v>0</v>
      </c>
    </row>
    <row r="24" spans="1:23">
      <c r="A24" s="6" t="s">
        <v>661</v>
      </c>
      <c r="B24" s="139">
        <v>45716.541666666664</v>
      </c>
      <c r="C24" s="6">
        <v>23</v>
      </c>
      <c r="D24" s="6" t="s">
        <v>634</v>
      </c>
      <c r="E24" s="6" t="s">
        <v>280</v>
      </c>
      <c r="F24" s="6">
        <v>4418</v>
      </c>
      <c r="G24" s="6" t="s">
        <v>635</v>
      </c>
      <c r="H24" s="6" t="b">
        <v>0</v>
      </c>
      <c r="I24" s="6">
        <v>2239</v>
      </c>
      <c r="J24" s="6" t="s">
        <v>636</v>
      </c>
      <c r="K24" s="6" t="b">
        <v>0</v>
      </c>
      <c r="L24" s="6">
        <v>4593</v>
      </c>
      <c r="M24" s="6" t="s">
        <v>637</v>
      </c>
      <c r="N24" s="6" t="b">
        <v>0</v>
      </c>
      <c r="O24" s="6">
        <v>3061</v>
      </c>
      <c r="P24" s="6" t="s">
        <v>638</v>
      </c>
      <c r="Q24" s="6" t="b">
        <v>0</v>
      </c>
      <c r="R24" s="6">
        <v>1816</v>
      </c>
      <c r="S24" s="6" t="s">
        <v>639</v>
      </c>
      <c r="T24" s="6" t="b">
        <v>0</v>
      </c>
      <c r="U24" s="6">
        <v>2512</v>
      </c>
      <c r="V24" s="6" t="s">
        <v>640</v>
      </c>
      <c r="W24" s="6" t="b">
        <v>0</v>
      </c>
    </row>
    <row r="25" spans="1:23">
      <c r="A25" s="6" t="s">
        <v>662</v>
      </c>
      <c r="B25" s="139">
        <v>45716.547222222223</v>
      </c>
      <c r="C25" s="6">
        <v>24</v>
      </c>
      <c r="D25" s="6" t="s">
        <v>634</v>
      </c>
      <c r="E25" s="6" t="s">
        <v>280</v>
      </c>
      <c r="F25" s="6">
        <v>1716</v>
      </c>
      <c r="G25" s="6" t="s">
        <v>635</v>
      </c>
      <c r="H25" s="6" t="b">
        <v>0</v>
      </c>
      <c r="I25" s="6">
        <v>525</v>
      </c>
      <c r="J25" s="6" t="s">
        <v>636</v>
      </c>
      <c r="K25" s="6" t="b">
        <v>0</v>
      </c>
      <c r="L25" s="6">
        <v>2450</v>
      </c>
      <c r="M25" s="6" t="s">
        <v>637</v>
      </c>
      <c r="N25" s="6" t="b">
        <v>0</v>
      </c>
      <c r="O25" s="6">
        <v>6758</v>
      </c>
      <c r="P25" s="6" t="s">
        <v>638</v>
      </c>
      <c r="Q25" s="6" t="b">
        <v>0</v>
      </c>
      <c r="R25" s="6">
        <v>5690</v>
      </c>
      <c r="S25" s="6" t="s">
        <v>639</v>
      </c>
      <c r="T25" s="6" t="b">
        <v>0</v>
      </c>
      <c r="U25" s="6">
        <v>4166</v>
      </c>
      <c r="V25" s="6" t="s">
        <v>640</v>
      </c>
      <c r="W25" s="6" t="b">
        <v>0</v>
      </c>
    </row>
    <row r="26" spans="1:23">
      <c r="A26" s="6" t="s">
        <v>663</v>
      </c>
      <c r="B26" s="139">
        <v>45716.552777777775</v>
      </c>
      <c r="C26" s="6">
        <v>25</v>
      </c>
      <c r="D26" s="6" t="s">
        <v>634</v>
      </c>
      <c r="E26" s="6" t="s">
        <v>280</v>
      </c>
      <c r="F26" s="6">
        <v>2531</v>
      </c>
      <c r="G26" s="6" t="s">
        <v>635</v>
      </c>
      <c r="H26" s="6" t="b">
        <v>0</v>
      </c>
      <c r="I26" s="6">
        <v>4215</v>
      </c>
      <c r="J26" s="6" t="s">
        <v>636</v>
      </c>
      <c r="K26" s="6" t="b">
        <v>0</v>
      </c>
      <c r="L26" s="6">
        <v>2491</v>
      </c>
      <c r="M26" s="6" t="s">
        <v>637</v>
      </c>
      <c r="N26" s="6" t="b">
        <v>0</v>
      </c>
      <c r="O26" s="6">
        <v>3042</v>
      </c>
      <c r="P26" s="6" t="s">
        <v>638</v>
      </c>
      <c r="Q26" s="6" t="b">
        <v>0</v>
      </c>
      <c r="R26" s="6">
        <v>4009</v>
      </c>
      <c r="S26" s="6" t="s">
        <v>639</v>
      </c>
      <c r="T26" s="6" t="b">
        <v>0</v>
      </c>
      <c r="U26" s="6">
        <v>7048</v>
      </c>
      <c r="V26" s="6" t="s">
        <v>640</v>
      </c>
      <c r="W26" s="6" t="b">
        <v>0</v>
      </c>
    </row>
    <row r="27" spans="1:23">
      <c r="A27" s="6" t="s">
        <v>664</v>
      </c>
      <c r="B27" s="139">
        <v>45716.558333333334</v>
      </c>
      <c r="C27" s="6">
        <v>26</v>
      </c>
      <c r="D27" s="6" t="s">
        <v>634</v>
      </c>
      <c r="E27" s="6" t="s">
        <v>280</v>
      </c>
      <c r="F27" s="6">
        <v>5253</v>
      </c>
      <c r="G27" s="6" t="s">
        <v>635</v>
      </c>
      <c r="H27" s="6" t="b">
        <v>0</v>
      </c>
      <c r="I27" s="6">
        <v>2977</v>
      </c>
      <c r="J27" s="6" t="s">
        <v>636</v>
      </c>
      <c r="K27" s="6" t="b">
        <v>0</v>
      </c>
      <c r="L27" s="6">
        <v>6047</v>
      </c>
      <c r="M27" s="6" t="s">
        <v>637</v>
      </c>
      <c r="N27" s="6" t="b">
        <v>0</v>
      </c>
      <c r="O27" s="6">
        <v>5339</v>
      </c>
      <c r="P27" s="6" t="s">
        <v>638</v>
      </c>
      <c r="Q27" s="6" t="b">
        <v>0</v>
      </c>
      <c r="R27" s="6">
        <v>5232</v>
      </c>
      <c r="S27" s="6" t="s">
        <v>639</v>
      </c>
      <c r="T27" s="6" t="b">
        <v>0</v>
      </c>
      <c r="U27" s="6">
        <v>4360</v>
      </c>
      <c r="V27" s="6" t="s">
        <v>640</v>
      </c>
      <c r="W27" s="6" t="b">
        <v>0</v>
      </c>
    </row>
    <row r="28" spans="1:23">
      <c r="A28" s="6" t="s">
        <v>665</v>
      </c>
      <c r="B28" s="139">
        <v>45716.563888888886</v>
      </c>
      <c r="C28" s="6">
        <v>27</v>
      </c>
      <c r="D28" s="6" t="s">
        <v>634</v>
      </c>
      <c r="E28" s="6" t="s">
        <v>280</v>
      </c>
      <c r="F28" s="6">
        <v>3691</v>
      </c>
      <c r="G28" s="6" t="s">
        <v>635</v>
      </c>
      <c r="H28" s="6" t="b">
        <v>0</v>
      </c>
      <c r="I28" s="6">
        <v>6044</v>
      </c>
      <c r="J28" s="6" t="s">
        <v>636</v>
      </c>
      <c r="K28" s="6" t="b">
        <v>0</v>
      </c>
      <c r="L28" s="6">
        <v>2052</v>
      </c>
      <c r="M28" s="6" t="s">
        <v>637</v>
      </c>
      <c r="N28" s="6" t="b">
        <v>0</v>
      </c>
      <c r="O28" s="6">
        <v>7041</v>
      </c>
      <c r="P28" s="6" t="s">
        <v>638</v>
      </c>
      <c r="Q28" s="6" t="b">
        <v>0</v>
      </c>
      <c r="R28" s="6">
        <v>6420</v>
      </c>
      <c r="S28" s="6" t="s">
        <v>639</v>
      </c>
      <c r="T28" s="6" t="b">
        <v>0</v>
      </c>
      <c r="U28" s="6">
        <v>2290</v>
      </c>
      <c r="V28" s="6" t="s">
        <v>640</v>
      </c>
      <c r="W28" s="6" t="b">
        <v>0</v>
      </c>
    </row>
    <row r="29" spans="1:23">
      <c r="A29" s="6" t="s">
        <v>666</v>
      </c>
      <c r="B29" s="139">
        <v>45716.569444444445</v>
      </c>
      <c r="C29" s="6">
        <v>28</v>
      </c>
      <c r="D29" s="6" t="s">
        <v>634</v>
      </c>
      <c r="E29" s="6" t="s">
        <v>280</v>
      </c>
      <c r="F29" s="6">
        <v>2240</v>
      </c>
      <c r="G29" s="6" t="s">
        <v>635</v>
      </c>
      <c r="H29" s="6" t="b">
        <v>0</v>
      </c>
      <c r="I29" s="6">
        <v>4623</v>
      </c>
      <c r="J29" s="6" t="s">
        <v>636</v>
      </c>
      <c r="K29" s="6" t="b">
        <v>0</v>
      </c>
      <c r="L29" s="6">
        <v>111</v>
      </c>
      <c r="M29" s="6" t="s">
        <v>637</v>
      </c>
      <c r="N29" s="6" t="b">
        <v>0</v>
      </c>
      <c r="O29" s="6">
        <v>1410</v>
      </c>
      <c r="P29" s="6" t="s">
        <v>638</v>
      </c>
      <c r="Q29" s="6" t="b">
        <v>0</v>
      </c>
      <c r="R29" s="6">
        <v>2472</v>
      </c>
      <c r="S29" s="6" t="s">
        <v>639</v>
      </c>
      <c r="T29" s="6" t="b">
        <v>0</v>
      </c>
      <c r="U29" s="6">
        <v>112</v>
      </c>
      <c r="V29" s="6" t="s">
        <v>640</v>
      </c>
      <c r="W29" s="6" t="b">
        <v>0</v>
      </c>
    </row>
    <row r="30" spans="1:23">
      <c r="A30" s="6" t="s">
        <v>667</v>
      </c>
      <c r="B30" s="139">
        <v>45716.574999999997</v>
      </c>
      <c r="C30" s="6">
        <v>29</v>
      </c>
      <c r="D30" s="6" t="s">
        <v>634</v>
      </c>
      <c r="E30" s="6" t="s">
        <v>280</v>
      </c>
      <c r="F30" s="6">
        <v>10474</v>
      </c>
      <c r="G30" s="6" t="s">
        <v>635</v>
      </c>
      <c r="H30" s="6" t="b">
        <v>0</v>
      </c>
      <c r="I30" s="6">
        <v>5720</v>
      </c>
      <c r="J30" s="6" t="s">
        <v>636</v>
      </c>
      <c r="K30" s="6" t="b">
        <v>0</v>
      </c>
      <c r="L30" s="6">
        <v>4418</v>
      </c>
      <c r="M30" s="6" t="s">
        <v>637</v>
      </c>
      <c r="N30" s="6" t="b">
        <v>0</v>
      </c>
      <c r="O30" s="6">
        <v>7021</v>
      </c>
      <c r="P30" s="6" t="s">
        <v>638</v>
      </c>
      <c r="Q30" s="6" t="b">
        <v>0</v>
      </c>
      <c r="R30" s="6">
        <v>2177</v>
      </c>
      <c r="S30" s="6" t="s">
        <v>639</v>
      </c>
      <c r="T30" s="6" t="b">
        <v>0</v>
      </c>
      <c r="U30" s="6">
        <v>6160</v>
      </c>
      <c r="V30" s="6" t="s">
        <v>640</v>
      </c>
      <c r="W30" s="6" t="b">
        <v>0</v>
      </c>
    </row>
    <row r="31" spans="1:23">
      <c r="A31" s="6" t="s">
        <v>668</v>
      </c>
      <c r="B31" s="139">
        <v>45716.580555555556</v>
      </c>
      <c r="C31" s="6">
        <v>30</v>
      </c>
      <c r="D31" s="6" t="s">
        <v>634</v>
      </c>
      <c r="E31" s="6" t="s">
        <v>280</v>
      </c>
      <c r="F31" s="6">
        <v>525</v>
      </c>
      <c r="G31" s="6" t="s">
        <v>635</v>
      </c>
      <c r="H31" s="6" t="b">
        <v>0</v>
      </c>
      <c r="I31" s="6">
        <v>3212</v>
      </c>
      <c r="J31" s="6" t="s">
        <v>636</v>
      </c>
      <c r="K31" s="6" t="b">
        <v>0</v>
      </c>
      <c r="L31" s="6">
        <v>3054</v>
      </c>
      <c r="M31" s="6" t="s">
        <v>637</v>
      </c>
      <c r="N31" s="6" t="b">
        <v>0</v>
      </c>
      <c r="O31" s="6">
        <v>10173</v>
      </c>
      <c r="P31" s="6" t="s">
        <v>638</v>
      </c>
      <c r="Q31" s="6" t="b">
        <v>0</v>
      </c>
      <c r="R31" s="6">
        <v>3883</v>
      </c>
      <c r="S31" s="6" t="s">
        <v>639</v>
      </c>
      <c r="T31" s="6" t="b">
        <v>0</v>
      </c>
      <c r="U31" s="6">
        <v>2239</v>
      </c>
      <c r="V31" s="6" t="s">
        <v>640</v>
      </c>
      <c r="W31" s="6" t="b">
        <v>0</v>
      </c>
    </row>
    <row r="32" spans="1:23">
      <c r="A32" s="6" t="s">
        <v>669</v>
      </c>
      <c r="B32" s="139">
        <v>45716.586111111108</v>
      </c>
      <c r="C32" s="6">
        <v>31</v>
      </c>
      <c r="D32" s="6" t="s">
        <v>634</v>
      </c>
      <c r="E32" s="6" t="s">
        <v>280</v>
      </c>
      <c r="F32" s="6">
        <v>2512</v>
      </c>
      <c r="G32" s="6" t="s">
        <v>635</v>
      </c>
      <c r="H32" s="6" t="b">
        <v>0</v>
      </c>
      <c r="I32" s="6">
        <v>4009</v>
      </c>
      <c r="J32" s="6" t="s">
        <v>636</v>
      </c>
      <c r="K32" s="6" t="b">
        <v>0</v>
      </c>
      <c r="L32" s="6">
        <v>4166</v>
      </c>
      <c r="M32" s="6" t="s">
        <v>637</v>
      </c>
      <c r="N32" s="6" t="b">
        <v>0</v>
      </c>
      <c r="O32" s="6">
        <v>2531</v>
      </c>
      <c r="P32" s="6" t="s">
        <v>638</v>
      </c>
      <c r="Q32" s="6" t="b">
        <v>0</v>
      </c>
      <c r="R32" s="6">
        <v>3023</v>
      </c>
      <c r="S32" s="6" t="s">
        <v>639</v>
      </c>
      <c r="T32" s="6" t="b">
        <v>0</v>
      </c>
      <c r="U32" s="6">
        <v>5690</v>
      </c>
      <c r="V32" s="6" t="s">
        <v>640</v>
      </c>
      <c r="W32" s="6" t="b">
        <v>0</v>
      </c>
    </row>
    <row r="33" spans="1:23">
      <c r="A33" s="6" t="s">
        <v>670</v>
      </c>
      <c r="B33" s="139">
        <v>45716.591666666667</v>
      </c>
      <c r="C33" s="6">
        <v>32</v>
      </c>
      <c r="D33" s="6" t="s">
        <v>634</v>
      </c>
      <c r="E33" s="6" t="s">
        <v>280</v>
      </c>
      <c r="F33" s="6">
        <v>5232</v>
      </c>
      <c r="G33" s="6" t="s">
        <v>635</v>
      </c>
      <c r="H33" s="6" t="b">
        <v>0</v>
      </c>
      <c r="I33" s="6">
        <v>5253</v>
      </c>
      <c r="J33" s="6" t="s">
        <v>636</v>
      </c>
      <c r="K33" s="6" t="b">
        <v>0</v>
      </c>
      <c r="L33" s="6">
        <v>2501</v>
      </c>
      <c r="M33" s="6" t="s">
        <v>637</v>
      </c>
      <c r="N33" s="6" t="b">
        <v>0</v>
      </c>
      <c r="O33" s="6">
        <v>7048</v>
      </c>
      <c r="P33" s="6" t="s">
        <v>638</v>
      </c>
      <c r="Q33" s="6" t="b">
        <v>0</v>
      </c>
      <c r="R33" s="6">
        <v>2383</v>
      </c>
      <c r="S33" s="6" t="s">
        <v>639</v>
      </c>
      <c r="T33" s="6" t="b">
        <v>0</v>
      </c>
      <c r="U33" s="6">
        <v>2513</v>
      </c>
      <c r="V33" s="6" t="s">
        <v>640</v>
      </c>
      <c r="W33" s="6" t="b">
        <v>0</v>
      </c>
    </row>
    <row r="34" spans="1:23">
      <c r="A34" s="6" t="s">
        <v>671</v>
      </c>
      <c r="B34" s="139">
        <v>45716.597222222219</v>
      </c>
      <c r="C34" s="6">
        <v>33</v>
      </c>
      <c r="D34" s="6" t="s">
        <v>634</v>
      </c>
      <c r="E34" s="6" t="s">
        <v>280</v>
      </c>
      <c r="F34" s="6">
        <v>2052</v>
      </c>
      <c r="G34" s="6" t="s">
        <v>635</v>
      </c>
      <c r="H34" s="6" t="b">
        <v>0</v>
      </c>
      <c r="I34" s="6">
        <v>4360</v>
      </c>
      <c r="J34" s="6" t="s">
        <v>636</v>
      </c>
      <c r="K34" s="6" t="b">
        <v>0</v>
      </c>
      <c r="L34" s="6">
        <v>2290</v>
      </c>
      <c r="M34" s="6" t="s">
        <v>637</v>
      </c>
      <c r="N34" s="6" t="b">
        <v>0</v>
      </c>
      <c r="O34" s="6">
        <v>6758</v>
      </c>
      <c r="P34" s="6" t="s">
        <v>638</v>
      </c>
      <c r="Q34" s="6" t="b">
        <v>0</v>
      </c>
      <c r="R34" s="6">
        <v>5339</v>
      </c>
      <c r="S34" s="6" t="s">
        <v>639</v>
      </c>
      <c r="T34" s="6" t="b">
        <v>0</v>
      </c>
      <c r="U34" s="6">
        <v>4230</v>
      </c>
      <c r="V34" s="6" t="s">
        <v>640</v>
      </c>
      <c r="W34" s="6" t="b">
        <v>0</v>
      </c>
    </row>
    <row r="35" spans="1:23">
      <c r="A35" s="6" t="s">
        <v>672</v>
      </c>
      <c r="B35" s="139">
        <v>45716.602777777778</v>
      </c>
      <c r="C35" s="6">
        <v>34</v>
      </c>
      <c r="D35" s="6" t="s">
        <v>634</v>
      </c>
      <c r="E35" s="6" t="s">
        <v>280</v>
      </c>
      <c r="F35" s="6">
        <v>2450</v>
      </c>
      <c r="G35" s="6" t="s">
        <v>635</v>
      </c>
      <c r="H35" s="6" t="b">
        <v>0</v>
      </c>
      <c r="I35" s="6">
        <v>6132</v>
      </c>
      <c r="J35" s="6" t="s">
        <v>636</v>
      </c>
      <c r="K35" s="6" t="b">
        <v>0</v>
      </c>
      <c r="L35" s="6">
        <v>7041</v>
      </c>
      <c r="M35" s="6" t="s">
        <v>637</v>
      </c>
      <c r="N35" s="6" t="b">
        <v>0</v>
      </c>
      <c r="O35" s="6">
        <v>6047</v>
      </c>
      <c r="P35" s="6" t="s">
        <v>638</v>
      </c>
      <c r="Q35" s="6" t="b">
        <v>0</v>
      </c>
      <c r="R35" s="6">
        <v>4215</v>
      </c>
      <c r="S35" s="6" t="s">
        <v>639</v>
      </c>
      <c r="T35" s="6" t="b">
        <v>0</v>
      </c>
      <c r="U35" s="6">
        <v>6420</v>
      </c>
      <c r="V35" s="6" t="s">
        <v>640</v>
      </c>
      <c r="W35" s="6" t="b">
        <v>0</v>
      </c>
    </row>
    <row r="36" spans="1:23">
      <c r="A36" s="6" t="s">
        <v>673</v>
      </c>
      <c r="B36" s="139">
        <v>45716.60833333333</v>
      </c>
      <c r="C36" s="6">
        <v>35</v>
      </c>
      <c r="D36" s="6" t="s">
        <v>634</v>
      </c>
      <c r="E36" s="6" t="s">
        <v>280</v>
      </c>
      <c r="F36" s="6">
        <v>1716</v>
      </c>
      <c r="G36" s="6" t="s">
        <v>635</v>
      </c>
      <c r="H36" s="6" t="b">
        <v>0</v>
      </c>
      <c r="I36" s="6">
        <v>2491</v>
      </c>
      <c r="J36" s="6" t="s">
        <v>636</v>
      </c>
      <c r="K36" s="6" t="b">
        <v>0</v>
      </c>
      <c r="L36" s="6">
        <v>3691</v>
      </c>
      <c r="M36" s="6" t="s">
        <v>637</v>
      </c>
      <c r="N36" s="6" t="b">
        <v>0</v>
      </c>
      <c r="O36" s="6">
        <v>3061</v>
      </c>
      <c r="P36" s="6" t="s">
        <v>638</v>
      </c>
      <c r="Q36" s="6" t="b">
        <v>0</v>
      </c>
      <c r="R36" s="6">
        <v>4593</v>
      </c>
      <c r="S36" s="6" t="s">
        <v>639</v>
      </c>
      <c r="T36" s="6" t="b">
        <v>0</v>
      </c>
      <c r="U36" s="6">
        <v>5913</v>
      </c>
      <c r="V36" s="6" t="s">
        <v>640</v>
      </c>
      <c r="W36" s="6" t="b">
        <v>0</v>
      </c>
    </row>
    <row r="37" spans="1:23">
      <c r="A37" s="6" t="s">
        <v>674</v>
      </c>
      <c r="B37" s="139">
        <v>45716.613888888889</v>
      </c>
      <c r="C37" s="6">
        <v>36</v>
      </c>
      <c r="D37" s="6" t="s">
        <v>634</v>
      </c>
      <c r="E37" s="6" t="s">
        <v>280</v>
      </c>
      <c r="F37" s="6">
        <v>2977</v>
      </c>
      <c r="G37" s="6" t="s">
        <v>635</v>
      </c>
      <c r="H37" s="6" t="b">
        <v>0</v>
      </c>
      <c r="I37" s="6">
        <v>4531</v>
      </c>
      <c r="J37" s="6" t="s">
        <v>636</v>
      </c>
      <c r="K37" s="6" t="b">
        <v>0</v>
      </c>
      <c r="L37" s="6">
        <v>1816</v>
      </c>
      <c r="M37" s="6" t="s">
        <v>637</v>
      </c>
      <c r="N37" s="6" t="b">
        <v>0</v>
      </c>
      <c r="O37" s="6">
        <v>3042</v>
      </c>
      <c r="P37" s="6" t="s">
        <v>638</v>
      </c>
      <c r="Q37" s="6" t="b">
        <v>0</v>
      </c>
      <c r="R37" s="6">
        <v>6044</v>
      </c>
      <c r="S37" s="6" t="s">
        <v>639</v>
      </c>
      <c r="T37" s="6" t="b">
        <v>0</v>
      </c>
      <c r="U37" s="6">
        <v>3298</v>
      </c>
      <c r="V37" s="6" t="s">
        <v>640</v>
      </c>
      <c r="W37" s="6" t="b">
        <v>0</v>
      </c>
    </row>
    <row r="38" spans="1:23">
      <c r="A38" s="6" t="s">
        <v>675</v>
      </c>
      <c r="B38" s="139">
        <v>45716.619444444441</v>
      </c>
      <c r="C38" s="6">
        <v>37</v>
      </c>
      <c r="D38" s="6" t="s">
        <v>634</v>
      </c>
      <c r="E38" s="6" t="s">
        <v>280</v>
      </c>
      <c r="F38" s="6">
        <v>5720</v>
      </c>
      <c r="G38" s="6" t="s">
        <v>635</v>
      </c>
      <c r="H38" s="6" t="b">
        <v>0</v>
      </c>
      <c r="I38" s="6">
        <v>1410</v>
      </c>
      <c r="J38" s="6" t="s">
        <v>636</v>
      </c>
      <c r="K38" s="6" t="b">
        <v>0</v>
      </c>
      <c r="L38" s="6">
        <v>5690</v>
      </c>
      <c r="M38" s="6" t="s">
        <v>637</v>
      </c>
      <c r="N38" s="6" t="b">
        <v>0</v>
      </c>
      <c r="O38" s="6">
        <v>525</v>
      </c>
      <c r="P38" s="6" t="s">
        <v>638</v>
      </c>
      <c r="Q38" s="6" t="b">
        <v>0</v>
      </c>
      <c r="R38" s="6">
        <v>3023</v>
      </c>
      <c r="S38" s="6" t="s">
        <v>639</v>
      </c>
      <c r="T38" s="6" t="b">
        <v>0</v>
      </c>
      <c r="U38" s="6">
        <v>2239</v>
      </c>
      <c r="V38" s="6" t="s">
        <v>640</v>
      </c>
      <c r="W38" s="6" t="b">
        <v>0</v>
      </c>
    </row>
    <row r="39" spans="1:23">
      <c r="A39" s="6" t="s">
        <v>676</v>
      </c>
      <c r="B39" s="139">
        <v>45716.625</v>
      </c>
      <c r="C39" s="6">
        <v>38</v>
      </c>
      <c r="D39" s="6" t="s">
        <v>634</v>
      </c>
      <c r="E39" s="6" t="s">
        <v>280</v>
      </c>
      <c r="F39" s="6">
        <v>4009</v>
      </c>
      <c r="G39" s="6" t="s">
        <v>635</v>
      </c>
      <c r="H39" s="6" t="b">
        <v>0</v>
      </c>
      <c r="I39" s="6">
        <v>3054</v>
      </c>
      <c r="J39" s="6" t="s">
        <v>636</v>
      </c>
      <c r="K39" s="6" t="b">
        <v>0</v>
      </c>
      <c r="L39" s="6">
        <v>4623</v>
      </c>
      <c r="M39" s="6" t="s">
        <v>637</v>
      </c>
      <c r="N39" s="6" t="b">
        <v>0</v>
      </c>
      <c r="O39" s="6">
        <v>10474</v>
      </c>
      <c r="P39" s="6" t="s">
        <v>638</v>
      </c>
      <c r="Q39" s="6" t="b">
        <v>0</v>
      </c>
      <c r="R39" s="6">
        <v>2240</v>
      </c>
      <c r="S39" s="6" t="s">
        <v>639</v>
      </c>
      <c r="T39" s="6" t="b">
        <v>0</v>
      </c>
      <c r="U39" s="6">
        <v>5253</v>
      </c>
      <c r="V39" s="6" t="s">
        <v>640</v>
      </c>
      <c r="W39" s="6" t="b">
        <v>0</v>
      </c>
    </row>
    <row r="40" spans="1:23">
      <c r="A40" s="6" t="s">
        <v>677</v>
      </c>
      <c r="B40" s="139">
        <v>45716.630555555559</v>
      </c>
      <c r="C40" s="6">
        <v>39</v>
      </c>
      <c r="D40" s="6" t="s">
        <v>634</v>
      </c>
      <c r="E40" s="6" t="s">
        <v>280</v>
      </c>
      <c r="F40" s="6">
        <v>112</v>
      </c>
      <c r="G40" s="6" t="s">
        <v>635</v>
      </c>
      <c r="H40" s="6" t="b">
        <v>0</v>
      </c>
      <c r="I40" s="6">
        <v>7021</v>
      </c>
      <c r="J40" s="6" t="s">
        <v>636</v>
      </c>
      <c r="K40" s="6" t="b">
        <v>0</v>
      </c>
      <c r="L40" s="6">
        <v>4360</v>
      </c>
      <c r="M40" s="6" t="s">
        <v>637</v>
      </c>
      <c r="N40" s="6" t="b">
        <v>0</v>
      </c>
      <c r="O40" s="6">
        <v>2383</v>
      </c>
      <c r="P40" s="6" t="s">
        <v>638</v>
      </c>
      <c r="Q40" s="6" t="b">
        <v>0</v>
      </c>
      <c r="R40" s="6">
        <v>2531</v>
      </c>
      <c r="S40" s="6" t="s">
        <v>639</v>
      </c>
      <c r="T40" s="6" t="b">
        <v>0</v>
      </c>
      <c r="U40" s="6">
        <v>2052</v>
      </c>
      <c r="V40" s="6" t="s">
        <v>640</v>
      </c>
      <c r="W40" s="6" t="b">
        <v>0</v>
      </c>
    </row>
    <row r="41" spans="1:23">
      <c r="A41" s="6" t="s">
        <v>678</v>
      </c>
      <c r="B41" s="139">
        <v>45716.636111111111</v>
      </c>
      <c r="C41" s="6">
        <v>40</v>
      </c>
      <c r="D41" s="6" t="s">
        <v>634</v>
      </c>
      <c r="E41" s="6" t="s">
        <v>280</v>
      </c>
      <c r="F41" s="6">
        <v>7041</v>
      </c>
      <c r="G41" s="6" t="s">
        <v>635</v>
      </c>
      <c r="H41" s="6" t="b">
        <v>0</v>
      </c>
      <c r="I41" s="6">
        <v>5232</v>
      </c>
      <c r="J41" s="6" t="s">
        <v>636</v>
      </c>
      <c r="K41" s="6" t="b">
        <v>0</v>
      </c>
      <c r="L41" s="6">
        <v>4230</v>
      </c>
      <c r="M41" s="6" t="s">
        <v>637</v>
      </c>
      <c r="N41" s="6" t="b">
        <v>0</v>
      </c>
      <c r="O41" s="6">
        <v>4418</v>
      </c>
      <c r="P41" s="6" t="s">
        <v>638</v>
      </c>
      <c r="Q41" s="6" t="b">
        <v>0</v>
      </c>
      <c r="R41" s="6">
        <v>2472</v>
      </c>
      <c r="S41" s="6" t="s">
        <v>639</v>
      </c>
      <c r="T41" s="6" t="b">
        <v>0</v>
      </c>
      <c r="U41" s="6">
        <v>3883</v>
      </c>
      <c r="V41" s="6" t="s">
        <v>640</v>
      </c>
      <c r="W41" s="6" t="b">
        <v>0</v>
      </c>
    </row>
    <row r="42" spans="1:23">
      <c r="A42" s="6" t="s">
        <v>679</v>
      </c>
      <c r="B42" s="139">
        <v>45716.64166666667</v>
      </c>
      <c r="C42" s="6">
        <v>41</v>
      </c>
      <c r="D42" s="6" t="s">
        <v>634</v>
      </c>
      <c r="E42" s="6" t="s">
        <v>280</v>
      </c>
      <c r="F42" s="6">
        <v>1716</v>
      </c>
      <c r="G42" s="6" t="s">
        <v>635</v>
      </c>
      <c r="H42" s="6" t="b">
        <v>0</v>
      </c>
      <c r="I42" s="6">
        <v>3061</v>
      </c>
      <c r="J42" s="6" t="s">
        <v>636</v>
      </c>
      <c r="K42" s="6" t="b">
        <v>0</v>
      </c>
      <c r="L42" s="6">
        <v>4215</v>
      </c>
      <c r="M42" s="6" t="s">
        <v>637</v>
      </c>
      <c r="N42" s="6" t="b">
        <v>0</v>
      </c>
      <c r="O42" s="6">
        <v>2290</v>
      </c>
      <c r="P42" s="6" t="s">
        <v>638</v>
      </c>
      <c r="Q42" s="6" t="b">
        <v>0</v>
      </c>
      <c r="R42" s="6">
        <v>2513</v>
      </c>
      <c r="S42" s="6" t="s">
        <v>639</v>
      </c>
      <c r="T42" s="6" t="b">
        <v>0</v>
      </c>
      <c r="U42" s="6">
        <v>10173</v>
      </c>
      <c r="V42" s="6" t="s">
        <v>640</v>
      </c>
      <c r="W42" s="6" t="b">
        <v>0</v>
      </c>
    </row>
    <row r="43" spans="1:23">
      <c r="A43" s="6" t="s">
        <v>680</v>
      </c>
      <c r="B43" s="139">
        <v>45716.647222222222</v>
      </c>
      <c r="C43" s="6">
        <v>42</v>
      </c>
      <c r="D43" s="6" t="s">
        <v>634</v>
      </c>
      <c r="E43" s="6" t="s">
        <v>280</v>
      </c>
      <c r="F43" s="6">
        <v>2450</v>
      </c>
      <c r="G43" s="6" t="s">
        <v>635</v>
      </c>
      <c r="H43" s="6" t="b">
        <v>0</v>
      </c>
      <c r="I43" s="6">
        <v>3042</v>
      </c>
      <c r="J43" s="6" t="s">
        <v>636</v>
      </c>
      <c r="K43" s="6" t="b">
        <v>0</v>
      </c>
      <c r="L43" s="6">
        <v>2977</v>
      </c>
      <c r="M43" s="6" t="s">
        <v>637</v>
      </c>
      <c r="N43" s="6" t="b">
        <v>0</v>
      </c>
      <c r="O43" s="6">
        <v>2177</v>
      </c>
      <c r="P43" s="6" t="s">
        <v>638</v>
      </c>
      <c r="Q43" s="6" t="b">
        <v>0</v>
      </c>
      <c r="R43" s="6">
        <v>3691</v>
      </c>
      <c r="S43" s="6" t="s">
        <v>639</v>
      </c>
      <c r="T43" s="6" t="b">
        <v>0</v>
      </c>
      <c r="U43" s="6">
        <v>3212</v>
      </c>
      <c r="V43" s="6" t="s">
        <v>640</v>
      </c>
      <c r="W43" s="6" t="b">
        <v>0</v>
      </c>
    </row>
    <row r="44" spans="1:23">
      <c r="A44" s="6" t="s">
        <v>681</v>
      </c>
      <c r="B44" s="139">
        <v>45716.652777777781</v>
      </c>
      <c r="C44" s="6">
        <v>43</v>
      </c>
      <c r="D44" s="6" t="s">
        <v>634</v>
      </c>
      <c r="E44" s="6" t="s">
        <v>280</v>
      </c>
      <c r="F44" s="6">
        <v>4593</v>
      </c>
      <c r="G44" s="6" t="s">
        <v>635</v>
      </c>
      <c r="H44" s="6" t="b">
        <v>0</v>
      </c>
      <c r="I44" s="6">
        <v>6758</v>
      </c>
      <c r="J44" s="6" t="s">
        <v>636</v>
      </c>
      <c r="K44" s="6" t="b">
        <v>0</v>
      </c>
      <c r="L44" s="6">
        <v>2501</v>
      </c>
      <c r="M44" s="6" t="s">
        <v>637</v>
      </c>
      <c r="N44" s="6" t="b">
        <v>0</v>
      </c>
      <c r="O44" s="6">
        <v>3298</v>
      </c>
      <c r="P44" s="6" t="s">
        <v>638</v>
      </c>
      <c r="Q44" s="6" t="b">
        <v>0</v>
      </c>
      <c r="R44" s="6">
        <v>6160</v>
      </c>
      <c r="S44" s="6" t="s">
        <v>639</v>
      </c>
      <c r="T44" s="6" t="b">
        <v>0</v>
      </c>
      <c r="U44" s="6">
        <v>4531</v>
      </c>
      <c r="V44" s="6" t="s">
        <v>640</v>
      </c>
      <c r="W44" s="6" t="b">
        <v>0</v>
      </c>
    </row>
    <row r="45" spans="1:23">
      <c r="A45" s="6" t="s">
        <v>682</v>
      </c>
      <c r="B45" s="139">
        <v>45716.658333333333</v>
      </c>
      <c r="C45" s="6">
        <v>44</v>
      </c>
      <c r="D45" s="6" t="s">
        <v>634</v>
      </c>
      <c r="E45" s="6" t="s">
        <v>280</v>
      </c>
      <c r="F45" s="6">
        <v>5339</v>
      </c>
      <c r="G45" s="6" t="s">
        <v>635</v>
      </c>
      <c r="H45" s="6" t="b">
        <v>0</v>
      </c>
      <c r="I45" s="6">
        <v>6132</v>
      </c>
      <c r="J45" s="6" t="s">
        <v>636</v>
      </c>
      <c r="K45" s="6" t="b">
        <v>0</v>
      </c>
      <c r="L45" s="6">
        <v>2512</v>
      </c>
      <c r="M45" s="6" t="s">
        <v>637</v>
      </c>
      <c r="N45" s="6" t="b">
        <v>0</v>
      </c>
      <c r="O45" s="6">
        <v>5913</v>
      </c>
      <c r="P45" s="6" t="s">
        <v>638</v>
      </c>
      <c r="Q45" s="6" t="b">
        <v>0</v>
      </c>
      <c r="R45" s="6">
        <v>6044</v>
      </c>
      <c r="S45" s="6" t="s">
        <v>639</v>
      </c>
      <c r="T45" s="6" t="b">
        <v>0</v>
      </c>
      <c r="U45" s="6">
        <v>2491</v>
      </c>
      <c r="V45" s="6" t="s">
        <v>640</v>
      </c>
      <c r="W45" s="6" t="b">
        <v>0</v>
      </c>
    </row>
    <row r="46" spans="1:23">
      <c r="A46" s="6" t="s">
        <v>683</v>
      </c>
      <c r="B46" s="139">
        <v>45716.663888888892</v>
      </c>
      <c r="C46" s="6">
        <v>45</v>
      </c>
      <c r="D46" s="6" t="s">
        <v>634</v>
      </c>
      <c r="E46" s="6" t="s">
        <v>280</v>
      </c>
      <c r="F46" s="6">
        <v>4166</v>
      </c>
      <c r="G46" s="6" t="s">
        <v>635</v>
      </c>
      <c r="H46" s="6" t="b">
        <v>0</v>
      </c>
      <c r="I46" s="6">
        <v>6047</v>
      </c>
      <c r="J46" s="6" t="s">
        <v>636</v>
      </c>
      <c r="K46" s="6" t="b">
        <v>0</v>
      </c>
      <c r="L46" s="6">
        <v>7048</v>
      </c>
      <c r="M46" s="6" t="s">
        <v>637</v>
      </c>
      <c r="N46" s="6" t="b">
        <v>0</v>
      </c>
      <c r="O46" s="6">
        <v>111</v>
      </c>
      <c r="P46" s="6" t="s">
        <v>638</v>
      </c>
      <c r="Q46" s="6" t="b">
        <v>0</v>
      </c>
      <c r="R46" s="6">
        <v>1816</v>
      </c>
      <c r="S46" s="6" t="s">
        <v>639</v>
      </c>
      <c r="T46" s="6" t="b">
        <v>0</v>
      </c>
      <c r="U46" s="6">
        <v>6420</v>
      </c>
      <c r="V46" s="6" t="s">
        <v>640</v>
      </c>
      <c r="W46" s="6" t="b">
        <v>0</v>
      </c>
    </row>
    <row r="47" spans="1:23">
      <c r="A47" s="6" t="s">
        <v>684</v>
      </c>
      <c r="B47" s="139">
        <v>45716.669444444444</v>
      </c>
      <c r="C47" s="6">
        <v>46</v>
      </c>
      <c r="D47" s="6" t="s">
        <v>634</v>
      </c>
      <c r="E47" s="6" t="s">
        <v>280</v>
      </c>
      <c r="F47" s="6">
        <v>2240</v>
      </c>
      <c r="G47" s="6" t="s">
        <v>635</v>
      </c>
      <c r="H47" s="6" t="b">
        <v>0</v>
      </c>
      <c r="I47" s="6">
        <v>5690</v>
      </c>
      <c r="J47" s="6" t="s">
        <v>636</v>
      </c>
      <c r="K47" s="6" t="b">
        <v>0</v>
      </c>
      <c r="L47" s="6">
        <v>3054</v>
      </c>
      <c r="M47" s="6" t="s">
        <v>637</v>
      </c>
      <c r="N47" s="6" t="b">
        <v>0</v>
      </c>
      <c r="O47" s="6">
        <v>4360</v>
      </c>
      <c r="P47" s="6" t="s">
        <v>638</v>
      </c>
      <c r="Q47" s="6" t="b">
        <v>0</v>
      </c>
      <c r="R47" s="6">
        <v>5720</v>
      </c>
      <c r="S47" s="6" t="s">
        <v>639</v>
      </c>
      <c r="T47" s="6" t="b">
        <v>0</v>
      </c>
      <c r="U47" s="6">
        <v>2531</v>
      </c>
      <c r="V47" s="6" t="s">
        <v>640</v>
      </c>
      <c r="W47" s="6" t="b">
        <v>0</v>
      </c>
    </row>
    <row r="48" spans="1:23">
      <c r="A48" s="6" t="s">
        <v>685</v>
      </c>
      <c r="B48" s="139">
        <v>45716.675000000003</v>
      </c>
      <c r="C48" s="6">
        <v>47</v>
      </c>
      <c r="D48" s="6" t="s">
        <v>634</v>
      </c>
      <c r="E48" s="6" t="s">
        <v>280</v>
      </c>
      <c r="F48" s="6">
        <v>2052</v>
      </c>
      <c r="G48" s="6" t="s">
        <v>635</v>
      </c>
      <c r="H48" s="6" t="b">
        <v>0</v>
      </c>
      <c r="I48" s="6">
        <v>4009</v>
      </c>
      <c r="J48" s="6" t="s">
        <v>636</v>
      </c>
      <c r="K48" s="6" t="b">
        <v>0</v>
      </c>
      <c r="L48" s="6">
        <v>2472</v>
      </c>
      <c r="M48" s="6" t="s">
        <v>637</v>
      </c>
      <c r="N48" s="6" t="b">
        <v>0</v>
      </c>
      <c r="O48" s="6">
        <v>10173</v>
      </c>
      <c r="P48" s="6" t="s">
        <v>638</v>
      </c>
      <c r="Q48" s="6" t="b">
        <v>0</v>
      </c>
      <c r="R48" s="6">
        <v>4418</v>
      </c>
      <c r="S48" s="6" t="s">
        <v>639</v>
      </c>
      <c r="T48" s="6" t="b">
        <v>0</v>
      </c>
      <c r="U48" s="6">
        <v>2383</v>
      </c>
      <c r="V48" s="6" t="s">
        <v>640</v>
      </c>
      <c r="W48" s="6" t="b">
        <v>0</v>
      </c>
    </row>
    <row r="49" spans="1:23">
      <c r="A49" s="6" t="s">
        <v>686</v>
      </c>
      <c r="B49" s="139">
        <v>45716.680555555555</v>
      </c>
      <c r="C49" s="6">
        <v>48</v>
      </c>
      <c r="D49" s="6" t="s">
        <v>634</v>
      </c>
      <c r="E49" s="6" t="s">
        <v>280</v>
      </c>
      <c r="F49" s="6">
        <v>2290</v>
      </c>
      <c r="G49" s="6" t="s">
        <v>635</v>
      </c>
      <c r="H49" s="6" t="b">
        <v>0</v>
      </c>
      <c r="I49" s="6">
        <v>5253</v>
      </c>
      <c r="J49" s="6" t="s">
        <v>636</v>
      </c>
      <c r="K49" s="6" t="b">
        <v>0</v>
      </c>
      <c r="L49" s="6">
        <v>2450</v>
      </c>
      <c r="M49" s="6" t="s">
        <v>637</v>
      </c>
      <c r="N49" s="6" t="b">
        <v>0</v>
      </c>
      <c r="O49" s="6">
        <v>3883</v>
      </c>
      <c r="P49" s="6" t="s">
        <v>638</v>
      </c>
      <c r="Q49" s="6" t="b">
        <v>0</v>
      </c>
      <c r="R49" s="6">
        <v>3042</v>
      </c>
      <c r="S49" s="6" t="s">
        <v>639</v>
      </c>
      <c r="T49" s="6" t="b">
        <v>0</v>
      </c>
      <c r="U49" s="6">
        <v>1410</v>
      </c>
      <c r="V49" s="6" t="s">
        <v>640</v>
      </c>
      <c r="W49" s="6" t="b">
        <v>0</v>
      </c>
    </row>
    <row r="50" spans="1:23">
      <c r="A50" s="6" t="s">
        <v>687</v>
      </c>
      <c r="B50" s="139">
        <v>45716.686111111114</v>
      </c>
      <c r="C50" s="6">
        <v>49</v>
      </c>
      <c r="D50" s="6" t="s">
        <v>634</v>
      </c>
      <c r="E50" s="6" t="s">
        <v>280</v>
      </c>
      <c r="F50" s="6">
        <v>2501</v>
      </c>
      <c r="G50" s="6" t="s">
        <v>635</v>
      </c>
      <c r="H50" s="6" t="b">
        <v>0</v>
      </c>
      <c r="I50" s="6">
        <v>2239</v>
      </c>
      <c r="J50" s="6" t="s">
        <v>636</v>
      </c>
      <c r="K50" s="6" t="b">
        <v>0</v>
      </c>
      <c r="L50" s="6">
        <v>10474</v>
      </c>
      <c r="M50" s="6" t="s">
        <v>637</v>
      </c>
      <c r="N50" s="6" t="b">
        <v>0</v>
      </c>
      <c r="O50" s="6">
        <v>4531</v>
      </c>
      <c r="P50" s="6" t="s">
        <v>638</v>
      </c>
      <c r="Q50" s="6" t="b">
        <v>0</v>
      </c>
      <c r="R50" s="6">
        <v>4593</v>
      </c>
      <c r="S50" s="6" t="s">
        <v>639</v>
      </c>
      <c r="T50" s="6" t="b">
        <v>0</v>
      </c>
      <c r="U50" s="6">
        <v>1716</v>
      </c>
      <c r="V50" s="6" t="s">
        <v>640</v>
      </c>
      <c r="W50" s="6" t="b">
        <v>0</v>
      </c>
    </row>
    <row r="51" spans="1:23">
      <c r="A51" s="6" t="s">
        <v>688</v>
      </c>
      <c r="B51" s="139">
        <v>45716.691666666666</v>
      </c>
      <c r="C51" s="6">
        <v>50</v>
      </c>
      <c r="D51" s="6" t="s">
        <v>634</v>
      </c>
      <c r="E51" s="6" t="s">
        <v>280</v>
      </c>
      <c r="F51" s="6">
        <v>2491</v>
      </c>
      <c r="G51" s="6" t="s">
        <v>635</v>
      </c>
      <c r="H51" s="6" t="b">
        <v>0</v>
      </c>
      <c r="I51" s="6">
        <v>2512</v>
      </c>
      <c r="J51" s="6" t="s">
        <v>636</v>
      </c>
      <c r="K51" s="6" t="b">
        <v>0</v>
      </c>
      <c r="L51" s="6">
        <v>2177</v>
      </c>
      <c r="M51" s="6" t="s">
        <v>637</v>
      </c>
      <c r="N51" s="6" t="b">
        <v>0</v>
      </c>
      <c r="O51" s="6">
        <v>2513</v>
      </c>
      <c r="P51" s="6" t="s">
        <v>638</v>
      </c>
      <c r="Q51" s="6" t="b">
        <v>0</v>
      </c>
      <c r="R51" s="6">
        <v>6160</v>
      </c>
      <c r="S51" s="6" t="s">
        <v>639</v>
      </c>
      <c r="T51" s="6" t="b">
        <v>0</v>
      </c>
      <c r="U51" s="6">
        <v>7041</v>
      </c>
      <c r="V51" s="6" t="s">
        <v>640</v>
      </c>
      <c r="W51" s="6" t="b">
        <v>0</v>
      </c>
    </row>
    <row r="52" spans="1:23">
      <c r="A52" s="6" t="s">
        <v>689</v>
      </c>
      <c r="B52" s="139">
        <v>45716.697222222225</v>
      </c>
      <c r="C52" s="6">
        <v>51</v>
      </c>
      <c r="D52" s="6" t="s">
        <v>634</v>
      </c>
      <c r="E52" s="6" t="s">
        <v>280</v>
      </c>
      <c r="F52" s="6">
        <v>1816</v>
      </c>
      <c r="G52" s="6" t="s">
        <v>635</v>
      </c>
      <c r="H52" s="6" t="b">
        <v>0</v>
      </c>
      <c r="I52" s="6">
        <v>3212</v>
      </c>
      <c r="J52" s="6" t="s">
        <v>636</v>
      </c>
      <c r="K52" s="6" t="b">
        <v>0</v>
      </c>
      <c r="L52" s="6">
        <v>3298</v>
      </c>
      <c r="M52" s="6" t="s">
        <v>637</v>
      </c>
      <c r="N52" s="6" t="b">
        <v>0</v>
      </c>
      <c r="O52" s="6">
        <v>6420</v>
      </c>
      <c r="P52" s="6" t="s">
        <v>638</v>
      </c>
      <c r="Q52" s="6" t="b">
        <v>0</v>
      </c>
      <c r="R52" s="6">
        <v>3061</v>
      </c>
      <c r="S52" s="6" t="s">
        <v>639</v>
      </c>
      <c r="T52" s="6" t="b">
        <v>0</v>
      </c>
      <c r="U52" s="6">
        <v>5232</v>
      </c>
      <c r="V52" s="6" t="s">
        <v>640</v>
      </c>
      <c r="W52" s="6" t="b">
        <v>0</v>
      </c>
    </row>
    <row r="53" spans="1:23">
      <c r="A53" s="6" t="s">
        <v>690</v>
      </c>
      <c r="B53" s="139">
        <v>45716.702777777777</v>
      </c>
      <c r="C53" s="6">
        <v>52</v>
      </c>
      <c r="D53" s="6" t="s">
        <v>634</v>
      </c>
      <c r="E53" s="6" t="s">
        <v>280</v>
      </c>
      <c r="F53" s="6">
        <v>7021</v>
      </c>
      <c r="G53" s="6" t="s">
        <v>635</v>
      </c>
      <c r="H53" s="6" t="b">
        <v>0</v>
      </c>
      <c r="I53" s="6">
        <v>3691</v>
      </c>
      <c r="J53" s="6" t="s">
        <v>636</v>
      </c>
      <c r="K53" s="6" t="b">
        <v>0</v>
      </c>
      <c r="L53" s="6">
        <v>6758</v>
      </c>
      <c r="M53" s="6" t="s">
        <v>637</v>
      </c>
      <c r="N53" s="6" t="b">
        <v>0</v>
      </c>
      <c r="O53" s="6">
        <v>6132</v>
      </c>
      <c r="P53" s="6" t="s">
        <v>638</v>
      </c>
      <c r="Q53" s="6" t="b">
        <v>0</v>
      </c>
      <c r="R53" s="6">
        <v>7048</v>
      </c>
      <c r="S53" s="6" t="s">
        <v>639</v>
      </c>
      <c r="T53" s="6" t="b">
        <v>0</v>
      </c>
      <c r="U53" s="6">
        <v>111</v>
      </c>
      <c r="V53" s="6" t="s">
        <v>640</v>
      </c>
      <c r="W53" s="6" t="b">
        <v>0</v>
      </c>
    </row>
    <row r="54" spans="1:23">
      <c r="A54" s="6" t="s">
        <v>691</v>
      </c>
      <c r="B54" s="139">
        <v>45716.708333333336</v>
      </c>
      <c r="C54" s="6">
        <v>53</v>
      </c>
      <c r="D54" s="6" t="s">
        <v>634</v>
      </c>
      <c r="E54" s="6" t="s">
        <v>280</v>
      </c>
      <c r="F54" s="6">
        <v>5913</v>
      </c>
      <c r="G54" s="6" t="s">
        <v>635</v>
      </c>
      <c r="H54" s="6" t="b">
        <v>0</v>
      </c>
      <c r="I54" s="6">
        <v>4230</v>
      </c>
      <c r="J54" s="6" t="s">
        <v>636</v>
      </c>
      <c r="K54" s="6" t="b">
        <v>0</v>
      </c>
      <c r="L54" s="6">
        <v>6047</v>
      </c>
      <c r="M54" s="6" t="s">
        <v>637</v>
      </c>
      <c r="N54" s="6" t="b">
        <v>0</v>
      </c>
      <c r="O54" s="6">
        <v>2977</v>
      </c>
      <c r="P54" s="6" t="s">
        <v>638</v>
      </c>
      <c r="Q54" s="6" t="b">
        <v>0</v>
      </c>
      <c r="R54" s="6">
        <v>4166</v>
      </c>
      <c r="S54" s="6" t="s">
        <v>639</v>
      </c>
      <c r="T54" s="6" t="b">
        <v>0</v>
      </c>
      <c r="U54" s="6">
        <v>4623</v>
      </c>
      <c r="V54" s="6" t="s">
        <v>640</v>
      </c>
      <c r="W54" s="6" t="b">
        <v>0</v>
      </c>
    </row>
    <row r="55" spans="1:23">
      <c r="A55" s="6" t="s">
        <v>692</v>
      </c>
      <c r="B55" s="139">
        <v>45716.713888888888</v>
      </c>
      <c r="C55" s="6">
        <v>54</v>
      </c>
      <c r="D55" s="6" t="s">
        <v>634</v>
      </c>
      <c r="E55" s="6" t="s">
        <v>280</v>
      </c>
      <c r="F55" s="6">
        <v>3023</v>
      </c>
      <c r="G55" s="6" t="s">
        <v>635</v>
      </c>
      <c r="H55" s="6" t="b">
        <v>0</v>
      </c>
      <c r="I55" s="6">
        <v>5339</v>
      </c>
      <c r="J55" s="6" t="s">
        <v>636</v>
      </c>
      <c r="K55" s="6" t="b">
        <v>0</v>
      </c>
      <c r="L55" s="6">
        <v>6044</v>
      </c>
      <c r="M55" s="6" t="s">
        <v>637</v>
      </c>
      <c r="N55" s="6" t="b">
        <v>0</v>
      </c>
      <c r="O55" s="6">
        <v>4215</v>
      </c>
      <c r="P55" s="6" t="s">
        <v>638</v>
      </c>
      <c r="Q55" s="6" t="b">
        <v>0</v>
      </c>
      <c r="R55" s="6">
        <v>112</v>
      </c>
      <c r="S55" s="6" t="s">
        <v>639</v>
      </c>
      <c r="T55" s="6" t="b">
        <v>0</v>
      </c>
      <c r="U55" s="6">
        <v>525</v>
      </c>
      <c r="V55" s="6" t="s">
        <v>640</v>
      </c>
      <c r="W55" s="6" t="b">
        <v>0</v>
      </c>
    </row>
    <row r="56" spans="1:23">
      <c r="A56" s="6" t="s">
        <v>693</v>
      </c>
      <c r="B56" s="139">
        <v>45716.719444444447</v>
      </c>
      <c r="C56" s="6">
        <v>55</v>
      </c>
      <c r="D56" s="6" t="s">
        <v>634</v>
      </c>
      <c r="E56" s="6" t="s">
        <v>280</v>
      </c>
      <c r="F56" s="6">
        <v>4531</v>
      </c>
      <c r="G56" s="6" t="s">
        <v>635</v>
      </c>
      <c r="H56" s="6" t="b">
        <v>0</v>
      </c>
      <c r="I56" s="6">
        <v>2531</v>
      </c>
      <c r="J56" s="6" t="s">
        <v>636</v>
      </c>
      <c r="K56" s="6" t="b">
        <v>0</v>
      </c>
      <c r="L56" s="6">
        <v>1410</v>
      </c>
      <c r="M56" s="6" t="s">
        <v>637</v>
      </c>
      <c r="N56" s="6" t="b">
        <v>0</v>
      </c>
      <c r="O56" s="6">
        <v>3883</v>
      </c>
      <c r="P56" s="6" t="s">
        <v>638</v>
      </c>
      <c r="Q56" s="6" t="b">
        <v>0</v>
      </c>
      <c r="R56" s="6">
        <v>2052</v>
      </c>
      <c r="S56" s="6" t="s">
        <v>639</v>
      </c>
      <c r="T56" s="6" t="b">
        <v>0</v>
      </c>
      <c r="U56" s="6">
        <v>1716</v>
      </c>
      <c r="V56" s="6" t="s">
        <v>640</v>
      </c>
      <c r="W56" s="6" t="b">
        <v>0</v>
      </c>
    </row>
    <row r="57" spans="1:23">
      <c r="A57" s="6" t="s">
        <v>694</v>
      </c>
      <c r="B57" s="139">
        <v>45716.724999999999</v>
      </c>
      <c r="C57" s="6">
        <v>56</v>
      </c>
      <c r="D57" s="6" t="s">
        <v>634</v>
      </c>
      <c r="E57" s="6" t="s">
        <v>280</v>
      </c>
      <c r="F57" s="6">
        <v>10173</v>
      </c>
      <c r="G57" s="6" t="s">
        <v>635</v>
      </c>
      <c r="H57" s="6" t="b">
        <v>0</v>
      </c>
      <c r="I57" s="6">
        <v>4360</v>
      </c>
      <c r="J57" s="6" t="s">
        <v>636</v>
      </c>
      <c r="K57" s="6" t="b">
        <v>0</v>
      </c>
      <c r="L57" s="6">
        <v>4009</v>
      </c>
      <c r="M57" s="6" t="s">
        <v>637</v>
      </c>
      <c r="N57" s="6" t="b">
        <v>0</v>
      </c>
      <c r="O57" s="6">
        <v>4593</v>
      </c>
      <c r="P57" s="6" t="s">
        <v>638</v>
      </c>
      <c r="Q57" s="6" t="b">
        <v>0</v>
      </c>
      <c r="R57" s="6">
        <v>2177</v>
      </c>
      <c r="S57" s="6" t="s">
        <v>639</v>
      </c>
      <c r="T57" s="6" t="b">
        <v>0</v>
      </c>
      <c r="U57" s="6">
        <v>2450</v>
      </c>
      <c r="V57" s="6" t="s">
        <v>640</v>
      </c>
      <c r="W57" s="6" t="b">
        <v>0</v>
      </c>
    </row>
    <row r="58" spans="1:23">
      <c r="A58" s="6" t="s">
        <v>695</v>
      </c>
      <c r="B58" s="139">
        <v>45716.730555555558</v>
      </c>
      <c r="C58" s="6">
        <v>57</v>
      </c>
      <c r="D58" s="6" t="s">
        <v>634</v>
      </c>
      <c r="E58" s="6" t="s">
        <v>280</v>
      </c>
      <c r="F58" s="6">
        <v>5690</v>
      </c>
      <c r="G58" s="6" t="s">
        <v>635</v>
      </c>
      <c r="H58" s="6" t="b">
        <v>0</v>
      </c>
      <c r="I58" s="6">
        <v>2512</v>
      </c>
      <c r="J58" s="6" t="s">
        <v>636</v>
      </c>
      <c r="K58" s="6" t="b">
        <v>0</v>
      </c>
      <c r="L58" s="6">
        <v>3042</v>
      </c>
      <c r="M58" s="6" t="s">
        <v>637</v>
      </c>
      <c r="N58" s="6" t="b">
        <v>0</v>
      </c>
      <c r="O58" s="6">
        <v>2472</v>
      </c>
      <c r="P58" s="6" t="s">
        <v>638</v>
      </c>
      <c r="Q58" s="6" t="b">
        <v>0</v>
      </c>
      <c r="R58" s="6">
        <v>10474</v>
      </c>
      <c r="S58" s="6" t="s">
        <v>639</v>
      </c>
      <c r="T58" s="6" t="b">
        <v>0</v>
      </c>
      <c r="U58" s="6">
        <v>5232</v>
      </c>
      <c r="V58" s="6" t="s">
        <v>640</v>
      </c>
      <c r="W58" s="6" t="b">
        <v>0</v>
      </c>
    </row>
    <row r="59" spans="1:23">
      <c r="A59" s="6" t="s">
        <v>696</v>
      </c>
      <c r="B59" s="139">
        <v>45716.736111111109</v>
      </c>
      <c r="C59" s="6">
        <v>58</v>
      </c>
      <c r="D59" s="6" t="s">
        <v>634</v>
      </c>
      <c r="E59" s="6" t="s">
        <v>280</v>
      </c>
      <c r="F59" s="6">
        <v>3054</v>
      </c>
      <c r="G59" s="6" t="s">
        <v>635</v>
      </c>
      <c r="H59" s="6" t="b">
        <v>0</v>
      </c>
      <c r="I59" s="6">
        <v>6420</v>
      </c>
      <c r="J59" s="6" t="s">
        <v>636</v>
      </c>
      <c r="K59" s="6" t="b">
        <v>0</v>
      </c>
      <c r="L59" s="6">
        <v>2491</v>
      </c>
      <c r="M59" s="6" t="s">
        <v>637</v>
      </c>
      <c r="N59" s="6" t="b">
        <v>0</v>
      </c>
      <c r="O59" s="6">
        <v>2501</v>
      </c>
      <c r="P59" s="6" t="s">
        <v>638</v>
      </c>
      <c r="Q59" s="6" t="b">
        <v>0</v>
      </c>
      <c r="R59" s="6">
        <v>111</v>
      </c>
      <c r="S59" s="6" t="s">
        <v>639</v>
      </c>
      <c r="T59" s="6" t="b">
        <v>0</v>
      </c>
      <c r="U59" s="6">
        <v>7021</v>
      </c>
      <c r="V59" s="6" t="s">
        <v>640</v>
      </c>
      <c r="W59" s="6" t="b">
        <v>0</v>
      </c>
    </row>
    <row r="60" spans="1:23">
      <c r="A60" s="6" t="s">
        <v>697</v>
      </c>
      <c r="B60" s="139">
        <v>45717.368055555555</v>
      </c>
      <c r="C60" s="6">
        <v>59</v>
      </c>
      <c r="D60" s="6" t="s">
        <v>634</v>
      </c>
      <c r="E60" s="6" t="s">
        <v>280</v>
      </c>
      <c r="F60" s="6">
        <v>2239</v>
      </c>
      <c r="G60" s="6" t="s">
        <v>635</v>
      </c>
      <c r="H60" s="6" t="b">
        <v>0</v>
      </c>
      <c r="I60" s="6">
        <v>2513</v>
      </c>
      <c r="J60" s="6" t="s">
        <v>636</v>
      </c>
      <c r="K60" s="6" t="b">
        <v>0</v>
      </c>
      <c r="L60" s="6">
        <v>1816</v>
      </c>
      <c r="M60" s="6" t="s">
        <v>637</v>
      </c>
      <c r="N60" s="6" t="b">
        <v>0</v>
      </c>
      <c r="O60" s="6">
        <v>2290</v>
      </c>
      <c r="P60" s="6" t="s">
        <v>638</v>
      </c>
      <c r="Q60" s="6" t="b">
        <v>0</v>
      </c>
      <c r="R60" s="6">
        <v>2977</v>
      </c>
      <c r="S60" s="6" t="s">
        <v>639</v>
      </c>
      <c r="T60" s="6" t="b">
        <v>0</v>
      </c>
      <c r="U60" s="6">
        <v>6132</v>
      </c>
      <c r="V60" s="6" t="s">
        <v>640</v>
      </c>
      <c r="W60" s="6" t="b">
        <v>0</v>
      </c>
    </row>
    <row r="61" spans="1:23">
      <c r="A61" s="6" t="s">
        <v>698</v>
      </c>
      <c r="B61" s="139">
        <v>45717.373611111114</v>
      </c>
      <c r="C61" s="6">
        <v>60</v>
      </c>
      <c r="D61" s="6" t="s">
        <v>634</v>
      </c>
      <c r="E61" s="6" t="s">
        <v>280</v>
      </c>
      <c r="F61" s="6">
        <v>4230</v>
      </c>
      <c r="G61" s="6" t="s">
        <v>635</v>
      </c>
      <c r="H61" s="6" t="b">
        <v>0</v>
      </c>
      <c r="I61" s="6">
        <v>7048</v>
      </c>
      <c r="J61" s="6" t="s">
        <v>636</v>
      </c>
      <c r="K61" s="6" t="b">
        <v>0</v>
      </c>
      <c r="L61" s="6">
        <v>3061</v>
      </c>
      <c r="M61" s="6" t="s">
        <v>637</v>
      </c>
      <c r="N61" s="6" t="b">
        <v>0</v>
      </c>
      <c r="O61" s="6">
        <v>6160</v>
      </c>
      <c r="P61" s="6" t="s">
        <v>638</v>
      </c>
      <c r="Q61" s="6" t="b">
        <v>0</v>
      </c>
      <c r="R61" s="6">
        <v>112</v>
      </c>
      <c r="S61" s="6" t="s">
        <v>639</v>
      </c>
      <c r="T61" s="6" t="b">
        <v>0</v>
      </c>
      <c r="U61" s="6">
        <v>3023</v>
      </c>
      <c r="V61" s="6" t="s">
        <v>640</v>
      </c>
      <c r="W61" s="6" t="b">
        <v>0</v>
      </c>
    </row>
    <row r="62" spans="1:23">
      <c r="A62" s="6" t="s">
        <v>699</v>
      </c>
      <c r="B62" s="139">
        <v>45717.379166666666</v>
      </c>
      <c r="C62" s="6">
        <v>61</v>
      </c>
      <c r="D62" s="6" t="s">
        <v>634</v>
      </c>
      <c r="E62" s="6" t="s">
        <v>280</v>
      </c>
      <c r="F62" s="6">
        <v>3298</v>
      </c>
      <c r="G62" s="6" t="s">
        <v>635</v>
      </c>
      <c r="H62" s="6" t="b">
        <v>0</v>
      </c>
      <c r="I62" s="6">
        <v>525</v>
      </c>
      <c r="J62" s="6" t="s">
        <v>636</v>
      </c>
      <c r="K62" s="6" t="b">
        <v>0</v>
      </c>
      <c r="L62" s="6">
        <v>2240</v>
      </c>
      <c r="M62" s="6" t="s">
        <v>637</v>
      </c>
      <c r="N62" s="6" t="b">
        <v>0</v>
      </c>
      <c r="O62" s="6">
        <v>6047</v>
      </c>
      <c r="P62" s="6" t="s">
        <v>638</v>
      </c>
      <c r="Q62" s="6" t="b">
        <v>0</v>
      </c>
      <c r="R62" s="6">
        <v>4418</v>
      </c>
      <c r="S62" s="6" t="s">
        <v>639</v>
      </c>
      <c r="T62" s="6" t="b">
        <v>0</v>
      </c>
      <c r="U62" s="6">
        <v>3691</v>
      </c>
      <c r="V62" s="6" t="s">
        <v>640</v>
      </c>
      <c r="W62" s="6" t="b">
        <v>0</v>
      </c>
    </row>
    <row r="63" spans="1:23">
      <c r="A63" s="6" t="s">
        <v>700</v>
      </c>
      <c r="B63" s="139">
        <v>45717.384722222225</v>
      </c>
      <c r="C63" s="6">
        <v>62</v>
      </c>
      <c r="D63" s="6" t="s">
        <v>634</v>
      </c>
      <c r="E63" s="6" t="s">
        <v>280</v>
      </c>
      <c r="F63" s="6">
        <v>6758</v>
      </c>
      <c r="G63" s="6" t="s">
        <v>635</v>
      </c>
      <c r="H63" s="6" t="b">
        <v>0</v>
      </c>
      <c r="I63" s="6">
        <v>2383</v>
      </c>
      <c r="J63" s="6" t="s">
        <v>636</v>
      </c>
      <c r="K63" s="6" t="b">
        <v>0</v>
      </c>
      <c r="L63" s="6">
        <v>4623</v>
      </c>
      <c r="M63" s="6" t="s">
        <v>637</v>
      </c>
      <c r="N63" s="6" t="b">
        <v>0</v>
      </c>
      <c r="O63" s="6">
        <v>4215</v>
      </c>
      <c r="P63" s="6" t="s">
        <v>638</v>
      </c>
      <c r="Q63" s="6" t="b">
        <v>0</v>
      </c>
      <c r="R63" s="6">
        <v>4166</v>
      </c>
      <c r="S63" s="6" t="s">
        <v>639</v>
      </c>
      <c r="T63" s="6" t="b">
        <v>0</v>
      </c>
      <c r="U63" s="6">
        <v>5339</v>
      </c>
      <c r="V63" s="6" t="s">
        <v>640</v>
      </c>
      <c r="W63" s="6" t="b">
        <v>0</v>
      </c>
    </row>
    <row r="64" spans="1:23">
      <c r="A64" s="6" t="s">
        <v>701</v>
      </c>
      <c r="B64" s="139">
        <v>45717.390277777777</v>
      </c>
      <c r="C64" s="6">
        <v>63</v>
      </c>
      <c r="D64" s="6" t="s">
        <v>634</v>
      </c>
      <c r="E64" s="6" t="s">
        <v>280</v>
      </c>
      <c r="F64" s="6">
        <v>6044</v>
      </c>
      <c r="G64" s="6" t="s">
        <v>635</v>
      </c>
      <c r="H64" s="6" t="b">
        <v>0</v>
      </c>
      <c r="I64" s="6">
        <v>7041</v>
      </c>
      <c r="J64" s="6" t="s">
        <v>636</v>
      </c>
      <c r="K64" s="6" t="b">
        <v>0</v>
      </c>
      <c r="L64" s="6">
        <v>5720</v>
      </c>
      <c r="M64" s="6" t="s">
        <v>637</v>
      </c>
      <c r="N64" s="6" t="b">
        <v>0</v>
      </c>
      <c r="O64" s="6">
        <v>5253</v>
      </c>
      <c r="P64" s="6" t="s">
        <v>638</v>
      </c>
      <c r="Q64" s="6" t="b">
        <v>0</v>
      </c>
      <c r="R64" s="6">
        <v>5913</v>
      </c>
      <c r="S64" s="6" t="s">
        <v>639</v>
      </c>
      <c r="T64" s="6" t="b">
        <v>0</v>
      </c>
      <c r="U64" s="6">
        <v>3212</v>
      </c>
      <c r="V64" s="6" t="s">
        <v>640</v>
      </c>
      <c r="W64" s="6" t="b">
        <v>0</v>
      </c>
    </row>
    <row r="65" spans="1:23">
      <c r="A65" s="6" t="s">
        <v>702</v>
      </c>
      <c r="B65" s="139">
        <v>45717.395833333336</v>
      </c>
      <c r="C65" s="6">
        <v>64</v>
      </c>
      <c r="D65" s="6" t="s">
        <v>634</v>
      </c>
      <c r="E65" s="6" t="s">
        <v>280</v>
      </c>
      <c r="F65" s="6">
        <v>6420</v>
      </c>
      <c r="G65" s="6" t="s">
        <v>635</v>
      </c>
      <c r="H65" s="6" t="b">
        <v>0</v>
      </c>
      <c r="I65" s="6">
        <v>7021</v>
      </c>
      <c r="J65" s="6" t="s">
        <v>636</v>
      </c>
      <c r="K65" s="6" t="b">
        <v>0</v>
      </c>
      <c r="L65" s="6">
        <v>3883</v>
      </c>
      <c r="M65" s="6" t="s">
        <v>637</v>
      </c>
      <c r="N65" s="6" t="b">
        <v>0</v>
      </c>
      <c r="O65" s="6">
        <v>2472</v>
      </c>
      <c r="P65" s="6" t="s">
        <v>638</v>
      </c>
      <c r="Q65" s="6" t="b">
        <v>0</v>
      </c>
      <c r="R65" s="6">
        <v>4360</v>
      </c>
      <c r="S65" s="6" t="s">
        <v>639</v>
      </c>
      <c r="T65" s="6" t="b">
        <v>0</v>
      </c>
      <c r="U65" s="6">
        <v>2512</v>
      </c>
      <c r="V65" s="6" t="s">
        <v>640</v>
      </c>
      <c r="W65" s="6" t="b">
        <v>0</v>
      </c>
    </row>
    <row r="66" spans="1:23">
      <c r="A66" s="6" t="s">
        <v>703</v>
      </c>
      <c r="B66" s="139">
        <v>45717.401388888888</v>
      </c>
      <c r="C66" s="6">
        <v>65</v>
      </c>
      <c r="D66" s="6" t="s">
        <v>634</v>
      </c>
      <c r="E66" s="6" t="s">
        <v>280</v>
      </c>
      <c r="F66" s="6">
        <v>5232</v>
      </c>
      <c r="G66" s="6" t="s">
        <v>635</v>
      </c>
      <c r="H66" s="6" t="b">
        <v>0</v>
      </c>
      <c r="I66" s="6">
        <v>111</v>
      </c>
      <c r="J66" s="6" t="s">
        <v>636</v>
      </c>
      <c r="K66" s="6" t="b">
        <v>0</v>
      </c>
      <c r="L66" s="6">
        <v>2290</v>
      </c>
      <c r="M66" s="6" t="s">
        <v>637</v>
      </c>
      <c r="N66" s="6" t="b">
        <v>0</v>
      </c>
      <c r="O66" s="6">
        <v>2177</v>
      </c>
      <c r="P66" s="6" t="s">
        <v>638</v>
      </c>
      <c r="Q66" s="6" t="b">
        <v>0</v>
      </c>
      <c r="R66" s="6">
        <v>4531</v>
      </c>
      <c r="S66" s="6" t="s">
        <v>639</v>
      </c>
      <c r="T66" s="6" t="b">
        <v>0</v>
      </c>
      <c r="U66" s="6">
        <v>4009</v>
      </c>
      <c r="V66" s="6" t="s">
        <v>640</v>
      </c>
      <c r="W66" s="6" t="b">
        <v>0</v>
      </c>
    </row>
    <row r="67" spans="1:23">
      <c r="A67" s="6" t="s">
        <v>704</v>
      </c>
      <c r="B67" s="139">
        <v>45717.406944444447</v>
      </c>
      <c r="C67" s="6">
        <v>66</v>
      </c>
      <c r="D67" s="6" t="s">
        <v>634</v>
      </c>
      <c r="E67" s="6" t="s">
        <v>280</v>
      </c>
      <c r="F67" s="6">
        <v>3023</v>
      </c>
      <c r="G67" s="6" t="s">
        <v>635</v>
      </c>
      <c r="H67" s="6" t="b">
        <v>0</v>
      </c>
      <c r="I67" s="6">
        <v>1716</v>
      </c>
      <c r="J67" s="6" t="s">
        <v>636</v>
      </c>
      <c r="K67" s="6" t="b">
        <v>0</v>
      </c>
      <c r="L67" s="6">
        <v>2513</v>
      </c>
      <c r="M67" s="6" t="s">
        <v>637</v>
      </c>
      <c r="N67" s="6" t="b">
        <v>0</v>
      </c>
      <c r="O67" s="6">
        <v>3054</v>
      </c>
      <c r="P67" s="6" t="s">
        <v>638</v>
      </c>
      <c r="Q67" s="6" t="b">
        <v>0</v>
      </c>
      <c r="R67" s="6">
        <v>2450</v>
      </c>
      <c r="S67" s="6" t="s">
        <v>639</v>
      </c>
      <c r="T67" s="6" t="b">
        <v>0</v>
      </c>
      <c r="U67" s="6">
        <v>6160</v>
      </c>
      <c r="V67" s="6" t="s">
        <v>640</v>
      </c>
      <c r="W67" s="6" t="b">
        <v>0</v>
      </c>
    </row>
    <row r="68" spans="1:23">
      <c r="A68" s="6" t="s">
        <v>705</v>
      </c>
      <c r="B68" s="139">
        <v>45717.412499999999</v>
      </c>
      <c r="C68" s="6">
        <v>67</v>
      </c>
      <c r="D68" s="6" t="s">
        <v>634</v>
      </c>
      <c r="E68" s="6" t="s">
        <v>280</v>
      </c>
      <c r="F68" s="6">
        <v>3691</v>
      </c>
      <c r="G68" s="6" t="s">
        <v>635</v>
      </c>
      <c r="H68" s="6" t="b">
        <v>0</v>
      </c>
      <c r="I68" s="6">
        <v>10474</v>
      </c>
      <c r="J68" s="6" t="s">
        <v>636</v>
      </c>
      <c r="K68" s="6" t="b">
        <v>0</v>
      </c>
      <c r="L68" s="6">
        <v>525</v>
      </c>
      <c r="M68" s="6" t="s">
        <v>637</v>
      </c>
      <c r="N68" s="6" t="b">
        <v>0</v>
      </c>
      <c r="O68" s="6">
        <v>4230</v>
      </c>
      <c r="P68" s="6" t="s">
        <v>638</v>
      </c>
      <c r="Q68" s="6" t="b">
        <v>0</v>
      </c>
      <c r="R68" s="6">
        <v>2052</v>
      </c>
      <c r="S68" s="6" t="s">
        <v>639</v>
      </c>
      <c r="T68" s="6" t="b">
        <v>0</v>
      </c>
      <c r="U68" s="6">
        <v>1816</v>
      </c>
      <c r="V68" s="6" t="s">
        <v>640</v>
      </c>
      <c r="W68" s="6" t="b">
        <v>0</v>
      </c>
    </row>
    <row r="69" spans="1:23">
      <c r="A69" s="6" t="s">
        <v>706</v>
      </c>
      <c r="B69" s="139">
        <v>45717.418055555558</v>
      </c>
      <c r="C69" s="6">
        <v>68</v>
      </c>
      <c r="D69" s="6" t="s">
        <v>634</v>
      </c>
      <c r="E69" s="6" t="s">
        <v>280</v>
      </c>
      <c r="F69" s="6">
        <v>4418</v>
      </c>
      <c r="G69" s="6" t="s">
        <v>635</v>
      </c>
      <c r="H69" s="6" t="b">
        <v>0</v>
      </c>
      <c r="I69" s="6">
        <v>4166</v>
      </c>
      <c r="J69" s="6" t="s">
        <v>636</v>
      </c>
      <c r="K69" s="6" t="b">
        <v>0</v>
      </c>
      <c r="L69" s="6">
        <v>112</v>
      </c>
      <c r="M69" s="6" t="s">
        <v>637</v>
      </c>
      <c r="N69" s="6" t="b">
        <v>0</v>
      </c>
      <c r="O69" s="6">
        <v>1410</v>
      </c>
      <c r="P69" s="6" t="s">
        <v>638</v>
      </c>
      <c r="Q69" s="6" t="b">
        <v>0</v>
      </c>
      <c r="R69" s="6">
        <v>2491</v>
      </c>
      <c r="S69" s="6" t="s">
        <v>639</v>
      </c>
      <c r="T69" s="6" t="b">
        <v>0</v>
      </c>
      <c r="U69" s="6">
        <v>6132</v>
      </c>
      <c r="V69" s="6" t="s">
        <v>640</v>
      </c>
      <c r="W69" s="6" t="b">
        <v>0</v>
      </c>
    </row>
    <row r="70" spans="1:23">
      <c r="A70" s="6" t="s">
        <v>707</v>
      </c>
      <c r="B70" s="139">
        <v>45717.423611111109</v>
      </c>
      <c r="C70" s="6">
        <v>69</v>
      </c>
      <c r="D70" s="6" t="s">
        <v>634</v>
      </c>
      <c r="E70" s="6" t="s">
        <v>280</v>
      </c>
      <c r="F70" s="6">
        <v>2383</v>
      </c>
      <c r="G70" s="6" t="s">
        <v>635</v>
      </c>
      <c r="H70" s="6" t="b">
        <v>0</v>
      </c>
      <c r="I70" s="6">
        <v>5913</v>
      </c>
      <c r="J70" s="6" t="s">
        <v>636</v>
      </c>
      <c r="K70" s="6" t="b">
        <v>0</v>
      </c>
      <c r="L70" s="6">
        <v>3042</v>
      </c>
      <c r="M70" s="6" t="s">
        <v>637</v>
      </c>
      <c r="N70" s="6" t="b">
        <v>0</v>
      </c>
      <c r="O70" s="6">
        <v>2239</v>
      </c>
      <c r="P70" s="6" t="s">
        <v>638</v>
      </c>
      <c r="Q70" s="6" t="b">
        <v>0</v>
      </c>
      <c r="R70" s="6">
        <v>5690</v>
      </c>
      <c r="S70" s="6" t="s">
        <v>639</v>
      </c>
      <c r="T70" s="6" t="b">
        <v>0</v>
      </c>
      <c r="U70" s="6">
        <v>3298</v>
      </c>
      <c r="V70" s="6" t="s">
        <v>640</v>
      </c>
      <c r="W70" s="6" t="b">
        <v>0</v>
      </c>
    </row>
    <row r="71" spans="1:23">
      <c r="A71" s="6" t="s">
        <v>708</v>
      </c>
      <c r="B71" s="139">
        <v>45717.429166666669</v>
      </c>
      <c r="C71" s="6">
        <v>70</v>
      </c>
      <c r="D71" s="6" t="s">
        <v>634</v>
      </c>
      <c r="E71" s="6" t="s">
        <v>280</v>
      </c>
      <c r="F71" s="6">
        <v>2531</v>
      </c>
      <c r="G71" s="6" t="s">
        <v>635</v>
      </c>
      <c r="H71" s="6" t="b">
        <v>0</v>
      </c>
      <c r="I71" s="6">
        <v>6047</v>
      </c>
      <c r="J71" s="6" t="s">
        <v>636</v>
      </c>
      <c r="K71" s="6" t="b">
        <v>0</v>
      </c>
      <c r="L71" s="6">
        <v>3061</v>
      </c>
      <c r="M71" s="6" t="s">
        <v>637</v>
      </c>
      <c r="N71" s="6" t="b">
        <v>0</v>
      </c>
      <c r="O71" s="6">
        <v>6044</v>
      </c>
      <c r="P71" s="6" t="s">
        <v>638</v>
      </c>
      <c r="Q71" s="6" t="b">
        <v>0</v>
      </c>
      <c r="R71" s="6">
        <v>6758</v>
      </c>
      <c r="S71" s="6" t="s">
        <v>639</v>
      </c>
      <c r="T71" s="6" t="b">
        <v>0</v>
      </c>
      <c r="U71" s="6">
        <v>5253</v>
      </c>
      <c r="V71" s="6" t="s">
        <v>640</v>
      </c>
      <c r="W71" s="6" t="b">
        <v>0</v>
      </c>
    </row>
    <row r="72" spans="1:23">
      <c r="A72" s="6" t="s">
        <v>709</v>
      </c>
      <c r="B72" s="139">
        <v>45717.43472222222</v>
      </c>
      <c r="C72" s="6">
        <v>71</v>
      </c>
      <c r="D72" s="6" t="s">
        <v>634</v>
      </c>
      <c r="E72" s="6" t="s">
        <v>280</v>
      </c>
      <c r="F72" s="6">
        <v>4215</v>
      </c>
      <c r="G72" s="6" t="s">
        <v>635</v>
      </c>
      <c r="H72" s="6" t="b">
        <v>0</v>
      </c>
      <c r="I72" s="6">
        <v>7041</v>
      </c>
      <c r="J72" s="6" t="s">
        <v>636</v>
      </c>
      <c r="K72" s="6" t="b">
        <v>0</v>
      </c>
      <c r="L72" s="6">
        <v>10173</v>
      </c>
      <c r="M72" s="6" t="s">
        <v>637</v>
      </c>
      <c r="N72" s="6" t="b">
        <v>0</v>
      </c>
      <c r="O72" s="6">
        <v>2240</v>
      </c>
      <c r="P72" s="6" t="s">
        <v>638</v>
      </c>
      <c r="Q72" s="6" t="b">
        <v>0</v>
      </c>
      <c r="R72" s="6">
        <v>2501</v>
      </c>
      <c r="S72" s="6" t="s">
        <v>639</v>
      </c>
      <c r="T72" s="6" t="b">
        <v>0</v>
      </c>
      <c r="U72" s="6">
        <v>5339</v>
      </c>
      <c r="V72" s="6" t="s">
        <v>640</v>
      </c>
      <c r="W72" s="6" t="b">
        <v>0</v>
      </c>
    </row>
    <row r="73" spans="1:23">
      <c r="A73" s="6" t="s">
        <v>710</v>
      </c>
      <c r="B73" s="139">
        <v>45717.44027777778</v>
      </c>
      <c r="C73" s="6">
        <v>72</v>
      </c>
      <c r="D73" s="6" t="s">
        <v>634</v>
      </c>
      <c r="E73" s="6" t="s">
        <v>280</v>
      </c>
      <c r="F73" s="6">
        <v>3212</v>
      </c>
      <c r="G73" s="6" t="s">
        <v>635</v>
      </c>
      <c r="H73" s="6" t="b">
        <v>0</v>
      </c>
      <c r="I73" s="6">
        <v>2977</v>
      </c>
      <c r="J73" s="6" t="s">
        <v>636</v>
      </c>
      <c r="K73" s="6" t="b">
        <v>0</v>
      </c>
      <c r="L73" s="6">
        <v>4593</v>
      </c>
      <c r="M73" s="6" t="s">
        <v>637</v>
      </c>
      <c r="N73" s="6" t="b">
        <v>0</v>
      </c>
      <c r="O73" s="6">
        <v>4623</v>
      </c>
      <c r="P73" s="6" t="s">
        <v>638</v>
      </c>
      <c r="Q73" s="6" t="b">
        <v>0</v>
      </c>
      <c r="R73" s="6">
        <v>5720</v>
      </c>
      <c r="S73" s="6" t="s">
        <v>639</v>
      </c>
      <c r="T73" s="6" t="b">
        <v>0</v>
      </c>
      <c r="U73" s="6">
        <v>7048</v>
      </c>
      <c r="V73" s="6" t="s">
        <v>640</v>
      </c>
      <c r="W73" s="6" t="b">
        <v>0</v>
      </c>
    </row>
    <row r="74" spans="1:23">
      <c r="A74" s="6" t="s">
        <v>711</v>
      </c>
      <c r="B74" s="139">
        <v>45717.445833333331</v>
      </c>
      <c r="C74" s="6">
        <v>73</v>
      </c>
      <c r="D74" s="6" t="s">
        <v>634</v>
      </c>
      <c r="E74" s="6" t="s">
        <v>280</v>
      </c>
      <c r="F74" s="6">
        <v>1816</v>
      </c>
      <c r="G74" s="6" t="s">
        <v>635</v>
      </c>
      <c r="H74" s="6" t="b">
        <v>0</v>
      </c>
      <c r="I74" s="6">
        <v>2472</v>
      </c>
      <c r="J74" s="6" t="s">
        <v>636</v>
      </c>
      <c r="K74" s="6" t="b">
        <v>0</v>
      </c>
      <c r="L74" s="6">
        <v>7021</v>
      </c>
      <c r="M74" s="6" t="s">
        <v>637</v>
      </c>
      <c r="N74" s="6" t="b">
        <v>0</v>
      </c>
      <c r="O74" s="6">
        <v>6160</v>
      </c>
      <c r="P74" s="6" t="s">
        <v>638</v>
      </c>
      <c r="Q74" s="6" t="b">
        <v>0</v>
      </c>
      <c r="R74" s="6">
        <v>1716</v>
      </c>
      <c r="S74" s="6" t="s">
        <v>639</v>
      </c>
      <c r="T74" s="6" t="b">
        <v>0</v>
      </c>
      <c r="U74" s="6">
        <v>4009</v>
      </c>
      <c r="V74" s="6" t="s">
        <v>640</v>
      </c>
      <c r="W74" s="6" t="b">
        <v>0</v>
      </c>
    </row>
    <row r="75" spans="1:23">
      <c r="A75" s="6" t="s">
        <v>712</v>
      </c>
      <c r="B75" s="139">
        <v>45717.451388888891</v>
      </c>
      <c r="C75" s="6">
        <v>74</v>
      </c>
      <c r="D75" s="6" t="s">
        <v>634</v>
      </c>
      <c r="E75" s="6" t="s">
        <v>280</v>
      </c>
      <c r="F75" s="6">
        <v>4360</v>
      </c>
      <c r="G75" s="6" t="s">
        <v>635</v>
      </c>
      <c r="H75" s="6" t="b">
        <v>0</v>
      </c>
      <c r="I75" s="6">
        <v>10474</v>
      </c>
      <c r="J75" s="6" t="s">
        <v>636</v>
      </c>
      <c r="K75" s="6" t="b">
        <v>0</v>
      </c>
      <c r="L75" s="6">
        <v>4531</v>
      </c>
      <c r="M75" s="6" t="s">
        <v>637</v>
      </c>
      <c r="N75" s="6" t="b">
        <v>0</v>
      </c>
      <c r="O75" s="6">
        <v>3023</v>
      </c>
      <c r="P75" s="6" t="s">
        <v>638</v>
      </c>
      <c r="Q75" s="6" t="b">
        <v>0</v>
      </c>
      <c r="R75" s="6">
        <v>3691</v>
      </c>
      <c r="S75" s="6" t="s">
        <v>639</v>
      </c>
      <c r="T75" s="6" t="b">
        <v>0</v>
      </c>
      <c r="U75" s="6">
        <v>4166</v>
      </c>
      <c r="V75" s="6" t="s">
        <v>640</v>
      </c>
      <c r="W75" s="6" t="b">
        <v>0</v>
      </c>
    </row>
    <row r="76" spans="1:23">
      <c r="A76" s="6" t="s">
        <v>713</v>
      </c>
      <c r="B76" s="139">
        <v>45717.456944444442</v>
      </c>
      <c r="C76" s="6">
        <v>75</v>
      </c>
      <c r="D76" s="6" t="s">
        <v>634</v>
      </c>
      <c r="E76" s="6" t="s">
        <v>280</v>
      </c>
      <c r="F76" s="6">
        <v>2512</v>
      </c>
      <c r="G76" s="6" t="s">
        <v>635</v>
      </c>
      <c r="H76" s="6" t="b">
        <v>0</v>
      </c>
      <c r="I76" s="6">
        <v>2450</v>
      </c>
      <c r="J76" s="6" t="s">
        <v>636</v>
      </c>
      <c r="K76" s="6" t="b">
        <v>0</v>
      </c>
      <c r="L76" s="6">
        <v>2383</v>
      </c>
      <c r="M76" s="6" t="s">
        <v>637</v>
      </c>
      <c r="N76" s="6" t="b">
        <v>0</v>
      </c>
      <c r="O76" s="6">
        <v>3054</v>
      </c>
      <c r="P76" s="6" t="s">
        <v>638</v>
      </c>
      <c r="Q76" s="6" t="b">
        <v>0</v>
      </c>
      <c r="R76" s="6">
        <v>2290</v>
      </c>
      <c r="S76" s="6" t="s">
        <v>639</v>
      </c>
      <c r="T76" s="6" t="b">
        <v>0</v>
      </c>
      <c r="U76" s="6">
        <v>4230</v>
      </c>
      <c r="V76" s="6" t="s">
        <v>640</v>
      </c>
      <c r="W76" s="6" t="b">
        <v>0</v>
      </c>
    </row>
    <row r="77" spans="1:23">
      <c r="A77" s="6" t="s">
        <v>714</v>
      </c>
      <c r="B77" s="139">
        <v>45717.462500000001</v>
      </c>
      <c r="C77" s="6">
        <v>76</v>
      </c>
      <c r="D77" s="6" t="s">
        <v>634</v>
      </c>
      <c r="E77" s="6" t="s">
        <v>280</v>
      </c>
      <c r="F77" s="6">
        <v>2513</v>
      </c>
      <c r="G77" s="6" t="s">
        <v>635</v>
      </c>
      <c r="H77" s="6" t="b">
        <v>0</v>
      </c>
      <c r="I77" s="6">
        <v>5913</v>
      </c>
      <c r="J77" s="6" t="s">
        <v>636</v>
      </c>
      <c r="K77" s="6" t="b">
        <v>0</v>
      </c>
      <c r="L77" s="6">
        <v>2531</v>
      </c>
      <c r="M77" s="6" t="s">
        <v>637</v>
      </c>
      <c r="N77" s="6" t="b">
        <v>0</v>
      </c>
      <c r="O77" s="6">
        <v>525</v>
      </c>
      <c r="P77" s="6" t="s">
        <v>638</v>
      </c>
      <c r="Q77" s="6" t="b">
        <v>0</v>
      </c>
      <c r="R77" s="6">
        <v>111</v>
      </c>
      <c r="S77" s="6" t="s">
        <v>639</v>
      </c>
      <c r="T77" s="6" t="b">
        <v>0</v>
      </c>
      <c r="U77" s="6">
        <v>4418</v>
      </c>
      <c r="V77" s="6" t="s">
        <v>640</v>
      </c>
      <c r="W77" s="6" t="b">
        <v>0</v>
      </c>
    </row>
    <row r="78" spans="1:23">
      <c r="A78" s="6" t="s">
        <v>715</v>
      </c>
      <c r="B78" s="139">
        <v>45717.468055555553</v>
      </c>
      <c r="C78" s="6">
        <v>77</v>
      </c>
      <c r="D78" s="6" t="s">
        <v>634</v>
      </c>
      <c r="E78" s="6" t="s">
        <v>280</v>
      </c>
      <c r="F78" s="6">
        <v>3042</v>
      </c>
      <c r="G78" s="6" t="s">
        <v>635</v>
      </c>
      <c r="H78" s="6" t="b">
        <v>0</v>
      </c>
      <c r="I78" s="6">
        <v>2501</v>
      </c>
      <c r="J78" s="6" t="s">
        <v>636</v>
      </c>
      <c r="K78" s="6" t="b">
        <v>0</v>
      </c>
      <c r="L78" s="6">
        <v>3061</v>
      </c>
      <c r="M78" s="6" t="s">
        <v>637</v>
      </c>
      <c r="N78" s="6" t="b">
        <v>0</v>
      </c>
      <c r="O78" s="6">
        <v>6047</v>
      </c>
      <c r="P78" s="6" t="s">
        <v>638</v>
      </c>
      <c r="Q78" s="6" t="b">
        <v>0</v>
      </c>
      <c r="R78" s="6">
        <v>1410</v>
      </c>
      <c r="S78" s="6" t="s">
        <v>639</v>
      </c>
      <c r="T78" s="6" t="b">
        <v>0</v>
      </c>
      <c r="U78" s="6">
        <v>5339</v>
      </c>
      <c r="V78" s="6" t="s">
        <v>640</v>
      </c>
      <c r="W78" s="6" t="b">
        <v>0</v>
      </c>
    </row>
    <row r="79" spans="1:23">
      <c r="A79" s="6" t="s">
        <v>716</v>
      </c>
      <c r="B79" s="139">
        <v>45717.473611111112</v>
      </c>
      <c r="C79" s="6">
        <v>78</v>
      </c>
      <c r="D79" s="6" t="s">
        <v>634</v>
      </c>
      <c r="E79" s="6" t="s">
        <v>280</v>
      </c>
      <c r="F79" s="6">
        <v>6420</v>
      </c>
      <c r="G79" s="6" t="s">
        <v>635</v>
      </c>
      <c r="H79" s="6" t="b">
        <v>0</v>
      </c>
      <c r="I79" s="6">
        <v>6132</v>
      </c>
      <c r="J79" s="6" t="s">
        <v>636</v>
      </c>
      <c r="K79" s="6" t="b">
        <v>0</v>
      </c>
      <c r="L79" s="6">
        <v>5253</v>
      </c>
      <c r="M79" s="6" t="s">
        <v>637</v>
      </c>
      <c r="N79" s="6" t="b">
        <v>0</v>
      </c>
      <c r="O79" s="6">
        <v>4593</v>
      </c>
      <c r="P79" s="6" t="s">
        <v>638</v>
      </c>
      <c r="Q79" s="6" t="b">
        <v>0</v>
      </c>
      <c r="R79" s="6">
        <v>10173</v>
      </c>
      <c r="S79" s="6" t="s">
        <v>639</v>
      </c>
      <c r="T79" s="6" t="b">
        <v>0</v>
      </c>
      <c r="U79" s="6">
        <v>5690</v>
      </c>
      <c r="V79" s="6" t="s">
        <v>640</v>
      </c>
      <c r="W79" s="6" t="b">
        <v>0</v>
      </c>
    </row>
    <row r="80" spans="1:23">
      <c r="A80" s="6" t="s">
        <v>717</v>
      </c>
      <c r="B80" s="139">
        <v>45717.479166666664</v>
      </c>
      <c r="C80" s="6">
        <v>79</v>
      </c>
      <c r="D80" s="6" t="s">
        <v>634</v>
      </c>
      <c r="E80" s="6" t="s">
        <v>280</v>
      </c>
      <c r="F80" s="6">
        <v>7048</v>
      </c>
      <c r="G80" s="6" t="s">
        <v>635</v>
      </c>
      <c r="H80" s="6" t="b">
        <v>0</v>
      </c>
      <c r="I80" s="6">
        <v>2239</v>
      </c>
      <c r="J80" s="6" t="s">
        <v>636</v>
      </c>
      <c r="K80" s="6" t="b">
        <v>0</v>
      </c>
      <c r="L80" s="6">
        <v>2177</v>
      </c>
      <c r="M80" s="6" t="s">
        <v>637</v>
      </c>
      <c r="N80" s="6" t="b">
        <v>0</v>
      </c>
      <c r="O80" s="6">
        <v>6044</v>
      </c>
      <c r="P80" s="6" t="s">
        <v>638</v>
      </c>
      <c r="Q80" s="6" t="b">
        <v>0</v>
      </c>
      <c r="R80" s="6">
        <v>3883</v>
      </c>
      <c r="S80" s="6" t="s">
        <v>639</v>
      </c>
      <c r="T80" s="6" t="b">
        <v>0</v>
      </c>
      <c r="U80" s="6">
        <v>2240</v>
      </c>
      <c r="V80" s="6" t="s">
        <v>640</v>
      </c>
      <c r="W80" s="6" t="b">
        <v>0</v>
      </c>
    </row>
    <row r="81" spans="1:23">
      <c r="A81" s="6" t="s">
        <v>718</v>
      </c>
      <c r="B81" s="139">
        <v>45717.484722222223</v>
      </c>
      <c r="C81" s="6">
        <v>80</v>
      </c>
      <c r="D81" s="6" t="s">
        <v>634</v>
      </c>
      <c r="E81" s="6" t="s">
        <v>280</v>
      </c>
      <c r="F81" s="6">
        <v>3212</v>
      </c>
      <c r="G81" s="6" t="s">
        <v>635</v>
      </c>
      <c r="H81" s="6" t="b">
        <v>0</v>
      </c>
      <c r="I81" s="6">
        <v>4623</v>
      </c>
      <c r="J81" s="6" t="s">
        <v>636</v>
      </c>
      <c r="K81" s="6" t="b">
        <v>0</v>
      </c>
      <c r="L81" s="6">
        <v>4215</v>
      </c>
      <c r="M81" s="6" t="s">
        <v>637</v>
      </c>
      <c r="N81" s="6" t="b">
        <v>0</v>
      </c>
      <c r="O81" s="6">
        <v>2491</v>
      </c>
      <c r="P81" s="6" t="s">
        <v>638</v>
      </c>
      <c r="Q81" s="6" t="b">
        <v>0</v>
      </c>
      <c r="R81" s="6">
        <v>3298</v>
      </c>
      <c r="S81" s="6" t="s">
        <v>639</v>
      </c>
      <c r="T81" s="6" t="b">
        <v>0</v>
      </c>
      <c r="U81" s="6">
        <v>2052</v>
      </c>
      <c r="V81" s="6" t="s">
        <v>640</v>
      </c>
      <c r="W81" s="6" t="b">
        <v>0</v>
      </c>
    </row>
    <row r="82" spans="1:23">
      <c r="A82" s="6" t="s">
        <v>719</v>
      </c>
      <c r="B82" s="139">
        <v>45717.490277777775</v>
      </c>
      <c r="C82" s="6">
        <v>81</v>
      </c>
      <c r="D82" s="6" t="s">
        <v>634</v>
      </c>
      <c r="E82" s="6" t="s">
        <v>280</v>
      </c>
      <c r="F82" s="6">
        <v>7041</v>
      </c>
      <c r="G82" s="6" t="s">
        <v>635</v>
      </c>
      <c r="H82" s="6" t="b">
        <v>0</v>
      </c>
      <c r="I82" s="6">
        <v>112</v>
      </c>
      <c r="J82" s="6" t="s">
        <v>636</v>
      </c>
      <c r="K82" s="6" t="b">
        <v>0</v>
      </c>
      <c r="L82" s="6">
        <v>6758</v>
      </c>
      <c r="M82" s="6" t="s">
        <v>637</v>
      </c>
      <c r="N82" s="6" t="b">
        <v>0</v>
      </c>
      <c r="O82" s="6">
        <v>5720</v>
      </c>
      <c r="P82" s="6" t="s">
        <v>638</v>
      </c>
      <c r="Q82" s="6" t="b">
        <v>0</v>
      </c>
      <c r="R82" s="6">
        <v>5232</v>
      </c>
      <c r="S82" s="6" t="s">
        <v>639</v>
      </c>
      <c r="T82" s="6" t="b">
        <v>0</v>
      </c>
      <c r="U82" s="6">
        <v>2977</v>
      </c>
      <c r="V82" s="6" t="s">
        <v>640</v>
      </c>
      <c r="W82" s="6" t="b">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487"/>
  <sheetViews>
    <sheetView workbookViewId="0">
      <pane ySplit="1" topLeftCell="A2" activePane="bottomLeft" state="frozen"/>
      <selection pane="bottomLeft" activeCell="B3" sqref="B3"/>
    </sheetView>
  </sheetViews>
  <sheetFormatPr defaultColWidth="12.5703125" defaultRowHeight="15.75" customHeight="1"/>
  <sheetData>
    <row r="1" spans="1:11">
      <c r="A1" s="6" t="s">
        <v>720</v>
      </c>
      <c r="B1" s="6" t="s">
        <v>721</v>
      </c>
      <c r="C1" s="6" t="s">
        <v>104</v>
      </c>
      <c r="D1" s="6" t="s">
        <v>18</v>
      </c>
      <c r="E1" s="6" t="s">
        <v>722</v>
      </c>
      <c r="F1" s="6"/>
      <c r="G1" s="6"/>
      <c r="H1" s="6"/>
      <c r="I1" s="6"/>
      <c r="J1" s="6"/>
      <c r="K1" s="6"/>
    </row>
    <row r="2" spans="1:11">
      <c r="A2" s="6" t="str">
        <f ca="1">IFERROR(__xludf.DUMMYFUNCTION("{FILTER(CHOOSECOLS(Simplified!2:99999,1,2,3,9,10),NOT(ISBLANK(Simplified!A2:A99999))); FILTER(CHOOSECOLS(Simplified!2:99999,1,2,4,11,12),NOT(ISBLANK(Simplified!A2:A99999))); FILTER(CHOOSECOLS(Simplified!2:99999,1,2,5,13,14),NOT(ISBLANK(Simplified!A2:A9999"&amp;"9))); FILTER(CHOOSECOLS(Simplified!2:99999,1,2,6,15,16),NOT(ISBLANK(Simplified!A2:A99999))); FILTER(CHOOSECOLS(Simplified!2:99999,1,2,7,17,18),NOT(ISBLANK(Simplified!A2:A99999))); FILTER(CHOOSECOLS(Simplified!2:99999,1,2,8,19,20),NOT(ISBLANK(Simplified!A2"&amp;":A99999)))}"),"Qualification")</f>
        <v>Qualification</v>
      </c>
      <c r="B2" s="6">
        <f ca="1">IFERROR(__xludf.DUMMYFUNCTION("""COMPUTED_VALUE"""),1)</f>
        <v>1</v>
      </c>
      <c r="C2" s="6">
        <f ca="1">IFERROR(__xludf.DUMMYFUNCTION("""COMPUTED_VALUE"""),2501)</f>
        <v>2501</v>
      </c>
      <c r="D2" s="6" t="str">
        <f ca="1">IFERROR(__xludf.DUMMYFUNCTION("""COMPUTED_VALUE"""),"Yes")</f>
        <v>Yes</v>
      </c>
      <c r="E2" s="6" t="str">
        <f ca="1">IFERROR(__xludf.DUMMYFUNCTION("""COMPUTED_VALUE"""),"Parked")</f>
        <v>Parked</v>
      </c>
      <c r="F2" s="6"/>
      <c r="G2" s="6"/>
      <c r="H2" s="6"/>
      <c r="I2" s="6"/>
      <c r="J2" s="6"/>
      <c r="K2" s="6"/>
    </row>
    <row r="3" spans="1:11">
      <c r="A3" s="6" t="str">
        <f ca="1">IFERROR(__xludf.DUMMYFUNCTION("""COMPUTED_VALUE"""),"Qualification")</f>
        <v>Qualification</v>
      </c>
      <c r="B3" s="6">
        <f ca="1">IFERROR(__xludf.DUMMYFUNCTION("""COMPUTED_VALUE"""),2)</f>
        <v>2</v>
      </c>
      <c r="C3" s="6">
        <f ca="1">IFERROR(__xludf.DUMMYFUNCTION("""COMPUTED_VALUE"""),2472)</f>
        <v>2472</v>
      </c>
      <c r="D3" s="6" t="str">
        <f ca="1">IFERROR(__xludf.DUMMYFUNCTION("""COMPUTED_VALUE"""),"Yes")</f>
        <v>Yes</v>
      </c>
      <c r="E3" s="6" t="str">
        <f ca="1">IFERROR(__xludf.DUMMYFUNCTION("""COMPUTED_VALUE"""),"None")</f>
        <v>None</v>
      </c>
    </row>
    <row r="4" spans="1:11">
      <c r="A4" s="6" t="str">
        <f ca="1">IFERROR(__xludf.DUMMYFUNCTION("""COMPUTED_VALUE"""),"Qualification")</f>
        <v>Qualification</v>
      </c>
      <c r="B4" s="6">
        <f ca="1">IFERROR(__xludf.DUMMYFUNCTION("""COMPUTED_VALUE"""),3)</f>
        <v>3</v>
      </c>
      <c r="C4" s="6">
        <f ca="1">IFERROR(__xludf.DUMMYFUNCTION("""COMPUTED_VALUE"""),4230)</f>
        <v>4230</v>
      </c>
      <c r="D4" s="6" t="str">
        <f ca="1">IFERROR(__xludf.DUMMYFUNCTION("""COMPUTED_VALUE"""),"Yes")</f>
        <v>Yes</v>
      </c>
      <c r="E4" s="6" t="str">
        <f ca="1">IFERROR(__xludf.DUMMYFUNCTION("""COMPUTED_VALUE"""),"DeepCage")</f>
        <v>DeepCage</v>
      </c>
    </row>
    <row r="5" spans="1:11">
      <c r="A5" s="6" t="str">
        <f ca="1">IFERROR(__xludf.DUMMYFUNCTION("""COMPUTED_VALUE"""),"Qualification")</f>
        <v>Qualification</v>
      </c>
      <c r="B5" s="6">
        <f ca="1">IFERROR(__xludf.DUMMYFUNCTION("""COMPUTED_VALUE"""),4)</f>
        <v>4</v>
      </c>
      <c r="C5" s="6">
        <f ca="1">IFERROR(__xludf.DUMMYFUNCTION("""COMPUTED_VALUE"""),2491)</f>
        <v>2491</v>
      </c>
      <c r="D5" s="6" t="str">
        <f ca="1">IFERROR(__xludf.DUMMYFUNCTION("""COMPUTED_VALUE"""),"Yes")</f>
        <v>Yes</v>
      </c>
      <c r="E5" s="6" t="str">
        <f ca="1">IFERROR(__xludf.DUMMYFUNCTION("""COMPUTED_VALUE"""),"Parked")</f>
        <v>Parked</v>
      </c>
    </row>
    <row r="6" spans="1:11">
      <c r="A6" s="6" t="str">
        <f ca="1">IFERROR(__xludf.DUMMYFUNCTION("""COMPUTED_VALUE"""),"Qualification")</f>
        <v>Qualification</v>
      </c>
      <c r="B6" s="6">
        <f ca="1">IFERROR(__xludf.DUMMYFUNCTION("""COMPUTED_VALUE"""),5)</f>
        <v>5</v>
      </c>
      <c r="C6" s="6">
        <f ca="1">IFERROR(__xludf.DUMMYFUNCTION("""COMPUTED_VALUE"""),7021)</f>
        <v>7021</v>
      </c>
      <c r="D6" s="6" t="str">
        <f ca="1">IFERROR(__xludf.DUMMYFUNCTION("""COMPUTED_VALUE"""),"Yes")</f>
        <v>Yes</v>
      </c>
      <c r="E6" s="6" t="str">
        <f ca="1">IFERROR(__xludf.DUMMYFUNCTION("""COMPUTED_VALUE"""),"Parked")</f>
        <v>Parked</v>
      </c>
    </row>
    <row r="7" spans="1:11">
      <c r="A7" s="6" t="str">
        <f ca="1">IFERROR(__xludf.DUMMYFUNCTION("""COMPUTED_VALUE"""),"Qualification")</f>
        <v>Qualification</v>
      </c>
      <c r="B7" s="6">
        <f ca="1">IFERROR(__xludf.DUMMYFUNCTION("""COMPUTED_VALUE"""),6)</f>
        <v>6</v>
      </c>
      <c r="C7" s="6">
        <f ca="1">IFERROR(__xludf.DUMMYFUNCTION("""COMPUTED_VALUE"""),2052)</f>
        <v>2052</v>
      </c>
      <c r="D7" s="6" t="str">
        <f ca="1">IFERROR(__xludf.DUMMYFUNCTION("""COMPUTED_VALUE"""),"Yes")</f>
        <v>Yes</v>
      </c>
      <c r="E7" s="6" t="str">
        <f ca="1">IFERROR(__xludf.DUMMYFUNCTION("""COMPUTED_VALUE"""),"DeepCage")</f>
        <v>DeepCage</v>
      </c>
    </row>
    <row r="8" spans="1:11">
      <c r="A8" s="6" t="str">
        <f ca="1">IFERROR(__xludf.DUMMYFUNCTION("""COMPUTED_VALUE"""),"Qualification")</f>
        <v>Qualification</v>
      </c>
      <c r="B8" s="6">
        <f ca="1">IFERROR(__xludf.DUMMYFUNCTION("""COMPUTED_VALUE"""),7)</f>
        <v>7</v>
      </c>
      <c r="C8" s="6">
        <f ca="1">IFERROR(__xludf.DUMMYFUNCTION("""COMPUTED_VALUE"""),10474)</f>
        <v>10474</v>
      </c>
      <c r="D8" s="6" t="str">
        <f ca="1">IFERROR(__xludf.DUMMYFUNCTION("""COMPUTED_VALUE"""),"Yes")</f>
        <v>Yes</v>
      </c>
      <c r="E8" s="6" t="str">
        <f ca="1">IFERROR(__xludf.DUMMYFUNCTION("""COMPUTED_VALUE"""),"Parked")</f>
        <v>Parked</v>
      </c>
    </row>
    <row r="9" spans="1:11">
      <c r="A9" s="6" t="str">
        <f ca="1">IFERROR(__xludf.DUMMYFUNCTION("""COMPUTED_VALUE"""),"Qualification")</f>
        <v>Qualification</v>
      </c>
      <c r="B9" s="6">
        <f ca="1">IFERROR(__xludf.DUMMYFUNCTION("""COMPUTED_VALUE"""),8)</f>
        <v>8</v>
      </c>
      <c r="C9" s="6">
        <f ca="1">IFERROR(__xludf.DUMMYFUNCTION("""COMPUTED_VALUE"""),5339)</f>
        <v>5339</v>
      </c>
      <c r="D9" s="6" t="str">
        <f ca="1">IFERROR(__xludf.DUMMYFUNCTION("""COMPUTED_VALUE"""),"Yes")</f>
        <v>Yes</v>
      </c>
      <c r="E9" s="6" t="str">
        <f ca="1">IFERROR(__xludf.DUMMYFUNCTION("""COMPUTED_VALUE"""),"Parked")</f>
        <v>Parked</v>
      </c>
    </row>
    <row r="10" spans="1:11">
      <c r="A10" s="6" t="str">
        <f ca="1">IFERROR(__xludf.DUMMYFUNCTION("""COMPUTED_VALUE"""),"Qualification")</f>
        <v>Qualification</v>
      </c>
      <c r="B10" s="6">
        <f ca="1">IFERROR(__xludf.DUMMYFUNCTION("""COMPUTED_VALUE"""),9)</f>
        <v>9</v>
      </c>
      <c r="C10" s="6">
        <f ca="1">IFERROR(__xludf.DUMMYFUNCTION("""COMPUTED_VALUE"""),4623)</f>
        <v>4623</v>
      </c>
      <c r="D10" s="6" t="str">
        <f ca="1">IFERROR(__xludf.DUMMYFUNCTION("""COMPUTED_VALUE"""),"Yes")</f>
        <v>Yes</v>
      </c>
      <c r="E10" s="6" t="str">
        <f ca="1">IFERROR(__xludf.DUMMYFUNCTION("""COMPUTED_VALUE"""),"Parked")</f>
        <v>Parked</v>
      </c>
    </row>
    <row r="11" spans="1:11">
      <c r="A11" s="6" t="str">
        <f ca="1">IFERROR(__xludf.DUMMYFUNCTION("""COMPUTED_VALUE"""),"Qualification")</f>
        <v>Qualification</v>
      </c>
      <c r="B11" s="6">
        <f ca="1">IFERROR(__xludf.DUMMYFUNCTION("""COMPUTED_VALUE"""),10)</f>
        <v>10</v>
      </c>
      <c r="C11" s="6">
        <f ca="1">IFERROR(__xludf.DUMMYFUNCTION("""COMPUTED_VALUE"""),3212)</f>
        <v>3212</v>
      </c>
      <c r="D11" s="6" t="str">
        <f ca="1">IFERROR(__xludf.DUMMYFUNCTION("""COMPUTED_VALUE"""),"Yes")</f>
        <v>Yes</v>
      </c>
      <c r="E11" s="6" t="str">
        <f ca="1">IFERROR(__xludf.DUMMYFUNCTION("""COMPUTED_VALUE"""),"Parked")</f>
        <v>Parked</v>
      </c>
    </row>
    <row r="12" spans="1:11">
      <c r="A12" s="6" t="str">
        <f ca="1">IFERROR(__xludf.DUMMYFUNCTION("""COMPUTED_VALUE"""),"Qualification")</f>
        <v>Qualification</v>
      </c>
      <c r="B12" s="6">
        <f ca="1">IFERROR(__xludf.DUMMYFUNCTION("""COMPUTED_VALUE"""),11)</f>
        <v>11</v>
      </c>
      <c r="C12" s="6">
        <f ca="1">IFERROR(__xludf.DUMMYFUNCTION("""COMPUTED_VALUE"""),1816)</f>
        <v>1816</v>
      </c>
      <c r="D12" s="6" t="str">
        <f ca="1">IFERROR(__xludf.DUMMYFUNCTION("""COMPUTED_VALUE"""),"Yes")</f>
        <v>Yes</v>
      </c>
      <c r="E12" s="6" t="str">
        <f ca="1">IFERROR(__xludf.DUMMYFUNCTION("""COMPUTED_VALUE"""),"DeepCage")</f>
        <v>DeepCage</v>
      </c>
    </row>
    <row r="13" spans="1:11">
      <c r="A13" s="6" t="str">
        <f ca="1">IFERROR(__xludf.DUMMYFUNCTION("""COMPUTED_VALUE"""),"Qualification")</f>
        <v>Qualification</v>
      </c>
      <c r="B13" s="6">
        <f ca="1">IFERROR(__xludf.DUMMYFUNCTION("""COMPUTED_VALUE"""),12)</f>
        <v>12</v>
      </c>
      <c r="C13" s="6">
        <f ca="1">IFERROR(__xludf.DUMMYFUNCTION("""COMPUTED_VALUE"""),5253)</f>
        <v>5253</v>
      </c>
      <c r="D13" s="6" t="str">
        <f ca="1">IFERROR(__xludf.DUMMYFUNCTION("""COMPUTED_VALUE"""),"Yes")</f>
        <v>Yes</v>
      </c>
      <c r="E13" s="6" t="str">
        <f ca="1">IFERROR(__xludf.DUMMYFUNCTION("""COMPUTED_VALUE"""),"None")</f>
        <v>None</v>
      </c>
    </row>
    <row r="14" spans="1:11">
      <c r="A14" s="6" t="str">
        <f ca="1">IFERROR(__xludf.DUMMYFUNCTION("""COMPUTED_VALUE"""),"Qualification")</f>
        <v>Qualification</v>
      </c>
      <c r="B14" s="6">
        <f ca="1">IFERROR(__xludf.DUMMYFUNCTION("""COMPUTED_VALUE"""),13)</f>
        <v>13</v>
      </c>
      <c r="C14" s="6">
        <f ca="1">IFERROR(__xludf.DUMMYFUNCTION("""COMPUTED_VALUE"""),5690)</f>
        <v>5690</v>
      </c>
      <c r="D14" s="6" t="str">
        <f ca="1">IFERROR(__xludf.DUMMYFUNCTION("""COMPUTED_VALUE"""),"No")</f>
        <v>No</v>
      </c>
      <c r="E14" s="6" t="str">
        <f ca="1">IFERROR(__xludf.DUMMYFUNCTION("""COMPUTED_VALUE"""),"Parked")</f>
        <v>Parked</v>
      </c>
    </row>
    <row r="15" spans="1:11">
      <c r="A15" s="6" t="str">
        <f ca="1">IFERROR(__xludf.DUMMYFUNCTION("""COMPUTED_VALUE"""),"Qualification")</f>
        <v>Qualification</v>
      </c>
      <c r="B15" s="6">
        <f ca="1">IFERROR(__xludf.DUMMYFUNCTION("""COMPUTED_VALUE"""),14)</f>
        <v>14</v>
      </c>
      <c r="C15" s="6">
        <f ca="1">IFERROR(__xludf.DUMMYFUNCTION("""COMPUTED_VALUE"""),3061)</f>
        <v>3061</v>
      </c>
      <c r="D15" s="6" t="str">
        <f ca="1">IFERROR(__xludf.DUMMYFUNCTION("""COMPUTED_VALUE"""),"Yes")</f>
        <v>Yes</v>
      </c>
      <c r="E15" s="6" t="str">
        <f ca="1">IFERROR(__xludf.DUMMYFUNCTION("""COMPUTED_VALUE"""),"Parked")</f>
        <v>Parked</v>
      </c>
    </row>
    <row r="16" spans="1:11">
      <c r="A16" s="6" t="str">
        <f ca="1">IFERROR(__xludf.DUMMYFUNCTION("""COMPUTED_VALUE"""),"Qualification")</f>
        <v>Qualification</v>
      </c>
      <c r="B16" s="6">
        <f ca="1">IFERROR(__xludf.DUMMYFUNCTION("""COMPUTED_VALUE"""),15)</f>
        <v>15</v>
      </c>
      <c r="C16" s="6">
        <f ca="1">IFERROR(__xludf.DUMMYFUNCTION("""COMPUTED_VALUE"""),4166)</f>
        <v>4166</v>
      </c>
      <c r="D16" s="6" t="str">
        <f ca="1">IFERROR(__xludf.DUMMYFUNCTION("""COMPUTED_VALUE"""),"Yes")</f>
        <v>Yes</v>
      </c>
      <c r="E16" s="6" t="str">
        <f ca="1">IFERROR(__xludf.DUMMYFUNCTION("""COMPUTED_VALUE"""),"Parked")</f>
        <v>Parked</v>
      </c>
    </row>
    <row r="17" spans="1:5">
      <c r="A17" s="6" t="str">
        <f ca="1">IFERROR(__xludf.DUMMYFUNCTION("""COMPUTED_VALUE"""),"Qualification")</f>
        <v>Qualification</v>
      </c>
      <c r="B17" s="6">
        <f ca="1">IFERROR(__xludf.DUMMYFUNCTION("""COMPUTED_VALUE"""),16)</f>
        <v>16</v>
      </c>
      <c r="C17" s="6">
        <f ca="1">IFERROR(__xludf.DUMMYFUNCTION("""COMPUTED_VALUE"""),2450)</f>
        <v>2450</v>
      </c>
      <c r="D17" s="6" t="str">
        <f ca="1">IFERROR(__xludf.DUMMYFUNCTION("""COMPUTED_VALUE"""),"No")</f>
        <v>No</v>
      </c>
      <c r="E17" s="6" t="str">
        <f ca="1">IFERROR(__xludf.DUMMYFUNCTION("""COMPUTED_VALUE"""),"Parked")</f>
        <v>Parked</v>
      </c>
    </row>
    <row r="18" spans="1:5">
      <c r="A18" s="6" t="str">
        <f ca="1">IFERROR(__xludf.DUMMYFUNCTION("""COMPUTED_VALUE"""),"Qualification")</f>
        <v>Qualification</v>
      </c>
      <c r="B18" s="6">
        <f ca="1">IFERROR(__xludf.DUMMYFUNCTION("""COMPUTED_VALUE"""),17)</f>
        <v>17</v>
      </c>
      <c r="C18" s="6">
        <f ca="1">IFERROR(__xludf.DUMMYFUNCTION("""COMPUTED_VALUE"""),2977)</f>
        <v>2977</v>
      </c>
      <c r="D18" s="6" t="str">
        <f ca="1">IFERROR(__xludf.DUMMYFUNCTION("""COMPUTED_VALUE"""),"Yes")</f>
        <v>Yes</v>
      </c>
      <c r="E18" s="6" t="str">
        <f ca="1">IFERROR(__xludf.DUMMYFUNCTION("""COMPUTED_VALUE"""),"None")</f>
        <v>None</v>
      </c>
    </row>
    <row r="19" spans="1:5">
      <c r="A19" s="6" t="str">
        <f ca="1">IFERROR(__xludf.DUMMYFUNCTION("""COMPUTED_VALUE"""),"Qualification")</f>
        <v>Qualification</v>
      </c>
      <c r="B19" s="6">
        <f ca="1">IFERROR(__xludf.DUMMYFUNCTION("""COMPUTED_VALUE"""),18)</f>
        <v>18</v>
      </c>
      <c r="C19" s="6">
        <f ca="1">IFERROR(__xludf.DUMMYFUNCTION("""COMPUTED_VALUE"""),4009)</f>
        <v>4009</v>
      </c>
      <c r="D19" s="6" t="str">
        <f ca="1">IFERROR(__xludf.DUMMYFUNCTION("""COMPUTED_VALUE"""),"Yes")</f>
        <v>Yes</v>
      </c>
      <c r="E19" s="6" t="str">
        <f ca="1">IFERROR(__xludf.DUMMYFUNCTION("""COMPUTED_VALUE"""),"Parked")</f>
        <v>Parked</v>
      </c>
    </row>
    <row r="20" spans="1:5">
      <c r="A20" s="6" t="str">
        <f ca="1">IFERROR(__xludf.DUMMYFUNCTION("""COMPUTED_VALUE"""),"Qualification")</f>
        <v>Qualification</v>
      </c>
      <c r="B20" s="6">
        <f ca="1">IFERROR(__xludf.DUMMYFUNCTION("""COMPUTED_VALUE"""),19)</f>
        <v>19</v>
      </c>
      <c r="C20" s="6">
        <f ca="1">IFERROR(__xludf.DUMMYFUNCTION("""COMPUTED_VALUE"""),111)</f>
        <v>111</v>
      </c>
      <c r="D20" s="6" t="str">
        <f ca="1">IFERROR(__xludf.DUMMYFUNCTION("""COMPUTED_VALUE"""),"Yes")</f>
        <v>Yes</v>
      </c>
      <c r="E20" s="6" t="str">
        <f ca="1">IFERROR(__xludf.DUMMYFUNCTION("""COMPUTED_VALUE"""),"DeepCage")</f>
        <v>DeepCage</v>
      </c>
    </row>
    <row r="21" spans="1:5">
      <c r="A21" s="6" t="str">
        <f ca="1">IFERROR(__xludf.DUMMYFUNCTION("""COMPUTED_VALUE"""),"Qualification")</f>
        <v>Qualification</v>
      </c>
      <c r="B21" s="6">
        <f ca="1">IFERROR(__xludf.DUMMYFUNCTION("""COMPUTED_VALUE"""),20)</f>
        <v>20</v>
      </c>
      <c r="C21" s="6">
        <f ca="1">IFERROR(__xludf.DUMMYFUNCTION("""COMPUTED_VALUE"""),4531)</f>
        <v>4531</v>
      </c>
      <c r="D21" s="6" t="str">
        <f ca="1">IFERROR(__xludf.DUMMYFUNCTION("""COMPUTED_VALUE"""),"Yes")</f>
        <v>Yes</v>
      </c>
      <c r="E21" s="6" t="str">
        <f ca="1">IFERROR(__xludf.DUMMYFUNCTION("""COMPUTED_VALUE"""),"Parked")</f>
        <v>Parked</v>
      </c>
    </row>
    <row r="22" spans="1:5">
      <c r="A22" s="6" t="str">
        <f ca="1">IFERROR(__xludf.DUMMYFUNCTION("""COMPUTED_VALUE"""),"Qualification")</f>
        <v>Qualification</v>
      </c>
      <c r="B22" s="6">
        <f ca="1">IFERROR(__xludf.DUMMYFUNCTION("""COMPUTED_VALUE"""),21)</f>
        <v>21</v>
      </c>
      <c r="C22" s="6">
        <f ca="1">IFERROR(__xludf.DUMMYFUNCTION("""COMPUTED_VALUE"""),112)</f>
        <v>112</v>
      </c>
      <c r="D22" s="6" t="str">
        <f ca="1">IFERROR(__xludf.DUMMYFUNCTION("""COMPUTED_VALUE"""),"No")</f>
        <v>No</v>
      </c>
      <c r="E22" s="6" t="str">
        <f ca="1">IFERROR(__xludf.DUMMYFUNCTION("""COMPUTED_VALUE"""),"None")</f>
        <v>None</v>
      </c>
    </row>
    <row r="23" spans="1:5">
      <c r="A23" s="6" t="str">
        <f ca="1">IFERROR(__xludf.DUMMYFUNCTION("""COMPUTED_VALUE"""),"Qualification")</f>
        <v>Qualification</v>
      </c>
      <c r="B23" s="6">
        <f ca="1">IFERROR(__xludf.DUMMYFUNCTION("""COMPUTED_VALUE"""),22)</f>
        <v>22</v>
      </c>
      <c r="C23" s="6">
        <f ca="1">IFERROR(__xludf.DUMMYFUNCTION("""COMPUTED_VALUE"""),6132)</f>
        <v>6132</v>
      </c>
      <c r="D23" s="6" t="str">
        <f ca="1">IFERROR(__xludf.DUMMYFUNCTION("""COMPUTED_VALUE"""),"Yes")</f>
        <v>Yes</v>
      </c>
      <c r="E23" s="6" t="str">
        <f ca="1">IFERROR(__xludf.DUMMYFUNCTION("""COMPUTED_VALUE"""),"Parked")</f>
        <v>Parked</v>
      </c>
    </row>
    <row r="24" spans="1:5">
      <c r="A24" s="6" t="str">
        <f ca="1">IFERROR(__xludf.DUMMYFUNCTION("""COMPUTED_VALUE"""),"Qualification")</f>
        <v>Qualification</v>
      </c>
      <c r="B24" s="6">
        <f ca="1">IFERROR(__xludf.DUMMYFUNCTION("""COMPUTED_VALUE"""),23)</f>
        <v>23</v>
      </c>
      <c r="C24" s="6">
        <f ca="1">IFERROR(__xludf.DUMMYFUNCTION("""COMPUTED_VALUE"""),3061)</f>
        <v>3061</v>
      </c>
      <c r="D24" s="6" t="str">
        <f ca="1">IFERROR(__xludf.DUMMYFUNCTION("""COMPUTED_VALUE"""),"Yes")</f>
        <v>Yes</v>
      </c>
      <c r="E24" s="6" t="str">
        <f ca="1">IFERROR(__xludf.DUMMYFUNCTION("""COMPUTED_VALUE"""),"Parked")</f>
        <v>Parked</v>
      </c>
    </row>
    <row r="25" spans="1:5">
      <c r="A25" s="6" t="str">
        <f ca="1">IFERROR(__xludf.DUMMYFUNCTION("""COMPUTED_VALUE"""),"Qualification")</f>
        <v>Qualification</v>
      </c>
      <c r="B25" s="6">
        <f ca="1">IFERROR(__xludf.DUMMYFUNCTION("""COMPUTED_VALUE"""),24)</f>
        <v>24</v>
      </c>
      <c r="C25" s="6">
        <f ca="1">IFERROR(__xludf.DUMMYFUNCTION("""COMPUTED_VALUE"""),6758)</f>
        <v>6758</v>
      </c>
      <c r="D25" s="6" t="str">
        <f ca="1">IFERROR(__xludf.DUMMYFUNCTION("""COMPUTED_VALUE"""),"Yes")</f>
        <v>Yes</v>
      </c>
      <c r="E25" s="6" t="str">
        <f ca="1">IFERROR(__xludf.DUMMYFUNCTION("""COMPUTED_VALUE"""),"Parked")</f>
        <v>Parked</v>
      </c>
    </row>
    <row r="26" spans="1:5">
      <c r="A26" s="6" t="str">
        <f ca="1">IFERROR(__xludf.DUMMYFUNCTION("""COMPUTED_VALUE"""),"Qualification")</f>
        <v>Qualification</v>
      </c>
      <c r="B26" s="6">
        <f ca="1">IFERROR(__xludf.DUMMYFUNCTION("""COMPUTED_VALUE"""),25)</f>
        <v>25</v>
      </c>
      <c r="C26" s="6">
        <f ca="1">IFERROR(__xludf.DUMMYFUNCTION("""COMPUTED_VALUE"""),3042)</f>
        <v>3042</v>
      </c>
      <c r="D26" s="6" t="str">
        <f ca="1">IFERROR(__xludf.DUMMYFUNCTION("""COMPUTED_VALUE"""),"Yes")</f>
        <v>Yes</v>
      </c>
      <c r="E26" s="6" t="str">
        <f ca="1">IFERROR(__xludf.DUMMYFUNCTION("""COMPUTED_VALUE"""),"Parked")</f>
        <v>Parked</v>
      </c>
    </row>
    <row r="27" spans="1:5">
      <c r="A27" s="6" t="str">
        <f ca="1">IFERROR(__xludf.DUMMYFUNCTION("""COMPUTED_VALUE"""),"Qualification")</f>
        <v>Qualification</v>
      </c>
      <c r="B27" s="6">
        <f ca="1">IFERROR(__xludf.DUMMYFUNCTION("""COMPUTED_VALUE"""),26)</f>
        <v>26</v>
      </c>
      <c r="C27" s="6">
        <f ca="1">IFERROR(__xludf.DUMMYFUNCTION("""COMPUTED_VALUE"""),5339)</f>
        <v>5339</v>
      </c>
      <c r="D27" s="6" t="str">
        <f ca="1">IFERROR(__xludf.DUMMYFUNCTION("""COMPUTED_VALUE"""),"Yes")</f>
        <v>Yes</v>
      </c>
      <c r="E27" s="6" t="str">
        <f ca="1">IFERROR(__xludf.DUMMYFUNCTION("""COMPUTED_VALUE"""),"Parked")</f>
        <v>Parked</v>
      </c>
    </row>
    <row r="28" spans="1:5">
      <c r="A28" s="6" t="str">
        <f ca="1">IFERROR(__xludf.DUMMYFUNCTION("""COMPUTED_VALUE"""),"Qualification")</f>
        <v>Qualification</v>
      </c>
      <c r="B28" s="6">
        <f ca="1">IFERROR(__xludf.DUMMYFUNCTION("""COMPUTED_VALUE"""),27)</f>
        <v>27</v>
      </c>
      <c r="C28" s="6">
        <f ca="1">IFERROR(__xludf.DUMMYFUNCTION("""COMPUTED_VALUE"""),7041)</f>
        <v>7041</v>
      </c>
      <c r="D28" s="6" t="str">
        <f ca="1">IFERROR(__xludf.DUMMYFUNCTION("""COMPUTED_VALUE"""),"Yes")</f>
        <v>Yes</v>
      </c>
      <c r="E28" s="6" t="str">
        <f ca="1">IFERROR(__xludf.DUMMYFUNCTION("""COMPUTED_VALUE"""),"DeepCage")</f>
        <v>DeepCage</v>
      </c>
    </row>
    <row r="29" spans="1:5">
      <c r="A29" s="6" t="str">
        <f ca="1">IFERROR(__xludf.DUMMYFUNCTION("""COMPUTED_VALUE"""),"Qualification")</f>
        <v>Qualification</v>
      </c>
      <c r="B29" s="6">
        <f ca="1">IFERROR(__xludf.DUMMYFUNCTION("""COMPUTED_VALUE"""),28)</f>
        <v>28</v>
      </c>
      <c r="C29" s="6">
        <f ca="1">IFERROR(__xludf.DUMMYFUNCTION("""COMPUTED_VALUE"""),1410)</f>
        <v>1410</v>
      </c>
      <c r="D29" s="6" t="str">
        <f ca="1">IFERROR(__xludf.DUMMYFUNCTION("""COMPUTED_VALUE"""),"Yes")</f>
        <v>Yes</v>
      </c>
      <c r="E29" s="6" t="str">
        <f ca="1">IFERROR(__xludf.DUMMYFUNCTION("""COMPUTED_VALUE"""),"Parked")</f>
        <v>Parked</v>
      </c>
    </row>
    <row r="30" spans="1:5">
      <c r="A30" s="6" t="str">
        <f ca="1">IFERROR(__xludf.DUMMYFUNCTION("""COMPUTED_VALUE"""),"Qualification")</f>
        <v>Qualification</v>
      </c>
      <c r="B30" s="6">
        <f ca="1">IFERROR(__xludf.DUMMYFUNCTION("""COMPUTED_VALUE"""),29)</f>
        <v>29</v>
      </c>
      <c r="C30" s="6">
        <f ca="1">IFERROR(__xludf.DUMMYFUNCTION("""COMPUTED_VALUE"""),7021)</f>
        <v>7021</v>
      </c>
      <c r="D30" s="6" t="str">
        <f ca="1">IFERROR(__xludf.DUMMYFUNCTION("""COMPUTED_VALUE"""),"Yes")</f>
        <v>Yes</v>
      </c>
      <c r="E30" s="6" t="str">
        <f ca="1">IFERROR(__xludf.DUMMYFUNCTION("""COMPUTED_VALUE"""),"DeepCage")</f>
        <v>DeepCage</v>
      </c>
    </row>
    <row r="31" spans="1:5">
      <c r="A31" s="6" t="str">
        <f ca="1">IFERROR(__xludf.DUMMYFUNCTION("""COMPUTED_VALUE"""),"Qualification")</f>
        <v>Qualification</v>
      </c>
      <c r="B31" s="6">
        <f ca="1">IFERROR(__xludf.DUMMYFUNCTION("""COMPUTED_VALUE"""),30)</f>
        <v>30</v>
      </c>
      <c r="C31" s="6">
        <f ca="1">IFERROR(__xludf.DUMMYFUNCTION("""COMPUTED_VALUE"""),10173)</f>
        <v>10173</v>
      </c>
      <c r="D31" s="6" t="str">
        <f ca="1">IFERROR(__xludf.DUMMYFUNCTION("""COMPUTED_VALUE"""),"Yes")</f>
        <v>Yes</v>
      </c>
      <c r="E31" s="6" t="str">
        <f ca="1">IFERROR(__xludf.DUMMYFUNCTION("""COMPUTED_VALUE"""),"Parked")</f>
        <v>Parked</v>
      </c>
    </row>
    <row r="32" spans="1:5">
      <c r="A32" s="6" t="str">
        <f ca="1">IFERROR(__xludf.DUMMYFUNCTION("""COMPUTED_VALUE"""),"Qualification")</f>
        <v>Qualification</v>
      </c>
      <c r="B32" s="6">
        <f ca="1">IFERROR(__xludf.DUMMYFUNCTION("""COMPUTED_VALUE"""),31)</f>
        <v>31</v>
      </c>
      <c r="C32" s="6">
        <f ca="1">IFERROR(__xludf.DUMMYFUNCTION("""COMPUTED_VALUE"""),2531)</f>
        <v>2531</v>
      </c>
      <c r="D32" s="6" t="str">
        <f ca="1">IFERROR(__xludf.DUMMYFUNCTION("""COMPUTED_VALUE"""),"Yes")</f>
        <v>Yes</v>
      </c>
      <c r="E32" s="6" t="str">
        <f ca="1">IFERROR(__xludf.DUMMYFUNCTION("""COMPUTED_VALUE"""),"None")</f>
        <v>None</v>
      </c>
    </row>
    <row r="33" spans="1:5">
      <c r="A33" s="6" t="str">
        <f ca="1">IFERROR(__xludf.DUMMYFUNCTION("""COMPUTED_VALUE"""),"Qualification")</f>
        <v>Qualification</v>
      </c>
      <c r="B33" s="6">
        <f ca="1">IFERROR(__xludf.DUMMYFUNCTION("""COMPUTED_VALUE"""),32)</f>
        <v>32</v>
      </c>
      <c r="C33" s="6">
        <f ca="1">IFERROR(__xludf.DUMMYFUNCTION("""COMPUTED_VALUE"""),7048)</f>
        <v>7048</v>
      </c>
      <c r="D33" s="6" t="str">
        <f ca="1">IFERROR(__xludf.DUMMYFUNCTION("""COMPUTED_VALUE"""),"Yes")</f>
        <v>Yes</v>
      </c>
      <c r="E33" s="6" t="str">
        <f ca="1">IFERROR(__xludf.DUMMYFUNCTION("""COMPUTED_VALUE"""),"DeepCage")</f>
        <v>DeepCage</v>
      </c>
    </row>
    <row r="34" spans="1:5">
      <c r="A34" s="6" t="str">
        <f ca="1">IFERROR(__xludf.DUMMYFUNCTION("""COMPUTED_VALUE"""),"Qualification")</f>
        <v>Qualification</v>
      </c>
      <c r="B34" s="6">
        <f ca="1">IFERROR(__xludf.DUMMYFUNCTION("""COMPUTED_VALUE"""),33)</f>
        <v>33</v>
      </c>
      <c r="C34" s="6">
        <f ca="1">IFERROR(__xludf.DUMMYFUNCTION("""COMPUTED_VALUE"""),6758)</f>
        <v>6758</v>
      </c>
      <c r="D34" s="6" t="str">
        <f ca="1">IFERROR(__xludf.DUMMYFUNCTION("""COMPUTED_VALUE"""),"Yes")</f>
        <v>Yes</v>
      </c>
      <c r="E34" s="6" t="str">
        <f ca="1">IFERROR(__xludf.DUMMYFUNCTION("""COMPUTED_VALUE"""),"Parked")</f>
        <v>Parked</v>
      </c>
    </row>
    <row r="35" spans="1:5">
      <c r="A35" s="6" t="str">
        <f ca="1">IFERROR(__xludf.DUMMYFUNCTION("""COMPUTED_VALUE"""),"Qualification")</f>
        <v>Qualification</v>
      </c>
      <c r="B35" s="6">
        <f ca="1">IFERROR(__xludf.DUMMYFUNCTION("""COMPUTED_VALUE"""),34)</f>
        <v>34</v>
      </c>
      <c r="C35" s="6">
        <f ca="1">IFERROR(__xludf.DUMMYFUNCTION("""COMPUTED_VALUE"""),6047)</f>
        <v>6047</v>
      </c>
      <c r="D35" s="6" t="str">
        <f ca="1">IFERROR(__xludf.DUMMYFUNCTION("""COMPUTED_VALUE"""),"Yes")</f>
        <v>Yes</v>
      </c>
      <c r="E35" s="6" t="str">
        <f ca="1">IFERROR(__xludf.DUMMYFUNCTION("""COMPUTED_VALUE"""),"None")</f>
        <v>None</v>
      </c>
    </row>
    <row r="36" spans="1:5">
      <c r="A36" s="6" t="str">
        <f ca="1">IFERROR(__xludf.DUMMYFUNCTION("""COMPUTED_VALUE"""),"Qualification")</f>
        <v>Qualification</v>
      </c>
      <c r="B36" s="6">
        <f ca="1">IFERROR(__xludf.DUMMYFUNCTION("""COMPUTED_VALUE"""),35)</f>
        <v>35</v>
      </c>
      <c r="C36" s="6">
        <f ca="1">IFERROR(__xludf.DUMMYFUNCTION("""COMPUTED_VALUE"""),3061)</f>
        <v>3061</v>
      </c>
      <c r="D36" s="6" t="str">
        <f ca="1">IFERROR(__xludf.DUMMYFUNCTION("""COMPUTED_VALUE"""),"Yes")</f>
        <v>Yes</v>
      </c>
      <c r="E36" s="6" t="str">
        <f ca="1">IFERROR(__xludf.DUMMYFUNCTION("""COMPUTED_VALUE"""),"Parked")</f>
        <v>Parked</v>
      </c>
    </row>
    <row r="37" spans="1:5">
      <c r="A37" s="6" t="str">
        <f ca="1">IFERROR(__xludf.DUMMYFUNCTION("""COMPUTED_VALUE"""),"Qualification")</f>
        <v>Qualification</v>
      </c>
      <c r="B37" s="6">
        <f ca="1">IFERROR(__xludf.DUMMYFUNCTION("""COMPUTED_VALUE"""),36)</f>
        <v>36</v>
      </c>
      <c r="C37" s="6">
        <f ca="1">IFERROR(__xludf.DUMMYFUNCTION("""COMPUTED_VALUE"""),3042)</f>
        <v>3042</v>
      </c>
      <c r="D37" s="6" t="str">
        <f ca="1">IFERROR(__xludf.DUMMYFUNCTION("""COMPUTED_VALUE"""),"Yes")</f>
        <v>Yes</v>
      </c>
      <c r="E37" s="6" t="str">
        <f ca="1">IFERROR(__xludf.DUMMYFUNCTION("""COMPUTED_VALUE"""),"None")</f>
        <v>None</v>
      </c>
    </row>
    <row r="38" spans="1:5">
      <c r="A38" s="6" t="str">
        <f ca="1">IFERROR(__xludf.DUMMYFUNCTION("""COMPUTED_VALUE"""),"Qualification")</f>
        <v>Qualification</v>
      </c>
      <c r="B38" s="6">
        <f ca="1">IFERROR(__xludf.DUMMYFUNCTION("""COMPUTED_VALUE"""),37)</f>
        <v>37</v>
      </c>
      <c r="C38" s="6">
        <f ca="1">IFERROR(__xludf.DUMMYFUNCTION("""COMPUTED_VALUE"""),525)</f>
        <v>525</v>
      </c>
      <c r="D38" s="6" t="str">
        <f ca="1">IFERROR(__xludf.DUMMYFUNCTION("""COMPUTED_VALUE"""),"Yes")</f>
        <v>Yes</v>
      </c>
      <c r="E38" s="6" t="str">
        <f ca="1">IFERROR(__xludf.DUMMYFUNCTION("""COMPUTED_VALUE"""),"Parked")</f>
        <v>Parked</v>
      </c>
    </row>
    <row r="39" spans="1:5">
      <c r="A39" s="6" t="str">
        <f ca="1">IFERROR(__xludf.DUMMYFUNCTION("""COMPUTED_VALUE"""),"Qualification")</f>
        <v>Qualification</v>
      </c>
      <c r="B39" s="6">
        <f ca="1">IFERROR(__xludf.DUMMYFUNCTION("""COMPUTED_VALUE"""),38)</f>
        <v>38</v>
      </c>
      <c r="C39" s="6">
        <f ca="1">IFERROR(__xludf.DUMMYFUNCTION("""COMPUTED_VALUE"""),10474)</f>
        <v>10474</v>
      </c>
      <c r="D39" s="6" t="str">
        <f ca="1">IFERROR(__xludf.DUMMYFUNCTION("""COMPUTED_VALUE"""),"Yes")</f>
        <v>Yes</v>
      </c>
      <c r="E39" s="6" t="str">
        <f ca="1">IFERROR(__xludf.DUMMYFUNCTION("""COMPUTED_VALUE"""),"Parked")</f>
        <v>Parked</v>
      </c>
    </row>
    <row r="40" spans="1:5">
      <c r="A40" s="6" t="str">
        <f ca="1">IFERROR(__xludf.DUMMYFUNCTION("""COMPUTED_VALUE"""),"Qualification")</f>
        <v>Qualification</v>
      </c>
      <c r="B40" s="6">
        <f ca="1">IFERROR(__xludf.DUMMYFUNCTION("""COMPUTED_VALUE"""),39)</f>
        <v>39</v>
      </c>
      <c r="C40" s="6">
        <f ca="1">IFERROR(__xludf.DUMMYFUNCTION("""COMPUTED_VALUE"""),2383)</f>
        <v>2383</v>
      </c>
      <c r="D40" s="6" t="str">
        <f ca="1">IFERROR(__xludf.DUMMYFUNCTION("""COMPUTED_VALUE"""),"Yes")</f>
        <v>Yes</v>
      </c>
      <c r="E40" s="6" t="str">
        <f ca="1">IFERROR(__xludf.DUMMYFUNCTION("""COMPUTED_VALUE"""),"DeepCage")</f>
        <v>DeepCage</v>
      </c>
    </row>
    <row r="41" spans="1:5">
      <c r="A41" s="6" t="str">
        <f ca="1">IFERROR(__xludf.DUMMYFUNCTION("""COMPUTED_VALUE"""),"Qualification")</f>
        <v>Qualification</v>
      </c>
      <c r="B41" s="6">
        <f ca="1">IFERROR(__xludf.DUMMYFUNCTION("""COMPUTED_VALUE"""),40)</f>
        <v>40</v>
      </c>
      <c r="C41" s="6">
        <f ca="1">IFERROR(__xludf.DUMMYFUNCTION("""COMPUTED_VALUE"""),4418)</f>
        <v>4418</v>
      </c>
      <c r="D41" s="6" t="str">
        <f ca="1">IFERROR(__xludf.DUMMYFUNCTION("""COMPUTED_VALUE"""),"Yes")</f>
        <v>Yes</v>
      </c>
      <c r="E41" s="6" t="str">
        <f ca="1">IFERROR(__xludf.DUMMYFUNCTION("""COMPUTED_VALUE"""),"Parked")</f>
        <v>Parked</v>
      </c>
    </row>
    <row r="42" spans="1:5">
      <c r="A42" s="6" t="str">
        <f ca="1">IFERROR(__xludf.DUMMYFUNCTION("""COMPUTED_VALUE"""),"Qualification")</f>
        <v>Qualification</v>
      </c>
      <c r="B42" s="6">
        <f ca="1">IFERROR(__xludf.DUMMYFUNCTION("""COMPUTED_VALUE"""),41)</f>
        <v>41</v>
      </c>
      <c r="C42" s="6">
        <f ca="1">IFERROR(__xludf.DUMMYFUNCTION("""COMPUTED_VALUE"""),2290)</f>
        <v>2290</v>
      </c>
      <c r="D42" s="6" t="str">
        <f ca="1">IFERROR(__xludf.DUMMYFUNCTION("""COMPUTED_VALUE"""),"Yes")</f>
        <v>Yes</v>
      </c>
      <c r="E42" s="6" t="str">
        <f ca="1">IFERROR(__xludf.DUMMYFUNCTION("""COMPUTED_VALUE"""),"Parked")</f>
        <v>Parked</v>
      </c>
    </row>
    <row r="43" spans="1:5">
      <c r="A43" s="6" t="str">
        <f ca="1">IFERROR(__xludf.DUMMYFUNCTION("""COMPUTED_VALUE"""),"Qualification")</f>
        <v>Qualification</v>
      </c>
      <c r="B43" s="6">
        <f ca="1">IFERROR(__xludf.DUMMYFUNCTION("""COMPUTED_VALUE"""),42)</f>
        <v>42</v>
      </c>
      <c r="C43" s="6">
        <f ca="1">IFERROR(__xludf.DUMMYFUNCTION("""COMPUTED_VALUE"""),2177)</f>
        <v>2177</v>
      </c>
      <c r="D43" s="6" t="str">
        <f ca="1">IFERROR(__xludf.DUMMYFUNCTION("""COMPUTED_VALUE"""),"Yes")</f>
        <v>Yes</v>
      </c>
      <c r="E43" s="6" t="str">
        <f ca="1">IFERROR(__xludf.DUMMYFUNCTION("""COMPUTED_VALUE"""),"Parked")</f>
        <v>Parked</v>
      </c>
    </row>
    <row r="44" spans="1:5">
      <c r="A44" s="6" t="str">
        <f ca="1">IFERROR(__xludf.DUMMYFUNCTION("""COMPUTED_VALUE"""),"Qualification")</f>
        <v>Qualification</v>
      </c>
      <c r="B44" s="6">
        <f ca="1">IFERROR(__xludf.DUMMYFUNCTION("""COMPUTED_VALUE"""),43)</f>
        <v>43</v>
      </c>
      <c r="C44" s="6">
        <f ca="1">IFERROR(__xludf.DUMMYFUNCTION("""COMPUTED_VALUE"""),3298)</f>
        <v>3298</v>
      </c>
      <c r="D44" s="6" t="str">
        <f ca="1">IFERROR(__xludf.DUMMYFUNCTION("""COMPUTED_VALUE"""),"Yes")</f>
        <v>Yes</v>
      </c>
      <c r="E44" s="6" t="str">
        <f ca="1">IFERROR(__xludf.DUMMYFUNCTION("""COMPUTED_VALUE"""),"Parked")</f>
        <v>Parked</v>
      </c>
    </row>
    <row r="45" spans="1:5">
      <c r="A45" s="6" t="str">
        <f ca="1">IFERROR(__xludf.DUMMYFUNCTION("""COMPUTED_VALUE"""),"Qualification")</f>
        <v>Qualification</v>
      </c>
      <c r="B45" s="6">
        <f ca="1">IFERROR(__xludf.DUMMYFUNCTION("""COMPUTED_VALUE"""),44)</f>
        <v>44</v>
      </c>
      <c r="C45" s="6">
        <f ca="1">IFERROR(__xludf.DUMMYFUNCTION("""COMPUTED_VALUE"""),5913)</f>
        <v>5913</v>
      </c>
      <c r="D45" s="6" t="str">
        <f ca="1">IFERROR(__xludf.DUMMYFUNCTION("""COMPUTED_VALUE"""),"Yes")</f>
        <v>Yes</v>
      </c>
      <c r="E45" s="6" t="str">
        <f ca="1">IFERROR(__xludf.DUMMYFUNCTION("""COMPUTED_VALUE"""),"Parked")</f>
        <v>Parked</v>
      </c>
    </row>
    <row r="46" spans="1:5">
      <c r="A46" s="6" t="str">
        <f ca="1">IFERROR(__xludf.DUMMYFUNCTION("""COMPUTED_VALUE"""),"Qualification")</f>
        <v>Qualification</v>
      </c>
      <c r="B46" s="6">
        <f ca="1">IFERROR(__xludf.DUMMYFUNCTION("""COMPUTED_VALUE"""),45)</f>
        <v>45</v>
      </c>
      <c r="C46" s="6">
        <f ca="1">IFERROR(__xludf.DUMMYFUNCTION("""COMPUTED_VALUE"""),111)</f>
        <v>111</v>
      </c>
      <c r="D46" s="6" t="str">
        <f ca="1">IFERROR(__xludf.DUMMYFUNCTION("""COMPUTED_VALUE"""),"Yes")</f>
        <v>Yes</v>
      </c>
      <c r="E46" s="6" t="str">
        <f ca="1">IFERROR(__xludf.DUMMYFUNCTION("""COMPUTED_VALUE"""),"DeepCage")</f>
        <v>DeepCage</v>
      </c>
    </row>
    <row r="47" spans="1:5">
      <c r="A47" s="6" t="str">
        <f ca="1">IFERROR(__xludf.DUMMYFUNCTION("""COMPUTED_VALUE"""),"Qualification")</f>
        <v>Qualification</v>
      </c>
      <c r="B47" s="6">
        <f ca="1">IFERROR(__xludf.DUMMYFUNCTION("""COMPUTED_VALUE"""),46)</f>
        <v>46</v>
      </c>
      <c r="C47" s="6">
        <f ca="1">IFERROR(__xludf.DUMMYFUNCTION("""COMPUTED_VALUE"""),4360)</f>
        <v>4360</v>
      </c>
      <c r="D47" s="6" t="str">
        <f ca="1">IFERROR(__xludf.DUMMYFUNCTION("""COMPUTED_VALUE"""),"Yes")</f>
        <v>Yes</v>
      </c>
      <c r="E47" s="6" t="str">
        <f ca="1">IFERROR(__xludf.DUMMYFUNCTION("""COMPUTED_VALUE"""),"Parked")</f>
        <v>Parked</v>
      </c>
    </row>
    <row r="48" spans="1:5">
      <c r="A48" s="6" t="str">
        <f ca="1">IFERROR(__xludf.DUMMYFUNCTION("""COMPUTED_VALUE"""),"Qualification")</f>
        <v>Qualification</v>
      </c>
      <c r="B48" s="6">
        <f ca="1">IFERROR(__xludf.DUMMYFUNCTION("""COMPUTED_VALUE"""),47)</f>
        <v>47</v>
      </c>
      <c r="C48" s="6">
        <f ca="1">IFERROR(__xludf.DUMMYFUNCTION("""COMPUTED_VALUE"""),10173)</f>
        <v>10173</v>
      </c>
      <c r="D48" s="6" t="str">
        <f ca="1">IFERROR(__xludf.DUMMYFUNCTION("""COMPUTED_VALUE"""),"Yes")</f>
        <v>Yes</v>
      </c>
      <c r="E48" s="6" t="str">
        <f ca="1">IFERROR(__xludf.DUMMYFUNCTION("""COMPUTED_VALUE"""),"Parked")</f>
        <v>Parked</v>
      </c>
    </row>
    <row r="49" spans="1:5">
      <c r="A49" s="6" t="str">
        <f ca="1">IFERROR(__xludf.DUMMYFUNCTION("""COMPUTED_VALUE"""),"Qualification")</f>
        <v>Qualification</v>
      </c>
      <c r="B49" s="6">
        <f ca="1">IFERROR(__xludf.DUMMYFUNCTION("""COMPUTED_VALUE"""),48)</f>
        <v>48</v>
      </c>
      <c r="C49" s="6">
        <f ca="1">IFERROR(__xludf.DUMMYFUNCTION("""COMPUTED_VALUE"""),3883)</f>
        <v>3883</v>
      </c>
      <c r="D49" s="6" t="str">
        <f ca="1">IFERROR(__xludf.DUMMYFUNCTION("""COMPUTED_VALUE"""),"Yes")</f>
        <v>Yes</v>
      </c>
      <c r="E49" s="6" t="str">
        <f ca="1">IFERROR(__xludf.DUMMYFUNCTION("""COMPUTED_VALUE"""),"DeepCage")</f>
        <v>DeepCage</v>
      </c>
    </row>
    <row r="50" spans="1:5">
      <c r="A50" s="6" t="str">
        <f ca="1">IFERROR(__xludf.DUMMYFUNCTION("""COMPUTED_VALUE"""),"Qualification")</f>
        <v>Qualification</v>
      </c>
      <c r="B50" s="6">
        <f ca="1">IFERROR(__xludf.DUMMYFUNCTION("""COMPUTED_VALUE"""),49)</f>
        <v>49</v>
      </c>
      <c r="C50" s="6">
        <f ca="1">IFERROR(__xludf.DUMMYFUNCTION("""COMPUTED_VALUE"""),4531)</f>
        <v>4531</v>
      </c>
      <c r="D50" s="6" t="str">
        <f ca="1">IFERROR(__xludf.DUMMYFUNCTION("""COMPUTED_VALUE"""),"Yes")</f>
        <v>Yes</v>
      </c>
      <c r="E50" s="6" t="str">
        <f ca="1">IFERROR(__xludf.DUMMYFUNCTION("""COMPUTED_VALUE"""),"Parked")</f>
        <v>Parked</v>
      </c>
    </row>
    <row r="51" spans="1:5">
      <c r="A51" s="6" t="str">
        <f ca="1">IFERROR(__xludf.DUMMYFUNCTION("""COMPUTED_VALUE"""),"Qualification")</f>
        <v>Qualification</v>
      </c>
      <c r="B51" s="6">
        <f ca="1">IFERROR(__xludf.DUMMYFUNCTION("""COMPUTED_VALUE"""),50)</f>
        <v>50</v>
      </c>
      <c r="C51" s="6">
        <f ca="1">IFERROR(__xludf.DUMMYFUNCTION("""COMPUTED_VALUE"""),2513)</f>
        <v>2513</v>
      </c>
      <c r="D51" s="6" t="str">
        <f ca="1">IFERROR(__xludf.DUMMYFUNCTION("""COMPUTED_VALUE"""),"Yes")</f>
        <v>Yes</v>
      </c>
      <c r="E51" s="6" t="str">
        <f ca="1">IFERROR(__xludf.DUMMYFUNCTION("""COMPUTED_VALUE"""),"None")</f>
        <v>None</v>
      </c>
    </row>
    <row r="52" spans="1:5">
      <c r="A52" s="6" t="str">
        <f ca="1">IFERROR(__xludf.DUMMYFUNCTION("""COMPUTED_VALUE"""),"Qualification")</f>
        <v>Qualification</v>
      </c>
      <c r="B52" s="6">
        <f ca="1">IFERROR(__xludf.DUMMYFUNCTION("""COMPUTED_VALUE"""),51)</f>
        <v>51</v>
      </c>
      <c r="C52" s="6">
        <f ca="1">IFERROR(__xludf.DUMMYFUNCTION("""COMPUTED_VALUE"""),6420)</f>
        <v>6420</v>
      </c>
      <c r="D52" s="6" t="str">
        <f ca="1">IFERROR(__xludf.DUMMYFUNCTION("""COMPUTED_VALUE"""),"Yes")</f>
        <v>Yes</v>
      </c>
      <c r="E52" s="6" t="str">
        <f ca="1">IFERROR(__xludf.DUMMYFUNCTION("""COMPUTED_VALUE"""),"Parked")</f>
        <v>Parked</v>
      </c>
    </row>
    <row r="53" spans="1:5">
      <c r="A53" s="6" t="str">
        <f ca="1">IFERROR(__xludf.DUMMYFUNCTION("""COMPUTED_VALUE"""),"Qualification")</f>
        <v>Qualification</v>
      </c>
      <c r="B53" s="6">
        <f ca="1">IFERROR(__xludf.DUMMYFUNCTION("""COMPUTED_VALUE"""),52)</f>
        <v>52</v>
      </c>
      <c r="C53" s="6">
        <f ca="1">IFERROR(__xludf.DUMMYFUNCTION("""COMPUTED_VALUE"""),6132)</f>
        <v>6132</v>
      </c>
      <c r="D53" s="6" t="str">
        <f ca="1">IFERROR(__xludf.DUMMYFUNCTION("""COMPUTED_VALUE"""),"Yes")</f>
        <v>Yes</v>
      </c>
      <c r="E53" s="6" t="str">
        <f ca="1">IFERROR(__xludf.DUMMYFUNCTION("""COMPUTED_VALUE"""),"DeepCage")</f>
        <v>DeepCage</v>
      </c>
    </row>
    <row r="54" spans="1:5">
      <c r="A54" s="6" t="str">
        <f ca="1">IFERROR(__xludf.DUMMYFUNCTION("""COMPUTED_VALUE"""),"Qualification")</f>
        <v>Qualification</v>
      </c>
      <c r="B54" s="6">
        <f ca="1">IFERROR(__xludf.DUMMYFUNCTION("""COMPUTED_VALUE"""),53)</f>
        <v>53</v>
      </c>
      <c r="C54" s="6">
        <f ca="1">IFERROR(__xludf.DUMMYFUNCTION("""COMPUTED_VALUE"""),2977)</f>
        <v>2977</v>
      </c>
      <c r="D54" s="6" t="str">
        <f ca="1">IFERROR(__xludf.DUMMYFUNCTION("""COMPUTED_VALUE"""),"Yes")</f>
        <v>Yes</v>
      </c>
      <c r="E54" s="6" t="str">
        <f ca="1">IFERROR(__xludf.DUMMYFUNCTION("""COMPUTED_VALUE"""),"Parked")</f>
        <v>Parked</v>
      </c>
    </row>
    <row r="55" spans="1:5">
      <c r="A55" s="6" t="str">
        <f ca="1">IFERROR(__xludf.DUMMYFUNCTION("""COMPUTED_VALUE"""),"Qualification")</f>
        <v>Qualification</v>
      </c>
      <c r="B55" s="6">
        <f ca="1">IFERROR(__xludf.DUMMYFUNCTION("""COMPUTED_VALUE"""),54)</f>
        <v>54</v>
      </c>
      <c r="C55" s="6">
        <f ca="1">IFERROR(__xludf.DUMMYFUNCTION("""COMPUTED_VALUE"""),4215)</f>
        <v>4215</v>
      </c>
      <c r="D55" s="6" t="str">
        <f ca="1">IFERROR(__xludf.DUMMYFUNCTION("""COMPUTED_VALUE"""),"No")</f>
        <v>No</v>
      </c>
      <c r="E55" s="6" t="str">
        <f ca="1">IFERROR(__xludf.DUMMYFUNCTION("""COMPUTED_VALUE"""),"None")</f>
        <v>None</v>
      </c>
    </row>
    <row r="56" spans="1:5">
      <c r="A56" s="6" t="str">
        <f ca="1">IFERROR(__xludf.DUMMYFUNCTION("""COMPUTED_VALUE"""),"Qualification")</f>
        <v>Qualification</v>
      </c>
      <c r="B56" s="6">
        <f ca="1">IFERROR(__xludf.DUMMYFUNCTION("""COMPUTED_VALUE"""),55)</f>
        <v>55</v>
      </c>
      <c r="C56" s="6">
        <f ca="1">IFERROR(__xludf.DUMMYFUNCTION("""COMPUTED_VALUE"""),3883)</f>
        <v>3883</v>
      </c>
      <c r="D56" s="6" t="str">
        <f ca="1">IFERROR(__xludf.DUMMYFUNCTION("""COMPUTED_VALUE"""),"Yes")</f>
        <v>Yes</v>
      </c>
      <c r="E56" s="6" t="str">
        <f ca="1">IFERROR(__xludf.DUMMYFUNCTION("""COMPUTED_VALUE"""),"DeepCage")</f>
        <v>DeepCage</v>
      </c>
    </row>
    <row r="57" spans="1:5">
      <c r="A57" s="6" t="str">
        <f ca="1">IFERROR(__xludf.DUMMYFUNCTION("""COMPUTED_VALUE"""),"Qualification")</f>
        <v>Qualification</v>
      </c>
      <c r="B57" s="6">
        <f ca="1">IFERROR(__xludf.DUMMYFUNCTION("""COMPUTED_VALUE"""),56)</f>
        <v>56</v>
      </c>
      <c r="C57" s="6">
        <f ca="1">IFERROR(__xludf.DUMMYFUNCTION("""COMPUTED_VALUE"""),4593)</f>
        <v>4593</v>
      </c>
      <c r="D57" s="6" t="str">
        <f ca="1">IFERROR(__xludf.DUMMYFUNCTION("""COMPUTED_VALUE"""),"Yes")</f>
        <v>Yes</v>
      </c>
      <c r="E57" s="6" t="str">
        <f ca="1">IFERROR(__xludf.DUMMYFUNCTION("""COMPUTED_VALUE"""),"None")</f>
        <v>None</v>
      </c>
    </row>
    <row r="58" spans="1:5">
      <c r="A58" s="6" t="str">
        <f ca="1">IFERROR(__xludf.DUMMYFUNCTION("""COMPUTED_VALUE"""),"Qualification")</f>
        <v>Qualification</v>
      </c>
      <c r="B58" s="6">
        <f ca="1">IFERROR(__xludf.DUMMYFUNCTION("""COMPUTED_VALUE"""),57)</f>
        <v>57</v>
      </c>
      <c r="C58" s="6">
        <f ca="1">IFERROR(__xludf.DUMMYFUNCTION("""COMPUTED_VALUE"""),2472)</f>
        <v>2472</v>
      </c>
      <c r="D58" s="6" t="str">
        <f ca="1">IFERROR(__xludf.DUMMYFUNCTION("""COMPUTED_VALUE"""),"Yes")</f>
        <v>Yes</v>
      </c>
      <c r="E58" s="6" t="str">
        <f ca="1">IFERROR(__xludf.DUMMYFUNCTION("""COMPUTED_VALUE"""),"Parked")</f>
        <v>Parked</v>
      </c>
    </row>
    <row r="59" spans="1:5">
      <c r="A59" s="6" t="str">
        <f ca="1">IFERROR(__xludf.DUMMYFUNCTION("""COMPUTED_VALUE"""),"Qualification")</f>
        <v>Qualification</v>
      </c>
      <c r="B59" s="6">
        <f ca="1">IFERROR(__xludf.DUMMYFUNCTION("""COMPUTED_VALUE"""),58)</f>
        <v>58</v>
      </c>
      <c r="C59" s="6">
        <f ca="1">IFERROR(__xludf.DUMMYFUNCTION("""COMPUTED_VALUE"""),2501)</f>
        <v>2501</v>
      </c>
      <c r="D59" s="6" t="str">
        <f ca="1">IFERROR(__xludf.DUMMYFUNCTION("""COMPUTED_VALUE"""),"Yes")</f>
        <v>Yes</v>
      </c>
      <c r="E59" s="6" t="str">
        <f ca="1">IFERROR(__xludf.DUMMYFUNCTION("""COMPUTED_VALUE"""),"Parked")</f>
        <v>Parked</v>
      </c>
    </row>
    <row r="60" spans="1:5">
      <c r="A60" s="6" t="str">
        <f ca="1">IFERROR(__xludf.DUMMYFUNCTION("""COMPUTED_VALUE"""),"Qualification")</f>
        <v>Qualification</v>
      </c>
      <c r="B60" s="6">
        <f ca="1">IFERROR(__xludf.DUMMYFUNCTION("""COMPUTED_VALUE"""),59)</f>
        <v>59</v>
      </c>
      <c r="C60" s="6">
        <f ca="1">IFERROR(__xludf.DUMMYFUNCTION("""COMPUTED_VALUE"""),2290)</f>
        <v>2290</v>
      </c>
      <c r="D60" s="6" t="str">
        <f ca="1">IFERROR(__xludf.DUMMYFUNCTION("""COMPUTED_VALUE"""),"Yes")</f>
        <v>Yes</v>
      </c>
      <c r="E60" s="6" t="str">
        <f ca="1">IFERROR(__xludf.DUMMYFUNCTION("""COMPUTED_VALUE"""),"Parked")</f>
        <v>Parked</v>
      </c>
    </row>
    <row r="61" spans="1:5">
      <c r="A61" s="6" t="str">
        <f ca="1">IFERROR(__xludf.DUMMYFUNCTION("""COMPUTED_VALUE"""),"Qualification")</f>
        <v>Qualification</v>
      </c>
      <c r="B61" s="6">
        <f ca="1">IFERROR(__xludf.DUMMYFUNCTION("""COMPUTED_VALUE"""),60)</f>
        <v>60</v>
      </c>
      <c r="C61" s="6">
        <f ca="1">IFERROR(__xludf.DUMMYFUNCTION("""COMPUTED_VALUE"""),6160)</f>
        <v>6160</v>
      </c>
      <c r="D61" s="6" t="str">
        <f ca="1">IFERROR(__xludf.DUMMYFUNCTION("""COMPUTED_VALUE"""),"Yes")</f>
        <v>Yes</v>
      </c>
      <c r="E61" s="6" t="str">
        <f ca="1">IFERROR(__xludf.DUMMYFUNCTION("""COMPUTED_VALUE"""),"None")</f>
        <v>None</v>
      </c>
    </row>
    <row r="62" spans="1:5">
      <c r="A62" s="6" t="str">
        <f ca="1">IFERROR(__xludf.DUMMYFUNCTION("""COMPUTED_VALUE"""),"Qualification")</f>
        <v>Qualification</v>
      </c>
      <c r="B62" s="6">
        <f ca="1">IFERROR(__xludf.DUMMYFUNCTION("""COMPUTED_VALUE"""),61)</f>
        <v>61</v>
      </c>
      <c r="C62" s="6">
        <f ca="1">IFERROR(__xludf.DUMMYFUNCTION("""COMPUTED_VALUE"""),6047)</f>
        <v>6047</v>
      </c>
      <c r="D62" s="6" t="str">
        <f ca="1">IFERROR(__xludf.DUMMYFUNCTION("""COMPUTED_VALUE"""),"Yes")</f>
        <v>Yes</v>
      </c>
      <c r="E62" s="6" t="str">
        <f ca="1">IFERROR(__xludf.DUMMYFUNCTION("""COMPUTED_VALUE"""),"None")</f>
        <v>None</v>
      </c>
    </row>
    <row r="63" spans="1:5">
      <c r="A63" s="6" t="str">
        <f ca="1">IFERROR(__xludf.DUMMYFUNCTION("""COMPUTED_VALUE"""),"Qualification")</f>
        <v>Qualification</v>
      </c>
      <c r="B63" s="6">
        <f ca="1">IFERROR(__xludf.DUMMYFUNCTION("""COMPUTED_VALUE"""),62)</f>
        <v>62</v>
      </c>
      <c r="C63" s="6">
        <f ca="1">IFERROR(__xludf.DUMMYFUNCTION("""COMPUTED_VALUE"""),4215)</f>
        <v>4215</v>
      </c>
      <c r="D63" s="6" t="str">
        <f ca="1">IFERROR(__xludf.DUMMYFUNCTION("""COMPUTED_VALUE"""),"Yes")</f>
        <v>Yes</v>
      </c>
      <c r="E63" s="6" t="str">
        <f ca="1">IFERROR(__xludf.DUMMYFUNCTION("""COMPUTED_VALUE"""),"Parked")</f>
        <v>Parked</v>
      </c>
    </row>
    <row r="64" spans="1:5">
      <c r="A64" s="6" t="str">
        <f ca="1">IFERROR(__xludf.DUMMYFUNCTION("""COMPUTED_VALUE"""),"Qualification")</f>
        <v>Qualification</v>
      </c>
      <c r="B64" s="6">
        <f ca="1">IFERROR(__xludf.DUMMYFUNCTION("""COMPUTED_VALUE"""),63)</f>
        <v>63</v>
      </c>
      <c r="C64" s="6">
        <f ca="1">IFERROR(__xludf.DUMMYFUNCTION("""COMPUTED_VALUE"""),5253)</f>
        <v>5253</v>
      </c>
      <c r="D64" s="6" t="str">
        <f ca="1">IFERROR(__xludf.DUMMYFUNCTION("""COMPUTED_VALUE"""),"Yes")</f>
        <v>Yes</v>
      </c>
      <c r="E64" s="6" t="str">
        <f ca="1">IFERROR(__xludf.DUMMYFUNCTION("""COMPUTED_VALUE"""),"None")</f>
        <v>None</v>
      </c>
    </row>
    <row r="65" spans="1:5">
      <c r="A65" s="6" t="str">
        <f ca="1">IFERROR(__xludf.DUMMYFUNCTION("""COMPUTED_VALUE"""),"Qualification")</f>
        <v>Qualification</v>
      </c>
      <c r="B65" s="6">
        <f ca="1">IFERROR(__xludf.DUMMYFUNCTION("""COMPUTED_VALUE"""),64)</f>
        <v>64</v>
      </c>
      <c r="C65" s="6">
        <f ca="1">IFERROR(__xludf.DUMMYFUNCTION("""COMPUTED_VALUE"""),2472)</f>
        <v>2472</v>
      </c>
      <c r="D65" s="6" t="str">
        <f ca="1">IFERROR(__xludf.DUMMYFUNCTION("""COMPUTED_VALUE"""),"No")</f>
        <v>No</v>
      </c>
      <c r="E65" s="6" t="str">
        <f ca="1">IFERROR(__xludf.DUMMYFUNCTION("""COMPUTED_VALUE"""),"Parked")</f>
        <v>Parked</v>
      </c>
    </row>
    <row r="66" spans="1:5">
      <c r="A66" s="6" t="str">
        <f ca="1">IFERROR(__xludf.DUMMYFUNCTION("""COMPUTED_VALUE"""),"Qualification")</f>
        <v>Qualification</v>
      </c>
      <c r="B66" s="6">
        <f ca="1">IFERROR(__xludf.DUMMYFUNCTION("""COMPUTED_VALUE"""),65)</f>
        <v>65</v>
      </c>
      <c r="C66" s="6">
        <f ca="1">IFERROR(__xludf.DUMMYFUNCTION("""COMPUTED_VALUE"""),2177)</f>
        <v>2177</v>
      </c>
      <c r="D66" s="6" t="str">
        <f ca="1">IFERROR(__xludf.DUMMYFUNCTION("""COMPUTED_VALUE"""),"Yes")</f>
        <v>Yes</v>
      </c>
      <c r="E66" s="6" t="str">
        <f ca="1">IFERROR(__xludf.DUMMYFUNCTION("""COMPUTED_VALUE"""),"Parked")</f>
        <v>Parked</v>
      </c>
    </row>
    <row r="67" spans="1:5">
      <c r="A67" s="6" t="str">
        <f ca="1">IFERROR(__xludf.DUMMYFUNCTION("""COMPUTED_VALUE"""),"Qualification")</f>
        <v>Qualification</v>
      </c>
      <c r="B67" s="6">
        <f ca="1">IFERROR(__xludf.DUMMYFUNCTION("""COMPUTED_VALUE"""),66)</f>
        <v>66</v>
      </c>
      <c r="C67" s="6">
        <f ca="1">IFERROR(__xludf.DUMMYFUNCTION("""COMPUTED_VALUE"""),3054)</f>
        <v>3054</v>
      </c>
      <c r="D67" s="6" t="str">
        <f ca="1">IFERROR(__xludf.DUMMYFUNCTION("""COMPUTED_VALUE"""),"No")</f>
        <v>No</v>
      </c>
      <c r="E67" s="6" t="str">
        <f ca="1">IFERROR(__xludf.DUMMYFUNCTION("""COMPUTED_VALUE"""),"Parked")</f>
        <v>Parked</v>
      </c>
    </row>
    <row r="68" spans="1:5">
      <c r="A68" s="6" t="str">
        <f ca="1">IFERROR(__xludf.DUMMYFUNCTION("""COMPUTED_VALUE"""),"Qualification")</f>
        <v>Qualification</v>
      </c>
      <c r="B68" s="6">
        <f ca="1">IFERROR(__xludf.DUMMYFUNCTION("""COMPUTED_VALUE"""),67)</f>
        <v>67</v>
      </c>
      <c r="C68" s="6">
        <f ca="1">IFERROR(__xludf.DUMMYFUNCTION("""COMPUTED_VALUE"""),4230)</f>
        <v>4230</v>
      </c>
      <c r="D68" s="6" t="str">
        <f ca="1">IFERROR(__xludf.DUMMYFUNCTION("""COMPUTED_VALUE"""),"Yes")</f>
        <v>Yes</v>
      </c>
      <c r="E68" s="6" t="str">
        <f ca="1">IFERROR(__xludf.DUMMYFUNCTION("""COMPUTED_VALUE"""),"Parked")</f>
        <v>Parked</v>
      </c>
    </row>
    <row r="69" spans="1:5">
      <c r="A69" s="6" t="str">
        <f ca="1">IFERROR(__xludf.DUMMYFUNCTION("""COMPUTED_VALUE"""),"Qualification")</f>
        <v>Qualification</v>
      </c>
      <c r="B69" s="6">
        <f ca="1">IFERROR(__xludf.DUMMYFUNCTION("""COMPUTED_VALUE"""),68)</f>
        <v>68</v>
      </c>
      <c r="C69" s="6">
        <f ca="1">IFERROR(__xludf.DUMMYFUNCTION("""COMPUTED_VALUE"""),1410)</f>
        <v>1410</v>
      </c>
      <c r="D69" s="6" t="str">
        <f ca="1">IFERROR(__xludf.DUMMYFUNCTION("""COMPUTED_VALUE"""),"Yes")</f>
        <v>Yes</v>
      </c>
      <c r="E69" s="6" t="str">
        <f ca="1">IFERROR(__xludf.DUMMYFUNCTION("""COMPUTED_VALUE"""),"Parked")</f>
        <v>Parked</v>
      </c>
    </row>
    <row r="70" spans="1:5">
      <c r="A70" s="6" t="str">
        <f ca="1">IFERROR(__xludf.DUMMYFUNCTION("""COMPUTED_VALUE"""),"Qualification")</f>
        <v>Qualification</v>
      </c>
      <c r="B70" s="6">
        <f ca="1">IFERROR(__xludf.DUMMYFUNCTION("""COMPUTED_VALUE"""),69)</f>
        <v>69</v>
      </c>
      <c r="C70" s="6">
        <f ca="1">IFERROR(__xludf.DUMMYFUNCTION("""COMPUTED_VALUE"""),2239)</f>
        <v>2239</v>
      </c>
      <c r="D70" s="6" t="str">
        <f ca="1">IFERROR(__xludf.DUMMYFUNCTION("""COMPUTED_VALUE"""),"Yes")</f>
        <v>Yes</v>
      </c>
      <c r="E70" s="6" t="str">
        <f ca="1">IFERROR(__xludf.DUMMYFUNCTION("""COMPUTED_VALUE"""),"None")</f>
        <v>None</v>
      </c>
    </row>
    <row r="71" spans="1:5">
      <c r="A71" s="6" t="str">
        <f ca="1">IFERROR(__xludf.DUMMYFUNCTION("""COMPUTED_VALUE"""),"Qualification")</f>
        <v>Qualification</v>
      </c>
      <c r="B71" s="6">
        <f ca="1">IFERROR(__xludf.DUMMYFUNCTION("""COMPUTED_VALUE"""),70)</f>
        <v>70</v>
      </c>
      <c r="C71" s="6">
        <f ca="1">IFERROR(__xludf.DUMMYFUNCTION("""COMPUTED_VALUE"""),6044)</f>
        <v>6044</v>
      </c>
      <c r="D71" s="6" t="str">
        <f ca="1">IFERROR(__xludf.DUMMYFUNCTION("""COMPUTED_VALUE"""),"Yes")</f>
        <v>Yes</v>
      </c>
      <c r="E71" s="6" t="str">
        <f ca="1">IFERROR(__xludf.DUMMYFUNCTION("""COMPUTED_VALUE"""),"Parked")</f>
        <v>Parked</v>
      </c>
    </row>
    <row r="72" spans="1:5">
      <c r="A72" s="6" t="str">
        <f ca="1">IFERROR(__xludf.DUMMYFUNCTION("""COMPUTED_VALUE"""),"Qualification")</f>
        <v>Qualification</v>
      </c>
      <c r="B72" s="6">
        <f ca="1">IFERROR(__xludf.DUMMYFUNCTION("""COMPUTED_VALUE"""),71)</f>
        <v>71</v>
      </c>
      <c r="C72" s="6">
        <f ca="1">IFERROR(__xludf.DUMMYFUNCTION("""COMPUTED_VALUE"""),2240)</f>
        <v>2240</v>
      </c>
      <c r="D72" s="6" t="str">
        <f ca="1">IFERROR(__xludf.DUMMYFUNCTION("""COMPUTED_VALUE"""),"Yes")</f>
        <v>Yes</v>
      </c>
      <c r="E72" s="6" t="str">
        <f ca="1">IFERROR(__xludf.DUMMYFUNCTION("""COMPUTED_VALUE"""),"Parked")</f>
        <v>Parked</v>
      </c>
    </row>
    <row r="73" spans="1:5">
      <c r="A73" s="6" t="str">
        <f ca="1">IFERROR(__xludf.DUMMYFUNCTION("""COMPUTED_VALUE"""),"Qualification")</f>
        <v>Qualification</v>
      </c>
      <c r="B73" s="6">
        <f ca="1">IFERROR(__xludf.DUMMYFUNCTION("""COMPUTED_VALUE"""),72)</f>
        <v>72</v>
      </c>
      <c r="C73" s="6">
        <f ca="1">IFERROR(__xludf.DUMMYFUNCTION("""COMPUTED_VALUE"""),4623)</f>
        <v>4623</v>
      </c>
      <c r="D73" s="6" t="str">
        <f ca="1">IFERROR(__xludf.DUMMYFUNCTION("""COMPUTED_VALUE"""),"No")</f>
        <v>No</v>
      </c>
      <c r="E73" s="6" t="str">
        <f ca="1">IFERROR(__xludf.DUMMYFUNCTION("""COMPUTED_VALUE"""),"Parked")</f>
        <v>Parked</v>
      </c>
    </row>
    <row r="74" spans="1:5">
      <c r="A74" s="6" t="str">
        <f ca="1">IFERROR(__xludf.DUMMYFUNCTION("""COMPUTED_VALUE"""),"Qualification")</f>
        <v>Qualification</v>
      </c>
      <c r="B74" s="6">
        <f ca="1">IFERROR(__xludf.DUMMYFUNCTION("""COMPUTED_VALUE"""),73)</f>
        <v>73</v>
      </c>
      <c r="C74" s="6">
        <f ca="1">IFERROR(__xludf.DUMMYFUNCTION("""COMPUTED_VALUE"""),6160)</f>
        <v>6160</v>
      </c>
      <c r="D74" s="6" t="str">
        <f ca="1">IFERROR(__xludf.DUMMYFUNCTION("""COMPUTED_VALUE"""),"Yes")</f>
        <v>Yes</v>
      </c>
      <c r="E74" s="6" t="str">
        <f ca="1">IFERROR(__xludf.DUMMYFUNCTION("""COMPUTED_VALUE"""),"Parked")</f>
        <v>Parked</v>
      </c>
    </row>
    <row r="75" spans="1:5">
      <c r="A75" s="6" t="str">
        <f ca="1">IFERROR(__xludf.DUMMYFUNCTION("""COMPUTED_VALUE"""),"Qualification")</f>
        <v>Qualification</v>
      </c>
      <c r="B75" s="6">
        <f ca="1">IFERROR(__xludf.DUMMYFUNCTION("""COMPUTED_VALUE"""),74)</f>
        <v>74</v>
      </c>
      <c r="C75" s="6">
        <f ca="1">IFERROR(__xludf.DUMMYFUNCTION("""COMPUTED_VALUE"""),3023)</f>
        <v>3023</v>
      </c>
      <c r="D75" s="6" t="str">
        <f ca="1">IFERROR(__xludf.DUMMYFUNCTION("""COMPUTED_VALUE"""),"Yes")</f>
        <v>Yes</v>
      </c>
      <c r="E75" s="6" t="str">
        <f ca="1">IFERROR(__xludf.DUMMYFUNCTION("""COMPUTED_VALUE"""),"Parked")</f>
        <v>Parked</v>
      </c>
    </row>
    <row r="76" spans="1:5">
      <c r="A76" s="6" t="str">
        <f ca="1">IFERROR(__xludf.DUMMYFUNCTION("""COMPUTED_VALUE"""),"Qualification")</f>
        <v>Qualification</v>
      </c>
      <c r="B76" s="6">
        <f ca="1">IFERROR(__xludf.DUMMYFUNCTION("""COMPUTED_VALUE"""),75)</f>
        <v>75</v>
      </c>
      <c r="C76" s="6">
        <f ca="1">IFERROR(__xludf.DUMMYFUNCTION("""COMPUTED_VALUE"""),3054)</f>
        <v>3054</v>
      </c>
      <c r="D76" s="6" t="str">
        <f ca="1">IFERROR(__xludf.DUMMYFUNCTION("""COMPUTED_VALUE"""),"Yes")</f>
        <v>Yes</v>
      </c>
      <c r="E76" s="6" t="str">
        <f ca="1">IFERROR(__xludf.DUMMYFUNCTION("""COMPUTED_VALUE"""),"Parked")</f>
        <v>Parked</v>
      </c>
    </row>
    <row r="77" spans="1:5">
      <c r="A77" s="6" t="str">
        <f ca="1">IFERROR(__xludf.DUMMYFUNCTION("""COMPUTED_VALUE"""),"Qualification")</f>
        <v>Qualification</v>
      </c>
      <c r="B77" s="6">
        <f ca="1">IFERROR(__xludf.DUMMYFUNCTION("""COMPUTED_VALUE"""),76)</f>
        <v>76</v>
      </c>
      <c r="C77" s="6">
        <f ca="1">IFERROR(__xludf.DUMMYFUNCTION("""COMPUTED_VALUE"""),525)</f>
        <v>525</v>
      </c>
      <c r="D77" s="6" t="str">
        <f ca="1">IFERROR(__xludf.DUMMYFUNCTION("""COMPUTED_VALUE"""),"Yes")</f>
        <v>Yes</v>
      </c>
      <c r="E77" s="6" t="str">
        <f ca="1">IFERROR(__xludf.DUMMYFUNCTION("""COMPUTED_VALUE"""),"Parked")</f>
        <v>Parked</v>
      </c>
    </row>
    <row r="78" spans="1:5">
      <c r="A78" s="6" t="str">
        <f ca="1">IFERROR(__xludf.DUMMYFUNCTION("""COMPUTED_VALUE"""),"Qualification")</f>
        <v>Qualification</v>
      </c>
      <c r="B78" s="6">
        <f ca="1">IFERROR(__xludf.DUMMYFUNCTION("""COMPUTED_VALUE"""),77)</f>
        <v>77</v>
      </c>
      <c r="C78" s="6">
        <f ca="1">IFERROR(__xludf.DUMMYFUNCTION("""COMPUTED_VALUE"""),6047)</f>
        <v>6047</v>
      </c>
      <c r="D78" s="6" t="str">
        <f ca="1">IFERROR(__xludf.DUMMYFUNCTION("""COMPUTED_VALUE"""),"Yes")</f>
        <v>Yes</v>
      </c>
      <c r="E78" s="6" t="str">
        <f ca="1">IFERROR(__xludf.DUMMYFUNCTION("""COMPUTED_VALUE"""),"None")</f>
        <v>None</v>
      </c>
    </row>
    <row r="79" spans="1:5">
      <c r="A79" s="6" t="str">
        <f ca="1">IFERROR(__xludf.DUMMYFUNCTION("""COMPUTED_VALUE"""),"Qualification")</f>
        <v>Qualification</v>
      </c>
      <c r="B79" s="6">
        <f ca="1">IFERROR(__xludf.DUMMYFUNCTION("""COMPUTED_VALUE"""),78)</f>
        <v>78</v>
      </c>
      <c r="C79" s="6">
        <f ca="1">IFERROR(__xludf.DUMMYFUNCTION("""COMPUTED_VALUE"""),4593)</f>
        <v>4593</v>
      </c>
      <c r="D79" s="6" t="str">
        <f ca="1">IFERROR(__xludf.DUMMYFUNCTION("""COMPUTED_VALUE"""),"Yes")</f>
        <v>Yes</v>
      </c>
      <c r="E79" s="6" t="str">
        <f ca="1">IFERROR(__xludf.DUMMYFUNCTION("""COMPUTED_VALUE"""),"Parked")</f>
        <v>Parked</v>
      </c>
    </row>
    <row r="80" spans="1:5">
      <c r="A80" s="6" t="str">
        <f ca="1">IFERROR(__xludf.DUMMYFUNCTION("""COMPUTED_VALUE"""),"Qualification")</f>
        <v>Qualification</v>
      </c>
      <c r="B80" s="6">
        <f ca="1">IFERROR(__xludf.DUMMYFUNCTION("""COMPUTED_VALUE"""),79)</f>
        <v>79</v>
      </c>
      <c r="C80" s="6">
        <f ca="1">IFERROR(__xludf.DUMMYFUNCTION("""COMPUTED_VALUE"""),6044)</f>
        <v>6044</v>
      </c>
      <c r="D80" s="6" t="str">
        <f ca="1">IFERROR(__xludf.DUMMYFUNCTION("""COMPUTED_VALUE"""),"Yes")</f>
        <v>Yes</v>
      </c>
      <c r="E80" s="6" t="str">
        <f ca="1">IFERROR(__xludf.DUMMYFUNCTION("""COMPUTED_VALUE"""),"Parked")</f>
        <v>Parked</v>
      </c>
    </row>
    <row r="81" spans="1:5">
      <c r="A81" s="6" t="str">
        <f ca="1">IFERROR(__xludf.DUMMYFUNCTION("""COMPUTED_VALUE"""),"Qualification")</f>
        <v>Qualification</v>
      </c>
      <c r="B81" s="6">
        <f ca="1">IFERROR(__xludf.DUMMYFUNCTION("""COMPUTED_VALUE"""),80)</f>
        <v>80</v>
      </c>
      <c r="C81" s="6">
        <f ca="1">IFERROR(__xludf.DUMMYFUNCTION("""COMPUTED_VALUE"""),2491)</f>
        <v>2491</v>
      </c>
      <c r="D81" s="6" t="str">
        <f ca="1">IFERROR(__xludf.DUMMYFUNCTION("""COMPUTED_VALUE"""),"Yes")</f>
        <v>Yes</v>
      </c>
      <c r="E81" s="6" t="str">
        <f ca="1">IFERROR(__xludf.DUMMYFUNCTION("""COMPUTED_VALUE"""),"Parked")</f>
        <v>Parked</v>
      </c>
    </row>
    <row r="82" spans="1:5">
      <c r="A82" s="6" t="str">
        <f ca="1">IFERROR(__xludf.DUMMYFUNCTION("""COMPUTED_VALUE"""),"Qualification")</f>
        <v>Qualification</v>
      </c>
      <c r="B82" s="6">
        <f ca="1">IFERROR(__xludf.DUMMYFUNCTION("""COMPUTED_VALUE"""),81)</f>
        <v>81</v>
      </c>
      <c r="C82" s="6">
        <f ca="1">IFERROR(__xludf.DUMMYFUNCTION("""COMPUTED_VALUE"""),5720)</f>
        <v>5720</v>
      </c>
      <c r="D82" s="6" t="str">
        <f ca="1">IFERROR(__xludf.DUMMYFUNCTION("""COMPUTED_VALUE"""),"Yes")</f>
        <v>Yes</v>
      </c>
      <c r="E82" s="6" t="str">
        <f ca="1">IFERROR(__xludf.DUMMYFUNCTION("""COMPUTED_VALUE"""),"Parked")</f>
        <v>Parked</v>
      </c>
    </row>
    <row r="83" spans="1:5">
      <c r="A83" s="6" t="str">
        <f ca="1">IFERROR(__xludf.DUMMYFUNCTION("""COMPUTED_VALUE"""),"Qualification")</f>
        <v>Qualification</v>
      </c>
      <c r="B83" s="6">
        <f ca="1">IFERROR(__xludf.DUMMYFUNCTION("""COMPUTED_VALUE"""),1)</f>
        <v>1</v>
      </c>
      <c r="C83" s="6">
        <f ca="1">IFERROR(__xludf.DUMMYFUNCTION("""COMPUTED_VALUE"""),6047)</f>
        <v>6047</v>
      </c>
      <c r="D83" s="6" t="str">
        <f ca="1">IFERROR(__xludf.DUMMYFUNCTION("""COMPUTED_VALUE"""),"Yes")</f>
        <v>Yes</v>
      </c>
      <c r="E83" s="6" t="str">
        <f ca="1">IFERROR(__xludf.DUMMYFUNCTION("""COMPUTED_VALUE"""),"None")</f>
        <v>None</v>
      </c>
    </row>
    <row r="84" spans="1:5">
      <c r="A84" s="6" t="str">
        <f ca="1">IFERROR(__xludf.DUMMYFUNCTION("""COMPUTED_VALUE"""),"Qualification")</f>
        <v>Qualification</v>
      </c>
      <c r="B84" s="6">
        <f ca="1">IFERROR(__xludf.DUMMYFUNCTION("""COMPUTED_VALUE"""),2)</f>
        <v>2</v>
      </c>
      <c r="C84" s="6">
        <f ca="1">IFERROR(__xludf.DUMMYFUNCTION("""COMPUTED_VALUE"""),2513)</f>
        <v>2513</v>
      </c>
      <c r="D84" s="6" t="str">
        <f ca="1">IFERROR(__xludf.DUMMYFUNCTION("""COMPUTED_VALUE"""),"No")</f>
        <v>No</v>
      </c>
      <c r="E84" s="6" t="str">
        <f ca="1">IFERROR(__xludf.DUMMYFUNCTION("""COMPUTED_VALUE"""),"Parked")</f>
        <v>Parked</v>
      </c>
    </row>
    <row r="85" spans="1:5">
      <c r="A85" s="6" t="str">
        <f ca="1">IFERROR(__xludf.DUMMYFUNCTION("""COMPUTED_VALUE"""),"Qualification")</f>
        <v>Qualification</v>
      </c>
      <c r="B85" s="6">
        <f ca="1">IFERROR(__xludf.DUMMYFUNCTION("""COMPUTED_VALUE"""),3)</f>
        <v>3</v>
      </c>
      <c r="C85" s="6">
        <f ca="1">IFERROR(__xludf.DUMMYFUNCTION("""COMPUTED_VALUE"""),2512)</f>
        <v>2512</v>
      </c>
      <c r="D85" s="6" t="str">
        <f ca="1">IFERROR(__xludf.DUMMYFUNCTION("""COMPUTED_VALUE"""),"No")</f>
        <v>No</v>
      </c>
      <c r="E85" s="6" t="str">
        <f ca="1">IFERROR(__xludf.DUMMYFUNCTION("""COMPUTED_VALUE"""),"Parked")</f>
        <v>Parked</v>
      </c>
    </row>
    <row r="86" spans="1:5">
      <c r="A86" s="6" t="str">
        <f ca="1">IFERROR(__xludf.DUMMYFUNCTION("""COMPUTED_VALUE"""),"Qualification")</f>
        <v>Qualification</v>
      </c>
      <c r="B86" s="6">
        <f ca="1">IFERROR(__xludf.DUMMYFUNCTION("""COMPUTED_VALUE"""),4)</f>
        <v>4</v>
      </c>
      <c r="C86" s="6">
        <f ca="1">IFERROR(__xludf.DUMMYFUNCTION("""COMPUTED_VALUE"""),5253)</f>
        <v>5253</v>
      </c>
      <c r="D86" s="6" t="str">
        <f ca="1">IFERROR(__xludf.DUMMYFUNCTION("""COMPUTED_VALUE"""),"Yes")</f>
        <v>Yes</v>
      </c>
      <c r="E86" s="6" t="str">
        <f ca="1">IFERROR(__xludf.DUMMYFUNCTION("""COMPUTED_VALUE"""),"Parked")</f>
        <v>Parked</v>
      </c>
    </row>
    <row r="87" spans="1:5">
      <c r="A87" s="6" t="str">
        <f ca="1">IFERROR(__xludf.DUMMYFUNCTION("""COMPUTED_VALUE"""),"Qualification")</f>
        <v>Qualification</v>
      </c>
      <c r="B87" s="6">
        <f ca="1">IFERROR(__xludf.DUMMYFUNCTION("""COMPUTED_VALUE"""),5)</f>
        <v>5</v>
      </c>
      <c r="C87" s="6">
        <f ca="1">IFERROR(__xludf.DUMMYFUNCTION("""COMPUTED_VALUE"""),4593)</f>
        <v>4593</v>
      </c>
      <c r="D87" s="6" t="str">
        <f ca="1">IFERROR(__xludf.DUMMYFUNCTION("""COMPUTED_VALUE"""),"Yes")</f>
        <v>Yes</v>
      </c>
      <c r="E87" s="6" t="str">
        <f ca="1">IFERROR(__xludf.DUMMYFUNCTION("""COMPUTED_VALUE"""),"None")</f>
        <v>None</v>
      </c>
    </row>
    <row r="88" spans="1:5">
      <c r="A88" s="6" t="str">
        <f ca="1">IFERROR(__xludf.DUMMYFUNCTION("""COMPUTED_VALUE"""),"Qualification")</f>
        <v>Qualification</v>
      </c>
      <c r="B88" s="6">
        <f ca="1">IFERROR(__xludf.DUMMYFUNCTION("""COMPUTED_VALUE"""),6)</f>
        <v>6</v>
      </c>
      <c r="C88" s="6">
        <f ca="1">IFERROR(__xludf.DUMMYFUNCTION("""COMPUTED_VALUE"""),2240)</f>
        <v>2240</v>
      </c>
      <c r="D88" s="6" t="str">
        <f ca="1">IFERROR(__xludf.DUMMYFUNCTION("""COMPUTED_VALUE"""),"Yes")</f>
        <v>Yes</v>
      </c>
      <c r="E88" s="6" t="str">
        <f ca="1">IFERROR(__xludf.DUMMYFUNCTION("""COMPUTED_VALUE"""),"None")</f>
        <v>None</v>
      </c>
    </row>
    <row r="89" spans="1:5">
      <c r="A89" s="6" t="str">
        <f ca="1">IFERROR(__xludf.DUMMYFUNCTION("""COMPUTED_VALUE"""),"Qualification")</f>
        <v>Qualification</v>
      </c>
      <c r="B89" s="6">
        <f ca="1">IFERROR(__xludf.DUMMYFUNCTION("""COMPUTED_VALUE"""),7)</f>
        <v>7</v>
      </c>
      <c r="C89" s="6">
        <f ca="1">IFERROR(__xludf.DUMMYFUNCTION("""COMPUTED_VALUE"""),7041)</f>
        <v>7041</v>
      </c>
      <c r="D89" s="6" t="str">
        <f ca="1">IFERROR(__xludf.DUMMYFUNCTION("""COMPUTED_VALUE"""),"Yes")</f>
        <v>Yes</v>
      </c>
      <c r="E89" s="6" t="str">
        <f ca="1">IFERROR(__xludf.DUMMYFUNCTION("""COMPUTED_VALUE"""),"Parked")</f>
        <v>Parked</v>
      </c>
    </row>
    <row r="90" spans="1:5">
      <c r="A90" s="6" t="str">
        <f ca="1">IFERROR(__xludf.DUMMYFUNCTION("""COMPUTED_VALUE"""),"Qualification")</f>
        <v>Qualification</v>
      </c>
      <c r="B90" s="6">
        <f ca="1">IFERROR(__xludf.DUMMYFUNCTION("""COMPUTED_VALUE"""),8)</f>
        <v>8</v>
      </c>
      <c r="C90" s="6">
        <f ca="1">IFERROR(__xludf.DUMMYFUNCTION("""COMPUTED_VALUE"""),2450)</f>
        <v>2450</v>
      </c>
      <c r="D90" s="6" t="str">
        <f ca="1">IFERROR(__xludf.DUMMYFUNCTION("""COMPUTED_VALUE"""),"No")</f>
        <v>No</v>
      </c>
      <c r="E90" s="6" t="str">
        <f ca="1">IFERROR(__xludf.DUMMYFUNCTION("""COMPUTED_VALUE"""),"Parked")</f>
        <v>Parked</v>
      </c>
    </row>
    <row r="91" spans="1:5">
      <c r="A91" s="6" t="str">
        <f ca="1">IFERROR(__xludf.DUMMYFUNCTION("""COMPUTED_VALUE"""),"Qualification")</f>
        <v>Qualification</v>
      </c>
      <c r="B91" s="6">
        <f ca="1">IFERROR(__xludf.DUMMYFUNCTION("""COMPUTED_VALUE"""),9)</f>
        <v>9</v>
      </c>
      <c r="C91" s="6">
        <f ca="1">IFERROR(__xludf.DUMMYFUNCTION("""COMPUTED_VALUE"""),1716)</f>
        <v>1716</v>
      </c>
      <c r="D91" s="6" t="str">
        <f ca="1">IFERROR(__xludf.DUMMYFUNCTION("""COMPUTED_VALUE"""),"No")</f>
        <v>No</v>
      </c>
      <c r="E91" s="6" t="str">
        <f ca="1">IFERROR(__xludf.DUMMYFUNCTION("""COMPUTED_VALUE"""),"None")</f>
        <v>None</v>
      </c>
    </row>
    <row r="92" spans="1:5">
      <c r="A92" s="6" t="str">
        <f ca="1">IFERROR(__xludf.DUMMYFUNCTION("""COMPUTED_VALUE"""),"Qualification")</f>
        <v>Qualification</v>
      </c>
      <c r="B92" s="6">
        <f ca="1">IFERROR(__xludf.DUMMYFUNCTION("""COMPUTED_VALUE"""),10)</f>
        <v>10</v>
      </c>
      <c r="C92" s="6">
        <f ca="1">IFERROR(__xludf.DUMMYFUNCTION("""COMPUTED_VALUE"""),2491)</f>
        <v>2491</v>
      </c>
      <c r="D92" s="6" t="str">
        <f ca="1">IFERROR(__xludf.DUMMYFUNCTION("""COMPUTED_VALUE"""),"Yes")</f>
        <v>Yes</v>
      </c>
      <c r="E92" s="6" t="str">
        <f ca="1">IFERROR(__xludf.DUMMYFUNCTION("""COMPUTED_VALUE"""),"Parked")</f>
        <v>Parked</v>
      </c>
    </row>
    <row r="93" spans="1:5">
      <c r="A93" s="6" t="str">
        <f ca="1">IFERROR(__xludf.DUMMYFUNCTION("""COMPUTED_VALUE"""),"Qualification")</f>
        <v>Qualification</v>
      </c>
      <c r="B93" s="6">
        <f ca="1">IFERROR(__xludf.DUMMYFUNCTION("""COMPUTED_VALUE"""),11)</f>
        <v>11</v>
      </c>
      <c r="C93" s="6">
        <f ca="1">IFERROR(__xludf.DUMMYFUNCTION("""COMPUTED_VALUE"""),6758)</f>
        <v>6758</v>
      </c>
      <c r="D93" s="6" t="str">
        <f ca="1">IFERROR(__xludf.DUMMYFUNCTION("""COMPUTED_VALUE"""),"Yes")</f>
        <v>Yes</v>
      </c>
      <c r="E93" s="6" t="str">
        <f ca="1">IFERROR(__xludf.DUMMYFUNCTION("""COMPUTED_VALUE"""),"DeepCage")</f>
        <v>DeepCage</v>
      </c>
    </row>
    <row r="94" spans="1:5">
      <c r="A94" s="6" t="str">
        <f ca="1">IFERROR(__xludf.DUMMYFUNCTION("""COMPUTED_VALUE"""),"Qualification")</f>
        <v>Qualification</v>
      </c>
      <c r="B94" s="6">
        <f ca="1">IFERROR(__xludf.DUMMYFUNCTION("""COMPUTED_VALUE"""),12)</f>
        <v>12</v>
      </c>
      <c r="C94" s="6">
        <f ca="1">IFERROR(__xludf.DUMMYFUNCTION("""COMPUTED_VALUE"""),4215)</f>
        <v>4215</v>
      </c>
      <c r="D94" s="6" t="str">
        <f ca="1">IFERROR(__xludf.DUMMYFUNCTION("""COMPUTED_VALUE"""),"Yes")</f>
        <v>Yes</v>
      </c>
      <c r="E94" s="6" t="str">
        <f ca="1">IFERROR(__xludf.DUMMYFUNCTION("""COMPUTED_VALUE"""),"Parked")</f>
        <v>Parked</v>
      </c>
    </row>
    <row r="95" spans="1:5">
      <c r="A95" s="6" t="str">
        <f ca="1">IFERROR(__xludf.DUMMYFUNCTION("""COMPUTED_VALUE"""),"Qualification")</f>
        <v>Qualification</v>
      </c>
      <c r="B95" s="6">
        <f ca="1">IFERROR(__xludf.DUMMYFUNCTION("""COMPUTED_VALUE"""),13)</f>
        <v>13</v>
      </c>
      <c r="C95" s="6">
        <f ca="1">IFERROR(__xludf.DUMMYFUNCTION("""COMPUTED_VALUE"""),7021)</f>
        <v>7021</v>
      </c>
      <c r="D95" s="6" t="str">
        <f ca="1">IFERROR(__xludf.DUMMYFUNCTION("""COMPUTED_VALUE"""),"Yes")</f>
        <v>Yes</v>
      </c>
      <c r="E95" s="6" t="str">
        <f ca="1">IFERROR(__xludf.DUMMYFUNCTION("""COMPUTED_VALUE"""),"DeepCage")</f>
        <v>DeepCage</v>
      </c>
    </row>
    <row r="96" spans="1:5">
      <c r="A96" s="6" t="str">
        <f ca="1">IFERROR(__xludf.DUMMYFUNCTION("""COMPUTED_VALUE"""),"Qualification")</f>
        <v>Qualification</v>
      </c>
      <c r="B96" s="6">
        <f ca="1">IFERROR(__xludf.DUMMYFUNCTION("""COMPUTED_VALUE"""),14)</f>
        <v>14</v>
      </c>
      <c r="C96" s="6">
        <f ca="1">IFERROR(__xludf.DUMMYFUNCTION("""COMPUTED_VALUE"""),4531)</f>
        <v>4531</v>
      </c>
      <c r="D96" s="6" t="str">
        <f ca="1">IFERROR(__xludf.DUMMYFUNCTION("""COMPUTED_VALUE"""),"Yes")</f>
        <v>Yes</v>
      </c>
      <c r="E96" s="6" t="str">
        <f ca="1">IFERROR(__xludf.DUMMYFUNCTION("""COMPUTED_VALUE"""),"Parked")</f>
        <v>Parked</v>
      </c>
    </row>
    <row r="97" spans="1:5">
      <c r="A97" s="6" t="str">
        <f ca="1">IFERROR(__xludf.DUMMYFUNCTION("""COMPUTED_VALUE"""),"Qualification")</f>
        <v>Qualification</v>
      </c>
      <c r="B97" s="6">
        <f ca="1">IFERROR(__xludf.DUMMYFUNCTION("""COMPUTED_VALUE"""),15)</f>
        <v>15</v>
      </c>
      <c r="C97" s="6">
        <f ca="1">IFERROR(__xludf.DUMMYFUNCTION("""COMPUTED_VALUE"""),3054)</f>
        <v>3054</v>
      </c>
      <c r="D97" s="6" t="str">
        <f ca="1">IFERROR(__xludf.DUMMYFUNCTION("""COMPUTED_VALUE"""),"Yes")</f>
        <v>Yes</v>
      </c>
      <c r="E97" s="6" t="str">
        <f ca="1">IFERROR(__xludf.DUMMYFUNCTION("""COMPUTED_VALUE"""),"Parked")</f>
        <v>Parked</v>
      </c>
    </row>
    <row r="98" spans="1:5">
      <c r="A98" s="6" t="str">
        <f ca="1">IFERROR(__xludf.DUMMYFUNCTION("""COMPUTED_VALUE"""),"Qualification")</f>
        <v>Qualification</v>
      </c>
      <c r="B98" s="6">
        <f ca="1">IFERROR(__xludf.DUMMYFUNCTION("""COMPUTED_VALUE"""),16)</f>
        <v>16</v>
      </c>
      <c r="C98" s="6">
        <f ca="1">IFERROR(__xludf.DUMMYFUNCTION("""COMPUTED_VALUE"""),2501)</f>
        <v>2501</v>
      </c>
      <c r="D98" s="6" t="str">
        <f ca="1">IFERROR(__xludf.DUMMYFUNCTION("""COMPUTED_VALUE"""),"Yes")</f>
        <v>Yes</v>
      </c>
      <c r="E98" s="6" t="str">
        <f ca="1">IFERROR(__xludf.DUMMYFUNCTION("""COMPUTED_VALUE"""),"DeepCage")</f>
        <v>DeepCage</v>
      </c>
    </row>
    <row r="99" spans="1:5">
      <c r="A99" s="6" t="str">
        <f ca="1">IFERROR(__xludf.DUMMYFUNCTION("""COMPUTED_VALUE"""),"Qualification")</f>
        <v>Qualification</v>
      </c>
      <c r="B99" s="6">
        <f ca="1">IFERROR(__xludf.DUMMYFUNCTION("""COMPUTED_VALUE"""),17)</f>
        <v>17</v>
      </c>
      <c r="C99" s="6">
        <f ca="1">IFERROR(__xludf.DUMMYFUNCTION("""COMPUTED_VALUE"""),7048)</f>
        <v>7048</v>
      </c>
      <c r="D99" s="6" t="str">
        <f ca="1">IFERROR(__xludf.DUMMYFUNCTION("""COMPUTED_VALUE"""),"Yes")</f>
        <v>Yes</v>
      </c>
      <c r="E99" s="6" t="str">
        <f ca="1">IFERROR(__xludf.DUMMYFUNCTION("""COMPUTED_VALUE"""),"Parked")</f>
        <v>Parked</v>
      </c>
    </row>
    <row r="100" spans="1:5">
      <c r="A100" s="6" t="str">
        <f ca="1">IFERROR(__xludf.DUMMYFUNCTION("""COMPUTED_VALUE"""),"Qualification")</f>
        <v>Qualification</v>
      </c>
      <c r="B100" s="6">
        <f ca="1">IFERROR(__xludf.DUMMYFUNCTION("""COMPUTED_VALUE"""),18)</f>
        <v>18</v>
      </c>
      <c r="C100" s="6">
        <f ca="1">IFERROR(__xludf.DUMMYFUNCTION("""COMPUTED_VALUE"""),2531)</f>
        <v>2531</v>
      </c>
      <c r="D100" s="6" t="str">
        <f ca="1">IFERROR(__xludf.DUMMYFUNCTION("""COMPUTED_VALUE"""),"Yes")</f>
        <v>Yes</v>
      </c>
      <c r="E100" s="6" t="str">
        <f ca="1">IFERROR(__xludf.DUMMYFUNCTION("""COMPUTED_VALUE"""),"Parked")</f>
        <v>Parked</v>
      </c>
    </row>
    <row r="101" spans="1:5">
      <c r="A101" s="6" t="str">
        <f ca="1">IFERROR(__xludf.DUMMYFUNCTION("""COMPUTED_VALUE"""),"Qualification")</f>
        <v>Qualification</v>
      </c>
      <c r="B101" s="6">
        <f ca="1">IFERROR(__xludf.DUMMYFUNCTION("""COMPUTED_VALUE"""),19)</f>
        <v>19</v>
      </c>
      <c r="C101" s="6">
        <f ca="1">IFERROR(__xludf.DUMMYFUNCTION("""COMPUTED_VALUE"""),2383)</f>
        <v>2383</v>
      </c>
      <c r="D101" s="6" t="str">
        <f ca="1">IFERROR(__xludf.DUMMYFUNCTION("""COMPUTED_VALUE"""),"Yes")</f>
        <v>Yes</v>
      </c>
      <c r="E101" s="6" t="str">
        <f ca="1">IFERROR(__xludf.DUMMYFUNCTION("""COMPUTED_VALUE"""),"DeepCage")</f>
        <v>DeepCage</v>
      </c>
    </row>
    <row r="102" spans="1:5">
      <c r="A102" s="6" t="str">
        <f ca="1">IFERROR(__xludf.DUMMYFUNCTION("""COMPUTED_VALUE"""),"Qualification")</f>
        <v>Qualification</v>
      </c>
      <c r="B102" s="6">
        <f ca="1">IFERROR(__xludf.DUMMYFUNCTION("""COMPUTED_VALUE"""),20)</f>
        <v>20</v>
      </c>
      <c r="C102" s="6">
        <f ca="1">IFERROR(__xludf.DUMMYFUNCTION("""COMPUTED_VALUE"""),3212)</f>
        <v>3212</v>
      </c>
      <c r="D102" s="6" t="str">
        <f ca="1">IFERROR(__xludf.DUMMYFUNCTION("""COMPUTED_VALUE"""),"Yes")</f>
        <v>Yes</v>
      </c>
      <c r="E102" s="6" t="str">
        <f ca="1">IFERROR(__xludf.DUMMYFUNCTION("""COMPUTED_VALUE"""),"Parked")</f>
        <v>Parked</v>
      </c>
    </row>
    <row r="103" spans="1:5">
      <c r="A103" s="6" t="str">
        <f ca="1">IFERROR(__xludf.DUMMYFUNCTION("""COMPUTED_VALUE"""),"Qualification")</f>
        <v>Qualification</v>
      </c>
      <c r="B103" s="6">
        <f ca="1">IFERROR(__xludf.DUMMYFUNCTION("""COMPUTED_VALUE"""),21)</f>
        <v>21</v>
      </c>
      <c r="C103" s="6">
        <f ca="1">IFERROR(__xludf.DUMMYFUNCTION("""COMPUTED_VALUE"""),2177)</f>
        <v>2177</v>
      </c>
      <c r="D103" s="6" t="str">
        <f ca="1">IFERROR(__xludf.DUMMYFUNCTION("""COMPUTED_VALUE"""),"Yes")</f>
        <v>Yes</v>
      </c>
      <c r="E103" s="6" t="str">
        <f ca="1">IFERROR(__xludf.DUMMYFUNCTION("""COMPUTED_VALUE"""),"Parked")</f>
        <v>Parked</v>
      </c>
    </row>
    <row r="104" spans="1:5">
      <c r="A104" s="6" t="str">
        <f ca="1">IFERROR(__xludf.DUMMYFUNCTION("""COMPUTED_VALUE"""),"Qualification")</f>
        <v>Qualification</v>
      </c>
      <c r="B104" s="6">
        <f ca="1">IFERROR(__xludf.DUMMYFUNCTION("""COMPUTED_VALUE"""),22)</f>
        <v>22</v>
      </c>
      <c r="C104" s="6">
        <f ca="1">IFERROR(__xludf.DUMMYFUNCTION("""COMPUTED_VALUE"""),4623)</f>
        <v>4623</v>
      </c>
      <c r="D104" s="6" t="str">
        <f ca="1">IFERROR(__xludf.DUMMYFUNCTION("""COMPUTED_VALUE"""),"No")</f>
        <v>No</v>
      </c>
      <c r="E104" s="6" t="str">
        <f ca="1">IFERROR(__xludf.DUMMYFUNCTION("""COMPUTED_VALUE"""),"None")</f>
        <v>None</v>
      </c>
    </row>
    <row r="105" spans="1:5">
      <c r="A105" s="6" t="str">
        <f ca="1">IFERROR(__xludf.DUMMYFUNCTION("""COMPUTED_VALUE"""),"Qualification")</f>
        <v>Qualification</v>
      </c>
      <c r="B105" s="6">
        <f ca="1">IFERROR(__xludf.DUMMYFUNCTION("""COMPUTED_VALUE"""),23)</f>
        <v>23</v>
      </c>
      <c r="C105" s="6">
        <f ca="1">IFERROR(__xludf.DUMMYFUNCTION("""COMPUTED_VALUE"""),1816)</f>
        <v>1816</v>
      </c>
      <c r="D105" s="6" t="str">
        <f ca="1">IFERROR(__xludf.DUMMYFUNCTION("""COMPUTED_VALUE"""),"Yes")</f>
        <v>Yes</v>
      </c>
      <c r="E105" s="6" t="str">
        <f ca="1">IFERROR(__xludf.DUMMYFUNCTION("""COMPUTED_VALUE"""),"Parked")</f>
        <v>Parked</v>
      </c>
    </row>
    <row r="106" spans="1:5">
      <c r="A106" s="6" t="str">
        <f ca="1">IFERROR(__xludf.DUMMYFUNCTION("""COMPUTED_VALUE"""),"Qualification")</f>
        <v>Qualification</v>
      </c>
      <c r="B106" s="6">
        <f ca="1">IFERROR(__xludf.DUMMYFUNCTION("""COMPUTED_VALUE"""),24)</f>
        <v>24</v>
      </c>
      <c r="C106" s="6">
        <f ca="1">IFERROR(__xludf.DUMMYFUNCTION("""COMPUTED_VALUE"""),5690)</f>
        <v>5690</v>
      </c>
      <c r="D106" s="6" t="str">
        <f ca="1">IFERROR(__xludf.DUMMYFUNCTION("""COMPUTED_VALUE"""),"Yes")</f>
        <v>Yes</v>
      </c>
      <c r="E106" s="6" t="str">
        <f ca="1">IFERROR(__xludf.DUMMYFUNCTION("""COMPUTED_VALUE"""),"ShallowCage")</f>
        <v>ShallowCage</v>
      </c>
    </row>
    <row r="107" spans="1:5">
      <c r="A107" s="6" t="str">
        <f ca="1">IFERROR(__xludf.DUMMYFUNCTION("""COMPUTED_VALUE"""),"Qualification")</f>
        <v>Qualification</v>
      </c>
      <c r="B107" s="6">
        <f ca="1">IFERROR(__xludf.DUMMYFUNCTION("""COMPUTED_VALUE"""),25)</f>
        <v>25</v>
      </c>
      <c r="C107" s="6">
        <f ca="1">IFERROR(__xludf.DUMMYFUNCTION("""COMPUTED_VALUE"""),4009)</f>
        <v>4009</v>
      </c>
      <c r="D107" s="6" t="str">
        <f ca="1">IFERROR(__xludf.DUMMYFUNCTION("""COMPUTED_VALUE"""),"Yes")</f>
        <v>Yes</v>
      </c>
      <c r="E107" s="6" t="str">
        <f ca="1">IFERROR(__xludf.DUMMYFUNCTION("""COMPUTED_VALUE"""),"Parked")</f>
        <v>Parked</v>
      </c>
    </row>
    <row r="108" spans="1:5">
      <c r="A108" s="6" t="str">
        <f ca="1">IFERROR(__xludf.DUMMYFUNCTION("""COMPUTED_VALUE"""),"Qualification")</f>
        <v>Qualification</v>
      </c>
      <c r="B108" s="6">
        <f ca="1">IFERROR(__xludf.DUMMYFUNCTION("""COMPUTED_VALUE"""),26)</f>
        <v>26</v>
      </c>
      <c r="C108" s="6">
        <f ca="1">IFERROR(__xludf.DUMMYFUNCTION("""COMPUTED_VALUE"""),5232)</f>
        <v>5232</v>
      </c>
      <c r="D108" s="6" t="str">
        <f ca="1">IFERROR(__xludf.DUMMYFUNCTION("""COMPUTED_VALUE"""),"Yes")</f>
        <v>Yes</v>
      </c>
      <c r="E108" s="6" t="str">
        <f ca="1">IFERROR(__xludf.DUMMYFUNCTION("""COMPUTED_VALUE"""),"Parked")</f>
        <v>Parked</v>
      </c>
    </row>
    <row r="109" spans="1:5">
      <c r="A109" s="6" t="str">
        <f ca="1">IFERROR(__xludf.DUMMYFUNCTION("""COMPUTED_VALUE"""),"Qualification")</f>
        <v>Qualification</v>
      </c>
      <c r="B109" s="6">
        <f ca="1">IFERROR(__xludf.DUMMYFUNCTION("""COMPUTED_VALUE"""),27)</f>
        <v>27</v>
      </c>
      <c r="C109" s="6">
        <f ca="1">IFERROR(__xludf.DUMMYFUNCTION("""COMPUTED_VALUE"""),6420)</f>
        <v>6420</v>
      </c>
      <c r="D109" s="6" t="str">
        <f ca="1">IFERROR(__xludf.DUMMYFUNCTION("""COMPUTED_VALUE"""),"Yes")</f>
        <v>Yes</v>
      </c>
      <c r="E109" s="6" t="str">
        <f ca="1">IFERROR(__xludf.DUMMYFUNCTION("""COMPUTED_VALUE"""),"Parked")</f>
        <v>Parked</v>
      </c>
    </row>
    <row r="110" spans="1:5">
      <c r="A110" s="6" t="str">
        <f ca="1">IFERROR(__xludf.DUMMYFUNCTION("""COMPUTED_VALUE"""),"Qualification")</f>
        <v>Qualification</v>
      </c>
      <c r="B110" s="6">
        <f ca="1">IFERROR(__xludf.DUMMYFUNCTION("""COMPUTED_VALUE"""),28)</f>
        <v>28</v>
      </c>
      <c r="C110" s="6">
        <f ca="1">IFERROR(__xludf.DUMMYFUNCTION("""COMPUTED_VALUE"""),2472)</f>
        <v>2472</v>
      </c>
      <c r="D110" s="6" t="str">
        <f ca="1">IFERROR(__xludf.DUMMYFUNCTION("""COMPUTED_VALUE"""),"No")</f>
        <v>No</v>
      </c>
      <c r="E110" s="6" t="str">
        <f ca="1">IFERROR(__xludf.DUMMYFUNCTION("""COMPUTED_VALUE"""),"Parked")</f>
        <v>Parked</v>
      </c>
    </row>
    <row r="111" spans="1:5">
      <c r="A111" s="6" t="str">
        <f ca="1">IFERROR(__xludf.DUMMYFUNCTION("""COMPUTED_VALUE"""),"Qualification")</f>
        <v>Qualification</v>
      </c>
      <c r="B111" s="6">
        <f ca="1">IFERROR(__xludf.DUMMYFUNCTION("""COMPUTED_VALUE"""),29)</f>
        <v>29</v>
      </c>
      <c r="C111" s="6">
        <f ca="1">IFERROR(__xludf.DUMMYFUNCTION("""COMPUTED_VALUE"""),2177)</f>
        <v>2177</v>
      </c>
      <c r="D111" s="6" t="str">
        <f ca="1">IFERROR(__xludf.DUMMYFUNCTION("""COMPUTED_VALUE"""),"No")</f>
        <v>No</v>
      </c>
      <c r="E111" s="6" t="str">
        <f ca="1">IFERROR(__xludf.DUMMYFUNCTION("""COMPUTED_VALUE"""),"None")</f>
        <v>None</v>
      </c>
    </row>
    <row r="112" spans="1:5">
      <c r="A112" s="6" t="str">
        <f ca="1">IFERROR(__xludf.DUMMYFUNCTION("""COMPUTED_VALUE"""),"Qualification")</f>
        <v>Qualification</v>
      </c>
      <c r="B112" s="6">
        <f ca="1">IFERROR(__xludf.DUMMYFUNCTION("""COMPUTED_VALUE"""),30)</f>
        <v>30</v>
      </c>
      <c r="C112" s="6">
        <f ca="1">IFERROR(__xludf.DUMMYFUNCTION("""COMPUTED_VALUE"""),3883)</f>
        <v>3883</v>
      </c>
      <c r="D112" s="6" t="str">
        <f ca="1">IFERROR(__xludf.DUMMYFUNCTION("""COMPUTED_VALUE"""),"Yes")</f>
        <v>Yes</v>
      </c>
      <c r="E112" s="6" t="str">
        <f ca="1">IFERROR(__xludf.DUMMYFUNCTION("""COMPUTED_VALUE"""),"DeepCage")</f>
        <v>DeepCage</v>
      </c>
    </row>
    <row r="113" spans="1:5">
      <c r="A113" s="6" t="str">
        <f ca="1">IFERROR(__xludf.DUMMYFUNCTION("""COMPUTED_VALUE"""),"Qualification")</f>
        <v>Qualification</v>
      </c>
      <c r="B113" s="6">
        <f ca="1">IFERROR(__xludf.DUMMYFUNCTION("""COMPUTED_VALUE"""),31)</f>
        <v>31</v>
      </c>
      <c r="C113" s="6">
        <f ca="1">IFERROR(__xludf.DUMMYFUNCTION("""COMPUTED_VALUE"""),3023)</f>
        <v>3023</v>
      </c>
      <c r="D113" s="6" t="str">
        <f ca="1">IFERROR(__xludf.DUMMYFUNCTION("""COMPUTED_VALUE"""),"Yes")</f>
        <v>Yes</v>
      </c>
      <c r="E113" s="6" t="str">
        <f ca="1">IFERROR(__xludf.DUMMYFUNCTION("""COMPUTED_VALUE"""),"None")</f>
        <v>None</v>
      </c>
    </row>
    <row r="114" spans="1:5">
      <c r="A114" s="6" t="str">
        <f ca="1">IFERROR(__xludf.DUMMYFUNCTION("""COMPUTED_VALUE"""),"Qualification")</f>
        <v>Qualification</v>
      </c>
      <c r="B114" s="6">
        <f ca="1">IFERROR(__xludf.DUMMYFUNCTION("""COMPUTED_VALUE"""),32)</f>
        <v>32</v>
      </c>
      <c r="C114" s="6">
        <f ca="1">IFERROR(__xludf.DUMMYFUNCTION("""COMPUTED_VALUE"""),2383)</f>
        <v>2383</v>
      </c>
      <c r="D114" s="6" t="str">
        <f ca="1">IFERROR(__xludf.DUMMYFUNCTION("""COMPUTED_VALUE"""),"Yes")</f>
        <v>Yes</v>
      </c>
      <c r="E114" s="6" t="str">
        <f ca="1">IFERROR(__xludf.DUMMYFUNCTION("""COMPUTED_VALUE"""),"None")</f>
        <v>None</v>
      </c>
    </row>
    <row r="115" spans="1:5">
      <c r="A115" s="6" t="str">
        <f ca="1">IFERROR(__xludf.DUMMYFUNCTION("""COMPUTED_VALUE"""),"Qualification")</f>
        <v>Qualification</v>
      </c>
      <c r="B115" s="6">
        <f ca="1">IFERROR(__xludf.DUMMYFUNCTION("""COMPUTED_VALUE"""),33)</f>
        <v>33</v>
      </c>
      <c r="C115" s="6">
        <f ca="1">IFERROR(__xludf.DUMMYFUNCTION("""COMPUTED_VALUE"""),5339)</f>
        <v>5339</v>
      </c>
      <c r="D115" s="6" t="str">
        <f ca="1">IFERROR(__xludf.DUMMYFUNCTION("""COMPUTED_VALUE"""),"Yes")</f>
        <v>Yes</v>
      </c>
      <c r="E115" s="6" t="str">
        <f ca="1">IFERROR(__xludf.DUMMYFUNCTION("""COMPUTED_VALUE"""),"Parked")</f>
        <v>Parked</v>
      </c>
    </row>
    <row r="116" spans="1:5">
      <c r="A116" s="6" t="str">
        <f ca="1">IFERROR(__xludf.DUMMYFUNCTION("""COMPUTED_VALUE"""),"Qualification")</f>
        <v>Qualification</v>
      </c>
      <c r="B116" s="6">
        <f ca="1">IFERROR(__xludf.DUMMYFUNCTION("""COMPUTED_VALUE"""),34)</f>
        <v>34</v>
      </c>
      <c r="C116" s="6">
        <f ca="1">IFERROR(__xludf.DUMMYFUNCTION("""COMPUTED_VALUE"""),4215)</f>
        <v>4215</v>
      </c>
      <c r="D116" s="6" t="str">
        <f ca="1">IFERROR(__xludf.DUMMYFUNCTION("""COMPUTED_VALUE"""),"Yes")</f>
        <v>Yes</v>
      </c>
      <c r="E116" s="6" t="str">
        <f ca="1">IFERROR(__xludf.DUMMYFUNCTION("""COMPUTED_VALUE"""),"DeepCage")</f>
        <v>DeepCage</v>
      </c>
    </row>
    <row r="117" spans="1:5">
      <c r="A117" s="6" t="str">
        <f ca="1">IFERROR(__xludf.DUMMYFUNCTION("""COMPUTED_VALUE"""),"Qualification")</f>
        <v>Qualification</v>
      </c>
      <c r="B117" s="6">
        <f ca="1">IFERROR(__xludf.DUMMYFUNCTION("""COMPUTED_VALUE"""),35)</f>
        <v>35</v>
      </c>
      <c r="C117" s="6">
        <f ca="1">IFERROR(__xludf.DUMMYFUNCTION("""COMPUTED_VALUE"""),4593)</f>
        <v>4593</v>
      </c>
      <c r="D117" s="6" t="str">
        <f ca="1">IFERROR(__xludf.DUMMYFUNCTION("""COMPUTED_VALUE"""),"Yes")</f>
        <v>Yes</v>
      </c>
      <c r="E117" s="6" t="str">
        <f ca="1">IFERROR(__xludf.DUMMYFUNCTION("""COMPUTED_VALUE"""),"None")</f>
        <v>None</v>
      </c>
    </row>
    <row r="118" spans="1:5">
      <c r="A118" s="6" t="str">
        <f ca="1">IFERROR(__xludf.DUMMYFUNCTION("""COMPUTED_VALUE"""),"Qualification")</f>
        <v>Qualification</v>
      </c>
      <c r="B118" s="6">
        <f ca="1">IFERROR(__xludf.DUMMYFUNCTION("""COMPUTED_VALUE"""),36)</f>
        <v>36</v>
      </c>
      <c r="C118" s="6">
        <f ca="1">IFERROR(__xludf.DUMMYFUNCTION("""COMPUTED_VALUE"""),6044)</f>
        <v>6044</v>
      </c>
      <c r="D118" s="6" t="str">
        <f ca="1">IFERROR(__xludf.DUMMYFUNCTION("""COMPUTED_VALUE"""),"No")</f>
        <v>No</v>
      </c>
      <c r="E118" s="6" t="str">
        <f ca="1">IFERROR(__xludf.DUMMYFUNCTION("""COMPUTED_VALUE"""),"Parked")</f>
        <v>Parked</v>
      </c>
    </row>
    <row r="119" spans="1:5">
      <c r="A119" s="6" t="str">
        <f ca="1">IFERROR(__xludf.DUMMYFUNCTION("""COMPUTED_VALUE"""),"Qualification")</f>
        <v>Qualification</v>
      </c>
      <c r="B119" s="6">
        <f ca="1">IFERROR(__xludf.DUMMYFUNCTION("""COMPUTED_VALUE"""),37)</f>
        <v>37</v>
      </c>
      <c r="C119" s="6">
        <f ca="1">IFERROR(__xludf.DUMMYFUNCTION("""COMPUTED_VALUE"""),3023)</f>
        <v>3023</v>
      </c>
      <c r="D119" s="6" t="str">
        <f ca="1">IFERROR(__xludf.DUMMYFUNCTION("""COMPUTED_VALUE"""),"Yes")</f>
        <v>Yes</v>
      </c>
      <c r="E119" s="6" t="str">
        <f ca="1">IFERROR(__xludf.DUMMYFUNCTION("""COMPUTED_VALUE"""),"Parked")</f>
        <v>Parked</v>
      </c>
    </row>
    <row r="120" spans="1:5">
      <c r="A120" s="6" t="str">
        <f ca="1">IFERROR(__xludf.DUMMYFUNCTION("""COMPUTED_VALUE"""),"Qualification")</f>
        <v>Qualification</v>
      </c>
      <c r="B120" s="6">
        <f ca="1">IFERROR(__xludf.DUMMYFUNCTION("""COMPUTED_VALUE"""),38)</f>
        <v>38</v>
      </c>
      <c r="C120" s="6">
        <f ca="1">IFERROR(__xludf.DUMMYFUNCTION("""COMPUTED_VALUE"""),2240)</f>
        <v>2240</v>
      </c>
      <c r="D120" s="6" t="str">
        <f ca="1">IFERROR(__xludf.DUMMYFUNCTION("""COMPUTED_VALUE"""),"Yes")</f>
        <v>Yes</v>
      </c>
      <c r="E120" s="6" t="str">
        <f ca="1">IFERROR(__xludf.DUMMYFUNCTION("""COMPUTED_VALUE"""),"None")</f>
        <v>None</v>
      </c>
    </row>
    <row r="121" spans="1:5">
      <c r="A121" s="6" t="str">
        <f ca="1">IFERROR(__xludf.DUMMYFUNCTION("""COMPUTED_VALUE"""),"Qualification")</f>
        <v>Qualification</v>
      </c>
      <c r="B121" s="6">
        <f ca="1">IFERROR(__xludf.DUMMYFUNCTION("""COMPUTED_VALUE"""),39)</f>
        <v>39</v>
      </c>
      <c r="C121" s="6">
        <f ca="1">IFERROR(__xludf.DUMMYFUNCTION("""COMPUTED_VALUE"""),2531)</f>
        <v>2531</v>
      </c>
      <c r="D121" s="6" t="str">
        <f ca="1">IFERROR(__xludf.DUMMYFUNCTION("""COMPUTED_VALUE"""),"Yes")</f>
        <v>Yes</v>
      </c>
      <c r="E121" s="6" t="str">
        <f ca="1">IFERROR(__xludf.DUMMYFUNCTION("""COMPUTED_VALUE"""),"Parked")</f>
        <v>Parked</v>
      </c>
    </row>
    <row r="122" spans="1:5">
      <c r="A122" s="6" t="str">
        <f ca="1">IFERROR(__xludf.DUMMYFUNCTION("""COMPUTED_VALUE"""),"Qualification")</f>
        <v>Qualification</v>
      </c>
      <c r="B122" s="6">
        <f ca="1">IFERROR(__xludf.DUMMYFUNCTION("""COMPUTED_VALUE"""),40)</f>
        <v>40</v>
      </c>
      <c r="C122" s="6">
        <f ca="1">IFERROR(__xludf.DUMMYFUNCTION("""COMPUTED_VALUE"""),2472)</f>
        <v>2472</v>
      </c>
      <c r="D122" s="6" t="str">
        <f ca="1">IFERROR(__xludf.DUMMYFUNCTION("""COMPUTED_VALUE"""),"Yes")</f>
        <v>Yes</v>
      </c>
      <c r="E122" s="6" t="str">
        <f ca="1">IFERROR(__xludf.DUMMYFUNCTION("""COMPUTED_VALUE"""),"Parked")</f>
        <v>Parked</v>
      </c>
    </row>
    <row r="123" spans="1:5">
      <c r="A123" s="6" t="str">
        <f ca="1">IFERROR(__xludf.DUMMYFUNCTION("""COMPUTED_VALUE"""),"Qualification")</f>
        <v>Qualification</v>
      </c>
      <c r="B123" s="6">
        <f ca="1">IFERROR(__xludf.DUMMYFUNCTION("""COMPUTED_VALUE"""),41)</f>
        <v>41</v>
      </c>
      <c r="C123" s="6">
        <f ca="1">IFERROR(__xludf.DUMMYFUNCTION("""COMPUTED_VALUE"""),2513)</f>
        <v>2513</v>
      </c>
      <c r="D123" s="6" t="str">
        <f ca="1">IFERROR(__xludf.DUMMYFUNCTION("""COMPUTED_VALUE"""),"Yes")</f>
        <v>Yes</v>
      </c>
      <c r="E123" s="6" t="str">
        <f ca="1">IFERROR(__xludf.DUMMYFUNCTION("""COMPUTED_VALUE"""),"Parked")</f>
        <v>Parked</v>
      </c>
    </row>
    <row r="124" spans="1:5">
      <c r="A124" s="6" t="str">
        <f ca="1">IFERROR(__xludf.DUMMYFUNCTION("""COMPUTED_VALUE"""),"Qualification")</f>
        <v>Qualification</v>
      </c>
      <c r="B124" s="6">
        <f ca="1">IFERROR(__xludf.DUMMYFUNCTION("""COMPUTED_VALUE"""),42)</f>
        <v>42</v>
      </c>
      <c r="C124" s="6">
        <f ca="1">IFERROR(__xludf.DUMMYFUNCTION("""COMPUTED_VALUE"""),3691)</f>
        <v>3691</v>
      </c>
      <c r="D124" s="6" t="str">
        <f ca="1">IFERROR(__xludf.DUMMYFUNCTION("""COMPUTED_VALUE"""),"No")</f>
        <v>No</v>
      </c>
      <c r="E124" s="6" t="str">
        <f ca="1">IFERROR(__xludf.DUMMYFUNCTION("""COMPUTED_VALUE"""),"Parked")</f>
        <v>Parked</v>
      </c>
    </row>
    <row r="125" spans="1:5">
      <c r="A125" s="6" t="str">
        <f ca="1">IFERROR(__xludf.DUMMYFUNCTION("""COMPUTED_VALUE"""),"Qualification")</f>
        <v>Qualification</v>
      </c>
      <c r="B125" s="6">
        <f ca="1">IFERROR(__xludf.DUMMYFUNCTION("""COMPUTED_VALUE"""),43)</f>
        <v>43</v>
      </c>
      <c r="C125" s="6">
        <f ca="1">IFERROR(__xludf.DUMMYFUNCTION("""COMPUTED_VALUE"""),6160)</f>
        <v>6160</v>
      </c>
      <c r="D125" s="6" t="str">
        <f ca="1">IFERROR(__xludf.DUMMYFUNCTION("""COMPUTED_VALUE"""),"Yes")</f>
        <v>Yes</v>
      </c>
      <c r="E125" s="6" t="str">
        <f ca="1">IFERROR(__xludf.DUMMYFUNCTION("""COMPUTED_VALUE"""),"None")</f>
        <v>None</v>
      </c>
    </row>
    <row r="126" spans="1:5">
      <c r="A126" s="6" t="str">
        <f ca="1">IFERROR(__xludf.DUMMYFUNCTION("""COMPUTED_VALUE"""),"Qualification")</f>
        <v>Qualification</v>
      </c>
      <c r="B126" s="6">
        <f ca="1">IFERROR(__xludf.DUMMYFUNCTION("""COMPUTED_VALUE"""),44)</f>
        <v>44</v>
      </c>
      <c r="C126" s="6">
        <f ca="1">IFERROR(__xludf.DUMMYFUNCTION("""COMPUTED_VALUE"""),6044)</f>
        <v>6044</v>
      </c>
      <c r="D126" s="6" t="str">
        <f ca="1">IFERROR(__xludf.DUMMYFUNCTION("""COMPUTED_VALUE"""),"No")</f>
        <v>No</v>
      </c>
      <c r="E126" s="6" t="str">
        <f ca="1">IFERROR(__xludf.DUMMYFUNCTION("""COMPUTED_VALUE"""),"Parked")</f>
        <v>Parked</v>
      </c>
    </row>
    <row r="127" spans="1:5">
      <c r="A127" s="6" t="str">
        <f ca="1">IFERROR(__xludf.DUMMYFUNCTION("""COMPUTED_VALUE"""),"Qualification")</f>
        <v>Qualification</v>
      </c>
      <c r="B127" s="6">
        <f ca="1">IFERROR(__xludf.DUMMYFUNCTION("""COMPUTED_VALUE"""),45)</f>
        <v>45</v>
      </c>
      <c r="C127" s="6">
        <f ca="1">IFERROR(__xludf.DUMMYFUNCTION("""COMPUTED_VALUE"""),1816)</f>
        <v>1816</v>
      </c>
      <c r="D127" s="6" t="str">
        <f ca="1">IFERROR(__xludf.DUMMYFUNCTION("""COMPUTED_VALUE"""),"Yes")</f>
        <v>Yes</v>
      </c>
      <c r="E127" s="6" t="str">
        <f ca="1">IFERROR(__xludf.DUMMYFUNCTION("""COMPUTED_VALUE"""),"DeepCage")</f>
        <v>DeepCage</v>
      </c>
    </row>
    <row r="128" spans="1:5">
      <c r="A128" s="6" t="str">
        <f ca="1">IFERROR(__xludf.DUMMYFUNCTION("""COMPUTED_VALUE"""),"Qualification")</f>
        <v>Qualification</v>
      </c>
      <c r="B128" s="6">
        <f ca="1">IFERROR(__xludf.DUMMYFUNCTION("""COMPUTED_VALUE"""),46)</f>
        <v>46</v>
      </c>
      <c r="C128" s="6">
        <f ca="1">IFERROR(__xludf.DUMMYFUNCTION("""COMPUTED_VALUE"""),5720)</f>
        <v>5720</v>
      </c>
      <c r="D128" s="6" t="str">
        <f ca="1">IFERROR(__xludf.DUMMYFUNCTION("""COMPUTED_VALUE"""),"Yes")</f>
        <v>Yes</v>
      </c>
      <c r="E128" s="6" t="str">
        <f ca="1">IFERROR(__xludf.DUMMYFUNCTION("""COMPUTED_VALUE"""),"Parked")</f>
        <v>Parked</v>
      </c>
    </row>
    <row r="129" spans="1:5">
      <c r="A129" s="6" t="str">
        <f ca="1">IFERROR(__xludf.DUMMYFUNCTION("""COMPUTED_VALUE"""),"Qualification")</f>
        <v>Qualification</v>
      </c>
      <c r="B129" s="6">
        <f ca="1">IFERROR(__xludf.DUMMYFUNCTION("""COMPUTED_VALUE"""),47)</f>
        <v>47</v>
      </c>
      <c r="C129" s="6">
        <f ca="1">IFERROR(__xludf.DUMMYFUNCTION("""COMPUTED_VALUE"""),4418)</f>
        <v>4418</v>
      </c>
      <c r="D129" s="6" t="str">
        <f ca="1">IFERROR(__xludf.DUMMYFUNCTION("""COMPUTED_VALUE"""),"Yes")</f>
        <v>Yes</v>
      </c>
      <c r="E129" s="6" t="str">
        <f ca="1">IFERROR(__xludf.DUMMYFUNCTION("""COMPUTED_VALUE"""),"Parked")</f>
        <v>Parked</v>
      </c>
    </row>
    <row r="130" spans="1:5">
      <c r="A130" s="6" t="str">
        <f ca="1">IFERROR(__xludf.DUMMYFUNCTION("""COMPUTED_VALUE"""),"Qualification")</f>
        <v>Qualification</v>
      </c>
      <c r="B130" s="6">
        <f ca="1">IFERROR(__xludf.DUMMYFUNCTION("""COMPUTED_VALUE"""),48)</f>
        <v>48</v>
      </c>
      <c r="C130" s="6">
        <f ca="1">IFERROR(__xludf.DUMMYFUNCTION("""COMPUTED_VALUE"""),3042)</f>
        <v>3042</v>
      </c>
      <c r="D130" s="6" t="str">
        <f ca="1">IFERROR(__xludf.DUMMYFUNCTION("""COMPUTED_VALUE"""),"Yes")</f>
        <v>Yes</v>
      </c>
      <c r="E130" s="6" t="str">
        <f ca="1">IFERROR(__xludf.DUMMYFUNCTION("""COMPUTED_VALUE"""),"Parked")</f>
        <v>Parked</v>
      </c>
    </row>
    <row r="131" spans="1:5">
      <c r="A131" s="6" t="str">
        <f ca="1">IFERROR(__xludf.DUMMYFUNCTION("""COMPUTED_VALUE"""),"Qualification")</f>
        <v>Qualification</v>
      </c>
      <c r="B131" s="6">
        <f ca="1">IFERROR(__xludf.DUMMYFUNCTION("""COMPUTED_VALUE"""),49)</f>
        <v>49</v>
      </c>
      <c r="C131" s="6">
        <f ca="1">IFERROR(__xludf.DUMMYFUNCTION("""COMPUTED_VALUE"""),4593)</f>
        <v>4593</v>
      </c>
      <c r="D131" s="6" t="str">
        <f ca="1">IFERROR(__xludf.DUMMYFUNCTION("""COMPUTED_VALUE"""),"Yes")</f>
        <v>Yes</v>
      </c>
      <c r="E131" s="6" t="str">
        <f ca="1">IFERROR(__xludf.DUMMYFUNCTION("""COMPUTED_VALUE"""),"Parked")</f>
        <v>Parked</v>
      </c>
    </row>
    <row r="132" spans="1:5">
      <c r="A132" s="6" t="str">
        <f ca="1">IFERROR(__xludf.DUMMYFUNCTION("""COMPUTED_VALUE"""),"Qualification")</f>
        <v>Qualification</v>
      </c>
      <c r="B132" s="6">
        <f ca="1">IFERROR(__xludf.DUMMYFUNCTION("""COMPUTED_VALUE"""),50)</f>
        <v>50</v>
      </c>
      <c r="C132" s="6">
        <f ca="1">IFERROR(__xludf.DUMMYFUNCTION("""COMPUTED_VALUE"""),6160)</f>
        <v>6160</v>
      </c>
      <c r="D132" s="6" t="str">
        <f ca="1">IFERROR(__xludf.DUMMYFUNCTION("""COMPUTED_VALUE"""),"Yes")</f>
        <v>Yes</v>
      </c>
      <c r="E132" s="6" t="str">
        <f ca="1">IFERROR(__xludf.DUMMYFUNCTION("""COMPUTED_VALUE"""),"Parked")</f>
        <v>Parked</v>
      </c>
    </row>
    <row r="133" spans="1:5">
      <c r="A133" s="6" t="str">
        <f ca="1">IFERROR(__xludf.DUMMYFUNCTION("""COMPUTED_VALUE"""),"Qualification")</f>
        <v>Qualification</v>
      </c>
      <c r="B133" s="6">
        <f ca="1">IFERROR(__xludf.DUMMYFUNCTION("""COMPUTED_VALUE"""),51)</f>
        <v>51</v>
      </c>
      <c r="C133" s="6">
        <f ca="1">IFERROR(__xludf.DUMMYFUNCTION("""COMPUTED_VALUE"""),3061)</f>
        <v>3061</v>
      </c>
      <c r="D133" s="6" t="str">
        <f ca="1">IFERROR(__xludf.DUMMYFUNCTION("""COMPUTED_VALUE"""),"Yes")</f>
        <v>Yes</v>
      </c>
      <c r="E133" s="6" t="str">
        <f ca="1">IFERROR(__xludf.DUMMYFUNCTION("""COMPUTED_VALUE"""),"Parked")</f>
        <v>Parked</v>
      </c>
    </row>
    <row r="134" spans="1:5">
      <c r="A134" s="6" t="str">
        <f ca="1">IFERROR(__xludf.DUMMYFUNCTION("""COMPUTED_VALUE"""),"Qualification")</f>
        <v>Qualification</v>
      </c>
      <c r="B134" s="6">
        <f ca="1">IFERROR(__xludf.DUMMYFUNCTION("""COMPUTED_VALUE"""),52)</f>
        <v>52</v>
      </c>
      <c r="C134" s="6">
        <f ca="1">IFERROR(__xludf.DUMMYFUNCTION("""COMPUTED_VALUE"""),7048)</f>
        <v>7048</v>
      </c>
      <c r="D134" s="6" t="str">
        <f ca="1">IFERROR(__xludf.DUMMYFUNCTION("""COMPUTED_VALUE"""),"Yes")</f>
        <v>Yes</v>
      </c>
      <c r="E134" s="6" t="str">
        <f ca="1">IFERROR(__xludf.DUMMYFUNCTION("""COMPUTED_VALUE"""),"None")</f>
        <v>None</v>
      </c>
    </row>
    <row r="135" spans="1:5">
      <c r="A135" s="6" t="str">
        <f ca="1">IFERROR(__xludf.DUMMYFUNCTION("""COMPUTED_VALUE"""),"Qualification")</f>
        <v>Qualification</v>
      </c>
      <c r="B135" s="6">
        <f ca="1">IFERROR(__xludf.DUMMYFUNCTION("""COMPUTED_VALUE"""),53)</f>
        <v>53</v>
      </c>
      <c r="C135" s="6">
        <f ca="1">IFERROR(__xludf.DUMMYFUNCTION("""COMPUTED_VALUE"""),4166)</f>
        <v>4166</v>
      </c>
      <c r="D135" s="6" t="str">
        <f ca="1">IFERROR(__xludf.DUMMYFUNCTION("""COMPUTED_VALUE"""),"Yes")</f>
        <v>Yes</v>
      </c>
      <c r="E135" s="6" t="str">
        <f ca="1">IFERROR(__xludf.DUMMYFUNCTION("""COMPUTED_VALUE"""),"Parked")</f>
        <v>Parked</v>
      </c>
    </row>
    <row r="136" spans="1:5">
      <c r="A136" s="6" t="str">
        <f ca="1">IFERROR(__xludf.DUMMYFUNCTION("""COMPUTED_VALUE"""),"Qualification")</f>
        <v>Qualification</v>
      </c>
      <c r="B136" s="6">
        <f ca="1">IFERROR(__xludf.DUMMYFUNCTION("""COMPUTED_VALUE"""),54)</f>
        <v>54</v>
      </c>
      <c r="C136" s="6">
        <f ca="1">IFERROR(__xludf.DUMMYFUNCTION("""COMPUTED_VALUE"""),112)</f>
        <v>112</v>
      </c>
      <c r="D136" s="6" t="str">
        <f ca="1">IFERROR(__xludf.DUMMYFUNCTION("""COMPUTED_VALUE"""),"Yes")</f>
        <v>Yes</v>
      </c>
      <c r="E136" s="6" t="str">
        <f ca="1">IFERROR(__xludf.DUMMYFUNCTION("""COMPUTED_VALUE"""),"Parked")</f>
        <v>Parked</v>
      </c>
    </row>
    <row r="137" spans="1:5">
      <c r="A137" s="6" t="str">
        <f ca="1">IFERROR(__xludf.DUMMYFUNCTION("""COMPUTED_VALUE"""),"Qualification")</f>
        <v>Qualification</v>
      </c>
      <c r="B137" s="6">
        <f ca="1">IFERROR(__xludf.DUMMYFUNCTION("""COMPUTED_VALUE"""),55)</f>
        <v>55</v>
      </c>
      <c r="C137" s="6">
        <f ca="1">IFERROR(__xludf.DUMMYFUNCTION("""COMPUTED_VALUE"""),2052)</f>
        <v>2052</v>
      </c>
      <c r="D137" s="6" t="str">
        <f ca="1">IFERROR(__xludf.DUMMYFUNCTION("""COMPUTED_VALUE"""),"Yes")</f>
        <v>Yes</v>
      </c>
      <c r="E137" s="6" t="str">
        <f ca="1">IFERROR(__xludf.DUMMYFUNCTION("""COMPUTED_VALUE"""),"DeepCage")</f>
        <v>DeepCage</v>
      </c>
    </row>
    <row r="138" spans="1:5">
      <c r="A138" s="6" t="str">
        <f ca="1">IFERROR(__xludf.DUMMYFUNCTION("""COMPUTED_VALUE"""),"Qualification")</f>
        <v>Qualification</v>
      </c>
      <c r="B138" s="6">
        <f ca="1">IFERROR(__xludf.DUMMYFUNCTION("""COMPUTED_VALUE"""),56)</f>
        <v>56</v>
      </c>
      <c r="C138" s="6">
        <f ca="1">IFERROR(__xludf.DUMMYFUNCTION("""COMPUTED_VALUE"""),2177)</f>
        <v>2177</v>
      </c>
      <c r="D138" s="6" t="str">
        <f ca="1">IFERROR(__xludf.DUMMYFUNCTION("""COMPUTED_VALUE"""),"Yes")</f>
        <v>Yes</v>
      </c>
      <c r="E138" s="6" t="str">
        <f ca="1">IFERROR(__xludf.DUMMYFUNCTION("""COMPUTED_VALUE"""),"None")</f>
        <v>None</v>
      </c>
    </row>
    <row r="139" spans="1:5">
      <c r="A139" s="6" t="str">
        <f ca="1">IFERROR(__xludf.DUMMYFUNCTION("""COMPUTED_VALUE"""),"Qualification")</f>
        <v>Qualification</v>
      </c>
      <c r="B139" s="6">
        <f ca="1">IFERROR(__xludf.DUMMYFUNCTION("""COMPUTED_VALUE"""),57)</f>
        <v>57</v>
      </c>
      <c r="C139" s="6">
        <f ca="1">IFERROR(__xludf.DUMMYFUNCTION("""COMPUTED_VALUE"""),10474)</f>
        <v>10474</v>
      </c>
      <c r="D139" s="6" t="str">
        <f ca="1">IFERROR(__xludf.DUMMYFUNCTION("""COMPUTED_VALUE"""),"Yes")</f>
        <v>Yes</v>
      </c>
      <c r="E139" s="6" t="str">
        <f ca="1">IFERROR(__xludf.DUMMYFUNCTION("""COMPUTED_VALUE"""),"Parked")</f>
        <v>Parked</v>
      </c>
    </row>
    <row r="140" spans="1:5">
      <c r="A140" s="6" t="str">
        <f ca="1">IFERROR(__xludf.DUMMYFUNCTION("""COMPUTED_VALUE"""),"Qualification")</f>
        <v>Qualification</v>
      </c>
      <c r="B140" s="6">
        <f ca="1">IFERROR(__xludf.DUMMYFUNCTION("""COMPUTED_VALUE"""),58)</f>
        <v>58</v>
      </c>
      <c r="C140" s="6">
        <f ca="1">IFERROR(__xludf.DUMMYFUNCTION("""COMPUTED_VALUE"""),111)</f>
        <v>111</v>
      </c>
      <c r="D140" s="6" t="str">
        <f ca="1">IFERROR(__xludf.DUMMYFUNCTION("""COMPUTED_VALUE"""),"Yes")</f>
        <v>Yes</v>
      </c>
      <c r="E140" s="6" t="str">
        <f ca="1">IFERROR(__xludf.DUMMYFUNCTION("""COMPUTED_VALUE"""),"DeepCage")</f>
        <v>DeepCage</v>
      </c>
    </row>
    <row r="141" spans="1:5">
      <c r="A141" s="6" t="str">
        <f ca="1">IFERROR(__xludf.DUMMYFUNCTION("""COMPUTED_VALUE"""),"Qualification")</f>
        <v>Qualification</v>
      </c>
      <c r="B141" s="6">
        <f ca="1">IFERROR(__xludf.DUMMYFUNCTION("""COMPUTED_VALUE"""),59)</f>
        <v>59</v>
      </c>
      <c r="C141" s="6">
        <f ca="1">IFERROR(__xludf.DUMMYFUNCTION("""COMPUTED_VALUE"""),2977)</f>
        <v>2977</v>
      </c>
      <c r="D141" s="6" t="str">
        <f ca="1">IFERROR(__xludf.DUMMYFUNCTION("""COMPUTED_VALUE"""),"Yes")</f>
        <v>Yes</v>
      </c>
      <c r="E141" s="6" t="str">
        <f ca="1">IFERROR(__xludf.DUMMYFUNCTION("""COMPUTED_VALUE"""),"None")</f>
        <v>None</v>
      </c>
    </row>
    <row r="142" spans="1:5">
      <c r="A142" s="6" t="str">
        <f ca="1">IFERROR(__xludf.DUMMYFUNCTION("""COMPUTED_VALUE"""),"Qualification")</f>
        <v>Qualification</v>
      </c>
      <c r="B142" s="6">
        <f ca="1">IFERROR(__xludf.DUMMYFUNCTION("""COMPUTED_VALUE"""),60)</f>
        <v>60</v>
      </c>
      <c r="C142" s="6">
        <f ca="1">IFERROR(__xludf.DUMMYFUNCTION("""COMPUTED_VALUE"""),112)</f>
        <v>112</v>
      </c>
      <c r="D142" s="6" t="str">
        <f ca="1">IFERROR(__xludf.DUMMYFUNCTION("""COMPUTED_VALUE"""),"Yes")</f>
        <v>Yes</v>
      </c>
      <c r="E142" s="6" t="str">
        <f ca="1">IFERROR(__xludf.DUMMYFUNCTION("""COMPUTED_VALUE"""),"None")</f>
        <v>None</v>
      </c>
    </row>
    <row r="143" spans="1:5">
      <c r="A143" s="6" t="str">
        <f ca="1">IFERROR(__xludf.DUMMYFUNCTION("""COMPUTED_VALUE"""),"Qualification")</f>
        <v>Qualification</v>
      </c>
      <c r="B143" s="6">
        <f ca="1">IFERROR(__xludf.DUMMYFUNCTION("""COMPUTED_VALUE"""),61)</f>
        <v>61</v>
      </c>
      <c r="C143" s="6">
        <f ca="1">IFERROR(__xludf.DUMMYFUNCTION("""COMPUTED_VALUE"""),4418)</f>
        <v>4418</v>
      </c>
      <c r="D143" s="6" t="str">
        <f ca="1">IFERROR(__xludf.DUMMYFUNCTION("""COMPUTED_VALUE"""),"Yes")</f>
        <v>Yes</v>
      </c>
      <c r="E143" s="6" t="str">
        <f ca="1">IFERROR(__xludf.DUMMYFUNCTION("""COMPUTED_VALUE"""),"DeepCage")</f>
        <v>DeepCage</v>
      </c>
    </row>
    <row r="144" spans="1:5">
      <c r="A144" s="6" t="str">
        <f ca="1">IFERROR(__xludf.DUMMYFUNCTION("""COMPUTED_VALUE"""),"Qualification")</f>
        <v>Qualification</v>
      </c>
      <c r="B144" s="6">
        <f ca="1">IFERROR(__xludf.DUMMYFUNCTION("""COMPUTED_VALUE"""),62)</f>
        <v>62</v>
      </c>
      <c r="C144" s="6">
        <f ca="1">IFERROR(__xludf.DUMMYFUNCTION("""COMPUTED_VALUE"""),4166)</f>
        <v>4166</v>
      </c>
      <c r="D144" s="6" t="str">
        <f ca="1">IFERROR(__xludf.DUMMYFUNCTION("""COMPUTED_VALUE"""),"Yes")</f>
        <v>Yes</v>
      </c>
      <c r="E144" s="6" t="str">
        <f ca="1">IFERROR(__xludf.DUMMYFUNCTION("""COMPUTED_VALUE"""),"Parked")</f>
        <v>Parked</v>
      </c>
    </row>
    <row r="145" spans="1:5">
      <c r="A145" s="6" t="str">
        <f ca="1">IFERROR(__xludf.DUMMYFUNCTION("""COMPUTED_VALUE"""),"Qualification")</f>
        <v>Qualification</v>
      </c>
      <c r="B145" s="6">
        <f ca="1">IFERROR(__xludf.DUMMYFUNCTION("""COMPUTED_VALUE"""),63)</f>
        <v>63</v>
      </c>
      <c r="C145" s="6">
        <f ca="1">IFERROR(__xludf.DUMMYFUNCTION("""COMPUTED_VALUE"""),5913)</f>
        <v>5913</v>
      </c>
      <c r="D145" s="6" t="str">
        <f ca="1">IFERROR(__xludf.DUMMYFUNCTION("""COMPUTED_VALUE"""),"Yes")</f>
        <v>Yes</v>
      </c>
      <c r="E145" s="6" t="str">
        <f ca="1">IFERROR(__xludf.DUMMYFUNCTION("""COMPUTED_VALUE"""),"DeepCage")</f>
        <v>DeepCage</v>
      </c>
    </row>
    <row r="146" spans="1:5">
      <c r="A146" s="6" t="str">
        <f ca="1">IFERROR(__xludf.DUMMYFUNCTION("""COMPUTED_VALUE"""),"Qualification")</f>
        <v>Qualification</v>
      </c>
      <c r="B146" s="6">
        <f ca="1">IFERROR(__xludf.DUMMYFUNCTION("""COMPUTED_VALUE"""),64)</f>
        <v>64</v>
      </c>
      <c r="C146" s="6">
        <f ca="1">IFERROR(__xludf.DUMMYFUNCTION("""COMPUTED_VALUE"""),4360)</f>
        <v>4360</v>
      </c>
      <c r="D146" s="6" t="str">
        <f ca="1">IFERROR(__xludf.DUMMYFUNCTION("""COMPUTED_VALUE"""),"Yes")</f>
        <v>Yes</v>
      </c>
      <c r="E146" s="6" t="str">
        <f ca="1">IFERROR(__xludf.DUMMYFUNCTION("""COMPUTED_VALUE"""),"None")</f>
        <v>None</v>
      </c>
    </row>
    <row r="147" spans="1:5">
      <c r="A147" s="6" t="str">
        <f ca="1">IFERROR(__xludf.DUMMYFUNCTION("""COMPUTED_VALUE"""),"Qualification")</f>
        <v>Qualification</v>
      </c>
      <c r="B147" s="6">
        <f ca="1">IFERROR(__xludf.DUMMYFUNCTION("""COMPUTED_VALUE"""),65)</f>
        <v>65</v>
      </c>
      <c r="C147" s="6">
        <f ca="1">IFERROR(__xludf.DUMMYFUNCTION("""COMPUTED_VALUE"""),4531)</f>
        <v>4531</v>
      </c>
      <c r="D147" s="6" t="str">
        <f ca="1">IFERROR(__xludf.DUMMYFUNCTION("""COMPUTED_VALUE"""),"Yes")</f>
        <v>Yes</v>
      </c>
      <c r="E147" s="6" t="str">
        <f ca="1">IFERROR(__xludf.DUMMYFUNCTION("""COMPUTED_VALUE"""),"None")</f>
        <v>None</v>
      </c>
    </row>
    <row r="148" spans="1:5">
      <c r="A148" s="6" t="str">
        <f ca="1">IFERROR(__xludf.DUMMYFUNCTION("""COMPUTED_VALUE"""),"Qualification")</f>
        <v>Qualification</v>
      </c>
      <c r="B148" s="6">
        <f ca="1">IFERROR(__xludf.DUMMYFUNCTION("""COMPUTED_VALUE"""),66)</f>
        <v>66</v>
      </c>
      <c r="C148" s="6">
        <f ca="1">IFERROR(__xludf.DUMMYFUNCTION("""COMPUTED_VALUE"""),2450)</f>
        <v>2450</v>
      </c>
      <c r="D148" s="6" t="str">
        <f ca="1">IFERROR(__xludf.DUMMYFUNCTION("""COMPUTED_VALUE"""),"Yes")</f>
        <v>Yes</v>
      </c>
      <c r="E148" s="6" t="str">
        <f ca="1">IFERROR(__xludf.DUMMYFUNCTION("""COMPUTED_VALUE"""),"None")</f>
        <v>None</v>
      </c>
    </row>
    <row r="149" spans="1:5">
      <c r="A149" s="6" t="str">
        <f ca="1">IFERROR(__xludf.DUMMYFUNCTION("""COMPUTED_VALUE"""),"Qualification")</f>
        <v>Qualification</v>
      </c>
      <c r="B149" s="6">
        <f ca="1">IFERROR(__xludf.DUMMYFUNCTION("""COMPUTED_VALUE"""),67)</f>
        <v>67</v>
      </c>
      <c r="C149" s="6">
        <f ca="1">IFERROR(__xludf.DUMMYFUNCTION("""COMPUTED_VALUE"""),2052)</f>
        <v>2052</v>
      </c>
      <c r="D149" s="6" t="str">
        <f ca="1">IFERROR(__xludf.DUMMYFUNCTION("""COMPUTED_VALUE"""),"Yes")</f>
        <v>Yes</v>
      </c>
      <c r="E149" s="6" t="str">
        <f ca="1">IFERROR(__xludf.DUMMYFUNCTION("""COMPUTED_VALUE"""),"DeepCage")</f>
        <v>DeepCage</v>
      </c>
    </row>
    <row r="150" spans="1:5">
      <c r="A150" s="6" t="str">
        <f ca="1">IFERROR(__xludf.DUMMYFUNCTION("""COMPUTED_VALUE"""),"Qualification")</f>
        <v>Qualification</v>
      </c>
      <c r="B150" s="6">
        <f ca="1">IFERROR(__xludf.DUMMYFUNCTION("""COMPUTED_VALUE"""),68)</f>
        <v>68</v>
      </c>
      <c r="C150" s="6">
        <f ca="1">IFERROR(__xludf.DUMMYFUNCTION("""COMPUTED_VALUE"""),2491)</f>
        <v>2491</v>
      </c>
      <c r="D150" s="6" t="str">
        <f ca="1">IFERROR(__xludf.DUMMYFUNCTION("""COMPUTED_VALUE"""),"Yes")</f>
        <v>Yes</v>
      </c>
      <c r="E150" s="6" t="str">
        <f ca="1">IFERROR(__xludf.DUMMYFUNCTION("""COMPUTED_VALUE"""),"None")</f>
        <v>None</v>
      </c>
    </row>
    <row r="151" spans="1:5">
      <c r="A151" s="6" t="str">
        <f ca="1">IFERROR(__xludf.DUMMYFUNCTION("""COMPUTED_VALUE"""),"Qualification")</f>
        <v>Qualification</v>
      </c>
      <c r="B151" s="6">
        <f ca="1">IFERROR(__xludf.DUMMYFUNCTION("""COMPUTED_VALUE"""),69)</f>
        <v>69</v>
      </c>
      <c r="C151" s="6">
        <f ca="1">IFERROR(__xludf.DUMMYFUNCTION("""COMPUTED_VALUE"""),5690)</f>
        <v>5690</v>
      </c>
      <c r="D151" s="6" t="str">
        <f ca="1">IFERROR(__xludf.DUMMYFUNCTION("""COMPUTED_VALUE"""),"Yes")</f>
        <v>Yes</v>
      </c>
      <c r="E151" s="6" t="str">
        <f ca="1">IFERROR(__xludf.DUMMYFUNCTION("""COMPUTED_VALUE"""),"None")</f>
        <v>None</v>
      </c>
    </row>
    <row r="152" spans="1:5">
      <c r="A152" s="6" t="str">
        <f ca="1">IFERROR(__xludf.DUMMYFUNCTION("""COMPUTED_VALUE"""),"Qualification")</f>
        <v>Qualification</v>
      </c>
      <c r="B152" s="6">
        <f ca="1">IFERROR(__xludf.DUMMYFUNCTION("""COMPUTED_VALUE"""),70)</f>
        <v>70</v>
      </c>
      <c r="C152" s="6">
        <f ca="1">IFERROR(__xludf.DUMMYFUNCTION("""COMPUTED_VALUE"""),6758)</f>
        <v>6758</v>
      </c>
      <c r="D152" s="6" t="str">
        <f ca="1">IFERROR(__xludf.DUMMYFUNCTION("""COMPUTED_VALUE"""),"Yes")</f>
        <v>Yes</v>
      </c>
      <c r="E152" s="6" t="str">
        <f ca="1">IFERROR(__xludf.DUMMYFUNCTION("""COMPUTED_VALUE"""),"DeepCage")</f>
        <v>DeepCage</v>
      </c>
    </row>
    <row r="153" spans="1:5">
      <c r="A153" s="6" t="str">
        <f ca="1">IFERROR(__xludf.DUMMYFUNCTION("""COMPUTED_VALUE"""),"Qualification")</f>
        <v>Qualification</v>
      </c>
      <c r="B153" s="6">
        <f ca="1">IFERROR(__xludf.DUMMYFUNCTION("""COMPUTED_VALUE"""),71)</f>
        <v>71</v>
      </c>
      <c r="C153" s="6">
        <f ca="1">IFERROR(__xludf.DUMMYFUNCTION("""COMPUTED_VALUE"""),2501)</f>
        <v>2501</v>
      </c>
      <c r="D153" s="6" t="str">
        <f ca="1">IFERROR(__xludf.DUMMYFUNCTION("""COMPUTED_VALUE"""),"No")</f>
        <v>No</v>
      </c>
      <c r="E153" s="6" t="str">
        <f ca="1">IFERROR(__xludf.DUMMYFUNCTION("""COMPUTED_VALUE"""),"Parked")</f>
        <v>Parked</v>
      </c>
    </row>
    <row r="154" spans="1:5">
      <c r="A154" s="6" t="str">
        <f ca="1">IFERROR(__xludf.DUMMYFUNCTION("""COMPUTED_VALUE"""),"Qualification")</f>
        <v>Qualification</v>
      </c>
      <c r="B154" s="6">
        <f ca="1">IFERROR(__xludf.DUMMYFUNCTION("""COMPUTED_VALUE"""),72)</f>
        <v>72</v>
      </c>
      <c r="C154" s="6">
        <f ca="1">IFERROR(__xludf.DUMMYFUNCTION("""COMPUTED_VALUE"""),5720)</f>
        <v>5720</v>
      </c>
      <c r="D154" s="6" t="str">
        <f ca="1">IFERROR(__xludf.DUMMYFUNCTION("""COMPUTED_VALUE"""),"Yes")</f>
        <v>Yes</v>
      </c>
      <c r="E154" s="6" t="str">
        <f ca="1">IFERROR(__xludf.DUMMYFUNCTION("""COMPUTED_VALUE"""),"Parked")</f>
        <v>Parked</v>
      </c>
    </row>
    <row r="155" spans="1:5">
      <c r="A155" s="6" t="str">
        <f ca="1">IFERROR(__xludf.DUMMYFUNCTION("""COMPUTED_VALUE"""),"Qualification")</f>
        <v>Qualification</v>
      </c>
      <c r="B155" s="6">
        <f ca="1">IFERROR(__xludf.DUMMYFUNCTION("""COMPUTED_VALUE"""),73)</f>
        <v>73</v>
      </c>
      <c r="C155" s="6">
        <f ca="1">IFERROR(__xludf.DUMMYFUNCTION("""COMPUTED_VALUE"""),1716)</f>
        <v>1716</v>
      </c>
      <c r="D155" s="6" t="str">
        <f ca="1">IFERROR(__xludf.DUMMYFUNCTION("""COMPUTED_VALUE"""),"Yes")</f>
        <v>Yes</v>
      </c>
      <c r="E155" s="6" t="str">
        <f ca="1">IFERROR(__xludf.DUMMYFUNCTION("""COMPUTED_VALUE"""),"Parked")</f>
        <v>Parked</v>
      </c>
    </row>
    <row r="156" spans="1:5">
      <c r="A156" s="6" t="str">
        <f ca="1">IFERROR(__xludf.DUMMYFUNCTION("""COMPUTED_VALUE"""),"Qualification")</f>
        <v>Qualification</v>
      </c>
      <c r="B156" s="6">
        <f ca="1">IFERROR(__xludf.DUMMYFUNCTION("""COMPUTED_VALUE"""),74)</f>
        <v>74</v>
      </c>
      <c r="C156" s="6">
        <f ca="1">IFERROR(__xludf.DUMMYFUNCTION("""COMPUTED_VALUE"""),3691)</f>
        <v>3691</v>
      </c>
      <c r="D156" s="6" t="str">
        <f ca="1">IFERROR(__xludf.DUMMYFUNCTION("""COMPUTED_VALUE"""),"No")</f>
        <v>No</v>
      </c>
      <c r="E156" s="6" t="str">
        <f ca="1">IFERROR(__xludf.DUMMYFUNCTION("""COMPUTED_VALUE"""),"Parked")</f>
        <v>Parked</v>
      </c>
    </row>
    <row r="157" spans="1:5">
      <c r="A157" s="6" t="str">
        <f ca="1">IFERROR(__xludf.DUMMYFUNCTION("""COMPUTED_VALUE"""),"Qualification")</f>
        <v>Qualification</v>
      </c>
      <c r="B157" s="6">
        <f ca="1">IFERROR(__xludf.DUMMYFUNCTION("""COMPUTED_VALUE"""),75)</f>
        <v>75</v>
      </c>
      <c r="C157" s="6">
        <f ca="1">IFERROR(__xludf.DUMMYFUNCTION("""COMPUTED_VALUE"""),2290)</f>
        <v>2290</v>
      </c>
      <c r="D157" s="6" t="str">
        <f ca="1">IFERROR(__xludf.DUMMYFUNCTION("""COMPUTED_VALUE"""),"Yes")</f>
        <v>Yes</v>
      </c>
      <c r="E157" s="6" t="str">
        <f ca="1">IFERROR(__xludf.DUMMYFUNCTION("""COMPUTED_VALUE"""),"Parked")</f>
        <v>Parked</v>
      </c>
    </row>
    <row r="158" spans="1:5">
      <c r="A158" s="6" t="str">
        <f ca="1">IFERROR(__xludf.DUMMYFUNCTION("""COMPUTED_VALUE"""),"Qualification")</f>
        <v>Qualification</v>
      </c>
      <c r="B158" s="6">
        <f ca="1">IFERROR(__xludf.DUMMYFUNCTION("""COMPUTED_VALUE"""),76)</f>
        <v>76</v>
      </c>
      <c r="C158" s="6">
        <f ca="1">IFERROR(__xludf.DUMMYFUNCTION("""COMPUTED_VALUE"""),111)</f>
        <v>111</v>
      </c>
      <c r="D158" s="6" t="str">
        <f ca="1">IFERROR(__xludf.DUMMYFUNCTION("""COMPUTED_VALUE"""),"Yes")</f>
        <v>Yes</v>
      </c>
      <c r="E158" s="6" t="str">
        <f ca="1">IFERROR(__xludf.DUMMYFUNCTION("""COMPUTED_VALUE"""),"DeepCage")</f>
        <v>DeepCage</v>
      </c>
    </row>
    <row r="159" spans="1:5">
      <c r="A159" s="6" t="str">
        <f ca="1">IFERROR(__xludf.DUMMYFUNCTION("""COMPUTED_VALUE"""),"Qualification")</f>
        <v>Qualification</v>
      </c>
      <c r="B159" s="6">
        <f ca="1">IFERROR(__xludf.DUMMYFUNCTION("""COMPUTED_VALUE"""),77)</f>
        <v>77</v>
      </c>
      <c r="C159" s="6">
        <f ca="1">IFERROR(__xludf.DUMMYFUNCTION("""COMPUTED_VALUE"""),1410)</f>
        <v>1410</v>
      </c>
      <c r="D159" s="6" t="str">
        <f ca="1">IFERROR(__xludf.DUMMYFUNCTION("""COMPUTED_VALUE"""),"Yes")</f>
        <v>Yes</v>
      </c>
      <c r="E159" s="6" t="str">
        <f ca="1">IFERROR(__xludf.DUMMYFUNCTION("""COMPUTED_VALUE"""),"Parked")</f>
        <v>Parked</v>
      </c>
    </row>
    <row r="160" spans="1:5">
      <c r="A160" s="6" t="str">
        <f ca="1">IFERROR(__xludf.DUMMYFUNCTION("""COMPUTED_VALUE"""),"Qualification")</f>
        <v>Qualification</v>
      </c>
      <c r="B160" s="6">
        <f ca="1">IFERROR(__xludf.DUMMYFUNCTION("""COMPUTED_VALUE"""),78)</f>
        <v>78</v>
      </c>
      <c r="C160" s="6">
        <f ca="1">IFERROR(__xludf.DUMMYFUNCTION("""COMPUTED_VALUE"""),10173)</f>
        <v>10173</v>
      </c>
      <c r="D160" s="6" t="str">
        <f ca="1">IFERROR(__xludf.DUMMYFUNCTION("""COMPUTED_VALUE"""),"Yes")</f>
        <v>Yes</v>
      </c>
      <c r="E160" s="6" t="str">
        <f ca="1">IFERROR(__xludf.DUMMYFUNCTION("""COMPUTED_VALUE"""),"Parked")</f>
        <v>Parked</v>
      </c>
    </row>
    <row r="161" spans="1:5">
      <c r="A161" s="6" t="str">
        <f ca="1">IFERROR(__xludf.DUMMYFUNCTION("""COMPUTED_VALUE"""),"Qualification")</f>
        <v>Qualification</v>
      </c>
      <c r="B161" s="6">
        <f ca="1">IFERROR(__xludf.DUMMYFUNCTION("""COMPUTED_VALUE"""),79)</f>
        <v>79</v>
      </c>
      <c r="C161" s="6">
        <f ca="1">IFERROR(__xludf.DUMMYFUNCTION("""COMPUTED_VALUE"""),3883)</f>
        <v>3883</v>
      </c>
      <c r="D161" s="6" t="str">
        <f ca="1">IFERROR(__xludf.DUMMYFUNCTION("""COMPUTED_VALUE"""),"Yes")</f>
        <v>Yes</v>
      </c>
      <c r="E161" s="6" t="str">
        <f ca="1">IFERROR(__xludf.DUMMYFUNCTION("""COMPUTED_VALUE"""),"Parked")</f>
        <v>Parked</v>
      </c>
    </row>
    <row r="162" spans="1:5">
      <c r="A162" s="6" t="str">
        <f ca="1">IFERROR(__xludf.DUMMYFUNCTION("""COMPUTED_VALUE"""),"Qualification")</f>
        <v>Qualification</v>
      </c>
      <c r="B162" s="6">
        <f ca="1">IFERROR(__xludf.DUMMYFUNCTION("""COMPUTED_VALUE"""),80)</f>
        <v>80</v>
      </c>
      <c r="C162" s="6">
        <f ca="1">IFERROR(__xludf.DUMMYFUNCTION("""COMPUTED_VALUE"""),3298)</f>
        <v>3298</v>
      </c>
      <c r="D162" s="6" t="str">
        <f ca="1">IFERROR(__xludf.DUMMYFUNCTION("""COMPUTED_VALUE"""),"Yes")</f>
        <v>Yes</v>
      </c>
      <c r="E162" s="6" t="str">
        <f ca="1">IFERROR(__xludf.DUMMYFUNCTION("""COMPUTED_VALUE"""),"Parked")</f>
        <v>Parked</v>
      </c>
    </row>
    <row r="163" spans="1:5">
      <c r="A163" s="6" t="str">
        <f ca="1">IFERROR(__xludf.DUMMYFUNCTION("""COMPUTED_VALUE"""),"Qualification")</f>
        <v>Qualification</v>
      </c>
      <c r="B163" s="6">
        <f ca="1">IFERROR(__xludf.DUMMYFUNCTION("""COMPUTED_VALUE"""),81)</f>
        <v>81</v>
      </c>
      <c r="C163" s="6">
        <f ca="1">IFERROR(__xludf.DUMMYFUNCTION("""COMPUTED_VALUE"""),5232)</f>
        <v>5232</v>
      </c>
      <c r="D163" s="6" t="str">
        <f ca="1">IFERROR(__xludf.DUMMYFUNCTION("""COMPUTED_VALUE"""),"Yes")</f>
        <v>Yes</v>
      </c>
      <c r="E163" s="6" t="str">
        <f ca="1">IFERROR(__xludf.DUMMYFUNCTION("""COMPUTED_VALUE"""),"Parked")</f>
        <v>Parked</v>
      </c>
    </row>
    <row r="164" spans="1:5">
      <c r="A164" s="6" t="str">
        <f ca="1">IFERROR(__xludf.DUMMYFUNCTION("""COMPUTED_VALUE"""),"Qualification")</f>
        <v>Qualification</v>
      </c>
      <c r="B164" s="6">
        <f ca="1">IFERROR(__xludf.DUMMYFUNCTION("""COMPUTED_VALUE"""),1)</f>
        <v>1</v>
      </c>
      <c r="C164" s="6">
        <f ca="1">IFERROR(__xludf.DUMMYFUNCTION("""COMPUTED_VALUE"""),112)</f>
        <v>112</v>
      </c>
      <c r="D164" s="6" t="str">
        <f ca="1">IFERROR(__xludf.DUMMYFUNCTION("""COMPUTED_VALUE"""),"No")</f>
        <v>No</v>
      </c>
      <c r="E164" s="6" t="str">
        <f ca="1">IFERROR(__xludf.DUMMYFUNCTION("""COMPUTED_VALUE"""),"None")</f>
        <v>None</v>
      </c>
    </row>
    <row r="165" spans="1:5">
      <c r="A165" s="6" t="str">
        <f ca="1">IFERROR(__xludf.DUMMYFUNCTION("""COMPUTED_VALUE"""),"Qualification")</f>
        <v>Qualification</v>
      </c>
      <c r="B165" s="6">
        <f ca="1">IFERROR(__xludf.DUMMYFUNCTION("""COMPUTED_VALUE"""),2)</f>
        <v>2</v>
      </c>
      <c r="C165" s="6">
        <f ca="1">IFERROR(__xludf.DUMMYFUNCTION("""COMPUTED_VALUE"""),3691)</f>
        <v>3691</v>
      </c>
      <c r="D165" s="6" t="str">
        <f ca="1">IFERROR(__xludf.DUMMYFUNCTION("""COMPUTED_VALUE"""),"No")</f>
        <v>No</v>
      </c>
      <c r="E165" s="6" t="str">
        <f ca="1">IFERROR(__xludf.DUMMYFUNCTION("""COMPUTED_VALUE"""),"None")</f>
        <v>None</v>
      </c>
    </row>
    <row r="166" spans="1:5">
      <c r="A166" s="6" t="str">
        <f ca="1">IFERROR(__xludf.DUMMYFUNCTION("""COMPUTED_VALUE"""),"Qualification")</f>
        <v>Qualification</v>
      </c>
      <c r="B166" s="6">
        <f ca="1">IFERROR(__xludf.DUMMYFUNCTION("""COMPUTED_VALUE"""),3)</f>
        <v>3</v>
      </c>
      <c r="C166" s="6">
        <f ca="1">IFERROR(__xludf.DUMMYFUNCTION("""COMPUTED_VALUE"""),5720)</f>
        <v>5720</v>
      </c>
      <c r="D166" s="6" t="str">
        <f ca="1">IFERROR(__xludf.DUMMYFUNCTION("""COMPUTED_VALUE"""),"Yes")</f>
        <v>Yes</v>
      </c>
      <c r="E166" s="6" t="str">
        <f ca="1">IFERROR(__xludf.DUMMYFUNCTION("""COMPUTED_VALUE"""),"None")</f>
        <v>None</v>
      </c>
    </row>
    <row r="167" spans="1:5">
      <c r="A167" s="6" t="str">
        <f ca="1">IFERROR(__xludf.DUMMYFUNCTION("""COMPUTED_VALUE"""),"Qualification")</f>
        <v>Qualification</v>
      </c>
      <c r="B167" s="6">
        <f ca="1">IFERROR(__xludf.DUMMYFUNCTION("""COMPUTED_VALUE"""),4)</f>
        <v>4</v>
      </c>
      <c r="C167" s="6">
        <f ca="1">IFERROR(__xludf.DUMMYFUNCTION("""COMPUTED_VALUE"""),2383)</f>
        <v>2383</v>
      </c>
      <c r="D167" s="6" t="str">
        <f ca="1">IFERROR(__xludf.DUMMYFUNCTION("""COMPUTED_VALUE"""),"Yes")</f>
        <v>Yes</v>
      </c>
      <c r="E167" s="6" t="str">
        <f ca="1">IFERROR(__xludf.DUMMYFUNCTION("""COMPUTED_VALUE"""),"Parked")</f>
        <v>Parked</v>
      </c>
    </row>
    <row r="168" spans="1:5">
      <c r="A168" s="6" t="str">
        <f ca="1">IFERROR(__xludf.DUMMYFUNCTION("""COMPUTED_VALUE"""),"Qualification")</f>
        <v>Qualification</v>
      </c>
      <c r="B168" s="6">
        <f ca="1">IFERROR(__xludf.DUMMYFUNCTION("""COMPUTED_VALUE"""),5)</f>
        <v>5</v>
      </c>
      <c r="C168" s="6">
        <f ca="1">IFERROR(__xludf.DUMMYFUNCTION("""COMPUTED_VALUE"""),4215)</f>
        <v>4215</v>
      </c>
      <c r="D168" s="6" t="str">
        <f ca="1">IFERROR(__xludf.DUMMYFUNCTION("""COMPUTED_VALUE"""),"Yes")</f>
        <v>Yes</v>
      </c>
      <c r="E168" s="6" t="str">
        <f ca="1">IFERROR(__xludf.DUMMYFUNCTION("""COMPUTED_VALUE"""),"Parked")</f>
        <v>Parked</v>
      </c>
    </row>
    <row r="169" spans="1:5">
      <c r="A169" s="6" t="str">
        <f ca="1">IFERROR(__xludf.DUMMYFUNCTION("""COMPUTED_VALUE"""),"Qualification")</f>
        <v>Qualification</v>
      </c>
      <c r="B169" s="6">
        <f ca="1">IFERROR(__xludf.DUMMYFUNCTION("""COMPUTED_VALUE"""),6)</f>
        <v>6</v>
      </c>
      <c r="C169" s="6">
        <f ca="1">IFERROR(__xludf.DUMMYFUNCTION("""COMPUTED_VALUE"""),2977)</f>
        <v>2977</v>
      </c>
      <c r="D169" s="6" t="str">
        <f ca="1">IFERROR(__xludf.DUMMYFUNCTION("""COMPUTED_VALUE"""),"Yes")</f>
        <v>Yes</v>
      </c>
      <c r="E169" s="6" t="str">
        <f ca="1">IFERROR(__xludf.DUMMYFUNCTION("""COMPUTED_VALUE"""),"Parked")</f>
        <v>Parked</v>
      </c>
    </row>
    <row r="170" spans="1:5">
      <c r="A170" s="6" t="str">
        <f ca="1">IFERROR(__xludf.DUMMYFUNCTION("""COMPUTED_VALUE"""),"Qualification")</f>
        <v>Qualification</v>
      </c>
      <c r="B170" s="6">
        <f ca="1">IFERROR(__xludf.DUMMYFUNCTION("""COMPUTED_VALUE"""),7)</f>
        <v>7</v>
      </c>
      <c r="C170" s="6">
        <f ca="1">IFERROR(__xludf.DUMMYFUNCTION("""COMPUTED_VALUE"""),2531)</f>
        <v>2531</v>
      </c>
      <c r="D170" s="6" t="str">
        <f ca="1">IFERROR(__xludf.DUMMYFUNCTION("""COMPUTED_VALUE"""),"Yes")</f>
        <v>Yes</v>
      </c>
      <c r="E170" s="6" t="str">
        <f ca="1">IFERROR(__xludf.DUMMYFUNCTION("""COMPUTED_VALUE"""),"None")</f>
        <v>None</v>
      </c>
    </row>
    <row r="171" spans="1:5">
      <c r="A171" s="6" t="str">
        <f ca="1">IFERROR(__xludf.DUMMYFUNCTION("""COMPUTED_VALUE"""),"Qualification")</f>
        <v>Qualification</v>
      </c>
      <c r="B171" s="6">
        <f ca="1">IFERROR(__xludf.DUMMYFUNCTION("""COMPUTED_VALUE"""),8)</f>
        <v>8</v>
      </c>
      <c r="C171" s="6">
        <f ca="1">IFERROR(__xludf.DUMMYFUNCTION("""COMPUTED_VALUE"""),4418)</f>
        <v>4418</v>
      </c>
      <c r="D171" s="6" t="str">
        <f ca="1">IFERROR(__xludf.DUMMYFUNCTION("""COMPUTED_VALUE"""),"Yes")</f>
        <v>Yes</v>
      </c>
      <c r="E171" s="6" t="str">
        <f ca="1">IFERROR(__xludf.DUMMYFUNCTION("""COMPUTED_VALUE"""),"Parked")</f>
        <v>Parked</v>
      </c>
    </row>
    <row r="172" spans="1:5">
      <c r="A172" s="6" t="str">
        <f ca="1">IFERROR(__xludf.DUMMYFUNCTION("""COMPUTED_VALUE"""),"Qualification")</f>
        <v>Qualification</v>
      </c>
      <c r="B172" s="6">
        <f ca="1">IFERROR(__xludf.DUMMYFUNCTION("""COMPUTED_VALUE"""),9)</f>
        <v>9</v>
      </c>
      <c r="C172" s="6">
        <f ca="1">IFERROR(__xludf.DUMMYFUNCTION("""COMPUTED_VALUE"""),3042)</f>
        <v>3042</v>
      </c>
      <c r="D172" s="6" t="str">
        <f ca="1">IFERROR(__xludf.DUMMYFUNCTION("""COMPUTED_VALUE"""),"Yes")</f>
        <v>Yes</v>
      </c>
      <c r="E172" s="6" t="str">
        <f ca="1">IFERROR(__xludf.DUMMYFUNCTION("""COMPUTED_VALUE"""),"Parked")</f>
        <v>Parked</v>
      </c>
    </row>
    <row r="173" spans="1:5">
      <c r="A173" s="6" t="str">
        <f ca="1">IFERROR(__xludf.DUMMYFUNCTION("""COMPUTED_VALUE"""),"Qualification")</f>
        <v>Qualification</v>
      </c>
      <c r="B173" s="6">
        <f ca="1">IFERROR(__xludf.DUMMYFUNCTION("""COMPUTED_VALUE"""),10)</f>
        <v>10</v>
      </c>
      <c r="C173" s="6">
        <f ca="1">IFERROR(__xludf.DUMMYFUNCTION("""COMPUTED_VALUE"""),5720)</f>
        <v>5720</v>
      </c>
      <c r="D173" s="6" t="str">
        <f ca="1">IFERROR(__xludf.DUMMYFUNCTION("""COMPUTED_VALUE"""),"Yes")</f>
        <v>Yes</v>
      </c>
      <c r="E173" s="6" t="str">
        <f ca="1">IFERROR(__xludf.DUMMYFUNCTION("""COMPUTED_VALUE"""),"Parked")</f>
        <v>Parked</v>
      </c>
    </row>
    <row r="174" spans="1:5">
      <c r="A174" s="6" t="str">
        <f ca="1">IFERROR(__xludf.DUMMYFUNCTION("""COMPUTED_VALUE"""),"Qualification")</f>
        <v>Qualification</v>
      </c>
      <c r="B174" s="6">
        <f ca="1">IFERROR(__xludf.DUMMYFUNCTION("""COMPUTED_VALUE"""),11)</f>
        <v>11</v>
      </c>
      <c r="C174" s="6">
        <f ca="1">IFERROR(__xludf.DUMMYFUNCTION("""COMPUTED_VALUE"""),5913)</f>
        <v>5913</v>
      </c>
      <c r="D174" s="6" t="str">
        <f ca="1">IFERROR(__xludf.DUMMYFUNCTION("""COMPUTED_VALUE"""),"Yes")</f>
        <v>Yes</v>
      </c>
      <c r="E174" s="6" t="str">
        <f ca="1">IFERROR(__xludf.DUMMYFUNCTION("""COMPUTED_VALUE"""),"None")</f>
        <v>None</v>
      </c>
    </row>
    <row r="175" spans="1:5">
      <c r="A175" s="6" t="str">
        <f ca="1">IFERROR(__xludf.DUMMYFUNCTION("""COMPUTED_VALUE"""),"Qualification")</f>
        <v>Qualification</v>
      </c>
      <c r="B175" s="6">
        <f ca="1">IFERROR(__xludf.DUMMYFUNCTION("""COMPUTED_VALUE"""),12)</f>
        <v>12</v>
      </c>
      <c r="C175" s="6">
        <f ca="1">IFERROR(__xludf.DUMMYFUNCTION("""COMPUTED_VALUE"""),2239)</f>
        <v>2239</v>
      </c>
      <c r="D175" s="6" t="str">
        <f ca="1">IFERROR(__xludf.DUMMYFUNCTION("""COMPUTED_VALUE"""),"Yes")</f>
        <v>Yes</v>
      </c>
      <c r="E175" s="6" t="str">
        <f ca="1">IFERROR(__xludf.DUMMYFUNCTION("""COMPUTED_VALUE"""),"Parked")</f>
        <v>Parked</v>
      </c>
    </row>
    <row r="176" spans="1:5">
      <c r="A176" s="6" t="str">
        <f ca="1">IFERROR(__xludf.DUMMYFUNCTION("""COMPUTED_VALUE"""),"Qualification")</f>
        <v>Qualification</v>
      </c>
      <c r="B176" s="6">
        <f ca="1">IFERROR(__xludf.DUMMYFUNCTION("""COMPUTED_VALUE"""),13)</f>
        <v>13</v>
      </c>
      <c r="C176" s="6">
        <f ca="1">IFERROR(__xludf.DUMMYFUNCTION("""COMPUTED_VALUE"""),10474)</f>
        <v>10474</v>
      </c>
      <c r="D176" s="6" t="str">
        <f ca="1">IFERROR(__xludf.DUMMYFUNCTION("""COMPUTED_VALUE"""),"Yes")</f>
        <v>Yes</v>
      </c>
      <c r="E176" s="6" t="str">
        <f ca="1">IFERROR(__xludf.DUMMYFUNCTION("""COMPUTED_VALUE"""),"Parked")</f>
        <v>Parked</v>
      </c>
    </row>
    <row r="177" spans="1:5">
      <c r="A177" s="6" t="str">
        <f ca="1">IFERROR(__xludf.DUMMYFUNCTION("""COMPUTED_VALUE"""),"Qualification")</f>
        <v>Qualification</v>
      </c>
      <c r="B177" s="6">
        <f ca="1">IFERROR(__xludf.DUMMYFUNCTION("""COMPUTED_VALUE"""),14)</f>
        <v>14</v>
      </c>
      <c r="C177" s="6">
        <f ca="1">IFERROR(__xludf.DUMMYFUNCTION("""COMPUTED_VALUE"""),525)</f>
        <v>525</v>
      </c>
      <c r="D177" s="6" t="str">
        <f ca="1">IFERROR(__xludf.DUMMYFUNCTION("""COMPUTED_VALUE"""),"Yes")</f>
        <v>Yes</v>
      </c>
      <c r="E177" s="6" t="str">
        <f ca="1">IFERROR(__xludf.DUMMYFUNCTION("""COMPUTED_VALUE"""),"None")</f>
        <v>None</v>
      </c>
    </row>
    <row r="178" spans="1:5">
      <c r="A178" s="6" t="str">
        <f ca="1">IFERROR(__xludf.DUMMYFUNCTION("""COMPUTED_VALUE"""),"Qualification")</f>
        <v>Qualification</v>
      </c>
      <c r="B178" s="6">
        <f ca="1">IFERROR(__xludf.DUMMYFUNCTION("""COMPUTED_VALUE"""),15)</f>
        <v>15</v>
      </c>
      <c r="C178" s="6">
        <f ca="1">IFERROR(__xludf.DUMMYFUNCTION("""COMPUTED_VALUE"""),7041)</f>
        <v>7041</v>
      </c>
      <c r="D178" s="6" t="str">
        <f ca="1">IFERROR(__xludf.DUMMYFUNCTION("""COMPUTED_VALUE"""),"Yes")</f>
        <v>Yes</v>
      </c>
      <c r="E178" s="6" t="str">
        <f ca="1">IFERROR(__xludf.DUMMYFUNCTION("""COMPUTED_VALUE"""),"Parked")</f>
        <v>Parked</v>
      </c>
    </row>
    <row r="179" spans="1:5">
      <c r="A179" s="6" t="str">
        <f ca="1">IFERROR(__xludf.DUMMYFUNCTION("""COMPUTED_VALUE"""),"Qualification")</f>
        <v>Qualification</v>
      </c>
      <c r="B179" s="6">
        <f ca="1">IFERROR(__xludf.DUMMYFUNCTION("""COMPUTED_VALUE"""),16)</f>
        <v>16</v>
      </c>
      <c r="C179" s="6">
        <f ca="1">IFERROR(__xludf.DUMMYFUNCTION("""COMPUTED_VALUE"""),4360)</f>
        <v>4360</v>
      </c>
      <c r="D179" s="6" t="str">
        <f ca="1">IFERROR(__xludf.DUMMYFUNCTION("""COMPUTED_VALUE"""),"Yes")</f>
        <v>Yes</v>
      </c>
      <c r="E179" s="6" t="str">
        <f ca="1">IFERROR(__xludf.DUMMYFUNCTION("""COMPUTED_VALUE"""),"Parked")</f>
        <v>Parked</v>
      </c>
    </row>
    <row r="180" spans="1:5">
      <c r="A180" s="6" t="str">
        <f ca="1">IFERROR(__xludf.DUMMYFUNCTION("""COMPUTED_VALUE"""),"Qualification")</f>
        <v>Qualification</v>
      </c>
      <c r="B180" s="6">
        <f ca="1">IFERROR(__xludf.DUMMYFUNCTION("""COMPUTED_VALUE"""),17)</f>
        <v>17</v>
      </c>
      <c r="C180" s="6">
        <f ca="1">IFERROR(__xludf.DUMMYFUNCTION("""COMPUTED_VALUE"""),1716)</f>
        <v>1716</v>
      </c>
      <c r="D180" s="6" t="str">
        <f ca="1">IFERROR(__xludf.DUMMYFUNCTION("""COMPUTED_VALUE"""),"Yes")</f>
        <v>Yes</v>
      </c>
      <c r="E180" s="6" t="str">
        <f ca="1">IFERROR(__xludf.DUMMYFUNCTION("""COMPUTED_VALUE"""),"Parked")</f>
        <v>Parked</v>
      </c>
    </row>
    <row r="181" spans="1:5">
      <c r="A181" s="6" t="str">
        <f ca="1">IFERROR(__xludf.DUMMYFUNCTION("""COMPUTED_VALUE"""),"Qualification")</f>
        <v>Qualification</v>
      </c>
      <c r="B181" s="6">
        <f ca="1">IFERROR(__xludf.DUMMYFUNCTION("""COMPUTED_VALUE"""),18)</f>
        <v>18</v>
      </c>
      <c r="C181" s="6">
        <f ca="1">IFERROR(__xludf.DUMMYFUNCTION("""COMPUTED_VALUE"""),5232)</f>
        <v>5232</v>
      </c>
      <c r="D181" s="6" t="str">
        <f ca="1">IFERROR(__xludf.DUMMYFUNCTION("""COMPUTED_VALUE"""),"No")</f>
        <v>No</v>
      </c>
      <c r="E181" s="6" t="str">
        <f ca="1">IFERROR(__xludf.DUMMYFUNCTION("""COMPUTED_VALUE"""),"Parked")</f>
        <v>Parked</v>
      </c>
    </row>
    <row r="182" spans="1:5">
      <c r="A182" s="6" t="str">
        <f ca="1">IFERROR(__xludf.DUMMYFUNCTION("""COMPUTED_VALUE"""),"Qualification")</f>
        <v>Qualification</v>
      </c>
      <c r="B182" s="6">
        <f ca="1">IFERROR(__xludf.DUMMYFUNCTION("""COMPUTED_VALUE"""),19)</f>
        <v>19</v>
      </c>
      <c r="C182" s="6">
        <f ca="1">IFERROR(__xludf.DUMMYFUNCTION("""COMPUTED_VALUE"""),1410)</f>
        <v>1410</v>
      </c>
      <c r="D182" s="6" t="str">
        <f ca="1">IFERROR(__xludf.DUMMYFUNCTION("""COMPUTED_VALUE"""),"Yes")</f>
        <v>Yes</v>
      </c>
      <c r="E182" s="6" t="str">
        <f ca="1">IFERROR(__xludf.DUMMYFUNCTION("""COMPUTED_VALUE"""),"None")</f>
        <v>None</v>
      </c>
    </row>
    <row r="183" spans="1:5">
      <c r="A183" s="6" t="str">
        <f ca="1">IFERROR(__xludf.DUMMYFUNCTION("""COMPUTED_VALUE"""),"Qualification")</f>
        <v>Qualification</v>
      </c>
      <c r="B183" s="6">
        <f ca="1">IFERROR(__xludf.DUMMYFUNCTION("""COMPUTED_VALUE"""),20)</f>
        <v>20</v>
      </c>
      <c r="C183" s="6">
        <f ca="1">IFERROR(__xludf.DUMMYFUNCTION("""COMPUTED_VALUE"""),2240)</f>
        <v>2240</v>
      </c>
      <c r="D183" s="6" t="str">
        <f ca="1">IFERROR(__xludf.DUMMYFUNCTION("""COMPUTED_VALUE"""),"Yes")</f>
        <v>Yes</v>
      </c>
      <c r="E183" s="6" t="str">
        <f ca="1">IFERROR(__xludf.DUMMYFUNCTION("""COMPUTED_VALUE"""),"Parked")</f>
        <v>Parked</v>
      </c>
    </row>
    <row r="184" spans="1:5">
      <c r="A184" s="6" t="str">
        <f ca="1">IFERROR(__xludf.DUMMYFUNCTION("""COMPUTED_VALUE"""),"Qualification")</f>
        <v>Qualification</v>
      </c>
      <c r="B184" s="6">
        <f ca="1">IFERROR(__xludf.DUMMYFUNCTION("""COMPUTED_VALUE"""),21)</f>
        <v>21</v>
      </c>
      <c r="C184" s="6">
        <f ca="1">IFERROR(__xludf.DUMMYFUNCTION("""COMPUTED_VALUE"""),3054)</f>
        <v>3054</v>
      </c>
      <c r="D184" s="6" t="str">
        <f ca="1">IFERROR(__xludf.DUMMYFUNCTION("""COMPUTED_VALUE"""),"Yes")</f>
        <v>Yes</v>
      </c>
      <c r="E184" s="6" t="str">
        <f ca="1">IFERROR(__xludf.DUMMYFUNCTION("""COMPUTED_VALUE"""),"Parked")</f>
        <v>Parked</v>
      </c>
    </row>
    <row r="185" spans="1:5">
      <c r="A185" s="6" t="str">
        <f ca="1">IFERROR(__xludf.DUMMYFUNCTION("""COMPUTED_VALUE"""),"Qualification")</f>
        <v>Qualification</v>
      </c>
      <c r="B185" s="6">
        <f ca="1">IFERROR(__xludf.DUMMYFUNCTION("""COMPUTED_VALUE"""),22)</f>
        <v>22</v>
      </c>
      <c r="C185" s="6">
        <f ca="1">IFERROR(__xludf.DUMMYFUNCTION("""COMPUTED_VALUE"""),2501)</f>
        <v>2501</v>
      </c>
      <c r="D185" s="6" t="str">
        <f ca="1">IFERROR(__xludf.DUMMYFUNCTION("""COMPUTED_VALUE"""),"Yes")</f>
        <v>Yes</v>
      </c>
      <c r="E185" s="6" t="str">
        <f ca="1">IFERROR(__xludf.DUMMYFUNCTION("""COMPUTED_VALUE"""),"Parked")</f>
        <v>Parked</v>
      </c>
    </row>
    <row r="186" spans="1:5">
      <c r="A186" s="6" t="str">
        <f ca="1">IFERROR(__xludf.DUMMYFUNCTION("""COMPUTED_VALUE"""),"Qualification")</f>
        <v>Qualification</v>
      </c>
      <c r="B186" s="6">
        <f ca="1">IFERROR(__xludf.DUMMYFUNCTION("""COMPUTED_VALUE"""),23)</f>
        <v>23</v>
      </c>
      <c r="C186" s="6">
        <f ca="1">IFERROR(__xludf.DUMMYFUNCTION("""COMPUTED_VALUE"""),2512)</f>
        <v>2512</v>
      </c>
      <c r="D186" s="6" t="str">
        <f ca="1">IFERROR(__xludf.DUMMYFUNCTION("""COMPUTED_VALUE"""),"No")</f>
        <v>No</v>
      </c>
      <c r="E186" s="6" t="str">
        <f ca="1">IFERROR(__xludf.DUMMYFUNCTION("""COMPUTED_VALUE"""),"None")</f>
        <v>None</v>
      </c>
    </row>
    <row r="187" spans="1:5">
      <c r="A187" s="6" t="str">
        <f ca="1">IFERROR(__xludf.DUMMYFUNCTION("""COMPUTED_VALUE"""),"Qualification")</f>
        <v>Qualification</v>
      </c>
      <c r="B187" s="6">
        <f ca="1">IFERROR(__xludf.DUMMYFUNCTION("""COMPUTED_VALUE"""),24)</f>
        <v>24</v>
      </c>
      <c r="C187" s="6">
        <f ca="1">IFERROR(__xludf.DUMMYFUNCTION("""COMPUTED_VALUE"""),4166)</f>
        <v>4166</v>
      </c>
      <c r="D187" s="6" t="str">
        <f ca="1">IFERROR(__xludf.DUMMYFUNCTION("""COMPUTED_VALUE"""),"Yes")</f>
        <v>Yes</v>
      </c>
      <c r="E187" s="6" t="str">
        <f ca="1">IFERROR(__xludf.DUMMYFUNCTION("""COMPUTED_VALUE"""),"Parked")</f>
        <v>Parked</v>
      </c>
    </row>
    <row r="188" spans="1:5">
      <c r="A188" s="6" t="str">
        <f ca="1">IFERROR(__xludf.DUMMYFUNCTION("""COMPUTED_VALUE"""),"Qualification")</f>
        <v>Qualification</v>
      </c>
      <c r="B188" s="6">
        <f ca="1">IFERROR(__xludf.DUMMYFUNCTION("""COMPUTED_VALUE"""),25)</f>
        <v>25</v>
      </c>
      <c r="C188" s="6">
        <f ca="1">IFERROR(__xludf.DUMMYFUNCTION("""COMPUTED_VALUE"""),7048)</f>
        <v>7048</v>
      </c>
      <c r="D188" s="6" t="str">
        <f ca="1">IFERROR(__xludf.DUMMYFUNCTION("""COMPUTED_VALUE"""),"Yes")</f>
        <v>Yes</v>
      </c>
      <c r="E188" s="6" t="str">
        <f ca="1">IFERROR(__xludf.DUMMYFUNCTION("""COMPUTED_VALUE"""),"Parked")</f>
        <v>Parked</v>
      </c>
    </row>
    <row r="189" spans="1:5">
      <c r="A189" s="6" t="str">
        <f ca="1">IFERROR(__xludf.DUMMYFUNCTION("""COMPUTED_VALUE"""),"Qualification")</f>
        <v>Qualification</v>
      </c>
      <c r="B189" s="6">
        <f ca="1">IFERROR(__xludf.DUMMYFUNCTION("""COMPUTED_VALUE"""),26)</f>
        <v>26</v>
      </c>
      <c r="C189" s="6">
        <f ca="1">IFERROR(__xludf.DUMMYFUNCTION("""COMPUTED_VALUE"""),4360)</f>
        <v>4360</v>
      </c>
      <c r="D189" s="6" t="str">
        <f ca="1">IFERROR(__xludf.DUMMYFUNCTION("""COMPUTED_VALUE"""),"Yes")</f>
        <v>Yes</v>
      </c>
      <c r="E189" s="6" t="str">
        <f ca="1">IFERROR(__xludf.DUMMYFUNCTION("""COMPUTED_VALUE"""),"None")</f>
        <v>None</v>
      </c>
    </row>
    <row r="190" spans="1:5">
      <c r="A190" s="6" t="str">
        <f ca="1">IFERROR(__xludf.DUMMYFUNCTION("""COMPUTED_VALUE"""),"Qualification")</f>
        <v>Qualification</v>
      </c>
      <c r="B190" s="6">
        <f ca="1">IFERROR(__xludf.DUMMYFUNCTION("""COMPUTED_VALUE"""),27)</f>
        <v>27</v>
      </c>
      <c r="C190" s="6">
        <f ca="1">IFERROR(__xludf.DUMMYFUNCTION("""COMPUTED_VALUE"""),2290)</f>
        <v>2290</v>
      </c>
      <c r="D190" s="6" t="str">
        <f ca="1">IFERROR(__xludf.DUMMYFUNCTION("""COMPUTED_VALUE"""),"Yes")</f>
        <v>Yes</v>
      </c>
      <c r="E190" s="6" t="str">
        <f ca="1">IFERROR(__xludf.DUMMYFUNCTION("""COMPUTED_VALUE"""),"Parked")</f>
        <v>Parked</v>
      </c>
    </row>
    <row r="191" spans="1:5">
      <c r="A191" s="6" t="str">
        <f ca="1">IFERROR(__xludf.DUMMYFUNCTION("""COMPUTED_VALUE"""),"Qualification")</f>
        <v>Qualification</v>
      </c>
      <c r="B191" s="6">
        <f ca="1">IFERROR(__xludf.DUMMYFUNCTION("""COMPUTED_VALUE"""),28)</f>
        <v>28</v>
      </c>
      <c r="C191" s="6">
        <f ca="1">IFERROR(__xludf.DUMMYFUNCTION("""COMPUTED_VALUE"""),112)</f>
        <v>112</v>
      </c>
      <c r="D191" s="6" t="str">
        <f ca="1">IFERROR(__xludf.DUMMYFUNCTION("""COMPUTED_VALUE"""),"Yes")</f>
        <v>Yes</v>
      </c>
      <c r="E191" s="6" t="str">
        <f ca="1">IFERROR(__xludf.DUMMYFUNCTION("""COMPUTED_VALUE"""),"None")</f>
        <v>None</v>
      </c>
    </row>
    <row r="192" spans="1:5">
      <c r="A192" s="6" t="str">
        <f ca="1">IFERROR(__xludf.DUMMYFUNCTION("""COMPUTED_VALUE"""),"Qualification")</f>
        <v>Qualification</v>
      </c>
      <c r="B192" s="6">
        <f ca="1">IFERROR(__xludf.DUMMYFUNCTION("""COMPUTED_VALUE"""),29)</f>
        <v>29</v>
      </c>
      <c r="C192" s="6">
        <f ca="1">IFERROR(__xludf.DUMMYFUNCTION("""COMPUTED_VALUE"""),6160)</f>
        <v>6160</v>
      </c>
      <c r="D192" s="6" t="str">
        <f ca="1">IFERROR(__xludf.DUMMYFUNCTION("""COMPUTED_VALUE"""),"Yes")</f>
        <v>Yes</v>
      </c>
      <c r="E192" s="6" t="str">
        <f ca="1">IFERROR(__xludf.DUMMYFUNCTION("""COMPUTED_VALUE"""),"Parked")</f>
        <v>Parked</v>
      </c>
    </row>
    <row r="193" spans="1:5">
      <c r="A193" s="6" t="str">
        <f ca="1">IFERROR(__xludf.DUMMYFUNCTION("""COMPUTED_VALUE"""),"Qualification")</f>
        <v>Qualification</v>
      </c>
      <c r="B193" s="6">
        <f ca="1">IFERROR(__xludf.DUMMYFUNCTION("""COMPUTED_VALUE"""),30)</f>
        <v>30</v>
      </c>
      <c r="C193" s="6">
        <f ca="1">IFERROR(__xludf.DUMMYFUNCTION("""COMPUTED_VALUE"""),2239)</f>
        <v>2239</v>
      </c>
      <c r="D193" s="6" t="str">
        <f ca="1">IFERROR(__xludf.DUMMYFUNCTION("""COMPUTED_VALUE"""),"Yes")</f>
        <v>Yes</v>
      </c>
      <c r="E193" s="6" t="str">
        <f ca="1">IFERROR(__xludf.DUMMYFUNCTION("""COMPUTED_VALUE"""),"Parked")</f>
        <v>Parked</v>
      </c>
    </row>
    <row r="194" spans="1:5">
      <c r="A194" s="6" t="str">
        <f ca="1">IFERROR(__xludf.DUMMYFUNCTION("""COMPUTED_VALUE"""),"Qualification")</f>
        <v>Qualification</v>
      </c>
      <c r="B194" s="6">
        <f ca="1">IFERROR(__xludf.DUMMYFUNCTION("""COMPUTED_VALUE"""),31)</f>
        <v>31</v>
      </c>
      <c r="C194" s="6">
        <f ca="1">IFERROR(__xludf.DUMMYFUNCTION("""COMPUTED_VALUE"""),5690)</f>
        <v>5690</v>
      </c>
      <c r="D194" s="6" t="str">
        <f ca="1">IFERROR(__xludf.DUMMYFUNCTION("""COMPUTED_VALUE"""),"Yes")</f>
        <v>Yes</v>
      </c>
      <c r="E194" s="6" t="str">
        <f ca="1">IFERROR(__xludf.DUMMYFUNCTION("""COMPUTED_VALUE"""),"None")</f>
        <v>None</v>
      </c>
    </row>
    <row r="195" spans="1:5">
      <c r="A195" s="6" t="str">
        <f ca="1">IFERROR(__xludf.DUMMYFUNCTION("""COMPUTED_VALUE"""),"Qualification")</f>
        <v>Qualification</v>
      </c>
      <c r="B195" s="6">
        <f ca="1">IFERROR(__xludf.DUMMYFUNCTION("""COMPUTED_VALUE"""),32)</f>
        <v>32</v>
      </c>
      <c r="C195" s="6">
        <f ca="1">IFERROR(__xludf.DUMMYFUNCTION("""COMPUTED_VALUE"""),2513)</f>
        <v>2513</v>
      </c>
      <c r="D195" s="6" t="str">
        <f ca="1">IFERROR(__xludf.DUMMYFUNCTION("""COMPUTED_VALUE"""),"Yes")</f>
        <v>Yes</v>
      </c>
      <c r="E195" s="6" t="str">
        <f ca="1">IFERROR(__xludf.DUMMYFUNCTION("""COMPUTED_VALUE"""),"Parked")</f>
        <v>Parked</v>
      </c>
    </row>
    <row r="196" spans="1:5">
      <c r="A196" s="6" t="str">
        <f ca="1">IFERROR(__xludf.DUMMYFUNCTION("""COMPUTED_VALUE"""),"Qualification")</f>
        <v>Qualification</v>
      </c>
      <c r="B196" s="6">
        <f ca="1">IFERROR(__xludf.DUMMYFUNCTION("""COMPUTED_VALUE"""),33)</f>
        <v>33</v>
      </c>
      <c r="C196" s="6">
        <f ca="1">IFERROR(__xludf.DUMMYFUNCTION("""COMPUTED_VALUE"""),4230)</f>
        <v>4230</v>
      </c>
      <c r="D196" s="6" t="str">
        <f ca="1">IFERROR(__xludf.DUMMYFUNCTION("""COMPUTED_VALUE"""),"Yes")</f>
        <v>Yes</v>
      </c>
      <c r="E196" s="6" t="str">
        <f ca="1">IFERROR(__xludf.DUMMYFUNCTION("""COMPUTED_VALUE"""),"Parked")</f>
        <v>Parked</v>
      </c>
    </row>
    <row r="197" spans="1:5">
      <c r="A197" s="6" t="str">
        <f ca="1">IFERROR(__xludf.DUMMYFUNCTION("""COMPUTED_VALUE"""),"Qualification")</f>
        <v>Qualification</v>
      </c>
      <c r="B197" s="6">
        <f ca="1">IFERROR(__xludf.DUMMYFUNCTION("""COMPUTED_VALUE"""),34)</f>
        <v>34</v>
      </c>
      <c r="C197" s="6">
        <f ca="1">IFERROR(__xludf.DUMMYFUNCTION("""COMPUTED_VALUE"""),6420)</f>
        <v>6420</v>
      </c>
      <c r="D197" s="6" t="str">
        <f ca="1">IFERROR(__xludf.DUMMYFUNCTION("""COMPUTED_VALUE"""),"Yes")</f>
        <v>Yes</v>
      </c>
      <c r="E197" s="6" t="str">
        <f ca="1">IFERROR(__xludf.DUMMYFUNCTION("""COMPUTED_VALUE"""),"Parked")</f>
        <v>Parked</v>
      </c>
    </row>
    <row r="198" spans="1:5">
      <c r="A198" s="6" t="str">
        <f ca="1">IFERROR(__xludf.DUMMYFUNCTION("""COMPUTED_VALUE"""),"Qualification")</f>
        <v>Qualification</v>
      </c>
      <c r="B198" s="6">
        <f ca="1">IFERROR(__xludf.DUMMYFUNCTION("""COMPUTED_VALUE"""),35)</f>
        <v>35</v>
      </c>
      <c r="C198" s="6">
        <f ca="1">IFERROR(__xludf.DUMMYFUNCTION("""COMPUTED_VALUE"""),5913)</f>
        <v>5913</v>
      </c>
      <c r="D198" s="6" t="str">
        <f ca="1">IFERROR(__xludf.DUMMYFUNCTION("""COMPUTED_VALUE"""),"Yes")</f>
        <v>Yes</v>
      </c>
      <c r="E198" s="6" t="str">
        <f ca="1">IFERROR(__xludf.DUMMYFUNCTION("""COMPUTED_VALUE"""),"Parked")</f>
        <v>Parked</v>
      </c>
    </row>
    <row r="199" spans="1:5">
      <c r="A199" s="6" t="str">
        <f ca="1">IFERROR(__xludf.DUMMYFUNCTION("""COMPUTED_VALUE"""),"Qualification")</f>
        <v>Qualification</v>
      </c>
      <c r="B199" s="6">
        <f ca="1">IFERROR(__xludf.DUMMYFUNCTION("""COMPUTED_VALUE"""),36)</f>
        <v>36</v>
      </c>
      <c r="C199" s="6">
        <f ca="1">IFERROR(__xludf.DUMMYFUNCTION("""COMPUTED_VALUE"""),3298)</f>
        <v>3298</v>
      </c>
      <c r="D199" s="6" t="str">
        <f ca="1">IFERROR(__xludf.DUMMYFUNCTION("""COMPUTED_VALUE"""),"Yes")</f>
        <v>Yes</v>
      </c>
      <c r="E199" s="6" t="str">
        <f ca="1">IFERROR(__xludf.DUMMYFUNCTION("""COMPUTED_VALUE"""),"Parked")</f>
        <v>Parked</v>
      </c>
    </row>
    <row r="200" spans="1:5">
      <c r="A200" s="6" t="str">
        <f ca="1">IFERROR(__xludf.DUMMYFUNCTION("""COMPUTED_VALUE"""),"Qualification")</f>
        <v>Qualification</v>
      </c>
      <c r="B200" s="6">
        <f ca="1">IFERROR(__xludf.DUMMYFUNCTION("""COMPUTED_VALUE"""),37)</f>
        <v>37</v>
      </c>
      <c r="C200" s="6">
        <f ca="1">IFERROR(__xludf.DUMMYFUNCTION("""COMPUTED_VALUE"""),2239)</f>
        <v>2239</v>
      </c>
      <c r="D200" s="6" t="str">
        <f ca="1">IFERROR(__xludf.DUMMYFUNCTION("""COMPUTED_VALUE"""),"Yes")</f>
        <v>Yes</v>
      </c>
      <c r="E200" s="6" t="str">
        <f ca="1">IFERROR(__xludf.DUMMYFUNCTION("""COMPUTED_VALUE"""),"Parked")</f>
        <v>Parked</v>
      </c>
    </row>
    <row r="201" spans="1:5">
      <c r="A201" s="6" t="str">
        <f ca="1">IFERROR(__xludf.DUMMYFUNCTION("""COMPUTED_VALUE"""),"Qualification")</f>
        <v>Qualification</v>
      </c>
      <c r="B201" s="6">
        <f ca="1">IFERROR(__xludf.DUMMYFUNCTION("""COMPUTED_VALUE"""),38)</f>
        <v>38</v>
      </c>
      <c r="C201" s="6">
        <f ca="1">IFERROR(__xludf.DUMMYFUNCTION("""COMPUTED_VALUE"""),5253)</f>
        <v>5253</v>
      </c>
      <c r="D201" s="6" t="str">
        <f ca="1">IFERROR(__xludf.DUMMYFUNCTION("""COMPUTED_VALUE"""),"Yes")</f>
        <v>Yes</v>
      </c>
      <c r="E201" s="6" t="str">
        <f ca="1">IFERROR(__xludf.DUMMYFUNCTION("""COMPUTED_VALUE"""),"None")</f>
        <v>None</v>
      </c>
    </row>
    <row r="202" spans="1:5">
      <c r="A202" s="6" t="str">
        <f ca="1">IFERROR(__xludf.DUMMYFUNCTION("""COMPUTED_VALUE"""),"Qualification")</f>
        <v>Qualification</v>
      </c>
      <c r="B202" s="6">
        <f ca="1">IFERROR(__xludf.DUMMYFUNCTION("""COMPUTED_VALUE"""),39)</f>
        <v>39</v>
      </c>
      <c r="C202" s="6">
        <f ca="1">IFERROR(__xludf.DUMMYFUNCTION("""COMPUTED_VALUE"""),2052)</f>
        <v>2052</v>
      </c>
      <c r="D202" s="6" t="str">
        <f ca="1">IFERROR(__xludf.DUMMYFUNCTION("""COMPUTED_VALUE"""),"Yes")</f>
        <v>Yes</v>
      </c>
      <c r="E202" s="6" t="str">
        <f ca="1">IFERROR(__xludf.DUMMYFUNCTION("""COMPUTED_VALUE"""),"DeepCage")</f>
        <v>DeepCage</v>
      </c>
    </row>
    <row r="203" spans="1:5">
      <c r="A203" s="6" t="str">
        <f ca="1">IFERROR(__xludf.DUMMYFUNCTION("""COMPUTED_VALUE"""),"Qualification")</f>
        <v>Qualification</v>
      </c>
      <c r="B203" s="6">
        <f ca="1">IFERROR(__xludf.DUMMYFUNCTION("""COMPUTED_VALUE"""),40)</f>
        <v>40</v>
      </c>
      <c r="C203" s="6">
        <f ca="1">IFERROR(__xludf.DUMMYFUNCTION("""COMPUTED_VALUE"""),3883)</f>
        <v>3883</v>
      </c>
      <c r="D203" s="6" t="str">
        <f ca="1">IFERROR(__xludf.DUMMYFUNCTION("""COMPUTED_VALUE"""),"Yes")</f>
        <v>Yes</v>
      </c>
      <c r="E203" s="6" t="str">
        <f ca="1">IFERROR(__xludf.DUMMYFUNCTION("""COMPUTED_VALUE"""),"DeepCage")</f>
        <v>DeepCage</v>
      </c>
    </row>
    <row r="204" spans="1:5">
      <c r="A204" s="6" t="str">
        <f ca="1">IFERROR(__xludf.DUMMYFUNCTION("""COMPUTED_VALUE"""),"Qualification")</f>
        <v>Qualification</v>
      </c>
      <c r="B204" s="6">
        <f ca="1">IFERROR(__xludf.DUMMYFUNCTION("""COMPUTED_VALUE"""),41)</f>
        <v>41</v>
      </c>
      <c r="C204" s="6">
        <f ca="1">IFERROR(__xludf.DUMMYFUNCTION("""COMPUTED_VALUE"""),10173)</f>
        <v>10173</v>
      </c>
      <c r="D204" s="6" t="str">
        <f ca="1">IFERROR(__xludf.DUMMYFUNCTION("""COMPUTED_VALUE"""),"Yes")</f>
        <v>Yes</v>
      </c>
      <c r="E204" s="6" t="str">
        <f ca="1">IFERROR(__xludf.DUMMYFUNCTION("""COMPUTED_VALUE"""),"Parked")</f>
        <v>Parked</v>
      </c>
    </row>
    <row r="205" spans="1:5">
      <c r="A205" s="6" t="str">
        <f ca="1">IFERROR(__xludf.DUMMYFUNCTION("""COMPUTED_VALUE"""),"Qualification")</f>
        <v>Qualification</v>
      </c>
      <c r="B205" s="6">
        <f ca="1">IFERROR(__xludf.DUMMYFUNCTION("""COMPUTED_VALUE"""),42)</f>
        <v>42</v>
      </c>
      <c r="C205" s="6">
        <f ca="1">IFERROR(__xludf.DUMMYFUNCTION("""COMPUTED_VALUE"""),3212)</f>
        <v>3212</v>
      </c>
      <c r="D205" s="6" t="str">
        <f ca="1">IFERROR(__xludf.DUMMYFUNCTION("""COMPUTED_VALUE"""),"Yes")</f>
        <v>Yes</v>
      </c>
      <c r="E205" s="6" t="str">
        <f ca="1">IFERROR(__xludf.DUMMYFUNCTION("""COMPUTED_VALUE"""),"None")</f>
        <v>None</v>
      </c>
    </row>
    <row r="206" spans="1:5">
      <c r="A206" s="6" t="str">
        <f ca="1">IFERROR(__xludf.DUMMYFUNCTION("""COMPUTED_VALUE"""),"Qualification")</f>
        <v>Qualification</v>
      </c>
      <c r="B206" s="6">
        <f ca="1">IFERROR(__xludf.DUMMYFUNCTION("""COMPUTED_VALUE"""),43)</f>
        <v>43</v>
      </c>
      <c r="C206" s="6">
        <f ca="1">IFERROR(__xludf.DUMMYFUNCTION("""COMPUTED_VALUE"""),4531)</f>
        <v>4531</v>
      </c>
      <c r="D206" s="6" t="str">
        <f ca="1">IFERROR(__xludf.DUMMYFUNCTION("""COMPUTED_VALUE"""),"Yes")</f>
        <v>Yes</v>
      </c>
      <c r="E206" s="6" t="str">
        <f ca="1">IFERROR(__xludf.DUMMYFUNCTION("""COMPUTED_VALUE"""),"Parked")</f>
        <v>Parked</v>
      </c>
    </row>
    <row r="207" spans="1:5">
      <c r="A207" s="6" t="str">
        <f ca="1">IFERROR(__xludf.DUMMYFUNCTION("""COMPUTED_VALUE"""),"Qualification")</f>
        <v>Qualification</v>
      </c>
      <c r="B207" s="6">
        <f ca="1">IFERROR(__xludf.DUMMYFUNCTION("""COMPUTED_VALUE"""),44)</f>
        <v>44</v>
      </c>
      <c r="C207" s="6">
        <f ca="1">IFERROR(__xludf.DUMMYFUNCTION("""COMPUTED_VALUE"""),2491)</f>
        <v>2491</v>
      </c>
      <c r="D207" s="6" t="str">
        <f ca="1">IFERROR(__xludf.DUMMYFUNCTION("""COMPUTED_VALUE"""),"Yes")</f>
        <v>Yes</v>
      </c>
      <c r="E207" s="6" t="str">
        <f ca="1">IFERROR(__xludf.DUMMYFUNCTION("""COMPUTED_VALUE"""),"None")</f>
        <v>None</v>
      </c>
    </row>
    <row r="208" spans="1:5">
      <c r="A208" s="6" t="str">
        <f ca="1">IFERROR(__xludf.DUMMYFUNCTION("""COMPUTED_VALUE"""),"Qualification")</f>
        <v>Qualification</v>
      </c>
      <c r="B208" s="6">
        <f ca="1">IFERROR(__xludf.DUMMYFUNCTION("""COMPUTED_VALUE"""),45)</f>
        <v>45</v>
      </c>
      <c r="C208" s="6">
        <f ca="1">IFERROR(__xludf.DUMMYFUNCTION("""COMPUTED_VALUE"""),6420)</f>
        <v>6420</v>
      </c>
      <c r="D208" s="6" t="str">
        <f ca="1">IFERROR(__xludf.DUMMYFUNCTION("""COMPUTED_VALUE"""),"Yes")</f>
        <v>Yes</v>
      </c>
      <c r="E208" s="6" t="str">
        <f ca="1">IFERROR(__xludf.DUMMYFUNCTION("""COMPUTED_VALUE"""),"Parked")</f>
        <v>Parked</v>
      </c>
    </row>
    <row r="209" spans="1:5">
      <c r="A209" s="6" t="str">
        <f ca="1">IFERROR(__xludf.DUMMYFUNCTION("""COMPUTED_VALUE"""),"Qualification")</f>
        <v>Qualification</v>
      </c>
      <c r="B209" s="6">
        <f ca="1">IFERROR(__xludf.DUMMYFUNCTION("""COMPUTED_VALUE"""),46)</f>
        <v>46</v>
      </c>
      <c r="C209" s="6">
        <f ca="1">IFERROR(__xludf.DUMMYFUNCTION("""COMPUTED_VALUE"""),2531)</f>
        <v>2531</v>
      </c>
      <c r="D209" s="6" t="str">
        <f ca="1">IFERROR(__xludf.DUMMYFUNCTION("""COMPUTED_VALUE"""),"Yes")</f>
        <v>Yes</v>
      </c>
      <c r="E209" s="6" t="str">
        <f ca="1">IFERROR(__xludf.DUMMYFUNCTION("""COMPUTED_VALUE"""),"Parked")</f>
        <v>Parked</v>
      </c>
    </row>
    <row r="210" spans="1:5">
      <c r="A210" s="6" t="str">
        <f ca="1">IFERROR(__xludf.DUMMYFUNCTION("""COMPUTED_VALUE"""),"Qualification")</f>
        <v>Qualification</v>
      </c>
      <c r="B210" s="6">
        <f ca="1">IFERROR(__xludf.DUMMYFUNCTION("""COMPUTED_VALUE"""),47)</f>
        <v>47</v>
      </c>
      <c r="C210" s="6">
        <f ca="1">IFERROR(__xludf.DUMMYFUNCTION("""COMPUTED_VALUE"""),2383)</f>
        <v>2383</v>
      </c>
      <c r="D210" s="6" t="str">
        <f ca="1">IFERROR(__xludf.DUMMYFUNCTION("""COMPUTED_VALUE"""),"Yes")</f>
        <v>Yes</v>
      </c>
      <c r="E210" s="6" t="str">
        <f ca="1">IFERROR(__xludf.DUMMYFUNCTION("""COMPUTED_VALUE"""),"None")</f>
        <v>None</v>
      </c>
    </row>
    <row r="211" spans="1:5">
      <c r="A211" s="6" t="str">
        <f ca="1">IFERROR(__xludf.DUMMYFUNCTION("""COMPUTED_VALUE"""),"Qualification")</f>
        <v>Qualification</v>
      </c>
      <c r="B211" s="6">
        <f ca="1">IFERROR(__xludf.DUMMYFUNCTION("""COMPUTED_VALUE"""),48)</f>
        <v>48</v>
      </c>
      <c r="C211" s="6">
        <f ca="1">IFERROR(__xludf.DUMMYFUNCTION("""COMPUTED_VALUE"""),1410)</f>
        <v>1410</v>
      </c>
      <c r="D211" s="6" t="str">
        <f ca="1">IFERROR(__xludf.DUMMYFUNCTION("""COMPUTED_VALUE"""),"Yes")</f>
        <v>Yes</v>
      </c>
      <c r="E211" s="6" t="str">
        <f ca="1">IFERROR(__xludf.DUMMYFUNCTION("""COMPUTED_VALUE"""),"Parked")</f>
        <v>Parked</v>
      </c>
    </row>
    <row r="212" spans="1:5">
      <c r="A212" s="6" t="str">
        <f ca="1">IFERROR(__xludf.DUMMYFUNCTION("""COMPUTED_VALUE"""),"Qualification")</f>
        <v>Qualification</v>
      </c>
      <c r="B212" s="6">
        <f ca="1">IFERROR(__xludf.DUMMYFUNCTION("""COMPUTED_VALUE"""),49)</f>
        <v>49</v>
      </c>
      <c r="C212" s="6">
        <f ca="1">IFERROR(__xludf.DUMMYFUNCTION("""COMPUTED_VALUE"""),1716)</f>
        <v>1716</v>
      </c>
      <c r="D212" s="6" t="str">
        <f ca="1">IFERROR(__xludf.DUMMYFUNCTION("""COMPUTED_VALUE"""),"Yes")</f>
        <v>Yes</v>
      </c>
      <c r="E212" s="6" t="str">
        <f ca="1">IFERROR(__xludf.DUMMYFUNCTION("""COMPUTED_VALUE"""),"Parked")</f>
        <v>Parked</v>
      </c>
    </row>
    <row r="213" spans="1:5">
      <c r="A213" s="6" t="str">
        <f ca="1">IFERROR(__xludf.DUMMYFUNCTION("""COMPUTED_VALUE"""),"Qualification")</f>
        <v>Qualification</v>
      </c>
      <c r="B213" s="6">
        <f ca="1">IFERROR(__xludf.DUMMYFUNCTION("""COMPUTED_VALUE"""),50)</f>
        <v>50</v>
      </c>
      <c r="C213" s="6">
        <f ca="1">IFERROR(__xludf.DUMMYFUNCTION("""COMPUTED_VALUE"""),7041)</f>
        <v>7041</v>
      </c>
      <c r="D213" s="6" t="str">
        <f ca="1">IFERROR(__xludf.DUMMYFUNCTION("""COMPUTED_VALUE"""),"Yes")</f>
        <v>Yes</v>
      </c>
      <c r="E213" s="6" t="str">
        <f ca="1">IFERROR(__xludf.DUMMYFUNCTION("""COMPUTED_VALUE"""),"None")</f>
        <v>None</v>
      </c>
    </row>
    <row r="214" spans="1:5">
      <c r="A214" s="6" t="str">
        <f ca="1">IFERROR(__xludf.DUMMYFUNCTION("""COMPUTED_VALUE"""),"Qualification")</f>
        <v>Qualification</v>
      </c>
      <c r="B214" s="6">
        <f ca="1">IFERROR(__xludf.DUMMYFUNCTION("""COMPUTED_VALUE"""),51)</f>
        <v>51</v>
      </c>
      <c r="C214" s="6">
        <f ca="1">IFERROR(__xludf.DUMMYFUNCTION("""COMPUTED_VALUE"""),5232)</f>
        <v>5232</v>
      </c>
      <c r="D214" s="6" t="str">
        <f ca="1">IFERROR(__xludf.DUMMYFUNCTION("""COMPUTED_VALUE"""),"Yes")</f>
        <v>Yes</v>
      </c>
      <c r="E214" s="6" t="str">
        <f ca="1">IFERROR(__xludf.DUMMYFUNCTION("""COMPUTED_VALUE"""),"Parked")</f>
        <v>Parked</v>
      </c>
    </row>
    <row r="215" spans="1:5">
      <c r="A215" s="6" t="str">
        <f ca="1">IFERROR(__xludf.DUMMYFUNCTION("""COMPUTED_VALUE"""),"Qualification")</f>
        <v>Qualification</v>
      </c>
      <c r="B215" s="6">
        <f ca="1">IFERROR(__xludf.DUMMYFUNCTION("""COMPUTED_VALUE"""),52)</f>
        <v>52</v>
      </c>
      <c r="C215" s="6">
        <f ca="1">IFERROR(__xludf.DUMMYFUNCTION("""COMPUTED_VALUE"""),111)</f>
        <v>111</v>
      </c>
      <c r="D215" s="6" t="str">
        <f ca="1">IFERROR(__xludf.DUMMYFUNCTION("""COMPUTED_VALUE"""),"Yes")</f>
        <v>Yes</v>
      </c>
      <c r="E215" s="6" t="str">
        <f ca="1">IFERROR(__xludf.DUMMYFUNCTION("""COMPUTED_VALUE"""),"DeepCage")</f>
        <v>DeepCage</v>
      </c>
    </row>
    <row r="216" spans="1:5">
      <c r="A216" s="6" t="str">
        <f ca="1">IFERROR(__xludf.DUMMYFUNCTION("""COMPUTED_VALUE"""),"Qualification")</f>
        <v>Qualification</v>
      </c>
      <c r="B216" s="6">
        <f ca="1">IFERROR(__xludf.DUMMYFUNCTION("""COMPUTED_VALUE"""),53)</f>
        <v>53</v>
      </c>
      <c r="C216" s="6">
        <f ca="1">IFERROR(__xludf.DUMMYFUNCTION("""COMPUTED_VALUE"""),4623)</f>
        <v>4623</v>
      </c>
      <c r="D216" s="6" t="str">
        <f ca="1">IFERROR(__xludf.DUMMYFUNCTION("""COMPUTED_VALUE"""),"No")</f>
        <v>No</v>
      </c>
      <c r="E216" s="6" t="str">
        <f ca="1">IFERROR(__xludf.DUMMYFUNCTION("""COMPUTED_VALUE"""),"None")</f>
        <v>None</v>
      </c>
    </row>
    <row r="217" spans="1:5">
      <c r="A217" s="6" t="str">
        <f ca="1">IFERROR(__xludf.DUMMYFUNCTION("""COMPUTED_VALUE"""),"Qualification")</f>
        <v>Qualification</v>
      </c>
      <c r="B217" s="6">
        <f ca="1">IFERROR(__xludf.DUMMYFUNCTION("""COMPUTED_VALUE"""),54)</f>
        <v>54</v>
      </c>
      <c r="C217" s="6">
        <f ca="1">IFERROR(__xludf.DUMMYFUNCTION("""COMPUTED_VALUE"""),525)</f>
        <v>525</v>
      </c>
      <c r="D217" s="6" t="str">
        <f ca="1">IFERROR(__xludf.DUMMYFUNCTION("""COMPUTED_VALUE"""),"Yes")</f>
        <v>Yes</v>
      </c>
      <c r="E217" s="6" t="str">
        <f ca="1">IFERROR(__xludf.DUMMYFUNCTION("""COMPUTED_VALUE"""),"Parked")</f>
        <v>Parked</v>
      </c>
    </row>
    <row r="218" spans="1:5">
      <c r="A218" s="6" t="str">
        <f ca="1">IFERROR(__xludf.DUMMYFUNCTION("""COMPUTED_VALUE"""),"Qualification")</f>
        <v>Qualification</v>
      </c>
      <c r="B218" s="6">
        <f ca="1">IFERROR(__xludf.DUMMYFUNCTION("""COMPUTED_VALUE"""),55)</f>
        <v>55</v>
      </c>
      <c r="C218" s="6">
        <f ca="1">IFERROR(__xludf.DUMMYFUNCTION("""COMPUTED_VALUE"""),1716)</f>
        <v>1716</v>
      </c>
      <c r="D218" s="6" t="str">
        <f ca="1">IFERROR(__xludf.DUMMYFUNCTION("""COMPUTED_VALUE"""),"Yes")</f>
        <v>Yes</v>
      </c>
      <c r="E218" s="6" t="str">
        <f ca="1">IFERROR(__xludf.DUMMYFUNCTION("""COMPUTED_VALUE"""),"Parked")</f>
        <v>Parked</v>
      </c>
    </row>
    <row r="219" spans="1:5">
      <c r="A219" s="6" t="str">
        <f ca="1">IFERROR(__xludf.DUMMYFUNCTION("""COMPUTED_VALUE"""),"Qualification")</f>
        <v>Qualification</v>
      </c>
      <c r="B219" s="6">
        <f ca="1">IFERROR(__xludf.DUMMYFUNCTION("""COMPUTED_VALUE"""),56)</f>
        <v>56</v>
      </c>
      <c r="C219" s="6">
        <f ca="1">IFERROR(__xludf.DUMMYFUNCTION("""COMPUTED_VALUE"""),2450)</f>
        <v>2450</v>
      </c>
      <c r="D219" s="6" t="str">
        <f ca="1">IFERROR(__xludf.DUMMYFUNCTION("""COMPUTED_VALUE"""),"Yes")</f>
        <v>Yes</v>
      </c>
      <c r="E219" s="6" t="str">
        <f ca="1">IFERROR(__xludf.DUMMYFUNCTION("""COMPUTED_VALUE"""),"Parked")</f>
        <v>Parked</v>
      </c>
    </row>
    <row r="220" spans="1:5">
      <c r="A220" s="6" t="str">
        <f ca="1">IFERROR(__xludf.DUMMYFUNCTION("""COMPUTED_VALUE"""),"Qualification")</f>
        <v>Qualification</v>
      </c>
      <c r="B220" s="6">
        <f ca="1">IFERROR(__xludf.DUMMYFUNCTION("""COMPUTED_VALUE"""),57)</f>
        <v>57</v>
      </c>
      <c r="C220" s="6">
        <f ca="1">IFERROR(__xludf.DUMMYFUNCTION("""COMPUTED_VALUE"""),5232)</f>
        <v>5232</v>
      </c>
      <c r="D220" s="6" t="str">
        <f ca="1">IFERROR(__xludf.DUMMYFUNCTION("""COMPUTED_VALUE"""),"Yes")</f>
        <v>Yes</v>
      </c>
      <c r="E220" s="6" t="str">
        <f ca="1">IFERROR(__xludf.DUMMYFUNCTION("""COMPUTED_VALUE"""),"Parked")</f>
        <v>Parked</v>
      </c>
    </row>
    <row r="221" spans="1:5">
      <c r="A221" s="6" t="str">
        <f ca="1">IFERROR(__xludf.DUMMYFUNCTION("""COMPUTED_VALUE"""),"Qualification")</f>
        <v>Qualification</v>
      </c>
      <c r="B221" s="6">
        <f ca="1">IFERROR(__xludf.DUMMYFUNCTION("""COMPUTED_VALUE"""),58)</f>
        <v>58</v>
      </c>
      <c r="C221" s="6">
        <f ca="1">IFERROR(__xludf.DUMMYFUNCTION("""COMPUTED_VALUE"""),7021)</f>
        <v>7021</v>
      </c>
      <c r="D221" s="6" t="str">
        <f ca="1">IFERROR(__xludf.DUMMYFUNCTION("""COMPUTED_VALUE"""),"Yes")</f>
        <v>Yes</v>
      </c>
      <c r="E221" s="6" t="str">
        <f ca="1">IFERROR(__xludf.DUMMYFUNCTION("""COMPUTED_VALUE"""),"DeepCage")</f>
        <v>DeepCage</v>
      </c>
    </row>
    <row r="222" spans="1:5">
      <c r="A222" s="6" t="str">
        <f ca="1">IFERROR(__xludf.DUMMYFUNCTION("""COMPUTED_VALUE"""),"Qualification")</f>
        <v>Qualification</v>
      </c>
      <c r="B222" s="6">
        <f ca="1">IFERROR(__xludf.DUMMYFUNCTION("""COMPUTED_VALUE"""),59)</f>
        <v>59</v>
      </c>
      <c r="C222" s="6">
        <f ca="1">IFERROR(__xludf.DUMMYFUNCTION("""COMPUTED_VALUE"""),6132)</f>
        <v>6132</v>
      </c>
      <c r="D222" s="6" t="str">
        <f ca="1">IFERROR(__xludf.DUMMYFUNCTION("""COMPUTED_VALUE"""),"Yes")</f>
        <v>Yes</v>
      </c>
      <c r="E222" s="6" t="str">
        <f ca="1">IFERROR(__xludf.DUMMYFUNCTION("""COMPUTED_VALUE"""),"DeepCage")</f>
        <v>DeepCage</v>
      </c>
    </row>
    <row r="223" spans="1:5">
      <c r="A223" s="6" t="str">
        <f ca="1">IFERROR(__xludf.DUMMYFUNCTION("""COMPUTED_VALUE"""),"Qualification")</f>
        <v>Qualification</v>
      </c>
      <c r="B223" s="6">
        <f ca="1">IFERROR(__xludf.DUMMYFUNCTION("""COMPUTED_VALUE"""),60)</f>
        <v>60</v>
      </c>
      <c r="C223" s="6">
        <f ca="1">IFERROR(__xludf.DUMMYFUNCTION("""COMPUTED_VALUE"""),3023)</f>
        <v>3023</v>
      </c>
      <c r="D223" s="6" t="str">
        <f ca="1">IFERROR(__xludf.DUMMYFUNCTION("""COMPUTED_VALUE"""),"Yes")</f>
        <v>Yes</v>
      </c>
      <c r="E223" s="6" t="str">
        <f ca="1">IFERROR(__xludf.DUMMYFUNCTION("""COMPUTED_VALUE"""),"None")</f>
        <v>None</v>
      </c>
    </row>
    <row r="224" spans="1:5">
      <c r="A224" s="6" t="str">
        <f ca="1">IFERROR(__xludf.DUMMYFUNCTION("""COMPUTED_VALUE"""),"Qualification")</f>
        <v>Qualification</v>
      </c>
      <c r="B224" s="6">
        <f ca="1">IFERROR(__xludf.DUMMYFUNCTION("""COMPUTED_VALUE"""),61)</f>
        <v>61</v>
      </c>
      <c r="C224" s="6">
        <f ca="1">IFERROR(__xludf.DUMMYFUNCTION("""COMPUTED_VALUE"""),3691)</f>
        <v>3691</v>
      </c>
      <c r="D224" s="6" t="str">
        <f ca="1">IFERROR(__xludf.DUMMYFUNCTION("""COMPUTED_VALUE"""),"No")</f>
        <v>No</v>
      </c>
      <c r="E224" s="6" t="str">
        <f ca="1">IFERROR(__xludf.DUMMYFUNCTION("""COMPUTED_VALUE"""),"Parked")</f>
        <v>Parked</v>
      </c>
    </row>
    <row r="225" spans="1:5">
      <c r="A225" s="6" t="str">
        <f ca="1">IFERROR(__xludf.DUMMYFUNCTION("""COMPUTED_VALUE"""),"Qualification")</f>
        <v>Qualification</v>
      </c>
      <c r="B225" s="6">
        <f ca="1">IFERROR(__xludf.DUMMYFUNCTION("""COMPUTED_VALUE"""),62)</f>
        <v>62</v>
      </c>
      <c r="C225" s="6">
        <f ca="1">IFERROR(__xludf.DUMMYFUNCTION("""COMPUTED_VALUE"""),5339)</f>
        <v>5339</v>
      </c>
      <c r="D225" s="6" t="str">
        <f ca="1">IFERROR(__xludf.DUMMYFUNCTION("""COMPUTED_VALUE"""),"Yes")</f>
        <v>Yes</v>
      </c>
      <c r="E225" s="6" t="str">
        <f ca="1">IFERROR(__xludf.DUMMYFUNCTION("""COMPUTED_VALUE"""),"None")</f>
        <v>None</v>
      </c>
    </row>
    <row r="226" spans="1:5">
      <c r="A226" s="6" t="str">
        <f ca="1">IFERROR(__xludf.DUMMYFUNCTION("""COMPUTED_VALUE"""),"Qualification")</f>
        <v>Qualification</v>
      </c>
      <c r="B226" s="6">
        <f ca="1">IFERROR(__xludf.DUMMYFUNCTION("""COMPUTED_VALUE"""),63)</f>
        <v>63</v>
      </c>
      <c r="C226" s="6">
        <f ca="1">IFERROR(__xludf.DUMMYFUNCTION("""COMPUTED_VALUE"""),3212)</f>
        <v>3212</v>
      </c>
      <c r="D226" s="6" t="str">
        <f ca="1">IFERROR(__xludf.DUMMYFUNCTION("""COMPUTED_VALUE"""),"Yes")</f>
        <v>Yes</v>
      </c>
      <c r="E226" s="6" t="str">
        <f ca="1">IFERROR(__xludf.DUMMYFUNCTION("""COMPUTED_VALUE"""),"Parked")</f>
        <v>Parked</v>
      </c>
    </row>
    <row r="227" spans="1:5">
      <c r="A227" s="6" t="str">
        <f ca="1">IFERROR(__xludf.DUMMYFUNCTION("""COMPUTED_VALUE"""),"Qualification")</f>
        <v>Qualification</v>
      </c>
      <c r="B227" s="6">
        <f ca="1">IFERROR(__xludf.DUMMYFUNCTION("""COMPUTED_VALUE"""),64)</f>
        <v>64</v>
      </c>
      <c r="C227" s="6">
        <f ca="1">IFERROR(__xludf.DUMMYFUNCTION("""COMPUTED_VALUE"""),2512)</f>
        <v>2512</v>
      </c>
      <c r="D227" s="6" t="str">
        <f ca="1">IFERROR(__xludf.DUMMYFUNCTION("""COMPUTED_VALUE"""),"Yes")</f>
        <v>Yes</v>
      </c>
      <c r="E227" s="6" t="str">
        <f ca="1">IFERROR(__xludf.DUMMYFUNCTION("""COMPUTED_VALUE"""),"Parked")</f>
        <v>Parked</v>
      </c>
    </row>
    <row r="228" spans="1:5">
      <c r="A228" s="6" t="str">
        <f ca="1">IFERROR(__xludf.DUMMYFUNCTION("""COMPUTED_VALUE"""),"Qualification")</f>
        <v>Qualification</v>
      </c>
      <c r="B228" s="6">
        <f ca="1">IFERROR(__xludf.DUMMYFUNCTION("""COMPUTED_VALUE"""),65)</f>
        <v>65</v>
      </c>
      <c r="C228" s="6">
        <f ca="1">IFERROR(__xludf.DUMMYFUNCTION("""COMPUTED_VALUE"""),4009)</f>
        <v>4009</v>
      </c>
      <c r="D228" s="6" t="str">
        <f ca="1">IFERROR(__xludf.DUMMYFUNCTION("""COMPUTED_VALUE"""),"Yes")</f>
        <v>Yes</v>
      </c>
      <c r="E228" s="6" t="str">
        <f ca="1">IFERROR(__xludf.DUMMYFUNCTION("""COMPUTED_VALUE"""),"None")</f>
        <v>None</v>
      </c>
    </row>
    <row r="229" spans="1:5">
      <c r="A229" s="6" t="str">
        <f ca="1">IFERROR(__xludf.DUMMYFUNCTION("""COMPUTED_VALUE"""),"Qualification")</f>
        <v>Qualification</v>
      </c>
      <c r="B229" s="6">
        <f ca="1">IFERROR(__xludf.DUMMYFUNCTION("""COMPUTED_VALUE"""),66)</f>
        <v>66</v>
      </c>
      <c r="C229" s="6">
        <f ca="1">IFERROR(__xludf.DUMMYFUNCTION("""COMPUTED_VALUE"""),6160)</f>
        <v>6160</v>
      </c>
      <c r="D229" s="6" t="str">
        <f ca="1">IFERROR(__xludf.DUMMYFUNCTION("""COMPUTED_VALUE"""),"Yes")</f>
        <v>Yes</v>
      </c>
      <c r="E229" s="6" t="str">
        <f ca="1">IFERROR(__xludf.DUMMYFUNCTION("""COMPUTED_VALUE"""),"None")</f>
        <v>None</v>
      </c>
    </row>
    <row r="230" spans="1:5">
      <c r="A230" s="6" t="str">
        <f ca="1">IFERROR(__xludf.DUMMYFUNCTION("""COMPUTED_VALUE"""),"Qualification")</f>
        <v>Qualification</v>
      </c>
      <c r="B230" s="6">
        <f ca="1">IFERROR(__xludf.DUMMYFUNCTION("""COMPUTED_VALUE"""),67)</f>
        <v>67</v>
      </c>
      <c r="C230" s="6">
        <f ca="1">IFERROR(__xludf.DUMMYFUNCTION("""COMPUTED_VALUE"""),1816)</f>
        <v>1816</v>
      </c>
      <c r="D230" s="6" t="str">
        <f ca="1">IFERROR(__xludf.DUMMYFUNCTION("""COMPUTED_VALUE"""),"Yes")</f>
        <v>Yes</v>
      </c>
      <c r="E230" s="6" t="str">
        <f ca="1">IFERROR(__xludf.DUMMYFUNCTION("""COMPUTED_VALUE"""),"DeepCage")</f>
        <v>DeepCage</v>
      </c>
    </row>
    <row r="231" spans="1:5">
      <c r="A231" s="6" t="str">
        <f ca="1">IFERROR(__xludf.DUMMYFUNCTION("""COMPUTED_VALUE"""),"Qualification")</f>
        <v>Qualification</v>
      </c>
      <c r="B231" s="6">
        <f ca="1">IFERROR(__xludf.DUMMYFUNCTION("""COMPUTED_VALUE"""),68)</f>
        <v>68</v>
      </c>
      <c r="C231" s="6">
        <f ca="1">IFERROR(__xludf.DUMMYFUNCTION("""COMPUTED_VALUE"""),6132)</f>
        <v>6132</v>
      </c>
      <c r="D231" s="6" t="str">
        <f ca="1">IFERROR(__xludf.DUMMYFUNCTION("""COMPUTED_VALUE"""),"Yes")</f>
        <v>Yes</v>
      </c>
      <c r="E231" s="6" t="str">
        <f ca="1">IFERROR(__xludf.DUMMYFUNCTION("""COMPUTED_VALUE"""),"Parked")</f>
        <v>Parked</v>
      </c>
    </row>
    <row r="232" spans="1:5">
      <c r="A232" s="6" t="str">
        <f ca="1">IFERROR(__xludf.DUMMYFUNCTION("""COMPUTED_VALUE"""),"Qualification")</f>
        <v>Qualification</v>
      </c>
      <c r="B232" s="6">
        <f ca="1">IFERROR(__xludf.DUMMYFUNCTION("""COMPUTED_VALUE"""),69)</f>
        <v>69</v>
      </c>
      <c r="C232" s="6">
        <f ca="1">IFERROR(__xludf.DUMMYFUNCTION("""COMPUTED_VALUE"""),3298)</f>
        <v>3298</v>
      </c>
      <c r="D232" s="6" t="str">
        <f ca="1">IFERROR(__xludf.DUMMYFUNCTION("""COMPUTED_VALUE"""),"Yes")</f>
        <v>Yes</v>
      </c>
      <c r="E232" s="6" t="str">
        <f ca="1">IFERROR(__xludf.DUMMYFUNCTION("""COMPUTED_VALUE"""),"None")</f>
        <v>None</v>
      </c>
    </row>
    <row r="233" spans="1:5">
      <c r="A233" s="6" t="str">
        <f ca="1">IFERROR(__xludf.DUMMYFUNCTION("""COMPUTED_VALUE"""),"Qualification")</f>
        <v>Qualification</v>
      </c>
      <c r="B233" s="6">
        <f ca="1">IFERROR(__xludf.DUMMYFUNCTION("""COMPUTED_VALUE"""),70)</f>
        <v>70</v>
      </c>
      <c r="C233" s="6">
        <f ca="1">IFERROR(__xludf.DUMMYFUNCTION("""COMPUTED_VALUE"""),5253)</f>
        <v>5253</v>
      </c>
      <c r="D233" s="6" t="str">
        <f ca="1">IFERROR(__xludf.DUMMYFUNCTION("""COMPUTED_VALUE"""),"Yes")</f>
        <v>Yes</v>
      </c>
      <c r="E233" s="6" t="str">
        <f ca="1">IFERROR(__xludf.DUMMYFUNCTION("""COMPUTED_VALUE"""),"None")</f>
        <v>None</v>
      </c>
    </row>
    <row r="234" spans="1:5">
      <c r="A234" s="6" t="str">
        <f ca="1">IFERROR(__xludf.DUMMYFUNCTION("""COMPUTED_VALUE"""),"Qualification")</f>
        <v>Qualification</v>
      </c>
      <c r="B234" s="6">
        <f ca="1">IFERROR(__xludf.DUMMYFUNCTION("""COMPUTED_VALUE"""),71)</f>
        <v>71</v>
      </c>
      <c r="C234" s="6">
        <f ca="1">IFERROR(__xludf.DUMMYFUNCTION("""COMPUTED_VALUE"""),5339)</f>
        <v>5339</v>
      </c>
      <c r="D234" s="6" t="str">
        <f ca="1">IFERROR(__xludf.DUMMYFUNCTION("""COMPUTED_VALUE"""),"Yes")</f>
        <v>Yes</v>
      </c>
      <c r="E234" s="6" t="str">
        <f ca="1">IFERROR(__xludf.DUMMYFUNCTION("""COMPUTED_VALUE"""),"None")</f>
        <v>None</v>
      </c>
    </row>
    <row r="235" spans="1:5">
      <c r="A235" s="6" t="str">
        <f ca="1">IFERROR(__xludf.DUMMYFUNCTION("""COMPUTED_VALUE"""),"Qualification")</f>
        <v>Qualification</v>
      </c>
      <c r="B235" s="6">
        <f ca="1">IFERROR(__xludf.DUMMYFUNCTION("""COMPUTED_VALUE"""),72)</f>
        <v>72</v>
      </c>
      <c r="C235" s="6">
        <f ca="1">IFERROR(__xludf.DUMMYFUNCTION("""COMPUTED_VALUE"""),7048)</f>
        <v>7048</v>
      </c>
      <c r="D235" s="6" t="str">
        <f ca="1">IFERROR(__xludf.DUMMYFUNCTION("""COMPUTED_VALUE"""),"Yes")</f>
        <v>Yes</v>
      </c>
      <c r="E235" s="6" t="str">
        <f ca="1">IFERROR(__xludf.DUMMYFUNCTION("""COMPUTED_VALUE"""),"Parked")</f>
        <v>Parked</v>
      </c>
    </row>
    <row r="236" spans="1:5">
      <c r="A236" s="6" t="str">
        <f ca="1">IFERROR(__xludf.DUMMYFUNCTION("""COMPUTED_VALUE"""),"Qualification")</f>
        <v>Qualification</v>
      </c>
      <c r="B236" s="6">
        <f ca="1">IFERROR(__xludf.DUMMYFUNCTION("""COMPUTED_VALUE"""),73)</f>
        <v>73</v>
      </c>
      <c r="C236" s="6">
        <f ca="1">IFERROR(__xludf.DUMMYFUNCTION("""COMPUTED_VALUE"""),4009)</f>
        <v>4009</v>
      </c>
      <c r="D236" s="6" t="str">
        <f ca="1">IFERROR(__xludf.DUMMYFUNCTION("""COMPUTED_VALUE"""),"Yes")</f>
        <v>Yes</v>
      </c>
      <c r="E236" s="6" t="str">
        <f ca="1">IFERROR(__xludf.DUMMYFUNCTION("""COMPUTED_VALUE"""),"Parked")</f>
        <v>Parked</v>
      </c>
    </row>
    <row r="237" spans="1:5">
      <c r="A237" s="6" t="str">
        <f ca="1">IFERROR(__xludf.DUMMYFUNCTION("""COMPUTED_VALUE"""),"Qualification")</f>
        <v>Qualification</v>
      </c>
      <c r="B237" s="6">
        <f ca="1">IFERROR(__xludf.DUMMYFUNCTION("""COMPUTED_VALUE"""),74)</f>
        <v>74</v>
      </c>
      <c r="C237" s="6">
        <f ca="1">IFERROR(__xludf.DUMMYFUNCTION("""COMPUTED_VALUE"""),4166)</f>
        <v>4166</v>
      </c>
      <c r="D237" s="6" t="str">
        <f ca="1">IFERROR(__xludf.DUMMYFUNCTION("""COMPUTED_VALUE"""),"Yes")</f>
        <v>Yes</v>
      </c>
      <c r="E237" s="6" t="str">
        <f ca="1">IFERROR(__xludf.DUMMYFUNCTION("""COMPUTED_VALUE"""),"Parked")</f>
        <v>Parked</v>
      </c>
    </row>
    <row r="238" spans="1:5">
      <c r="A238" s="6" t="str">
        <f ca="1">IFERROR(__xludf.DUMMYFUNCTION("""COMPUTED_VALUE"""),"Qualification")</f>
        <v>Qualification</v>
      </c>
      <c r="B238" s="6">
        <f ca="1">IFERROR(__xludf.DUMMYFUNCTION("""COMPUTED_VALUE"""),75)</f>
        <v>75</v>
      </c>
      <c r="C238" s="6">
        <f ca="1">IFERROR(__xludf.DUMMYFUNCTION("""COMPUTED_VALUE"""),4230)</f>
        <v>4230</v>
      </c>
      <c r="D238" s="6" t="str">
        <f ca="1">IFERROR(__xludf.DUMMYFUNCTION("""COMPUTED_VALUE"""),"Yes")</f>
        <v>Yes</v>
      </c>
      <c r="E238" s="6" t="str">
        <f ca="1">IFERROR(__xludf.DUMMYFUNCTION("""COMPUTED_VALUE"""),"Parked")</f>
        <v>Parked</v>
      </c>
    </row>
    <row r="239" spans="1:5">
      <c r="A239" s="6" t="str">
        <f ca="1">IFERROR(__xludf.DUMMYFUNCTION("""COMPUTED_VALUE"""),"Qualification")</f>
        <v>Qualification</v>
      </c>
      <c r="B239" s="6">
        <f ca="1">IFERROR(__xludf.DUMMYFUNCTION("""COMPUTED_VALUE"""),76)</f>
        <v>76</v>
      </c>
      <c r="C239" s="6">
        <f ca="1">IFERROR(__xludf.DUMMYFUNCTION("""COMPUTED_VALUE"""),4418)</f>
        <v>4418</v>
      </c>
      <c r="D239" s="6" t="str">
        <f ca="1">IFERROR(__xludf.DUMMYFUNCTION("""COMPUTED_VALUE"""),"Yes")</f>
        <v>Yes</v>
      </c>
      <c r="E239" s="6" t="str">
        <f ca="1">IFERROR(__xludf.DUMMYFUNCTION("""COMPUTED_VALUE"""),"DeepCage")</f>
        <v>DeepCage</v>
      </c>
    </row>
    <row r="240" spans="1:5">
      <c r="A240" s="6" t="str">
        <f ca="1">IFERROR(__xludf.DUMMYFUNCTION("""COMPUTED_VALUE"""),"Qualification")</f>
        <v>Qualification</v>
      </c>
      <c r="B240" s="6">
        <f ca="1">IFERROR(__xludf.DUMMYFUNCTION("""COMPUTED_VALUE"""),77)</f>
        <v>77</v>
      </c>
      <c r="C240" s="6">
        <f ca="1">IFERROR(__xludf.DUMMYFUNCTION("""COMPUTED_VALUE"""),5339)</f>
        <v>5339</v>
      </c>
      <c r="D240" s="6" t="str">
        <f ca="1">IFERROR(__xludf.DUMMYFUNCTION("""COMPUTED_VALUE"""),"Yes")</f>
        <v>Yes</v>
      </c>
      <c r="E240" s="6" t="str">
        <f ca="1">IFERROR(__xludf.DUMMYFUNCTION("""COMPUTED_VALUE"""),"Parked")</f>
        <v>Parked</v>
      </c>
    </row>
    <row r="241" spans="1:5">
      <c r="A241" s="6" t="str">
        <f ca="1">IFERROR(__xludf.DUMMYFUNCTION("""COMPUTED_VALUE"""),"Qualification")</f>
        <v>Qualification</v>
      </c>
      <c r="B241" s="6">
        <f ca="1">IFERROR(__xludf.DUMMYFUNCTION("""COMPUTED_VALUE"""),78)</f>
        <v>78</v>
      </c>
      <c r="C241" s="6">
        <f ca="1">IFERROR(__xludf.DUMMYFUNCTION("""COMPUTED_VALUE"""),5690)</f>
        <v>5690</v>
      </c>
      <c r="D241" s="6" t="str">
        <f ca="1">IFERROR(__xludf.DUMMYFUNCTION("""COMPUTED_VALUE"""),"Yes")</f>
        <v>Yes</v>
      </c>
      <c r="E241" s="6" t="str">
        <f ca="1">IFERROR(__xludf.DUMMYFUNCTION("""COMPUTED_VALUE"""),"Parked")</f>
        <v>Parked</v>
      </c>
    </row>
    <row r="242" spans="1:5">
      <c r="A242" s="6" t="str">
        <f ca="1">IFERROR(__xludf.DUMMYFUNCTION("""COMPUTED_VALUE"""),"Qualification")</f>
        <v>Qualification</v>
      </c>
      <c r="B242" s="6">
        <f ca="1">IFERROR(__xludf.DUMMYFUNCTION("""COMPUTED_VALUE"""),79)</f>
        <v>79</v>
      </c>
      <c r="C242" s="6">
        <f ca="1">IFERROR(__xludf.DUMMYFUNCTION("""COMPUTED_VALUE"""),2240)</f>
        <v>2240</v>
      </c>
      <c r="D242" s="6" t="str">
        <f ca="1">IFERROR(__xludf.DUMMYFUNCTION("""COMPUTED_VALUE"""),"Yes")</f>
        <v>Yes</v>
      </c>
      <c r="E242" s="6" t="str">
        <f ca="1">IFERROR(__xludf.DUMMYFUNCTION("""COMPUTED_VALUE"""),"None")</f>
        <v>None</v>
      </c>
    </row>
    <row r="243" spans="1:5">
      <c r="A243" s="6" t="str">
        <f ca="1">IFERROR(__xludf.DUMMYFUNCTION("""COMPUTED_VALUE"""),"Qualification")</f>
        <v>Qualification</v>
      </c>
      <c r="B243" s="6">
        <f ca="1">IFERROR(__xludf.DUMMYFUNCTION("""COMPUTED_VALUE"""),80)</f>
        <v>80</v>
      </c>
      <c r="C243" s="6">
        <f ca="1">IFERROR(__xludf.DUMMYFUNCTION("""COMPUTED_VALUE"""),2052)</f>
        <v>2052</v>
      </c>
      <c r="D243" s="6" t="str">
        <f ca="1">IFERROR(__xludf.DUMMYFUNCTION("""COMPUTED_VALUE"""),"Yes")</f>
        <v>Yes</v>
      </c>
      <c r="E243" s="6" t="str">
        <f ca="1">IFERROR(__xludf.DUMMYFUNCTION("""COMPUTED_VALUE"""),"Parked")</f>
        <v>Parked</v>
      </c>
    </row>
    <row r="244" spans="1:5">
      <c r="A244" s="6" t="str">
        <f ca="1">IFERROR(__xludf.DUMMYFUNCTION("""COMPUTED_VALUE"""),"Qualification")</f>
        <v>Qualification</v>
      </c>
      <c r="B244" s="6">
        <f ca="1">IFERROR(__xludf.DUMMYFUNCTION("""COMPUTED_VALUE"""),81)</f>
        <v>81</v>
      </c>
      <c r="C244" s="6">
        <f ca="1">IFERROR(__xludf.DUMMYFUNCTION("""COMPUTED_VALUE"""),2977)</f>
        <v>2977</v>
      </c>
      <c r="D244" s="6" t="str">
        <f ca="1">IFERROR(__xludf.DUMMYFUNCTION("""COMPUTED_VALUE"""),"Yes")</f>
        <v>Yes</v>
      </c>
      <c r="E244" s="6" t="str">
        <f ca="1">IFERROR(__xludf.DUMMYFUNCTION("""COMPUTED_VALUE"""),"Parked")</f>
        <v>Parked</v>
      </c>
    </row>
    <row r="245" spans="1:5">
      <c r="A245" s="6" t="str">
        <f ca="1">IFERROR(__xludf.DUMMYFUNCTION("""COMPUTED_VALUE"""),"Qualification")</f>
        <v>Qualification</v>
      </c>
      <c r="B245" s="6">
        <f ca="1">IFERROR(__xludf.DUMMYFUNCTION("""COMPUTED_VALUE"""),1)</f>
        <v>1</v>
      </c>
      <c r="C245" s="6">
        <f ca="1">IFERROR(__xludf.DUMMYFUNCTION("""COMPUTED_VALUE"""),5690)</f>
        <v>5690</v>
      </c>
      <c r="D245" s="6" t="str">
        <f ca="1">IFERROR(__xludf.DUMMYFUNCTION("""COMPUTED_VALUE"""),"No")</f>
        <v>No</v>
      </c>
      <c r="E245" s="6" t="str">
        <f ca="1">IFERROR(__xludf.DUMMYFUNCTION("""COMPUTED_VALUE"""),"None")</f>
        <v>None</v>
      </c>
    </row>
    <row r="246" spans="1:5">
      <c r="A246" s="6" t="str">
        <f ca="1">IFERROR(__xludf.DUMMYFUNCTION("""COMPUTED_VALUE"""),"Qualification")</f>
        <v>Qualification</v>
      </c>
      <c r="B246" s="6">
        <f ca="1">IFERROR(__xludf.DUMMYFUNCTION("""COMPUTED_VALUE"""),2)</f>
        <v>2</v>
      </c>
      <c r="C246" s="6">
        <f ca="1">IFERROR(__xludf.DUMMYFUNCTION("""COMPUTED_VALUE"""),2239)</f>
        <v>2239</v>
      </c>
      <c r="D246" s="6" t="str">
        <f ca="1">IFERROR(__xludf.DUMMYFUNCTION("""COMPUTED_VALUE"""),"No")</f>
        <v>No</v>
      </c>
      <c r="E246" s="6" t="str">
        <f ca="1">IFERROR(__xludf.DUMMYFUNCTION("""COMPUTED_VALUE"""),"Parked")</f>
        <v>Parked</v>
      </c>
    </row>
    <row r="247" spans="1:5">
      <c r="A247" s="6" t="str">
        <f ca="1">IFERROR(__xludf.DUMMYFUNCTION("""COMPUTED_VALUE"""),"Qualification")</f>
        <v>Qualification</v>
      </c>
      <c r="B247" s="6">
        <f ca="1">IFERROR(__xludf.DUMMYFUNCTION("""COMPUTED_VALUE"""),3)</f>
        <v>3</v>
      </c>
      <c r="C247" s="6">
        <f ca="1">IFERROR(__xludf.DUMMYFUNCTION("""COMPUTED_VALUE"""),3298)</f>
        <v>3298</v>
      </c>
      <c r="D247" s="6" t="str">
        <f ca="1">IFERROR(__xludf.DUMMYFUNCTION("""COMPUTED_VALUE"""),"Yes")</f>
        <v>Yes</v>
      </c>
      <c r="E247" s="6" t="str">
        <f ca="1">IFERROR(__xludf.DUMMYFUNCTION("""COMPUTED_VALUE"""),"Parked")</f>
        <v>Parked</v>
      </c>
    </row>
    <row r="248" spans="1:5">
      <c r="A248" s="6" t="str">
        <f ca="1">IFERROR(__xludf.DUMMYFUNCTION("""COMPUTED_VALUE"""),"Qualification")</f>
        <v>Qualification</v>
      </c>
      <c r="B248" s="6">
        <f ca="1">IFERROR(__xludf.DUMMYFUNCTION("""COMPUTED_VALUE"""),4)</f>
        <v>4</v>
      </c>
      <c r="C248" s="6">
        <f ca="1">IFERROR(__xludf.DUMMYFUNCTION("""COMPUTED_VALUE"""),2177)</f>
        <v>2177</v>
      </c>
      <c r="D248" s="6" t="str">
        <f ca="1">IFERROR(__xludf.DUMMYFUNCTION("""COMPUTED_VALUE"""),"Yes")</f>
        <v>Yes</v>
      </c>
      <c r="E248" s="6" t="str">
        <f ca="1">IFERROR(__xludf.DUMMYFUNCTION("""COMPUTED_VALUE"""),"Parked")</f>
        <v>Parked</v>
      </c>
    </row>
    <row r="249" spans="1:5">
      <c r="A249" s="6" t="str">
        <f ca="1">IFERROR(__xludf.DUMMYFUNCTION("""COMPUTED_VALUE"""),"Qualification")</f>
        <v>Qualification</v>
      </c>
      <c r="B249" s="6">
        <f ca="1">IFERROR(__xludf.DUMMYFUNCTION("""COMPUTED_VALUE"""),5)</f>
        <v>5</v>
      </c>
      <c r="C249" s="6">
        <f ca="1">IFERROR(__xludf.DUMMYFUNCTION("""COMPUTED_VALUE"""),5232)</f>
        <v>5232</v>
      </c>
      <c r="D249" s="6" t="str">
        <f ca="1">IFERROR(__xludf.DUMMYFUNCTION("""COMPUTED_VALUE"""),"No")</f>
        <v>No</v>
      </c>
      <c r="E249" s="6" t="str">
        <f ca="1">IFERROR(__xludf.DUMMYFUNCTION("""COMPUTED_VALUE"""),"Parked")</f>
        <v>Parked</v>
      </c>
    </row>
    <row r="250" spans="1:5">
      <c r="A250" s="6" t="str">
        <f ca="1">IFERROR(__xludf.DUMMYFUNCTION("""COMPUTED_VALUE"""),"Qualification")</f>
        <v>Qualification</v>
      </c>
      <c r="B250" s="6">
        <f ca="1">IFERROR(__xludf.DUMMYFUNCTION("""COMPUTED_VALUE"""),6)</f>
        <v>6</v>
      </c>
      <c r="C250" s="6">
        <f ca="1">IFERROR(__xludf.DUMMYFUNCTION("""COMPUTED_VALUE"""),4166)</f>
        <v>4166</v>
      </c>
      <c r="D250" s="6" t="str">
        <f ca="1">IFERROR(__xludf.DUMMYFUNCTION("""COMPUTED_VALUE"""),"No")</f>
        <v>No</v>
      </c>
      <c r="E250" s="6" t="str">
        <f ca="1">IFERROR(__xludf.DUMMYFUNCTION("""COMPUTED_VALUE"""),"Parked")</f>
        <v>Parked</v>
      </c>
    </row>
    <row r="251" spans="1:5">
      <c r="A251" s="6" t="str">
        <f ca="1">IFERROR(__xludf.DUMMYFUNCTION("""COMPUTED_VALUE"""),"Qualification")</f>
        <v>Qualification</v>
      </c>
      <c r="B251" s="6">
        <f ca="1">IFERROR(__xludf.DUMMYFUNCTION("""COMPUTED_VALUE"""),7)</f>
        <v>7</v>
      </c>
      <c r="C251" s="6">
        <f ca="1">IFERROR(__xludf.DUMMYFUNCTION("""COMPUTED_VALUE"""),4360)</f>
        <v>4360</v>
      </c>
      <c r="D251" s="6" t="str">
        <f ca="1">IFERROR(__xludf.DUMMYFUNCTION("""COMPUTED_VALUE"""),"Yes")</f>
        <v>Yes</v>
      </c>
      <c r="E251" s="6" t="str">
        <f ca="1">IFERROR(__xludf.DUMMYFUNCTION("""COMPUTED_VALUE"""),"None")</f>
        <v>None</v>
      </c>
    </row>
    <row r="252" spans="1:5">
      <c r="A252" s="6" t="str">
        <f ca="1">IFERROR(__xludf.DUMMYFUNCTION("""COMPUTED_VALUE"""),"Qualification")</f>
        <v>Qualification</v>
      </c>
      <c r="B252" s="6">
        <f ca="1">IFERROR(__xludf.DUMMYFUNCTION("""COMPUTED_VALUE"""),8)</f>
        <v>8</v>
      </c>
      <c r="C252" s="6">
        <f ca="1">IFERROR(__xludf.DUMMYFUNCTION("""COMPUTED_VALUE"""),7048)</f>
        <v>7048</v>
      </c>
      <c r="D252" s="6" t="str">
        <f ca="1">IFERROR(__xludf.DUMMYFUNCTION("""COMPUTED_VALUE"""),"Yes")</f>
        <v>Yes</v>
      </c>
      <c r="E252" s="6" t="str">
        <f ca="1">IFERROR(__xludf.DUMMYFUNCTION("""COMPUTED_VALUE"""),"Parked")</f>
        <v>Parked</v>
      </c>
    </row>
    <row r="253" spans="1:5">
      <c r="A253" s="6" t="str">
        <f ca="1">IFERROR(__xludf.DUMMYFUNCTION("""COMPUTED_VALUE"""),"Qualification")</f>
        <v>Qualification</v>
      </c>
      <c r="B253" s="6">
        <f ca="1">IFERROR(__xludf.DUMMYFUNCTION("""COMPUTED_VALUE"""),9)</f>
        <v>9</v>
      </c>
      <c r="C253" s="6">
        <f ca="1">IFERROR(__xludf.DUMMYFUNCTION("""COMPUTED_VALUE"""),4009)</f>
        <v>4009</v>
      </c>
      <c r="D253" s="6" t="str">
        <f ca="1">IFERROR(__xludf.DUMMYFUNCTION("""COMPUTED_VALUE"""),"Yes")</f>
        <v>Yes</v>
      </c>
      <c r="E253" s="6" t="str">
        <f ca="1">IFERROR(__xludf.DUMMYFUNCTION("""COMPUTED_VALUE"""),"None")</f>
        <v>None</v>
      </c>
    </row>
    <row r="254" spans="1:5">
      <c r="A254" s="6" t="str">
        <f ca="1">IFERROR(__xludf.DUMMYFUNCTION("""COMPUTED_VALUE"""),"Qualification")</f>
        <v>Qualification</v>
      </c>
      <c r="B254" s="6">
        <f ca="1">IFERROR(__xludf.DUMMYFUNCTION("""COMPUTED_VALUE"""),10)</f>
        <v>10</v>
      </c>
      <c r="C254" s="6">
        <f ca="1">IFERROR(__xludf.DUMMYFUNCTION("""COMPUTED_VALUE"""),2383)</f>
        <v>2383</v>
      </c>
      <c r="D254" s="6" t="str">
        <f ca="1">IFERROR(__xludf.DUMMYFUNCTION("""COMPUTED_VALUE"""),"Yes")</f>
        <v>Yes</v>
      </c>
      <c r="E254" s="6" t="str">
        <f ca="1">IFERROR(__xludf.DUMMYFUNCTION("""COMPUTED_VALUE"""),"Parked")</f>
        <v>Parked</v>
      </c>
    </row>
    <row r="255" spans="1:5">
      <c r="A255" s="6" t="str">
        <f ca="1">IFERROR(__xludf.DUMMYFUNCTION("""COMPUTED_VALUE"""),"Qualification")</f>
        <v>Qualification</v>
      </c>
      <c r="B255" s="6">
        <f ca="1">IFERROR(__xludf.DUMMYFUNCTION("""COMPUTED_VALUE"""),11)</f>
        <v>11</v>
      </c>
      <c r="C255" s="6">
        <f ca="1">IFERROR(__xludf.DUMMYFUNCTION("""COMPUTED_VALUE"""),1410)</f>
        <v>1410</v>
      </c>
      <c r="D255" s="6" t="str">
        <f ca="1">IFERROR(__xludf.DUMMYFUNCTION("""COMPUTED_VALUE"""),"Yes")</f>
        <v>Yes</v>
      </c>
      <c r="E255" s="6" t="str">
        <f ca="1">IFERROR(__xludf.DUMMYFUNCTION("""COMPUTED_VALUE"""),"Parked")</f>
        <v>Parked</v>
      </c>
    </row>
    <row r="256" spans="1:5">
      <c r="A256" s="6" t="str">
        <f ca="1">IFERROR(__xludf.DUMMYFUNCTION("""COMPUTED_VALUE"""),"Qualification")</f>
        <v>Qualification</v>
      </c>
      <c r="B256" s="6">
        <f ca="1">IFERROR(__xludf.DUMMYFUNCTION("""COMPUTED_VALUE"""),12)</f>
        <v>12</v>
      </c>
      <c r="C256" s="6">
        <f ca="1">IFERROR(__xludf.DUMMYFUNCTION("""COMPUTED_VALUE"""),111)</f>
        <v>111</v>
      </c>
      <c r="D256" s="6" t="str">
        <f ca="1">IFERROR(__xludf.DUMMYFUNCTION("""COMPUTED_VALUE"""),"Yes")</f>
        <v>Yes</v>
      </c>
      <c r="E256" s="6" t="str">
        <f ca="1">IFERROR(__xludf.DUMMYFUNCTION("""COMPUTED_VALUE"""),"Parked")</f>
        <v>Parked</v>
      </c>
    </row>
    <row r="257" spans="1:5">
      <c r="A257" s="6" t="str">
        <f ca="1">IFERROR(__xludf.DUMMYFUNCTION("""COMPUTED_VALUE"""),"Qualification")</f>
        <v>Qualification</v>
      </c>
      <c r="B257" s="6">
        <f ca="1">IFERROR(__xludf.DUMMYFUNCTION("""COMPUTED_VALUE"""),13)</f>
        <v>13</v>
      </c>
      <c r="C257" s="6">
        <f ca="1">IFERROR(__xludf.DUMMYFUNCTION("""COMPUTED_VALUE"""),3883)</f>
        <v>3883</v>
      </c>
      <c r="D257" s="6" t="str">
        <f ca="1">IFERROR(__xludf.DUMMYFUNCTION("""COMPUTED_VALUE"""),"Yes")</f>
        <v>Yes</v>
      </c>
      <c r="E257" s="6" t="str">
        <f ca="1">IFERROR(__xludf.DUMMYFUNCTION("""COMPUTED_VALUE"""),"Parked")</f>
        <v>Parked</v>
      </c>
    </row>
    <row r="258" spans="1:5">
      <c r="A258" s="6" t="str">
        <f ca="1">IFERROR(__xludf.DUMMYFUNCTION("""COMPUTED_VALUE"""),"Qualification")</f>
        <v>Qualification</v>
      </c>
      <c r="B258" s="6">
        <f ca="1">IFERROR(__xludf.DUMMYFUNCTION("""COMPUTED_VALUE"""),14)</f>
        <v>14</v>
      </c>
      <c r="C258" s="6">
        <f ca="1">IFERROR(__xludf.DUMMYFUNCTION("""COMPUTED_VALUE"""),6132)</f>
        <v>6132</v>
      </c>
      <c r="D258" s="6" t="str">
        <f ca="1">IFERROR(__xludf.DUMMYFUNCTION("""COMPUTED_VALUE"""),"Yes")</f>
        <v>Yes</v>
      </c>
      <c r="E258" s="6" t="str">
        <f ca="1">IFERROR(__xludf.DUMMYFUNCTION("""COMPUTED_VALUE"""),"Parked")</f>
        <v>Parked</v>
      </c>
    </row>
    <row r="259" spans="1:5">
      <c r="A259" s="6" t="str">
        <f ca="1">IFERROR(__xludf.DUMMYFUNCTION("""COMPUTED_VALUE"""),"Qualification")</f>
        <v>Qualification</v>
      </c>
      <c r="B259" s="6">
        <f ca="1">IFERROR(__xludf.DUMMYFUNCTION("""COMPUTED_VALUE"""),15)</f>
        <v>15</v>
      </c>
      <c r="C259" s="6">
        <f ca="1">IFERROR(__xludf.DUMMYFUNCTION("""COMPUTED_VALUE"""),112)</f>
        <v>112</v>
      </c>
      <c r="D259" s="6" t="str">
        <f ca="1">IFERROR(__xludf.DUMMYFUNCTION("""COMPUTED_VALUE"""),"Yes")</f>
        <v>Yes</v>
      </c>
      <c r="E259" s="6" t="str">
        <f ca="1">IFERROR(__xludf.DUMMYFUNCTION("""COMPUTED_VALUE"""),"None")</f>
        <v>None</v>
      </c>
    </row>
    <row r="260" spans="1:5">
      <c r="A260" s="6" t="str">
        <f ca="1">IFERROR(__xludf.DUMMYFUNCTION("""COMPUTED_VALUE"""),"Qualification")</f>
        <v>Qualification</v>
      </c>
      <c r="B260" s="6">
        <f ca="1">IFERROR(__xludf.DUMMYFUNCTION("""COMPUTED_VALUE"""),16)</f>
        <v>16</v>
      </c>
      <c r="C260" s="6">
        <f ca="1">IFERROR(__xludf.DUMMYFUNCTION("""COMPUTED_VALUE"""),4623)</f>
        <v>4623</v>
      </c>
      <c r="D260" s="6" t="str">
        <f ca="1">IFERROR(__xludf.DUMMYFUNCTION("""COMPUTED_VALUE"""),"Yes")</f>
        <v>Yes</v>
      </c>
      <c r="E260" s="6" t="str">
        <f ca="1">IFERROR(__xludf.DUMMYFUNCTION("""COMPUTED_VALUE"""),"None")</f>
        <v>None</v>
      </c>
    </row>
    <row r="261" spans="1:5">
      <c r="A261" s="6" t="str">
        <f ca="1">IFERROR(__xludf.DUMMYFUNCTION("""COMPUTED_VALUE"""),"Qualification")</f>
        <v>Qualification</v>
      </c>
      <c r="B261" s="6">
        <f ca="1">IFERROR(__xludf.DUMMYFUNCTION("""COMPUTED_VALUE"""),17)</f>
        <v>17</v>
      </c>
      <c r="C261" s="6">
        <f ca="1">IFERROR(__xludf.DUMMYFUNCTION("""COMPUTED_VALUE"""),2512)</f>
        <v>2512</v>
      </c>
      <c r="D261" s="6" t="str">
        <f ca="1">IFERROR(__xludf.DUMMYFUNCTION("""COMPUTED_VALUE"""),"No")</f>
        <v>No</v>
      </c>
      <c r="E261" s="6" t="str">
        <f ca="1">IFERROR(__xludf.DUMMYFUNCTION("""COMPUTED_VALUE"""),"None")</f>
        <v>None</v>
      </c>
    </row>
    <row r="262" spans="1:5">
      <c r="A262" s="6" t="str">
        <f ca="1">IFERROR(__xludf.DUMMYFUNCTION("""COMPUTED_VALUE"""),"Qualification")</f>
        <v>Qualification</v>
      </c>
      <c r="B262" s="6">
        <f ca="1">IFERROR(__xludf.DUMMYFUNCTION("""COMPUTED_VALUE"""),18)</f>
        <v>18</v>
      </c>
      <c r="C262" s="6">
        <f ca="1">IFERROR(__xludf.DUMMYFUNCTION("""COMPUTED_VALUE"""),3691)</f>
        <v>3691</v>
      </c>
      <c r="D262" s="6" t="str">
        <f ca="1">IFERROR(__xludf.DUMMYFUNCTION("""COMPUTED_VALUE"""),"No")</f>
        <v>No</v>
      </c>
      <c r="E262" s="6" t="str">
        <f ca="1">IFERROR(__xludf.DUMMYFUNCTION("""COMPUTED_VALUE"""),"None")</f>
        <v>None</v>
      </c>
    </row>
    <row r="263" spans="1:5">
      <c r="A263" s="6" t="str">
        <f ca="1">IFERROR(__xludf.DUMMYFUNCTION("""COMPUTED_VALUE"""),"Qualification")</f>
        <v>Qualification</v>
      </c>
      <c r="B263" s="6">
        <f ca="1">IFERROR(__xludf.DUMMYFUNCTION("""COMPUTED_VALUE"""),19)</f>
        <v>19</v>
      </c>
      <c r="C263" s="6">
        <f ca="1">IFERROR(__xludf.DUMMYFUNCTION("""COMPUTED_VALUE"""),6160)</f>
        <v>6160</v>
      </c>
      <c r="D263" s="6" t="str">
        <f ca="1">IFERROR(__xludf.DUMMYFUNCTION("""COMPUTED_VALUE"""),"Yes")</f>
        <v>Yes</v>
      </c>
      <c r="E263" s="6" t="str">
        <f ca="1">IFERROR(__xludf.DUMMYFUNCTION("""COMPUTED_VALUE"""),"None")</f>
        <v>None</v>
      </c>
    </row>
    <row r="264" spans="1:5">
      <c r="A264" s="6" t="str">
        <f ca="1">IFERROR(__xludf.DUMMYFUNCTION("""COMPUTED_VALUE"""),"Qualification")</f>
        <v>Qualification</v>
      </c>
      <c r="B264" s="6">
        <f ca="1">IFERROR(__xludf.DUMMYFUNCTION("""COMPUTED_VALUE"""),20)</f>
        <v>20</v>
      </c>
      <c r="C264" s="6">
        <f ca="1">IFERROR(__xludf.DUMMYFUNCTION("""COMPUTED_VALUE"""),2513)</f>
        <v>2513</v>
      </c>
      <c r="D264" s="6" t="str">
        <f ca="1">IFERROR(__xludf.DUMMYFUNCTION("""COMPUTED_VALUE"""),"Yes")</f>
        <v>Yes</v>
      </c>
      <c r="E264" s="6" t="str">
        <f ca="1">IFERROR(__xludf.DUMMYFUNCTION("""COMPUTED_VALUE"""),"Parked")</f>
        <v>Parked</v>
      </c>
    </row>
    <row r="265" spans="1:5">
      <c r="A265" s="6" t="str">
        <f ca="1">IFERROR(__xludf.DUMMYFUNCTION("""COMPUTED_VALUE"""),"Qualification")</f>
        <v>Qualification</v>
      </c>
      <c r="B265" s="6">
        <f ca="1">IFERROR(__xludf.DUMMYFUNCTION("""COMPUTED_VALUE"""),21)</f>
        <v>21</v>
      </c>
      <c r="C265" s="6">
        <f ca="1">IFERROR(__xludf.DUMMYFUNCTION("""COMPUTED_VALUE"""),5913)</f>
        <v>5913</v>
      </c>
      <c r="D265" s="6" t="str">
        <f ca="1">IFERROR(__xludf.DUMMYFUNCTION("""COMPUTED_VALUE"""),"Yes")</f>
        <v>Yes</v>
      </c>
      <c r="E265" s="6" t="str">
        <f ca="1">IFERROR(__xludf.DUMMYFUNCTION("""COMPUTED_VALUE"""),"DeepCage")</f>
        <v>DeepCage</v>
      </c>
    </row>
    <row r="266" spans="1:5">
      <c r="A266" s="6" t="str">
        <f ca="1">IFERROR(__xludf.DUMMYFUNCTION("""COMPUTED_VALUE"""),"Qualification")</f>
        <v>Qualification</v>
      </c>
      <c r="B266" s="6">
        <f ca="1">IFERROR(__xludf.DUMMYFUNCTION("""COMPUTED_VALUE"""),22)</f>
        <v>22</v>
      </c>
      <c r="C266" s="6">
        <f ca="1">IFERROR(__xludf.DUMMYFUNCTION("""COMPUTED_VALUE"""),5720)</f>
        <v>5720</v>
      </c>
      <c r="D266" s="6" t="str">
        <f ca="1">IFERROR(__xludf.DUMMYFUNCTION("""COMPUTED_VALUE"""),"Yes")</f>
        <v>Yes</v>
      </c>
      <c r="E266" s="6" t="str">
        <f ca="1">IFERROR(__xludf.DUMMYFUNCTION("""COMPUTED_VALUE"""),"Parked")</f>
        <v>Parked</v>
      </c>
    </row>
    <row r="267" spans="1:5">
      <c r="A267" s="6" t="str">
        <f ca="1">IFERROR(__xludf.DUMMYFUNCTION("""COMPUTED_VALUE"""),"Qualification")</f>
        <v>Qualification</v>
      </c>
      <c r="B267" s="6">
        <f ca="1">IFERROR(__xludf.DUMMYFUNCTION("""COMPUTED_VALUE"""),23)</f>
        <v>23</v>
      </c>
      <c r="C267" s="6">
        <f ca="1">IFERROR(__xludf.DUMMYFUNCTION("""COMPUTED_VALUE"""),4418)</f>
        <v>4418</v>
      </c>
      <c r="D267" s="6" t="str">
        <f ca="1">IFERROR(__xludf.DUMMYFUNCTION("""COMPUTED_VALUE"""),"Yes")</f>
        <v>Yes</v>
      </c>
      <c r="E267" s="6" t="str">
        <f ca="1">IFERROR(__xludf.DUMMYFUNCTION("""COMPUTED_VALUE"""),"Parked")</f>
        <v>Parked</v>
      </c>
    </row>
    <row r="268" spans="1:5">
      <c r="A268" s="6" t="str">
        <f ca="1">IFERROR(__xludf.DUMMYFUNCTION("""COMPUTED_VALUE"""),"Qualification")</f>
        <v>Qualification</v>
      </c>
      <c r="B268" s="6">
        <f ca="1">IFERROR(__xludf.DUMMYFUNCTION("""COMPUTED_VALUE"""),24)</f>
        <v>24</v>
      </c>
      <c r="C268" s="6">
        <f ca="1">IFERROR(__xludf.DUMMYFUNCTION("""COMPUTED_VALUE"""),1716)</f>
        <v>1716</v>
      </c>
      <c r="D268" s="6" t="str">
        <f ca="1">IFERROR(__xludf.DUMMYFUNCTION("""COMPUTED_VALUE"""),"No")</f>
        <v>No</v>
      </c>
      <c r="E268" s="6" t="str">
        <f ca="1">IFERROR(__xludf.DUMMYFUNCTION("""COMPUTED_VALUE"""),"None")</f>
        <v>None</v>
      </c>
    </row>
    <row r="269" spans="1:5">
      <c r="A269" s="6" t="str">
        <f ca="1">IFERROR(__xludf.DUMMYFUNCTION("""COMPUTED_VALUE"""),"Qualification")</f>
        <v>Qualification</v>
      </c>
      <c r="B269" s="6">
        <f ca="1">IFERROR(__xludf.DUMMYFUNCTION("""COMPUTED_VALUE"""),25)</f>
        <v>25</v>
      </c>
      <c r="C269" s="6">
        <f ca="1">IFERROR(__xludf.DUMMYFUNCTION("""COMPUTED_VALUE"""),2531)</f>
        <v>2531</v>
      </c>
      <c r="D269" s="6" t="str">
        <f ca="1">IFERROR(__xludf.DUMMYFUNCTION("""COMPUTED_VALUE"""),"Yes")</f>
        <v>Yes</v>
      </c>
      <c r="E269" s="6" t="str">
        <f ca="1">IFERROR(__xludf.DUMMYFUNCTION("""COMPUTED_VALUE"""),"Parked")</f>
        <v>Parked</v>
      </c>
    </row>
    <row r="270" spans="1:5">
      <c r="A270" s="6" t="str">
        <f ca="1">IFERROR(__xludf.DUMMYFUNCTION("""COMPUTED_VALUE"""),"Qualification")</f>
        <v>Qualification</v>
      </c>
      <c r="B270" s="6">
        <f ca="1">IFERROR(__xludf.DUMMYFUNCTION("""COMPUTED_VALUE"""),26)</f>
        <v>26</v>
      </c>
      <c r="C270" s="6">
        <f ca="1">IFERROR(__xludf.DUMMYFUNCTION("""COMPUTED_VALUE"""),5253)</f>
        <v>5253</v>
      </c>
      <c r="D270" s="6" t="str">
        <f ca="1">IFERROR(__xludf.DUMMYFUNCTION("""COMPUTED_VALUE"""),"No")</f>
        <v>No</v>
      </c>
      <c r="E270" s="6" t="str">
        <f ca="1">IFERROR(__xludf.DUMMYFUNCTION("""COMPUTED_VALUE"""),"Parked")</f>
        <v>Parked</v>
      </c>
    </row>
    <row r="271" spans="1:5">
      <c r="A271" s="6" t="str">
        <f ca="1">IFERROR(__xludf.DUMMYFUNCTION("""COMPUTED_VALUE"""),"Qualification")</f>
        <v>Qualification</v>
      </c>
      <c r="B271" s="6">
        <f ca="1">IFERROR(__xludf.DUMMYFUNCTION("""COMPUTED_VALUE"""),27)</f>
        <v>27</v>
      </c>
      <c r="C271" s="6">
        <f ca="1">IFERROR(__xludf.DUMMYFUNCTION("""COMPUTED_VALUE"""),3691)</f>
        <v>3691</v>
      </c>
      <c r="D271" s="6" t="str">
        <f ca="1">IFERROR(__xludf.DUMMYFUNCTION("""COMPUTED_VALUE"""),"No")</f>
        <v>No</v>
      </c>
      <c r="E271" s="6" t="str">
        <f ca="1">IFERROR(__xludf.DUMMYFUNCTION("""COMPUTED_VALUE"""),"Parked")</f>
        <v>Parked</v>
      </c>
    </row>
    <row r="272" spans="1:5">
      <c r="A272" s="6" t="str">
        <f ca="1">IFERROR(__xludf.DUMMYFUNCTION("""COMPUTED_VALUE"""),"Qualification")</f>
        <v>Qualification</v>
      </c>
      <c r="B272" s="6">
        <f ca="1">IFERROR(__xludf.DUMMYFUNCTION("""COMPUTED_VALUE"""),28)</f>
        <v>28</v>
      </c>
      <c r="C272" s="6">
        <f ca="1">IFERROR(__xludf.DUMMYFUNCTION("""COMPUTED_VALUE"""),2240)</f>
        <v>2240</v>
      </c>
      <c r="D272" s="6" t="str">
        <f ca="1">IFERROR(__xludf.DUMMYFUNCTION("""COMPUTED_VALUE"""),"Yes")</f>
        <v>Yes</v>
      </c>
      <c r="E272" s="6" t="str">
        <f ca="1">IFERROR(__xludf.DUMMYFUNCTION("""COMPUTED_VALUE"""),"Parked")</f>
        <v>Parked</v>
      </c>
    </row>
    <row r="273" spans="1:5">
      <c r="A273" s="6" t="str">
        <f ca="1">IFERROR(__xludf.DUMMYFUNCTION("""COMPUTED_VALUE"""),"Qualification")</f>
        <v>Qualification</v>
      </c>
      <c r="B273" s="6">
        <f ca="1">IFERROR(__xludf.DUMMYFUNCTION("""COMPUTED_VALUE"""),29)</f>
        <v>29</v>
      </c>
      <c r="C273" s="6">
        <f ca="1">IFERROR(__xludf.DUMMYFUNCTION("""COMPUTED_VALUE"""),10474)</f>
        <v>10474</v>
      </c>
      <c r="D273" s="6" t="str">
        <f ca="1">IFERROR(__xludf.DUMMYFUNCTION("""COMPUTED_VALUE"""),"Yes")</f>
        <v>Yes</v>
      </c>
      <c r="E273" s="6" t="str">
        <f ca="1">IFERROR(__xludf.DUMMYFUNCTION("""COMPUTED_VALUE"""),"Parked")</f>
        <v>Parked</v>
      </c>
    </row>
    <row r="274" spans="1:5">
      <c r="A274" s="6" t="str">
        <f ca="1">IFERROR(__xludf.DUMMYFUNCTION("""COMPUTED_VALUE"""),"Qualification")</f>
        <v>Qualification</v>
      </c>
      <c r="B274" s="6">
        <f ca="1">IFERROR(__xludf.DUMMYFUNCTION("""COMPUTED_VALUE"""),30)</f>
        <v>30</v>
      </c>
      <c r="C274" s="6">
        <f ca="1">IFERROR(__xludf.DUMMYFUNCTION("""COMPUTED_VALUE"""),525)</f>
        <v>525</v>
      </c>
      <c r="D274" s="6" t="str">
        <f ca="1">IFERROR(__xludf.DUMMYFUNCTION("""COMPUTED_VALUE"""),"Yes")</f>
        <v>Yes</v>
      </c>
      <c r="E274" s="6" t="str">
        <f ca="1">IFERROR(__xludf.DUMMYFUNCTION("""COMPUTED_VALUE"""),"Parked")</f>
        <v>Parked</v>
      </c>
    </row>
    <row r="275" spans="1:5">
      <c r="A275" s="6" t="str">
        <f ca="1">IFERROR(__xludf.DUMMYFUNCTION("""COMPUTED_VALUE"""),"Qualification")</f>
        <v>Qualification</v>
      </c>
      <c r="B275" s="6">
        <f ca="1">IFERROR(__xludf.DUMMYFUNCTION("""COMPUTED_VALUE"""),31)</f>
        <v>31</v>
      </c>
      <c r="C275" s="6">
        <f ca="1">IFERROR(__xludf.DUMMYFUNCTION("""COMPUTED_VALUE"""),2512)</f>
        <v>2512</v>
      </c>
      <c r="D275" s="6" t="str">
        <f ca="1">IFERROR(__xludf.DUMMYFUNCTION("""COMPUTED_VALUE"""),"No")</f>
        <v>No</v>
      </c>
      <c r="E275" s="6" t="str">
        <f ca="1">IFERROR(__xludf.DUMMYFUNCTION("""COMPUTED_VALUE"""),"None")</f>
        <v>None</v>
      </c>
    </row>
    <row r="276" spans="1:5">
      <c r="A276" s="6" t="str">
        <f ca="1">IFERROR(__xludf.DUMMYFUNCTION("""COMPUTED_VALUE"""),"Qualification")</f>
        <v>Qualification</v>
      </c>
      <c r="B276" s="6">
        <f ca="1">IFERROR(__xludf.DUMMYFUNCTION("""COMPUTED_VALUE"""),32)</f>
        <v>32</v>
      </c>
      <c r="C276" s="6">
        <f ca="1">IFERROR(__xludf.DUMMYFUNCTION("""COMPUTED_VALUE"""),5232)</f>
        <v>5232</v>
      </c>
      <c r="D276" s="6" t="str">
        <f ca="1">IFERROR(__xludf.DUMMYFUNCTION("""COMPUTED_VALUE"""),"No")</f>
        <v>No</v>
      </c>
      <c r="E276" s="6" t="str">
        <f ca="1">IFERROR(__xludf.DUMMYFUNCTION("""COMPUTED_VALUE"""),"Parked")</f>
        <v>Parked</v>
      </c>
    </row>
    <row r="277" spans="1:5">
      <c r="A277" s="6" t="str">
        <f ca="1">IFERROR(__xludf.DUMMYFUNCTION("""COMPUTED_VALUE"""),"Qualification")</f>
        <v>Qualification</v>
      </c>
      <c r="B277" s="6">
        <f ca="1">IFERROR(__xludf.DUMMYFUNCTION("""COMPUTED_VALUE"""),33)</f>
        <v>33</v>
      </c>
      <c r="C277" s="6">
        <f ca="1">IFERROR(__xludf.DUMMYFUNCTION("""COMPUTED_VALUE"""),2052)</f>
        <v>2052</v>
      </c>
      <c r="D277" s="6" t="str">
        <f ca="1">IFERROR(__xludf.DUMMYFUNCTION("""COMPUTED_VALUE"""),"Yes")</f>
        <v>Yes</v>
      </c>
      <c r="E277" s="6" t="str">
        <f ca="1">IFERROR(__xludf.DUMMYFUNCTION("""COMPUTED_VALUE"""),"DeepCage")</f>
        <v>DeepCage</v>
      </c>
    </row>
    <row r="278" spans="1:5">
      <c r="A278" s="6" t="str">
        <f ca="1">IFERROR(__xludf.DUMMYFUNCTION("""COMPUTED_VALUE"""),"Qualification")</f>
        <v>Qualification</v>
      </c>
      <c r="B278" s="6">
        <f ca="1">IFERROR(__xludf.DUMMYFUNCTION("""COMPUTED_VALUE"""),34)</f>
        <v>34</v>
      </c>
      <c r="C278" s="6">
        <f ca="1">IFERROR(__xludf.DUMMYFUNCTION("""COMPUTED_VALUE"""),2450)</f>
        <v>2450</v>
      </c>
      <c r="D278" s="6" t="str">
        <f ca="1">IFERROR(__xludf.DUMMYFUNCTION("""COMPUTED_VALUE"""),"Yes")</f>
        <v>Yes</v>
      </c>
      <c r="E278" s="6" t="str">
        <f ca="1">IFERROR(__xludf.DUMMYFUNCTION("""COMPUTED_VALUE"""),"Parked")</f>
        <v>Parked</v>
      </c>
    </row>
    <row r="279" spans="1:5">
      <c r="A279" s="6" t="str">
        <f ca="1">IFERROR(__xludf.DUMMYFUNCTION("""COMPUTED_VALUE"""),"Qualification")</f>
        <v>Qualification</v>
      </c>
      <c r="B279" s="6">
        <f ca="1">IFERROR(__xludf.DUMMYFUNCTION("""COMPUTED_VALUE"""),35)</f>
        <v>35</v>
      </c>
      <c r="C279" s="6">
        <f ca="1">IFERROR(__xludf.DUMMYFUNCTION("""COMPUTED_VALUE"""),1716)</f>
        <v>1716</v>
      </c>
      <c r="D279" s="6" t="str">
        <f ca="1">IFERROR(__xludf.DUMMYFUNCTION("""COMPUTED_VALUE"""),"Yes")</f>
        <v>Yes</v>
      </c>
      <c r="E279" s="6" t="str">
        <f ca="1">IFERROR(__xludf.DUMMYFUNCTION("""COMPUTED_VALUE"""),"Parked")</f>
        <v>Parked</v>
      </c>
    </row>
    <row r="280" spans="1:5">
      <c r="A280" s="6" t="str">
        <f ca="1">IFERROR(__xludf.DUMMYFUNCTION("""COMPUTED_VALUE"""),"Qualification")</f>
        <v>Qualification</v>
      </c>
      <c r="B280" s="6">
        <f ca="1">IFERROR(__xludf.DUMMYFUNCTION("""COMPUTED_VALUE"""),36)</f>
        <v>36</v>
      </c>
      <c r="C280" s="6">
        <f ca="1">IFERROR(__xludf.DUMMYFUNCTION("""COMPUTED_VALUE"""),2977)</f>
        <v>2977</v>
      </c>
      <c r="D280" s="6" t="str">
        <f ca="1">IFERROR(__xludf.DUMMYFUNCTION("""COMPUTED_VALUE"""),"Yes")</f>
        <v>Yes</v>
      </c>
      <c r="E280" s="6" t="str">
        <f ca="1">IFERROR(__xludf.DUMMYFUNCTION("""COMPUTED_VALUE"""),"Parked")</f>
        <v>Parked</v>
      </c>
    </row>
    <row r="281" spans="1:5">
      <c r="A281" s="6" t="str">
        <f ca="1">IFERROR(__xludf.DUMMYFUNCTION("""COMPUTED_VALUE"""),"Qualification")</f>
        <v>Qualification</v>
      </c>
      <c r="B281" s="6">
        <f ca="1">IFERROR(__xludf.DUMMYFUNCTION("""COMPUTED_VALUE"""),37)</f>
        <v>37</v>
      </c>
      <c r="C281" s="6">
        <f ca="1">IFERROR(__xludf.DUMMYFUNCTION("""COMPUTED_VALUE"""),5720)</f>
        <v>5720</v>
      </c>
      <c r="D281" s="6" t="str">
        <f ca="1">IFERROR(__xludf.DUMMYFUNCTION("""COMPUTED_VALUE"""),"Yes")</f>
        <v>Yes</v>
      </c>
      <c r="E281" s="6" t="str">
        <f ca="1">IFERROR(__xludf.DUMMYFUNCTION("""COMPUTED_VALUE"""),"Parked")</f>
        <v>Parked</v>
      </c>
    </row>
    <row r="282" spans="1:5">
      <c r="A282" s="6" t="str">
        <f ca="1">IFERROR(__xludf.DUMMYFUNCTION("""COMPUTED_VALUE"""),"Qualification")</f>
        <v>Qualification</v>
      </c>
      <c r="B282" s="6">
        <f ca="1">IFERROR(__xludf.DUMMYFUNCTION("""COMPUTED_VALUE"""),38)</f>
        <v>38</v>
      </c>
      <c r="C282" s="6">
        <f ca="1">IFERROR(__xludf.DUMMYFUNCTION("""COMPUTED_VALUE"""),4009)</f>
        <v>4009</v>
      </c>
      <c r="D282" s="6" t="str">
        <f ca="1">IFERROR(__xludf.DUMMYFUNCTION("""COMPUTED_VALUE"""),"Yes")</f>
        <v>Yes</v>
      </c>
      <c r="E282" s="6" t="str">
        <f ca="1">IFERROR(__xludf.DUMMYFUNCTION("""COMPUTED_VALUE"""),"DeepCage")</f>
        <v>DeepCage</v>
      </c>
    </row>
    <row r="283" spans="1:5">
      <c r="A283" s="6" t="str">
        <f ca="1">IFERROR(__xludf.DUMMYFUNCTION("""COMPUTED_VALUE"""),"Qualification")</f>
        <v>Qualification</v>
      </c>
      <c r="B283" s="6">
        <f ca="1">IFERROR(__xludf.DUMMYFUNCTION("""COMPUTED_VALUE"""),39)</f>
        <v>39</v>
      </c>
      <c r="C283" s="6">
        <f ca="1">IFERROR(__xludf.DUMMYFUNCTION("""COMPUTED_VALUE"""),112)</f>
        <v>112</v>
      </c>
      <c r="D283" s="6" t="str">
        <f ca="1">IFERROR(__xludf.DUMMYFUNCTION("""COMPUTED_VALUE"""),"Yes")</f>
        <v>Yes</v>
      </c>
      <c r="E283" s="6" t="str">
        <f ca="1">IFERROR(__xludf.DUMMYFUNCTION("""COMPUTED_VALUE"""),"None")</f>
        <v>None</v>
      </c>
    </row>
    <row r="284" spans="1:5">
      <c r="A284" s="6" t="str">
        <f ca="1">IFERROR(__xludf.DUMMYFUNCTION("""COMPUTED_VALUE"""),"Qualification")</f>
        <v>Qualification</v>
      </c>
      <c r="B284" s="6">
        <f ca="1">IFERROR(__xludf.DUMMYFUNCTION("""COMPUTED_VALUE"""),40)</f>
        <v>40</v>
      </c>
      <c r="C284" s="6">
        <f ca="1">IFERROR(__xludf.DUMMYFUNCTION("""COMPUTED_VALUE"""),7041)</f>
        <v>7041</v>
      </c>
      <c r="D284" s="6" t="str">
        <f ca="1">IFERROR(__xludf.DUMMYFUNCTION("""COMPUTED_VALUE"""),"Yes")</f>
        <v>Yes</v>
      </c>
      <c r="E284" s="6" t="str">
        <f ca="1">IFERROR(__xludf.DUMMYFUNCTION("""COMPUTED_VALUE"""),"Parked")</f>
        <v>Parked</v>
      </c>
    </row>
    <row r="285" spans="1:5">
      <c r="A285" s="6" t="str">
        <f ca="1">IFERROR(__xludf.DUMMYFUNCTION("""COMPUTED_VALUE"""),"Qualification")</f>
        <v>Qualification</v>
      </c>
      <c r="B285" s="6">
        <f ca="1">IFERROR(__xludf.DUMMYFUNCTION("""COMPUTED_VALUE"""),41)</f>
        <v>41</v>
      </c>
      <c r="C285" s="6">
        <f ca="1">IFERROR(__xludf.DUMMYFUNCTION("""COMPUTED_VALUE"""),1716)</f>
        <v>1716</v>
      </c>
      <c r="D285" s="6" t="str">
        <f ca="1">IFERROR(__xludf.DUMMYFUNCTION("""COMPUTED_VALUE"""),"Yes")</f>
        <v>Yes</v>
      </c>
      <c r="E285" s="6" t="str">
        <f ca="1">IFERROR(__xludf.DUMMYFUNCTION("""COMPUTED_VALUE"""),"Parked")</f>
        <v>Parked</v>
      </c>
    </row>
    <row r="286" spans="1:5">
      <c r="A286" s="6" t="str">
        <f ca="1">IFERROR(__xludf.DUMMYFUNCTION("""COMPUTED_VALUE"""),"Qualification")</f>
        <v>Qualification</v>
      </c>
      <c r="B286" s="6">
        <f ca="1">IFERROR(__xludf.DUMMYFUNCTION("""COMPUTED_VALUE"""),42)</f>
        <v>42</v>
      </c>
      <c r="C286" s="6">
        <f ca="1">IFERROR(__xludf.DUMMYFUNCTION("""COMPUTED_VALUE"""),2450)</f>
        <v>2450</v>
      </c>
      <c r="D286" s="6" t="str">
        <f ca="1">IFERROR(__xludf.DUMMYFUNCTION("""COMPUTED_VALUE"""),"Yes")</f>
        <v>Yes</v>
      </c>
      <c r="E286" s="6" t="str">
        <f ca="1">IFERROR(__xludf.DUMMYFUNCTION("""COMPUTED_VALUE"""),"Parked")</f>
        <v>Parked</v>
      </c>
    </row>
    <row r="287" spans="1:5">
      <c r="A287" s="6" t="str">
        <f ca="1">IFERROR(__xludf.DUMMYFUNCTION("""COMPUTED_VALUE"""),"Qualification")</f>
        <v>Qualification</v>
      </c>
      <c r="B287" s="6">
        <f ca="1">IFERROR(__xludf.DUMMYFUNCTION("""COMPUTED_VALUE"""),43)</f>
        <v>43</v>
      </c>
      <c r="C287" s="6">
        <f ca="1">IFERROR(__xludf.DUMMYFUNCTION("""COMPUTED_VALUE"""),4593)</f>
        <v>4593</v>
      </c>
      <c r="D287" s="6" t="str">
        <f ca="1">IFERROR(__xludf.DUMMYFUNCTION("""COMPUTED_VALUE"""),"Yes")</f>
        <v>Yes</v>
      </c>
      <c r="E287" s="6" t="str">
        <f ca="1">IFERROR(__xludf.DUMMYFUNCTION("""COMPUTED_VALUE"""),"None")</f>
        <v>None</v>
      </c>
    </row>
    <row r="288" spans="1:5">
      <c r="A288" s="6" t="str">
        <f ca="1">IFERROR(__xludf.DUMMYFUNCTION("""COMPUTED_VALUE"""),"Qualification")</f>
        <v>Qualification</v>
      </c>
      <c r="B288" s="6">
        <f ca="1">IFERROR(__xludf.DUMMYFUNCTION("""COMPUTED_VALUE"""),44)</f>
        <v>44</v>
      </c>
      <c r="C288" s="6">
        <f ca="1">IFERROR(__xludf.DUMMYFUNCTION("""COMPUTED_VALUE"""),5339)</f>
        <v>5339</v>
      </c>
      <c r="D288" s="6" t="str">
        <f ca="1">IFERROR(__xludf.DUMMYFUNCTION("""COMPUTED_VALUE"""),"Yes")</f>
        <v>Yes</v>
      </c>
      <c r="E288" s="6" t="str">
        <f ca="1">IFERROR(__xludf.DUMMYFUNCTION("""COMPUTED_VALUE"""),"Parked")</f>
        <v>Parked</v>
      </c>
    </row>
    <row r="289" spans="1:5">
      <c r="A289" s="6" t="str">
        <f ca="1">IFERROR(__xludf.DUMMYFUNCTION("""COMPUTED_VALUE"""),"Qualification")</f>
        <v>Qualification</v>
      </c>
      <c r="B289" s="6">
        <f ca="1">IFERROR(__xludf.DUMMYFUNCTION("""COMPUTED_VALUE"""),45)</f>
        <v>45</v>
      </c>
      <c r="C289" s="6">
        <f ca="1">IFERROR(__xludf.DUMMYFUNCTION("""COMPUTED_VALUE"""),4166)</f>
        <v>4166</v>
      </c>
      <c r="D289" s="6" t="str">
        <f ca="1">IFERROR(__xludf.DUMMYFUNCTION("""COMPUTED_VALUE"""),"Yes")</f>
        <v>Yes</v>
      </c>
      <c r="E289" s="6" t="str">
        <f ca="1">IFERROR(__xludf.DUMMYFUNCTION("""COMPUTED_VALUE"""),"Parked")</f>
        <v>Parked</v>
      </c>
    </row>
    <row r="290" spans="1:5">
      <c r="A290" s="6" t="str">
        <f ca="1">IFERROR(__xludf.DUMMYFUNCTION("""COMPUTED_VALUE"""),"Qualification")</f>
        <v>Qualification</v>
      </c>
      <c r="B290" s="6">
        <f ca="1">IFERROR(__xludf.DUMMYFUNCTION("""COMPUTED_VALUE"""),46)</f>
        <v>46</v>
      </c>
      <c r="C290" s="6">
        <f ca="1">IFERROR(__xludf.DUMMYFUNCTION("""COMPUTED_VALUE"""),2240)</f>
        <v>2240</v>
      </c>
      <c r="D290" s="6" t="str">
        <f ca="1">IFERROR(__xludf.DUMMYFUNCTION("""COMPUTED_VALUE"""),"Yes")</f>
        <v>Yes</v>
      </c>
      <c r="E290" s="6" t="str">
        <f ca="1">IFERROR(__xludf.DUMMYFUNCTION("""COMPUTED_VALUE"""),"Parked")</f>
        <v>Parked</v>
      </c>
    </row>
    <row r="291" spans="1:5">
      <c r="A291" s="6" t="str">
        <f ca="1">IFERROR(__xludf.DUMMYFUNCTION("""COMPUTED_VALUE"""),"Qualification")</f>
        <v>Qualification</v>
      </c>
      <c r="B291" s="6">
        <f ca="1">IFERROR(__xludf.DUMMYFUNCTION("""COMPUTED_VALUE"""),47)</f>
        <v>47</v>
      </c>
      <c r="C291" s="6">
        <f ca="1">IFERROR(__xludf.DUMMYFUNCTION("""COMPUTED_VALUE"""),2052)</f>
        <v>2052</v>
      </c>
      <c r="D291" s="6" t="str">
        <f ca="1">IFERROR(__xludf.DUMMYFUNCTION("""COMPUTED_VALUE"""),"Yes")</f>
        <v>Yes</v>
      </c>
      <c r="E291" s="6" t="str">
        <f ca="1">IFERROR(__xludf.DUMMYFUNCTION("""COMPUTED_VALUE"""),"Parked")</f>
        <v>Parked</v>
      </c>
    </row>
    <row r="292" spans="1:5">
      <c r="A292" s="6" t="str">
        <f ca="1">IFERROR(__xludf.DUMMYFUNCTION("""COMPUTED_VALUE"""),"Qualification")</f>
        <v>Qualification</v>
      </c>
      <c r="B292" s="6">
        <f ca="1">IFERROR(__xludf.DUMMYFUNCTION("""COMPUTED_VALUE"""),48)</f>
        <v>48</v>
      </c>
      <c r="C292" s="6">
        <f ca="1">IFERROR(__xludf.DUMMYFUNCTION("""COMPUTED_VALUE"""),2290)</f>
        <v>2290</v>
      </c>
      <c r="D292" s="6" t="str">
        <f ca="1">IFERROR(__xludf.DUMMYFUNCTION("""COMPUTED_VALUE"""),"Yes")</f>
        <v>Yes</v>
      </c>
      <c r="E292" s="6" t="str">
        <f ca="1">IFERROR(__xludf.DUMMYFUNCTION("""COMPUTED_VALUE"""),"Parked")</f>
        <v>Parked</v>
      </c>
    </row>
    <row r="293" spans="1:5">
      <c r="A293" s="6" t="str">
        <f ca="1">IFERROR(__xludf.DUMMYFUNCTION("""COMPUTED_VALUE"""),"Qualification")</f>
        <v>Qualification</v>
      </c>
      <c r="B293" s="6">
        <f ca="1">IFERROR(__xludf.DUMMYFUNCTION("""COMPUTED_VALUE"""),49)</f>
        <v>49</v>
      </c>
      <c r="C293" s="6">
        <f ca="1">IFERROR(__xludf.DUMMYFUNCTION("""COMPUTED_VALUE"""),2501)</f>
        <v>2501</v>
      </c>
      <c r="D293" s="6" t="str">
        <f ca="1">IFERROR(__xludf.DUMMYFUNCTION("""COMPUTED_VALUE"""),"Yes")</f>
        <v>Yes</v>
      </c>
      <c r="E293" s="6" t="str">
        <f ca="1">IFERROR(__xludf.DUMMYFUNCTION("""COMPUTED_VALUE"""),"Parked")</f>
        <v>Parked</v>
      </c>
    </row>
    <row r="294" spans="1:5">
      <c r="A294" s="6" t="str">
        <f ca="1">IFERROR(__xludf.DUMMYFUNCTION("""COMPUTED_VALUE"""),"Qualification")</f>
        <v>Qualification</v>
      </c>
      <c r="B294" s="6">
        <f ca="1">IFERROR(__xludf.DUMMYFUNCTION("""COMPUTED_VALUE"""),50)</f>
        <v>50</v>
      </c>
      <c r="C294" s="6">
        <f ca="1">IFERROR(__xludf.DUMMYFUNCTION("""COMPUTED_VALUE"""),2491)</f>
        <v>2491</v>
      </c>
      <c r="D294" s="6" t="str">
        <f ca="1">IFERROR(__xludf.DUMMYFUNCTION("""COMPUTED_VALUE"""),"Yes")</f>
        <v>Yes</v>
      </c>
      <c r="E294" s="6" t="str">
        <f ca="1">IFERROR(__xludf.DUMMYFUNCTION("""COMPUTED_VALUE"""),"Parked")</f>
        <v>Parked</v>
      </c>
    </row>
    <row r="295" spans="1:5">
      <c r="A295" s="6" t="str">
        <f ca="1">IFERROR(__xludf.DUMMYFUNCTION("""COMPUTED_VALUE"""),"Qualification")</f>
        <v>Qualification</v>
      </c>
      <c r="B295" s="6">
        <f ca="1">IFERROR(__xludf.DUMMYFUNCTION("""COMPUTED_VALUE"""),51)</f>
        <v>51</v>
      </c>
      <c r="C295" s="6">
        <f ca="1">IFERROR(__xludf.DUMMYFUNCTION("""COMPUTED_VALUE"""),1816)</f>
        <v>1816</v>
      </c>
      <c r="D295" s="6" t="str">
        <f ca="1">IFERROR(__xludf.DUMMYFUNCTION("""COMPUTED_VALUE"""),"Yes")</f>
        <v>Yes</v>
      </c>
      <c r="E295" s="6" t="str">
        <f ca="1">IFERROR(__xludf.DUMMYFUNCTION("""COMPUTED_VALUE"""),"DeepCage")</f>
        <v>DeepCage</v>
      </c>
    </row>
    <row r="296" spans="1:5">
      <c r="A296" s="6" t="str">
        <f ca="1">IFERROR(__xludf.DUMMYFUNCTION("""COMPUTED_VALUE"""),"Qualification")</f>
        <v>Qualification</v>
      </c>
      <c r="B296" s="6">
        <f ca="1">IFERROR(__xludf.DUMMYFUNCTION("""COMPUTED_VALUE"""),52)</f>
        <v>52</v>
      </c>
      <c r="C296" s="6">
        <f ca="1">IFERROR(__xludf.DUMMYFUNCTION("""COMPUTED_VALUE"""),7021)</f>
        <v>7021</v>
      </c>
      <c r="D296" s="6" t="str">
        <f ca="1">IFERROR(__xludf.DUMMYFUNCTION("""COMPUTED_VALUE"""),"Yes")</f>
        <v>Yes</v>
      </c>
      <c r="E296" s="6" t="str">
        <f ca="1">IFERROR(__xludf.DUMMYFUNCTION("""COMPUTED_VALUE"""),"Parked")</f>
        <v>Parked</v>
      </c>
    </row>
    <row r="297" spans="1:5">
      <c r="A297" s="6" t="str">
        <f ca="1">IFERROR(__xludf.DUMMYFUNCTION("""COMPUTED_VALUE"""),"Qualification")</f>
        <v>Qualification</v>
      </c>
      <c r="B297" s="6">
        <f ca="1">IFERROR(__xludf.DUMMYFUNCTION("""COMPUTED_VALUE"""),53)</f>
        <v>53</v>
      </c>
      <c r="C297" s="6">
        <f ca="1">IFERROR(__xludf.DUMMYFUNCTION("""COMPUTED_VALUE"""),5913)</f>
        <v>5913</v>
      </c>
      <c r="D297" s="6" t="str">
        <f ca="1">IFERROR(__xludf.DUMMYFUNCTION("""COMPUTED_VALUE"""),"Yes")</f>
        <v>Yes</v>
      </c>
      <c r="E297" s="6" t="str">
        <f ca="1">IFERROR(__xludf.DUMMYFUNCTION("""COMPUTED_VALUE"""),"DeepCage")</f>
        <v>DeepCage</v>
      </c>
    </row>
    <row r="298" spans="1:5">
      <c r="A298" s="6" t="str">
        <f ca="1">IFERROR(__xludf.DUMMYFUNCTION("""COMPUTED_VALUE"""),"Qualification")</f>
        <v>Qualification</v>
      </c>
      <c r="B298" s="6">
        <f ca="1">IFERROR(__xludf.DUMMYFUNCTION("""COMPUTED_VALUE"""),54)</f>
        <v>54</v>
      </c>
      <c r="C298" s="6">
        <f ca="1">IFERROR(__xludf.DUMMYFUNCTION("""COMPUTED_VALUE"""),3023)</f>
        <v>3023</v>
      </c>
      <c r="D298" s="6" t="str">
        <f ca="1">IFERROR(__xludf.DUMMYFUNCTION("""COMPUTED_VALUE"""),"Yes")</f>
        <v>Yes</v>
      </c>
      <c r="E298" s="6" t="str">
        <f ca="1">IFERROR(__xludf.DUMMYFUNCTION("""COMPUTED_VALUE"""),"Parked")</f>
        <v>Parked</v>
      </c>
    </row>
    <row r="299" spans="1:5">
      <c r="A299" s="6" t="str">
        <f ca="1">IFERROR(__xludf.DUMMYFUNCTION("""COMPUTED_VALUE"""),"Qualification")</f>
        <v>Qualification</v>
      </c>
      <c r="B299" s="6">
        <f ca="1">IFERROR(__xludf.DUMMYFUNCTION("""COMPUTED_VALUE"""),55)</f>
        <v>55</v>
      </c>
      <c r="C299" s="6">
        <f ca="1">IFERROR(__xludf.DUMMYFUNCTION("""COMPUTED_VALUE"""),4531)</f>
        <v>4531</v>
      </c>
      <c r="D299" s="6" t="str">
        <f ca="1">IFERROR(__xludf.DUMMYFUNCTION("""COMPUTED_VALUE"""),"Yes")</f>
        <v>Yes</v>
      </c>
      <c r="E299" s="6" t="str">
        <f ca="1">IFERROR(__xludf.DUMMYFUNCTION("""COMPUTED_VALUE"""),"Parked")</f>
        <v>Parked</v>
      </c>
    </row>
    <row r="300" spans="1:5">
      <c r="A300" s="6" t="str">
        <f ca="1">IFERROR(__xludf.DUMMYFUNCTION("""COMPUTED_VALUE"""),"Qualification")</f>
        <v>Qualification</v>
      </c>
      <c r="B300" s="6">
        <f ca="1">IFERROR(__xludf.DUMMYFUNCTION("""COMPUTED_VALUE"""),56)</f>
        <v>56</v>
      </c>
      <c r="C300" s="6">
        <f ca="1">IFERROR(__xludf.DUMMYFUNCTION("""COMPUTED_VALUE"""),10173)</f>
        <v>10173</v>
      </c>
      <c r="D300" s="6" t="str">
        <f ca="1">IFERROR(__xludf.DUMMYFUNCTION("""COMPUTED_VALUE"""),"Yes")</f>
        <v>Yes</v>
      </c>
      <c r="E300" s="6" t="str">
        <f ca="1">IFERROR(__xludf.DUMMYFUNCTION("""COMPUTED_VALUE"""),"Parked")</f>
        <v>Parked</v>
      </c>
    </row>
    <row r="301" spans="1:5">
      <c r="A301" s="6" t="str">
        <f ca="1">IFERROR(__xludf.DUMMYFUNCTION("""COMPUTED_VALUE"""),"Qualification")</f>
        <v>Qualification</v>
      </c>
      <c r="B301" s="6">
        <f ca="1">IFERROR(__xludf.DUMMYFUNCTION("""COMPUTED_VALUE"""),57)</f>
        <v>57</v>
      </c>
      <c r="C301" s="6">
        <f ca="1">IFERROR(__xludf.DUMMYFUNCTION("""COMPUTED_VALUE"""),5690)</f>
        <v>5690</v>
      </c>
      <c r="D301" s="6" t="str">
        <f ca="1">IFERROR(__xludf.DUMMYFUNCTION("""COMPUTED_VALUE"""),"Yes")</f>
        <v>Yes</v>
      </c>
      <c r="E301" s="6" t="str">
        <f ca="1">IFERROR(__xludf.DUMMYFUNCTION("""COMPUTED_VALUE"""),"Parked")</f>
        <v>Parked</v>
      </c>
    </row>
    <row r="302" spans="1:5">
      <c r="A302" s="6" t="str">
        <f ca="1">IFERROR(__xludf.DUMMYFUNCTION("""COMPUTED_VALUE"""),"Qualification")</f>
        <v>Qualification</v>
      </c>
      <c r="B302" s="6">
        <f ca="1">IFERROR(__xludf.DUMMYFUNCTION("""COMPUTED_VALUE"""),58)</f>
        <v>58</v>
      </c>
      <c r="C302" s="6">
        <f ca="1">IFERROR(__xludf.DUMMYFUNCTION("""COMPUTED_VALUE"""),3054)</f>
        <v>3054</v>
      </c>
      <c r="D302" s="6" t="str">
        <f ca="1">IFERROR(__xludf.DUMMYFUNCTION("""COMPUTED_VALUE"""),"Yes")</f>
        <v>Yes</v>
      </c>
      <c r="E302" s="6" t="str">
        <f ca="1">IFERROR(__xludf.DUMMYFUNCTION("""COMPUTED_VALUE"""),"Parked")</f>
        <v>Parked</v>
      </c>
    </row>
    <row r="303" spans="1:5">
      <c r="A303" s="6" t="str">
        <f ca="1">IFERROR(__xludf.DUMMYFUNCTION("""COMPUTED_VALUE"""),"Qualification")</f>
        <v>Qualification</v>
      </c>
      <c r="B303" s="6">
        <f ca="1">IFERROR(__xludf.DUMMYFUNCTION("""COMPUTED_VALUE"""),59)</f>
        <v>59</v>
      </c>
      <c r="C303" s="6">
        <f ca="1">IFERROR(__xludf.DUMMYFUNCTION("""COMPUTED_VALUE"""),2239)</f>
        <v>2239</v>
      </c>
      <c r="D303" s="6" t="str">
        <f ca="1">IFERROR(__xludf.DUMMYFUNCTION("""COMPUTED_VALUE"""),"Yes")</f>
        <v>Yes</v>
      </c>
      <c r="E303" s="6" t="str">
        <f ca="1">IFERROR(__xludf.DUMMYFUNCTION("""COMPUTED_VALUE"""),"Parked")</f>
        <v>Parked</v>
      </c>
    </row>
    <row r="304" spans="1:5">
      <c r="A304" s="6" t="str">
        <f ca="1">IFERROR(__xludf.DUMMYFUNCTION("""COMPUTED_VALUE"""),"Qualification")</f>
        <v>Qualification</v>
      </c>
      <c r="B304" s="6">
        <f ca="1">IFERROR(__xludf.DUMMYFUNCTION("""COMPUTED_VALUE"""),60)</f>
        <v>60</v>
      </c>
      <c r="C304" s="6">
        <f ca="1">IFERROR(__xludf.DUMMYFUNCTION("""COMPUTED_VALUE"""),4230)</f>
        <v>4230</v>
      </c>
      <c r="D304" s="6" t="str">
        <f ca="1">IFERROR(__xludf.DUMMYFUNCTION("""COMPUTED_VALUE"""),"No")</f>
        <v>No</v>
      </c>
      <c r="E304" s="6" t="str">
        <f ca="1">IFERROR(__xludf.DUMMYFUNCTION("""COMPUTED_VALUE"""),"Parked")</f>
        <v>Parked</v>
      </c>
    </row>
    <row r="305" spans="1:5">
      <c r="A305" s="6" t="str">
        <f ca="1">IFERROR(__xludf.DUMMYFUNCTION("""COMPUTED_VALUE"""),"Qualification")</f>
        <v>Qualification</v>
      </c>
      <c r="B305" s="6">
        <f ca="1">IFERROR(__xludf.DUMMYFUNCTION("""COMPUTED_VALUE"""),61)</f>
        <v>61</v>
      </c>
      <c r="C305" s="6">
        <f ca="1">IFERROR(__xludf.DUMMYFUNCTION("""COMPUTED_VALUE"""),3298)</f>
        <v>3298</v>
      </c>
      <c r="D305" s="6" t="str">
        <f ca="1">IFERROR(__xludf.DUMMYFUNCTION("""COMPUTED_VALUE"""),"Yes")</f>
        <v>Yes</v>
      </c>
      <c r="E305" s="6" t="str">
        <f ca="1">IFERROR(__xludf.DUMMYFUNCTION("""COMPUTED_VALUE"""),"None")</f>
        <v>None</v>
      </c>
    </row>
    <row r="306" spans="1:5">
      <c r="A306" s="6" t="str">
        <f ca="1">IFERROR(__xludf.DUMMYFUNCTION("""COMPUTED_VALUE"""),"Qualification")</f>
        <v>Qualification</v>
      </c>
      <c r="B306" s="6">
        <f ca="1">IFERROR(__xludf.DUMMYFUNCTION("""COMPUTED_VALUE"""),62)</f>
        <v>62</v>
      </c>
      <c r="C306" s="6">
        <f ca="1">IFERROR(__xludf.DUMMYFUNCTION("""COMPUTED_VALUE"""),6758)</f>
        <v>6758</v>
      </c>
      <c r="D306" s="6" t="str">
        <f ca="1">IFERROR(__xludf.DUMMYFUNCTION("""COMPUTED_VALUE"""),"Yes")</f>
        <v>Yes</v>
      </c>
      <c r="E306" s="6" t="str">
        <f ca="1">IFERROR(__xludf.DUMMYFUNCTION("""COMPUTED_VALUE"""),"Parked")</f>
        <v>Parked</v>
      </c>
    </row>
    <row r="307" spans="1:5">
      <c r="A307" s="6" t="str">
        <f ca="1">IFERROR(__xludf.DUMMYFUNCTION("""COMPUTED_VALUE"""),"Qualification")</f>
        <v>Qualification</v>
      </c>
      <c r="B307" s="6">
        <f ca="1">IFERROR(__xludf.DUMMYFUNCTION("""COMPUTED_VALUE"""),63)</f>
        <v>63</v>
      </c>
      <c r="C307" s="6">
        <f ca="1">IFERROR(__xludf.DUMMYFUNCTION("""COMPUTED_VALUE"""),6044)</f>
        <v>6044</v>
      </c>
      <c r="D307" s="6" t="str">
        <f ca="1">IFERROR(__xludf.DUMMYFUNCTION("""COMPUTED_VALUE"""),"Yes")</f>
        <v>Yes</v>
      </c>
      <c r="E307" s="6" t="str">
        <f ca="1">IFERROR(__xludf.DUMMYFUNCTION("""COMPUTED_VALUE"""),"None")</f>
        <v>None</v>
      </c>
    </row>
    <row r="308" spans="1:5">
      <c r="A308" s="6" t="str">
        <f ca="1">IFERROR(__xludf.DUMMYFUNCTION("""COMPUTED_VALUE"""),"Qualification")</f>
        <v>Qualification</v>
      </c>
      <c r="B308" s="6">
        <f ca="1">IFERROR(__xludf.DUMMYFUNCTION("""COMPUTED_VALUE"""),64)</f>
        <v>64</v>
      </c>
      <c r="C308" s="6">
        <f ca="1">IFERROR(__xludf.DUMMYFUNCTION("""COMPUTED_VALUE"""),6420)</f>
        <v>6420</v>
      </c>
      <c r="D308" s="6" t="str">
        <f ca="1">IFERROR(__xludf.DUMMYFUNCTION("""COMPUTED_VALUE"""),"No")</f>
        <v>No</v>
      </c>
      <c r="E308" s="6" t="str">
        <f ca="1">IFERROR(__xludf.DUMMYFUNCTION("""COMPUTED_VALUE"""),"Parked")</f>
        <v>Parked</v>
      </c>
    </row>
    <row r="309" spans="1:5">
      <c r="A309" s="6" t="str">
        <f ca="1">IFERROR(__xludf.DUMMYFUNCTION("""COMPUTED_VALUE"""),"Qualification")</f>
        <v>Qualification</v>
      </c>
      <c r="B309" s="6">
        <f ca="1">IFERROR(__xludf.DUMMYFUNCTION("""COMPUTED_VALUE"""),65)</f>
        <v>65</v>
      </c>
      <c r="C309" s="6">
        <f ca="1">IFERROR(__xludf.DUMMYFUNCTION("""COMPUTED_VALUE"""),5232)</f>
        <v>5232</v>
      </c>
      <c r="D309" s="6" t="str">
        <f ca="1">IFERROR(__xludf.DUMMYFUNCTION("""COMPUTED_VALUE"""),"Yes")</f>
        <v>Yes</v>
      </c>
      <c r="E309" s="6" t="str">
        <f ca="1">IFERROR(__xludf.DUMMYFUNCTION("""COMPUTED_VALUE"""),"Parked")</f>
        <v>Parked</v>
      </c>
    </row>
    <row r="310" spans="1:5">
      <c r="A310" s="6" t="str">
        <f ca="1">IFERROR(__xludf.DUMMYFUNCTION("""COMPUTED_VALUE"""),"Qualification")</f>
        <v>Qualification</v>
      </c>
      <c r="B310" s="6">
        <f ca="1">IFERROR(__xludf.DUMMYFUNCTION("""COMPUTED_VALUE"""),66)</f>
        <v>66</v>
      </c>
      <c r="C310" s="6">
        <f ca="1">IFERROR(__xludf.DUMMYFUNCTION("""COMPUTED_VALUE"""),3023)</f>
        <v>3023</v>
      </c>
      <c r="D310" s="6" t="str">
        <f ca="1">IFERROR(__xludf.DUMMYFUNCTION("""COMPUTED_VALUE"""),"Yes")</f>
        <v>Yes</v>
      </c>
      <c r="E310" s="6" t="str">
        <f ca="1">IFERROR(__xludf.DUMMYFUNCTION("""COMPUTED_VALUE"""),"Parked")</f>
        <v>Parked</v>
      </c>
    </row>
    <row r="311" spans="1:5">
      <c r="A311" s="6" t="str">
        <f ca="1">IFERROR(__xludf.DUMMYFUNCTION("""COMPUTED_VALUE"""),"Qualification")</f>
        <v>Qualification</v>
      </c>
      <c r="B311" s="6">
        <f ca="1">IFERROR(__xludf.DUMMYFUNCTION("""COMPUTED_VALUE"""),67)</f>
        <v>67</v>
      </c>
      <c r="C311" s="6">
        <f ca="1">IFERROR(__xludf.DUMMYFUNCTION("""COMPUTED_VALUE"""),3691)</f>
        <v>3691</v>
      </c>
      <c r="D311" s="6" t="str">
        <f ca="1">IFERROR(__xludf.DUMMYFUNCTION("""COMPUTED_VALUE"""),"Yes")</f>
        <v>Yes</v>
      </c>
      <c r="E311" s="6" t="str">
        <f ca="1">IFERROR(__xludf.DUMMYFUNCTION("""COMPUTED_VALUE"""),"Parked")</f>
        <v>Parked</v>
      </c>
    </row>
    <row r="312" spans="1:5">
      <c r="A312" s="6" t="str">
        <f ca="1">IFERROR(__xludf.DUMMYFUNCTION("""COMPUTED_VALUE"""),"Qualification")</f>
        <v>Qualification</v>
      </c>
      <c r="B312" s="6">
        <f ca="1">IFERROR(__xludf.DUMMYFUNCTION("""COMPUTED_VALUE"""),68)</f>
        <v>68</v>
      </c>
      <c r="C312" s="6">
        <f ca="1">IFERROR(__xludf.DUMMYFUNCTION("""COMPUTED_VALUE"""),4418)</f>
        <v>4418</v>
      </c>
      <c r="D312" s="6" t="str">
        <f ca="1">IFERROR(__xludf.DUMMYFUNCTION("""COMPUTED_VALUE"""),"No")</f>
        <v>No</v>
      </c>
      <c r="E312" s="6" t="str">
        <f ca="1">IFERROR(__xludf.DUMMYFUNCTION("""COMPUTED_VALUE"""),"Parked")</f>
        <v>Parked</v>
      </c>
    </row>
    <row r="313" spans="1:5">
      <c r="A313" s="6" t="str">
        <f ca="1">IFERROR(__xludf.DUMMYFUNCTION("""COMPUTED_VALUE"""),"Qualification")</f>
        <v>Qualification</v>
      </c>
      <c r="B313" s="6">
        <f ca="1">IFERROR(__xludf.DUMMYFUNCTION("""COMPUTED_VALUE"""),69)</f>
        <v>69</v>
      </c>
      <c r="C313" s="6">
        <f ca="1">IFERROR(__xludf.DUMMYFUNCTION("""COMPUTED_VALUE"""),2383)</f>
        <v>2383</v>
      </c>
      <c r="D313" s="6" t="str">
        <f ca="1">IFERROR(__xludf.DUMMYFUNCTION("""COMPUTED_VALUE"""),"Yes")</f>
        <v>Yes</v>
      </c>
      <c r="E313" s="6" t="str">
        <f ca="1">IFERROR(__xludf.DUMMYFUNCTION("""COMPUTED_VALUE"""),"DeepCage")</f>
        <v>DeepCage</v>
      </c>
    </row>
    <row r="314" spans="1:5">
      <c r="A314" s="6" t="str">
        <f ca="1">IFERROR(__xludf.DUMMYFUNCTION("""COMPUTED_VALUE"""),"Qualification")</f>
        <v>Qualification</v>
      </c>
      <c r="B314" s="6">
        <f ca="1">IFERROR(__xludf.DUMMYFUNCTION("""COMPUTED_VALUE"""),70)</f>
        <v>70</v>
      </c>
      <c r="C314" s="6">
        <f ca="1">IFERROR(__xludf.DUMMYFUNCTION("""COMPUTED_VALUE"""),2531)</f>
        <v>2531</v>
      </c>
      <c r="D314" s="6" t="str">
        <f ca="1">IFERROR(__xludf.DUMMYFUNCTION("""COMPUTED_VALUE"""),"Yes")</f>
        <v>Yes</v>
      </c>
      <c r="E314" s="6" t="str">
        <f ca="1">IFERROR(__xludf.DUMMYFUNCTION("""COMPUTED_VALUE"""),"None")</f>
        <v>None</v>
      </c>
    </row>
    <row r="315" spans="1:5">
      <c r="A315" s="6" t="str">
        <f ca="1">IFERROR(__xludf.DUMMYFUNCTION("""COMPUTED_VALUE"""),"Qualification")</f>
        <v>Qualification</v>
      </c>
      <c r="B315" s="6">
        <f ca="1">IFERROR(__xludf.DUMMYFUNCTION("""COMPUTED_VALUE"""),71)</f>
        <v>71</v>
      </c>
      <c r="C315" s="6">
        <f ca="1">IFERROR(__xludf.DUMMYFUNCTION("""COMPUTED_VALUE"""),4215)</f>
        <v>4215</v>
      </c>
      <c r="D315" s="6" t="str">
        <f ca="1">IFERROR(__xludf.DUMMYFUNCTION("""COMPUTED_VALUE"""),"Yes")</f>
        <v>Yes</v>
      </c>
      <c r="E315" s="6" t="str">
        <f ca="1">IFERROR(__xludf.DUMMYFUNCTION("""COMPUTED_VALUE"""),"DeepCage")</f>
        <v>DeepCage</v>
      </c>
    </row>
    <row r="316" spans="1:5">
      <c r="A316" s="6" t="str">
        <f ca="1">IFERROR(__xludf.DUMMYFUNCTION("""COMPUTED_VALUE"""),"Qualification")</f>
        <v>Qualification</v>
      </c>
      <c r="B316" s="6">
        <f ca="1">IFERROR(__xludf.DUMMYFUNCTION("""COMPUTED_VALUE"""),72)</f>
        <v>72</v>
      </c>
      <c r="C316" s="6">
        <f ca="1">IFERROR(__xludf.DUMMYFUNCTION("""COMPUTED_VALUE"""),3212)</f>
        <v>3212</v>
      </c>
      <c r="D316" s="6" t="str">
        <f ca="1">IFERROR(__xludf.DUMMYFUNCTION("""COMPUTED_VALUE"""),"Yes")</f>
        <v>Yes</v>
      </c>
      <c r="E316" s="6" t="str">
        <f ca="1">IFERROR(__xludf.DUMMYFUNCTION("""COMPUTED_VALUE"""),"Parked")</f>
        <v>Parked</v>
      </c>
    </row>
    <row r="317" spans="1:5">
      <c r="A317" s="6" t="str">
        <f ca="1">IFERROR(__xludf.DUMMYFUNCTION("""COMPUTED_VALUE"""),"Qualification")</f>
        <v>Qualification</v>
      </c>
      <c r="B317" s="6">
        <f ca="1">IFERROR(__xludf.DUMMYFUNCTION("""COMPUTED_VALUE"""),73)</f>
        <v>73</v>
      </c>
      <c r="C317" s="6">
        <f ca="1">IFERROR(__xludf.DUMMYFUNCTION("""COMPUTED_VALUE"""),1816)</f>
        <v>1816</v>
      </c>
      <c r="D317" s="6" t="str">
        <f ca="1">IFERROR(__xludf.DUMMYFUNCTION("""COMPUTED_VALUE"""),"Yes")</f>
        <v>Yes</v>
      </c>
      <c r="E317" s="6" t="str">
        <f ca="1">IFERROR(__xludf.DUMMYFUNCTION("""COMPUTED_VALUE"""),"Parked")</f>
        <v>Parked</v>
      </c>
    </row>
    <row r="318" spans="1:5">
      <c r="A318" s="6" t="str">
        <f ca="1">IFERROR(__xludf.DUMMYFUNCTION("""COMPUTED_VALUE"""),"Qualification")</f>
        <v>Qualification</v>
      </c>
      <c r="B318" s="6">
        <f ca="1">IFERROR(__xludf.DUMMYFUNCTION("""COMPUTED_VALUE"""),74)</f>
        <v>74</v>
      </c>
      <c r="C318" s="6">
        <f ca="1">IFERROR(__xludf.DUMMYFUNCTION("""COMPUTED_VALUE"""),4360)</f>
        <v>4360</v>
      </c>
      <c r="D318" s="6" t="str">
        <f ca="1">IFERROR(__xludf.DUMMYFUNCTION("""COMPUTED_VALUE"""),"Yes")</f>
        <v>Yes</v>
      </c>
      <c r="E318" s="6" t="str">
        <f ca="1">IFERROR(__xludf.DUMMYFUNCTION("""COMPUTED_VALUE"""),"None")</f>
        <v>None</v>
      </c>
    </row>
    <row r="319" spans="1:5">
      <c r="A319" s="6" t="str">
        <f ca="1">IFERROR(__xludf.DUMMYFUNCTION("""COMPUTED_VALUE"""),"Qualification")</f>
        <v>Qualification</v>
      </c>
      <c r="B319" s="6">
        <f ca="1">IFERROR(__xludf.DUMMYFUNCTION("""COMPUTED_VALUE"""),75)</f>
        <v>75</v>
      </c>
      <c r="C319" s="6">
        <f ca="1">IFERROR(__xludf.DUMMYFUNCTION("""COMPUTED_VALUE"""),2512)</f>
        <v>2512</v>
      </c>
      <c r="D319" s="6" t="str">
        <f ca="1">IFERROR(__xludf.DUMMYFUNCTION("""COMPUTED_VALUE"""),"No")</f>
        <v>No</v>
      </c>
      <c r="E319" s="6" t="str">
        <f ca="1">IFERROR(__xludf.DUMMYFUNCTION("""COMPUTED_VALUE"""),"None")</f>
        <v>None</v>
      </c>
    </row>
    <row r="320" spans="1:5">
      <c r="A320" s="6" t="str">
        <f ca="1">IFERROR(__xludf.DUMMYFUNCTION("""COMPUTED_VALUE"""),"Qualification")</f>
        <v>Qualification</v>
      </c>
      <c r="B320" s="6">
        <f ca="1">IFERROR(__xludf.DUMMYFUNCTION("""COMPUTED_VALUE"""),76)</f>
        <v>76</v>
      </c>
      <c r="C320" s="6">
        <f ca="1">IFERROR(__xludf.DUMMYFUNCTION("""COMPUTED_VALUE"""),2513)</f>
        <v>2513</v>
      </c>
      <c r="D320" s="6" t="str">
        <f ca="1">IFERROR(__xludf.DUMMYFUNCTION("""COMPUTED_VALUE"""),"Yes")</f>
        <v>Yes</v>
      </c>
      <c r="E320" s="6" t="str">
        <f ca="1">IFERROR(__xludf.DUMMYFUNCTION("""COMPUTED_VALUE"""),"Parked")</f>
        <v>Parked</v>
      </c>
    </row>
    <row r="321" spans="1:5">
      <c r="A321" s="6" t="str">
        <f ca="1">IFERROR(__xludf.DUMMYFUNCTION("""COMPUTED_VALUE"""),"Qualification")</f>
        <v>Qualification</v>
      </c>
      <c r="B321" s="6">
        <f ca="1">IFERROR(__xludf.DUMMYFUNCTION("""COMPUTED_VALUE"""),77)</f>
        <v>77</v>
      </c>
      <c r="C321" s="6">
        <f ca="1">IFERROR(__xludf.DUMMYFUNCTION("""COMPUTED_VALUE"""),3042)</f>
        <v>3042</v>
      </c>
      <c r="D321" s="6" t="str">
        <f ca="1">IFERROR(__xludf.DUMMYFUNCTION("""COMPUTED_VALUE"""),"Yes")</f>
        <v>Yes</v>
      </c>
      <c r="E321" s="6" t="str">
        <f ca="1">IFERROR(__xludf.DUMMYFUNCTION("""COMPUTED_VALUE"""),"None")</f>
        <v>None</v>
      </c>
    </row>
    <row r="322" spans="1:5">
      <c r="A322" s="6" t="str">
        <f ca="1">IFERROR(__xludf.DUMMYFUNCTION("""COMPUTED_VALUE"""),"Qualification")</f>
        <v>Qualification</v>
      </c>
      <c r="B322" s="6">
        <f ca="1">IFERROR(__xludf.DUMMYFUNCTION("""COMPUTED_VALUE"""),78)</f>
        <v>78</v>
      </c>
      <c r="C322" s="6">
        <f ca="1">IFERROR(__xludf.DUMMYFUNCTION("""COMPUTED_VALUE"""),6420)</f>
        <v>6420</v>
      </c>
      <c r="D322" s="6" t="str">
        <f ca="1">IFERROR(__xludf.DUMMYFUNCTION("""COMPUTED_VALUE"""),"Yes")</f>
        <v>Yes</v>
      </c>
      <c r="E322" s="6" t="str">
        <f ca="1">IFERROR(__xludf.DUMMYFUNCTION("""COMPUTED_VALUE"""),"DeepCage")</f>
        <v>DeepCage</v>
      </c>
    </row>
    <row r="323" spans="1:5">
      <c r="A323" s="6" t="str">
        <f ca="1">IFERROR(__xludf.DUMMYFUNCTION("""COMPUTED_VALUE"""),"Qualification")</f>
        <v>Qualification</v>
      </c>
      <c r="B323" s="6">
        <f ca="1">IFERROR(__xludf.DUMMYFUNCTION("""COMPUTED_VALUE"""),79)</f>
        <v>79</v>
      </c>
      <c r="C323" s="6">
        <f ca="1">IFERROR(__xludf.DUMMYFUNCTION("""COMPUTED_VALUE"""),7048)</f>
        <v>7048</v>
      </c>
      <c r="D323" s="6" t="str">
        <f ca="1">IFERROR(__xludf.DUMMYFUNCTION("""COMPUTED_VALUE"""),"Yes")</f>
        <v>Yes</v>
      </c>
      <c r="E323" s="6" t="str">
        <f ca="1">IFERROR(__xludf.DUMMYFUNCTION("""COMPUTED_VALUE"""),"Parked")</f>
        <v>Parked</v>
      </c>
    </row>
    <row r="324" spans="1:5">
      <c r="A324" s="6" t="str">
        <f ca="1">IFERROR(__xludf.DUMMYFUNCTION("""COMPUTED_VALUE"""),"Qualification")</f>
        <v>Qualification</v>
      </c>
      <c r="B324" s="6">
        <f ca="1">IFERROR(__xludf.DUMMYFUNCTION("""COMPUTED_VALUE"""),80)</f>
        <v>80</v>
      </c>
      <c r="C324" s="6">
        <f ca="1">IFERROR(__xludf.DUMMYFUNCTION("""COMPUTED_VALUE"""),3212)</f>
        <v>3212</v>
      </c>
      <c r="D324" s="6" t="str">
        <f ca="1">IFERROR(__xludf.DUMMYFUNCTION("""COMPUTED_VALUE"""),"Yes")</f>
        <v>Yes</v>
      </c>
      <c r="E324" s="6" t="str">
        <f ca="1">IFERROR(__xludf.DUMMYFUNCTION("""COMPUTED_VALUE"""),"Parked")</f>
        <v>Parked</v>
      </c>
    </row>
    <row r="325" spans="1:5">
      <c r="A325" s="6" t="str">
        <f ca="1">IFERROR(__xludf.DUMMYFUNCTION("""COMPUTED_VALUE"""),"Qualification")</f>
        <v>Qualification</v>
      </c>
      <c r="B325" s="6">
        <f ca="1">IFERROR(__xludf.DUMMYFUNCTION("""COMPUTED_VALUE"""),81)</f>
        <v>81</v>
      </c>
      <c r="C325" s="6">
        <f ca="1">IFERROR(__xludf.DUMMYFUNCTION("""COMPUTED_VALUE"""),7041)</f>
        <v>7041</v>
      </c>
      <c r="D325" s="6" t="str">
        <f ca="1">IFERROR(__xludf.DUMMYFUNCTION("""COMPUTED_VALUE"""),"Yes")</f>
        <v>Yes</v>
      </c>
      <c r="E325" s="6" t="str">
        <f ca="1">IFERROR(__xludf.DUMMYFUNCTION("""COMPUTED_VALUE"""),"ShallowCage")</f>
        <v>ShallowCage</v>
      </c>
    </row>
    <row r="326" spans="1:5">
      <c r="A326" s="6" t="str">
        <f ca="1">IFERROR(__xludf.DUMMYFUNCTION("""COMPUTED_VALUE"""),"Qualification")</f>
        <v>Qualification</v>
      </c>
      <c r="B326" s="6">
        <f ca="1">IFERROR(__xludf.DUMMYFUNCTION("""COMPUTED_VALUE"""),1)</f>
        <v>1</v>
      </c>
      <c r="C326" s="6">
        <f ca="1">IFERROR(__xludf.DUMMYFUNCTION("""COMPUTED_VALUE"""),2290)</f>
        <v>2290</v>
      </c>
      <c r="D326" s="6" t="str">
        <f ca="1">IFERROR(__xludf.DUMMYFUNCTION("""COMPUTED_VALUE"""),"No")</f>
        <v>No</v>
      </c>
      <c r="E326" s="6" t="str">
        <f ca="1">IFERROR(__xludf.DUMMYFUNCTION("""COMPUTED_VALUE"""),"Parked")</f>
        <v>Parked</v>
      </c>
    </row>
    <row r="327" spans="1:5">
      <c r="A327" s="6" t="str">
        <f ca="1">IFERROR(__xludf.DUMMYFUNCTION("""COMPUTED_VALUE"""),"Qualification")</f>
        <v>Qualification</v>
      </c>
      <c r="B327" s="6">
        <f ca="1">IFERROR(__xludf.DUMMYFUNCTION("""COMPUTED_VALUE"""),2)</f>
        <v>2</v>
      </c>
      <c r="C327" s="6">
        <f ca="1">IFERROR(__xludf.DUMMYFUNCTION("""COMPUTED_VALUE"""),1410)</f>
        <v>1410</v>
      </c>
      <c r="D327" s="6" t="str">
        <f ca="1">IFERROR(__xludf.DUMMYFUNCTION("""COMPUTED_VALUE"""),"Yes")</f>
        <v>Yes</v>
      </c>
      <c r="E327" s="6" t="str">
        <f ca="1">IFERROR(__xludf.DUMMYFUNCTION("""COMPUTED_VALUE"""),"Parked")</f>
        <v>Parked</v>
      </c>
    </row>
    <row r="328" spans="1:5">
      <c r="A328" s="6" t="str">
        <f ca="1">IFERROR(__xludf.DUMMYFUNCTION("""COMPUTED_VALUE"""),"Qualification")</f>
        <v>Qualification</v>
      </c>
      <c r="B328" s="6">
        <f ca="1">IFERROR(__xludf.DUMMYFUNCTION("""COMPUTED_VALUE"""),3)</f>
        <v>3</v>
      </c>
      <c r="C328" s="6">
        <f ca="1">IFERROR(__xludf.DUMMYFUNCTION("""COMPUTED_VALUE"""),10173)</f>
        <v>10173</v>
      </c>
      <c r="D328" s="6" t="str">
        <f ca="1">IFERROR(__xludf.DUMMYFUNCTION("""COMPUTED_VALUE"""),"No")</f>
        <v>No</v>
      </c>
      <c r="E328" s="6" t="str">
        <f ca="1">IFERROR(__xludf.DUMMYFUNCTION("""COMPUTED_VALUE"""),"Parked")</f>
        <v>Parked</v>
      </c>
    </row>
    <row r="329" spans="1:5">
      <c r="A329" s="6" t="str">
        <f ca="1">IFERROR(__xludf.DUMMYFUNCTION("""COMPUTED_VALUE"""),"Qualification")</f>
        <v>Qualification</v>
      </c>
      <c r="B329" s="6">
        <f ca="1">IFERROR(__xludf.DUMMYFUNCTION("""COMPUTED_VALUE"""),4)</f>
        <v>4</v>
      </c>
      <c r="C329" s="6">
        <f ca="1">IFERROR(__xludf.DUMMYFUNCTION("""COMPUTED_VALUE"""),1816)</f>
        <v>1816</v>
      </c>
      <c r="D329" s="6" t="str">
        <f ca="1">IFERROR(__xludf.DUMMYFUNCTION("""COMPUTED_VALUE"""),"No")</f>
        <v>No</v>
      </c>
      <c r="E329" s="6" t="str">
        <f ca="1">IFERROR(__xludf.DUMMYFUNCTION("""COMPUTED_VALUE"""),"DeepCage")</f>
        <v>DeepCage</v>
      </c>
    </row>
    <row r="330" spans="1:5">
      <c r="A330" s="6" t="str">
        <f ca="1">IFERROR(__xludf.DUMMYFUNCTION("""COMPUTED_VALUE"""),"Qualification")</f>
        <v>Qualification</v>
      </c>
      <c r="B330" s="6">
        <f ca="1">IFERROR(__xludf.DUMMYFUNCTION("""COMPUTED_VALUE"""),5)</f>
        <v>5</v>
      </c>
      <c r="C330" s="6">
        <f ca="1">IFERROR(__xludf.DUMMYFUNCTION("""COMPUTED_VALUE"""),525)</f>
        <v>525</v>
      </c>
      <c r="D330" s="6" t="str">
        <f ca="1">IFERROR(__xludf.DUMMYFUNCTION("""COMPUTED_VALUE"""),"Yes")</f>
        <v>Yes</v>
      </c>
      <c r="E330" s="6" t="str">
        <f ca="1">IFERROR(__xludf.DUMMYFUNCTION("""COMPUTED_VALUE"""),"None")</f>
        <v>None</v>
      </c>
    </row>
    <row r="331" spans="1:5">
      <c r="A331" s="6" t="str">
        <f ca="1">IFERROR(__xludf.DUMMYFUNCTION("""COMPUTED_VALUE"""),"Qualification")</f>
        <v>Qualification</v>
      </c>
      <c r="B331" s="6">
        <f ca="1">IFERROR(__xludf.DUMMYFUNCTION("""COMPUTED_VALUE"""),6)</f>
        <v>6</v>
      </c>
      <c r="C331" s="6">
        <f ca="1">IFERROR(__xludf.DUMMYFUNCTION("""COMPUTED_VALUE"""),6160)</f>
        <v>6160</v>
      </c>
      <c r="D331" s="6" t="str">
        <f ca="1">IFERROR(__xludf.DUMMYFUNCTION("""COMPUTED_VALUE"""),"No")</f>
        <v>No</v>
      </c>
      <c r="E331" s="6" t="str">
        <f ca="1">IFERROR(__xludf.DUMMYFUNCTION("""COMPUTED_VALUE"""),"Parked")</f>
        <v>Parked</v>
      </c>
    </row>
    <row r="332" spans="1:5">
      <c r="A332" s="6" t="str">
        <f ca="1">IFERROR(__xludf.DUMMYFUNCTION("""COMPUTED_VALUE"""),"Qualification")</f>
        <v>Qualification</v>
      </c>
      <c r="B332" s="6">
        <f ca="1">IFERROR(__xludf.DUMMYFUNCTION("""COMPUTED_VALUE"""),7)</f>
        <v>7</v>
      </c>
      <c r="C332" s="6">
        <f ca="1">IFERROR(__xludf.DUMMYFUNCTION("""COMPUTED_VALUE"""),3061)</f>
        <v>3061</v>
      </c>
      <c r="D332" s="6" t="str">
        <f ca="1">IFERROR(__xludf.DUMMYFUNCTION("""COMPUTED_VALUE"""),"Yes")</f>
        <v>Yes</v>
      </c>
      <c r="E332" s="6" t="str">
        <f ca="1">IFERROR(__xludf.DUMMYFUNCTION("""COMPUTED_VALUE"""),"Parked")</f>
        <v>Parked</v>
      </c>
    </row>
    <row r="333" spans="1:5">
      <c r="A333" s="6" t="str">
        <f ca="1">IFERROR(__xludf.DUMMYFUNCTION("""COMPUTED_VALUE"""),"Qualification")</f>
        <v>Qualification</v>
      </c>
      <c r="B333" s="6">
        <f ca="1">IFERROR(__xludf.DUMMYFUNCTION("""COMPUTED_VALUE"""),8)</f>
        <v>8</v>
      </c>
      <c r="C333" s="6">
        <f ca="1">IFERROR(__xludf.DUMMYFUNCTION("""COMPUTED_VALUE"""),3054)</f>
        <v>3054</v>
      </c>
      <c r="D333" s="6" t="str">
        <f ca="1">IFERROR(__xludf.DUMMYFUNCTION("""COMPUTED_VALUE"""),"Yes")</f>
        <v>Yes</v>
      </c>
      <c r="E333" s="6" t="str">
        <f ca="1">IFERROR(__xludf.DUMMYFUNCTION("""COMPUTED_VALUE"""),"None")</f>
        <v>None</v>
      </c>
    </row>
    <row r="334" spans="1:5">
      <c r="A334" s="6" t="str">
        <f ca="1">IFERROR(__xludf.DUMMYFUNCTION("""COMPUTED_VALUE"""),"Qualification")</f>
        <v>Qualification</v>
      </c>
      <c r="B334" s="6">
        <f ca="1">IFERROR(__xludf.DUMMYFUNCTION("""COMPUTED_VALUE"""),9)</f>
        <v>9</v>
      </c>
      <c r="C334" s="6">
        <f ca="1">IFERROR(__xludf.DUMMYFUNCTION("""COMPUTED_VALUE"""),6420)</f>
        <v>6420</v>
      </c>
      <c r="D334" s="6" t="str">
        <f ca="1">IFERROR(__xludf.DUMMYFUNCTION("""COMPUTED_VALUE"""),"Yes")</f>
        <v>Yes</v>
      </c>
      <c r="E334" s="6" t="str">
        <f ca="1">IFERROR(__xludf.DUMMYFUNCTION("""COMPUTED_VALUE"""),"Parked")</f>
        <v>Parked</v>
      </c>
    </row>
    <row r="335" spans="1:5">
      <c r="A335" s="6" t="str">
        <f ca="1">IFERROR(__xludf.DUMMYFUNCTION("""COMPUTED_VALUE"""),"Qualification")</f>
        <v>Qualification</v>
      </c>
      <c r="B335" s="6">
        <f ca="1">IFERROR(__xludf.DUMMYFUNCTION("""COMPUTED_VALUE"""),10)</f>
        <v>10</v>
      </c>
      <c r="C335" s="6">
        <f ca="1">IFERROR(__xludf.DUMMYFUNCTION("""COMPUTED_VALUE"""),2290)</f>
        <v>2290</v>
      </c>
      <c r="D335" s="6" t="str">
        <f ca="1">IFERROR(__xludf.DUMMYFUNCTION("""COMPUTED_VALUE"""),"Yes")</f>
        <v>Yes</v>
      </c>
      <c r="E335" s="6" t="str">
        <f ca="1">IFERROR(__xludf.DUMMYFUNCTION("""COMPUTED_VALUE"""),"Parked")</f>
        <v>Parked</v>
      </c>
    </row>
    <row r="336" spans="1:5">
      <c r="A336" s="6" t="str">
        <f ca="1">IFERROR(__xludf.DUMMYFUNCTION("""COMPUTED_VALUE"""),"Qualification")</f>
        <v>Qualification</v>
      </c>
      <c r="B336" s="6">
        <f ca="1">IFERROR(__xludf.DUMMYFUNCTION("""COMPUTED_VALUE"""),11)</f>
        <v>11</v>
      </c>
      <c r="C336" s="6">
        <f ca="1">IFERROR(__xludf.DUMMYFUNCTION("""COMPUTED_VALUE"""),3023)</f>
        <v>3023</v>
      </c>
      <c r="D336" s="6" t="str">
        <f ca="1">IFERROR(__xludf.DUMMYFUNCTION("""COMPUTED_VALUE"""),"Yes")</f>
        <v>Yes</v>
      </c>
      <c r="E336" s="6" t="str">
        <f ca="1">IFERROR(__xludf.DUMMYFUNCTION("""COMPUTED_VALUE"""),"Parked")</f>
        <v>Parked</v>
      </c>
    </row>
    <row r="337" spans="1:5">
      <c r="A337" s="6" t="str">
        <f ca="1">IFERROR(__xludf.DUMMYFUNCTION("""COMPUTED_VALUE"""),"Qualification")</f>
        <v>Qualification</v>
      </c>
      <c r="B337" s="6">
        <f ca="1">IFERROR(__xludf.DUMMYFUNCTION("""COMPUTED_VALUE"""),12)</f>
        <v>12</v>
      </c>
      <c r="C337" s="6">
        <f ca="1">IFERROR(__xludf.DUMMYFUNCTION("""COMPUTED_VALUE"""),4230)</f>
        <v>4230</v>
      </c>
      <c r="D337" s="6" t="str">
        <f ca="1">IFERROR(__xludf.DUMMYFUNCTION("""COMPUTED_VALUE"""),"Yes")</f>
        <v>Yes</v>
      </c>
      <c r="E337" s="6" t="str">
        <f ca="1">IFERROR(__xludf.DUMMYFUNCTION("""COMPUTED_VALUE"""),"Parked")</f>
        <v>Parked</v>
      </c>
    </row>
    <row r="338" spans="1:5">
      <c r="A338" s="6" t="str">
        <f ca="1">IFERROR(__xludf.DUMMYFUNCTION("""COMPUTED_VALUE"""),"Qualification")</f>
        <v>Qualification</v>
      </c>
      <c r="B338" s="6">
        <f ca="1">IFERROR(__xludf.DUMMYFUNCTION("""COMPUTED_VALUE"""),13)</f>
        <v>13</v>
      </c>
      <c r="C338" s="6">
        <f ca="1">IFERROR(__xludf.DUMMYFUNCTION("""COMPUTED_VALUE"""),3298)</f>
        <v>3298</v>
      </c>
      <c r="D338" s="6" t="str">
        <f ca="1">IFERROR(__xludf.DUMMYFUNCTION("""COMPUTED_VALUE"""),"Yes")</f>
        <v>Yes</v>
      </c>
      <c r="E338" s="6" t="str">
        <f ca="1">IFERROR(__xludf.DUMMYFUNCTION("""COMPUTED_VALUE"""),"Parked")</f>
        <v>Parked</v>
      </c>
    </row>
    <row r="339" spans="1:5">
      <c r="A339" s="6" t="str">
        <f ca="1">IFERROR(__xludf.DUMMYFUNCTION("""COMPUTED_VALUE"""),"Qualification")</f>
        <v>Qualification</v>
      </c>
      <c r="B339" s="6">
        <f ca="1">IFERROR(__xludf.DUMMYFUNCTION("""COMPUTED_VALUE"""),14)</f>
        <v>14</v>
      </c>
      <c r="C339" s="6">
        <f ca="1">IFERROR(__xludf.DUMMYFUNCTION("""COMPUTED_VALUE"""),2240)</f>
        <v>2240</v>
      </c>
      <c r="D339" s="6" t="str">
        <f ca="1">IFERROR(__xludf.DUMMYFUNCTION("""COMPUTED_VALUE"""),"Yes")</f>
        <v>Yes</v>
      </c>
      <c r="E339" s="6" t="str">
        <f ca="1">IFERROR(__xludf.DUMMYFUNCTION("""COMPUTED_VALUE"""),"Parked")</f>
        <v>Parked</v>
      </c>
    </row>
    <row r="340" spans="1:5">
      <c r="A340" s="6" t="str">
        <f ca="1">IFERROR(__xludf.DUMMYFUNCTION("""COMPUTED_VALUE"""),"Qualification")</f>
        <v>Qualification</v>
      </c>
      <c r="B340" s="6">
        <f ca="1">IFERROR(__xludf.DUMMYFUNCTION("""COMPUTED_VALUE"""),15)</f>
        <v>15</v>
      </c>
      <c r="C340" s="6">
        <f ca="1">IFERROR(__xludf.DUMMYFUNCTION("""COMPUTED_VALUE"""),3042)</f>
        <v>3042</v>
      </c>
      <c r="D340" s="6" t="str">
        <f ca="1">IFERROR(__xludf.DUMMYFUNCTION("""COMPUTED_VALUE"""),"Yes")</f>
        <v>Yes</v>
      </c>
      <c r="E340" s="6" t="str">
        <f ca="1">IFERROR(__xludf.DUMMYFUNCTION("""COMPUTED_VALUE"""),"None")</f>
        <v>None</v>
      </c>
    </row>
    <row r="341" spans="1:5">
      <c r="A341" s="6" t="str">
        <f ca="1">IFERROR(__xludf.DUMMYFUNCTION("""COMPUTED_VALUE"""),"Qualification")</f>
        <v>Qualification</v>
      </c>
      <c r="B341" s="6">
        <f ca="1">IFERROR(__xludf.DUMMYFUNCTION("""COMPUTED_VALUE"""),16)</f>
        <v>16</v>
      </c>
      <c r="C341" s="6">
        <f ca="1">IFERROR(__xludf.DUMMYFUNCTION("""COMPUTED_VALUE"""),4418)</f>
        <v>4418</v>
      </c>
      <c r="D341" s="6" t="str">
        <f ca="1">IFERROR(__xludf.DUMMYFUNCTION("""COMPUTED_VALUE"""),"Yes")</f>
        <v>Yes</v>
      </c>
      <c r="E341" s="6" t="str">
        <f ca="1">IFERROR(__xludf.DUMMYFUNCTION("""COMPUTED_VALUE"""),"Parked")</f>
        <v>Parked</v>
      </c>
    </row>
    <row r="342" spans="1:5">
      <c r="A342" s="6" t="str">
        <f ca="1">IFERROR(__xludf.DUMMYFUNCTION("""COMPUTED_VALUE"""),"Qualification")</f>
        <v>Qualification</v>
      </c>
      <c r="B342" s="6">
        <f ca="1">IFERROR(__xludf.DUMMYFUNCTION("""COMPUTED_VALUE"""),17)</f>
        <v>17</v>
      </c>
      <c r="C342" s="6">
        <f ca="1">IFERROR(__xludf.DUMMYFUNCTION("""COMPUTED_VALUE"""),2052)</f>
        <v>2052</v>
      </c>
      <c r="D342" s="6" t="str">
        <f ca="1">IFERROR(__xludf.DUMMYFUNCTION("""COMPUTED_VALUE"""),"Yes")</f>
        <v>Yes</v>
      </c>
      <c r="E342" s="6" t="str">
        <f ca="1">IFERROR(__xludf.DUMMYFUNCTION("""COMPUTED_VALUE"""),"DeepCage")</f>
        <v>DeepCage</v>
      </c>
    </row>
    <row r="343" spans="1:5">
      <c r="A343" s="6" t="str">
        <f ca="1">IFERROR(__xludf.DUMMYFUNCTION("""COMPUTED_VALUE"""),"Qualification")</f>
        <v>Qualification</v>
      </c>
      <c r="B343" s="6">
        <f ca="1">IFERROR(__xludf.DUMMYFUNCTION("""COMPUTED_VALUE"""),18)</f>
        <v>18</v>
      </c>
      <c r="C343" s="6">
        <f ca="1">IFERROR(__xludf.DUMMYFUNCTION("""COMPUTED_VALUE"""),5339)</f>
        <v>5339</v>
      </c>
      <c r="D343" s="6" t="str">
        <f ca="1">IFERROR(__xludf.DUMMYFUNCTION("""COMPUTED_VALUE"""),"Yes")</f>
        <v>Yes</v>
      </c>
      <c r="E343" s="6" t="str">
        <f ca="1">IFERROR(__xludf.DUMMYFUNCTION("""COMPUTED_VALUE"""),"Parked")</f>
        <v>Parked</v>
      </c>
    </row>
    <row r="344" spans="1:5">
      <c r="A344" s="6" t="str">
        <f ca="1">IFERROR(__xludf.DUMMYFUNCTION("""COMPUTED_VALUE"""),"Qualification")</f>
        <v>Qualification</v>
      </c>
      <c r="B344" s="6">
        <f ca="1">IFERROR(__xludf.DUMMYFUNCTION("""COMPUTED_VALUE"""),19)</f>
        <v>19</v>
      </c>
      <c r="C344" s="6">
        <f ca="1">IFERROR(__xludf.DUMMYFUNCTION("""COMPUTED_VALUE"""),10173)</f>
        <v>10173</v>
      </c>
      <c r="D344" s="6" t="str">
        <f ca="1">IFERROR(__xludf.DUMMYFUNCTION("""COMPUTED_VALUE"""),"Yes")</f>
        <v>Yes</v>
      </c>
      <c r="E344" s="6" t="str">
        <f ca="1">IFERROR(__xludf.DUMMYFUNCTION("""COMPUTED_VALUE"""),"Parked")</f>
        <v>Parked</v>
      </c>
    </row>
    <row r="345" spans="1:5">
      <c r="A345" s="6" t="str">
        <f ca="1">IFERROR(__xludf.DUMMYFUNCTION("""COMPUTED_VALUE"""),"Qualification")</f>
        <v>Qualification</v>
      </c>
      <c r="B345" s="6">
        <f ca="1">IFERROR(__xludf.DUMMYFUNCTION("""COMPUTED_VALUE"""),20)</f>
        <v>20</v>
      </c>
      <c r="C345" s="6">
        <f ca="1">IFERROR(__xludf.DUMMYFUNCTION("""COMPUTED_VALUE"""),4230)</f>
        <v>4230</v>
      </c>
      <c r="D345" s="6" t="str">
        <f ca="1">IFERROR(__xludf.DUMMYFUNCTION("""COMPUTED_VALUE"""),"Yes")</f>
        <v>Yes</v>
      </c>
      <c r="E345" s="6" t="str">
        <f ca="1">IFERROR(__xludf.DUMMYFUNCTION("""COMPUTED_VALUE"""),"DeepCage")</f>
        <v>DeepCage</v>
      </c>
    </row>
    <row r="346" spans="1:5">
      <c r="A346" s="6" t="str">
        <f ca="1">IFERROR(__xludf.DUMMYFUNCTION("""COMPUTED_VALUE"""),"Qualification")</f>
        <v>Qualification</v>
      </c>
      <c r="B346" s="6">
        <f ca="1">IFERROR(__xludf.DUMMYFUNCTION("""COMPUTED_VALUE"""),21)</f>
        <v>21</v>
      </c>
      <c r="C346" s="6">
        <f ca="1">IFERROR(__xludf.DUMMYFUNCTION("""COMPUTED_VALUE"""),3298)</f>
        <v>3298</v>
      </c>
      <c r="D346" s="6" t="str">
        <f ca="1">IFERROR(__xludf.DUMMYFUNCTION("""COMPUTED_VALUE"""),"No")</f>
        <v>No</v>
      </c>
      <c r="E346" s="6" t="str">
        <f ca="1">IFERROR(__xludf.DUMMYFUNCTION("""COMPUTED_VALUE"""),"Parked")</f>
        <v>Parked</v>
      </c>
    </row>
    <row r="347" spans="1:5">
      <c r="A347" s="6" t="str">
        <f ca="1">IFERROR(__xludf.DUMMYFUNCTION("""COMPUTED_VALUE"""),"Qualification")</f>
        <v>Qualification</v>
      </c>
      <c r="B347" s="6">
        <f ca="1">IFERROR(__xludf.DUMMYFUNCTION("""COMPUTED_VALUE"""),22)</f>
        <v>22</v>
      </c>
      <c r="C347" s="6">
        <f ca="1">IFERROR(__xludf.DUMMYFUNCTION("""COMPUTED_VALUE"""),3883)</f>
        <v>3883</v>
      </c>
      <c r="D347" s="6" t="str">
        <f ca="1">IFERROR(__xludf.DUMMYFUNCTION("""COMPUTED_VALUE"""),"Yes")</f>
        <v>Yes</v>
      </c>
      <c r="E347" s="6" t="str">
        <f ca="1">IFERROR(__xludf.DUMMYFUNCTION("""COMPUTED_VALUE"""),"DeepCage")</f>
        <v>DeepCage</v>
      </c>
    </row>
    <row r="348" spans="1:5">
      <c r="A348" s="6" t="str">
        <f ca="1">IFERROR(__xludf.DUMMYFUNCTION("""COMPUTED_VALUE"""),"Qualification")</f>
        <v>Qualification</v>
      </c>
      <c r="B348" s="6">
        <f ca="1">IFERROR(__xludf.DUMMYFUNCTION("""COMPUTED_VALUE"""),23)</f>
        <v>23</v>
      </c>
      <c r="C348" s="6">
        <f ca="1">IFERROR(__xludf.DUMMYFUNCTION("""COMPUTED_VALUE"""),2239)</f>
        <v>2239</v>
      </c>
      <c r="D348" s="6" t="str">
        <f ca="1">IFERROR(__xludf.DUMMYFUNCTION("""COMPUTED_VALUE"""),"Yes")</f>
        <v>Yes</v>
      </c>
      <c r="E348" s="6" t="str">
        <f ca="1">IFERROR(__xludf.DUMMYFUNCTION("""COMPUTED_VALUE"""),"Parked")</f>
        <v>Parked</v>
      </c>
    </row>
    <row r="349" spans="1:5">
      <c r="A349" s="6" t="str">
        <f ca="1">IFERROR(__xludf.DUMMYFUNCTION("""COMPUTED_VALUE"""),"Qualification")</f>
        <v>Qualification</v>
      </c>
      <c r="B349" s="6">
        <f ca="1">IFERROR(__xludf.DUMMYFUNCTION("""COMPUTED_VALUE"""),24)</f>
        <v>24</v>
      </c>
      <c r="C349" s="6">
        <f ca="1">IFERROR(__xludf.DUMMYFUNCTION("""COMPUTED_VALUE"""),525)</f>
        <v>525</v>
      </c>
      <c r="D349" s="6" t="str">
        <f ca="1">IFERROR(__xludf.DUMMYFUNCTION("""COMPUTED_VALUE"""),"Yes")</f>
        <v>Yes</v>
      </c>
      <c r="E349" s="6" t="str">
        <f ca="1">IFERROR(__xludf.DUMMYFUNCTION("""COMPUTED_VALUE"""),"Parked")</f>
        <v>Parked</v>
      </c>
    </row>
    <row r="350" spans="1:5">
      <c r="A350" s="6" t="str">
        <f ca="1">IFERROR(__xludf.DUMMYFUNCTION("""COMPUTED_VALUE"""),"Qualification")</f>
        <v>Qualification</v>
      </c>
      <c r="B350" s="6">
        <f ca="1">IFERROR(__xludf.DUMMYFUNCTION("""COMPUTED_VALUE"""),25)</f>
        <v>25</v>
      </c>
      <c r="C350" s="6">
        <f ca="1">IFERROR(__xludf.DUMMYFUNCTION("""COMPUTED_VALUE"""),4215)</f>
        <v>4215</v>
      </c>
      <c r="D350" s="6" t="str">
        <f ca="1">IFERROR(__xludf.DUMMYFUNCTION("""COMPUTED_VALUE"""),"Yes")</f>
        <v>Yes</v>
      </c>
      <c r="E350" s="6" t="str">
        <f ca="1">IFERROR(__xludf.DUMMYFUNCTION("""COMPUTED_VALUE"""),"Parked")</f>
        <v>Parked</v>
      </c>
    </row>
    <row r="351" spans="1:5">
      <c r="A351" s="6" t="str">
        <f ca="1">IFERROR(__xludf.DUMMYFUNCTION("""COMPUTED_VALUE"""),"Qualification")</f>
        <v>Qualification</v>
      </c>
      <c r="B351" s="6">
        <f ca="1">IFERROR(__xludf.DUMMYFUNCTION("""COMPUTED_VALUE"""),26)</f>
        <v>26</v>
      </c>
      <c r="C351" s="6">
        <f ca="1">IFERROR(__xludf.DUMMYFUNCTION("""COMPUTED_VALUE"""),2977)</f>
        <v>2977</v>
      </c>
      <c r="D351" s="6" t="str">
        <f ca="1">IFERROR(__xludf.DUMMYFUNCTION("""COMPUTED_VALUE"""),"Yes")</f>
        <v>Yes</v>
      </c>
      <c r="E351" s="6" t="str">
        <f ca="1">IFERROR(__xludf.DUMMYFUNCTION("""COMPUTED_VALUE"""),"None")</f>
        <v>None</v>
      </c>
    </row>
    <row r="352" spans="1:5">
      <c r="A352" s="6" t="str">
        <f ca="1">IFERROR(__xludf.DUMMYFUNCTION("""COMPUTED_VALUE"""),"Qualification")</f>
        <v>Qualification</v>
      </c>
      <c r="B352" s="6">
        <f ca="1">IFERROR(__xludf.DUMMYFUNCTION("""COMPUTED_VALUE"""),27)</f>
        <v>27</v>
      </c>
      <c r="C352" s="6">
        <f ca="1">IFERROR(__xludf.DUMMYFUNCTION("""COMPUTED_VALUE"""),6044)</f>
        <v>6044</v>
      </c>
      <c r="D352" s="6" t="str">
        <f ca="1">IFERROR(__xludf.DUMMYFUNCTION("""COMPUTED_VALUE"""),"No")</f>
        <v>No</v>
      </c>
      <c r="E352" s="6" t="str">
        <f ca="1">IFERROR(__xludf.DUMMYFUNCTION("""COMPUTED_VALUE"""),"None")</f>
        <v>None</v>
      </c>
    </row>
    <row r="353" spans="1:5">
      <c r="A353" s="6" t="str">
        <f ca="1">IFERROR(__xludf.DUMMYFUNCTION("""COMPUTED_VALUE"""),"Qualification")</f>
        <v>Qualification</v>
      </c>
      <c r="B353" s="6">
        <f ca="1">IFERROR(__xludf.DUMMYFUNCTION("""COMPUTED_VALUE"""),28)</f>
        <v>28</v>
      </c>
      <c r="C353" s="6">
        <f ca="1">IFERROR(__xludf.DUMMYFUNCTION("""COMPUTED_VALUE"""),4623)</f>
        <v>4623</v>
      </c>
      <c r="D353" s="6" t="str">
        <f ca="1">IFERROR(__xludf.DUMMYFUNCTION("""COMPUTED_VALUE"""),"Yes")</f>
        <v>Yes</v>
      </c>
      <c r="E353" s="6" t="str">
        <f ca="1">IFERROR(__xludf.DUMMYFUNCTION("""COMPUTED_VALUE"""),"None")</f>
        <v>None</v>
      </c>
    </row>
    <row r="354" spans="1:5">
      <c r="A354" s="6" t="str">
        <f ca="1">IFERROR(__xludf.DUMMYFUNCTION("""COMPUTED_VALUE"""),"Qualification")</f>
        <v>Qualification</v>
      </c>
      <c r="B354" s="6">
        <f ca="1">IFERROR(__xludf.DUMMYFUNCTION("""COMPUTED_VALUE"""),29)</f>
        <v>29</v>
      </c>
      <c r="C354" s="6">
        <f ca="1">IFERROR(__xludf.DUMMYFUNCTION("""COMPUTED_VALUE"""),5720)</f>
        <v>5720</v>
      </c>
      <c r="D354" s="6" t="str">
        <f ca="1">IFERROR(__xludf.DUMMYFUNCTION("""COMPUTED_VALUE"""),"Yes")</f>
        <v>Yes</v>
      </c>
      <c r="E354" s="6" t="str">
        <f ca="1">IFERROR(__xludf.DUMMYFUNCTION("""COMPUTED_VALUE"""),"Parked")</f>
        <v>Parked</v>
      </c>
    </row>
    <row r="355" spans="1:5">
      <c r="A355" s="6" t="str">
        <f ca="1">IFERROR(__xludf.DUMMYFUNCTION("""COMPUTED_VALUE"""),"Qualification")</f>
        <v>Qualification</v>
      </c>
      <c r="B355" s="6">
        <f ca="1">IFERROR(__xludf.DUMMYFUNCTION("""COMPUTED_VALUE"""),30)</f>
        <v>30</v>
      </c>
      <c r="C355" s="6">
        <f ca="1">IFERROR(__xludf.DUMMYFUNCTION("""COMPUTED_VALUE"""),3212)</f>
        <v>3212</v>
      </c>
      <c r="D355" s="6" t="str">
        <f ca="1">IFERROR(__xludf.DUMMYFUNCTION("""COMPUTED_VALUE"""),"Yes")</f>
        <v>Yes</v>
      </c>
      <c r="E355" s="6" t="str">
        <f ca="1">IFERROR(__xludf.DUMMYFUNCTION("""COMPUTED_VALUE"""),"Parked")</f>
        <v>Parked</v>
      </c>
    </row>
    <row r="356" spans="1:5">
      <c r="A356" s="6" t="str">
        <f ca="1">IFERROR(__xludf.DUMMYFUNCTION("""COMPUTED_VALUE"""),"Qualification")</f>
        <v>Qualification</v>
      </c>
      <c r="B356" s="6">
        <f ca="1">IFERROR(__xludf.DUMMYFUNCTION("""COMPUTED_VALUE"""),31)</f>
        <v>31</v>
      </c>
      <c r="C356" s="6">
        <f ca="1">IFERROR(__xludf.DUMMYFUNCTION("""COMPUTED_VALUE"""),4009)</f>
        <v>4009</v>
      </c>
      <c r="D356" s="6" t="str">
        <f ca="1">IFERROR(__xludf.DUMMYFUNCTION("""COMPUTED_VALUE"""),"Yes")</f>
        <v>Yes</v>
      </c>
      <c r="E356" s="6" t="str">
        <f ca="1">IFERROR(__xludf.DUMMYFUNCTION("""COMPUTED_VALUE"""),"Parked")</f>
        <v>Parked</v>
      </c>
    </row>
    <row r="357" spans="1:5">
      <c r="A357" s="6" t="str">
        <f ca="1">IFERROR(__xludf.DUMMYFUNCTION("""COMPUTED_VALUE"""),"Qualification")</f>
        <v>Qualification</v>
      </c>
      <c r="B357" s="6">
        <f ca="1">IFERROR(__xludf.DUMMYFUNCTION("""COMPUTED_VALUE"""),32)</f>
        <v>32</v>
      </c>
      <c r="C357" s="6">
        <f ca="1">IFERROR(__xludf.DUMMYFUNCTION("""COMPUTED_VALUE"""),5253)</f>
        <v>5253</v>
      </c>
      <c r="D357" s="6" t="str">
        <f ca="1">IFERROR(__xludf.DUMMYFUNCTION("""COMPUTED_VALUE"""),"No")</f>
        <v>No</v>
      </c>
      <c r="E357" s="6" t="str">
        <f ca="1">IFERROR(__xludf.DUMMYFUNCTION("""COMPUTED_VALUE"""),"None")</f>
        <v>None</v>
      </c>
    </row>
    <row r="358" spans="1:5">
      <c r="A358" s="6" t="str">
        <f ca="1">IFERROR(__xludf.DUMMYFUNCTION("""COMPUTED_VALUE"""),"Qualification")</f>
        <v>Qualification</v>
      </c>
      <c r="B358" s="6">
        <f ca="1">IFERROR(__xludf.DUMMYFUNCTION("""COMPUTED_VALUE"""),33)</f>
        <v>33</v>
      </c>
      <c r="C358" s="6">
        <f ca="1">IFERROR(__xludf.DUMMYFUNCTION("""COMPUTED_VALUE"""),4360)</f>
        <v>4360</v>
      </c>
      <c r="D358" s="6" t="str">
        <f ca="1">IFERROR(__xludf.DUMMYFUNCTION("""COMPUTED_VALUE"""),"Yes")</f>
        <v>Yes</v>
      </c>
      <c r="E358" s="6" t="str">
        <f ca="1">IFERROR(__xludf.DUMMYFUNCTION("""COMPUTED_VALUE"""),"Parked")</f>
        <v>Parked</v>
      </c>
    </row>
    <row r="359" spans="1:5">
      <c r="A359" s="6" t="str">
        <f ca="1">IFERROR(__xludf.DUMMYFUNCTION("""COMPUTED_VALUE"""),"Qualification")</f>
        <v>Qualification</v>
      </c>
      <c r="B359" s="6">
        <f ca="1">IFERROR(__xludf.DUMMYFUNCTION("""COMPUTED_VALUE"""),34)</f>
        <v>34</v>
      </c>
      <c r="C359" s="6">
        <f ca="1">IFERROR(__xludf.DUMMYFUNCTION("""COMPUTED_VALUE"""),6132)</f>
        <v>6132</v>
      </c>
      <c r="D359" s="6" t="str">
        <f ca="1">IFERROR(__xludf.DUMMYFUNCTION("""COMPUTED_VALUE"""),"Yes")</f>
        <v>Yes</v>
      </c>
      <c r="E359" s="6" t="str">
        <f ca="1">IFERROR(__xludf.DUMMYFUNCTION("""COMPUTED_VALUE"""),"DeepCage")</f>
        <v>DeepCage</v>
      </c>
    </row>
    <row r="360" spans="1:5">
      <c r="A360" s="6" t="str">
        <f ca="1">IFERROR(__xludf.DUMMYFUNCTION("""COMPUTED_VALUE"""),"Qualification")</f>
        <v>Qualification</v>
      </c>
      <c r="B360" s="6">
        <f ca="1">IFERROR(__xludf.DUMMYFUNCTION("""COMPUTED_VALUE"""),35)</f>
        <v>35</v>
      </c>
      <c r="C360" s="6">
        <f ca="1">IFERROR(__xludf.DUMMYFUNCTION("""COMPUTED_VALUE"""),2491)</f>
        <v>2491</v>
      </c>
      <c r="D360" s="6" t="str">
        <f ca="1">IFERROR(__xludf.DUMMYFUNCTION("""COMPUTED_VALUE"""),"Yes")</f>
        <v>Yes</v>
      </c>
      <c r="E360" s="6" t="str">
        <f ca="1">IFERROR(__xludf.DUMMYFUNCTION("""COMPUTED_VALUE"""),"Parked")</f>
        <v>Parked</v>
      </c>
    </row>
    <row r="361" spans="1:5">
      <c r="A361" s="6" t="str">
        <f ca="1">IFERROR(__xludf.DUMMYFUNCTION("""COMPUTED_VALUE"""),"Qualification")</f>
        <v>Qualification</v>
      </c>
      <c r="B361" s="6">
        <f ca="1">IFERROR(__xludf.DUMMYFUNCTION("""COMPUTED_VALUE"""),36)</f>
        <v>36</v>
      </c>
      <c r="C361" s="6">
        <f ca="1">IFERROR(__xludf.DUMMYFUNCTION("""COMPUTED_VALUE"""),4531)</f>
        <v>4531</v>
      </c>
      <c r="D361" s="6" t="str">
        <f ca="1">IFERROR(__xludf.DUMMYFUNCTION("""COMPUTED_VALUE"""),"Yes")</f>
        <v>Yes</v>
      </c>
      <c r="E361" s="6" t="str">
        <f ca="1">IFERROR(__xludf.DUMMYFUNCTION("""COMPUTED_VALUE"""),"None")</f>
        <v>None</v>
      </c>
    </row>
    <row r="362" spans="1:5">
      <c r="A362" s="6" t="str">
        <f ca="1">IFERROR(__xludf.DUMMYFUNCTION("""COMPUTED_VALUE"""),"Qualification")</f>
        <v>Qualification</v>
      </c>
      <c r="B362" s="6">
        <f ca="1">IFERROR(__xludf.DUMMYFUNCTION("""COMPUTED_VALUE"""),37)</f>
        <v>37</v>
      </c>
      <c r="C362" s="6">
        <f ca="1">IFERROR(__xludf.DUMMYFUNCTION("""COMPUTED_VALUE"""),1410)</f>
        <v>1410</v>
      </c>
      <c r="D362" s="6" t="str">
        <f ca="1">IFERROR(__xludf.DUMMYFUNCTION("""COMPUTED_VALUE"""),"Yes")</f>
        <v>Yes</v>
      </c>
      <c r="E362" s="6" t="str">
        <f ca="1">IFERROR(__xludf.DUMMYFUNCTION("""COMPUTED_VALUE"""),"Parked")</f>
        <v>Parked</v>
      </c>
    </row>
    <row r="363" spans="1:5">
      <c r="A363" s="6" t="str">
        <f ca="1">IFERROR(__xludf.DUMMYFUNCTION("""COMPUTED_VALUE"""),"Qualification")</f>
        <v>Qualification</v>
      </c>
      <c r="B363" s="6">
        <f ca="1">IFERROR(__xludf.DUMMYFUNCTION("""COMPUTED_VALUE"""),38)</f>
        <v>38</v>
      </c>
      <c r="C363" s="6">
        <f ca="1">IFERROR(__xludf.DUMMYFUNCTION("""COMPUTED_VALUE"""),3054)</f>
        <v>3054</v>
      </c>
      <c r="D363" s="6" t="str">
        <f ca="1">IFERROR(__xludf.DUMMYFUNCTION("""COMPUTED_VALUE"""),"Yes")</f>
        <v>Yes</v>
      </c>
      <c r="E363" s="6" t="str">
        <f ca="1">IFERROR(__xludf.DUMMYFUNCTION("""COMPUTED_VALUE"""),"Parked")</f>
        <v>Parked</v>
      </c>
    </row>
    <row r="364" spans="1:5">
      <c r="A364" s="6" t="str">
        <f ca="1">IFERROR(__xludf.DUMMYFUNCTION("""COMPUTED_VALUE"""),"Qualification")</f>
        <v>Qualification</v>
      </c>
      <c r="B364" s="6">
        <f ca="1">IFERROR(__xludf.DUMMYFUNCTION("""COMPUTED_VALUE"""),39)</f>
        <v>39</v>
      </c>
      <c r="C364" s="6">
        <f ca="1">IFERROR(__xludf.DUMMYFUNCTION("""COMPUTED_VALUE"""),7021)</f>
        <v>7021</v>
      </c>
      <c r="D364" s="6" t="str">
        <f ca="1">IFERROR(__xludf.DUMMYFUNCTION("""COMPUTED_VALUE"""),"Yes")</f>
        <v>Yes</v>
      </c>
      <c r="E364" s="6" t="str">
        <f ca="1">IFERROR(__xludf.DUMMYFUNCTION("""COMPUTED_VALUE"""),"Parked")</f>
        <v>Parked</v>
      </c>
    </row>
    <row r="365" spans="1:5">
      <c r="A365" s="6" t="str">
        <f ca="1">IFERROR(__xludf.DUMMYFUNCTION("""COMPUTED_VALUE"""),"Qualification")</f>
        <v>Qualification</v>
      </c>
      <c r="B365" s="6">
        <f ca="1">IFERROR(__xludf.DUMMYFUNCTION("""COMPUTED_VALUE"""),40)</f>
        <v>40</v>
      </c>
      <c r="C365" s="6">
        <f ca="1">IFERROR(__xludf.DUMMYFUNCTION("""COMPUTED_VALUE"""),5232)</f>
        <v>5232</v>
      </c>
      <c r="D365" s="6" t="str">
        <f ca="1">IFERROR(__xludf.DUMMYFUNCTION("""COMPUTED_VALUE"""),"Yes")</f>
        <v>Yes</v>
      </c>
      <c r="E365" s="6" t="str">
        <f ca="1">IFERROR(__xludf.DUMMYFUNCTION("""COMPUTED_VALUE"""),"Parked")</f>
        <v>Parked</v>
      </c>
    </row>
    <row r="366" spans="1:5">
      <c r="A366" s="6" t="str">
        <f ca="1">IFERROR(__xludf.DUMMYFUNCTION("""COMPUTED_VALUE"""),"Qualification")</f>
        <v>Qualification</v>
      </c>
      <c r="B366" s="6">
        <f ca="1">IFERROR(__xludf.DUMMYFUNCTION("""COMPUTED_VALUE"""),41)</f>
        <v>41</v>
      </c>
      <c r="C366" s="6">
        <f ca="1">IFERROR(__xludf.DUMMYFUNCTION("""COMPUTED_VALUE"""),3061)</f>
        <v>3061</v>
      </c>
      <c r="D366" s="6" t="str">
        <f ca="1">IFERROR(__xludf.DUMMYFUNCTION("""COMPUTED_VALUE"""),"Yes")</f>
        <v>Yes</v>
      </c>
      <c r="E366" s="6" t="str">
        <f ca="1">IFERROR(__xludf.DUMMYFUNCTION("""COMPUTED_VALUE"""),"None")</f>
        <v>None</v>
      </c>
    </row>
    <row r="367" spans="1:5">
      <c r="A367" s="6" t="str">
        <f ca="1">IFERROR(__xludf.DUMMYFUNCTION("""COMPUTED_VALUE"""),"Qualification")</f>
        <v>Qualification</v>
      </c>
      <c r="B367" s="6">
        <f ca="1">IFERROR(__xludf.DUMMYFUNCTION("""COMPUTED_VALUE"""),42)</f>
        <v>42</v>
      </c>
      <c r="C367" s="6">
        <f ca="1">IFERROR(__xludf.DUMMYFUNCTION("""COMPUTED_VALUE"""),3042)</f>
        <v>3042</v>
      </c>
      <c r="D367" s="6" t="str">
        <f ca="1">IFERROR(__xludf.DUMMYFUNCTION("""COMPUTED_VALUE"""),"No")</f>
        <v>No</v>
      </c>
      <c r="E367" s="6" t="str">
        <f ca="1">IFERROR(__xludf.DUMMYFUNCTION("""COMPUTED_VALUE"""),"Parked")</f>
        <v>Parked</v>
      </c>
    </row>
    <row r="368" spans="1:5">
      <c r="A368" s="6" t="str">
        <f ca="1">IFERROR(__xludf.DUMMYFUNCTION("""COMPUTED_VALUE"""),"Qualification")</f>
        <v>Qualification</v>
      </c>
      <c r="B368" s="6">
        <f ca="1">IFERROR(__xludf.DUMMYFUNCTION("""COMPUTED_VALUE"""),43)</f>
        <v>43</v>
      </c>
      <c r="C368" s="6">
        <f ca="1">IFERROR(__xludf.DUMMYFUNCTION("""COMPUTED_VALUE"""),6758)</f>
        <v>6758</v>
      </c>
      <c r="D368" s="6" t="str">
        <f ca="1">IFERROR(__xludf.DUMMYFUNCTION("""COMPUTED_VALUE"""),"Yes")</f>
        <v>Yes</v>
      </c>
      <c r="E368" s="6" t="str">
        <f ca="1">IFERROR(__xludf.DUMMYFUNCTION("""COMPUTED_VALUE"""),"DeepCage")</f>
        <v>DeepCage</v>
      </c>
    </row>
    <row r="369" spans="1:5">
      <c r="A369" s="6" t="str">
        <f ca="1">IFERROR(__xludf.DUMMYFUNCTION("""COMPUTED_VALUE"""),"Qualification")</f>
        <v>Qualification</v>
      </c>
      <c r="B369" s="6">
        <f ca="1">IFERROR(__xludf.DUMMYFUNCTION("""COMPUTED_VALUE"""),44)</f>
        <v>44</v>
      </c>
      <c r="C369" s="6">
        <f ca="1">IFERROR(__xludf.DUMMYFUNCTION("""COMPUTED_VALUE"""),6132)</f>
        <v>6132</v>
      </c>
      <c r="D369" s="6" t="str">
        <f ca="1">IFERROR(__xludf.DUMMYFUNCTION("""COMPUTED_VALUE"""),"Yes")</f>
        <v>Yes</v>
      </c>
      <c r="E369" s="6" t="str">
        <f ca="1">IFERROR(__xludf.DUMMYFUNCTION("""COMPUTED_VALUE"""),"Parked")</f>
        <v>Parked</v>
      </c>
    </row>
    <row r="370" spans="1:5">
      <c r="A370" s="6" t="str">
        <f ca="1">IFERROR(__xludf.DUMMYFUNCTION("""COMPUTED_VALUE"""),"Qualification")</f>
        <v>Qualification</v>
      </c>
      <c r="B370" s="6">
        <f ca="1">IFERROR(__xludf.DUMMYFUNCTION("""COMPUTED_VALUE"""),45)</f>
        <v>45</v>
      </c>
      <c r="C370" s="6">
        <f ca="1">IFERROR(__xludf.DUMMYFUNCTION("""COMPUTED_VALUE"""),6047)</f>
        <v>6047</v>
      </c>
      <c r="D370" s="6" t="str">
        <f ca="1">IFERROR(__xludf.DUMMYFUNCTION("""COMPUTED_VALUE"""),"Yes")</f>
        <v>Yes</v>
      </c>
      <c r="E370" s="6" t="str">
        <f ca="1">IFERROR(__xludf.DUMMYFUNCTION("""COMPUTED_VALUE"""),"Parked")</f>
        <v>Parked</v>
      </c>
    </row>
    <row r="371" spans="1:5">
      <c r="A371" s="6" t="str">
        <f ca="1">IFERROR(__xludf.DUMMYFUNCTION("""COMPUTED_VALUE"""),"Qualification")</f>
        <v>Qualification</v>
      </c>
      <c r="B371" s="6">
        <f ca="1">IFERROR(__xludf.DUMMYFUNCTION("""COMPUTED_VALUE"""),46)</f>
        <v>46</v>
      </c>
      <c r="C371" s="6">
        <f ca="1">IFERROR(__xludf.DUMMYFUNCTION("""COMPUTED_VALUE"""),5690)</f>
        <v>5690</v>
      </c>
      <c r="D371" s="6" t="str">
        <f ca="1">IFERROR(__xludf.DUMMYFUNCTION("""COMPUTED_VALUE"""),"Yes")</f>
        <v>Yes</v>
      </c>
      <c r="E371" s="6" t="str">
        <f ca="1">IFERROR(__xludf.DUMMYFUNCTION("""COMPUTED_VALUE"""),"None")</f>
        <v>None</v>
      </c>
    </row>
    <row r="372" spans="1:5">
      <c r="A372" s="6" t="str">
        <f ca="1">IFERROR(__xludf.DUMMYFUNCTION("""COMPUTED_VALUE"""),"Qualification")</f>
        <v>Qualification</v>
      </c>
      <c r="B372" s="6">
        <f ca="1">IFERROR(__xludf.DUMMYFUNCTION("""COMPUTED_VALUE"""),47)</f>
        <v>47</v>
      </c>
      <c r="C372" s="6">
        <f ca="1">IFERROR(__xludf.DUMMYFUNCTION("""COMPUTED_VALUE"""),4009)</f>
        <v>4009</v>
      </c>
      <c r="D372" s="6" t="str">
        <f ca="1">IFERROR(__xludf.DUMMYFUNCTION("""COMPUTED_VALUE"""),"Yes")</f>
        <v>Yes</v>
      </c>
      <c r="E372" s="6" t="str">
        <f ca="1">IFERROR(__xludf.DUMMYFUNCTION("""COMPUTED_VALUE"""),"DeepCage")</f>
        <v>DeepCage</v>
      </c>
    </row>
    <row r="373" spans="1:5">
      <c r="A373" s="6" t="str">
        <f ca="1">IFERROR(__xludf.DUMMYFUNCTION("""COMPUTED_VALUE"""),"Qualification")</f>
        <v>Qualification</v>
      </c>
      <c r="B373" s="6">
        <f ca="1">IFERROR(__xludf.DUMMYFUNCTION("""COMPUTED_VALUE"""),48)</f>
        <v>48</v>
      </c>
      <c r="C373" s="6">
        <f ca="1">IFERROR(__xludf.DUMMYFUNCTION("""COMPUTED_VALUE"""),5253)</f>
        <v>5253</v>
      </c>
      <c r="D373" s="6" t="str">
        <f ca="1">IFERROR(__xludf.DUMMYFUNCTION("""COMPUTED_VALUE"""),"Yes")</f>
        <v>Yes</v>
      </c>
      <c r="E373" s="6" t="str">
        <f ca="1">IFERROR(__xludf.DUMMYFUNCTION("""COMPUTED_VALUE"""),"None")</f>
        <v>None</v>
      </c>
    </row>
    <row r="374" spans="1:5">
      <c r="A374" s="6" t="str">
        <f ca="1">IFERROR(__xludf.DUMMYFUNCTION("""COMPUTED_VALUE"""),"Qualification")</f>
        <v>Qualification</v>
      </c>
      <c r="B374" s="6">
        <f ca="1">IFERROR(__xludf.DUMMYFUNCTION("""COMPUTED_VALUE"""),49)</f>
        <v>49</v>
      </c>
      <c r="C374" s="6">
        <f ca="1">IFERROR(__xludf.DUMMYFUNCTION("""COMPUTED_VALUE"""),2239)</f>
        <v>2239</v>
      </c>
      <c r="D374" s="6" t="str">
        <f ca="1">IFERROR(__xludf.DUMMYFUNCTION("""COMPUTED_VALUE"""),"Yes")</f>
        <v>Yes</v>
      </c>
      <c r="E374" s="6" t="str">
        <f ca="1">IFERROR(__xludf.DUMMYFUNCTION("""COMPUTED_VALUE"""),"Parked")</f>
        <v>Parked</v>
      </c>
    </row>
    <row r="375" spans="1:5">
      <c r="A375" s="6" t="str">
        <f ca="1">IFERROR(__xludf.DUMMYFUNCTION("""COMPUTED_VALUE"""),"Qualification")</f>
        <v>Qualification</v>
      </c>
      <c r="B375" s="6">
        <f ca="1">IFERROR(__xludf.DUMMYFUNCTION("""COMPUTED_VALUE"""),50)</f>
        <v>50</v>
      </c>
      <c r="C375" s="6">
        <f ca="1">IFERROR(__xludf.DUMMYFUNCTION("""COMPUTED_VALUE"""),2512)</f>
        <v>2512</v>
      </c>
      <c r="D375" s="6" t="str">
        <f ca="1">IFERROR(__xludf.DUMMYFUNCTION("""COMPUTED_VALUE"""),"No")</f>
        <v>No</v>
      </c>
      <c r="E375" s="6" t="str">
        <f ca="1">IFERROR(__xludf.DUMMYFUNCTION("""COMPUTED_VALUE"""),"None")</f>
        <v>None</v>
      </c>
    </row>
    <row r="376" spans="1:5">
      <c r="A376" s="6" t="str">
        <f ca="1">IFERROR(__xludf.DUMMYFUNCTION("""COMPUTED_VALUE"""),"Qualification")</f>
        <v>Qualification</v>
      </c>
      <c r="B376" s="6">
        <f ca="1">IFERROR(__xludf.DUMMYFUNCTION("""COMPUTED_VALUE"""),51)</f>
        <v>51</v>
      </c>
      <c r="C376" s="6">
        <f ca="1">IFERROR(__xludf.DUMMYFUNCTION("""COMPUTED_VALUE"""),3212)</f>
        <v>3212</v>
      </c>
      <c r="D376" s="6" t="str">
        <f ca="1">IFERROR(__xludf.DUMMYFUNCTION("""COMPUTED_VALUE"""),"Yes")</f>
        <v>Yes</v>
      </c>
      <c r="E376" s="6" t="str">
        <f ca="1">IFERROR(__xludf.DUMMYFUNCTION("""COMPUTED_VALUE"""),"None")</f>
        <v>None</v>
      </c>
    </row>
    <row r="377" spans="1:5">
      <c r="A377" s="6" t="str">
        <f ca="1">IFERROR(__xludf.DUMMYFUNCTION("""COMPUTED_VALUE"""),"Qualification")</f>
        <v>Qualification</v>
      </c>
      <c r="B377" s="6">
        <f ca="1">IFERROR(__xludf.DUMMYFUNCTION("""COMPUTED_VALUE"""),52)</f>
        <v>52</v>
      </c>
      <c r="C377" s="6">
        <f ca="1">IFERROR(__xludf.DUMMYFUNCTION("""COMPUTED_VALUE"""),3691)</f>
        <v>3691</v>
      </c>
      <c r="D377" s="6" t="str">
        <f ca="1">IFERROR(__xludf.DUMMYFUNCTION("""COMPUTED_VALUE"""),"No")</f>
        <v>No</v>
      </c>
      <c r="E377" s="6" t="str">
        <f ca="1">IFERROR(__xludf.DUMMYFUNCTION("""COMPUTED_VALUE"""),"None")</f>
        <v>None</v>
      </c>
    </row>
    <row r="378" spans="1:5">
      <c r="A378" s="6" t="str">
        <f ca="1">IFERROR(__xludf.DUMMYFUNCTION("""COMPUTED_VALUE"""),"Qualification")</f>
        <v>Qualification</v>
      </c>
      <c r="B378" s="6">
        <f ca="1">IFERROR(__xludf.DUMMYFUNCTION("""COMPUTED_VALUE"""),53)</f>
        <v>53</v>
      </c>
      <c r="C378" s="6">
        <f ca="1">IFERROR(__xludf.DUMMYFUNCTION("""COMPUTED_VALUE"""),4230)</f>
        <v>4230</v>
      </c>
      <c r="D378" s="6" t="str">
        <f ca="1">IFERROR(__xludf.DUMMYFUNCTION("""COMPUTED_VALUE"""),"Yes")</f>
        <v>Yes</v>
      </c>
      <c r="E378" s="6" t="str">
        <f ca="1">IFERROR(__xludf.DUMMYFUNCTION("""COMPUTED_VALUE"""),"Parked")</f>
        <v>Parked</v>
      </c>
    </row>
    <row r="379" spans="1:5">
      <c r="A379" s="6" t="str">
        <f ca="1">IFERROR(__xludf.DUMMYFUNCTION("""COMPUTED_VALUE"""),"Qualification")</f>
        <v>Qualification</v>
      </c>
      <c r="B379" s="6">
        <f ca="1">IFERROR(__xludf.DUMMYFUNCTION("""COMPUTED_VALUE"""),54)</f>
        <v>54</v>
      </c>
      <c r="C379" s="6">
        <f ca="1">IFERROR(__xludf.DUMMYFUNCTION("""COMPUTED_VALUE"""),5339)</f>
        <v>5339</v>
      </c>
      <c r="D379" s="6" t="str">
        <f ca="1">IFERROR(__xludf.DUMMYFUNCTION("""COMPUTED_VALUE"""),"Yes")</f>
        <v>Yes</v>
      </c>
      <c r="E379" s="6" t="str">
        <f ca="1">IFERROR(__xludf.DUMMYFUNCTION("""COMPUTED_VALUE"""),"None")</f>
        <v>None</v>
      </c>
    </row>
    <row r="380" spans="1:5">
      <c r="A380" s="6" t="str">
        <f ca="1">IFERROR(__xludf.DUMMYFUNCTION("""COMPUTED_VALUE"""),"Qualification")</f>
        <v>Qualification</v>
      </c>
      <c r="B380" s="6">
        <f ca="1">IFERROR(__xludf.DUMMYFUNCTION("""COMPUTED_VALUE"""),55)</f>
        <v>55</v>
      </c>
      <c r="C380" s="6">
        <f ca="1">IFERROR(__xludf.DUMMYFUNCTION("""COMPUTED_VALUE"""),2531)</f>
        <v>2531</v>
      </c>
      <c r="D380" s="6" t="str">
        <f ca="1">IFERROR(__xludf.DUMMYFUNCTION("""COMPUTED_VALUE"""),"Yes")</f>
        <v>Yes</v>
      </c>
      <c r="E380" s="6" t="str">
        <f ca="1">IFERROR(__xludf.DUMMYFUNCTION("""COMPUTED_VALUE"""),"Parked")</f>
        <v>Parked</v>
      </c>
    </row>
    <row r="381" spans="1:5">
      <c r="A381" s="6" t="str">
        <f ca="1">IFERROR(__xludf.DUMMYFUNCTION("""COMPUTED_VALUE"""),"Qualification")</f>
        <v>Qualification</v>
      </c>
      <c r="B381" s="6">
        <f ca="1">IFERROR(__xludf.DUMMYFUNCTION("""COMPUTED_VALUE"""),56)</f>
        <v>56</v>
      </c>
      <c r="C381" s="6">
        <f ca="1">IFERROR(__xludf.DUMMYFUNCTION("""COMPUTED_VALUE"""),4360)</f>
        <v>4360</v>
      </c>
      <c r="D381" s="6" t="str">
        <f ca="1">IFERROR(__xludf.DUMMYFUNCTION("""COMPUTED_VALUE"""),"Yes")</f>
        <v>Yes</v>
      </c>
      <c r="E381" s="6" t="str">
        <f ca="1">IFERROR(__xludf.DUMMYFUNCTION("""COMPUTED_VALUE"""),"None")</f>
        <v>None</v>
      </c>
    </row>
    <row r="382" spans="1:5">
      <c r="A382" s="6" t="str">
        <f ca="1">IFERROR(__xludf.DUMMYFUNCTION("""COMPUTED_VALUE"""),"Qualification")</f>
        <v>Qualification</v>
      </c>
      <c r="B382" s="6">
        <f ca="1">IFERROR(__xludf.DUMMYFUNCTION("""COMPUTED_VALUE"""),57)</f>
        <v>57</v>
      </c>
      <c r="C382" s="6">
        <f ca="1">IFERROR(__xludf.DUMMYFUNCTION("""COMPUTED_VALUE"""),2512)</f>
        <v>2512</v>
      </c>
      <c r="D382" s="6" t="str">
        <f ca="1">IFERROR(__xludf.DUMMYFUNCTION("""COMPUTED_VALUE"""),"Yes")</f>
        <v>Yes</v>
      </c>
      <c r="E382" s="6" t="str">
        <f ca="1">IFERROR(__xludf.DUMMYFUNCTION("""COMPUTED_VALUE"""),"None")</f>
        <v>None</v>
      </c>
    </row>
    <row r="383" spans="1:5">
      <c r="A383" s="6" t="str">
        <f ca="1">IFERROR(__xludf.DUMMYFUNCTION("""COMPUTED_VALUE"""),"Qualification")</f>
        <v>Qualification</v>
      </c>
      <c r="B383" s="6">
        <f ca="1">IFERROR(__xludf.DUMMYFUNCTION("""COMPUTED_VALUE"""),58)</f>
        <v>58</v>
      </c>
      <c r="C383" s="6">
        <f ca="1">IFERROR(__xludf.DUMMYFUNCTION("""COMPUTED_VALUE"""),6420)</f>
        <v>6420</v>
      </c>
      <c r="D383" s="6" t="str">
        <f ca="1">IFERROR(__xludf.DUMMYFUNCTION("""COMPUTED_VALUE"""),"Yes")</f>
        <v>Yes</v>
      </c>
      <c r="E383" s="6" t="str">
        <f ca="1">IFERROR(__xludf.DUMMYFUNCTION("""COMPUTED_VALUE"""),"DeepCage")</f>
        <v>DeepCage</v>
      </c>
    </row>
    <row r="384" spans="1:5">
      <c r="A384" s="6" t="str">
        <f ca="1">IFERROR(__xludf.DUMMYFUNCTION("""COMPUTED_VALUE"""),"Qualification")</f>
        <v>Qualification</v>
      </c>
      <c r="B384" s="6">
        <f ca="1">IFERROR(__xludf.DUMMYFUNCTION("""COMPUTED_VALUE"""),59)</f>
        <v>59</v>
      </c>
      <c r="C384" s="6">
        <f ca="1">IFERROR(__xludf.DUMMYFUNCTION("""COMPUTED_VALUE"""),2513)</f>
        <v>2513</v>
      </c>
      <c r="D384" s="6" t="str">
        <f ca="1">IFERROR(__xludf.DUMMYFUNCTION("""COMPUTED_VALUE"""),"Yes")</f>
        <v>Yes</v>
      </c>
      <c r="E384" s="6" t="str">
        <f ca="1">IFERROR(__xludf.DUMMYFUNCTION("""COMPUTED_VALUE"""),"Parked")</f>
        <v>Parked</v>
      </c>
    </row>
    <row r="385" spans="1:5">
      <c r="A385" s="6" t="str">
        <f ca="1">IFERROR(__xludf.DUMMYFUNCTION("""COMPUTED_VALUE"""),"Qualification")</f>
        <v>Qualification</v>
      </c>
      <c r="B385" s="6">
        <f ca="1">IFERROR(__xludf.DUMMYFUNCTION("""COMPUTED_VALUE"""),60)</f>
        <v>60</v>
      </c>
      <c r="C385" s="6">
        <f ca="1">IFERROR(__xludf.DUMMYFUNCTION("""COMPUTED_VALUE"""),7048)</f>
        <v>7048</v>
      </c>
      <c r="D385" s="6" t="str">
        <f ca="1">IFERROR(__xludf.DUMMYFUNCTION("""COMPUTED_VALUE"""),"Yes")</f>
        <v>Yes</v>
      </c>
      <c r="E385" s="6" t="str">
        <f ca="1">IFERROR(__xludf.DUMMYFUNCTION("""COMPUTED_VALUE"""),"DeepCage")</f>
        <v>DeepCage</v>
      </c>
    </row>
    <row r="386" spans="1:5">
      <c r="A386" s="6" t="str">
        <f ca="1">IFERROR(__xludf.DUMMYFUNCTION("""COMPUTED_VALUE"""),"Qualification")</f>
        <v>Qualification</v>
      </c>
      <c r="B386" s="6">
        <f ca="1">IFERROR(__xludf.DUMMYFUNCTION("""COMPUTED_VALUE"""),61)</f>
        <v>61</v>
      </c>
      <c r="C386" s="6">
        <f ca="1">IFERROR(__xludf.DUMMYFUNCTION("""COMPUTED_VALUE"""),525)</f>
        <v>525</v>
      </c>
      <c r="D386" s="6" t="str">
        <f ca="1">IFERROR(__xludf.DUMMYFUNCTION("""COMPUTED_VALUE"""),"Yes")</f>
        <v>Yes</v>
      </c>
      <c r="E386" s="6" t="str">
        <f ca="1">IFERROR(__xludf.DUMMYFUNCTION("""COMPUTED_VALUE"""),"None")</f>
        <v>None</v>
      </c>
    </row>
    <row r="387" spans="1:5">
      <c r="A387" s="6" t="str">
        <f ca="1">IFERROR(__xludf.DUMMYFUNCTION("""COMPUTED_VALUE"""),"Qualification")</f>
        <v>Qualification</v>
      </c>
      <c r="B387" s="6">
        <f ca="1">IFERROR(__xludf.DUMMYFUNCTION("""COMPUTED_VALUE"""),62)</f>
        <v>62</v>
      </c>
      <c r="C387" s="6">
        <f ca="1">IFERROR(__xludf.DUMMYFUNCTION("""COMPUTED_VALUE"""),2383)</f>
        <v>2383</v>
      </c>
      <c r="D387" s="6" t="str">
        <f ca="1">IFERROR(__xludf.DUMMYFUNCTION("""COMPUTED_VALUE"""),"Yes")</f>
        <v>Yes</v>
      </c>
      <c r="E387" s="6" t="str">
        <f ca="1">IFERROR(__xludf.DUMMYFUNCTION("""COMPUTED_VALUE"""),"DeepCage")</f>
        <v>DeepCage</v>
      </c>
    </row>
    <row r="388" spans="1:5">
      <c r="A388" s="6" t="str">
        <f ca="1">IFERROR(__xludf.DUMMYFUNCTION("""COMPUTED_VALUE"""),"Qualification")</f>
        <v>Qualification</v>
      </c>
      <c r="B388" s="6">
        <f ca="1">IFERROR(__xludf.DUMMYFUNCTION("""COMPUTED_VALUE"""),63)</f>
        <v>63</v>
      </c>
      <c r="C388" s="6">
        <f ca="1">IFERROR(__xludf.DUMMYFUNCTION("""COMPUTED_VALUE"""),7041)</f>
        <v>7041</v>
      </c>
      <c r="D388" s="6" t="str">
        <f ca="1">IFERROR(__xludf.DUMMYFUNCTION("""COMPUTED_VALUE"""),"Yes")</f>
        <v>Yes</v>
      </c>
      <c r="E388" s="6" t="str">
        <f ca="1">IFERROR(__xludf.DUMMYFUNCTION("""COMPUTED_VALUE"""),"ShallowCage")</f>
        <v>ShallowCage</v>
      </c>
    </row>
    <row r="389" spans="1:5">
      <c r="A389" s="6" t="str">
        <f ca="1">IFERROR(__xludf.DUMMYFUNCTION("""COMPUTED_VALUE"""),"Qualification")</f>
        <v>Qualification</v>
      </c>
      <c r="B389" s="6">
        <f ca="1">IFERROR(__xludf.DUMMYFUNCTION("""COMPUTED_VALUE"""),64)</f>
        <v>64</v>
      </c>
      <c r="C389" s="6">
        <f ca="1">IFERROR(__xludf.DUMMYFUNCTION("""COMPUTED_VALUE"""),7021)</f>
        <v>7021</v>
      </c>
      <c r="D389" s="6" t="str">
        <f ca="1">IFERROR(__xludf.DUMMYFUNCTION("""COMPUTED_VALUE"""),"Yes")</f>
        <v>Yes</v>
      </c>
      <c r="E389" s="6" t="str">
        <f ca="1">IFERROR(__xludf.DUMMYFUNCTION("""COMPUTED_VALUE"""),"None")</f>
        <v>None</v>
      </c>
    </row>
    <row r="390" spans="1:5">
      <c r="A390" s="6" t="str">
        <f ca="1">IFERROR(__xludf.DUMMYFUNCTION("""COMPUTED_VALUE"""),"Qualification")</f>
        <v>Qualification</v>
      </c>
      <c r="B390" s="6">
        <f ca="1">IFERROR(__xludf.DUMMYFUNCTION("""COMPUTED_VALUE"""),65)</f>
        <v>65</v>
      </c>
      <c r="C390" s="6">
        <f ca="1">IFERROR(__xludf.DUMMYFUNCTION("""COMPUTED_VALUE"""),111)</f>
        <v>111</v>
      </c>
      <c r="D390" s="6" t="str">
        <f ca="1">IFERROR(__xludf.DUMMYFUNCTION("""COMPUTED_VALUE"""),"Yes")</f>
        <v>Yes</v>
      </c>
      <c r="E390" s="6" t="str">
        <f ca="1">IFERROR(__xludf.DUMMYFUNCTION("""COMPUTED_VALUE"""),"DeepCage")</f>
        <v>DeepCage</v>
      </c>
    </row>
    <row r="391" spans="1:5">
      <c r="A391" s="6" t="str">
        <f ca="1">IFERROR(__xludf.DUMMYFUNCTION("""COMPUTED_VALUE"""),"Qualification")</f>
        <v>Qualification</v>
      </c>
      <c r="B391" s="6">
        <f ca="1">IFERROR(__xludf.DUMMYFUNCTION("""COMPUTED_VALUE"""),66)</f>
        <v>66</v>
      </c>
      <c r="C391" s="6">
        <f ca="1">IFERROR(__xludf.DUMMYFUNCTION("""COMPUTED_VALUE"""),1716)</f>
        <v>1716</v>
      </c>
      <c r="D391" s="6" t="str">
        <f ca="1">IFERROR(__xludf.DUMMYFUNCTION("""COMPUTED_VALUE"""),"Yes")</f>
        <v>Yes</v>
      </c>
      <c r="E391" s="6" t="str">
        <f ca="1">IFERROR(__xludf.DUMMYFUNCTION("""COMPUTED_VALUE"""),"Parked")</f>
        <v>Parked</v>
      </c>
    </row>
    <row r="392" spans="1:5">
      <c r="A392" s="6" t="str">
        <f ca="1">IFERROR(__xludf.DUMMYFUNCTION("""COMPUTED_VALUE"""),"Qualification")</f>
        <v>Qualification</v>
      </c>
      <c r="B392" s="6">
        <f ca="1">IFERROR(__xludf.DUMMYFUNCTION("""COMPUTED_VALUE"""),67)</f>
        <v>67</v>
      </c>
      <c r="C392" s="6">
        <f ca="1">IFERROR(__xludf.DUMMYFUNCTION("""COMPUTED_VALUE"""),10474)</f>
        <v>10474</v>
      </c>
      <c r="D392" s="6" t="str">
        <f ca="1">IFERROR(__xludf.DUMMYFUNCTION("""COMPUTED_VALUE"""),"Yes")</f>
        <v>Yes</v>
      </c>
      <c r="E392" s="6" t="str">
        <f ca="1">IFERROR(__xludf.DUMMYFUNCTION("""COMPUTED_VALUE"""),"Parked")</f>
        <v>Parked</v>
      </c>
    </row>
    <row r="393" spans="1:5">
      <c r="A393" s="6" t="str">
        <f ca="1">IFERROR(__xludf.DUMMYFUNCTION("""COMPUTED_VALUE"""),"Qualification")</f>
        <v>Qualification</v>
      </c>
      <c r="B393" s="6">
        <f ca="1">IFERROR(__xludf.DUMMYFUNCTION("""COMPUTED_VALUE"""),68)</f>
        <v>68</v>
      </c>
      <c r="C393" s="6">
        <f ca="1">IFERROR(__xludf.DUMMYFUNCTION("""COMPUTED_VALUE"""),4166)</f>
        <v>4166</v>
      </c>
      <c r="D393" s="6" t="str">
        <f ca="1">IFERROR(__xludf.DUMMYFUNCTION("""COMPUTED_VALUE"""),"Yes")</f>
        <v>Yes</v>
      </c>
      <c r="E393" s="6" t="str">
        <f ca="1">IFERROR(__xludf.DUMMYFUNCTION("""COMPUTED_VALUE"""),"None")</f>
        <v>None</v>
      </c>
    </row>
    <row r="394" spans="1:5">
      <c r="A394" s="6" t="str">
        <f ca="1">IFERROR(__xludf.DUMMYFUNCTION("""COMPUTED_VALUE"""),"Qualification")</f>
        <v>Qualification</v>
      </c>
      <c r="B394" s="6">
        <f ca="1">IFERROR(__xludf.DUMMYFUNCTION("""COMPUTED_VALUE"""),69)</f>
        <v>69</v>
      </c>
      <c r="C394" s="6">
        <f ca="1">IFERROR(__xludf.DUMMYFUNCTION("""COMPUTED_VALUE"""),5913)</f>
        <v>5913</v>
      </c>
      <c r="D394" s="6" t="str">
        <f ca="1">IFERROR(__xludf.DUMMYFUNCTION("""COMPUTED_VALUE"""),"Yes")</f>
        <v>Yes</v>
      </c>
      <c r="E394" s="6" t="str">
        <f ca="1">IFERROR(__xludf.DUMMYFUNCTION("""COMPUTED_VALUE"""),"DeepCage")</f>
        <v>DeepCage</v>
      </c>
    </row>
    <row r="395" spans="1:5">
      <c r="A395" s="6" t="str">
        <f ca="1">IFERROR(__xludf.DUMMYFUNCTION("""COMPUTED_VALUE"""),"Qualification")</f>
        <v>Qualification</v>
      </c>
      <c r="B395" s="6">
        <f ca="1">IFERROR(__xludf.DUMMYFUNCTION("""COMPUTED_VALUE"""),70)</f>
        <v>70</v>
      </c>
      <c r="C395" s="6">
        <f ca="1">IFERROR(__xludf.DUMMYFUNCTION("""COMPUTED_VALUE"""),6047)</f>
        <v>6047</v>
      </c>
      <c r="D395" s="6" t="str">
        <f ca="1">IFERROR(__xludf.DUMMYFUNCTION("""COMPUTED_VALUE"""),"Yes")</f>
        <v>Yes</v>
      </c>
      <c r="E395" s="6" t="str">
        <f ca="1">IFERROR(__xludf.DUMMYFUNCTION("""COMPUTED_VALUE"""),"Parked")</f>
        <v>Parked</v>
      </c>
    </row>
    <row r="396" spans="1:5">
      <c r="A396" s="6" t="str">
        <f ca="1">IFERROR(__xludf.DUMMYFUNCTION("""COMPUTED_VALUE"""),"Qualification")</f>
        <v>Qualification</v>
      </c>
      <c r="B396" s="6">
        <f ca="1">IFERROR(__xludf.DUMMYFUNCTION("""COMPUTED_VALUE"""),71)</f>
        <v>71</v>
      </c>
      <c r="C396" s="6">
        <f ca="1">IFERROR(__xludf.DUMMYFUNCTION("""COMPUTED_VALUE"""),7041)</f>
        <v>7041</v>
      </c>
      <c r="D396" s="6" t="str">
        <f ca="1">IFERROR(__xludf.DUMMYFUNCTION("""COMPUTED_VALUE"""),"Yes")</f>
        <v>Yes</v>
      </c>
      <c r="E396" s="6" t="str">
        <f ca="1">IFERROR(__xludf.DUMMYFUNCTION("""COMPUTED_VALUE"""),"ShallowCage")</f>
        <v>ShallowCage</v>
      </c>
    </row>
    <row r="397" spans="1:5">
      <c r="A397" s="6" t="str">
        <f ca="1">IFERROR(__xludf.DUMMYFUNCTION("""COMPUTED_VALUE"""),"Qualification")</f>
        <v>Qualification</v>
      </c>
      <c r="B397" s="6">
        <f ca="1">IFERROR(__xludf.DUMMYFUNCTION("""COMPUTED_VALUE"""),72)</f>
        <v>72</v>
      </c>
      <c r="C397" s="6">
        <f ca="1">IFERROR(__xludf.DUMMYFUNCTION("""COMPUTED_VALUE"""),2977)</f>
        <v>2977</v>
      </c>
      <c r="D397" s="6" t="str">
        <f ca="1">IFERROR(__xludf.DUMMYFUNCTION("""COMPUTED_VALUE"""),"Yes")</f>
        <v>Yes</v>
      </c>
      <c r="E397" s="6" t="str">
        <f ca="1">IFERROR(__xludf.DUMMYFUNCTION("""COMPUTED_VALUE"""),"Parked")</f>
        <v>Parked</v>
      </c>
    </row>
    <row r="398" spans="1:5">
      <c r="A398" s="6" t="str">
        <f ca="1">IFERROR(__xludf.DUMMYFUNCTION("""COMPUTED_VALUE"""),"Qualification")</f>
        <v>Qualification</v>
      </c>
      <c r="B398" s="6">
        <f ca="1">IFERROR(__xludf.DUMMYFUNCTION("""COMPUTED_VALUE"""),73)</f>
        <v>73</v>
      </c>
      <c r="C398" s="6">
        <f ca="1">IFERROR(__xludf.DUMMYFUNCTION("""COMPUTED_VALUE"""),2472)</f>
        <v>2472</v>
      </c>
      <c r="D398" s="6" t="str">
        <f ca="1">IFERROR(__xludf.DUMMYFUNCTION("""COMPUTED_VALUE"""),"Yes")</f>
        <v>Yes</v>
      </c>
      <c r="E398" s="6" t="str">
        <f ca="1">IFERROR(__xludf.DUMMYFUNCTION("""COMPUTED_VALUE"""),"None")</f>
        <v>None</v>
      </c>
    </row>
    <row r="399" spans="1:5">
      <c r="A399" s="6" t="str">
        <f ca="1">IFERROR(__xludf.DUMMYFUNCTION("""COMPUTED_VALUE"""),"Qualification")</f>
        <v>Qualification</v>
      </c>
      <c r="B399" s="6">
        <f ca="1">IFERROR(__xludf.DUMMYFUNCTION("""COMPUTED_VALUE"""),74)</f>
        <v>74</v>
      </c>
      <c r="C399" s="6">
        <f ca="1">IFERROR(__xludf.DUMMYFUNCTION("""COMPUTED_VALUE"""),10474)</f>
        <v>10474</v>
      </c>
      <c r="D399" s="6" t="str">
        <f ca="1">IFERROR(__xludf.DUMMYFUNCTION("""COMPUTED_VALUE"""),"Yes")</f>
        <v>Yes</v>
      </c>
      <c r="E399" s="6" t="str">
        <f ca="1">IFERROR(__xludf.DUMMYFUNCTION("""COMPUTED_VALUE"""),"Parked")</f>
        <v>Parked</v>
      </c>
    </row>
    <row r="400" spans="1:5">
      <c r="A400" s="6" t="str">
        <f ca="1">IFERROR(__xludf.DUMMYFUNCTION("""COMPUTED_VALUE"""),"Qualification")</f>
        <v>Qualification</v>
      </c>
      <c r="B400" s="6">
        <f ca="1">IFERROR(__xludf.DUMMYFUNCTION("""COMPUTED_VALUE"""),75)</f>
        <v>75</v>
      </c>
      <c r="C400" s="6">
        <f ca="1">IFERROR(__xludf.DUMMYFUNCTION("""COMPUTED_VALUE"""),2450)</f>
        <v>2450</v>
      </c>
      <c r="D400" s="6" t="str">
        <f ca="1">IFERROR(__xludf.DUMMYFUNCTION("""COMPUTED_VALUE"""),"Yes")</f>
        <v>Yes</v>
      </c>
      <c r="E400" s="6" t="str">
        <f ca="1">IFERROR(__xludf.DUMMYFUNCTION("""COMPUTED_VALUE"""),"None")</f>
        <v>None</v>
      </c>
    </row>
    <row r="401" spans="1:5">
      <c r="A401" s="6" t="str">
        <f ca="1">IFERROR(__xludf.DUMMYFUNCTION("""COMPUTED_VALUE"""),"Qualification")</f>
        <v>Qualification</v>
      </c>
      <c r="B401" s="6">
        <f ca="1">IFERROR(__xludf.DUMMYFUNCTION("""COMPUTED_VALUE"""),76)</f>
        <v>76</v>
      </c>
      <c r="C401" s="6">
        <f ca="1">IFERROR(__xludf.DUMMYFUNCTION("""COMPUTED_VALUE"""),5913)</f>
        <v>5913</v>
      </c>
      <c r="D401" s="6" t="str">
        <f ca="1">IFERROR(__xludf.DUMMYFUNCTION("""COMPUTED_VALUE"""),"Yes")</f>
        <v>Yes</v>
      </c>
      <c r="E401" s="6" t="str">
        <f ca="1">IFERROR(__xludf.DUMMYFUNCTION("""COMPUTED_VALUE"""),"Parked")</f>
        <v>Parked</v>
      </c>
    </row>
    <row r="402" spans="1:5">
      <c r="A402" s="6" t="str">
        <f ca="1">IFERROR(__xludf.DUMMYFUNCTION("""COMPUTED_VALUE"""),"Qualification")</f>
        <v>Qualification</v>
      </c>
      <c r="B402" s="6">
        <f ca="1">IFERROR(__xludf.DUMMYFUNCTION("""COMPUTED_VALUE"""),77)</f>
        <v>77</v>
      </c>
      <c r="C402" s="6">
        <f ca="1">IFERROR(__xludf.DUMMYFUNCTION("""COMPUTED_VALUE"""),2501)</f>
        <v>2501</v>
      </c>
      <c r="D402" s="6" t="str">
        <f ca="1">IFERROR(__xludf.DUMMYFUNCTION("""COMPUTED_VALUE"""),"Yes")</f>
        <v>Yes</v>
      </c>
      <c r="E402" s="6" t="str">
        <f ca="1">IFERROR(__xludf.DUMMYFUNCTION("""COMPUTED_VALUE"""),"Parked")</f>
        <v>Parked</v>
      </c>
    </row>
    <row r="403" spans="1:5">
      <c r="A403" s="6" t="str">
        <f ca="1">IFERROR(__xludf.DUMMYFUNCTION("""COMPUTED_VALUE"""),"Qualification")</f>
        <v>Qualification</v>
      </c>
      <c r="B403" s="6">
        <f ca="1">IFERROR(__xludf.DUMMYFUNCTION("""COMPUTED_VALUE"""),78)</f>
        <v>78</v>
      </c>
      <c r="C403" s="6">
        <f ca="1">IFERROR(__xludf.DUMMYFUNCTION("""COMPUTED_VALUE"""),6132)</f>
        <v>6132</v>
      </c>
      <c r="D403" s="6" t="str">
        <f ca="1">IFERROR(__xludf.DUMMYFUNCTION("""COMPUTED_VALUE"""),"Yes")</f>
        <v>Yes</v>
      </c>
      <c r="E403" s="6" t="str">
        <f ca="1">IFERROR(__xludf.DUMMYFUNCTION("""COMPUTED_VALUE"""),"Parked")</f>
        <v>Parked</v>
      </c>
    </row>
    <row r="404" spans="1:5">
      <c r="A404" s="6" t="str">
        <f ca="1">IFERROR(__xludf.DUMMYFUNCTION("""COMPUTED_VALUE"""),"Qualification")</f>
        <v>Qualification</v>
      </c>
      <c r="B404" s="6">
        <f ca="1">IFERROR(__xludf.DUMMYFUNCTION("""COMPUTED_VALUE"""),79)</f>
        <v>79</v>
      </c>
      <c r="C404" s="6">
        <f ca="1">IFERROR(__xludf.DUMMYFUNCTION("""COMPUTED_VALUE"""),2239)</f>
        <v>2239</v>
      </c>
      <c r="D404" s="6" t="str">
        <f ca="1">IFERROR(__xludf.DUMMYFUNCTION("""COMPUTED_VALUE"""),"Yes")</f>
        <v>Yes</v>
      </c>
      <c r="E404" s="6" t="str">
        <f ca="1">IFERROR(__xludf.DUMMYFUNCTION("""COMPUTED_VALUE"""),"Parked")</f>
        <v>Parked</v>
      </c>
    </row>
    <row r="405" spans="1:5">
      <c r="A405" s="6" t="str">
        <f ca="1">IFERROR(__xludf.DUMMYFUNCTION("""COMPUTED_VALUE"""),"Qualification")</f>
        <v>Qualification</v>
      </c>
      <c r="B405" s="6">
        <f ca="1">IFERROR(__xludf.DUMMYFUNCTION("""COMPUTED_VALUE"""),80)</f>
        <v>80</v>
      </c>
      <c r="C405" s="6">
        <f ca="1">IFERROR(__xludf.DUMMYFUNCTION("""COMPUTED_VALUE"""),4623)</f>
        <v>4623</v>
      </c>
      <c r="D405" s="6" t="str">
        <f ca="1">IFERROR(__xludf.DUMMYFUNCTION("""COMPUTED_VALUE"""),"Yes")</f>
        <v>Yes</v>
      </c>
      <c r="E405" s="6" t="str">
        <f ca="1">IFERROR(__xludf.DUMMYFUNCTION("""COMPUTED_VALUE"""),"None")</f>
        <v>None</v>
      </c>
    </row>
    <row r="406" spans="1:5">
      <c r="A406" s="6" t="str">
        <f ca="1">IFERROR(__xludf.DUMMYFUNCTION("""COMPUTED_VALUE"""),"Qualification")</f>
        <v>Qualification</v>
      </c>
      <c r="B406" s="6">
        <f ca="1">IFERROR(__xludf.DUMMYFUNCTION("""COMPUTED_VALUE"""),81)</f>
        <v>81</v>
      </c>
      <c r="C406" s="6">
        <f ca="1">IFERROR(__xludf.DUMMYFUNCTION("""COMPUTED_VALUE"""),112)</f>
        <v>112</v>
      </c>
      <c r="D406" s="6" t="str">
        <f ca="1">IFERROR(__xludf.DUMMYFUNCTION("""COMPUTED_VALUE"""),"Yes")</f>
        <v>Yes</v>
      </c>
      <c r="E406" s="6" t="str">
        <f ca="1">IFERROR(__xludf.DUMMYFUNCTION("""COMPUTED_VALUE"""),"Parked")</f>
        <v>Parked</v>
      </c>
    </row>
    <row r="407" spans="1:5">
      <c r="A407" s="6" t="str">
        <f ca="1">IFERROR(__xludf.DUMMYFUNCTION("""COMPUTED_VALUE"""),"Qualification")</f>
        <v>Qualification</v>
      </c>
      <c r="B407" s="6">
        <f ca="1">IFERROR(__xludf.DUMMYFUNCTION("""COMPUTED_VALUE"""),1)</f>
        <v>1</v>
      </c>
      <c r="C407" s="6">
        <f ca="1">IFERROR(__xludf.DUMMYFUNCTION("""COMPUTED_VALUE"""),3212)</f>
        <v>3212</v>
      </c>
      <c r="D407" s="6" t="str">
        <f ca="1">IFERROR(__xludf.DUMMYFUNCTION("""COMPUTED_VALUE"""),"Yes")</f>
        <v>Yes</v>
      </c>
      <c r="E407" s="6" t="str">
        <f ca="1">IFERROR(__xludf.DUMMYFUNCTION("""COMPUTED_VALUE"""),"Parked")</f>
        <v>Parked</v>
      </c>
    </row>
    <row r="408" spans="1:5">
      <c r="A408" s="6" t="str">
        <f ca="1">IFERROR(__xludf.DUMMYFUNCTION("""COMPUTED_VALUE"""),"Qualification")</f>
        <v>Qualification</v>
      </c>
      <c r="B408" s="6">
        <f ca="1">IFERROR(__xludf.DUMMYFUNCTION("""COMPUTED_VALUE"""),2)</f>
        <v>2</v>
      </c>
      <c r="C408" s="6">
        <f ca="1">IFERROR(__xludf.DUMMYFUNCTION("""COMPUTED_VALUE"""),6758)</f>
        <v>6758</v>
      </c>
      <c r="D408" s="6" t="str">
        <f ca="1">IFERROR(__xludf.DUMMYFUNCTION("""COMPUTED_VALUE"""),"Yes")</f>
        <v>Yes</v>
      </c>
      <c r="E408" s="6" t="str">
        <f ca="1">IFERROR(__xludf.DUMMYFUNCTION("""COMPUTED_VALUE"""),"Parked")</f>
        <v>Parked</v>
      </c>
    </row>
    <row r="409" spans="1:5">
      <c r="A409" s="6" t="str">
        <f ca="1">IFERROR(__xludf.DUMMYFUNCTION("""COMPUTED_VALUE"""),"Qualification")</f>
        <v>Qualification</v>
      </c>
      <c r="B409" s="6">
        <f ca="1">IFERROR(__xludf.DUMMYFUNCTION("""COMPUTED_VALUE"""),3)</f>
        <v>3</v>
      </c>
      <c r="C409" s="6">
        <f ca="1">IFERROR(__xludf.DUMMYFUNCTION("""COMPUTED_VALUE"""),111)</f>
        <v>111</v>
      </c>
      <c r="D409" s="6" t="str">
        <f ca="1">IFERROR(__xludf.DUMMYFUNCTION("""COMPUTED_VALUE"""),"Yes")</f>
        <v>Yes</v>
      </c>
      <c r="E409" s="6" t="str">
        <f ca="1">IFERROR(__xludf.DUMMYFUNCTION("""COMPUTED_VALUE"""),"Parked")</f>
        <v>Parked</v>
      </c>
    </row>
    <row r="410" spans="1:5">
      <c r="A410" s="6" t="str">
        <f ca="1">IFERROR(__xludf.DUMMYFUNCTION("""COMPUTED_VALUE"""),"Qualification")</f>
        <v>Qualification</v>
      </c>
      <c r="B410" s="6">
        <f ca="1">IFERROR(__xludf.DUMMYFUNCTION("""COMPUTED_VALUE"""),4)</f>
        <v>4</v>
      </c>
      <c r="C410" s="6">
        <f ca="1">IFERROR(__xludf.DUMMYFUNCTION("""COMPUTED_VALUE"""),3023)</f>
        <v>3023</v>
      </c>
      <c r="D410" s="6" t="str">
        <f ca="1">IFERROR(__xludf.DUMMYFUNCTION("""COMPUTED_VALUE"""),"No")</f>
        <v>No</v>
      </c>
      <c r="E410" s="6" t="str">
        <f ca="1">IFERROR(__xludf.DUMMYFUNCTION("""COMPUTED_VALUE"""),"None")</f>
        <v>None</v>
      </c>
    </row>
    <row r="411" spans="1:5">
      <c r="A411" s="6" t="str">
        <f ca="1">IFERROR(__xludf.DUMMYFUNCTION("""COMPUTED_VALUE"""),"Qualification")</f>
        <v>Qualification</v>
      </c>
      <c r="B411" s="6">
        <f ca="1">IFERROR(__xludf.DUMMYFUNCTION("""COMPUTED_VALUE"""),5)</f>
        <v>5</v>
      </c>
      <c r="C411" s="6">
        <f ca="1">IFERROR(__xludf.DUMMYFUNCTION("""COMPUTED_VALUE"""),5913)</f>
        <v>5913</v>
      </c>
      <c r="D411" s="6" t="str">
        <f ca="1">IFERROR(__xludf.DUMMYFUNCTION("""COMPUTED_VALUE"""),"No")</f>
        <v>No</v>
      </c>
      <c r="E411" s="6" t="str">
        <f ca="1">IFERROR(__xludf.DUMMYFUNCTION("""COMPUTED_VALUE"""),"Parked")</f>
        <v>Parked</v>
      </c>
    </row>
    <row r="412" spans="1:5">
      <c r="A412" s="6" t="str">
        <f ca="1">IFERROR(__xludf.DUMMYFUNCTION("""COMPUTED_VALUE"""),"Qualification")</f>
        <v>Qualification</v>
      </c>
      <c r="B412" s="6">
        <f ca="1">IFERROR(__xludf.DUMMYFUNCTION("""COMPUTED_VALUE"""),6)</f>
        <v>6</v>
      </c>
      <c r="C412" s="6">
        <f ca="1">IFERROR(__xludf.DUMMYFUNCTION("""COMPUTED_VALUE"""),3883)</f>
        <v>3883</v>
      </c>
      <c r="D412" s="6" t="str">
        <f ca="1">IFERROR(__xludf.DUMMYFUNCTION("""COMPUTED_VALUE"""),"Yes")</f>
        <v>Yes</v>
      </c>
      <c r="E412" s="6" t="str">
        <f ca="1">IFERROR(__xludf.DUMMYFUNCTION("""COMPUTED_VALUE"""),"Parked")</f>
        <v>Parked</v>
      </c>
    </row>
    <row r="413" spans="1:5">
      <c r="A413" s="6" t="str">
        <f ca="1">IFERROR(__xludf.DUMMYFUNCTION("""COMPUTED_VALUE"""),"Qualification")</f>
        <v>Qualification</v>
      </c>
      <c r="B413" s="6">
        <f ca="1">IFERROR(__xludf.DUMMYFUNCTION("""COMPUTED_VALUE"""),7)</f>
        <v>7</v>
      </c>
      <c r="C413" s="6">
        <f ca="1">IFERROR(__xludf.DUMMYFUNCTION("""COMPUTED_VALUE"""),6132)</f>
        <v>6132</v>
      </c>
      <c r="D413" s="6" t="str">
        <f ca="1">IFERROR(__xludf.DUMMYFUNCTION("""COMPUTED_VALUE"""),"Yes")</f>
        <v>Yes</v>
      </c>
      <c r="E413" s="6" t="str">
        <f ca="1">IFERROR(__xludf.DUMMYFUNCTION("""COMPUTED_VALUE"""),"Parked")</f>
        <v>Parked</v>
      </c>
    </row>
    <row r="414" spans="1:5">
      <c r="A414" s="6" t="str">
        <f ca="1">IFERROR(__xludf.DUMMYFUNCTION("""COMPUTED_VALUE"""),"Qualification")</f>
        <v>Qualification</v>
      </c>
      <c r="B414" s="6">
        <f ca="1">IFERROR(__xludf.DUMMYFUNCTION("""COMPUTED_VALUE"""),8)</f>
        <v>8</v>
      </c>
      <c r="C414" s="6">
        <f ca="1">IFERROR(__xludf.DUMMYFUNCTION("""COMPUTED_VALUE"""),4531)</f>
        <v>4531</v>
      </c>
      <c r="D414" s="6" t="str">
        <f ca="1">IFERROR(__xludf.DUMMYFUNCTION("""COMPUTED_VALUE"""),"No")</f>
        <v>No</v>
      </c>
      <c r="E414" s="6" t="str">
        <f ca="1">IFERROR(__xludf.DUMMYFUNCTION("""COMPUTED_VALUE"""),"None")</f>
        <v>None</v>
      </c>
    </row>
    <row r="415" spans="1:5">
      <c r="A415" s="6" t="str">
        <f ca="1">IFERROR(__xludf.DUMMYFUNCTION("""COMPUTED_VALUE"""),"Qualification")</f>
        <v>Qualification</v>
      </c>
      <c r="B415" s="6">
        <f ca="1">IFERROR(__xludf.DUMMYFUNCTION("""COMPUTED_VALUE"""),9)</f>
        <v>9</v>
      </c>
      <c r="C415" s="6">
        <f ca="1">IFERROR(__xludf.DUMMYFUNCTION("""COMPUTED_VALUE"""),6044)</f>
        <v>6044</v>
      </c>
      <c r="D415" s="6" t="str">
        <f ca="1">IFERROR(__xludf.DUMMYFUNCTION("""COMPUTED_VALUE"""),"No")</f>
        <v>No</v>
      </c>
      <c r="E415" s="6" t="str">
        <f ca="1">IFERROR(__xludf.DUMMYFUNCTION("""COMPUTED_VALUE"""),"Parked")</f>
        <v>Parked</v>
      </c>
    </row>
    <row r="416" spans="1:5">
      <c r="A416" s="6" t="str">
        <f ca="1">IFERROR(__xludf.DUMMYFUNCTION("""COMPUTED_VALUE"""),"Qualification")</f>
        <v>Qualification</v>
      </c>
      <c r="B416" s="6">
        <f ca="1">IFERROR(__xludf.DUMMYFUNCTION("""COMPUTED_VALUE"""),10)</f>
        <v>10</v>
      </c>
      <c r="C416" s="6">
        <f ca="1">IFERROR(__xludf.DUMMYFUNCTION("""COMPUTED_VALUE"""),2472)</f>
        <v>2472</v>
      </c>
      <c r="D416" s="6" t="str">
        <f ca="1">IFERROR(__xludf.DUMMYFUNCTION("""COMPUTED_VALUE"""),"Yes")</f>
        <v>Yes</v>
      </c>
      <c r="E416" s="6" t="str">
        <f ca="1">IFERROR(__xludf.DUMMYFUNCTION("""COMPUTED_VALUE"""),"None")</f>
        <v>None</v>
      </c>
    </row>
    <row r="417" spans="1:5">
      <c r="A417" s="6" t="str">
        <f ca="1">IFERROR(__xludf.DUMMYFUNCTION("""COMPUTED_VALUE"""),"Qualification")</f>
        <v>Qualification</v>
      </c>
      <c r="B417" s="6">
        <f ca="1">IFERROR(__xludf.DUMMYFUNCTION("""COMPUTED_VALUE"""),11)</f>
        <v>11</v>
      </c>
      <c r="C417" s="6">
        <f ca="1">IFERROR(__xludf.DUMMYFUNCTION("""COMPUTED_VALUE"""),10173)</f>
        <v>10173</v>
      </c>
      <c r="D417" s="6" t="str">
        <f ca="1">IFERROR(__xludf.DUMMYFUNCTION("""COMPUTED_VALUE"""),"Yes")</f>
        <v>Yes</v>
      </c>
      <c r="E417" s="6" t="str">
        <f ca="1">IFERROR(__xludf.DUMMYFUNCTION("""COMPUTED_VALUE"""),"Parked")</f>
        <v>Parked</v>
      </c>
    </row>
    <row r="418" spans="1:5">
      <c r="A418" s="6" t="str">
        <f ca="1">IFERROR(__xludf.DUMMYFUNCTION("""COMPUTED_VALUE"""),"Qualification")</f>
        <v>Qualification</v>
      </c>
      <c r="B418" s="6">
        <f ca="1">IFERROR(__xludf.DUMMYFUNCTION("""COMPUTED_VALUE"""),12)</f>
        <v>12</v>
      </c>
      <c r="C418" s="6">
        <f ca="1">IFERROR(__xludf.DUMMYFUNCTION("""COMPUTED_VALUE"""),6160)</f>
        <v>6160</v>
      </c>
      <c r="D418" s="6" t="str">
        <f ca="1">IFERROR(__xludf.DUMMYFUNCTION("""COMPUTED_VALUE"""),"No")</f>
        <v>No</v>
      </c>
      <c r="E418" s="6" t="str">
        <f ca="1">IFERROR(__xludf.DUMMYFUNCTION("""COMPUTED_VALUE"""),"Parked")</f>
        <v>Parked</v>
      </c>
    </row>
    <row r="419" spans="1:5">
      <c r="A419" s="6" t="str">
        <f ca="1">IFERROR(__xludf.DUMMYFUNCTION("""COMPUTED_VALUE"""),"Qualification")</f>
        <v>Qualification</v>
      </c>
      <c r="B419" s="6">
        <f ca="1">IFERROR(__xludf.DUMMYFUNCTION("""COMPUTED_VALUE"""),13)</f>
        <v>13</v>
      </c>
      <c r="C419" s="6">
        <f ca="1">IFERROR(__xludf.DUMMYFUNCTION("""COMPUTED_VALUE"""),2513)</f>
        <v>2513</v>
      </c>
      <c r="D419" s="6" t="str">
        <f ca="1">IFERROR(__xludf.DUMMYFUNCTION("""COMPUTED_VALUE"""),"Yes")</f>
        <v>Yes</v>
      </c>
      <c r="E419" s="6" t="str">
        <f ca="1">IFERROR(__xludf.DUMMYFUNCTION("""COMPUTED_VALUE"""),"Parked")</f>
        <v>Parked</v>
      </c>
    </row>
    <row r="420" spans="1:5">
      <c r="A420" s="6" t="str">
        <f ca="1">IFERROR(__xludf.DUMMYFUNCTION("""COMPUTED_VALUE"""),"Qualification")</f>
        <v>Qualification</v>
      </c>
      <c r="B420" s="6">
        <f ca="1">IFERROR(__xludf.DUMMYFUNCTION("""COMPUTED_VALUE"""),14)</f>
        <v>14</v>
      </c>
      <c r="C420" s="6">
        <f ca="1">IFERROR(__xludf.DUMMYFUNCTION("""COMPUTED_VALUE"""),2177)</f>
        <v>2177</v>
      </c>
      <c r="D420" s="6" t="str">
        <f ca="1">IFERROR(__xludf.DUMMYFUNCTION("""COMPUTED_VALUE"""),"Yes")</f>
        <v>Yes</v>
      </c>
      <c r="E420" s="6" t="str">
        <f ca="1">IFERROR(__xludf.DUMMYFUNCTION("""COMPUTED_VALUE"""),"None")</f>
        <v>None</v>
      </c>
    </row>
    <row r="421" spans="1:5">
      <c r="A421" s="6" t="str">
        <f ca="1">IFERROR(__xludf.DUMMYFUNCTION("""COMPUTED_VALUE"""),"Qualification")</f>
        <v>Qualification</v>
      </c>
      <c r="B421" s="6">
        <f ca="1">IFERROR(__xludf.DUMMYFUNCTION("""COMPUTED_VALUE"""),15)</f>
        <v>15</v>
      </c>
      <c r="C421" s="6">
        <f ca="1">IFERROR(__xludf.DUMMYFUNCTION("""COMPUTED_VALUE"""),4593)</f>
        <v>4593</v>
      </c>
      <c r="D421" s="6" t="str">
        <f ca="1">IFERROR(__xludf.DUMMYFUNCTION("""COMPUTED_VALUE"""),"Yes")</f>
        <v>Yes</v>
      </c>
      <c r="E421" s="6" t="str">
        <f ca="1">IFERROR(__xludf.DUMMYFUNCTION("""COMPUTED_VALUE"""),"None")</f>
        <v>None</v>
      </c>
    </row>
    <row r="422" spans="1:5">
      <c r="A422" s="6" t="str">
        <f ca="1">IFERROR(__xludf.DUMMYFUNCTION("""COMPUTED_VALUE"""),"Qualification")</f>
        <v>Qualification</v>
      </c>
      <c r="B422" s="6">
        <f ca="1">IFERROR(__xludf.DUMMYFUNCTION("""COMPUTED_VALUE"""),16)</f>
        <v>16</v>
      </c>
      <c r="C422" s="6">
        <f ca="1">IFERROR(__xludf.DUMMYFUNCTION("""COMPUTED_VALUE"""),6044)</f>
        <v>6044</v>
      </c>
      <c r="D422" s="6" t="str">
        <f ca="1">IFERROR(__xludf.DUMMYFUNCTION("""COMPUTED_VALUE"""),"Yes")</f>
        <v>Yes</v>
      </c>
      <c r="E422" s="6" t="str">
        <f ca="1">IFERROR(__xludf.DUMMYFUNCTION("""COMPUTED_VALUE"""),"Parked")</f>
        <v>Parked</v>
      </c>
    </row>
    <row r="423" spans="1:5">
      <c r="A423" s="6" t="str">
        <f ca="1">IFERROR(__xludf.DUMMYFUNCTION("""COMPUTED_VALUE"""),"Qualification")</f>
        <v>Qualification</v>
      </c>
      <c r="B423" s="6">
        <f ca="1">IFERROR(__xludf.DUMMYFUNCTION("""COMPUTED_VALUE"""),17)</f>
        <v>17</v>
      </c>
      <c r="C423" s="6">
        <f ca="1">IFERROR(__xludf.DUMMYFUNCTION("""COMPUTED_VALUE"""),6047)</f>
        <v>6047</v>
      </c>
      <c r="D423" s="6" t="str">
        <f ca="1">IFERROR(__xludf.DUMMYFUNCTION("""COMPUTED_VALUE"""),"Yes")</f>
        <v>Yes</v>
      </c>
      <c r="E423" s="6" t="str">
        <f ca="1">IFERROR(__xludf.DUMMYFUNCTION("""COMPUTED_VALUE"""),"Parked")</f>
        <v>Parked</v>
      </c>
    </row>
    <row r="424" spans="1:5">
      <c r="A424" s="6" t="str">
        <f ca="1">IFERROR(__xludf.DUMMYFUNCTION("""COMPUTED_VALUE"""),"Qualification")</f>
        <v>Qualification</v>
      </c>
      <c r="B424" s="6">
        <f ca="1">IFERROR(__xludf.DUMMYFUNCTION("""COMPUTED_VALUE"""),18)</f>
        <v>18</v>
      </c>
      <c r="C424" s="6">
        <f ca="1">IFERROR(__xludf.DUMMYFUNCTION("""COMPUTED_VALUE"""),6420)</f>
        <v>6420</v>
      </c>
      <c r="D424" s="6" t="str">
        <f ca="1">IFERROR(__xludf.DUMMYFUNCTION("""COMPUTED_VALUE"""),"Yes")</f>
        <v>Yes</v>
      </c>
      <c r="E424" s="6" t="str">
        <f ca="1">IFERROR(__xludf.DUMMYFUNCTION("""COMPUTED_VALUE"""),"Parked")</f>
        <v>Parked</v>
      </c>
    </row>
    <row r="425" spans="1:5">
      <c r="A425" s="6" t="str">
        <f ca="1">IFERROR(__xludf.DUMMYFUNCTION("""COMPUTED_VALUE"""),"Qualification")</f>
        <v>Qualification</v>
      </c>
      <c r="B425" s="6">
        <f ca="1">IFERROR(__xludf.DUMMYFUNCTION("""COMPUTED_VALUE"""),19)</f>
        <v>19</v>
      </c>
      <c r="C425" s="6">
        <f ca="1">IFERROR(__xludf.DUMMYFUNCTION("""COMPUTED_VALUE"""),10474)</f>
        <v>10474</v>
      </c>
      <c r="D425" s="6" t="str">
        <f ca="1">IFERROR(__xludf.DUMMYFUNCTION("""COMPUTED_VALUE"""),"Yes")</f>
        <v>Yes</v>
      </c>
      <c r="E425" s="6" t="str">
        <f ca="1">IFERROR(__xludf.DUMMYFUNCTION("""COMPUTED_VALUE"""),"Parked")</f>
        <v>Parked</v>
      </c>
    </row>
    <row r="426" spans="1:5">
      <c r="A426" s="6" t="str">
        <f ca="1">IFERROR(__xludf.DUMMYFUNCTION("""COMPUTED_VALUE"""),"Qualification")</f>
        <v>Qualification</v>
      </c>
      <c r="B426" s="6">
        <f ca="1">IFERROR(__xludf.DUMMYFUNCTION("""COMPUTED_VALUE"""),20)</f>
        <v>20</v>
      </c>
      <c r="C426" s="6">
        <f ca="1">IFERROR(__xludf.DUMMYFUNCTION("""COMPUTED_VALUE"""),7021)</f>
        <v>7021</v>
      </c>
      <c r="D426" s="6" t="str">
        <f ca="1">IFERROR(__xludf.DUMMYFUNCTION("""COMPUTED_VALUE"""),"Yes")</f>
        <v>Yes</v>
      </c>
      <c r="E426" s="6" t="str">
        <f ca="1">IFERROR(__xludf.DUMMYFUNCTION("""COMPUTED_VALUE"""),"Parked")</f>
        <v>Parked</v>
      </c>
    </row>
    <row r="427" spans="1:5">
      <c r="A427" s="6" t="str">
        <f ca="1">IFERROR(__xludf.DUMMYFUNCTION("""COMPUTED_VALUE"""),"Qualification")</f>
        <v>Qualification</v>
      </c>
      <c r="B427" s="6">
        <f ca="1">IFERROR(__xludf.DUMMYFUNCTION("""COMPUTED_VALUE"""),21)</f>
        <v>21</v>
      </c>
      <c r="C427" s="6">
        <f ca="1">IFERROR(__xludf.DUMMYFUNCTION("""COMPUTED_VALUE"""),2472)</f>
        <v>2472</v>
      </c>
      <c r="D427" s="6" t="str">
        <f ca="1">IFERROR(__xludf.DUMMYFUNCTION("""COMPUTED_VALUE"""),"Yes")</f>
        <v>Yes</v>
      </c>
      <c r="E427" s="6" t="str">
        <f ca="1">IFERROR(__xludf.DUMMYFUNCTION("""COMPUTED_VALUE"""),"Parked")</f>
        <v>Parked</v>
      </c>
    </row>
    <row r="428" spans="1:5">
      <c r="A428" s="6" t="str">
        <f ca="1">IFERROR(__xludf.DUMMYFUNCTION("""COMPUTED_VALUE"""),"Qualification")</f>
        <v>Qualification</v>
      </c>
      <c r="B428" s="6">
        <f ca="1">IFERROR(__xludf.DUMMYFUNCTION("""COMPUTED_VALUE"""),22)</f>
        <v>22</v>
      </c>
      <c r="C428" s="6">
        <f ca="1">IFERROR(__xludf.DUMMYFUNCTION("""COMPUTED_VALUE"""),3023)</f>
        <v>3023</v>
      </c>
      <c r="D428" s="6" t="str">
        <f ca="1">IFERROR(__xludf.DUMMYFUNCTION("""COMPUTED_VALUE"""),"Yes")</f>
        <v>Yes</v>
      </c>
      <c r="E428" s="6" t="str">
        <f ca="1">IFERROR(__xludf.DUMMYFUNCTION("""COMPUTED_VALUE"""),"Parked")</f>
        <v>Parked</v>
      </c>
    </row>
    <row r="429" spans="1:5">
      <c r="A429" s="6" t="str">
        <f ca="1">IFERROR(__xludf.DUMMYFUNCTION("""COMPUTED_VALUE"""),"Qualification")</f>
        <v>Qualification</v>
      </c>
      <c r="B429" s="6">
        <f ca="1">IFERROR(__xludf.DUMMYFUNCTION("""COMPUTED_VALUE"""),23)</f>
        <v>23</v>
      </c>
      <c r="C429" s="6">
        <f ca="1">IFERROR(__xludf.DUMMYFUNCTION("""COMPUTED_VALUE"""),4593)</f>
        <v>4593</v>
      </c>
      <c r="D429" s="6" t="str">
        <f ca="1">IFERROR(__xludf.DUMMYFUNCTION("""COMPUTED_VALUE"""),"Yes")</f>
        <v>Yes</v>
      </c>
      <c r="E429" s="6" t="str">
        <f ca="1">IFERROR(__xludf.DUMMYFUNCTION("""COMPUTED_VALUE"""),"None")</f>
        <v>None</v>
      </c>
    </row>
    <row r="430" spans="1:5">
      <c r="A430" s="6" t="str">
        <f ca="1">IFERROR(__xludf.DUMMYFUNCTION("""COMPUTED_VALUE"""),"Qualification")</f>
        <v>Qualification</v>
      </c>
      <c r="B430" s="6">
        <f ca="1">IFERROR(__xludf.DUMMYFUNCTION("""COMPUTED_VALUE"""),24)</f>
        <v>24</v>
      </c>
      <c r="C430" s="6">
        <f ca="1">IFERROR(__xludf.DUMMYFUNCTION("""COMPUTED_VALUE"""),2450)</f>
        <v>2450</v>
      </c>
      <c r="D430" s="6" t="str">
        <f ca="1">IFERROR(__xludf.DUMMYFUNCTION("""COMPUTED_VALUE"""),"No")</f>
        <v>No</v>
      </c>
      <c r="E430" s="6" t="str">
        <f ca="1">IFERROR(__xludf.DUMMYFUNCTION("""COMPUTED_VALUE"""),"None")</f>
        <v>None</v>
      </c>
    </row>
    <row r="431" spans="1:5">
      <c r="A431" s="6" t="str">
        <f ca="1">IFERROR(__xludf.DUMMYFUNCTION("""COMPUTED_VALUE"""),"Qualification")</f>
        <v>Qualification</v>
      </c>
      <c r="B431" s="6">
        <f ca="1">IFERROR(__xludf.DUMMYFUNCTION("""COMPUTED_VALUE"""),25)</f>
        <v>25</v>
      </c>
      <c r="C431" s="6">
        <f ca="1">IFERROR(__xludf.DUMMYFUNCTION("""COMPUTED_VALUE"""),2491)</f>
        <v>2491</v>
      </c>
      <c r="D431" s="6" t="str">
        <f ca="1">IFERROR(__xludf.DUMMYFUNCTION("""COMPUTED_VALUE"""),"Yes")</f>
        <v>Yes</v>
      </c>
      <c r="E431" s="6" t="str">
        <f ca="1">IFERROR(__xludf.DUMMYFUNCTION("""COMPUTED_VALUE"""),"Parked")</f>
        <v>Parked</v>
      </c>
    </row>
    <row r="432" spans="1:5">
      <c r="A432" s="6" t="str">
        <f ca="1">IFERROR(__xludf.DUMMYFUNCTION("""COMPUTED_VALUE"""),"Qualification")</f>
        <v>Qualification</v>
      </c>
      <c r="B432" s="6">
        <f ca="1">IFERROR(__xludf.DUMMYFUNCTION("""COMPUTED_VALUE"""),26)</f>
        <v>26</v>
      </c>
      <c r="C432" s="6">
        <f ca="1">IFERROR(__xludf.DUMMYFUNCTION("""COMPUTED_VALUE"""),6047)</f>
        <v>6047</v>
      </c>
      <c r="D432" s="6" t="str">
        <f ca="1">IFERROR(__xludf.DUMMYFUNCTION("""COMPUTED_VALUE"""),"Yes")</f>
        <v>Yes</v>
      </c>
      <c r="E432" s="6" t="str">
        <f ca="1">IFERROR(__xludf.DUMMYFUNCTION("""COMPUTED_VALUE"""),"Parked")</f>
        <v>Parked</v>
      </c>
    </row>
    <row r="433" spans="1:5">
      <c r="A433" s="6" t="str">
        <f ca="1">IFERROR(__xludf.DUMMYFUNCTION("""COMPUTED_VALUE"""),"Qualification")</f>
        <v>Qualification</v>
      </c>
      <c r="B433" s="6">
        <f ca="1">IFERROR(__xludf.DUMMYFUNCTION("""COMPUTED_VALUE"""),27)</f>
        <v>27</v>
      </c>
      <c r="C433" s="6">
        <f ca="1">IFERROR(__xludf.DUMMYFUNCTION("""COMPUTED_VALUE"""),2052)</f>
        <v>2052</v>
      </c>
      <c r="D433" s="6" t="str">
        <f ca="1">IFERROR(__xludf.DUMMYFUNCTION("""COMPUTED_VALUE"""),"Yes")</f>
        <v>Yes</v>
      </c>
      <c r="E433" s="6" t="str">
        <f ca="1">IFERROR(__xludf.DUMMYFUNCTION("""COMPUTED_VALUE"""),"DeepCage")</f>
        <v>DeepCage</v>
      </c>
    </row>
    <row r="434" spans="1:5">
      <c r="A434" s="6" t="str">
        <f ca="1">IFERROR(__xludf.DUMMYFUNCTION("""COMPUTED_VALUE"""),"Qualification")</f>
        <v>Qualification</v>
      </c>
      <c r="B434" s="6">
        <f ca="1">IFERROR(__xludf.DUMMYFUNCTION("""COMPUTED_VALUE"""),28)</f>
        <v>28</v>
      </c>
      <c r="C434" s="6">
        <f ca="1">IFERROR(__xludf.DUMMYFUNCTION("""COMPUTED_VALUE"""),111)</f>
        <v>111</v>
      </c>
      <c r="D434" s="6" t="str">
        <f ca="1">IFERROR(__xludf.DUMMYFUNCTION("""COMPUTED_VALUE"""),"Yes")</f>
        <v>Yes</v>
      </c>
      <c r="E434" s="6" t="str">
        <f ca="1">IFERROR(__xludf.DUMMYFUNCTION("""COMPUTED_VALUE"""),"DeepCage")</f>
        <v>DeepCage</v>
      </c>
    </row>
    <row r="435" spans="1:5">
      <c r="A435" s="6" t="str">
        <f ca="1">IFERROR(__xludf.DUMMYFUNCTION("""COMPUTED_VALUE"""),"Qualification")</f>
        <v>Qualification</v>
      </c>
      <c r="B435" s="6">
        <f ca="1">IFERROR(__xludf.DUMMYFUNCTION("""COMPUTED_VALUE"""),29)</f>
        <v>29</v>
      </c>
      <c r="C435" s="6">
        <f ca="1">IFERROR(__xludf.DUMMYFUNCTION("""COMPUTED_VALUE"""),4418)</f>
        <v>4418</v>
      </c>
      <c r="D435" s="6" t="str">
        <f ca="1">IFERROR(__xludf.DUMMYFUNCTION("""COMPUTED_VALUE"""),"Yes")</f>
        <v>Yes</v>
      </c>
      <c r="E435" s="6" t="str">
        <f ca="1">IFERROR(__xludf.DUMMYFUNCTION("""COMPUTED_VALUE"""),"Parked")</f>
        <v>Parked</v>
      </c>
    </row>
    <row r="436" spans="1:5">
      <c r="A436" s="6" t="str">
        <f ca="1">IFERROR(__xludf.DUMMYFUNCTION("""COMPUTED_VALUE"""),"Qualification")</f>
        <v>Qualification</v>
      </c>
      <c r="B436" s="6">
        <f ca="1">IFERROR(__xludf.DUMMYFUNCTION("""COMPUTED_VALUE"""),30)</f>
        <v>30</v>
      </c>
      <c r="C436" s="6">
        <f ca="1">IFERROR(__xludf.DUMMYFUNCTION("""COMPUTED_VALUE"""),3054)</f>
        <v>3054</v>
      </c>
      <c r="D436" s="6" t="str">
        <f ca="1">IFERROR(__xludf.DUMMYFUNCTION("""COMPUTED_VALUE"""),"No")</f>
        <v>No</v>
      </c>
      <c r="E436" s="6" t="str">
        <f ca="1">IFERROR(__xludf.DUMMYFUNCTION("""COMPUTED_VALUE"""),"Parked")</f>
        <v>Parked</v>
      </c>
    </row>
    <row r="437" spans="1:5">
      <c r="A437" s="6" t="str">
        <f ca="1">IFERROR(__xludf.DUMMYFUNCTION("""COMPUTED_VALUE"""),"Qualification")</f>
        <v>Qualification</v>
      </c>
      <c r="B437" s="6">
        <f ca="1">IFERROR(__xludf.DUMMYFUNCTION("""COMPUTED_VALUE"""),31)</f>
        <v>31</v>
      </c>
      <c r="C437" s="6">
        <f ca="1">IFERROR(__xludf.DUMMYFUNCTION("""COMPUTED_VALUE"""),4166)</f>
        <v>4166</v>
      </c>
      <c r="D437" s="6" t="str">
        <f ca="1">IFERROR(__xludf.DUMMYFUNCTION("""COMPUTED_VALUE"""),"Yes")</f>
        <v>Yes</v>
      </c>
      <c r="E437" s="6" t="str">
        <f ca="1">IFERROR(__xludf.DUMMYFUNCTION("""COMPUTED_VALUE"""),"Parked")</f>
        <v>Parked</v>
      </c>
    </row>
    <row r="438" spans="1:5">
      <c r="A438" s="6" t="str">
        <f ca="1">IFERROR(__xludf.DUMMYFUNCTION("""COMPUTED_VALUE"""),"Qualification")</f>
        <v>Qualification</v>
      </c>
      <c r="B438" s="6">
        <f ca="1">IFERROR(__xludf.DUMMYFUNCTION("""COMPUTED_VALUE"""),32)</f>
        <v>32</v>
      </c>
      <c r="C438" s="6">
        <f ca="1">IFERROR(__xludf.DUMMYFUNCTION("""COMPUTED_VALUE"""),2501)</f>
        <v>2501</v>
      </c>
      <c r="D438" s="6" t="str">
        <f ca="1">IFERROR(__xludf.DUMMYFUNCTION("""COMPUTED_VALUE"""),"Yes")</f>
        <v>Yes</v>
      </c>
      <c r="E438" s="6" t="str">
        <f ca="1">IFERROR(__xludf.DUMMYFUNCTION("""COMPUTED_VALUE"""),"DeepCage")</f>
        <v>DeepCage</v>
      </c>
    </row>
    <row r="439" spans="1:5">
      <c r="A439" s="6" t="str">
        <f ca="1">IFERROR(__xludf.DUMMYFUNCTION("""COMPUTED_VALUE"""),"Qualification")</f>
        <v>Qualification</v>
      </c>
      <c r="B439" s="6">
        <f ca="1">IFERROR(__xludf.DUMMYFUNCTION("""COMPUTED_VALUE"""),33)</f>
        <v>33</v>
      </c>
      <c r="C439" s="6">
        <f ca="1">IFERROR(__xludf.DUMMYFUNCTION("""COMPUTED_VALUE"""),2290)</f>
        <v>2290</v>
      </c>
      <c r="D439" s="6" t="str">
        <f ca="1">IFERROR(__xludf.DUMMYFUNCTION("""COMPUTED_VALUE"""),"Yes")</f>
        <v>Yes</v>
      </c>
      <c r="E439" s="6" t="str">
        <f ca="1">IFERROR(__xludf.DUMMYFUNCTION("""COMPUTED_VALUE"""),"Parked")</f>
        <v>Parked</v>
      </c>
    </row>
    <row r="440" spans="1:5">
      <c r="A440" s="6" t="str">
        <f ca="1">IFERROR(__xludf.DUMMYFUNCTION("""COMPUTED_VALUE"""),"Qualification")</f>
        <v>Qualification</v>
      </c>
      <c r="B440" s="6">
        <f ca="1">IFERROR(__xludf.DUMMYFUNCTION("""COMPUTED_VALUE"""),34)</f>
        <v>34</v>
      </c>
      <c r="C440" s="6">
        <f ca="1">IFERROR(__xludf.DUMMYFUNCTION("""COMPUTED_VALUE"""),7041)</f>
        <v>7041</v>
      </c>
      <c r="D440" s="6" t="str">
        <f ca="1">IFERROR(__xludf.DUMMYFUNCTION("""COMPUTED_VALUE"""),"Yes")</f>
        <v>Yes</v>
      </c>
      <c r="E440" s="6" t="str">
        <f ca="1">IFERROR(__xludf.DUMMYFUNCTION("""COMPUTED_VALUE"""),"ShallowCage")</f>
        <v>ShallowCage</v>
      </c>
    </row>
    <row r="441" spans="1:5">
      <c r="A441" s="6" t="str">
        <f ca="1">IFERROR(__xludf.DUMMYFUNCTION("""COMPUTED_VALUE"""),"Qualification")</f>
        <v>Qualification</v>
      </c>
      <c r="B441" s="6">
        <f ca="1">IFERROR(__xludf.DUMMYFUNCTION("""COMPUTED_VALUE"""),35)</f>
        <v>35</v>
      </c>
      <c r="C441" s="6">
        <f ca="1">IFERROR(__xludf.DUMMYFUNCTION("""COMPUTED_VALUE"""),3691)</f>
        <v>3691</v>
      </c>
      <c r="D441" s="6" t="str">
        <f ca="1">IFERROR(__xludf.DUMMYFUNCTION("""COMPUTED_VALUE"""),"No")</f>
        <v>No</v>
      </c>
      <c r="E441" s="6" t="str">
        <f ca="1">IFERROR(__xludf.DUMMYFUNCTION("""COMPUTED_VALUE"""),"Parked")</f>
        <v>Parked</v>
      </c>
    </row>
    <row r="442" spans="1:5">
      <c r="A442" s="6" t="str">
        <f ca="1">IFERROR(__xludf.DUMMYFUNCTION("""COMPUTED_VALUE"""),"Qualification")</f>
        <v>Qualification</v>
      </c>
      <c r="B442" s="6">
        <f ca="1">IFERROR(__xludf.DUMMYFUNCTION("""COMPUTED_VALUE"""),36)</f>
        <v>36</v>
      </c>
      <c r="C442" s="6">
        <f ca="1">IFERROR(__xludf.DUMMYFUNCTION("""COMPUTED_VALUE"""),1816)</f>
        <v>1816</v>
      </c>
      <c r="D442" s="6" t="str">
        <f ca="1">IFERROR(__xludf.DUMMYFUNCTION("""COMPUTED_VALUE"""),"Yes")</f>
        <v>Yes</v>
      </c>
      <c r="E442" s="6" t="str">
        <f ca="1">IFERROR(__xludf.DUMMYFUNCTION("""COMPUTED_VALUE"""),"Parked")</f>
        <v>Parked</v>
      </c>
    </row>
    <row r="443" spans="1:5">
      <c r="A443" s="6" t="str">
        <f ca="1">IFERROR(__xludf.DUMMYFUNCTION("""COMPUTED_VALUE"""),"Qualification")</f>
        <v>Qualification</v>
      </c>
      <c r="B443" s="6">
        <f ca="1">IFERROR(__xludf.DUMMYFUNCTION("""COMPUTED_VALUE"""),37)</f>
        <v>37</v>
      </c>
      <c r="C443" s="6">
        <f ca="1">IFERROR(__xludf.DUMMYFUNCTION("""COMPUTED_VALUE"""),5690)</f>
        <v>5690</v>
      </c>
      <c r="D443" s="6" t="str">
        <f ca="1">IFERROR(__xludf.DUMMYFUNCTION("""COMPUTED_VALUE"""),"Yes")</f>
        <v>Yes</v>
      </c>
      <c r="E443" s="6" t="str">
        <f ca="1">IFERROR(__xludf.DUMMYFUNCTION("""COMPUTED_VALUE"""),"ShallowCage")</f>
        <v>ShallowCage</v>
      </c>
    </row>
    <row r="444" spans="1:5">
      <c r="A444" s="6" t="str">
        <f ca="1">IFERROR(__xludf.DUMMYFUNCTION("""COMPUTED_VALUE"""),"Qualification")</f>
        <v>Qualification</v>
      </c>
      <c r="B444" s="6">
        <f ca="1">IFERROR(__xludf.DUMMYFUNCTION("""COMPUTED_VALUE"""),38)</f>
        <v>38</v>
      </c>
      <c r="C444" s="6">
        <f ca="1">IFERROR(__xludf.DUMMYFUNCTION("""COMPUTED_VALUE"""),4623)</f>
        <v>4623</v>
      </c>
      <c r="D444" s="6" t="str">
        <f ca="1">IFERROR(__xludf.DUMMYFUNCTION("""COMPUTED_VALUE"""),"Yes")</f>
        <v>Yes</v>
      </c>
      <c r="E444" s="6" t="str">
        <f ca="1">IFERROR(__xludf.DUMMYFUNCTION("""COMPUTED_VALUE"""),"Parked")</f>
        <v>Parked</v>
      </c>
    </row>
    <row r="445" spans="1:5">
      <c r="A445" s="6" t="str">
        <f ca="1">IFERROR(__xludf.DUMMYFUNCTION("""COMPUTED_VALUE"""),"Qualification")</f>
        <v>Qualification</v>
      </c>
      <c r="B445" s="6">
        <f ca="1">IFERROR(__xludf.DUMMYFUNCTION("""COMPUTED_VALUE"""),39)</f>
        <v>39</v>
      </c>
      <c r="C445" s="6">
        <f ca="1">IFERROR(__xludf.DUMMYFUNCTION("""COMPUTED_VALUE"""),4360)</f>
        <v>4360</v>
      </c>
      <c r="D445" s="6" t="str">
        <f ca="1">IFERROR(__xludf.DUMMYFUNCTION("""COMPUTED_VALUE"""),"Yes")</f>
        <v>Yes</v>
      </c>
      <c r="E445" s="6" t="str">
        <f ca="1">IFERROR(__xludf.DUMMYFUNCTION("""COMPUTED_VALUE"""),"Parked")</f>
        <v>Parked</v>
      </c>
    </row>
    <row r="446" spans="1:5">
      <c r="A446" s="6" t="str">
        <f ca="1">IFERROR(__xludf.DUMMYFUNCTION("""COMPUTED_VALUE"""),"Qualification")</f>
        <v>Qualification</v>
      </c>
      <c r="B446" s="6">
        <f ca="1">IFERROR(__xludf.DUMMYFUNCTION("""COMPUTED_VALUE"""),40)</f>
        <v>40</v>
      </c>
      <c r="C446" s="6">
        <f ca="1">IFERROR(__xludf.DUMMYFUNCTION("""COMPUTED_VALUE"""),4230)</f>
        <v>4230</v>
      </c>
      <c r="D446" s="6" t="str">
        <f ca="1">IFERROR(__xludf.DUMMYFUNCTION("""COMPUTED_VALUE"""),"Yes")</f>
        <v>Yes</v>
      </c>
      <c r="E446" s="6" t="str">
        <f ca="1">IFERROR(__xludf.DUMMYFUNCTION("""COMPUTED_VALUE"""),"Parked")</f>
        <v>Parked</v>
      </c>
    </row>
    <row r="447" spans="1:5">
      <c r="A447" s="6" t="str">
        <f ca="1">IFERROR(__xludf.DUMMYFUNCTION("""COMPUTED_VALUE"""),"Qualification")</f>
        <v>Qualification</v>
      </c>
      <c r="B447" s="6">
        <f ca="1">IFERROR(__xludf.DUMMYFUNCTION("""COMPUTED_VALUE"""),41)</f>
        <v>41</v>
      </c>
      <c r="C447" s="6">
        <f ca="1">IFERROR(__xludf.DUMMYFUNCTION("""COMPUTED_VALUE"""),4215)</f>
        <v>4215</v>
      </c>
      <c r="D447" s="6" t="str">
        <f ca="1">IFERROR(__xludf.DUMMYFUNCTION("""COMPUTED_VALUE"""),"Yes")</f>
        <v>Yes</v>
      </c>
      <c r="E447" s="6" t="str">
        <f ca="1">IFERROR(__xludf.DUMMYFUNCTION("""COMPUTED_VALUE"""),"Parked")</f>
        <v>Parked</v>
      </c>
    </row>
    <row r="448" spans="1:5">
      <c r="A448" s="6" t="str">
        <f ca="1">IFERROR(__xludf.DUMMYFUNCTION("""COMPUTED_VALUE"""),"Qualification")</f>
        <v>Qualification</v>
      </c>
      <c r="B448" s="6">
        <f ca="1">IFERROR(__xludf.DUMMYFUNCTION("""COMPUTED_VALUE"""),42)</f>
        <v>42</v>
      </c>
      <c r="C448" s="6">
        <f ca="1">IFERROR(__xludf.DUMMYFUNCTION("""COMPUTED_VALUE"""),2977)</f>
        <v>2977</v>
      </c>
      <c r="D448" s="6" t="str">
        <f ca="1">IFERROR(__xludf.DUMMYFUNCTION("""COMPUTED_VALUE"""),"Yes")</f>
        <v>Yes</v>
      </c>
      <c r="E448" s="6" t="str">
        <f ca="1">IFERROR(__xludf.DUMMYFUNCTION("""COMPUTED_VALUE"""),"None")</f>
        <v>None</v>
      </c>
    </row>
    <row r="449" spans="1:5">
      <c r="A449" s="6" t="str">
        <f ca="1">IFERROR(__xludf.DUMMYFUNCTION("""COMPUTED_VALUE"""),"Qualification")</f>
        <v>Qualification</v>
      </c>
      <c r="B449" s="6">
        <f ca="1">IFERROR(__xludf.DUMMYFUNCTION("""COMPUTED_VALUE"""),43)</f>
        <v>43</v>
      </c>
      <c r="C449" s="6">
        <f ca="1">IFERROR(__xludf.DUMMYFUNCTION("""COMPUTED_VALUE"""),2501)</f>
        <v>2501</v>
      </c>
      <c r="D449" s="6" t="str">
        <f ca="1">IFERROR(__xludf.DUMMYFUNCTION("""COMPUTED_VALUE"""),"Yes")</f>
        <v>Yes</v>
      </c>
      <c r="E449" s="6" t="str">
        <f ca="1">IFERROR(__xludf.DUMMYFUNCTION("""COMPUTED_VALUE"""),"DeepCage")</f>
        <v>DeepCage</v>
      </c>
    </row>
    <row r="450" spans="1:5">
      <c r="A450" s="6" t="str">
        <f ca="1">IFERROR(__xludf.DUMMYFUNCTION("""COMPUTED_VALUE"""),"Qualification")</f>
        <v>Qualification</v>
      </c>
      <c r="B450" s="6">
        <f ca="1">IFERROR(__xludf.DUMMYFUNCTION("""COMPUTED_VALUE"""),44)</f>
        <v>44</v>
      </c>
      <c r="C450" s="6">
        <f ca="1">IFERROR(__xludf.DUMMYFUNCTION("""COMPUTED_VALUE"""),2512)</f>
        <v>2512</v>
      </c>
      <c r="D450" s="6" t="str">
        <f ca="1">IFERROR(__xludf.DUMMYFUNCTION("""COMPUTED_VALUE"""),"Yes")</f>
        <v>Yes</v>
      </c>
      <c r="E450" s="6" t="str">
        <f ca="1">IFERROR(__xludf.DUMMYFUNCTION("""COMPUTED_VALUE"""),"None")</f>
        <v>None</v>
      </c>
    </row>
    <row r="451" spans="1:5">
      <c r="A451" s="6" t="str">
        <f ca="1">IFERROR(__xludf.DUMMYFUNCTION("""COMPUTED_VALUE"""),"Qualification")</f>
        <v>Qualification</v>
      </c>
      <c r="B451" s="6">
        <f ca="1">IFERROR(__xludf.DUMMYFUNCTION("""COMPUTED_VALUE"""),45)</f>
        <v>45</v>
      </c>
      <c r="C451" s="6">
        <f ca="1">IFERROR(__xludf.DUMMYFUNCTION("""COMPUTED_VALUE"""),7048)</f>
        <v>7048</v>
      </c>
      <c r="D451" s="6" t="str">
        <f ca="1">IFERROR(__xludf.DUMMYFUNCTION("""COMPUTED_VALUE"""),"Yes")</f>
        <v>Yes</v>
      </c>
      <c r="E451" s="6" t="str">
        <f ca="1">IFERROR(__xludf.DUMMYFUNCTION("""COMPUTED_VALUE"""),"Parked")</f>
        <v>Parked</v>
      </c>
    </row>
    <row r="452" spans="1:5">
      <c r="A452" s="6" t="str">
        <f ca="1">IFERROR(__xludf.DUMMYFUNCTION("""COMPUTED_VALUE"""),"Qualification")</f>
        <v>Qualification</v>
      </c>
      <c r="B452" s="6">
        <f ca="1">IFERROR(__xludf.DUMMYFUNCTION("""COMPUTED_VALUE"""),46)</f>
        <v>46</v>
      </c>
      <c r="C452" s="6">
        <f ca="1">IFERROR(__xludf.DUMMYFUNCTION("""COMPUTED_VALUE"""),3054)</f>
        <v>3054</v>
      </c>
      <c r="D452" s="6" t="str">
        <f ca="1">IFERROR(__xludf.DUMMYFUNCTION("""COMPUTED_VALUE"""),"Yes")</f>
        <v>Yes</v>
      </c>
      <c r="E452" s="6" t="str">
        <f ca="1">IFERROR(__xludf.DUMMYFUNCTION("""COMPUTED_VALUE"""),"Parked")</f>
        <v>Parked</v>
      </c>
    </row>
    <row r="453" spans="1:5">
      <c r="A453" s="6" t="str">
        <f ca="1">IFERROR(__xludf.DUMMYFUNCTION("""COMPUTED_VALUE"""),"Qualification")</f>
        <v>Qualification</v>
      </c>
      <c r="B453" s="6">
        <f ca="1">IFERROR(__xludf.DUMMYFUNCTION("""COMPUTED_VALUE"""),47)</f>
        <v>47</v>
      </c>
      <c r="C453" s="6">
        <f ca="1">IFERROR(__xludf.DUMMYFUNCTION("""COMPUTED_VALUE"""),2472)</f>
        <v>2472</v>
      </c>
      <c r="D453" s="6" t="str">
        <f ca="1">IFERROR(__xludf.DUMMYFUNCTION("""COMPUTED_VALUE"""),"Yes")</f>
        <v>Yes</v>
      </c>
      <c r="E453" s="6" t="str">
        <f ca="1">IFERROR(__xludf.DUMMYFUNCTION("""COMPUTED_VALUE"""),"None")</f>
        <v>None</v>
      </c>
    </row>
    <row r="454" spans="1:5">
      <c r="A454" s="6" t="str">
        <f ca="1">IFERROR(__xludf.DUMMYFUNCTION("""COMPUTED_VALUE"""),"Qualification")</f>
        <v>Qualification</v>
      </c>
      <c r="B454" s="6">
        <f ca="1">IFERROR(__xludf.DUMMYFUNCTION("""COMPUTED_VALUE"""),48)</f>
        <v>48</v>
      </c>
      <c r="C454" s="6">
        <f ca="1">IFERROR(__xludf.DUMMYFUNCTION("""COMPUTED_VALUE"""),2450)</f>
        <v>2450</v>
      </c>
      <c r="D454" s="6" t="str">
        <f ca="1">IFERROR(__xludf.DUMMYFUNCTION("""COMPUTED_VALUE"""),"Yes")</f>
        <v>Yes</v>
      </c>
      <c r="E454" s="6" t="str">
        <f ca="1">IFERROR(__xludf.DUMMYFUNCTION("""COMPUTED_VALUE"""),"Parked")</f>
        <v>Parked</v>
      </c>
    </row>
    <row r="455" spans="1:5">
      <c r="A455" s="6" t="str">
        <f ca="1">IFERROR(__xludf.DUMMYFUNCTION("""COMPUTED_VALUE"""),"Qualification")</f>
        <v>Qualification</v>
      </c>
      <c r="B455" s="6">
        <f ca="1">IFERROR(__xludf.DUMMYFUNCTION("""COMPUTED_VALUE"""),49)</f>
        <v>49</v>
      </c>
      <c r="C455" s="6">
        <f ca="1">IFERROR(__xludf.DUMMYFUNCTION("""COMPUTED_VALUE"""),10474)</f>
        <v>10474</v>
      </c>
      <c r="D455" s="6" t="str">
        <f ca="1">IFERROR(__xludf.DUMMYFUNCTION("""COMPUTED_VALUE"""),"Yes")</f>
        <v>Yes</v>
      </c>
      <c r="E455" s="6" t="str">
        <f ca="1">IFERROR(__xludf.DUMMYFUNCTION("""COMPUTED_VALUE"""),"Parked")</f>
        <v>Parked</v>
      </c>
    </row>
    <row r="456" spans="1:5">
      <c r="A456" s="6" t="str">
        <f ca="1">IFERROR(__xludf.DUMMYFUNCTION("""COMPUTED_VALUE"""),"Qualification")</f>
        <v>Qualification</v>
      </c>
      <c r="B456" s="6">
        <f ca="1">IFERROR(__xludf.DUMMYFUNCTION("""COMPUTED_VALUE"""),50)</f>
        <v>50</v>
      </c>
      <c r="C456" s="6">
        <f ca="1">IFERROR(__xludf.DUMMYFUNCTION("""COMPUTED_VALUE"""),2177)</f>
        <v>2177</v>
      </c>
      <c r="D456" s="6" t="str">
        <f ca="1">IFERROR(__xludf.DUMMYFUNCTION("""COMPUTED_VALUE"""),"Yes")</f>
        <v>Yes</v>
      </c>
      <c r="E456" s="6" t="str">
        <f ca="1">IFERROR(__xludf.DUMMYFUNCTION("""COMPUTED_VALUE"""),"Parked")</f>
        <v>Parked</v>
      </c>
    </row>
    <row r="457" spans="1:5">
      <c r="A457" s="6" t="str">
        <f ca="1">IFERROR(__xludf.DUMMYFUNCTION("""COMPUTED_VALUE"""),"Qualification")</f>
        <v>Qualification</v>
      </c>
      <c r="B457" s="6">
        <f ca="1">IFERROR(__xludf.DUMMYFUNCTION("""COMPUTED_VALUE"""),51)</f>
        <v>51</v>
      </c>
      <c r="C457" s="6">
        <f ca="1">IFERROR(__xludf.DUMMYFUNCTION("""COMPUTED_VALUE"""),3298)</f>
        <v>3298</v>
      </c>
      <c r="D457" s="6" t="str">
        <f ca="1">IFERROR(__xludf.DUMMYFUNCTION("""COMPUTED_VALUE"""),"Yes")</f>
        <v>Yes</v>
      </c>
      <c r="E457" s="6" t="str">
        <f ca="1">IFERROR(__xludf.DUMMYFUNCTION("""COMPUTED_VALUE"""),"Parked")</f>
        <v>Parked</v>
      </c>
    </row>
    <row r="458" spans="1:5">
      <c r="A458" s="6" t="str">
        <f ca="1">IFERROR(__xludf.DUMMYFUNCTION("""COMPUTED_VALUE"""),"Qualification")</f>
        <v>Qualification</v>
      </c>
      <c r="B458" s="6">
        <f ca="1">IFERROR(__xludf.DUMMYFUNCTION("""COMPUTED_VALUE"""),52)</f>
        <v>52</v>
      </c>
      <c r="C458" s="6">
        <f ca="1">IFERROR(__xludf.DUMMYFUNCTION("""COMPUTED_VALUE"""),6758)</f>
        <v>6758</v>
      </c>
      <c r="D458" s="6" t="str">
        <f ca="1">IFERROR(__xludf.DUMMYFUNCTION("""COMPUTED_VALUE"""),"Yes")</f>
        <v>Yes</v>
      </c>
      <c r="E458" s="6" t="str">
        <f ca="1">IFERROR(__xludf.DUMMYFUNCTION("""COMPUTED_VALUE"""),"DeepCage")</f>
        <v>DeepCage</v>
      </c>
    </row>
    <row r="459" spans="1:5">
      <c r="A459" s="6" t="str">
        <f ca="1">IFERROR(__xludf.DUMMYFUNCTION("""COMPUTED_VALUE"""),"Qualification")</f>
        <v>Qualification</v>
      </c>
      <c r="B459" s="6">
        <f ca="1">IFERROR(__xludf.DUMMYFUNCTION("""COMPUTED_VALUE"""),53)</f>
        <v>53</v>
      </c>
      <c r="C459" s="6">
        <f ca="1">IFERROR(__xludf.DUMMYFUNCTION("""COMPUTED_VALUE"""),6047)</f>
        <v>6047</v>
      </c>
      <c r="D459" s="6" t="str">
        <f ca="1">IFERROR(__xludf.DUMMYFUNCTION("""COMPUTED_VALUE"""),"Yes")</f>
        <v>Yes</v>
      </c>
      <c r="E459" s="6" t="str">
        <f ca="1">IFERROR(__xludf.DUMMYFUNCTION("""COMPUTED_VALUE"""),"None")</f>
        <v>None</v>
      </c>
    </row>
    <row r="460" spans="1:5">
      <c r="A460" s="6" t="str">
        <f ca="1">IFERROR(__xludf.DUMMYFUNCTION("""COMPUTED_VALUE"""),"Qualification")</f>
        <v>Qualification</v>
      </c>
      <c r="B460" s="6">
        <f ca="1">IFERROR(__xludf.DUMMYFUNCTION("""COMPUTED_VALUE"""),54)</f>
        <v>54</v>
      </c>
      <c r="C460" s="6">
        <f ca="1">IFERROR(__xludf.DUMMYFUNCTION("""COMPUTED_VALUE"""),6044)</f>
        <v>6044</v>
      </c>
      <c r="D460" s="6" t="str">
        <f ca="1">IFERROR(__xludf.DUMMYFUNCTION("""COMPUTED_VALUE"""),"No")</f>
        <v>No</v>
      </c>
      <c r="E460" s="6" t="str">
        <f ca="1">IFERROR(__xludf.DUMMYFUNCTION("""COMPUTED_VALUE"""),"Parked")</f>
        <v>Parked</v>
      </c>
    </row>
    <row r="461" spans="1:5">
      <c r="A461" s="6" t="str">
        <f ca="1">IFERROR(__xludf.DUMMYFUNCTION("""COMPUTED_VALUE"""),"Qualification")</f>
        <v>Qualification</v>
      </c>
      <c r="B461" s="6">
        <f ca="1">IFERROR(__xludf.DUMMYFUNCTION("""COMPUTED_VALUE"""),55)</f>
        <v>55</v>
      </c>
      <c r="C461" s="6">
        <f ca="1">IFERROR(__xludf.DUMMYFUNCTION("""COMPUTED_VALUE"""),1410)</f>
        <v>1410</v>
      </c>
      <c r="D461" s="6" t="str">
        <f ca="1">IFERROR(__xludf.DUMMYFUNCTION("""COMPUTED_VALUE"""),"Yes")</f>
        <v>Yes</v>
      </c>
      <c r="E461" s="6" t="str">
        <f ca="1">IFERROR(__xludf.DUMMYFUNCTION("""COMPUTED_VALUE"""),"Parked")</f>
        <v>Parked</v>
      </c>
    </row>
    <row r="462" spans="1:5">
      <c r="A462" s="6" t="str">
        <f ca="1">IFERROR(__xludf.DUMMYFUNCTION("""COMPUTED_VALUE"""),"Qualification")</f>
        <v>Qualification</v>
      </c>
      <c r="B462" s="6">
        <f ca="1">IFERROR(__xludf.DUMMYFUNCTION("""COMPUTED_VALUE"""),56)</f>
        <v>56</v>
      </c>
      <c r="C462" s="6">
        <f ca="1">IFERROR(__xludf.DUMMYFUNCTION("""COMPUTED_VALUE"""),4009)</f>
        <v>4009</v>
      </c>
      <c r="D462" s="6" t="str">
        <f ca="1">IFERROR(__xludf.DUMMYFUNCTION("""COMPUTED_VALUE"""),"Yes")</f>
        <v>Yes</v>
      </c>
      <c r="E462" s="6" t="str">
        <f ca="1">IFERROR(__xludf.DUMMYFUNCTION("""COMPUTED_VALUE"""),"Parked")</f>
        <v>Parked</v>
      </c>
    </row>
    <row r="463" spans="1:5">
      <c r="A463" s="6" t="str">
        <f ca="1">IFERROR(__xludf.DUMMYFUNCTION("""COMPUTED_VALUE"""),"Qualification")</f>
        <v>Qualification</v>
      </c>
      <c r="B463" s="6">
        <f ca="1">IFERROR(__xludf.DUMMYFUNCTION("""COMPUTED_VALUE"""),57)</f>
        <v>57</v>
      </c>
      <c r="C463" s="6">
        <f ca="1">IFERROR(__xludf.DUMMYFUNCTION("""COMPUTED_VALUE"""),3042)</f>
        <v>3042</v>
      </c>
      <c r="D463" s="6" t="str">
        <f ca="1">IFERROR(__xludf.DUMMYFUNCTION("""COMPUTED_VALUE"""),"No")</f>
        <v>No</v>
      </c>
      <c r="E463" s="6" t="str">
        <f ca="1">IFERROR(__xludf.DUMMYFUNCTION("""COMPUTED_VALUE"""),"None")</f>
        <v>None</v>
      </c>
    </row>
    <row r="464" spans="1:5">
      <c r="A464" s="6" t="str">
        <f ca="1">IFERROR(__xludf.DUMMYFUNCTION("""COMPUTED_VALUE"""),"Qualification")</f>
        <v>Qualification</v>
      </c>
      <c r="B464" s="6">
        <f ca="1">IFERROR(__xludf.DUMMYFUNCTION("""COMPUTED_VALUE"""),58)</f>
        <v>58</v>
      </c>
      <c r="C464" s="6">
        <f ca="1">IFERROR(__xludf.DUMMYFUNCTION("""COMPUTED_VALUE"""),2491)</f>
        <v>2491</v>
      </c>
      <c r="D464" s="6" t="str">
        <f ca="1">IFERROR(__xludf.DUMMYFUNCTION("""COMPUTED_VALUE"""),"Yes")</f>
        <v>Yes</v>
      </c>
      <c r="E464" s="6" t="str">
        <f ca="1">IFERROR(__xludf.DUMMYFUNCTION("""COMPUTED_VALUE"""),"Parked")</f>
        <v>Parked</v>
      </c>
    </row>
    <row r="465" spans="1:5">
      <c r="A465" s="6" t="str">
        <f ca="1">IFERROR(__xludf.DUMMYFUNCTION("""COMPUTED_VALUE"""),"Qualification")</f>
        <v>Qualification</v>
      </c>
      <c r="B465" s="6">
        <f ca="1">IFERROR(__xludf.DUMMYFUNCTION("""COMPUTED_VALUE"""),59)</f>
        <v>59</v>
      </c>
      <c r="C465" s="6">
        <f ca="1">IFERROR(__xludf.DUMMYFUNCTION("""COMPUTED_VALUE"""),1816)</f>
        <v>1816</v>
      </c>
      <c r="D465" s="6" t="str">
        <f ca="1">IFERROR(__xludf.DUMMYFUNCTION("""COMPUTED_VALUE"""),"Yes")</f>
        <v>Yes</v>
      </c>
      <c r="E465" s="6" t="str">
        <f ca="1">IFERROR(__xludf.DUMMYFUNCTION("""COMPUTED_VALUE"""),"DeepCage")</f>
        <v>DeepCage</v>
      </c>
    </row>
    <row r="466" spans="1:5">
      <c r="A466" s="6" t="str">
        <f ca="1">IFERROR(__xludf.DUMMYFUNCTION("""COMPUTED_VALUE"""),"Qualification")</f>
        <v>Qualification</v>
      </c>
      <c r="B466" s="6">
        <f ca="1">IFERROR(__xludf.DUMMYFUNCTION("""COMPUTED_VALUE"""),60)</f>
        <v>60</v>
      </c>
      <c r="C466" s="6">
        <f ca="1">IFERROR(__xludf.DUMMYFUNCTION("""COMPUTED_VALUE"""),3061)</f>
        <v>3061</v>
      </c>
      <c r="D466" s="6" t="str">
        <f ca="1">IFERROR(__xludf.DUMMYFUNCTION("""COMPUTED_VALUE"""),"Yes")</f>
        <v>Yes</v>
      </c>
      <c r="E466" s="6" t="str">
        <f ca="1">IFERROR(__xludf.DUMMYFUNCTION("""COMPUTED_VALUE"""),"None")</f>
        <v>None</v>
      </c>
    </row>
    <row r="467" spans="1:5">
      <c r="A467" s="6" t="str">
        <f ca="1">IFERROR(__xludf.DUMMYFUNCTION("""COMPUTED_VALUE"""),"Qualification")</f>
        <v>Qualification</v>
      </c>
      <c r="B467" s="6">
        <f ca="1">IFERROR(__xludf.DUMMYFUNCTION("""COMPUTED_VALUE"""),61)</f>
        <v>61</v>
      </c>
      <c r="C467" s="6">
        <f ca="1">IFERROR(__xludf.DUMMYFUNCTION("""COMPUTED_VALUE"""),2240)</f>
        <v>2240</v>
      </c>
      <c r="D467" s="6" t="str">
        <f ca="1">IFERROR(__xludf.DUMMYFUNCTION("""COMPUTED_VALUE"""),"Yes")</f>
        <v>Yes</v>
      </c>
      <c r="E467" s="6" t="str">
        <f ca="1">IFERROR(__xludf.DUMMYFUNCTION("""COMPUTED_VALUE"""),"Parked")</f>
        <v>Parked</v>
      </c>
    </row>
    <row r="468" spans="1:5">
      <c r="A468" s="6" t="str">
        <f ca="1">IFERROR(__xludf.DUMMYFUNCTION("""COMPUTED_VALUE"""),"Qualification")</f>
        <v>Qualification</v>
      </c>
      <c r="B468" s="6">
        <f ca="1">IFERROR(__xludf.DUMMYFUNCTION("""COMPUTED_VALUE"""),62)</f>
        <v>62</v>
      </c>
      <c r="C468" s="6">
        <f ca="1">IFERROR(__xludf.DUMMYFUNCTION("""COMPUTED_VALUE"""),4623)</f>
        <v>4623</v>
      </c>
      <c r="D468" s="6" t="str">
        <f ca="1">IFERROR(__xludf.DUMMYFUNCTION("""COMPUTED_VALUE"""),"Yes")</f>
        <v>Yes</v>
      </c>
      <c r="E468" s="6" t="str">
        <f ca="1">IFERROR(__xludf.DUMMYFUNCTION("""COMPUTED_VALUE"""),"None")</f>
        <v>None</v>
      </c>
    </row>
    <row r="469" spans="1:5">
      <c r="A469" s="6" t="str">
        <f ca="1">IFERROR(__xludf.DUMMYFUNCTION("""COMPUTED_VALUE"""),"Qualification")</f>
        <v>Qualification</v>
      </c>
      <c r="B469" s="6">
        <f ca="1">IFERROR(__xludf.DUMMYFUNCTION("""COMPUTED_VALUE"""),63)</f>
        <v>63</v>
      </c>
      <c r="C469" s="6">
        <f ca="1">IFERROR(__xludf.DUMMYFUNCTION("""COMPUTED_VALUE"""),5720)</f>
        <v>5720</v>
      </c>
      <c r="D469" s="6" t="str">
        <f ca="1">IFERROR(__xludf.DUMMYFUNCTION("""COMPUTED_VALUE"""),"Yes")</f>
        <v>Yes</v>
      </c>
      <c r="E469" s="6" t="str">
        <f ca="1">IFERROR(__xludf.DUMMYFUNCTION("""COMPUTED_VALUE"""),"Parked")</f>
        <v>Parked</v>
      </c>
    </row>
    <row r="470" spans="1:5">
      <c r="A470" s="6" t="str">
        <f ca="1">IFERROR(__xludf.DUMMYFUNCTION("""COMPUTED_VALUE"""),"Qualification")</f>
        <v>Qualification</v>
      </c>
      <c r="B470" s="6">
        <f ca="1">IFERROR(__xludf.DUMMYFUNCTION("""COMPUTED_VALUE"""),64)</f>
        <v>64</v>
      </c>
      <c r="C470" s="6">
        <f ca="1">IFERROR(__xludf.DUMMYFUNCTION("""COMPUTED_VALUE"""),3883)</f>
        <v>3883</v>
      </c>
      <c r="D470" s="6" t="str">
        <f ca="1">IFERROR(__xludf.DUMMYFUNCTION("""COMPUTED_VALUE"""),"Yes")</f>
        <v>Yes</v>
      </c>
      <c r="E470" s="6" t="str">
        <f ca="1">IFERROR(__xludf.DUMMYFUNCTION("""COMPUTED_VALUE"""),"DeepCage")</f>
        <v>DeepCage</v>
      </c>
    </row>
    <row r="471" spans="1:5">
      <c r="A471" s="6" t="str">
        <f ca="1">IFERROR(__xludf.DUMMYFUNCTION("""COMPUTED_VALUE"""),"Qualification")</f>
        <v>Qualification</v>
      </c>
      <c r="B471" s="6">
        <f ca="1">IFERROR(__xludf.DUMMYFUNCTION("""COMPUTED_VALUE"""),65)</f>
        <v>65</v>
      </c>
      <c r="C471" s="6">
        <f ca="1">IFERROR(__xludf.DUMMYFUNCTION("""COMPUTED_VALUE"""),2290)</f>
        <v>2290</v>
      </c>
      <c r="D471" s="6" t="str">
        <f ca="1">IFERROR(__xludf.DUMMYFUNCTION("""COMPUTED_VALUE"""),"Yes")</f>
        <v>Yes</v>
      </c>
      <c r="E471" s="6" t="str">
        <f ca="1">IFERROR(__xludf.DUMMYFUNCTION("""COMPUTED_VALUE"""),"Parked")</f>
        <v>Parked</v>
      </c>
    </row>
    <row r="472" spans="1:5">
      <c r="A472" s="6" t="str">
        <f ca="1">IFERROR(__xludf.DUMMYFUNCTION("""COMPUTED_VALUE"""),"Qualification")</f>
        <v>Qualification</v>
      </c>
      <c r="B472" s="6">
        <f ca="1">IFERROR(__xludf.DUMMYFUNCTION("""COMPUTED_VALUE"""),66)</f>
        <v>66</v>
      </c>
      <c r="C472" s="6">
        <f ca="1">IFERROR(__xludf.DUMMYFUNCTION("""COMPUTED_VALUE"""),2513)</f>
        <v>2513</v>
      </c>
      <c r="D472" s="6" t="str">
        <f ca="1">IFERROR(__xludf.DUMMYFUNCTION("""COMPUTED_VALUE"""),"Yes")</f>
        <v>Yes</v>
      </c>
      <c r="E472" s="6" t="str">
        <f ca="1">IFERROR(__xludf.DUMMYFUNCTION("""COMPUTED_VALUE"""),"None")</f>
        <v>None</v>
      </c>
    </row>
    <row r="473" spans="1:5">
      <c r="A473" s="6" t="str">
        <f ca="1">IFERROR(__xludf.DUMMYFUNCTION("""COMPUTED_VALUE"""),"Qualification")</f>
        <v>Qualification</v>
      </c>
      <c r="B473" s="6">
        <f ca="1">IFERROR(__xludf.DUMMYFUNCTION("""COMPUTED_VALUE"""),67)</f>
        <v>67</v>
      </c>
      <c r="C473" s="6">
        <f ca="1">IFERROR(__xludf.DUMMYFUNCTION("""COMPUTED_VALUE"""),525)</f>
        <v>525</v>
      </c>
      <c r="D473" s="6" t="str">
        <f ca="1">IFERROR(__xludf.DUMMYFUNCTION("""COMPUTED_VALUE"""),"Yes")</f>
        <v>Yes</v>
      </c>
      <c r="E473" s="6" t="str">
        <f ca="1">IFERROR(__xludf.DUMMYFUNCTION("""COMPUTED_VALUE"""),"Parked")</f>
        <v>Parked</v>
      </c>
    </row>
    <row r="474" spans="1:5">
      <c r="A474" s="6" t="str">
        <f ca="1">IFERROR(__xludf.DUMMYFUNCTION("""COMPUTED_VALUE"""),"Qualification")</f>
        <v>Qualification</v>
      </c>
      <c r="B474" s="6">
        <f ca="1">IFERROR(__xludf.DUMMYFUNCTION("""COMPUTED_VALUE"""),68)</f>
        <v>68</v>
      </c>
      <c r="C474" s="6">
        <f ca="1">IFERROR(__xludf.DUMMYFUNCTION("""COMPUTED_VALUE"""),112)</f>
        <v>112</v>
      </c>
      <c r="D474" s="6" t="str">
        <f ca="1">IFERROR(__xludf.DUMMYFUNCTION("""COMPUTED_VALUE"""),"Yes")</f>
        <v>Yes</v>
      </c>
      <c r="E474" s="6" t="str">
        <f ca="1">IFERROR(__xludf.DUMMYFUNCTION("""COMPUTED_VALUE"""),"Parked")</f>
        <v>Parked</v>
      </c>
    </row>
    <row r="475" spans="1:5">
      <c r="A475" s="6" t="str">
        <f ca="1">IFERROR(__xludf.DUMMYFUNCTION("""COMPUTED_VALUE"""),"Qualification")</f>
        <v>Qualification</v>
      </c>
      <c r="B475" s="6">
        <f ca="1">IFERROR(__xludf.DUMMYFUNCTION("""COMPUTED_VALUE"""),69)</f>
        <v>69</v>
      </c>
      <c r="C475" s="6">
        <f ca="1">IFERROR(__xludf.DUMMYFUNCTION("""COMPUTED_VALUE"""),3042)</f>
        <v>3042</v>
      </c>
      <c r="D475" s="6" t="str">
        <f ca="1">IFERROR(__xludf.DUMMYFUNCTION("""COMPUTED_VALUE"""),"Yes")</f>
        <v>Yes</v>
      </c>
      <c r="E475" s="6" t="str">
        <f ca="1">IFERROR(__xludf.DUMMYFUNCTION("""COMPUTED_VALUE"""),"Parked")</f>
        <v>Parked</v>
      </c>
    </row>
    <row r="476" spans="1:5">
      <c r="A476" s="6" t="str">
        <f ca="1">IFERROR(__xludf.DUMMYFUNCTION("""COMPUTED_VALUE"""),"Qualification")</f>
        <v>Qualification</v>
      </c>
      <c r="B476" s="6">
        <f ca="1">IFERROR(__xludf.DUMMYFUNCTION("""COMPUTED_VALUE"""),70)</f>
        <v>70</v>
      </c>
      <c r="C476" s="6">
        <f ca="1">IFERROR(__xludf.DUMMYFUNCTION("""COMPUTED_VALUE"""),3061)</f>
        <v>3061</v>
      </c>
      <c r="D476" s="6" t="str">
        <f ca="1">IFERROR(__xludf.DUMMYFUNCTION("""COMPUTED_VALUE"""),"Yes")</f>
        <v>Yes</v>
      </c>
      <c r="E476" s="6" t="str">
        <f ca="1">IFERROR(__xludf.DUMMYFUNCTION("""COMPUTED_VALUE"""),"Parked")</f>
        <v>Parked</v>
      </c>
    </row>
    <row r="477" spans="1:5">
      <c r="A477" s="6" t="str">
        <f ca="1">IFERROR(__xludf.DUMMYFUNCTION("""COMPUTED_VALUE"""),"Qualification")</f>
        <v>Qualification</v>
      </c>
      <c r="B477" s="6">
        <f ca="1">IFERROR(__xludf.DUMMYFUNCTION("""COMPUTED_VALUE"""),71)</f>
        <v>71</v>
      </c>
      <c r="C477" s="6">
        <f ca="1">IFERROR(__xludf.DUMMYFUNCTION("""COMPUTED_VALUE"""),10173)</f>
        <v>10173</v>
      </c>
      <c r="D477" s="6" t="str">
        <f ca="1">IFERROR(__xludf.DUMMYFUNCTION("""COMPUTED_VALUE"""),"Yes")</f>
        <v>Yes</v>
      </c>
      <c r="E477" s="6" t="str">
        <f ca="1">IFERROR(__xludf.DUMMYFUNCTION("""COMPUTED_VALUE"""),"Parked")</f>
        <v>Parked</v>
      </c>
    </row>
    <row r="478" spans="1:5">
      <c r="A478" s="6" t="str">
        <f ca="1">IFERROR(__xludf.DUMMYFUNCTION("""COMPUTED_VALUE"""),"Qualification")</f>
        <v>Qualification</v>
      </c>
      <c r="B478" s="6">
        <f ca="1">IFERROR(__xludf.DUMMYFUNCTION("""COMPUTED_VALUE"""),72)</f>
        <v>72</v>
      </c>
      <c r="C478" s="6">
        <f ca="1">IFERROR(__xludf.DUMMYFUNCTION("""COMPUTED_VALUE"""),4593)</f>
        <v>4593</v>
      </c>
      <c r="D478" s="6" t="str">
        <f ca="1">IFERROR(__xludf.DUMMYFUNCTION("""COMPUTED_VALUE"""),"Yes")</f>
        <v>Yes</v>
      </c>
      <c r="E478" s="6" t="str">
        <f ca="1">IFERROR(__xludf.DUMMYFUNCTION("""COMPUTED_VALUE"""),"None")</f>
        <v>None</v>
      </c>
    </row>
    <row r="479" spans="1:5">
      <c r="A479" s="6" t="str">
        <f ca="1">IFERROR(__xludf.DUMMYFUNCTION("""COMPUTED_VALUE"""),"Qualification")</f>
        <v>Qualification</v>
      </c>
      <c r="B479" s="6">
        <f ca="1">IFERROR(__xludf.DUMMYFUNCTION("""COMPUTED_VALUE"""),73)</f>
        <v>73</v>
      </c>
      <c r="C479" s="6">
        <f ca="1">IFERROR(__xludf.DUMMYFUNCTION("""COMPUTED_VALUE"""),7021)</f>
        <v>7021</v>
      </c>
      <c r="D479" s="6" t="str">
        <f ca="1">IFERROR(__xludf.DUMMYFUNCTION("""COMPUTED_VALUE"""),"Yes")</f>
        <v>Yes</v>
      </c>
      <c r="E479" s="6" t="str">
        <f ca="1">IFERROR(__xludf.DUMMYFUNCTION("""COMPUTED_VALUE"""),"DeepCage")</f>
        <v>DeepCage</v>
      </c>
    </row>
    <row r="480" spans="1:5">
      <c r="A480" s="6" t="str">
        <f ca="1">IFERROR(__xludf.DUMMYFUNCTION("""COMPUTED_VALUE"""),"Qualification")</f>
        <v>Qualification</v>
      </c>
      <c r="B480" s="6">
        <f ca="1">IFERROR(__xludf.DUMMYFUNCTION("""COMPUTED_VALUE"""),74)</f>
        <v>74</v>
      </c>
      <c r="C480" s="6">
        <f ca="1">IFERROR(__xludf.DUMMYFUNCTION("""COMPUTED_VALUE"""),4531)</f>
        <v>4531</v>
      </c>
      <c r="D480" s="6" t="str">
        <f ca="1">IFERROR(__xludf.DUMMYFUNCTION("""COMPUTED_VALUE"""),"Yes")</f>
        <v>Yes</v>
      </c>
      <c r="E480" s="6" t="str">
        <f ca="1">IFERROR(__xludf.DUMMYFUNCTION("""COMPUTED_VALUE"""),"None")</f>
        <v>None</v>
      </c>
    </row>
    <row r="481" spans="1:5">
      <c r="A481" s="6" t="str">
        <f ca="1">IFERROR(__xludf.DUMMYFUNCTION("""COMPUTED_VALUE"""),"Qualification")</f>
        <v>Qualification</v>
      </c>
      <c r="B481" s="6">
        <f ca="1">IFERROR(__xludf.DUMMYFUNCTION("""COMPUTED_VALUE"""),75)</f>
        <v>75</v>
      </c>
      <c r="C481" s="6">
        <f ca="1">IFERROR(__xludf.DUMMYFUNCTION("""COMPUTED_VALUE"""),2383)</f>
        <v>2383</v>
      </c>
      <c r="D481" s="6" t="str">
        <f ca="1">IFERROR(__xludf.DUMMYFUNCTION("""COMPUTED_VALUE"""),"Yes")</f>
        <v>Yes</v>
      </c>
      <c r="E481" s="6" t="str">
        <f ca="1">IFERROR(__xludf.DUMMYFUNCTION("""COMPUTED_VALUE"""),"DeepCage")</f>
        <v>DeepCage</v>
      </c>
    </row>
    <row r="482" spans="1:5">
      <c r="A482" s="6" t="str">
        <f ca="1">IFERROR(__xludf.DUMMYFUNCTION("""COMPUTED_VALUE"""),"Qualification")</f>
        <v>Qualification</v>
      </c>
      <c r="B482" s="6">
        <f ca="1">IFERROR(__xludf.DUMMYFUNCTION("""COMPUTED_VALUE"""),76)</f>
        <v>76</v>
      </c>
      <c r="C482" s="6">
        <f ca="1">IFERROR(__xludf.DUMMYFUNCTION("""COMPUTED_VALUE"""),2531)</f>
        <v>2531</v>
      </c>
      <c r="D482" s="6" t="str">
        <f ca="1">IFERROR(__xludf.DUMMYFUNCTION("""COMPUTED_VALUE"""),"Yes")</f>
        <v>Yes</v>
      </c>
      <c r="E482" s="6" t="str">
        <f ca="1">IFERROR(__xludf.DUMMYFUNCTION("""COMPUTED_VALUE"""),"Parked")</f>
        <v>Parked</v>
      </c>
    </row>
    <row r="483" spans="1:5">
      <c r="A483" s="6" t="str">
        <f ca="1">IFERROR(__xludf.DUMMYFUNCTION("""COMPUTED_VALUE"""),"Qualification")</f>
        <v>Qualification</v>
      </c>
      <c r="B483" s="6">
        <f ca="1">IFERROR(__xludf.DUMMYFUNCTION("""COMPUTED_VALUE"""),77)</f>
        <v>77</v>
      </c>
      <c r="C483" s="6">
        <f ca="1">IFERROR(__xludf.DUMMYFUNCTION("""COMPUTED_VALUE"""),3061)</f>
        <v>3061</v>
      </c>
      <c r="D483" s="6" t="str">
        <f ca="1">IFERROR(__xludf.DUMMYFUNCTION("""COMPUTED_VALUE"""),"Yes")</f>
        <v>Yes</v>
      </c>
      <c r="E483" s="6" t="str">
        <f ca="1">IFERROR(__xludf.DUMMYFUNCTION("""COMPUTED_VALUE"""),"Parked")</f>
        <v>Parked</v>
      </c>
    </row>
    <row r="484" spans="1:5">
      <c r="A484" s="6" t="str">
        <f ca="1">IFERROR(__xludf.DUMMYFUNCTION("""COMPUTED_VALUE"""),"Qualification")</f>
        <v>Qualification</v>
      </c>
      <c r="B484" s="6">
        <f ca="1">IFERROR(__xludf.DUMMYFUNCTION("""COMPUTED_VALUE"""),78)</f>
        <v>78</v>
      </c>
      <c r="C484" s="6">
        <f ca="1">IFERROR(__xludf.DUMMYFUNCTION("""COMPUTED_VALUE"""),5253)</f>
        <v>5253</v>
      </c>
      <c r="D484" s="6" t="str">
        <f ca="1">IFERROR(__xludf.DUMMYFUNCTION("""COMPUTED_VALUE"""),"Yes")</f>
        <v>Yes</v>
      </c>
      <c r="E484" s="6" t="str">
        <f ca="1">IFERROR(__xludf.DUMMYFUNCTION("""COMPUTED_VALUE"""),"None")</f>
        <v>None</v>
      </c>
    </row>
    <row r="485" spans="1:5">
      <c r="A485" s="6" t="str">
        <f ca="1">IFERROR(__xludf.DUMMYFUNCTION("""COMPUTED_VALUE"""),"Qualification")</f>
        <v>Qualification</v>
      </c>
      <c r="B485" s="6">
        <f ca="1">IFERROR(__xludf.DUMMYFUNCTION("""COMPUTED_VALUE"""),79)</f>
        <v>79</v>
      </c>
      <c r="C485" s="6">
        <f ca="1">IFERROR(__xludf.DUMMYFUNCTION("""COMPUTED_VALUE"""),2177)</f>
        <v>2177</v>
      </c>
      <c r="D485" s="6" t="str">
        <f ca="1">IFERROR(__xludf.DUMMYFUNCTION("""COMPUTED_VALUE"""),"Yes")</f>
        <v>Yes</v>
      </c>
      <c r="E485" s="6" t="str">
        <f ca="1">IFERROR(__xludf.DUMMYFUNCTION("""COMPUTED_VALUE"""),"Parked")</f>
        <v>Parked</v>
      </c>
    </row>
    <row r="486" spans="1:5">
      <c r="A486" s="6" t="str">
        <f ca="1">IFERROR(__xludf.DUMMYFUNCTION("""COMPUTED_VALUE"""),"Qualification")</f>
        <v>Qualification</v>
      </c>
      <c r="B486" s="6">
        <f ca="1">IFERROR(__xludf.DUMMYFUNCTION("""COMPUTED_VALUE"""),80)</f>
        <v>80</v>
      </c>
      <c r="C486" s="6">
        <f ca="1">IFERROR(__xludf.DUMMYFUNCTION("""COMPUTED_VALUE"""),4215)</f>
        <v>4215</v>
      </c>
      <c r="D486" s="6" t="str">
        <f ca="1">IFERROR(__xludf.DUMMYFUNCTION("""COMPUTED_VALUE"""),"Yes")</f>
        <v>Yes</v>
      </c>
      <c r="E486" s="6" t="str">
        <f ca="1">IFERROR(__xludf.DUMMYFUNCTION("""COMPUTED_VALUE"""),"Parked")</f>
        <v>Parked</v>
      </c>
    </row>
    <row r="487" spans="1:5">
      <c r="A487" s="6" t="str">
        <f ca="1">IFERROR(__xludf.DUMMYFUNCTION("""COMPUTED_VALUE"""),"Qualification")</f>
        <v>Qualification</v>
      </c>
      <c r="B487" s="6">
        <f ca="1">IFERROR(__xludf.DUMMYFUNCTION("""COMPUTED_VALUE"""),81)</f>
        <v>81</v>
      </c>
      <c r="C487" s="6">
        <f ca="1">IFERROR(__xludf.DUMMYFUNCTION("""COMPUTED_VALUE"""),6758)</f>
        <v>6758</v>
      </c>
      <c r="D487" s="6" t="str">
        <f ca="1">IFERROR(__xludf.DUMMYFUNCTION("""COMPUTED_VALUE"""),"Yes")</f>
        <v>Yes</v>
      </c>
      <c r="E487" s="6" t="str">
        <f ca="1">IFERROR(__xludf.DUMMYFUNCTION("""COMPUTED_VALUE"""),"DeepCage")</f>
        <v>DeepCage</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outlinePr summaryBelow="0" summaryRight="0"/>
  </sheetPr>
  <dimension ref="A1:BR3410"/>
  <sheetViews>
    <sheetView workbookViewId="0">
      <pane ySplit="2" topLeftCell="A3" activePane="bottomLeft" state="frozen"/>
      <selection pane="bottomLeft" activeCell="B4" sqref="B4"/>
    </sheetView>
  </sheetViews>
  <sheetFormatPr defaultColWidth="12.5703125" defaultRowHeight="15.75" customHeight="1"/>
  <cols>
    <col min="1" max="1" width="11.42578125" customWidth="1"/>
    <col min="2" max="2" width="11.85546875" customWidth="1"/>
    <col min="3" max="3" width="11.140625" customWidth="1"/>
    <col min="4" max="4" width="11.42578125" customWidth="1"/>
    <col min="5" max="5" width="7.7109375" customWidth="1"/>
    <col min="6" max="7" width="14.140625" customWidth="1"/>
    <col min="8" max="8" width="7.7109375" customWidth="1"/>
    <col min="9" max="9" width="23.42578125" customWidth="1"/>
    <col min="10" max="10" width="22.85546875" customWidth="1"/>
    <col min="11" max="11" width="21.42578125" customWidth="1"/>
    <col min="12" max="12" width="16.42578125" customWidth="1"/>
    <col min="13" max="16" width="14" customWidth="1"/>
    <col min="17" max="17" width="20.85546875" customWidth="1"/>
    <col min="18" max="18" width="30.42578125" customWidth="1"/>
    <col min="19" max="19" width="31.42578125" customWidth="1"/>
    <col min="20" max="21" width="26.5703125" customWidth="1"/>
    <col min="22" max="22" width="28.28515625" customWidth="1"/>
    <col min="23" max="23" width="28.42578125" customWidth="1"/>
    <col min="24" max="24" width="27.28515625" customWidth="1"/>
    <col min="25" max="26" width="22.5703125" customWidth="1"/>
    <col min="27" max="27" width="32.140625" customWidth="1"/>
    <col min="28" max="28" width="34" customWidth="1"/>
    <col min="29" max="30" width="22.85546875" customWidth="1"/>
    <col min="31" max="31" width="16.42578125" customWidth="1"/>
    <col min="32" max="35" width="14" customWidth="1"/>
    <col min="36" max="36" width="10.7109375" customWidth="1"/>
    <col min="37" max="37" width="23.28515625" customWidth="1"/>
    <col min="38" max="38" width="15.140625" customWidth="1"/>
    <col min="39" max="39" width="13.140625" customWidth="1"/>
    <col min="40" max="40" width="17" customWidth="1"/>
    <col min="41" max="42" width="16.5703125" customWidth="1"/>
    <col min="43" max="43" width="10.7109375" customWidth="1"/>
    <col min="44" max="44" width="16.28515625" customWidth="1"/>
    <col min="45" max="45" width="3.42578125" customWidth="1"/>
    <col min="46" max="47" width="14.5703125" customWidth="1"/>
    <col min="48" max="48" width="9.42578125" customWidth="1"/>
    <col min="49" max="49" width="6.42578125" customWidth="1"/>
    <col min="50" max="50" width="19.5703125" customWidth="1"/>
    <col min="51" max="51" width="26.7109375" customWidth="1"/>
    <col min="52" max="52" width="16.140625" customWidth="1"/>
    <col min="53" max="53" width="14.85546875" customWidth="1"/>
    <col min="54" max="54" width="23" customWidth="1"/>
    <col min="55" max="55" width="14.7109375" customWidth="1"/>
    <col min="56" max="56" width="21.42578125" customWidth="1"/>
    <col min="57" max="57" width="23.28515625" customWidth="1"/>
    <col min="58" max="58" width="17.140625" customWidth="1"/>
    <col min="59" max="59" width="16.42578125" customWidth="1"/>
    <col min="60" max="60" width="21.7109375" customWidth="1"/>
    <col min="61" max="61" width="15.85546875" customWidth="1"/>
    <col min="62" max="64" width="16.28515625" customWidth="1"/>
    <col min="65" max="65" width="10.5703125" customWidth="1"/>
    <col min="66" max="66" width="18.28515625" customWidth="1"/>
    <col min="67" max="67" width="2.85546875" customWidth="1"/>
    <col min="68" max="68" width="10.28515625" customWidth="1"/>
    <col min="69" max="70" width="19.28515625" customWidth="1"/>
  </cols>
  <sheetData>
    <row r="1" spans="1:70">
      <c r="A1" s="6" t="s">
        <v>723</v>
      </c>
      <c r="B1" s="6" t="s">
        <v>721</v>
      </c>
      <c r="C1" s="6" t="s">
        <v>724</v>
      </c>
      <c r="D1" s="6" t="s">
        <v>104</v>
      </c>
      <c r="E1" s="6" t="s">
        <v>725</v>
      </c>
      <c r="F1" s="6" t="s">
        <v>726</v>
      </c>
      <c r="G1" s="6" t="s">
        <v>727</v>
      </c>
      <c r="H1" s="6" t="s">
        <v>18</v>
      </c>
      <c r="I1" s="6" t="s">
        <v>728</v>
      </c>
      <c r="J1" s="6" t="s">
        <v>729</v>
      </c>
      <c r="K1" s="6" t="s">
        <v>730</v>
      </c>
      <c r="L1" s="6" t="s">
        <v>731</v>
      </c>
      <c r="M1" s="6" t="s">
        <v>732</v>
      </c>
      <c r="N1" s="6" t="s">
        <v>733</v>
      </c>
      <c r="O1" s="6" t="s">
        <v>734</v>
      </c>
      <c r="P1" s="6" t="s">
        <v>46</v>
      </c>
      <c r="Q1" s="6" t="s">
        <v>735</v>
      </c>
      <c r="R1" s="6" t="s">
        <v>736</v>
      </c>
      <c r="S1" s="6" t="s">
        <v>737</v>
      </c>
      <c r="T1" s="6" t="s">
        <v>738</v>
      </c>
      <c r="U1" s="6" t="s">
        <v>739</v>
      </c>
      <c r="V1" s="6" t="s">
        <v>740</v>
      </c>
      <c r="W1" s="6" t="s">
        <v>741</v>
      </c>
      <c r="X1" s="6" t="s">
        <v>742</v>
      </c>
      <c r="Y1" s="6" t="s">
        <v>743</v>
      </c>
      <c r="Z1" s="6" t="s">
        <v>744</v>
      </c>
      <c r="AA1" s="6" t="s">
        <v>745</v>
      </c>
      <c r="AB1" s="6" t="s">
        <v>728</v>
      </c>
      <c r="AC1" s="6" t="s">
        <v>729</v>
      </c>
      <c r="AD1" s="6" t="s">
        <v>730</v>
      </c>
      <c r="AE1" s="6" t="s">
        <v>731</v>
      </c>
      <c r="AF1" s="6" t="s">
        <v>732</v>
      </c>
      <c r="AG1" s="6" t="s">
        <v>733</v>
      </c>
      <c r="AH1" s="6" t="s">
        <v>734</v>
      </c>
      <c r="AI1" s="6" t="s">
        <v>46</v>
      </c>
      <c r="AJ1" s="6" t="s">
        <v>746</v>
      </c>
      <c r="AK1" s="6" t="s">
        <v>747</v>
      </c>
      <c r="AL1" s="6" t="s">
        <v>748</v>
      </c>
      <c r="AM1" s="6" t="s">
        <v>749</v>
      </c>
      <c r="AN1" s="6" t="s">
        <v>750</v>
      </c>
      <c r="AO1" s="6" t="s">
        <v>751</v>
      </c>
      <c r="AP1" s="6" t="s">
        <v>752</v>
      </c>
      <c r="AQ1" s="6" t="s">
        <v>753</v>
      </c>
      <c r="AR1" s="6" t="s">
        <v>754</v>
      </c>
      <c r="AS1" s="15"/>
      <c r="AT1" s="6"/>
      <c r="AU1" s="6"/>
      <c r="AV1" s="6"/>
      <c r="AW1" s="6"/>
      <c r="AX1" s="6"/>
      <c r="AY1" s="6"/>
      <c r="AZ1" s="6"/>
      <c r="BA1" s="6"/>
      <c r="BB1" s="6"/>
      <c r="BC1" s="6"/>
      <c r="BD1" s="6"/>
      <c r="BE1" s="6"/>
      <c r="BF1" s="6"/>
      <c r="BG1" s="6"/>
      <c r="BH1" s="6"/>
      <c r="BI1" s="6"/>
      <c r="BJ1" s="6"/>
      <c r="BK1" s="6"/>
      <c r="BL1" s="6"/>
      <c r="BM1" s="6"/>
      <c r="BN1" s="6"/>
      <c r="BP1" s="6"/>
    </row>
    <row r="2" spans="1:70">
      <c r="A2" s="6" t="str">
        <f ca="1">IFERROR(__xludf.DUMMYFUNCTION("QUERY('RAW MATCH DATA'!C:C)"),"Type of Match")</f>
        <v>Type of Match</v>
      </c>
      <c r="B2" s="6" t="str">
        <f ca="1">IFERROR(__xludf.DUMMYFUNCTION("QUERY('RAW MATCH DATA'!D:D)"),"Match Number")</f>
        <v>Match Number</v>
      </c>
      <c r="C2" s="6" t="str">
        <f ca="1">IFERROR(__xludf.DUMMYFUNCTION("QUERY('RAW MATCH DATA'!E:E)"),"Driver Station")</f>
        <v>Driver Station</v>
      </c>
      <c r="D2" s="6" t="str">
        <f ca="1">IFERROR(__xludf.DUMMYFUNCTION("QUERY('RAW MATCH DATA'!F:F)"),"Team Number")</f>
        <v>Team Number</v>
      </c>
      <c r="E2" s="6" t="str">
        <f ca="1">IFERROR(__xludf.DUMMYFUNCTION("QUERY('RAW MATCH DATA'!G:G)"),"No Show")</f>
        <v>No Show</v>
      </c>
      <c r="F2" s="6" t="str">
        <f ca="1">IFERROR(__xludf.DUMMYFUNCTION("QUERY('RAW MATCH DATA'!H:H)"),"Starting Position")</f>
        <v>Starting Position</v>
      </c>
      <c r="G2" s="6" t="str">
        <f ca="1">IFERROR(__xludf.DUMMYFUNCTION("QUERY('RAW MATCH DATA'!I:I)"),"Pre-Loaded Coral")</f>
        <v>Pre-Loaded Coral</v>
      </c>
      <c r="H2" s="6" t="str">
        <f ca="1">IFERROR(__xludf.DUMMYFUNCTION("QUERY('RAW MATCH DATA'!J:J)"),"Leave the Starting Line?")</f>
        <v>Leave the Starting Line?</v>
      </c>
      <c r="I2" s="6" t="str">
        <f ca="1">IFERROR(__xludf.DUMMYFUNCTION("QUERY('RAW MATCH DATA'!K:K)"),"Coral Pick Up | Pro-Side Feeder Station (Auto)")</f>
        <v>Coral Pick Up | Pro-Side Feeder Station (Auto)</v>
      </c>
      <c r="J2" s="6" t="str">
        <f ca="1">IFERROR(__xludf.DUMMYFUNCTION("QUERY('RAW MATCH DATA'!L:L)"),"Coral Pick Up | Brg-Side Feeder Station (Auto)")</f>
        <v>Coral Pick Up | Brg-Side Feeder Station (Auto)</v>
      </c>
      <c r="K2" s="6" t="str">
        <f ca="1">IFERROR(__xludf.DUMMYFUNCTION("QUERY('RAW MATCH DATA'!M:M)"),"Coral Pick Up | Floor (Auto)")</f>
        <v>Coral Pick Up | Floor (Auto)</v>
      </c>
      <c r="L2" s="6" t="str">
        <f ca="1">IFERROR(__xludf.DUMMYFUNCTION("QUERY('RAW MATCH DATA'!N:N)"),"Coral Scored - L4")</f>
        <v>Coral Scored - L4</v>
      </c>
      <c r="M2" s="6" t="str">
        <f ca="1">IFERROR(__xludf.DUMMYFUNCTION("QUERY('RAW MATCH DATA'!O:O)"),"Coral Scored - L3")</f>
        <v>Coral Scored - L3</v>
      </c>
      <c r="N2" s="6" t="str">
        <f ca="1">IFERROR(__xludf.DUMMYFUNCTION("QUERY('RAW MATCH DATA'!P:P)"),"Coral Scored - L2")</f>
        <v>Coral Scored - L2</v>
      </c>
      <c r="O2" s="6" t="str">
        <f ca="1">IFERROR(__xludf.DUMMYFUNCTION("QUERY('RAW MATCH DATA'!Q:Q)"),"Coral Scored - L1")</f>
        <v>Coral Scored - L1</v>
      </c>
      <c r="P2" s="6" t="str">
        <f ca="1">IFERROR(__xludf.DUMMYFUNCTION("QUERY('RAW MATCH DATA'!R:R)"),"Coral Missed")</f>
        <v>Coral Missed</v>
      </c>
      <c r="Q2" s="6" t="s">
        <v>755</v>
      </c>
      <c r="R2" s="6" t="str">
        <f ca="1">IFERROR(__xludf.DUMMYFUNCTION("QUERY('RAW MATCH DATA'!S:S)"),"Algae Placed in Processor (Auto)")</f>
        <v>Algae Placed in Processor (Auto)</v>
      </c>
      <c r="S2" s="6" t="str">
        <f ca="1">IFERROR(__xludf.DUMMYFUNCTION("QUERY('RAW MATCH DATA'!T:T)"),"Algae in Net: Scored (Auto)")</f>
        <v>Algae in Net: Scored (Auto)</v>
      </c>
      <c r="T2" s="6" t="str">
        <f ca="1">IFERROR(__xludf.DUMMYFUNCTION("QUERY('RAW MATCH DATA'!U:U)"),"Algae in Net: Missed (Auto)")</f>
        <v>Algae in Net: Missed (Auto)</v>
      </c>
      <c r="U2" s="6" t="str">
        <f ca="1">IFERROR(__xludf.DUMMYFUNCTION("QUERY('RAW MATCH DATA'!V:V)"),"Algae Picked Off Reef (Auto)")</f>
        <v>Algae Picked Off Reef (Auto)</v>
      </c>
      <c r="V2" s="6" t="str">
        <f ca="1">IFERROR(__xludf.DUMMYFUNCTION("QUERY('RAW MATCH DATA'!W:W)"),"Algae Picked Off Floor (Auto)")</f>
        <v>Algae Picked Off Floor (Auto)</v>
      </c>
      <c r="W2" s="6" t="str">
        <f ca="1">IFERROR(__xludf.DUMMYFUNCTION("QUERY('RAW MATCH DATA'!AE:AE)"),"Algae Placed in Processor (Tele)")</f>
        <v>Algae Placed in Processor (Tele)</v>
      </c>
      <c r="X2" s="6" t="str">
        <f ca="1">IFERROR(__xludf.DUMMYFUNCTION("QUERY('RAW MATCH DATA'!AF:AF)"),"Algae in Net: Scored (Tele)")</f>
        <v>Algae in Net: Scored (Tele)</v>
      </c>
      <c r="Y2" s="6" t="str">
        <f ca="1">IFERROR(__xludf.DUMMYFUNCTION("QUERY('RAW MATCH DATA'!AG:AG)"),"Algae in Net: Missed (Tele)")</f>
        <v>Algae in Net: Missed (Tele)</v>
      </c>
      <c r="Z2" s="6" t="str">
        <f ca="1">IFERROR(__xludf.DUMMYFUNCTION("QUERY('RAW MATCH DATA'!AH:AH)"),"Algae Picked Off Reef: Controlled (Tele)")</f>
        <v>Algae Picked Off Reef: Controlled (Tele)</v>
      </c>
      <c r="AA2" s="6" t="str">
        <f ca="1">IFERROR(__xludf.DUMMYFUNCTION("QUERY('RAW MATCH DATA'!AI:AI)"),"Algae Picked Off Reef: Uncontrolled (Tele)")</f>
        <v>Algae Picked Off Reef: Uncontrolled (Tele)</v>
      </c>
      <c r="AB2" s="6" t="str">
        <f ca="1">IFERROR(__xludf.DUMMYFUNCTION("QUERY('RAW MATCH DATA'!X:X)"),"Coral Pick Up | Human Player Station (Tele)")</f>
        <v>Coral Pick Up | Human Player Station (Tele)</v>
      </c>
      <c r="AC2" s="6" t="s">
        <v>755</v>
      </c>
      <c r="AD2" s="6" t="str">
        <f ca="1">IFERROR(__xludf.DUMMYFUNCTION("QUERY('RAW MATCH DATA'!Y:Y)"),"Coral Pick Up | Floor (Tele)")</f>
        <v>Coral Pick Up | Floor (Tele)</v>
      </c>
      <c r="AE2" s="6" t="str">
        <f ca="1">IFERROR(__xludf.DUMMYFUNCTION("QUERY('RAW MATCH DATA'!AA:AA)"),"Coral Scored - L4")</f>
        <v>Coral Scored - L4</v>
      </c>
      <c r="AF2" s="6" t="str">
        <f ca="1">IFERROR(__xludf.DUMMYFUNCTION("QUERY('RAW MATCH DATA'!AB:AB)"),"Coral Scored - L3")</f>
        <v>Coral Scored - L3</v>
      </c>
      <c r="AG2" s="6" t="str">
        <f ca="1">IFERROR(__xludf.DUMMYFUNCTION("QUERY('RAW MATCH DATA'!AC:AC)"),"Coral Scored - L2")</f>
        <v>Coral Scored - L2</v>
      </c>
      <c r="AH2" s="6" t="str">
        <f ca="1">IFERROR(__xludf.DUMMYFUNCTION("QUERY('RAW MATCH DATA'!AD:AD)"),"Coral Scored - L1")</f>
        <v>Coral Scored - L1</v>
      </c>
      <c r="AI2" s="6" t="str">
        <f ca="1">IFERROR(__xludf.DUMMYFUNCTION("QUERY('RAW MATCH DATA'!Z:Z)"),"Coral Missed (Tele)")</f>
        <v>Coral Missed (Tele)</v>
      </c>
      <c r="AJ2" s="6" t="s">
        <v>756</v>
      </c>
      <c r="AK2" s="6" t="str">
        <f ca="1">IFERROR(__xludf.DUMMYFUNCTION("QUERY('RAW MATCH DATA'!AK:AK)"),"EndGame Strategy")</f>
        <v>EndGame Strategy</v>
      </c>
      <c r="AL2" s="6" t="str">
        <f ca="1">IFERROR(__xludf.DUMMYFUNCTION("QUERY('RAW MATCH DATA'!AL:AL)"),"Climb Timer")</f>
        <v>Climb Timer</v>
      </c>
      <c r="AM2" s="6" t="str">
        <f ca="1">IFERROR(__xludf.DUMMYFUNCTION("QUERY('RAW MATCH DATA'!AM:AM)"),"Cage Swinging?")</f>
        <v>Cage Swinging?</v>
      </c>
      <c r="AN2" s="6" t="str">
        <f ca="1">IFERROR(__xludf.DUMMYFUNCTION("QUERY('RAW MATCH DATA'!AN:AN)"),"End Position")</f>
        <v>End Position</v>
      </c>
      <c r="AO2" s="6" t="str">
        <f ca="1">IFERROR(__xludf.DUMMYFUNCTION("QUERY('RAW MATCH DATA'!AO:AO)"),"Endgame Comments")</f>
        <v>Endgame Comments</v>
      </c>
      <c r="AP2" s="6" t="str">
        <f ca="1">IFERROR(__xludf.DUMMYFUNCTION("QUERY('RAW MATCH DATA'!AP:AP)"),"Defense Skill x x x x x x x x x x x")</f>
        <v>Defense Skill x x x x x x x x x x x</v>
      </c>
      <c r="AQ2" s="6" t="str">
        <f ca="1">IFERROR(__xludf.DUMMYFUNCTION("QUERY('RAW MATCH DATA'!AQ:AQ)"),"Crossed Center Line")</f>
        <v>Crossed Center Line</v>
      </c>
      <c r="AR2" s="6" t="str">
        <f ca="1">IFERROR(__xludf.DUMMYFUNCTION("QUERY('RAW MATCH DATA'!AR:AR)"),"Major Mechanism Broke")</f>
        <v>Major Mechanism Broke</v>
      </c>
      <c r="AS2" s="15"/>
      <c r="AT2" s="6" t="s">
        <v>757</v>
      </c>
      <c r="AU2" s="6" t="s">
        <v>758</v>
      </c>
      <c r="AV2" s="6" t="s">
        <v>759</v>
      </c>
      <c r="AW2" s="6" t="s">
        <v>18</v>
      </c>
      <c r="AX2" s="6" t="s">
        <v>760</v>
      </c>
      <c r="AY2" s="6" t="s">
        <v>761</v>
      </c>
      <c r="AZ2" s="6" t="s">
        <v>762</v>
      </c>
      <c r="BA2" s="6" t="s">
        <v>763</v>
      </c>
      <c r="BB2" s="6" t="s">
        <v>764</v>
      </c>
      <c r="BC2" s="6" t="s">
        <v>765</v>
      </c>
      <c r="BD2" s="6" t="s">
        <v>766</v>
      </c>
      <c r="BE2" s="6" t="s">
        <v>767</v>
      </c>
      <c r="BF2" s="6" t="s">
        <v>768</v>
      </c>
      <c r="BG2" s="6" t="s">
        <v>769</v>
      </c>
      <c r="BH2" s="6" t="s">
        <v>770</v>
      </c>
      <c r="BI2" s="6" t="s">
        <v>771</v>
      </c>
      <c r="BJ2" s="6" t="s">
        <v>753</v>
      </c>
      <c r="BK2" s="6" t="s">
        <v>772</v>
      </c>
      <c r="BL2" s="6" t="s">
        <v>773</v>
      </c>
      <c r="BM2" s="6" t="s">
        <v>774</v>
      </c>
      <c r="BN2" s="6" t="s">
        <v>775</v>
      </c>
      <c r="BP2" s="6" t="s">
        <v>776</v>
      </c>
      <c r="BQ2" s="6" t="s">
        <v>777</v>
      </c>
      <c r="BR2" s="6" t="s">
        <v>778</v>
      </c>
    </row>
    <row r="3" spans="1:70">
      <c r="A3" s="6" t="str">
        <f ca="1">IFERROR(__xludf.DUMMYFUNCTION("""COMPUTED_VALUE"""),"Practice")</f>
        <v>Practice</v>
      </c>
      <c r="B3" s="6">
        <f ca="1">IFERROR(__xludf.DUMMYFUNCTION("""COMPUTED_VALUE"""),1)</f>
        <v>1</v>
      </c>
      <c r="C3" s="6" t="str">
        <f ca="1">IFERROR(__xludf.DUMMYFUNCTION("""COMPUTED_VALUE"""),"R2")</f>
        <v>R2</v>
      </c>
      <c r="D3" s="6">
        <f ca="1">IFERROR(__xludf.DUMMYFUNCTION("""COMPUTED_VALUE"""),8570)</f>
        <v>8570</v>
      </c>
      <c r="E3" s="6" t="b">
        <f ca="1">IFERROR(__xludf.DUMMYFUNCTION("""COMPUTED_VALUE"""),FALSE)</f>
        <v>0</v>
      </c>
      <c r="F3" s="6" t="str">
        <f ca="1">IFERROR(__xludf.DUMMYFUNCTION("""COMPUTED_VALUE"""),"Red Barge")</f>
        <v>Red Barge</v>
      </c>
      <c r="G3" s="6" t="b">
        <f ca="1">IFERROR(__xludf.DUMMYFUNCTION("""COMPUTED_VALUE"""),TRUE)</f>
        <v>1</v>
      </c>
      <c r="H3" s="6" t="b">
        <f ca="1">IFERROR(__xludf.DUMMYFUNCTION("""COMPUTED_VALUE"""),TRUE)</f>
        <v>1</v>
      </c>
      <c r="I3" s="6">
        <f ca="1">IFERROR(__xludf.DUMMYFUNCTION("""COMPUTED_VALUE"""),1)</f>
        <v>1</v>
      </c>
      <c r="J3" s="6">
        <f ca="1">IFERROR(__xludf.DUMMYFUNCTION("""COMPUTED_VALUE"""),0)</f>
        <v>0</v>
      </c>
      <c r="K3" s="6">
        <f ca="1">IFERROR(__xludf.DUMMYFUNCTION("""COMPUTED_VALUE"""),0)</f>
        <v>0</v>
      </c>
      <c r="L3" s="6">
        <f ca="1">IFERROR(__xludf.DUMMYFUNCTION("""COMPUTED_VALUE"""),0)</f>
        <v>0</v>
      </c>
      <c r="M3" s="6">
        <f ca="1">IFERROR(__xludf.DUMMYFUNCTION("""COMPUTED_VALUE"""),2)</f>
        <v>2</v>
      </c>
      <c r="N3" s="6">
        <f ca="1">IFERROR(__xludf.DUMMYFUNCTION("""COMPUTED_VALUE"""),0)</f>
        <v>0</v>
      </c>
      <c r="O3" s="6">
        <f ca="1">IFERROR(__xludf.DUMMYFUNCTION("""COMPUTED_VALUE"""),0)</f>
        <v>0</v>
      </c>
      <c r="P3" s="6">
        <f ca="1">IFERROR(__xludf.DUMMYFUNCTION("""COMPUTED_VALUE"""),0)</f>
        <v>0</v>
      </c>
      <c r="R3" s="6">
        <f ca="1">IFERROR(__xludf.DUMMYFUNCTION("""COMPUTED_VALUE"""),0)</f>
        <v>0</v>
      </c>
      <c r="S3" s="6">
        <f ca="1">IFERROR(__xludf.DUMMYFUNCTION("""COMPUTED_VALUE"""),0)</f>
        <v>0</v>
      </c>
      <c r="T3" s="6">
        <f ca="1">IFERROR(__xludf.DUMMYFUNCTION("""COMPUTED_VALUE"""),0)</f>
        <v>0</v>
      </c>
      <c r="U3" s="6">
        <f ca="1">IFERROR(__xludf.DUMMYFUNCTION("""COMPUTED_VALUE"""),1)</f>
        <v>1</v>
      </c>
      <c r="V3" s="6">
        <f ca="1">IFERROR(__xludf.DUMMYFUNCTION("""COMPUTED_VALUE"""),0)</f>
        <v>0</v>
      </c>
      <c r="W3" s="6">
        <f ca="1">IFERROR(__xludf.DUMMYFUNCTION("""COMPUTED_VALUE"""),1)</f>
        <v>1</v>
      </c>
      <c r="X3" s="6">
        <f ca="1">IFERROR(__xludf.DUMMYFUNCTION("""COMPUTED_VALUE"""),0)</f>
        <v>0</v>
      </c>
      <c r="Y3" s="6">
        <f ca="1">IFERROR(__xludf.DUMMYFUNCTION("""COMPUTED_VALUE"""),0)</f>
        <v>0</v>
      </c>
      <c r="Z3" s="6">
        <f ca="1">IFERROR(__xludf.DUMMYFUNCTION("""COMPUTED_VALUE"""),0)</f>
        <v>0</v>
      </c>
      <c r="AA3" s="6">
        <f ca="1">IFERROR(__xludf.DUMMYFUNCTION("""COMPUTED_VALUE"""),0)</f>
        <v>0</v>
      </c>
      <c r="AB3" s="6" t="b">
        <f ca="1">IFERROR(__xludf.DUMMYFUNCTION("""COMPUTED_VALUE"""),TRUE)</f>
        <v>1</v>
      </c>
      <c r="AD3" s="6" t="b">
        <f ca="1">IFERROR(__xludf.DUMMYFUNCTION("""COMPUTED_VALUE"""),FALSE)</f>
        <v>0</v>
      </c>
      <c r="AE3" s="6">
        <f ca="1">IFERROR(__xludf.DUMMYFUNCTION("""COMPUTED_VALUE"""),0)</f>
        <v>0</v>
      </c>
      <c r="AF3" s="6">
        <f ca="1">IFERROR(__xludf.DUMMYFUNCTION("""COMPUTED_VALUE"""),5)</f>
        <v>5</v>
      </c>
      <c r="AG3" s="6">
        <f ca="1">IFERROR(__xludf.DUMMYFUNCTION("""COMPUTED_VALUE"""),4)</f>
        <v>4</v>
      </c>
      <c r="AH3" s="6">
        <f ca="1">IFERROR(__xludf.DUMMYFUNCTION("""COMPUTED_VALUE"""),0)</f>
        <v>0</v>
      </c>
      <c r="AI3" s="6">
        <f ca="1">IFERROR(__xludf.DUMMYFUNCTION("""COMPUTED_VALUE"""),0)</f>
        <v>0</v>
      </c>
      <c r="AK3" s="6" t="str">
        <f ca="1">IFERROR(__xludf.DUMMYFUNCTION("""COMPUTED_VALUE"""),"Dc")</f>
        <v>Dc</v>
      </c>
      <c r="AL3" s="6">
        <f ca="1">IFERROR(__xludf.DUMMYFUNCTION("""COMPUTED_VALUE"""),0)</f>
        <v>0</v>
      </c>
      <c r="AM3" s="6" t="b">
        <f ca="1">IFERROR(__xludf.DUMMYFUNCTION("""COMPUTED_VALUE"""),FALSE)</f>
        <v>0</v>
      </c>
      <c r="AN3" s="6" t="str">
        <f ca="1">IFERROR(__xludf.DUMMYFUNCTION("""COMPUTED_VALUE"""),"Dc")</f>
        <v>Dc</v>
      </c>
      <c r="AO3" s="6" t="str">
        <f ca="1">IFERROR(__xludf.DUMMYFUNCTION("""COMPUTED_VALUE"""),"very fast climb")</f>
        <v>very fast climb</v>
      </c>
      <c r="AP3" s="6" t="str">
        <f ca="1">IFERROR(__xludf.DUMMYFUNCTION("""COMPUTED_VALUE"""),"1")</f>
        <v>1</v>
      </c>
      <c r="AQ3" s="6" t="b">
        <f ca="1">IFERROR(__xludf.DUMMYFUNCTION("""COMPUTED_VALUE"""),FALSE)</f>
        <v>0</v>
      </c>
      <c r="AR3" s="6" t="b">
        <f ca="1">IFERROR(__xludf.DUMMYFUNCTION("""COMPUTED_VALUE"""),FALSE)</f>
        <v>0</v>
      </c>
      <c r="AS3" s="15"/>
      <c r="AT3" s="6" t="str">
        <f ca="1">IFERROR(__xludf.DUMMYFUNCTION("SWITCH(IF(A3=""Practice"",AN3,FILTER('Items by Team'!E$2:E3410,'Items by Team'!C$2:C3410=D3,B3='Items by Team'!B$2:B3410)),""None"",""No"",""Parked"",""P"",""ShallowCage"",""Sc"",""DeepCage"",""Dc"",""No"",""No"",""P"",""P"",""Sc"",""Sc"",""Dc"",""Dc"")"),"Dc")</f>
        <v>Dc</v>
      </c>
      <c r="AU3" s="6" t="str">
        <f ca="1">IFERROR(__xludf.DUMMYFUNCTION("SWITCH(IF(A3 = ""Practice"", H3, FILTER('Items by Team'!D$2:D3410,'Items by Team'!C$2:C3410 = D3,'Items by Team'!B$2:B3410 = B3)), ""Yes"", ""TRUE"", ""No"", ""FALSE"",TRUE, ""TRUE"", FALSE, ""FALSE"")"),"TRUE")</f>
        <v>TRUE</v>
      </c>
      <c r="AV3" s="6">
        <f t="shared" ref="AV3:AV257" ca="1" si="0">IFERROR(VALUE(AP3),"")</f>
        <v>1</v>
      </c>
      <c r="AW3" s="6">
        <f t="shared" ref="AW3:AW257" ca="1" si="1">IF(H3=TRUE,1,0)</f>
        <v>1</v>
      </c>
      <c r="AX3" s="6">
        <f t="shared" ref="AX3:AX257" ca="1" si="2">SUM($L3:$O3)</f>
        <v>2</v>
      </c>
      <c r="AY3" s="6">
        <f t="shared" ref="AY3:AY257" ca="1" si="3">SUM($L3:$P3)</f>
        <v>2</v>
      </c>
      <c r="AZ3" s="9">
        <f t="shared" ref="AZ3:AZ257" ca="1" si="4">IFERROR(AX3/AY3,"")</f>
        <v>1</v>
      </c>
      <c r="BA3" s="6">
        <f t="shared" ref="BA3:BA257" ca="1" si="5">SUM($S3:$T3)</f>
        <v>0</v>
      </c>
      <c r="BB3" s="6">
        <f t="shared" ref="BB3:BB257" ca="1" si="6">SUM($T3:$U3)</f>
        <v>1</v>
      </c>
      <c r="BC3" s="9">
        <f t="shared" ref="BC3:BC257" ca="1" si="7">IFERROR($T3/$BB3,"")</f>
        <v>0</v>
      </c>
      <c r="BD3" s="6">
        <f t="shared" ref="BD3:BD257" ca="1" si="8">SUM($X3)</f>
        <v>0</v>
      </c>
      <c r="BE3" s="6">
        <f t="shared" ref="BE3:BE257" ca="1" si="9">SUM($X3:$Y3)</f>
        <v>0</v>
      </c>
      <c r="BF3" s="9" t="str">
        <f t="shared" ref="BF3:BF257" ca="1" si="10">IFERROR(BD3/BE3,"")</f>
        <v/>
      </c>
      <c r="BG3" s="6">
        <f t="shared" ref="BG3:BG257" ca="1" si="11">SUM(AE3:AH3)</f>
        <v>9</v>
      </c>
      <c r="BH3" s="6">
        <f t="shared" ref="BH3:BH257" ca="1" si="12">SUM(AE3:AI3)</f>
        <v>9</v>
      </c>
      <c r="BI3" s="9">
        <f t="shared" ref="BI3:BI257" ca="1" si="13">IFERROR(BG3/BH3,"")</f>
        <v>1</v>
      </c>
      <c r="BJ3" s="6">
        <f t="shared" ref="BJ3:BJ257" ca="1" si="14">IF(AQ3=TRUE,1,0)</f>
        <v>0</v>
      </c>
      <c r="BK3" s="6">
        <f t="shared" ref="BK3:BK257" ca="1" si="15">IF($I3&gt;0,1,0)</f>
        <v>1</v>
      </c>
      <c r="BL3" s="6">
        <f t="shared" ref="BL3:BL257" ca="1" si="16">IF($J3&gt;0,1,0)</f>
        <v>0</v>
      </c>
      <c r="BM3" s="6">
        <f t="shared" ref="BM3:BM257" ca="1" si="17">IF($K3&gt;0,1,0)</f>
        <v>0</v>
      </c>
      <c r="BN3" s="6">
        <f t="shared" ref="BN3:BN257" ca="1" si="18">IF($AB3=TRUE,1,0)</f>
        <v>1</v>
      </c>
      <c r="BP3" s="6">
        <f t="shared" ref="BP3:BP257" ca="1" si="19">IF($AD3=TRUE,1,0)</f>
        <v>0</v>
      </c>
      <c r="BQ3" s="6" t="b">
        <f ca="1">IFERROR(__xludf.DUMMYFUNCTION("IF(AND(ISERROR(FILTER('Items by Team'!D$2:D3410,'Items by Team'!C$2:C3410 = D3,'Items by Team'!B$2:B3410 = B3)),NOT(A3=""Practice"")),TRUE,FALSE)"),FALSE)</f>
        <v>0</v>
      </c>
      <c r="BR3" s="6">
        <f t="shared" ref="BR3:BR257" ca="1" si="20">IFERROR(_xludf.IFS($AQ3=FALSE,"",$AP3="x",""),VALUE($AP3))</f>
        <v>1</v>
      </c>
    </row>
    <row r="4" spans="1:70">
      <c r="A4" s="6" t="str">
        <f ca="1">IFERROR(__xludf.DUMMYFUNCTION("""COMPUTED_VALUE"""),"Practice")</f>
        <v>Practice</v>
      </c>
      <c r="B4" s="6">
        <f ca="1">IFERROR(__xludf.DUMMYFUNCTION("""COMPUTED_VALUE"""),1)</f>
        <v>1</v>
      </c>
      <c r="C4" s="6" t="str">
        <f ca="1">IFERROR(__xludf.DUMMYFUNCTION("""COMPUTED_VALUE"""),"B1")</f>
        <v>B1</v>
      </c>
      <c r="D4" s="6">
        <f ca="1">IFERROR(__xludf.DUMMYFUNCTION("""COMPUTED_VALUE"""),4687)</f>
        <v>4687</v>
      </c>
      <c r="E4" s="6" t="b">
        <f ca="1">IFERROR(__xludf.DUMMYFUNCTION("""COMPUTED_VALUE"""),FALSE)</f>
        <v>0</v>
      </c>
      <c r="F4" s="6" t="str">
        <f ca="1">IFERROR(__xludf.DUMMYFUNCTION("""COMPUTED_VALUE"""),"Middle")</f>
        <v>Middle</v>
      </c>
      <c r="G4" s="6" t="b">
        <f ca="1">IFERROR(__xludf.DUMMYFUNCTION("""COMPUTED_VALUE"""),TRUE)</f>
        <v>1</v>
      </c>
      <c r="H4" s="6" t="b">
        <f ca="1">IFERROR(__xludf.DUMMYFUNCTION("""COMPUTED_VALUE"""),FALSE)</f>
        <v>0</v>
      </c>
      <c r="I4" s="6">
        <f ca="1">IFERROR(__xludf.DUMMYFUNCTION("""COMPUTED_VALUE"""),0)</f>
        <v>0</v>
      </c>
      <c r="J4" s="6">
        <f ca="1">IFERROR(__xludf.DUMMYFUNCTION("""COMPUTED_VALUE"""),0)</f>
        <v>0</v>
      </c>
      <c r="K4" s="6">
        <f ca="1">IFERROR(__xludf.DUMMYFUNCTION("""COMPUTED_VALUE"""),0)</f>
        <v>0</v>
      </c>
      <c r="L4" s="6">
        <f ca="1">IFERROR(__xludf.DUMMYFUNCTION("""COMPUTED_VALUE"""),0)</f>
        <v>0</v>
      </c>
      <c r="M4" s="6">
        <f ca="1">IFERROR(__xludf.DUMMYFUNCTION("""COMPUTED_VALUE"""),0)</f>
        <v>0</v>
      </c>
      <c r="N4" s="6">
        <f ca="1">IFERROR(__xludf.DUMMYFUNCTION("""COMPUTED_VALUE"""),0)</f>
        <v>0</v>
      </c>
      <c r="O4" s="6">
        <f ca="1">IFERROR(__xludf.DUMMYFUNCTION("""COMPUTED_VALUE"""),0)</f>
        <v>0</v>
      </c>
      <c r="P4" s="6">
        <f ca="1">IFERROR(__xludf.DUMMYFUNCTION("""COMPUTED_VALUE"""),0)</f>
        <v>0</v>
      </c>
      <c r="R4" s="6">
        <f ca="1">IFERROR(__xludf.DUMMYFUNCTION("""COMPUTED_VALUE"""),0)</f>
        <v>0</v>
      </c>
      <c r="S4" s="6">
        <f ca="1">IFERROR(__xludf.DUMMYFUNCTION("""COMPUTED_VALUE"""),0)</f>
        <v>0</v>
      </c>
      <c r="T4" s="6">
        <f ca="1">IFERROR(__xludf.DUMMYFUNCTION("""COMPUTED_VALUE"""),0)</f>
        <v>0</v>
      </c>
      <c r="U4" s="6">
        <f ca="1">IFERROR(__xludf.DUMMYFUNCTION("""COMPUTED_VALUE"""),0)</f>
        <v>0</v>
      </c>
      <c r="V4" s="6">
        <f ca="1">IFERROR(__xludf.DUMMYFUNCTION("""COMPUTED_VALUE"""),0)</f>
        <v>0</v>
      </c>
      <c r="W4" s="6">
        <f ca="1">IFERROR(__xludf.DUMMYFUNCTION("""COMPUTED_VALUE"""),1)</f>
        <v>1</v>
      </c>
      <c r="X4" s="6">
        <f ca="1">IFERROR(__xludf.DUMMYFUNCTION("""COMPUTED_VALUE"""),0)</f>
        <v>0</v>
      </c>
      <c r="Y4" s="6">
        <f ca="1">IFERROR(__xludf.DUMMYFUNCTION("""COMPUTED_VALUE"""),0)</f>
        <v>0</v>
      </c>
      <c r="Z4" s="6">
        <f ca="1">IFERROR(__xludf.DUMMYFUNCTION("""COMPUTED_VALUE"""),2)</f>
        <v>2</v>
      </c>
      <c r="AA4" s="6">
        <f ca="1">IFERROR(__xludf.DUMMYFUNCTION("""COMPUTED_VALUE"""),0)</f>
        <v>0</v>
      </c>
      <c r="AB4" s="6" t="b">
        <f ca="1">IFERROR(__xludf.DUMMYFUNCTION("""COMPUTED_VALUE"""),TRUE)</f>
        <v>1</v>
      </c>
      <c r="AD4" s="6" t="b">
        <f ca="1">IFERROR(__xludf.DUMMYFUNCTION("""COMPUTED_VALUE"""),FALSE)</f>
        <v>0</v>
      </c>
      <c r="AE4" s="6">
        <f ca="1">IFERROR(__xludf.DUMMYFUNCTION("""COMPUTED_VALUE"""),0)</f>
        <v>0</v>
      </c>
      <c r="AF4" s="6">
        <f ca="1">IFERROR(__xludf.DUMMYFUNCTION("""COMPUTED_VALUE"""),0)</f>
        <v>0</v>
      </c>
      <c r="AG4" s="6">
        <f ca="1">IFERROR(__xludf.DUMMYFUNCTION("""COMPUTED_VALUE"""),1)</f>
        <v>1</v>
      </c>
      <c r="AH4" s="6">
        <f ca="1">IFERROR(__xludf.DUMMYFUNCTION("""COMPUTED_VALUE"""),1)</f>
        <v>1</v>
      </c>
      <c r="AI4" s="6">
        <f ca="1">IFERROR(__xludf.DUMMYFUNCTION("""COMPUTED_VALUE"""),0)</f>
        <v>0</v>
      </c>
      <c r="AK4" s="6" t="str">
        <f ca="1">IFERROR(__xludf.DUMMYFUNCTION("""COMPUTED_VALUE"""),"P")</f>
        <v>P</v>
      </c>
      <c r="AL4" s="6">
        <f ca="1">IFERROR(__xludf.DUMMYFUNCTION("""COMPUTED_VALUE"""),0)</f>
        <v>0</v>
      </c>
      <c r="AM4" s="6" t="b">
        <f ca="1">IFERROR(__xludf.DUMMYFUNCTION("""COMPUTED_VALUE"""),FALSE)</f>
        <v>0</v>
      </c>
      <c r="AN4" s="6" t="str">
        <f ca="1">IFERROR(__xludf.DUMMYFUNCTION("""COMPUTED_VALUE"""),"P")</f>
        <v>P</v>
      </c>
      <c r="AO4" s="6"/>
      <c r="AP4" s="6" t="str">
        <f ca="1">IFERROR(__xludf.DUMMYFUNCTION("""COMPUTED_VALUE"""),"x")</f>
        <v>x</v>
      </c>
      <c r="AQ4" s="6" t="b">
        <f ca="1">IFERROR(__xludf.DUMMYFUNCTION("""COMPUTED_VALUE"""),FALSE)</f>
        <v>0</v>
      </c>
      <c r="AR4" s="6" t="b">
        <f ca="1">IFERROR(__xludf.DUMMYFUNCTION("""COMPUTED_VALUE"""),FALSE)</f>
        <v>0</v>
      </c>
      <c r="AS4" s="15"/>
      <c r="AT4" s="6" t="str">
        <f ca="1">IFERROR(__xludf.DUMMYFUNCTION("SWITCH(IF(A4=""Practice"",AN4,FILTER('Items by Team'!E$2:E3410,'Items by Team'!C$2:C3410=D4,B4='Items by Team'!B$2:B3410)),""None"",""No"",""Parked"",""P"",""ShallowCage"",""Sc"",""DeepCage"",""Dc"",""No"",""No"",""P"",""P"",""Sc"",""Sc"",""Dc"",""Dc"")"),"P")</f>
        <v>P</v>
      </c>
      <c r="AU4" s="6" t="str">
        <f ca="1">IFERROR(__xludf.DUMMYFUNCTION("SWITCH(IF(A4 = ""Practice"", H4, FILTER('Items by Team'!D$2:D3410,'Items by Team'!C$2:C3410 = D4,'Items by Team'!B$2:B3410 = B4)), ""Yes"", ""TRUE"", ""No"", ""FALSE"",TRUE, ""TRUE"", FALSE, ""FALSE"")"),"FALSE")</f>
        <v>FALSE</v>
      </c>
      <c r="AV4" s="6" t="str">
        <f t="shared" ca="1" si="0"/>
        <v/>
      </c>
      <c r="AW4" s="6">
        <f t="shared" ca="1" si="1"/>
        <v>0</v>
      </c>
      <c r="AX4" s="6">
        <f t="shared" ca="1" si="2"/>
        <v>0</v>
      </c>
      <c r="AY4" s="6">
        <f t="shared" ca="1" si="3"/>
        <v>0</v>
      </c>
      <c r="AZ4" s="9" t="str">
        <f t="shared" ca="1" si="4"/>
        <v/>
      </c>
      <c r="BA4" s="6">
        <f t="shared" ca="1" si="5"/>
        <v>0</v>
      </c>
      <c r="BB4" s="6">
        <f t="shared" ca="1" si="6"/>
        <v>0</v>
      </c>
      <c r="BC4" s="9" t="str">
        <f t="shared" ca="1" si="7"/>
        <v/>
      </c>
      <c r="BD4" s="6">
        <f t="shared" ca="1" si="8"/>
        <v>0</v>
      </c>
      <c r="BE4" s="6">
        <f t="shared" ca="1" si="9"/>
        <v>0</v>
      </c>
      <c r="BF4" s="9" t="str">
        <f t="shared" ca="1" si="10"/>
        <v/>
      </c>
      <c r="BG4" s="6">
        <f t="shared" ca="1" si="11"/>
        <v>2</v>
      </c>
      <c r="BH4" s="6">
        <f t="shared" ca="1" si="12"/>
        <v>2</v>
      </c>
      <c r="BI4" s="9">
        <f t="shared" ca="1" si="13"/>
        <v>1</v>
      </c>
      <c r="BJ4" s="6">
        <f t="shared" ca="1" si="14"/>
        <v>0</v>
      </c>
      <c r="BK4" s="6">
        <f t="shared" ca="1" si="15"/>
        <v>0</v>
      </c>
      <c r="BL4" s="6">
        <f t="shared" ca="1" si="16"/>
        <v>0</v>
      </c>
      <c r="BM4" s="6">
        <f t="shared" ca="1" si="17"/>
        <v>0</v>
      </c>
      <c r="BN4" s="6">
        <f t="shared" ca="1" si="18"/>
        <v>1</v>
      </c>
      <c r="BP4" s="6">
        <f t="shared" ca="1" si="19"/>
        <v>0</v>
      </c>
      <c r="BQ4" s="6" t="b">
        <f ca="1">IFERROR(__xludf.DUMMYFUNCTION("IF(AND(ISERROR(FILTER('Items by Team'!D$2:D3410,'Items by Team'!C$2:C3410 = D4,'Items by Team'!B$2:B3410 = B4)),NOT(A4=""Practice"")),TRUE,FALSE)"),FALSE)</f>
        <v>0</v>
      </c>
      <c r="BR4" s="6" t="e">
        <f t="shared" ca="1" si="20"/>
        <v>#VALUE!</v>
      </c>
    </row>
    <row r="5" spans="1:70">
      <c r="A5" s="6" t="str">
        <f ca="1">IFERROR(__xludf.DUMMYFUNCTION("""COMPUTED_VALUE"""),"Practice")</f>
        <v>Practice</v>
      </c>
      <c r="B5" s="6">
        <f ca="1">IFERROR(__xludf.DUMMYFUNCTION("""COMPUTED_VALUE"""),1)</f>
        <v>1</v>
      </c>
      <c r="C5" s="6" t="str">
        <f ca="1">IFERROR(__xludf.DUMMYFUNCTION("""COMPUTED_VALUE"""),"B3")</f>
        <v>B3</v>
      </c>
      <c r="D5" s="6">
        <f ca="1">IFERROR(__xludf.DUMMYFUNCTION("""COMPUTED_VALUE"""),4174)</f>
        <v>4174</v>
      </c>
      <c r="E5" s="6" t="b">
        <f ca="1">IFERROR(__xludf.DUMMYFUNCTION("""COMPUTED_VALUE"""),FALSE)</f>
        <v>0</v>
      </c>
      <c r="F5" s="6"/>
      <c r="G5" s="6" t="b">
        <f ca="1">IFERROR(__xludf.DUMMYFUNCTION("""COMPUTED_VALUE"""),TRUE)</f>
        <v>1</v>
      </c>
      <c r="H5" s="6" t="b">
        <f ca="1">IFERROR(__xludf.DUMMYFUNCTION("""COMPUTED_VALUE"""),TRUE)</f>
        <v>1</v>
      </c>
      <c r="I5" s="6">
        <f ca="1">IFERROR(__xludf.DUMMYFUNCTION("""COMPUTED_VALUE"""),0)</f>
        <v>0</v>
      </c>
      <c r="J5" s="6">
        <f ca="1">IFERROR(__xludf.DUMMYFUNCTION("""COMPUTED_VALUE"""),2)</f>
        <v>2</v>
      </c>
      <c r="K5" s="6">
        <f ca="1">IFERROR(__xludf.DUMMYFUNCTION("""COMPUTED_VALUE"""),0)</f>
        <v>0</v>
      </c>
      <c r="L5" s="6">
        <f ca="1">IFERROR(__xludf.DUMMYFUNCTION("""COMPUTED_VALUE"""),2)</f>
        <v>2</v>
      </c>
      <c r="M5" s="6">
        <f ca="1">IFERROR(__xludf.DUMMYFUNCTION("""COMPUTED_VALUE"""),0)</f>
        <v>0</v>
      </c>
      <c r="N5" s="6">
        <f ca="1">IFERROR(__xludf.DUMMYFUNCTION("""COMPUTED_VALUE"""),0)</f>
        <v>0</v>
      </c>
      <c r="O5" s="6">
        <f ca="1">IFERROR(__xludf.DUMMYFUNCTION("""COMPUTED_VALUE"""),0)</f>
        <v>0</v>
      </c>
      <c r="P5" s="6">
        <f ca="1">IFERROR(__xludf.DUMMYFUNCTION("""COMPUTED_VALUE"""),0)</f>
        <v>0</v>
      </c>
      <c r="R5" s="6">
        <f ca="1">IFERROR(__xludf.DUMMYFUNCTION("""COMPUTED_VALUE"""),0)</f>
        <v>0</v>
      </c>
      <c r="S5" s="6">
        <f ca="1">IFERROR(__xludf.DUMMYFUNCTION("""COMPUTED_VALUE"""),0)</f>
        <v>0</v>
      </c>
      <c r="T5" s="6">
        <f ca="1">IFERROR(__xludf.DUMMYFUNCTION("""COMPUTED_VALUE"""),0)</f>
        <v>0</v>
      </c>
      <c r="U5" s="6">
        <f ca="1">IFERROR(__xludf.DUMMYFUNCTION("""COMPUTED_VALUE"""),0)</f>
        <v>0</v>
      </c>
      <c r="V5" s="6">
        <f ca="1">IFERROR(__xludf.DUMMYFUNCTION("""COMPUTED_VALUE"""),0)</f>
        <v>0</v>
      </c>
      <c r="W5" s="6">
        <f ca="1">IFERROR(__xludf.DUMMYFUNCTION("""COMPUTED_VALUE"""),0)</f>
        <v>0</v>
      </c>
      <c r="X5" s="6">
        <f ca="1">IFERROR(__xludf.DUMMYFUNCTION("""COMPUTED_VALUE"""),0)</f>
        <v>0</v>
      </c>
      <c r="Y5" s="6">
        <f ca="1">IFERROR(__xludf.DUMMYFUNCTION("""COMPUTED_VALUE"""),0)</f>
        <v>0</v>
      </c>
      <c r="Z5" s="6">
        <f ca="1">IFERROR(__xludf.DUMMYFUNCTION("""COMPUTED_VALUE"""),0)</f>
        <v>0</v>
      </c>
      <c r="AA5" s="6">
        <f ca="1">IFERROR(__xludf.DUMMYFUNCTION("""COMPUTED_VALUE"""),0)</f>
        <v>0</v>
      </c>
      <c r="AB5" s="6" t="b">
        <f ca="1">IFERROR(__xludf.DUMMYFUNCTION("""COMPUTED_VALUE"""),TRUE)</f>
        <v>1</v>
      </c>
      <c r="AD5" s="6" t="b">
        <f ca="1">IFERROR(__xludf.DUMMYFUNCTION("""COMPUTED_VALUE"""),FALSE)</f>
        <v>0</v>
      </c>
      <c r="AE5" s="6">
        <f ca="1">IFERROR(__xludf.DUMMYFUNCTION("""COMPUTED_VALUE"""),8)</f>
        <v>8</v>
      </c>
      <c r="AF5" s="6">
        <f ca="1">IFERROR(__xludf.DUMMYFUNCTION("""COMPUTED_VALUE"""),1)</f>
        <v>1</v>
      </c>
      <c r="AG5" s="6">
        <f ca="1">IFERROR(__xludf.DUMMYFUNCTION("""COMPUTED_VALUE"""),0)</f>
        <v>0</v>
      </c>
      <c r="AH5" s="6">
        <f ca="1">IFERROR(__xludf.DUMMYFUNCTION("""COMPUTED_VALUE"""),0)</f>
        <v>0</v>
      </c>
      <c r="AI5" s="6">
        <f ca="1">IFERROR(__xludf.DUMMYFUNCTION("""COMPUTED_VALUE"""),0)</f>
        <v>0</v>
      </c>
      <c r="AK5" s="6" t="str">
        <f ca="1">IFERROR(__xludf.DUMMYFUNCTION("""COMPUTED_VALUE"""),"Dc")</f>
        <v>Dc</v>
      </c>
      <c r="AL5" s="6">
        <f ca="1">IFERROR(__xludf.DUMMYFUNCTION("""COMPUTED_VALUE"""),0)</f>
        <v>0</v>
      </c>
      <c r="AM5" s="6" t="b">
        <f ca="1">IFERROR(__xludf.DUMMYFUNCTION("""COMPUTED_VALUE"""),FALSE)</f>
        <v>0</v>
      </c>
      <c r="AN5" s="6" t="str">
        <f ca="1">IFERROR(__xludf.DUMMYFUNCTION("""COMPUTED_VALUE"""),"P")</f>
        <v>P</v>
      </c>
      <c r="AO5" s="6"/>
      <c r="AP5" s="6" t="str">
        <f ca="1">IFERROR(__xludf.DUMMYFUNCTION("""COMPUTED_VALUE"""),"x")</f>
        <v>x</v>
      </c>
      <c r="AQ5" s="6" t="b">
        <f ca="1">IFERROR(__xludf.DUMMYFUNCTION("""COMPUTED_VALUE"""),FALSE)</f>
        <v>0</v>
      </c>
      <c r="AR5" s="6" t="b">
        <f ca="1">IFERROR(__xludf.DUMMYFUNCTION("""COMPUTED_VALUE"""),FALSE)</f>
        <v>0</v>
      </c>
      <c r="AS5" s="15"/>
      <c r="AT5" s="6" t="str">
        <f ca="1">IFERROR(__xludf.DUMMYFUNCTION("SWITCH(IF(A5=""Practice"",AN5,FILTER('Items by Team'!E$2:E3410,'Items by Team'!C$2:C3410=D5,B5='Items by Team'!B$2:B3410)),""None"",""No"",""Parked"",""P"",""ShallowCage"",""Sc"",""DeepCage"",""Dc"",""No"",""No"",""P"",""P"",""Sc"",""Sc"",""Dc"",""Dc"")"),"P")</f>
        <v>P</v>
      </c>
      <c r="AU5" s="6" t="str">
        <f ca="1">IFERROR(__xludf.DUMMYFUNCTION("SWITCH(IF(A5 = ""Practice"", H5, FILTER('Items by Team'!D$2:D3410,'Items by Team'!C$2:C3410 = D5,'Items by Team'!B$2:B3410 = B5)), ""Yes"", ""TRUE"", ""No"", ""FALSE"",TRUE, ""TRUE"", FALSE, ""FALSE"")"),"TRUE")</f>
        <v>TRUE</v>
      </c>
      <c r="AV5" s="6" t="str">
        <f t="shared" ca="1" si="0"/>
        <v/>
      </c>
      <c r="AW5" s="6">
        <f t="shared" ca="1" si="1"/>
        <v>1</v>
      </c>
      <c r="AX5" s="6">
        <f t="shared" ca="1" si="2"/>
        <v>2</v>
      </c>
      <c r="AY5" s="6">
        <f t="shared" ca="1" si="3"/>
        <v>2</v>
      </c>
      <c r="AZ5" s="9">
        <f t="shared" ca="1" si="4"/>
        <v>1</v>
      </c>
      <c r="BA5" s="6">
        <f t="shared" ca="1" si="5"/>
        <v>0</v>
      </c>
      <c r="BB5" s="6">
        <f t="shared" ca="1" si="6"/>
        <v>0</v>
      </c>
      <c r="BC5" s="9" t="str">
        <f t="shared" ca="1" si="7"/>
        <v/>
      </c>
      <c r="BD5" s="6">
        <f t="shared" ca="1" si="8"/>
        <v>0</v>
      </c>
      <c r="BE5" s="6">
        <f t="shared" ca="1" si="9"/>
        <v>0</v>
      </c>
      <c r="BF5" s="9" t="str">
        <f t="shared" ca="1" si="10"/>
        <v/>
      </c>
      <c r="BG5" s="6">
        <f t="shared" ca="1" si="11"/>
        <v>9</v>
      </c>
      <c r="BH5" s="6">
        <f t="shared" ca="1" si="12"/>
        <v>9</v>
      </c>
      <c r="BI5" s="9">
        <f t="shared" ca="1" si="13"/>
        <v>1</v>
      </c>
      <c r="BJ5" s="6">
        <f t="shared" ca="1" si="14"/>
        <v>0</v>
      </c>
      <c r="BK5" s="6">
        <f t="shared" ca="1" si="15"/>
        <v>0</v>
      </c>
      <c r="BL5" s="6">
        <f t="shared" ca="1" si="16"/>
        <v>1</v>
      </c>
      <c r="BM5" s="6">
        <f t="shared" ca="1" si="17"/>
        <v>0</v>
      </c>
      <c r="BN5" s="6">
        <f t="shared" ca="1" si="18"/>
        <v>1</v>
      </c>
      <c r="BP5" s="6">
        <f t="shared" ca="1" si="19"/>
        <v>0</v>
      </c>
      <c r="BQ5" s="6" t="b">
        <f ca="1">IFERROR(__xludf.DUMMYFUNCTION("IF(AND(ISERROR(FILTER('Items by Team'!D$2:D3410,'Items by Team'!C$2:C3410 = D5,'Items by Team'!B$2:B3410 = B5)),NOT(A5=""Practice"")),TRUE,FALSE)"),FALSE)</f>
        <v>0</v>
      </c>
      <c r="BR5" s="6" t="e">
        <f t="shared" ca="1" si="20"/>
        <v>#VALUE!</v>
      </c>
    </row>
    <row r="6" spans="1:70">
      <c r="A6" s="6" t="str">
        <f ca="1">IFERROR(__xludf.DUMMYFUNCTION("""COMPUTED_VALUE"""),"Practice")</f>
        <v>Practice</v>
      </c>
      <c r="B6" s="6">
        <f ca="1">IFERROR(__xludf.DUMMYFUNCTION("""COMPUTED_VALUE"""),2)</f>
        <v>2</v>
      </c>
      <c r="C6" s="6" t="str">
        <f ca="1">IFERROR(__xludf.DUMMYFUNCTION("""COMPUTED_VALUE"""),"R1")</f>
        <v>R1</v>
      </c>
      <c r="D6" s="6">
        <f ca="1">IFERROR(__xludf.DUMMYFUNCTION("""COMPUTED_VALUE"""),7849)</f>
        <v>7849</v>
      </c>
      <c r="E6" s="6" t="b">
        <f ca="1">IFERROR(__xludf.DUMMYFUNCTION("""COMPUTED_VALUE"""),FALSE)</f>
        <v>0</v>
      </c>
      <c r="F6" s="6" t="str">
        <f ca="1">IFERROR(__xludf.DUMMYFUNCTION("""COMPUTED_VALUE"""),"Red Barge")</f>
        <v>Red Barge</v>
      </c>
      <c r="G6" s="6" t="b">
        <f ca="1">IFERROR(__xludf.DUMMYFUNCTION("""COMPUTED_VALUE"""),TRUE)</f>
        <v>1</v>
      </c>
      <c r="H6" s="6" t="b">
        <f ca="1">IFERROR(__xludf.DUMMYFUNCTION("""COMPUTED_VALUE"""),TRUE)</f>
        <v>1</v>
      </c>
      <c r="I6" s="6">
        <f ca="1">IFERROR(__xludf.DUMMYFUNCTION("""COMPUTED_VALUE"""),0)</f>
        <v>0</v>
      </c>
      <c r="J6" s="6">
        <f ca="1">IFERROR(__xludf.DUMMYFUNCTION("""COMPUTED_VALUE"""),0)</f>
        <v>0</v>
      </c>
      <c r="K6" s="6">
        <f ca="1">IFERROR(__xludf.DUMMYFUNCTION("""COMPUTED_VALUE"""),0)</f>
        <v>0</v>
      </c>
      <c r="L6" s="6">
        <f ca="1">IFERROR(__xludf.DUMMYFUNCTION("""COMPUTED_VALUE"""),0)</f>
        <v>0</v>
      </c>
      <c r="M6" s="6">
        <f ca="1">IFERROR(__xludf.DUMMYFUNCTION("""COMPUTED_VALUE"""),0)</f>
        <v>0</v>
      </c>
      <c r="N6" s="6">
        <f ca="1">IFERROR(__xludf.DUMMYFUNCTION("""COMPUTED_VALUE"""),0)</f>
        <v>0</v>
      </c>
      <c r="O6" s="6">
        <f ca="1">IFERROR(__xludf.DUMMYFUNCTION("""COMPUTED_VALUE"""),0)</f>
        <v>0</v>
      </c>
      <c r="P6" s="6">
        <f ca="1">IFERROR(__xludf.DUMMYFUNCTION("""COMPUTED_VALUE"""),0)</f>
        <v>0</v>
      </c>
      <c r="R6" s="6">
        <f ca="1">IFERROR(__xludf.DUMMYFUNCTION("""COMPUTED_VALUE"""),0)</f>
        <v>0</v>
      </c>
      <c r="S6" s="6">
        <f ca="1">IFERROR(__xludf.DUMMYFUNCTION("""COMPUTED_VALUE"""),0)</f>
        <v>0</v>
      </c>
      <c r="T6" s="6">
        <f ca="1">IFERROR(__xludf.DUMMYFUNCTION("""COMPUTED_VALUE"""),0)</f>
        <v>0</v>
      </c>
      <c r="U6" s="6">
        <f ca="1">IFERROR(__xludf.DUMMYFUNCTION("""COMPUTED_VALUE"""),0)</f>
        <v>0</v>
      </c>
      <c r="V6" s="6">
        <f ca="1">IFERROR(__xludf.DUMMYFUNCTION("""COMPUTED_VALUE"""),0)</f>
        <v>0</v>
      </c>
      <c r="W6" s="6">
        <f ca="1">IFERROR(__xludf.DUMMYFUNCTION("""COMPUTED_VALUE"""),0)</f>
        <v>0</v>
      </c>
      <c r="X6" s="6">
        <f ca="1">IFERROR(__xludf.DUMMYFUNCTION("""COMPUTED_VALUE"""),0)</f>
        <v>0</v>
      </c>
      <c r="Y6" s="6">
        <f ca="1">IFERROR(__xludf.DUMMYFUNCTION("""COMPUTED_VALUE"""),0)</f>
        <v>0</v>
      </c>
      <c r="Z6" s="6">
        <f ca="1">IFERROR(__xludf.DUMMYFUNCTION("""COMPUTED_VALUE"""),0)</f>
        <v>0</v>
      </c>
      <c r="AA6" s="6">
        <f ca="1">IFERROR(__xludf.DUMMYFUNCTION("""COMPUTED_VALUE"""),0)</f>
        <v>0</v>
      </c>
      <c r="AB6" s="6" t="b">
        <f ca="1">IFERROR(__xludf.DUMMYFUNCTION("""COMPUTED_VALUE"""),FALSE)</f>
        <v>0</v>
      </c>
      <c r="AD6" s="6" t="b">
        <f ca="1">IFERROR(__xludf.DUMMYFUNCTION("""COMPUTED_VALUE"""),FALSE)</f>
        <v>0</v>
      </c>
      <c r="AE6" s="6">
        <f ca="1">IFERROR(__xludf.DUMMYFUNCTION("""COMPUTED_VALUE"""),0)</f>
        <v>0</v>
      </c>
      <c r="AF6" s="6">
        <f ca="1">IFERROR(__xludf.DUMMYFUNCTION("""COMPUTED_VALUE"""),0)</f>
        <v>0</v>
      </c>
      <c r="AG6" s="6">
        <f ca="1">IFERROR(__xludf.DUMMYFUNCTION("""COMPUTED_VALUE"""),0)</f>
        <v>0</v>
      </c>
      <c r="AH6" s="6">
        <f ca="1">IFERROR(__xludf.DUMMYFUNCTION("""COMPUTED_VALUE"""),0)</f>
        <v>0</v>
      </c>
      <c r="AI6" s="6">
        <f ca="1">IFERROR(__xludf.DUMMYFUNCTION("""COMPUTED_VALUE"""),0)</f>
        <v>0</v>
      </c>
      <c r="AK6" s="6" t="str">
        <f ca="1">IFERROR(__xludf.DUMMYFUNCTION("""COMPUTED_VALUE"""),"No")</f>
        <v>No</v>
      </c>
      <c r="AL6" s="6">
        <f ca="1">IFERROR(__xludf.DUMMYFUNCTION("""COMPUTED_VALUE"""),0)</f>
        <v>0</v>
      </c>
      <c r="AM6" s="6" t="b">
        <f ca="1">IFERROR(__xludf.DUMMYFUNCTION("""COMPUTED_VALUE"""),FALSE)</f>
        <v>0</v>
      </c>
      <c r="AN6" s="6" t="str">
        <f ca="1">IFERROR(__xludf.DUMMYFUNCTION("""COMPUTED_VALUE"""),"No")</f>
        <v>No</v>
      </c>
      <c r="AO6" s="6"/>
      <c r="AP6" s="6" t="str">
        <f ca="1">IFERROR(__xludf.DUMMYFUNCTION("""COMPUTED_VALUE"""),"x")</f>
        <v>x</v>
      </c>
      <c r="AQ6" s="6" t="b">
        <f ca="1">IFERROR(__xludf.DUMMYFUNCTION("""COMPUTED_VALUE"""),FALSE)</f>
        <v>0</v>
      </c>
      <c r="AR6" s="6" t="b">
        <f ca="1">IFERROR(__xludf.DUMMYFUNCTION("""COMPUTED_VALUE"""),FALSE)</f>
        <v>0</v>
      </c>
      <c r="AS6" s="15"/>
      <c r="AT6" s="6" t="str">
        <f ca="1">IFERROR(__xludf.DUMMYFUNCTION("SWITCH(IF(A6=""Practice"",AN6,FILTER('Items by Team'!E$2:E3410,'Items by Team'!C$2:C3410=D6,B6='Items by Team'!B$2:B3410)),""None"",""No"",""Parked"",""P"",""ShallowCage"",""Sc"",""DeepCage"",""Dc"",""No"",""No"",""P"",""P"",""Sc"",""Sc"",""Dc"",""Dc"")"),"No")</f>
        <v>No</v>
      </c>
      <c r="AU6" s="6" t="str">
        <f ca="1">IFERROR(__xludf.DUMMYFUNCTION("SWITCH(IF(A6 = ""Practice"", H6, FILTER('Items by Team'!D$2:D3410,'Items by Team'!C$2:C3410 = D6,'Items by Team'!B$2:B3410 = B6)), ""Yes"", ""TRUE"", ""No"", ""FALSE"",TRUE, ""TRUE"", FALSE, ""FALSE"")"),"TRUE")</f>
        <v>TRUE</v>
      </c>
      <c r="AV6" s="6" t="str">
        <f t="shared" ca="1" si="0"/>
        <v/>
      </c>
      <c r="AW6" s="6">
        <f t="shared" ca="1" si="1"/>
        <v>1</v>
      </c>
      <c r="AX6" s="6">
        <f t="shared" ca="1" si="2"/>
        <v>0</v>
      </c>
      <c r="AY6" s="6">
        <f t="shared" ca="1" si="3"/>
        <v>0</v>
      </c>
      <c r="AZ6" s="9" t="str">
        <f t="shared" ca="1" si="4"/>
        <v/>
      </c>
      <c r="BA6" s="6">
        <f t="shared" ca="1" si="5"/>
        <v>0</v>
      </c>
      <c r="BB6" s="6">
        <f t="shared" ca="1" si="6"/>
        <v>0</v>
      </c>
      <c r="BC6" s="9" t="str">
        <f t="shared" ca="1" si="7"/>
        <v/>
      </c>
      <c r="BD6" s="6">
        <f t="shared" ca="1" si="8"/>
        <v>0</v>
      </c>
      <c r="BE6" s="6">
        <f t="shared" ca="1" si="9"/>
        <v>0</v>
      </c>
      <c r="BF6" s="9" t="str">
        <f t="shared" ca="1" si="10"/>
        <v/>
      </c>
      <c r="BG6" s="6">
        <f t="shared" ca="1" si="11"/>
        <v>0</v>
      </c>
      <c r="BH6" s="6">
        <f t="shared" ca="1" si="12"/>
        <v>0</v>
      </c>
      <c r="BI6" s="9" t="str">
        <f t="shared" ca="1" si="13"/>
        <v/>
      </c>
      <c r="BJ6" s="6">
        <f t="shared" ca="1" si="14"/>
        <v>0</v>
      </c>
      <c r="BK6" s="6">
        <f t="shared" ca="1" si="15"/>
        <v>0</v>
      </c>
      <c r="BL6" s="6">
        <f t="shared" ca="1" si="16"/>
        <v>0</v>
      </c>
      <c r="BM6" s="6">
        <f t="shared" ca="1" si="17"/>
        <v>0</v>
      </c>
      <c r="BN6" s="6">
        <f t="shared" ca="1" si="18"/>
        <v>0</v>
      </c>
      <c r="BP6" s="6">
        <f t="shared" ca="1" si="19"/>
        <v>0</v>
      </c>
      <c r="BQ6" s="6" t="b">
        <f ca="1">IFERROR(__xludf.DUMMYFUNCTION("IF(AND(ISERROR(FILTER('Items by Team'!D$2:D3410,'Items by Team'!C$2:C3410 = D6,'Items by Team'!B$2:B3410 = B6)),NOT(A6=""Practice"")),TRUE,FALSE)"),FALSE)</f>
        <v>0</v>
      </c>
      <c r="BR6" s="6" t="e">
        <f t="shared" ca="1" si="20"/>
        <v>#VALUE!</v>
      </c>
    </row>
    <row r="7" spans="1:70">
      <c r="A7" s="6" t="str">
        <f ca="1">IFERROR(__xludf.DUMMYFUNCTION("""COMPUTED_VALUE"""),"Practice")</f>
        <v>Practice</v>
      </c>
      <c r="B7" s="6">
        <f ca="1">IFERROR(__xludf.DUMMYFUNCTION("""COMPUTED_VALUE"""),2)</f>
        <v>2</v>
      </c>
      <c r="C7" s="6" t="str">
        <f ca="1">IFERROR(__xludf.DUMMYFUNCTION("""COMPUTED_VALUE"""),"R2")</f>
        <v>R2</v>
      </c>
      <c r="D7" s="6">
        <f ca="1">IFERROR(__xludf.DUMMYFUNCTION("""COMPUTED_VALUE"""),5464)</f>
        <v>5464</v>
      </c>
      <c r="E7" s="6" t="b">
        <f ca="1">IFERROR(__xludf.DUMMYFUNCTION("""COMPUTED_VALUE"""),FALSE)</f>
        <v>0</v>
      </c>
      <c r="F7" s="6" t="str">
        <f ca="1">IFERROR(__xludf.DUMMYFUNCTION("""COMPUTED_VALUE"""),"Middle")</f>
        <v>Middle</v>
      </c>
      <c r="G7" s="6" t="b">
        <f ca="1">IFERROR(__xludf.DUMMYFUNCTION("""COMPUTED_VALUE"""),TRUE)</f>
        <v>1</v>
      </c>
      <c r="H7" s="6" t="b">
        <f ca="1">IFERROR(__xludf.DUMMYFUNCTION("""COMPUTED_VALUE"""),FALSE)</f>
        <v>0</v>
      </c>
      <c r="I7" s="6">
        <f ca="1">IFERROR(__xludf.DUMMYFUNCTION("""COMPUTED_VALUE"""),0)</f>
        <v>0</v>
      </c>
      <c r="J7" s="6">
        <f ca="1">IFERROR(__xludf.DUMMYFUNCTION("""COMPUTED_VALUE"""),0)</f>
        <v>0</v>
      </c>
      <c r="K7" s="6">
        <f ca="1">IFERROR(__xludf.DUMMYFUNCTION("""COMPUTED_VALUE"""),0)</f>
        <v>0</v>
      </c>
      <c r="L7" s="6">
        <f ca="1">IFERROR(__xludf.DUMMYFUNCTION("""COMPUTED_VALUE"""),0)</f>
        <v>0</v>
      </c>
      <c r="M7" s="6">
        <f ca="1">IFERROR(__xludf.DUMMYFUNCTION("""COMPUTED_VALUE"""),0)</f>
        <v>0</v>
      </c>
      <c r="N7" s="6">
        <f ca="1">IFERROR(__xludf.DUMMYFUNCTION("""COMPUTED_VALUE"""),0)</f>
        <v>0</v>
      </c>
      <c r="O7" s="6">
        <f ca="1">IFERROR(__xludf.DUMMYFUNCTION("""COMPUTED_VALUE"""),0)</f>
        <v>0</v>
      </c>
      <c r="P7" s="6">
        <f ca="1">IFERROR(__xludf.DUMMYFUNCTION("""COMPUTED_VALUE"""),1)</f>
        <v>1</v>
      </c>
      <c r="R7" s="6">
        <f ca="1">IFERROR(__xludf.DUMMYFUNCTION("""COMPUTED_VALUE"""),0)</f>
        <v>0</v>
      </c>
      <c r="S7" s="6">
        <f ca="1">IFERROR(__xludf.DUMMYFUNCTION("""COMPUTED_VALUE"""),0)</f>
        <v>0</v>
      </c>
      <c r="T7" s="6">
        <f ca="1">IFERROR(__xludf.DUMMYFUNCTION("""COMPUTED_VALUE"""),0)</f>
        <v>0</v>
      </c>
      <c r="U7" s="6">
        <f ca="1">IFERROR(__xludf.DUMMYFUNCTION("""COMPUTED_VALUE"""),0)</f>
        <v>0</v>
      </c>
      <c r="V7" s="6">
        <f ca="1">IFERROR(__xludf.DUMMYFUNCTION("""COMPUTED_VALUE"""),0)</f>
        <v>0</v>
      </c>
      <c r="W7" s="6">
        <f ca="1">IFERROR(__xludf.DUMMYFUNCTION("""COMPUTED_VALUE"""),0)</f>
        <v>0</v>
      </c>
      <c r="X7" s="6">
        <f ca="1">IFERROR(__xludf.DUMMYFUNCTION("""COMPUTED_VALUE"""),0)</f>
        <v>0</v>
      </c>
      <c r="Y7" s="6">
        <f ca="1">IFERROR(__xludf.DUMMYFUNCTION("""COMPUTED_VALUE"""),0)</f>
        <v>0</v>
      </c>
      <c r="Z7" s="6">
        <f ca="1">IFERROR(__xludf.DUMMYFUNCTION("""COMPUTED_VALUE"""),0)</f>
        <v>0</v>
      </c>
      <c r="AA7" s="6">
        <f ca="1">IFERROR(__xludf.DUMMYFUNCTION("""COMPUTED_VALUE"""),0)</f>
        <v>0</v>
      </c>
      <c r="AB7" s="6" t="b">
        <f ca="1">IFERROR(__xludf.DUMMYFUNCTION("""COMPUTED_VALUE"""),TRUE)</f>
        <v>1</v>
      </c>
      <c r="AD7" s="6" t="b">
        <f ca="1">IFERROR(__xludf.DUMMYFUNCTION("""COMPUTED_VALUE"""),FALSE)</f>
        <v>0</v>
      </c>
      <c r="AE7" s="6">
        <f ca="1">IFERROR(__xludf.DUMMYFUNCTION("""COMPUTED_VALUE"""),6)</f>
        <v>6</v>
      </c>
      <c r="AF7" s="6">
        <f ca="1">IFERROR(__xludf.DUMMYFUNCTION("""COMPUTED_VALUE"""),0)</f>
        <v>0</v>
      </c>
      <c r="AG7" s="6">
        <f ca="1">IFERROR(__xludf.DUMMYFUNCTION("""COMPUTED_VALUE"""),0)</f>
        <v>0</v>
      </c>
      <c r="AH7" s="6">
        <f ca="1">IFERROR(__xludf.DUMMYFUNCTION("""COMPUTED_VALUE"""),0)</f>
        <v>0</v>
      </c>
      <c r="AI7" s="6">
        <f ca="1">IFERROR(__xludf.DUMMYFUNCTION("""COMPUTED_VALUE"""),1)</f>
        <v>1</v>
      </c>
      <c r="AK7" s="6" t="str">
        <f ca="1">IFERROR(__xludf.DUMMYFUNCTION("""COMPUTED_VALUE"""),"Dc")</f>
        <v>Dc</v>
      </c>
      <c r="AL7" s="6">
        <f ca="1">IFERROR(__xludf.DUMMYFUNCTION("""COMPUTED_VALUE"""),0)</f>
        <v>0</v>
      </c>
      <c r="AM7" s="6" t="b">
        <f ca="1">IFERROR(__xludf.DUMMYFUNCTION("""COMPUTED_VALUE"""),FALSE)</f>
        <v>0</v>
      </c>
      <c r="AN7" s="6" t="str">
        <f ca="1">IFERROR(__xludf.DUMMYFUNCTION("""COMPUTED_VALUE"""),"P")</f>
        <v>P</v>
      </c>
      <c r="AO7" s="6" t="str">
        <f ca="1">IFERROR(__xludf.DUMMYFUNCTION("""COMPUTED_VALUE"""),"needed more time to climb")</f>
        <v>needed more time to climb</v>
      </c>
      <c r="AP7" s="6" t="str">
        <f ca="1">IFERROR(__xludf.DUMMYFUNCTION("""COMPUTED_VALUE"""),"x")</f>
        <v>x</v>
      </c>
      <c r="AQ7" s="6" t="b">
        <f ca="1">IFERROR(__xludf.DUMMYFUNCTION("""COMPUTED_VALUE"""),FALSE)</f>
        <v>0</v>
      </c>
      <c r="AR7" s="6" t="b">
        <f ca="1">IFERROR(__xludf.DUMMYFUNCTION("""COMPUTED_VALUE"""),FALSE)</f>
        <v>0</v>
      </c>
      <c r="AS7" s="15"/>
      <c r="AT7" s="6" t="str">
        <f ca="1">IFERROR(__xludf.DUMMYFUNCTION("SWITCH(IF(A7=""Practice"",AN7,FILTER('Items by Team'!E$2:E3410,'Items by Team'!C$2:C3410=D7,B7='Items by Team'!B$2:B3410)),""None"",""No"",""Parked"",""P"",""ShallowCage"",""Sc"",""DeepCage"",""Dc"",""No"",""No"",""P"",""P"",""Sc"",""Sc"",""Dc"",""Dc"")"),"P")</f>
        <v>P</v>
      </c>
      <c r="AU7" s="6" t="str">
        <f ca="1">IFERROR(__xludf.DUMMYFUNCTION("SWITCH(IF(A7 = ""Practice"", H7, FILTER('Items by Team'!D$2:D3410,'Items by Team'!C$2:C3410 = D7,'Items by Team'!B$2:B3410 = B7)), ""Yes"", ""TRUE"", ""No"", ""FALSE"",TRUE, ""TRUE"", FALSE, ""FALSE"")"),"FALSE")</f>
        <v>FALSE</v>
      </c>
      <c r="AV7" s="6" t="str">
        <f t="shared" ca="1" si="0"/>
        <v/>
      </c>
      <c r="AW7" s="6">
        <f t="shared" ca="1" si="1"/>
        <v>0</v>
      </c>
      <c r="AX7" s="6">
        <f t="shared" ca="1" si="2"/>
        <v>0</v>
      </c>
      <c r="AY7" s="6">
        <f t="shared" ca="1" si="3"/>
        <v>1</v>
      </c>
      <c r="AZ7" s="9">
        <f t="shared" ca="1" si="4"/>
        <v>0</v>
      </c>
      <c r="BA7" s="6">
        <f t="shared" ca="1" si="5"/>
        <v>0</v>
      </c>
      <c r="BB7" s="6">
        <f t="shared" ca="1" si="6"/>
        <v>0</v>
      </c>
      <c r="BC7" s="9" t="str">
        <f t="shared" ca="1" si="7"/>
        <v/>
      </c>
      <c r="BD7" s="6">
        <f t="shared" ca="1" si="8"/>
        <v>0</v>
      </c>
      <c r="BE7" s="6">
        <f t="shared" ca="1" si="9"/>
        <v>0</v>
      </c>
      <c r="BF7" s="9" t="str">
        <f t="shared" ca="1" si="10"/>
        <v/>
      </c>
      <c r="BG7" s="6">
        <f t="shared" ca="1" si="11"/>
        <v>6</v>
      </c>
      <c r="BH7" s="6">
        <f t="shared" ca="1" si="12"/>
        <v>7</v>
      </c>
      <c r="BI7" s="9">
        <f t="shared" ca="1" si="13"/>
        <v>0.8571428571428571</v>
      </c>
      <c r="BJ7" s="6">
        <f t="shared" ca="1" si="14"/>
        <v>0</v>
      </c>
      <c r="BK7" s="6">
        <f t="shared" ca="1" si="15"/>
        <v>0</v>
      </c>
      <c r="BL7" s="6">
        <f t="shared" ca="1" si="16"/>
        <v>0</v>
      </c>
      <c r="BM7" s="6">
        <f t="shared" ca="1" si="17"/>
        <v>0</v>
      </c>
      <c r="BN7" s="6">
        <f t="shared" ca="1" si="18"/>
        <v>1</v>
      </c>
      <c r="BP7" s="6">
        <f t="shared" ca="1" si="19"/>
        <v>0</v>
      </c>
      <c r="BQ7" s="6" t="b">
        <f ca="1">IFERROR(__xludf.DUMMYFUNCTION("IF(AND(ISERROR(FILTER('Items by Team'!D$2:D3410,'Items by Team'!C$2:C3410 = D7,'Items by Team'!B$2:B3410 = B7)),NOT(A7=""Practice"")),TRUE,FALSE)"),FALSE)</f>
        <v>0</v>
      </c>
      <c r="BR7" s="6" t="e">
        <f t="shared" ca="1" si="20"/>
        <v>#VALUE!</v>
      </c>
    </row>
    <row r="8" spans="1:70">
      <c r="A8" s="6" t="str">
        <f ca="1">IFERROR(__xludf.DUMMYFUNCTION("""COMPUTED_VALUE"""),"Practice")</f>
        <v>Practice</v>
      </c>
      <c r="B8" s="6">
        <f ca="1">IFERROR(__xludf.DUMMYFUNCTION("""COMPUTED_VALUE"""),2)</f>
        <v>2</v>
      </c>
      <c r="C8" s="6" t="str">
        <f ca="1">IFERROR(__xludf.DUMMYFUNCTION("""COMPUTED_VALUE"""),"B3")</f>
        <v>B3</v>
      </c>
      <c r="D8" s="6">
        <f ca="1">IFERROR(__xludf.DUMMYFUNCTION("""COMPUTED_VALUE"""),2220)</f>
        <v>2220</v>
      </c>
      <c r="E8" s="6" t="b">
        <f ca="1">IFERROR(__xludf.DUMMYFUNCTION("""COMPUTED_VALUE"""),FALSE)</f>
        <v>0</v>
      </c>
      <c r="F8" s="6" t="str">
        <f ca="1">IFERROR(__xludf.DUMMYFUNCTION("""COMPUTED_VALUE"""),"Blue Barge")</f>
        <v>Blue Barge</v>
      </c>
      <c r="G8" s="6" t="b">
        <f ca="1">IFERROR(__xludf.DUMMYFUNCTION("""COMPUTED_VALUE"""),TRUE)</f>
        <v>1</v>
      </c>
      <c r="H8" s="6" t="b">
        <f ca="1">IFERROR(__xludf.DUMMYFUNCTION("""COMPUTED_VALUE"""),TRUE)</f>
        <v>1</v>
      </c>
      <c r="I8" s="6">
        <f ca="1">IFERROR(__xludf.DUMMYFUNCTION("""COMPUTED_VALUE"""),0)</f>
        <v>0</v>
      </c>
      <c r="J8" s="6">
        <f ca="1">IFERROR(__xludf.DUMMYFUNCTION("""COMPUTED_VALUE"""),1)</f>
        <v>1</v>
      </c>
      <c r="K8" s="6">
        <f ca="1">IFERROR(__xludf.DUMMYFUNCTION("""COMPUTED_VALUE"""),0)</f>
        <v>0</v>
      </c>
      <c r="L8" s="6">
        <f ca="1">IFERROR(__xludf.DUMMYFUNCTION("""COMPUTED_VALUE"""),2)</f>
        <v>2</v>
      </c>
      <c r="M8" s="6">
        <f ca="1">IFERROR(__xludf.DUMMYFUNCTION("""COMPUTED_VALUE"""),0)</f>
        <v>0</v>
      </c>
      <c r="N8" s="6">
        <f ca="1">IFERROR(__xludf.DUMMYFUNCTION("""COMPUTED_VALUE"""),0)</f>
        <v>0</v>
      </c>
      <c r="O8" s="6">
        <f ca="1">IFERROR(__xludf.DUMMYFUNCTION("""COMPUTED_VALUE"""),0)</f>
        <v>0</v>
      </c>
      <c r="P8" s="6">
        <f ca="1">IFERROR(__xludf.DUMMYFUNCTION("""COMPUTED_VALUE"""),0)</f>
        <v>0</v>
      </c>
      <c r="R8" s="6">
        <f ca="1">IFERROR(__xludf.DUMMYFUNCTION("""COMPUTED_VALUE"""),0)</f>
        <v>0</v>
      </c>
      <c r="S8" s="6">
        <f ca="1">IFERROR(__xludf.DUMMYFUNCTION("""COMPUTED_VALUE"""),0)</f>
        <v>0</v>
      </c>
      <c r="T8" s="6">
        <f ca="1">IFERROR(__xludf.DUMMYFUNCTION("""COMPUTED_VALUE"""),0)</f>
        <v>0</v>
      </c>
      <c r="U8" s="6">
        <f ca="1">IFERROR(__xludf.DUMMYFUNCTION("""COMPUTED_VALUE"""),0)</f>
        <v>0</v>
      </c>
      <c r="V8" s="6">
        <f ca="1">IFERROR(__xludf.DUMMYFUNCTION("""COMPUTED_VALUE"""),0)</f>
        <v>0</v>
      </c>
      <c r="W8" s="6">
        <f ca="1">IFERROR(__xludf.DUMMYFUNCTION("""COMPUTED_VALUE"""),0)</f>
        <v>0</v>
      </c>
      <c r="X8" s="6">
        <f ca="1">IFERROR(__xludf.DUMMYFUNCTION("""COMPUTED_VALUE"""),0)</f>
        <v>0</v>
      </c>
      <c r="Y8" s="6">
        <f ca="1">IFERROR(__xludf.DUMMYFUNCTION("""COMPUTED_VALUE"""),0)</f>
        <v>0</v>
      </c>
      <c r="Z8" s="6">
        <f ca="1">IFERROR(__xludf.DUMMYFUNCTION("""COMPUTED_VALUE"""),0)</f>
        <v>0</v>
      </c>
      <c r="AA8" s="6">
        <f ca="1">IFERROR(__xludf.DUMMYFUNCTION("""COMPUTED_VALUE"""),2)</f>
        <v>2</v>
      </c>
      <c r="AB8" s="6" t="b">
        <f ca="1">IFERROR(__xludf.DUMMYFUNCTION("""COMPUTED_VALUE"""),TRUE)</f>
        <v>1</v>
      </c>
      <c r="AD8" s="6" t="b">
        <f ca="1">IFERROR(__xludf.DUMMYFUNCTION("""COMPUTED_VALUE"""),FALSE)</f>
        <v>0</v>
      </c>
      <c r="AE8" s="6">
        <f ca="1">IFERROR(__xludf.DUMMYFUNCTION("""COMPUTED_VALUE"""),3)</f>
        <v>3</v>
      </c>
      <c r="AF8" s="6">
        <f ca="1">IFERROR(__xludf.DUMMYFUNCTION("""COMPUTED_VALUE"""),4)</f>
        <v>4</v>
      </c>
      <c r="AG8" s="6">
        <f ca="1">IFERROR(__xludf.DUMMYFUNCTION("""COMPUTED_VALUE"""),3)</f>
        <v>3</v>
      </c>
      <c r="AH8" s="6">
        <f ca="1">IFERROR(__xludf.DUMMYFUNCTION("""COMPUTED_VALUE"""),0)</f>
        <v>0</v>
      </c>
      <c r="AI8" s="6">
        <f ca="1">IFERROR(__xludf.DUMMYFUNCTION("""COMPUTED_VALUE"""),2)</f>
        <v>2</v>
      </c>
      <c r="AK8" s="6" t="str">
        <f ca="1">IFERROR(__xludf.DUMMYFUNCTION("""COMPUTED_VALUE"""),"P")</f>
        <v>P</v>
      </c>
      <c r="AL8" s="6">
        <f ca="1">IFERROR(__xludf.DUMMYFUNCTION("""COMPUTED_VALUE"""),0)</f>
        <v>0</v>
      </c>
      <c r="AM8" s="6" t="b">
        <f ca="1">IFERROR(__xludf.DUMMYFUNCTION("""COMPUTED_VALUE"""),FALSE)</f>
        <v>0</v>
      </c>
      <c r="AN8" s="6" t="str">
        <f ca="1">IFERROR(__xludf.DUMMYFUNCTION("""COMPUTED_VALUE"""),"P")</f>
        <v>P</v>
      </c>
      <c r="AO8" s="6"/>
      <c r="AP8" s="6" t="str">
        <f ca="1">IFERROR(__xludf.DUMMYFUNCTION("""COMPUTED_VALUE"""),"x")</f>
        <v>x</v>
      </c>
      <c r="AQ8" s="6" t="b">
        <f ca="1">IFERROR(__xludf.DUMMYFUNCTION("""COMPUTED_VALUE"""),FALSE)</f>
        <v>0</v>
      </c>
      <c r="AR8" s="6" t="b">
        <f ca="1">IFERROR(__xludf.DUMMYFUNCTION("""COMPUTED_VALUE"""),FALSE)</f>
        <v>0</v>
      </c>
      <c r="AS8" s="15"/>
      <c r="AT8" s="6" t="str">
        <f ca="1">IFERROR(__xludf.DUMMYFUNCTION("SWITCH(IF(A8=""Practice"",AN8,FILTER('Items by Team'!E$2:E3410,'Items by Team'!C$2:C3410=D8,B8='Items by Team'!B$2:B3410)),""None"",""No"",""Parked"",""P"",""ShallowCage"",""Sc"",""DeepCage"",""Dc"",""No"",""No"",""P"",""P"",""Sc"",""Sc"",""Dc"",""Dc"")"),"P")</f>
        <v>P</v>
      </c>
      <c r="AU8" s="6" t="str">
        <f ca="1">IFERROR(__xludf.DUMMYFUNCTION("SWITCH(IF(A8 = ""Practice"", H8, FILTER('Items by Team'!D$2:D3410,'Items by Team'!C$2:C3410 = D8,'Items by Team'!B$2:B3410 = B8)), ""Yes"", ""TRUE"", ""No"", ""FALSE"",TRUE, ""TRUE"", FALSE, ""FALSE"")"),"TRUE")</f>
        <v>TRUE</v>
      </c>
      <c r="AV8" s="6" t="str">
        <f t="shared" ca="1" si="0"/>
        <v/>
      </c>
      <c r="AW8" s="6">
        <f t="shared" ca="1" si="1"/>
        <v>1</v>
      </c>
      <c r="AX8" s="6">
        <f t="shared" ca="1" si="2"/>
        <v>2</v>
      </c>
      <c r="AY8" s="6">
        <f t="shared" ca="1" si="3"/>
        <v>2</v>
      </c>
      <c r="AZ8" s="9">
        <f t="shared" ca="1" si="4"/>
        <v>1</v>
      </c>
      <c r="BA8" s="6">
        <f t="shared" ca="1" si="5"/>
        <v>0</v>
      </c>
      <c r="BB8" s="6">
        <f t="shared" ca="1" si="6"/>
        <v>0</v>
      </c>
      <c r="BC8" s="9" t="str">
        <f t="shared" ca="1" si="7"/>
        <v/>
      </c>
      <c r="BD8" s="6">
        <f t="shared" ca="1" si="8"/>
        <v>0</v>
      </c>
      <c r="BE8" s="6">
        <f t="shared" ca="1" si="9"/>
        <v>0</v>
      </c>
      <c r="BF8" s="9" t="str">
        <f t="shared" ca="1" si="10"/>
        <v/>
      </c>
      <c r="BG8" s="6">
        <f t="shared" ca="1" si="11"/>
        <v>10</v>
      </c>
      <c r="BH8" s="6">
        <f t="shared" ca="1" si="12"/>
        <v>12</v>
      </c>
      <c r="BI8" s="9">
        <f t="shared" ca="1" si="13"/>
        <v>0.83333333333333337</v>
      </c>
      <c r="BJ8" s="6">
        <f t="shared" ca="1" si="14"/>
        <v>0</v>
      </c>
      <c r="BK8" s="6">
        <f t="shared" ca="1" si="15"/>
        <v>0</v>
      </c>
      <c r="BL8" s="6">
        <f t="shared" ca="1" si="16"/>
        <v>1</v>
      </c>
      <c r="BM8" s="6">
        <f t="shared" ca="1" si="17"/>
        <v>0</v>
      </c>
      <c r="BN8" s="6">
        <f t="shared" ca="1" si="18"/>
        <v>1</v>
      </c>
      <c r="BP8" s="6">
        <f t="shared" ca="1" si="19"/>
        <v>0</v>
      </c>
      <c r="BQ8" s="6" t="b">
        <f ca="1">IFERROR(__xludf.DUMMYFUNCTION("IF(AND(ISERROR(FILTER('Items by Team'!D$2:D3410,'Items by Team'!C$2:C3410 = D8,'Items by Team'!B$2:B3410 = B8)),NOT(A8=""Practice"")),TRUE,FALSE)"),FALSE)</f>
        <v>0</v>
      </c>
      <c r="BR8" s="6" t="e">
        <f t="shared" ca="1" si="20"/>
        <v>#VALUE!</v>
      </c>
    </row>
    <row r="9" spans="1:70">
      <c r="A9" s="6" t="str">
        <f ca="1">IFERROR(__xludf.DUMMYFUNCTION("""COMPUTED_VALUE"""),"Practice")</f>
        <v>Practice</v>
      </c>
      <c r="B9" s="6">
        <f ca="1">IFERROR(__xludf.DUMMYFUNCTION("""COMPUTED_VALUE"""),2)</f>
        <v>2</v>
      </c>
      <c r="C9" s="6" t="str">
        <f ca="1">IFERROR(__xludf.DUMMYFUNCTION("""COMPUTED_VALUE"""),"B2")</f>
        <v>B2</v>
      </c>
      <c r="D9" s="6">
        <f ca="1">IFERROR(__xludf.DUMMYFUNCTION("""COMPUTED_VALUE"""),2502)</f>
        <v>2502</v>
      </c>
      <c r="E9" s="6" t="b">
        <f ca="1">IFERROR(__xludf.DUMMYFUNCTION("""COMPUTED_VALUE"""),FALSE)</f>
        <v>0</v>
      </c>
      <c r="F9" s="6" t="str">
        <f ca="1">IFERROR(__xludf.DUMMYFUNCTION("""COMPUTED_VALUE"""),"Middle")</f>
        <v>Middle</v>
      </c>
      <c r="G9" s="6" t="b">
        <f ca="1">IFERROR(__xludf.DUMMYFUNCTION("""COMPUTED_VALUE"""),TRUE)</f>
        <v>1</v>
      </c>
      <c r="H9" s="6" t="b">
        <f ca="1">IFERROR(__xludf.DUMMYFUNCTION("""COMPUTED_VALUE"""),TRUE)</f>
        <v>1</v>
      </c>
      <c r="I9" s="6">
        <f ca="1">IFERROR(__xludf.DUMMYFUNCTION("""COMPUTED_VALUE"""),0)</f>
        <v>0</v>
      </c>
      <c r="J9" s="6">
        <f ca="1">IFERROR(__xludf.DUMMYFUNCTION("""COMPUTED_VALUE"""),0)</f>
        <v>0</v>
      </c>
      <c r="K9" s="6">
        <f ca="1">IFERROR(__xludf.DUMMYFUNCTION("""COMPUTED_VALUE"""),0)</f>
        <v>0</v>
      </c>
      <c r="L9" s="6">
        <f ca="1">IFERROR(__xludf.DUMMYFUNCTION("""COMPUTED_VALUE"""),0)</f>
        <v>0</v>
      </c>
      <c r="M9" s="6">
        <f ca="1">IFERROR(__xludf.DUMMYFUNCTION("""COMPUTED_VALUE"""),0)</f>
        <v>0</v>
      </c>
      <c r="N9" s="6">
        <f ca="1">IFERROR(__xludf.DUMMYFUNCTION("""COMPUTED_VALUE"""),0)</f>
        <v>0</v>
      </c>
      <c r="O9" s="6">
        <f ca="1">IFERROR(__xludf.DUMMYFUNCTION("""COMPUTED_VALUE"""),0)</f>
        <v>0</v>
      </c>
      <c r="P9" s="6">
        <f ca="1">IFERROR(__xludf.DUMMYFUNCTION("""COMPUTED_VALUE"""),0)</f>
        <v>0</v>
      </c>
      <c r="R9" s="6">
        <f ca="1">IFERROR(__xludf.DUMMYFUNCTION("""COMPUTED_VALUE"""),0)</f>
        <v>0</v>
      </c>
      <c r="S9" s="6">
        <f ca="1">IFERROR(__xludf.DUMMYFUNCTION("""COMPUTED_VALUE"""),0)</f>
        <v>0</v>
      </c>
      <c r="T9" s="6">
        <f ca="1">IFERROR(__xludf.DUMMYFUNCTION("""COMPUTED_VALUE"""),0)</f>
        <v>0</v>
      </c>
      <c r="U9" s="6">
        <f ca="1">IFERROR(__xludf.DUMMYFUNCTION("""COMPUTED_VALUE"""),0)</f>
        <v>0</v>
      </c>
      <c r="V9" s="6">
        <f ca="1">IFERROR(__xludf.DUMMYFUNCTION("""COMPUTED_VALUE"""),0)</f>
        <v>0</v>
      </c>
      <c r="W9" s="6">
        <f ca="1">IFERROR(__xludf.DUMMYFUNCTION("""COMPUTED_VALUE"""),0)</f>
        <v>0</v>
      </c>
      <c r="X9" s="6">
        <f ca="1">IFERROR(__xludf.DUMMYFUNCTION("""COMPUTED_VALUE"""),0)</f>
        <v>0</v>
      </c>
      <c r="Y9" s="6">
        <f ca="1">IFERROR(__xludf.DUMMYFUNCTION("""COMPUTED_VALUE"""),0)</f>
        <v>0</v>
      </c>
      <c r="Z9" s="6">
        <f ca="1">IFERROR(__xludf.DUMMYFUNCTION("""COMPUTED_VALUE"""),0)</f>
        <v>0</v>
      </c>
      <c r="AA9" s="6">
        <f ca="1">IFERROR(__xludf.DUMMYFUNCTION("""COMPUTED_VALUE"""),1)</f>
        <v>1</v>
      </c>
      <c r="AB9" s="6" t="b">
        <f ca="1">IFERROR(__xludf.DUMMYFUNCTION("""COMPUTED_VALUE"""),TRUE)</f>
        <v>1</v>
      </c>
      <c r="AD9" s="6" t="b">
        <f ca="1">IFERROR(__xludf.DUMMYFUNCTION("""COMPUTED_VALUE"""),FALSE)</f>
        <v>0</v>
      </c>
      <c r="AE9" s="6">
        <f ca="1">IFERROR(__xludf.DUMMYFUNCTION("""COMPUTED_VALUE"""),3)</f>
        <v>3</v>
      </c>
      <c r="AF9" s="6">
        <f ca="1">IFERROR(__xludf.DUMMYFUNCTION("""COMPUTED_VALUE"""),0)</f>
        <v>0</v>
      </c>
      <c r="AG9" s="6">
        <f ca="1">IFERROR(__xludf.DUMMYFUNCTION("""COMPUTED_VALUE"""),1)</f>
        <v>1</v>
      </c>
      <c r="AH9" s="6">
        <f ca="1">IFERROR(__xludf.DUMMYFUNCTION("""COMPUTED_VALUE"""),0)</f>
        <v>0</v>
      </c>
      <c r="AI9" s="6">
        <f ca="1">IFERROR(__xludf.DUMMYFUNCTION("""COMPUTED_VALUE"""),3)</f>
        <v>3</v>
      </c>
      <c r="AK9" s="6" t="str">
        <f ca="1">IFERROR(__xludf.DUMMYFUNCTION("""COMPUTED_VALUE"""),"Dc")</f>
        <v>Dc</v>
      </c>
      <c r="AL9" s="6">
        <f ca="1">IFERROR(__xludf.DUMMYFUNCTION("""COMPUTED_VALUE"""),0)</f>
        <v>0</v>
      </c>
      <c r="AM9" s="6" t="b">
        <f ca="1">IFERROR(__xludf.DUMMYFUNCTION("""COMPUTED_VALUE"""),FALSE)</f>
        <v>0</v>
      </c>
      <c r="AN9" s="6" t="str">
        <f ca="1">IFERROR(__xludf.DUMMYFUNCTION("""COMPUTED_VALUE"""),"P")</f>
        <v>P</v>
      </c>
      <c r="AO9" s="6"/>
      <c r="AP9" s="6" t="str">
        <f ca="1">IFERROR(__xludf.DUMMYFUNCTION("""COMPUTED_VALUE"""),"x")</f>
        <v>x</v>
      </c>
      <c r="AQ9" s="6" t="b">
        <f ca="1">IFERROR(__xludf.DUMMYFUNCTION("""COMPUTED_VALUE"""),FALSE)</f>
        <v>0</v>
      </c>
      <c r="AR9" s="6" t="b">
        <f ca="1">IFERROR(__xludf.DUMMYFUNCTION("""COMPUTED_VALUE"""),FALSE)</f>
        <v>0</v>
      </c>
      <c r="AS9" s="15"/>
      <c r="AT9" s="6" t="str">
        <f ca="1">IFERROR(__xludf.DUMMYFUNCTION("SWITCH(IF(A9=""Practice"",AN9,FILTER('Items by Team'!E$2:E3410,'Items by Team'!C$2:C3410=D9,B9='Items by Team'!B$2:B3410)),""None"",""No"",""Parked"",""P"",""ShallowCage"",""Sc"",""DeepCage"",""Dc"",""No"",""No"",""P"",""P"",""Sc"",""Sc"",""Dc"",""Dc"")"),"P")</f>
        <v>P</v>
      </c>
      <c r="AU9" s="6" t="str">
        <f ca="1">IFERROR(__xludf.DUMMYFUNCTION("SWITCH(IF(A9 = ""Practice"", H9, FILTER('Items by Team'!D$2:D3410,'Items by Team'!C$2:C3410 = D9,'Items by Team'!B$2:B3410 = B9)), ""Yes"", ""TRUE"", ""No"", ""FALSE"",TRUE, ""TRUE"", FALSE, ""FALSE"")"),"TRUE")</f>
        <v>TRUE</v>
      </c>
      <c r="AV9" s="6" t="str">
        <f t="shared" ca="1" si="0"/>
        <v/>
      </c>
      <c r="AW9" s="6">
        <f t="shared" ca="1" si="1"/>
        <v>1</v>
      </c>
      <c r="AX9" s="6">
        <f t="shared" ca="1" si="2"/>
        <v>0</v>
      </c>
      <c r="AY9" s="6">
        <f t="shared" ca="1" si="3"/>
        <v>0</v>
      </c>
      <c r="AZ9" s="9" t="str">
        <f t="shared" ca="1" si="4"/>
        <v/>
      </c>
      <c r="BA9" s="6">
        <f t="shared" ca="1" si="5"/>
        <v>0</v>
      </c>
      <c r="BB9" s="6">
        <f t="shared" ca="1" si="6"/>
        <v>0</v>
      </c>
      <c r="BC9" s="9" t="str">
        <f t="shared" ca="1" si="7"/>
        <v/>
      </c>
      <c r="BD9" s="6">
        <f t="shared" ca="1" si="8"/>
        <v>0</v>
      </c>
      <c r="BE9" s="6">
        <f t="shared" ca="1" si="9"/>
        <v>0</v>
      </c>
      <c r="BF9" s="9" t="str">
        <f t="shared" ca="1" si="10"/>
        <v/>
      </c>
      <c r="BG9" s="6">
        <f t="shared" ca="1" si="11"/>
        <v>4</v>
      </c>
      <c r="BH9" s="6">
        <f t="shared" ca="1" si="12"/>
        <v>7</v>
      </c>
      <c r="BI9" s="9">
        <f t="shared" ca="1" si="13"/>
        <v>0.5714285714285714</v>
      </c>
      <c r="BJ9" s="6">
        <f t="shared" ca="1" si="14"/>
        <v>0</v>
      </c>
      <c r="BK9" s="6">
        <f t="shared" ca="1" si="15"/>
        <v>0</v>
      </c>
      <c r="BL9" s="6">
        <f t="shared" ca="1" si="16"/>
        <v>0</v>
      </c>
      <c r="BM9" s="6">
        <f t="shared" ca="1" si="17"/>
        <v>0</v>
      </c>
      <c r="BN9" s="6">
        <f t="shared" ca="1" si="18"/>
        <v>1</v>
      </c>
      <c r="BP9" s="6">
        <f t="shared" ca="1" si="19"/>
        <v>0</v>
      </c>
      <c r="BQ9" s="6" t="b">
        <f ca="1">IFERROR(__xludf.DUMMYFUNCTION("IF(AND(ISERROR(FILTER('Items by Team'!D$2:D3410,'Items by Team'!C$2:C3410 = D9,'Items by Team'!B$2:B3410 = B9)),NOT(A9=""Practice"")),TRUE,FALSE)"),FALSE)</f>
        <v>0</v>
      </c>
      <c r="BR9" s="6" t="e">
        <f t="shared" ca="1" si="20"/>
        <v>#VALUE!</v>
      </c>
    </row>
    <row r="10" spans="1:70">
      <c r="A10" s="6" t="str">
        <f ca="1">IFERROR(__xludf.DUMMYFUNCTION("""COMPUTED_VALUE"""),"Practice")</f>
        <v>Practice</v>
      </c>
      <c r="B10" s="6">
        <f ca="1">IFERROR(__xludf.DUMMYFUNCTION("""COMPUTED_VALUE"""),2)</f>
        <v>2</v>
      </c>
      <c r="C10" s="6" t="str">
        <f ca="1">IFERROR(__xludf.DUMMYFUNCTION("""COMPUTED_VALUE"""),"B1")</f>
        <v>B1</v>
      </c>
      <c r="D10" s="6">
        <f ca="1">IFERROR(__xludf.DUMMYFUNCTION("""COMPUTED_VALUE"""),2847)</f>
        <v>2847</v>
      </c>
      <c r="E10" s="6" t="b">
        <f ca="1">IFERROR(__xludf.DUMMYFUNCTION("""COMPUTED_VALUE"""),FALSE)</f>
        <v>0</v>
      </c>
      <c r="F10" s="6" t="str">
        <f ca="1">IFERROR(__xludf.DUMMYFUNCTION("""COMPUTED_VALUE"""),"Red Barge")</f>
        <v>Red Barge</v>
      </c>
      <c r="G10" s="6" t="b">
        <f ca="1">IFERROR(__xludf.DUMMYFUNCTION("""COMPUTED_VALUE"""),TRUE)</f>
        <v>1</v>
      </c>
      <c r="H10" s="6" t="b">
        <f ca="1">IFERROR(__xludf.DUMMYFUNCTION("""COMPUTED_VALUE"""),TRUE)</f>
        <v>1</v>
      </c>
      <c r="I10" s="6">
        <f ca="1">IFERROR(__xludf.DUMMYFUNCTION("""COMPUTED_VALUE"""),1)</f>
        <v>1</v>
      </c>
      <c r="J10" s="6">
        <f ca="1">IFERROR(__xludf.DUMMYFUNCTION("""COMPUTED_VALUE"""),0)</f>
        <v>0</v>
      </c>
      <c r="K10" s="6">
        <f ca="1">IFERROR(__xludf.DUMMYFUNCTION("""COMPUTED_VALUE"""),0)</f>
        <v>0</v>
      </c>
      <c r="L10" s="6">
        <f ca="1">IFERROR(__xludf.DUMMYFUNCTION("""COMPUTED_VALUE"""),0)</f>
        <v>0</v>
      </c>
      <c r="M10" s="6">
        <f ca="1">IFERROR(__xludf.DUMMYFUNCTION("""COMPUTED_VALUE"""),0)</f>
        <v>0</v>
      </c>
      <c r="N10" s="6">
        <f ca="1">IFERROR(__xludf.DUMMYFUNCTION("""COMPUTED_VALUE"""),0)</f>
        <v>0</v>
      </c>
      <c r="O10" s="6">
        <f ca="1">IFERROR(__xludf.DUMMYFUNCTION("""COMPUTED_VALUE"""),0)</f>
        <v>0</v>
      </c>
      <c r="P10" s="6">
        <f ca="1">IFERROR(__xludf.DUMMYFUNCTION("""COMPUTED_VALUE"""),1)</f>
        <v>1</v>
      </c>
      <c r="R10" s="6">
        <f ca="1">IFERROR(__xludf.DUMMYFUNCTION("""COMPUTED_VALUE"""),0)</f>
        <v>0</v>
      </c>
      <c r="S10" s="6">
        <f ca="1">IFERROR(__xludf.DUMMYFUNCTION("""COMPUTED_VALUE"""),0)</f>
        <v>0</v>
      </c>
      <c r="T10" s="6">
        <f ca="1">IFERROR(__xludf.DUMMYFUNCTION("""COMPUTED_VALUE"""),0)</f>
        <v>0</v>
      </c>
      <c r="U10" s="6">
        <f ca="1">IFERROR(__xludf.DUMMYFUNCTION("""COMPUTED_VALUE"""),0)</f>
        <v>0</v>
      </c>
      <c r="V10" s="6">
        <f ca="1">IFERROR(__xludf.DUMMYFUNCTION("""COMPUTED_VALUE"""),0)</f>
        <v>0</v>
      </c>
      <c r="W10" s="6">
        <f ca="1">IFERROR(__xludf.DUMMYFUNCTION("""COMPUTED_VALUE"""),0)</f>
        <v>0</v>
      </c>
      <c r="X10" s="6">
        <f ca="1">IFERROR(__xludf.DUMMYFUNCTION("""COMPUTED_VALUE"""),0)</f>
        <v>0</v>
      </c>
      <c r="Y10" s="6">
        <f ca="1">IFERROR(__xludf.DUMMYFUNCTION("""COMPUTED_VALUE"""),0)</f>
        <v>0</v>
      </c>
      <c r="Z10" s="6">
        <f ca="1">IFERROR(__xludf.DUMMYFUNCTION("""COMPUTED_VALUE"""),1)</f>
        <v>1</v>
      </c>
      <c r="AA10" s="6">
        <f ca="1">IFERROR(__xludf.DUMMYFUNCTION("""COMPUTED_VALUE"""),1)</f>
        <v>1</v>
      </c>
      <c r="AB10" s="6" t="b">
        <f ca="1">IFERROR(__xludf.DUMMYFUNCTION("""COMPUTED_VALUE"""),TRUE)</f>
        <v>1</v>
      </c>
      <c r="AD10" s="6" t="b">
        <f ca="1">IFERROR(__xludf.DUMMYFUNCTION("""COMPUTED_VALUE"""),FALSE)</f>
        <v>0</v>
      </c>
      <c r="AE10" s="6">
        <f ca="1">IFERROR(__xludf.DUMMYFUNCTION("""COMPUTED_VALUE"""),4)</f>
        <v>4</v>
      </c>
      <c r="AF10" s="6">
        <f ca="1">IFERROR(__xludf.DUMMYFUNCTION("""COMPUTED_VALUE"""),3)</f>
        <v>3</v>
      </c>
      <c r="AG10" s="6">
        <f ca="1">IFERROR(__xludf.DUMMYFUNCTION("""COMPUTED_VALUE"""),4)</f>
        <v>4</v>
      </c>
      <c r="AH10" s="6">
        <f ca="1">IFERROR(__xludf.DUMMYFUNCTION("""COMPUTED_VALUE"""),0)</f>
        <v>0</v>
      </c>
      <c r="AI10" s="6">
        <f ca="1">IFERROR(__xludf.DUMMYFUNCTION("""COMPUTED_VALUE"""),3)</f>
        <v>3</v>
      </c>
      <c r="AK10" s="6" t="str">
        <f ca="1">IFERROR(__xludf.DUMMYFUNCTION("""COMPUTED_VALUE"""),"P")</f>
        <v>P</v>
      </c>
      <c r="AL10" s="6">
        <f ca="1">IFERROR(__xludf.DUMMYFUNCTION("""COMPUTED_VALUE"""),0)</f>
        <v>0</v>
      </c>
      <c r="AM10" s="6" t="b">
        <f ca="1">IFERROR(__xludf.DUMMYFUNCTION("""COMPUTED_VALUE"""),FALSE)</f>
        <v>0</v>
      </c>
      <c r="AN10" s="6" t="str">
        <f ca="1">IFERROR(__xludf.DUMMYFUNCTION("""COMPUTED_VALUE"""),"P")</f>
        <v>P</v>
      </c>
      <c r="AO10" s="6"/>
      <c r="AP10" s="6" t="str">
        <f ca="1">IFERROR(__xludf.DUMMYFUNCTION("""COMPUTED_VALUE"""),"x")</f>
        <v>x</v>
      </c>
      <c r="AQ10" s="6" t="b">
        <f ca="1">IFERROR(__xludf.DUMMYFUNCTION("""COMPUTED_VALUE"""),FALSE)</f>
        <v>0</v>
      </c>
      <c r="AR10" s="6" t="b">
        <f ca="1">IFERROR(__xludf.DUMMYFUNCTION("""COMPUTED_VALUE"""),FALSE)</f>
        <v>0</v>
      </c>
      <c r="AS10" s="15"/>
      <c r="AT10" s="6" t="str">
        <f ca="1">IFERROR(__xludf.DUMMYFUNCTION("SWITCH(IF(A10=""Practice"",AN10,FILTER('Items by Team'!E$2:E3410,'Items by Team'!C$2:C3410=D10,B10='Items by Team'!B$2:B3410)),""None"",""No"",""Parked"",""P"",""ShallowCage"",""Sc"",""DeepCage"",""Dc"",""No"",""No"",""P"",""P"",""Sc"",""Sc"",""Dc"",""Dc"&amp;""")"),"P")</f>
        <v>P</v>
      </c>
      <c r="AU10" s="6" t="str">
        <f ca="1">IFERROR(__xludf.DUMMYFUNCTION("SWITCH(IF(A10 = ""Practice"", H10, FILTER('Items by Team'!D$2:D3410,'Items by Team'!C$2:C3410 = D10,'Items by Team'!B$2:B3410 = B10)), ""Yes"", ""TRUE"", ""No"", ""FALSE"",TRUE, ""TRUE"", FALSE, ""FALSE"")"),"TRUE")</f>
        <v>TRUE</v>
      </c>
      <c r="AV10" s="6" t="str">
        <f t="shared" ca="1" si="0"/>
        <v/>
      </c>
      <c r="AW10" s="6">
        <f t="shared" ca="1" si="1"/>
        <v>1</v>
      </c>
      <c r="AX10" s="6">
        <f t="shared" ca="1" si="2"/>
        <v>0</v>
      </c>
      <c r="AY10" s="6">
        <f t="shared" ca="1" si="3"/>
        <v>1</v>
      </c>
      <c r="AZ10" s="9">
        <f t="shared" ca="1" si="4"/>
        <v>0</v>
      </c>
      <c r="BA10" s="6">
        <f t="shared" ca="1" si="5"/>
        <v>0</v>
      </c>
      <c r="BB10" s="6">
        <f t="shared" ca="1" si="6"/>
        <v>0</v>
      </c>
      <c r="BC10" s="9" t="str">
        <f t="shared" ca="1" si="7"/>
        <v/>
      </c>
      <c r="BD10" s="6">
        <f t="shared" ca="1" si="8"/>
        <v>0</v>
      </c>
      <c r="BE10" s="6">
        <f t="shared" ca="1" si="9"/>
        <v>0</v>
      </c>
      <c r="BF10" s="9" t="str">
        <f t="shared" ca="1" si="10"/>
        <v/>
      </c>
      <c r="BG10" s="6">
        <f t="shared" ca="1" si="11"/>
        <v>11</v>
      </c>
      <c r="BH10" s="6">
        <f t="shared" ca="1" si="12"/>
        <v>14</v>
      </c>
      <c r="BI10" s="9">
        <f t="shared" ca="1" si="13"/>
        <v>0.7857142857142857</v>
      </c>
      <c r="BJ10" s="6">
        <f t="shared" ca="1" si="14"/>
        <v>0</v>
      </c>
      <c r="BK10" s="6">
        <f t="shared" ca="1" si="15"/>
        <v>1</v>
      </c>
      <c r="BL10" s="6">
        <f t="shared" ca="1" si="16"/>
        <v>0</v>
      </c>
      <c r="BM10" s="6">
        <f t="shared" ca="1" si="17"/>
        <v>0</v>
      </c>
      <c r="BN10" s="6">
        <f t="shared" ca="1" si="18"/>
        <v>1</v>
      </c>
      <c r="BP10" s="6">
        <f t="shared" ca="1" si="19"/>
        <v>0</v>
      </c>
      <c r="BQ10" s="6" t="b">
        <f ca="1">IFERROR(__xludf.DUMMYFUNCTION("IF(AND(ISERROR(FILTER('Items by Team'!D$2:D3410,'Items by Team'!C$2:C3410 = D10,'Items by Team'!B$2:B3410 = B10)),NOT(A10=""Practice"")),TRUE,FALSE)"),FALSE)</f>
        <v>0</v>
      </c>
      <c r="BR10" s="6" t="e">
        <f t="shared" ca="1" si="20"/>
        <v>#VALUE!</v>
      </c>
    </row>
    <row r="11" spans="1:70">
      <c r="A11" s="6" t="str">
        <f ca="1">IFERROR(__xludf.DUMMYFUNCTION("""COMPUTED_VALUE"""),"Practice")</f>
        <v>Practice</v>
      </c>
      <c r="B11" s="6">
        <f ca="1">IFERROR(__xludf.DUMMYFUNCTION("""COMPUTED_VALUE"""),2)</f>
        <v>2</v>
      </c>
      <c r="C11" s="6" t="str">
        <f ca="1">IFERROR(__xludf.DUMMYFUNCTION("""COMPUTED_VALUE"""),"R3")</f>
        <v>R3</v>
      </c>
      <c r="D11" s="6">
        <f ca="1">IFERROR(__xludf.DUMMYFUNCTION("""COMPUTED_VALUE"""),2181)</f>
        <v>2181</v>
      </c>
      <c r="E11" s="6" t="b">
        <f ca="1">IFERROR(__xludf.DUMMYFUNCTION("""COMPUTED_VALUE"""),FALSE)</f>
        <v>0</v>
      </c>
      <c r="F11" s="6" t="str">
        <f ca="1">IFERROR(__xludf.DUMMYFUNCTION("""COMPUTED_VALUE"""),"Blue Barge")</f>
        <v>Blue Barge</v>
      </c>
      <c r="G11" s="6" t="b">
        <f ca="1">IFERROR(__xludf.DUMMYFUNCTION("""COMPUTED_VALUE"""),TRUE)</f>
        <v>1</v>
      </c>
      <c r="H11" s="6" t="b">
        <f ca="1">IFERROR(__xludf.DUMMYFUNCTION("""COMPUTED_VALUE"""),TRUE)</f>
        <v>1</v>
      </c>
      <c r="I11" s="6">
        <f ca="1">IFERROR(__xludf.DUMMYFUNCTION("""COMPUTED_VALUE"""),0)</f>
        <v>0</v>
      </c>
      <c r="J11" s="6">
        <f ca="1">IFERROR(__xludf.DUMMYFUNCTION("""COMPUTED_VALUE"""),0)</f>
        <v>0</v>
      </c>
      <c r="K11" s="6">
        <f ca="1">IFERROR(__xludf.DUMMYFUNCTION("""COMPUTED_VALUE"""),0)</f>
        <v>0</v>
      </c>
      <c r="L11" s="6">
        <f ca="1">IFERROR(__xludf.DUMMYFUNCTION("""COMPUTED_VALUE"""),0)</f>
        <v>0</v>
      </c>
      <c r="M11" s="6">
        <f ca="1">IFERROR(__xludf.DUMMYFUNCTION("""COMPUTED_VALUE"""),0)</f>
        <v>0</v>
      </c>
      <c r="N11" s="6">
        <f ca="1">IFERROR(__xludf.DUMMYFUNCTION("""COMPUTED_VALUE"""),0)</f>
        <v>0</v>
      </c>
      <c r="O11" s="6">
        <f ca="1">IFERROR(__xludf.DUMMYFUNCTION("""COMPUTED_VALUE"""),0)</f>
        <v>0</v>
      </c>
      <c r="P11" s="6">
        <f ca="1">IFERROR(__xludf.DUMMYFUNCTION("""COMPUTED_VALUE"""),0)</f>
        <v>0</v>
      </c>
      <c r="R11" s="6">
        <f ca="1">IFERROR(__xludf.DUMMYFUNCTION("""COMPUTED_VALUE"""),0)</f>
        <v>0</v>
      </c>
      <c r="S11" s="6">
        <f ca="1">IFERROR(__xludf.DUMMYFUNCTION("""COMPUTED_VALUE"""),0)</f>
        <v>0</v>
      </c>
      <c r="T11" s="6">
        <f ca="1">IFERROR(__xludf.DUMMYFUNCTION("""COMPUTED_VALUE"""),0)</f>
        <v>0</v>
      </c>
      <c r="U11" s="6">
        <f ca="1">IFERROR(__xludf.DUMMYFUNCTION("""COMPUTED_VALUE"""),0)</f>
        <v>0</v>
      </c>
      <c r="V11" s="6">
        <f ca="1">IFERROR(__xludf.DUMMYFUNCTION("""COMPUTED_VALUE"""),0)</f>
        <v>0</v>
      </c>
      <c r="W11" s="6">
        <f ca="1">IFERROR(__xludf.DUMMYFUNCTION("""COMPUTED_VALUE"""),0)</f>
        <v>0</v>
      </c>
      <c r="X11" s="6">
        <f ca="1">IFERROR(__xludf.DUMMYFUNCTION("""COMPUTED_VALUE"""),0)</f>
        <v>0</v>
      </c>
      <c r="Y11" s="6">
        <f ca="1">IFERROR(__xludf.DUMMYFUNCTION("""COMPUTED_VALUE"""),0)</f>
        <v>0</v>
      </c>
      <c r="Z11" s="6">
        <f ca="1">IFERROR(__xludf.DUMMYFUNCTION("""COMPUTED_VALUE"""),0)</f>
        <v>0</v>
      </c>
      <c r="AA11" s="6">
        <f ca="1">IFERROR(__xludf.DUMMYFUNCTION("""COMPUTED_VALUE"""),0)</f>
        <v>0</v>
      </c>
      <c r="AB11" s="6" t="b">
        <f ca="1">IFERROR(__xludf.DUMMYFUNCTION("""COMPUTED_VALUE"""),FALSE)</f>
        <v>0</v>
      </c>
      <c r="AD11" s="6" t="b">
        <f ca="1">IFERROR(__xludf.DUMMYFUNCTION("""COMPUTED_VALUE"""),FALSE)</f>
        <v>0</v>
      </c>
      <c r="AE11" s="6">
        <f ca="1">IFERROR(__xludf.DUMMYFUNCTION("""COMPUTED_VALUE"""),0)</f>
        <v>0</v>
      </c>
      <c r="AF11" s="6">
        <f ca="1">IFERROR(__xludf.DUMMYFUNCTION("""COMPUTED_VALUE"""),0)</f>
        <v>0</v>
      </c>
      <c r="AG11" s="6">
        <f ca="1">IFERROR(__xludf.DUMMYFUNCTION("""COMPUTED_VALUE"""),0)</f>
        <v>0</v>
      </c>
      <c r="AH11" s="6">
        <f ca="1">IFERROR(__xludf.DUMMYFUNCTION("""COMPUTED_VALUE"""),0)</f>
        <v>0</v>
      </c>
      <c r="AI11" s="6">
        <f ca="1">IFERROR(__xludf.DUMMYFUNCTION("""COMPUTED_VALUE"""),0)</f>
        <v>0</v>
      </c>
      <c r="AK11" s="6" t="str">
        <f ca="1">IFERROR(__xludf.DUMMYFUNCTION("""COMPUTED_VALUE"""),"No")</f>
        <v>No</v>
      </c>
      <c r="AL11" s="6">
        <f ca="1">IFERROR(__xludf.DUMMYFUNCTION("""COMPUTED_VALUE"""),0)</f>
        <v>0</v>
      </c>
      <c r="AM11" s="6" t="b">
        <f ca="1">IFERROR(__xludf.DUMMYFUNCTION("""COMPUTED_VALUE"""),FALSE)</f>
        <v>0</v>
      </c>
      <c r="AN11" s="6" t="str">
        <f ca="1">IFERROR(__xludf.DUMMYFUNCTION("""COMPUTED_VALUE"""),"No")</f>
        <v>No</v>
      </c>
      <c r="AO11" s="6" t="str">
        <f ca="1">IFERROR(__xludf.DUMMYFUNCTION("""COMPUTED_VALUE"""),"The robot stopped functioning almost as soon as it left the starting line")</f>
        <v>The robot stopped functioning almost as soon as it left the starting line</v>
      </c>
      <c r="AP11" s="6" t="str">
        <f ca="1">IFERROR(__xludf.DUMMYFUNCTION("""COMPUTED_VALUE"""),"x")</f>
        <v>x</v>
      </c>
      <c r="AQ11" s="6" t="b">
        <f ca="1">IFERROR(__xludf.DUMMYFUNCTION("""COMPUTED_VALUE"""),FALSE)</f>
        <v>0</v>
      </c>
      <c r="AR11" s="6" t="b">
        <f ca="1">IFERROR(__xludf.DUMMYFUNCTION("""COMPUTED_VALUE"""),TRUE)</f>
        <v>1</v>
      </c>
      <c r="AS11" s="15"/>
      <c r="AT11" s="6" t="str">
        <f ca="1">IFERROR(__xludf.DUMMYFUNCTION("SWITCH(IF(A11=""Practice"",AN11,FILTER('Items by Team'!E$2:E3410,'Items by Team'!C$2:C3410=D11,B11='Items by Team'!B$2:B3410)),""None"",""No"",""Parked"",""P"",""ShallowCage"",""Sc"",""DeepCage"",""Dc"",""No"",""No"",""P"",""P"",""Sc"",""Sc"",""Dc"",""Dc"&amp;""")"),"No")</f>
        <v>No</v>
      </c>
      <c r="AU11" s="6" t="str">
        <f ca="1">IFERROR(__xludf.DUMMYFUNCTION("SWITCH(IF(A11 = ""Practice"", H11, FILTER('Items by Team'!D$2:D3410,'Items by Team'!C$2:C3410 = D11,'Items by Team'!B$2:B3410 = B11)), ""Yes"", ""TRUE"", ""No"", ""FALSE"",TRUE, ""TRUE"", FALSE, ""FALSE"")"),"TRUE")</f>
        <v>TRUE</v>
      </c>
      <c r="AV11" s="6" t="str">
        <f t="shared" ca="1" si="0"/>
        <v/>
      </c>
      <c r="AW11" s="6">
        <f t="shared" ca="1" si="1"/>
        <v>1</v>
      </c>
      <c r="AX11" s="6">
        <f t="shared" ca="1" si="2"/>
        <v>0</v>
      </c>
      <c r="AY11" s="6">
        <f t="shared" ca="1" si="3"/>
        <v>0</v>
      </c>
      <c r="AZ11" s="9" t="str">
        <f t="shared" ca="1" si="4"/>
        <v/>
      </c>
      <c r="BA11" s="6">
        <f t="shared" ca="1" si="5"/>
        <v>0</v>
      </c>
      <c r="BB11" s="6">
        <f t="shared" ca="1" si="6"/>
        <v>0</v>
      </c>
      <c r="BC11" s="9" t="str">
        <f t="shared" ca="1" si="7"/>
        <v/>
      </c>
      <c r="BD11" s="6">
        <f t="shared" ca="1" si="8"/>
        <v>0</v>
      </c>
      <c r="BE11" s="6">
        <f t="shared" ca="1" si="9"/>
        <v>0</v>
      </c>
      <c r="BF11" s="9" t="str">
        <f t="shared" ca="1" si="10"/>
        <v/>
      </c>
      <c r="BG11" s="6">
        <f t="shared" ca="1" si="11"/>
        <v>0</v>
      </c>
      <c r="BH11" s="6">
        <f t="shared" ca="1" si="12"/>
        <v>0</v>
      </c>
      <c r="BI11" s="9" t="str">
        <f t="shared" ca="1" si="13"/>
        <v/>
      </c>
      <c r="BJ11" s="6">
        <f t="shared" ca="1" si="14"/>
        <v>0</v>
      </c>
      <c r="BK11" s="6">
        <f t="shared" ca="1" si="15"/>
        <v>0</v>
      </c>
      <c r="BL11" s="6">
        <f t="shared" ca="1" si="16"/>
        <v>0</v>
      </c>
      <c r="BM11" s="6">
        <f t="shared" ca="1" si="17"/>
        <v>0</v>
      </c>
      <c r="BN11" s="6">
        <f t="shared" ca="1" si="18"/>
        <v>0</v>
      </c>
      <c r="BP11" s="6">
        <f t="shared" ca="1" si="19"/>
        <v>0</v>
      </c>
      <c r="BQ11" s="6" t="b">
        <f ca="1">IFERROR(__xludf.DUMMYFUNCTION("IF(AND(ISERROR(FILTER('Items by Team'!D$2:D3410,'Items by Team'!C$2:C3410 = D11,'Items by Team'!B$2:B3410 = B11)),NOT(A11=""Practice"")),TRUE,FALSE)"),FALSE)</f>
        <v>0</v>
      </c>
      <c r="BR11" s="6" t="e">
        <f t="shared" ca="1" si="20"/>
        <v>#VALUE!</v>
      </c>
    </row>
    <row r="12" spans="1:70">
      <c r="A12" s="6" t="str">
        <f ca="1">IFERROR(__xludf.DUMMYFUNCTION("""COMPUTED_VALUE"""),"Practice")</f>
        <v>Practice</v>
      </c>
      <c r="B12" s="6">
        <f ca="1">IFERROR(__xludf.DUMMYFUNCTION("""COMPUTED_VALUE"""),3)</f>
        <v>3</v>
      </c>
      <c r="C12" s="6" t="str">
        <f ca="1">IFERROR(__xludf.DUMMYFUNCTION("""COMPUTED_VALUE"""),"B1")</f>
        <v>B1</v>
      </c>
      <c r="D12" s="6">
        <f ca="1">IFERROR(__xludf.DUMMYFUNCTION("""COMPUTED_VALUE"""),2823)</f>
        <v>2823</v>
      </c>
      <c r="E12" s="6" t="b">
        <f ca="1">IFERROR(__xludf.DUMMYFUNCTION("""COMPUTED_VALUE"""),FALSE)</f>
        <v>0</v>
      </c>
      <c r="F12" s="6" t="str">
        <f ca="1">IFERROR(__xludf.DUMMYFUNCTION("""COMPUTED_VALUE"""),"Blue Barge")</f>
        <v>Blue Barge</v>
      </c>
      <c r="G12" s="6" t="b">
        <f ca="1">IFERROR(__xludf.DUMMYFUNCTION("""COMPUTED_VALUE"""),TRUE)</f>
        <v>1</v>
      </c>
      <c r="H12" s="6" t="b">
        <f ca="1">IFERROR(__xludf.DUMMYFUNCTION("""COMPUTED_VALUE"""),TRUE)</f>
        <v>1</v>
      </c>
      <c r="I12" s="6">
        <f ca="1">IFERROR(__xludf.DUMMYFUNCTION("""COMPUTED_VALUE"""),0)</f>
        <v>0</v>
      </c>
      <c r="J12" s="6">
        <f ca="1">IFERROR(__xludf.DUMMYFUNCTION("""COMPUTED_VALUE"""),1)</f>
        <v>1</v>
      </c>
      <c r="K12" s="6">
        <f ca="1">IFERROR(__xludf.DUMMYFUNCTION("""COMPUTED_VALUE"""),1)</f>
        <v>1</v>
      </c>
      <c r="L12" s="6">
        <f ca="1">IFERROR(__xludf.DUMMYFUNCTION("""COMPUTED_VALUE"""),1)</f>
        <v>1</v>
      </c>
      <c r="M12" s="6">
        <f ca="1">IFERROR(__xludf.DUMMYFUNCTION("""COMPUTED_VALUE"""),0)</f>
        <v>0</v>
      </c>
      <c r="N12" s="6">
        <f ca="1">IFERROR(__xludf.DUMMYFUNCTION("""COMPUTED_VALUE"""),0)</f>
        <v>0</v>
      </c>
      <c r="O12" s="6">
        <f ca="1">IFERROR(__xludf.DUMMYFUNCTION("""COMPUTED_VALUE"""),0)</f>
        <v>0</v>
      </c>
      <c r="P12" s="6">
        <f ca="1">IFERROR(__xludf.DUMMYFUNCTION("""COMPUTED_VALUE"""),1)</f>
        <v>1</v>
      </c>
      <c r="R12" s="6">
        <f ca="1">IFERROR(__xludf.DUMMYFUNCTION("""COMPUTED_VALUE"""),0)</f>
        <v>0</v>
      </c>
      <c r="S12" s="6">
        <f ca="1">IFERROR(__xludf.DUMMYFUNCTION("""COMPUTED_VALUE"""),0)</f>
        <v>0</v>
      </c>
      <c r="T12" s="6">
        <f ca="1">IFERROR(__xludf.DUMMYFUNCTION("""COMPUTED_VALUE"""),0)</f>
        <v>0</v>
      </c>
      <c r="U12" s="6">
        <f ca="1">IFERROR(__xludf.DUMMYFUNCTION("""COMPUTED_VALUE"""),0)</f>
        <v>0</v>
      </c>
      <c r="V12" s="6">
        <f ca="1">IFERROR(__xludf.DUMMYFUNCTION("""COMPUTED_VALUE"""),0)</f>
        <v>0</v>
      </c>
      <c r="W12" s="6">
        <f ca="1">IFERROR(__xludf.DUMMYFUNCTION("""COMPUTED_VALUE"""),0)</f>
        <v>0</v>
      </c>
      <c r="X12" s="6">
        <f ca="1">IFERROR(__xludf.DUMMYFUNCTION("""COMPUTED_VALUE"""),0)</f>
        <v>0</v>
      </c>
      <c r="Y12" s="6">
        <f ca="1">IFERROR(__xludf.DUMMYFUNCTION("""COMPUTED_VALUE"""),0)</f>
        <v>0</v>
      </c>
      <c r="Z12" s="6">
        <f ca="1">IFERROR(__xludf.DUMMYFUNCTION("""COMPUTED_VALUE"""),0)</f>
        <v>0</v>
      </c>
      <c r="AA12" s="6">
        <f ca="1">IFERROR(__xludf.DUMMYFUNCTION("""COMPUTED_VALUE"""),1)</f>
        <v>1</v>
      </c>
      <c r="AB12" s="6" t="b">
        <f ca="1">IFERROR(__xludf.DUMMYFUNCTION("""COMPUTED_VALUE"""),TRUE)</f>
        <v>1</v>
      </c>
      <c r="AD12" s="6" t="b">
        <f ca="1">IFERROR(__xludf.DUMMYFUNCTION("""COMPUTED_VALUE"""),FALSE)</f>
        <v>0</v>
      </c>
      <c r="AE12" s="6">
        <f ca="1">IFERROR(__xludf.DUMMYFUNCTION("""COMPUTED_VALUE"""),2)</f>
        <v>2</v>
      </c>
      <c r="AF12" s="6">
        <f ca="1">IFERROR(__xludf.DUMMYFUNCTION("""COMPUTED_VALUE"""),3)</f>
        <v>3</v>
      </c>
      <c r="AG12" s="6">
        <f ca="1">IFERROR(__xludf.DUMMYFUNCTION("""COMPUTED_VALUE"""),1)</f>
        <v>1</v>
      </c>
      <c r="AH12" s="6">
        <f ca="1">IFERROR(__xludf.DUMMYFUNCTION("""COMPUTED_VALUE"""),0)</f>
        <v>0</v>
      </c>
      <c r="AI12" s="6">
        <f ca="1">IFERROR(__xludf.DUMMYFUNCTION("""COMPUTED_VALUE"""),5)</f>
        <v>5</v>
      </c>
      <c r="AK12" s="6" t="str">
        <f ca="1">IFERROR(__xludf.DUMMYFUNCTION("""COMPUTED_VALUE"""),"Dc")</f>
        <v>Dc</v>
      </c>
      <c r="AL12" s="6">
        <f ca="1">IFERROR(__xludf.DUMMYFUNCTION("""COMPUTED_VALUE"""),0)</f>
        <v>0</v>
      </c>
      <c r="AM12" s="6" t="b">
        <f ca="1">IFERROR(__xludf.DUMMYFUNCTION("""COMPUTED_VALUE"""),FALSE)</f>
        <v>0</v>
      </c>
      <c r="AN12" s="6" t="str">
        <f ca="1">IFERROR(__xludf.DUMMYFUNCTION("""COMPUTED_VALUE"""),"P")</f>
        <v>P</v>
      </c>
      <c r="AO12" s="6"/>
      <c r="AP12" s="6" t="str">
        <f ca="1">IFERROR(__xludf.DUMMYFUNCTION("""COMPUTED_VALUE"""),"x")</f>
        <v>x</v>
      </c>
      <c r="AQ12" s="6" t="b">
        <f ca="1">IFERROR(__xludf.DUMMYFUNCTION("""COMPUTED_VALUE"""),FALSE)</f>
        <v>0</v>
      </c>
      <c r="AR12" s="6" t="b">
        <f ca="1">IFERROR(__xludf.DUMMYFUNCTION("""COMPUTED_VALUE"""),FALSE)</f>
        <v>0</v>
      </c>
      <c r="AS12" s="15"/>
      <c r="AT12" s="6" t="str">
        <f ca="1">IFERROR(__xludf.DUMMYFUNCTION("SWITCH(IF(A12=""Practice"",AN12,FILTER('Items by Team'!E$2:E3410,'Items by Team'!C$2:C3410=D12,B12='Items by Team'!B$2:B3410)),""None"",""No"",""Parked"",""P"",""ShallowCage"",""Sc"",""DeepCage"",""Dc"",""No"",""No"",""P"",""P"",""Sc"",""Sc"",""Dc"",""Dc"&amp;""")"),"P")</f>
        <v>P</v>
      </c>
      <c r="AU12" s="6" t="str">
        <f ca="1">IFERROR(__xludf.DUMMYFUNCTION("SWITCH(IF(A12 = ""Practice"", H12, FILTER('Items by Team'!D$2:D3410,'Items by Team'!C$2:C3410 = D12,'Items by Team'!B$2:B3410 = B12)), ""Yes"", ""TRUE"", ""No"", ""FALSE"",TRUE, ""TRUE"", FALSE, ""FALSE"")"),"TRUE")</f>
        <v>TRUE</v>
      </c>
      <c r="AV12" s="6" t="str">
        <f t="shared" ca="1" si="0"/>
        <v/>
      </c>
      <c r="AW12" s="6">
        <f t="shared" ca="1" si="1"/>
        <v>1</v>
      </c>
      <c r="AX12" s="6">
        <f t="shared" ca="1" si="2"/>
        <v>1</v>
      </c>
      <c r="AY12" s="6">
        <f t="shared" ca="1" si="3"/>
        <v>2</v>
      </c>
      <c r="AZ12" s="9">
        <f t="shared" ca="1" si="4"/>
        <v>0.5</v>
      </c>
      <c r="BA12" s="6">
        <f t="shared" ca="1" si="5"/>
        <v>0</v>
      </c>
      <c r="BB12" s="6">
        <f t="shared" ca="1" si="6"/>
        <v>0</v>
      </c>
      <c r="BC12" s="9" t="str">
        <f t="shared" ca="1" si="7"/>
        <v/>
      </c>
      <c r="BD12" s="6">
        <f t="shared" ca="1" si="8"/>
        <v>0</v>
      </c>
      <c r="BE12" s="6">
        <f t="shared" ca="1" si="9"/>
        <v>0</v>
      </c>
      <c r="BF12" s="9" t="str">
        <f t="shared" ca="1" si="10"/>
        <v/>
      </c>
      <c r="BG12" s="6">
        <f t="shared" ca="1" si="11"/>
        <v>6</v>
      </c>
      <c r="BH12" s="6">
        <f t="shared" ca="1" si="12"/>
        <v>11</v>
      </c>
      <c r="BI12" s="9">
        <f t="shared" ca="1" si="13"/>
        <v>0.54545454545454541</v>
      </c>
      <c r="BJ12" s="6">
        <f t="shared" ca="1" si="14"/>
        <v>0</v>
      </c>
      <c r="BK12" s="6">
        <f t="shared" ca="1" si="15"/>
        <v>0</v>
      </c>
      <c r="BL12" s="6">
        <f t="shared" ca="1" si="16"/>
        <v>1</v>
      </c>
      <c r="BM12" s="6">
        <f t="shared" ca="1" si="17"/>
        <v>1</v>
      </c>
      <c r="BN12" s="6">
        <f t="shared" ca="1" si="18"/>
        <v>1</v>
      </c>
      <c r="BP12" s="6">
        <f t="shared" ca="1" si="19"/>
        <v>0</v>
      </c>
      <c r="BQ12" s="6" t="b">
        <f ca="1">IFERROR(__xludf.DUMMYFUNCTION("IF(AND(ISERROR(FILTER('Items by Team'!D$2:D3410,'Items by Team'!C$2:C3410 = D12,'Items by Team'!B$2:B3410 = B12)),NOT(A12=""Practice"")),TRUE,FALSE)"),FALSE)</f>
        <v>0</v>
      </c>
      <c r="BR12" s="6" t="e">
        <f t="shared" ca="1" si="20"/>
        <v>#VALUE!</v>
      </c>
    </row>
    <row r="13" spans="1:70">
      <c r="A13" s="6" t="str">
        <f ca="1">IFERROR(__xludf.DUMMYFUNCTION("""COMPUTED_VALUE"""),"Practice")</f>
        <v>Practice</v>
      </c>
      <c r="B13" s="6">
        <f ca="1">IFERROR(__xludf.DUMMYFUNCTION("""COMPUTED_VALUE"""),3)</f>
        <v>3</v>
      </c>
      <c r="C13" s="6" t="str">
        <f ca="1">IFERROR(__xludf.DUMMYFUNCTION("""COMPUTED_VALUE"""),"B2")</f>
        <v>B2</v>
      </c>
      <c r="D13" s="6">
        <f ca="1">IFERROR(__xludf.DUMMYFUNCTION("""COMPUTED_VALUE"""),2855)</f>
        <v>2855</v>
      </c>
      <c r="E13" s="6" t="b">
        <f ca="1">IFERROR(__xludf.DUMMYFUNCTION("""COMPUTED_VALUE"""),FALSE)</f>
        <v>0</v>
      </c>
      <c r="F13" s="6" t="str">
        <f ca="1">IFERROR(__xludf.DUMMYFUNCTION("""COMPUTED_VALUE"""),"Red Barge")</f>
        <v>Red Barge</v>
      </c>
      <c r="G13" s="6" t="b">
        <f ca="1">IFERROR(__xludf.DUMMYFUNCTION("""COMPUTED_VALUE"""),TRUE)</f>
        <v>1</v>
      </c>
      <c r="H13" s="6" t="b">
        <f ca="1">IFERROR(__xludf.DUMMYFUNCTION("""COMPUTED_VALUE"""),TRUE)</f>
        <v>1</v>
      </c>
      <c r="I13" s="6">
        <f ca="1">IFERROR(__xludf.DUMMYFUNCTION("""COMPUTED_VALUE"""),1)</f>
        <v>1</v>
      </c>
      <c r="J13" s="6">
        <f ca="1">IFERROR(__xludf.DUMMYFUNCTION("""COMPUTED_VALUE"""),0)</f>
        <v>0</v>
      </c>
      <c r="K13" s="6">
        <f ca="1">IFERROR(__xludf.DUMMYFUNCTION("""COMPUTED_VALUE"""),0)</f>
        <v>0</v>
      </c>
      <c r="L13" s="6">
        <f ca="1">IFERROR(__xludf.DUMMYFUNCTION("""COMPUTED_VALUE"""),0)</f>
        <v>0</v>
      </c>
      <c r="M13" s="6">
        <f ca="1">IFERROR(__xludf.DUMMYFUNCTION("""COMPUTED_VALUE"""),0)</f>
        <v>0</v>
      </c>
      <c r="N13" s="6">
        <f ca="1">IFERROR(__xludf.DUMMYFUNCTION("""COMPUTED_VALUE"""),0)</f>
        <v>0</v>
      </c>
      <c r="O13" s="6">
        <f ca="1">IFERROR(__xludf.DUMMYFUNCTION("""COMPUTED_VALUE"""),0)</f>
        <v>0</v>
      </c>
      <c r="P13" s="6">
        <f ca="1">IFERROR(__xludf.DUMMYFUNCTION("""COMPUTED_VALUE"""),1)</f>
        <v>1</v>
      </c>
      <c r="R13" s="6">
        <f ca="1">IFERROR(__xludf.DUMMYFUNCTION("""COMPUTED_VALUE"""),0)</f>
        <v>0</v>
      </c>
      <c r="S13" s="6">
        <f ca="1">IFERROR(__xludf.DUMMYFUNCTION("""COMPUTED_VALUE"""),0)</f>
        <v>0</v>
      </c>
      <c r="T13" s="6">
        <f ca="1">IFERROR(__xludf.DUMMYFUNCTION("""COMPUTED_VALUE"""),0)</f>
        <v>0</v>
      </c>
      <c r="U13" s="6">
        <f ca="1">IFERROR(__xludf.DUMMYFUNCTION("""COMPUTED_VALUE"""),0)</f>
        <v>0</v>
      </c>
      <c r="V13" s="6">
        <f ca="1">IFERROR(__xludf.DUMMYFUNCTION("""COMPUTED_VALUE"""),0)</f>
        <v>0</v>
      </c>
      <c r="W13" s="6">
        <f ca="1">IFERROR(__xludf.DUMMYFUNCTION("""COMPUTED_VALUE"""),0)</f>
        <v>0</v>
      </c>
      <c r="X13" s="6">
        <f ca="1">IFERROR(__xludf.DUMMYFUNCTION("""COMPUTED_VALUE"""),0)</f>
        <v>0</v>
      </c>
      <c r="Y13" s="6">
        <f ca="1">IFERROR(__xludf.DUMMYFUNCTION("""COMPUTED_VALUE"""),0)</f>
        <v>0</v>
      </c>
      <c r="Z13" s="6">
        <f ca="1">IFERROR(__xludf.DUMMYFUNCTION("""COMPUTED_VALUE"""),0)</f>
        <v>0</v>
      </c>
      <c r="AA13" s="6">
        <f ca="1">IFERROR(__xludf.DUMMYFUNCTION("""COMPUTED_VALUE"""),1)</f>
        <v>1</v>
      </c>
      <c r="AB13" s="6" t="b">
        <f ca="1">IFERROR(__xludf.DUMMYFUNCTION("""COMPUTED_VALUE"""),TRUE)</f>
        <v>1</v>
      </c>
      <c r="AD13" s="6" t="b">
        <f ca="1">IFERROR(__xludf.DUMMYFUNCTION("""COMPUTED_VALUE"""),FALSE)</f>
        <v>0</v>
      </c>
      <c r="AE13" s="6">
        <f ca="1">IFERROR(__xludf.DUMMYFUNCTION("""COMPUTED_VALUE"""),4)</f>
        <v>4</v>
      </c>
      <c r="AF13" s="6">
        <f ca="1">IFERROR(__xludf.DUMMYFUNCTION("""COMPUTED_VALUE"""),1)</f>
        <v>1</v>
      </c>
      <c r="AG13" s="6">
        <f ca="1">IFERROR(__xludf.DUMMYFUNCTION("""COMPUTED_VALUE"""),0)</f>
        <v>0</v>
      </c>
      <c r="AH13" s="6">
        <f ca="1">IFERROR(__xludf.DUMMYFUNCTION("""COMPUTED_VALUE"""),0)</f>
        <v>0</v>
      </c>
      <c r="AI13" s="6">
        <f ca="1">IFERROR(__xludf.DUMMYFUNCTION("""COMPUTED_VALUE"""),1)</f>
        <v>1</v>
      </c>
      <c r="AK13" s="6" t="str">
        <f ca="1">IFERROR(__xludf.DUMMYFUNCTION("""COMPUTED_VALUE"""),"Dc")</f>
        <v>Dc</v>
      </c>
      <c r="AL13" s="6">
        <f ca="1">IFERROR(__xludf.DUMMYFUNCTION("""COMPUTED_VALUE"""),0)</f>
        <v>0</v>
      </c>
      <c r="AM13" s="6" t="b">
        <f ca="1">IFERROR(__xludf.DUMMYFUNCTION("""COMPUTED_VALUE"""),TRUE)</f>
        <v>1</v>
      </c>
      <c r="AN13" s="6" t="str">
        <f ca="1">IFERROR(__xludf.DUMMYFUNCTION("""COMPUTED_VALUE"""),"P")</f>
        <v>P</v>
      </c>
      <c r="AO13" s="6" t="str">
        <f ca="1">IFERROR(__xludf.DUMMYFUNCTION("""COMPUTED_VALUE"""),"attempted to climb, was not able to before match end")</f>
        <v>attempted to climb, was not able to before match end</v>
      </c>
      <c r="AP13" s="6" t="str">
        <f ca="1">IFERROR(__xludf.DUMMYFUNCTION("""COMPUTED_VALUE"""),"x")</f>
        <v>x</v>
      </c>
      <c r="AQ13" s="6" t="b">
        <f ca="1">IFERROR(__xludf.DUMMYFUNCTION("""COMPUTED_VALUE"""),FALSE)</f>
        <v>0</v>
      </c>
      <c r="AR13" s="6" t="b">
        <f ca="1">IFERROR(__xludf.DUMMYFUNCTION("""COMPUTED_VALUE"""),FALSE)</f>
        <v>0</v>
      </c>
      <c r="AS13" s="15"/>
      <c r="AT13" s="6" t="str">
        <f ca="1">IFERROR(__xludf.DUMMYFUNCTION("SWITCH(IF(A13=""Practice"",AN13,FILTER('Items by Team'!E$2:E3410,'Items by Team'!C$2:C3410=D13,B13='Items by Team'!B$2:B3410)),""None"",""No"",""Parked"",""P"",""ShallowCage"",""Sc"",""DeepCage"",""Dc"",""No"",""No"",""P"",""P"",""Sc"",""Sc"",""Dc"",""Dc"&amp;""")"),"P")</f>
        <v>P</v>
      </c>
      <c r="AU13" s="6" t="str">
        <f ca="1">IFERROR(__xludf.DUMMYFUNCTION("SWITCH(IF(A13 = ""Practice"", H13, FILTER('Items by Team'!D$2:D3410,'Items by Team'!C$2:C3410 = D13,'Items by Team'!B$2:B3410 = B13)), ""Yes"", ""TRUE"", ""No"", ""FALSE"",TRUE, ""TRUE"", FALSE, ""FALSE"")"),"TRUE")</f>
        <v>TRUE</v>
      </c>
      <c r="AV13" s="6" t="str">
        <f t="shared" ca="1" si="0"/>
        <v/>
      </c>
      <c r="AW13" s="6">
        <f t="shared" ca="1" si="1"/>
        <v>1</v>
      </c>
      <c r="AX13" s="6">
        <f t="shared" ca="1" si="2"/>
        <v>0</v>
      </c>
      <c r="AY13" s="6">
        <f t="shared" ca="1" si="3"/>
        <v>1</v>
      </c>
      <c r="AZ13" s="9">
        <f t="shared" ca="1" si="4"/>
        <v>0</v>
      </c>
      <c r="BA13" s="6">
        <f t="shared" ca="1" si="5"/>
        <v>0</v>
      </c>
      <c r="BB13" s="6">
        <f t="shared" ca="1" si="6"/>
        <v>0</v>
      </c>
      <c r="BC13" s="9" t="str">
        <f t="shared" ca="1" si="7"/>
        <v/>
      </c>
      <c r="BD13" s="6">
        <f t="shared" ca="1" si="8"/>
        <v>0</v>
      </c>
      <c r="BE13" s="6">
        <f t="shared" ca="1" si="9"/>
        <v>0</v>
      </c>
      <c r="BF13" s="9" t="str">
        <f t="shared" ca="1" si="10"/>
        <v/>
      </c>
      <c r="BG13" s="6">
        <f t="shared" ca="1" si="11"/>
        <v>5</v>
      </c>
      <c r="BH13" s="6">
        <f t="shared" ca="1" si="12"/>
        <v>6</v>
      </c>
      <c r="BI13" s="9">
        <f t="shared" ca="1" si="13"/>
        <v>0.83333333333333337</v>
      </c>
      <c r="BJ13" s="6">
        <f t="shared" ca="1" si="14"/>
        <v>0</v>
      </c>
      <c r="BK13" s="6">
        <f t="shared" ca="1" si="15"/>
        <v>1</v>
      </c>
      <c r="BL13" s="6">
        <f t="shared" ca="1" si="16"/>
        <v>0</v>
      </c>
      <c r="BM13" s="6">
        <f t="shared" ca="1" si="17"/>
        <v>0</v>
      </c>
      <c r="BN13" s="6">
        <f t="shared" ca="1" si="18"/>
        <v>1</v>
      </c>
      <c r="BP13" s="6">
        <f t="shared" ca="1" si="19"/>
        <v>0</v>
      </c>
      <c r="BQ13" s="6" t="b">
        <f ca="1">IFERROR(__xludf.DUMMYFUNCTION("IF(AND(ISERROR(FILTER('Items by Team'!D$2:D3410,'Items by Team'!C$2:C3410 = D13,'Items by Team'!B$2:B3410 = B13)),NOT(A13=""Practice"")),TRUE,FALSE)"),FALSE)</f>
        <v>0</v>
      </c>
      <c r="BR13" s="6" t="e">
        <f t="shared" ca="1" si="20"/>
        <v>#VALUE!</v>
      </c>
    </row>
    <row r="14" spans="1:70">
      <c r="A14" s="6" t="str">
        <f ca="1">IFERROR(__xludf.DUMMYFUNCTION("""COMPUTED_VALUE"""),"Practice")</f>
        <v>Practice</v>
      </c>
      <c r="B14" s="6">
        <f ca="1">IFERROR(__xludf.DUMMYFUNCTION("""COMPUTED_VALUE"""),3)</f>
        <v>3</v>
      </c>
      <c r="C14" s="6" t="str">
        <f ca="1">IFERROR(__xludf.DUMMYFUNCTION("""COMPUTED_VALUE"""),"R1")</f>
        <v>R1</v>
      </c>
      <c r="D14" s="6">
        <f ca="1">IFERROR(__xludf.DUMMYFUNCTION("""COMPUTED_VALUE"""),2207)</f>
        <v>2207</v>
      </c>
      <c r="E14" s="6" t="b">
        <f ca="1">IFERROR(__xludf.DUMMYFUNCTION("""COMPUTED_VALUE"""),FALSE)</f>
        <v>0</v>
      </c>
      <c r="F14" s="6" t="str">
        <f ca="1">IFERROR(__xludf.DUMMYFUNCTION("""COMPUTED_VALUE"""),"Red Barge")</f>
        <v>Red Barge</v>
      </c>
      <c r="G14" s="6" t="b">
        <f ca="1">IFERROR(__xludf.DUMMYFUNCTION("""COMPUTED_VALUE"""),TRUE)</f>
        <v>1</v>
      </c>
      <c r="H14" s="6" t="b">
        <f ca="1">IFERROR(__xludf.DUMMYFUNCTION("""COMPUTED_VALUE"""),TRUE)</f>
        <v>1</v>
      </c>
      <c r="I14" s="6">
        <f ca="1">IFERROR(__xludf.DUMMYFUNCTION("""COMPUTED_VALUE"""),0)</f>
        <v>0</v>
      </c>
      <c r="J14" s="6">
        <f ca="1">IFERROR(__xludf.DUMMYFUNCTION("""COMPUTED_VALUE"""),0)</f>
        <v>0</v>
      </c>
      <c r="K14" s="6">
        <f ca="1">IFERROR(__xludf.DUMMYFUNCTION("""COMPUTED_VALUE"""),0)</f>
        <v>0</v>
      </c>
      <c r="L14" s="6">
        <f ca="1">IFERROR(__xludf.DUMMYFUNCTION("""COMPUTED_VALUE"""),0)</f>
        <v>0</v>
      </c>
      <c r="M14" s="6">
        <f ca="1">IFERROR(__xludf.DUMMYFUNCTION("""COMPUTED_VALUE"""),0)</f>
        <v>0</v>
      </c>
      <c r="N14" s="6">
        <f ca="1">IFERROR(__xludf.DUMMYFUNCTION("""COMPUTED_VALUE"""),0)</f>
        <v>0</v>
      </c>
      <c r="O14" s="6">
        <f ca="1">IFERROR(__xludf.DUMMYFUNCTION("""COMPUTED_VALUE"""),0)</f>
        <v>0</v>
      </c>
      <c r="P14" s="6">
        <f ca="1">IFERROR(__xludf.DUMMYFUNCTION("""COMPUTED_VALUE"""),1)</f>
        <v>1</v>
      </c>
      <c r="R14" s="6">
        <f ca="1">IFERROR(__xludf.DUMMYFUNCTION("""COMPUTED_VALUE"""),0)</f>
        <v>0</v>
      </c>
      <c r="S14" s="6">
        <f ca="1">IFERROR(__xludf.DUMMYFUNCTION("""COMPUTED_VALUE"""),0)</f>
        <v>0</v>
      </c>
      <c r="T14" s="6">
        <f ca="1">IFERROR(__xludf.DUMMYFUNCTION("""COMPUTED_VALUE"""),0)</f>
        <v>0</v>
      </c>
      <c r="U14" s="6">
        <f ca="1">IFERROR(__xludf.DUMMYFUNCTION("""COMPUTED_VALUE"""),0)</f>
        <v>0</v>
      </c>
      <c r="V14" s="6">
        <f ca="1">IFERROR(__xludf.DUMMYFUNCTION("""COMPUTED_VALUE"""),0)</f>
        <v>0</v>
      </c>
      <c r="W14" s="6">
        <f ca="1">IFERROR(__xludf.DUMMYFUNCTION("""COMPUTED_VALUE"""),0)</f>
        <v>0</v>
      </c>
      <c r="X14" s="6">
        <f ca="1">IFERROR(__xludf.DUMMYFUNCTION("""COMPUTED_VALUE"""),0)</f>
        <v>0</v>
      </c>
      <c r="Y14" s="6">
        <f ca="1">IFERROR(__xludf.DUMMYFUNCTION("""COMPUTED_VALUE"""),0)</f>
        <v>0</v>
      </c>
      <c r="Z14" s="6">
        <f ca="1">IFERROR(__xludf.DUMMYFUNCTION("""COMPUTED_VALUE"""),0)</f>
        <v>0</v>
      </c>
      <c r="AA14" s="6">
        <f ca="1">IFERROR(__xludf.DUMMYFUNCTION("""COMPUTED_VALUE"""),0)</f>
        <v>0</v>
      </c>
      <c r="AB14" s="6" t="b">
        <f ca="1">IFERROR(__xludf.DUMMYFUNCTION("""COMPUTED_VALUE"""),FALSE)</f>
        <v>0</v>
      </c>
      <c r="AD14" s="6" t="b">
        <f ca="1">IFERROR(__xludf.DUMMYFUNCTION("""COMPUTED_VALUE"""),FALSE)</f>
        <v>0</v>
      </c>
      <c r="AE14" s="6">
        <f ca="1">IFERROR(__xludf.DUMMYFUNCTION("""COMPUTED_VALUE"""),0)</f>
        <v>0</v>
      </c>
      <c r="AF14" s="6">
        <f ca="1">IFERROR(__xludf.DUMMYFUNCTION("""COMPUTED_VALUE"""),0)</f>
        <v>0</v>
      </c>
      <c r="AG14" s="6">
        <f ca="1">IFERROR(__xludf.DUMMYFUNCTION("""COMPUTED_VALUE"""),0)</f>
        <v>0</v>
      </c>
      <c r="AH14" s="6">
        <f ca="1">IFERROR(__xludf.DUMMYFUNCTION("""COMPUTED_VALUE"""),0)</f>
        <v>0</v>
      </c>
      <c r="AI14" s="6">
        <f ca="1">IFERROR(__xludf.DUMMYFUNCTION("""COMPUTED_VALUE"""),0)</f>
        <v>0</v>
      </c>
      <c r="AK14" s="6" t="str">
        <f ca="1">IFERROR(__xludf.DUMMYFUNCTION("""COMPUTED_VALUE"""),"P")</f>
        <v>P</v>
      </c>
      <c r="AL14" s="6">
        <f ca="1">IFERROR(__xludf.DUMMYFUNCTION("""COMPUTED_VALUE"""),0)</f>
        <v>0</v>
      </c>
      <c r="AM14" s="6" t="b">
        <f ca="1">IFERROR(__xludf.DUMMYFUNCTION("""COMPUTED_VALUE"""),FALSE)</f>
        <v>0</v>
      </c>
      <c r="AN14" s="6" t="str">
        <f ca="1">IFERROR(__xludf.DUMMYFUNCTION("""COMPUTED_VALUE"""),"P")</f>
        <v>P</v>
      </c>
      <c r="AO14" s="6" t="str">
        <f ca="1">IFERROR(__xludf.DUMMYFUNCTION("""COMPUTED_VALUE"""),"Looked like trying to climb but failed")</f>
        <v>Looked like trying to climb but failed</v>
      </c>
      <c r="AP14" s="6" t="str">
        <f ca="1">IFERROR(__xludf.DUMMYFUNCTION("""COMPUTED_VALUE"""),"x")</f>
        <v>x</v>
      </c>
      <c r="AQ14" s="6" t="b">
        <f ca="1">IFERROR(__xludf.DUMMYFUNCTION("""COMPUTED_VALUE"""),TRUE)</f>
        <v>1</v>
      </c>
      <c r="AR14" s="6" t="b">
        <f ca="1">IFERROR(__xludf.DUMMYFUNCTION("""COMPUTED_VALUE"""),FALSE)</f>
        <v>0</v>
      </c>
      <c r="AS14" s="15"/>
      <c r="AT14" s="6" t="str">
        <f ca="1">IFERROR(__xludf.DUMMYFUNCTION("SWITCH(IF(A14=""Practice"",AN14,FILTER('Items by Team'!E$2:E3410,'Items by Team'!C$2:C3410=D14,B14='Items by Team'!B$2:B3410)),""None"",""No"",""Parked"",""P"",""ShallowCage"",""Sc"",""DeepCage"",""Dc"",""No"",""No"",""P"",""P"",""Sc"",""Sc"",""Dc"",""Dc"&amp;""")"),"P")</f>
        <v>P</v>
      </c>
      <c r="AU14" s="6" t="str">
        <f ca="1">IFERROR(__xludf.DUMMYFUNCTION("SWITCH(IF(A14 = ""Practice"", H14, FILTER('Items by Team'!D$2:D3410,'Items by Team'!C$2:C3410 = D14,'Items by Team'!B$2:B3410 = B14)), ""Yes"", ""TRUE"", ""No"", ""FALSE"",TRUE, ""TRUE"", FALSE, ""FALSE"")"),"TRUE")</f>
        <v>TRUE</v>
      </c>
      <c r="AV14" s="6" t="str">
        <f t="shared" ca="1" si="0"/>
        <v/>
      </c>
      <c r="AW14" s="6">
        <f t="shared" ca="1" si="1"/>
        <v>1</v>
      </c>
      <c r="AX14" s="6">
        <f t="shared" ca="1" si="2"/>
        <v>0</v>
      </c>
      <c r="AY14" s="6">
        <f t="shared" ca="1" si="3"/>
        <v>1</v>
      </c>
      <c r="AZ14" s="9">
        <f t="shared" ca="1" si="4"/>
        <v>0</v>
      </c>
      <c r="BA14" s="6">
        <f t="shared" ca="1" si="5"/>
        <v>0</v>
      </c>
      <c r="BB14" s="6">
        <f t="shared" ca="1" si="6"/>
        <v>0</v>
      </c>
      <c r="BC14" s="9" t="str">
        <f t="shared" ca="1" si="7"/>
        <v/>
      </c>
      <c r="BD14" s="6">
        <f t="shared" ca="1" si="8"/>
        <v>0</v>
      </c>
      <c r="BE14" s="6">
        <f t="shared" ca="1" si="9"/>
        <v>0</v>
      </c>
      <c r="BF14" s="9" t="str">
        <f t="shared" ca="1" si="10"/>
        <v/>
      </c>
      <c r="BG14" s="6">
        <f t="shared" ca="1" si="11"/>
        <v>0</v>
      </c>
      <c r="BH14" s="6">
        <f t="shared" ca="1" si="12"/>
        <v>0</v>
      </c>
      <c r="BI14" s="9" t="str">
        <f t="shared" ca="1" si="13"/>
        <v/>
      </c>
      <c r="BJ14" s="6">
        <f t="shared" ca="1" si="14"/>
        <v>1</v>
      </c>
      <c r="BK14" s="6">
        <f t="shared" ca="1" si="15"/>
        <v>0</v>
      </c>
      <c r="BL14" s="6">
        <f t="shared" ca="1" si="16"/>
        <v>0</v>
      </c>
      <c r="BM14" s="6">
        <f t="shared" ca="1" si="17"/>
        <v>0</v>
      </c>
      <c r="BN14" s="6">
        <f t="shared" ca="1" si="18"/>
        <v>0</v>
      </c>
      <c r="BP14" s="6">
        <f t="shared" ca="1" si="19"/>
        <v>0</v>
      </c>
      <c r="BQ14" s="6" t="b">
        <f ca="1">IFERROR(__xludf.DUMMYFUNCTION("IF(AND(ISERROR(FILTER('Items by Team'!D$2:D3410,'Items by Team'!C$2:C3410 = D14,'Items by Team'!B$2:B3410 = B14)),NOT(A14=""Practice"")),TRUE,FALSE)"),FALSE)</f>
        <v>0</v>
      </c>
      <c r="BR14" s="6" t="e">
        <f t="shared" ca="1" si="20"/>
        <v>#VALUE!</v>
      </c>
    </row>
    <row r="15" spans="1:70">
      <c r="A15" s="6" t="str">
        <f ca="1">IFERROR(__xludf.DUMMYFUNCTION("""COMPUTED_VALUE"""),"Practice")</f>
        <v>Practice</v>
      </c>
      <c r="B15" s="6">
        <f ca="1">IFERROR(__xludf.DUMMYFUNCTION("""COMPUTED_VALUE"""),3)</f>
        <v>3</v>
      </c>
      <c r="C15" s="6" t="str">
        <f ca="1">IFERROR(__xludf.DUMMYFUNCTION("""COMPUTED_VALUE"""),"R2")</f>
        <v>R2</v>
      </c>
      <c r="D15" s="6">
        <f ca="1">IFERROR(__xludf.DUMMYFUNCTION("""COMPUTED_VALUE"""),2513)</f>
        <v>2513</v>
      </c>
      <c r="E15" s="6" t="b">
        <f ca="1">IFERROR(__xludf.DUMMYFUNCTION("""COMPUTED_VALUE"""),FALSE)</f>
        <v>0</v>
      </c>
      <c r="F15" s="6" t="str">
        <f ca="1">IFERROR(__xludf.DUMMYFUNCTION("""COMPUTED_VALUE"""),"Blue Barge")</f>
        <v>Blue Barge</v>
      </c>
      <c r="G15" s="6" t="b">
        <f ca="1">IFERROR(__xludf.DUMMYFUNCTION("""COMPUTED_VALUE"""),TRUE)</f>
        <v>1</v>
      </c>
      <c r="H15" s="6" t="b">
        <f ca="1">IFERROR(__xludf.DUMMYFUNCTION("""COMPUTED_VALUE"""),FALSE)</f>
        <v>0</v>
      </c>
      <c r="I15" s="6">
        <f ca="1">IFERROR(__xludf.DUMMYFUNCTION("""COMPUTED_VALUE"""),1)</f>
        <v>1</v>
      </c>
      <c r="J15" s="6">
        <f ca="1">IFERROR(__xludf.DUMMYFUNCTION("""COMPUTED_VALUE"""),0)</f>
        <v>0</v>
      </c>
      <c r="K15" s="6">
        <f ca="1">IFERROR(__xludf.DUMMYFUNCTION("""COMPUTED_VALUE"""),0)</f>
        <v>0</v>
      </c>
      <c r="L15" s="6">
        <f ca="1">IFERROR(__xludf.DUMMYFUNCTION("""COMPUTED_VALUE"""),0)</f>
        <v>0</v>
      </c>
      <c r="M15" s="6">
        <f ca="1">IFERROR(__xludf.DUMMYFUNCTION("""COMPUTED_VALUE"""),0)</f>
        <v>0</v>
      </c>
      <c r="N15" s="6">
        <f ca="1">IFERROR(__xludf.DUMMYFUNCTION("""COMPUTED_VALUE"""),0)</f>
        <v>0</v>
      </c>
      <c r="O15" s="6">
        <f ca="1">IFERROR(__xludf.DUMMYFUNCTION("""COMPUTED_VALUE"""),0)</f>
        <v>0</v>
      </c>
      <c r="P15" s="6">
        <f ca="1">IFERROR(__xludf.DUMMYFUNCTION("""COMPUTED_VALUE"""),1)</f>
        <v>1</v>
      </c>
      <c r="R15" s="6">
        <f ca="1">IFERROR(__xludf.DUMMYFUNCTION("""COMPUTED_VALUE"""),0)</f>
        <v>0</v>
      </c>
      <c r="S15" s="6">
        <f ca="1">IFERROR(__xludf.DUMMYFUNCTION("""COMPUTED_VALUE"""),0)</f>
        <v>0</v>
      </c>
      <c r="T15" s="6">
        <f ca="1">IFERROR(__xludf.DUMMYFUNCTION("""COMPUTED_VALUE"""),0)</f>
        <v>0</v>
      </c>
      <c r="U15" s="6">
        <f ca="1">IFERROR(__xludf.DUMMYFUNCTION("""COMPUTED_VALUE"""),0)</f>
        <v>0</v>
      </c>
      <c r="V15" s="6">
        <f ca="1">IFERROR(__xludf.DUMMYFUNCTION("""COMPUTED_VALUE"""),0)</f>
        <v>0</v>
      </c>
      <c r="W15" s="6">
        <f ca="1">IFERROR(__xludf.DUMMYFUNCTION("""COMPUTED_VALUE"""),0)</f>
        <v>0</v>
      </c>
      <c r="X15" s="6">
        <f ca="1">IFERROR(__xludf.DUMMYFUNCTION("""COMPUTED_VALUE"""),0)</f>
        <v>0</v>
      </c>
      <c r="Y15" s="6">
        <f ca="1">IFERROR(__xludf.DUMMYFUNCTION("""COMPUTED_VALUE"""),0)</f>
        <v>0</v>
      </c>
      <c r="Z15" s="6">
        <f ca="1">IFERROR(__xludf.DUMMYFUNCTION("""COMPUTED_VALUE"""),0)</f>
        <v>0</v>
      </c>
      <c r="AA15" s="6">
        <f ca="1">IFERROR(__xludf.DUMMYFUNCTION("""COMPUTED_VALUE"""),1)</f>
        <v>1</v>
      </c>
      <c r="AB15" s="6" t="b">
        <f ca="1">IFERROR(__xludf.DUMMYFUNCTION("""COMPUTED_VALUE"""),FALSE)</f>
        <v>0</v>
      </c>
      <c r="AD15" s="6" t="b">
        <f ca="1">IFERROR(__xludf.DUMMYFUNCTION("""COMPUTED_VALUE"""),FALSE)</f>
        <v>0</v>
      </c>
      <c r="AE15" s="6">
        <f ca="1">IFERROR(__xludf.DUMMYFUNCTION("""COMPUTED_VALUE"""),6)</f>
        <v>6</v>
      </c>
      <c r="AF15" s="6">
        <f ca="1">IFERROR(__xludf.DUMMYFUNCTION("""COMPUTED_VALUE"""),2)</f>
        <v>2</v>
      </c>
      <c r="AG15" s="6">
        <f ca="1">IFERROR(__xludf.DUMMYFUNCTION("""COMPUTED_VALUE"""),0)</f>
        <v>0</v>
      </c>
      <c r="AH15" s="6">
        <f ca="1">IFERROR(__xludf.DUMMYFUNCTION("""COMPUTED_VALUE"""),0)</f>
        <v>0</v>
      </c>
      <c r="AI15" s="6">
        <f ca="1">IFERROR(__xludf.DUMMYFUNCTION("""COMPUTED_VALUE"""),0)</f>
        <v>0</v>
      </c>
      <c r="AK15" s="6" t="str">
        <f ca="1">IFERROR(__xludf.DUMMYFUNCTION("""COMPUTED_VALUE"""),"Dc")</f>
        <v>Dc</v>
      </c>
      <c r="AL15" s="6">
        <f ca="1">IFERROR(__xludf.DUMMYFUNCTION("""COMPUTED_VALUE"""),0)</f>
        <v>0</v>
      </c>
      <c r="AM15" s="6" t="b">
        <f ca="1">IFERROR(__xludf.DUMMYFUNCTION("""COMPUTED_VALUE"""),FALSE)</f>
        <v>0</v>
      </c>
      <c r="AN15" s="6" t="str">
        <f ca="1">IFERROR(__xludf.DUMMYFUNCTION("""COMPUTED_VALUE"""),"P")</f>
        <v>P</v>
      </c>
      <c r="AO15" s="6"/>
      <c r="AP15" s="6" t="str">
        <f ca="1">IFERROR(__xludf.DUMMYFUNCTION("""COMPUTED_VALUE"""),"x")</f>
        <v>x</v>
      </c>
      <c r="AQ15" s="6" t="b">
        <f ca="1">IFERROR(__xludf.DUMMYFUNCTION("""COMPUTED_VALUE"""),FALSE)</f>
        <v>0</v>
      </c>
      <c r="AR15" s="6" t="b">
        <f ca="1">IFERROR(__xludf.DUMMYFUNCTION("""COMPUTED_VALUE"""),FALSE)</f>
        <v>0</v>
      </c>
      <c r="AS15" s="15"/>
      <c r="AT15" s="6" t="str">
        <f ca="1">IFERROR(__xludf.DUMMYFUNCTION("SWITCH(IF(A15=""Practice"",AN15,FILTER('Items by Team'!E$2:E3410,'Items by Team'!C$2:C3410=D15,B15='Items by Team'!B$2:B3410)),""None"",""No"",""Parked"",""P"",""ShallowCage"",""Sc"",""DeepCage"",""Dc"",""No"",""No"",""P"",""P"",""Sc"",""Sc"",""Dc"",""Dc"&amp;""")"),"P")</f>
        <v>P</v>
      </c>
      <c r="AU15" s="6" t="str">
        <f ca="1">IFERROR(__xludf.DUMMYFUNCTION("SWITCH(IF(A15 = ""Practice"", H15, FILTER('Items by Team'!D$2:D3410,'Items by Team'!C$2:C3410 = D15,'Items by Team'!B$2:B3410 = B15)), ""Yes"", ""TRUE"", ""No"", ""FALSE"",TRUE, ""TRUE"", FALSE, ""FALSE"")"),"FALSE")</f>
        <v>FALSE</v>
      </c>
      <c r="AV15" s="6" t="str">
        <f t="shared" ca="1" si="0"/>
        <v/>
      </c>
      <c r="AW15" s="6">
        <f t="shared" ca="1" si="1"/>
        <v>0</v>
      </c>
      <c r="AX15" s="6">
        <f t="shared" ca="1" si="2"/>
        <v>0</v>
      </c>
      <c r="AY15" s="6">
        <f t="shared" ca="1" si="3"/>
        <v>1</v>
      </c>
      <c r="AZ15" s="9">
        <f t="shared" ca="1" si="4"/>
        <v>0</v>
      </c>
      <c r="BA15" s="6">
        <f t="shared" ca="1" si="5"/>
        <v>0</v>
      </c>
      <c r="BB15" s="6">
        <f t="shared" ca="1" si="6"/>
        <v>0</v>
      </c>
      <c r="BC15" s="9" t="str">
        <f t="shared" ca="1" si="7"/>
        <v/>
      </c>
      <c r="BD15" s="6">
        <f t="shared" ca="1" si="8"/>
        <v>0</v>
      </c>
      <c r="BE15" s="6">
        <f t="shared" ca="1" si="9"/>
        <v>0</v>
      </c>
      <c r="BF15" s="9" t="str">
        <f t="shared" ca="1" si="10"/>
        <v/>
      </c>
      <c r="BG15" s="6">
        <f t="shared" ca="1" si="11"/>
        <v>8</v>
      </c>
      <c r="BH15" s="6">
        <f t="shared" ca="1" si="12"/>
        <v>8</v>
      </c>
      <c r="BI15" s="9">
        <f t="shared" ca="1" si="13"/>
        <v>1</v>
      </c>
      <c r="BJ15" s="6">
        <f t="shared" ca="1" si="14"/>
        <v>0</v>
      </c>
      <c r="BK15" s="6">
        <f t="shared" ca="1" si="15"/>
        <v>1</v>
      </c>
      <c r="BL15" s="6">
        <f t="shared" ca="1" si="16"/>
        <v>0</v>
      </c>
      <c r="BM15" s="6">
        <f t="shared" ca="1" si="17"/>
        <v>0</v>
      </c>
      <c r="BN15" s="6">
        <f t="shared" ca="1" si="18"/>
        <v>0</v>
      </c>
      <c r="BP15" s="6">
        <f t="shared" ca="1" si="19"/>
        <v>0</v>
      </c>
      <c r="BQ15" s="6" t="b">
        <f ca="1">IFERROR(__xludf.DUMMYFUNCTION("IF(AND(ISERROR(FILTER('Items by Team'!D$2:D3410,'Items by Team'!C$2:C3410 = D15,'Items by Team'!B$2:B3410 = B15)),NOT(A15=""Practice"")),TRUE,FALSE)"),FALSE)</f>
        <v>0</v>
      </c>
      <c r="BR15" s="6" t="e">
        <f t="shared" ca="1" si="20"/>
        <v>#VALUE!</v>
      </c>
    </row>
    <row r="16" spans="1:70">
      <c r="A16" s="6" t="str">
        <f ca="1">IFERROR(__xludf.DUMMYFUNCTION("""COMPUTED_VALUE"""),"Practice")</f>
        <v>Practice</v>
      </c>
      <c r="B16" s="6">
        <f ca="1">IFERROR(__xludf.DUMMYFUNCTION("""COMPUTED_VALUE"""),3)</f>
        <v>3</v>
      </c>
      <c r="C16" s="6" t="str">
        <f ca="1">IFERROR(__xludf.DUMMYFUNCTION("""COMPUTED_VALUE"""),"R3")</f>
        <v>R3</v>
      </c>
      <c r="D16" s="6">
        <f ca="1">IFERROR(__xludf.DUMMYFUNCTION("""COMPUTED_VALUE"""),3883)</f>
        <v>3883</v>
      </c>
      <c r="E16" s="6" t="b">
        <f ca="1">IFERROR(__xludf.DUMMYFUNCTION("""COMPUTED_VALUE"""),FALSE)</f>
        <v>0</v>
      </c>
      <c r="F16" s="6" t="str">
        <f ca="1">IFERROR(__xludf.DUMMYFUNCTION("""COMPUTED_VALUE"""),"Blue Barge")</f>
        <v>Blue Barge</v>
      </c>
      <c r="G16" s="6" t="b">
        <f ca="1">IFERROR(__xludf.DUMMYFUNCTION("""COMPUTED_VALUE"""),TRUE)</f>
        <v>1</v>
      </c>
      <c r="H16" s="6" t="b">
        <f ca="1">IFERROR(__xludf.DUMMYFUNCTION("""COMPUTED_VALUE"""),TRUE)</f>
        <v>1</v>
      </c>
      <c r="I16" s="6">
        <f ca="1">IFERROR(__xludf.DUMMYFUNCTION("""COMPUTED_VALUE"""),1)</f>
        <v>1</v>
      </c>
      <c r="J16" s="6">
        <f ca="1">IFERROR(__xludf.DUMMYFUNCTION("""COMPUTED_VALUE"""),0)</f>
        <v>0</v>
      </c>
      <c r="K16" s="6">
        <f ca="1">IFERROR(__xludf.DUMMYFUNCTION("""COMPUTED_VALUE"""),0)</f>
        <v>0</v>
      </c>
      <c r="L16" s="6">
        <f ca="1">IFERROR(__xludf.DUMMYFUNCTION("""COMPUTED_VALUE"""),1)</f>
        <v>1</v>
      </c>
      <c r="M16" s="6">
        <f ca="1">IFERROR(__xludf.DUMMYFUNCTION("""COMPUTED_VALUE"""),0)</f>
        <v>0</v>
      </c>
      <c r="N16" s="6">
        <f ca="1">IFERROR(__xludf.DUMMYFUNCTION("""COMPUTED_VALUE"""),0)</f>
        <v>0</v>
      </c>
      <c r="O16" s="6">
        <f ca="1">IFERROR(__xludf.DUMMYFUNCTION("""COMPUTED_VALUE"""),0)</f>
        <v>0</v>
      </c>
      <c r="P16" s="6">
        <f ca="1">IFERROR(__xludf.DUMMYFUNCTION("""COMPUTED_VALUE"""),0)</f>
        <v>0</v>
      </c>
      <c r="R16" s="6">
        <f ca="1">IFERROR(__xludf.DUMMYFUNCTION("""COMPUTED_VALUE"""),0)</f>
        <v>0</v>
      </c>
      <c r="S16" s="6">
        <f ca="1">IFERROR(__xludf.DUMMYFUNCTION("""COMPUTED_VALUE"""),0)</f>
        <v>0</v>
      </c>
      <c r="T16" s="6">
        <f ca="1">IFERROR(__xludf.DUMMYFUNCTION("""COMPUTED_VALUE"""),0)</f>
        <v>0</v>
      </c>
      <c r="U16" s="6">
        <f ca="1">IFERROR(__xludf.DUMMYFUNCTION("""COMPUTED_VALUE"""),0)</f>
        <v>0</v>
      </c>
      <c r="V16" s="6">
        <f ca="1">IFERROR(__xludf.DUMMYFUNCTION("""COMPUTED_VALUE"""),0)</f>
        <v>0</v>
      </c>
      <c r="W16" s="6">
        <f ca="1">IFERROR(__xludf.DUMMYFUNCTION("""COMPUTED_VALUE"""),0)</f>
        <v>0</v>
      </c>
      <c r="X16" s="6">
        <f ca="1">IFERROR(__xludf.DUMMYFUNCTION("""COMPUTED_VALUE"""),0)</f>
        <v>0</v>
      </c>
      <c r="Y16" s="6">
        <f ca="1">IFERROR(__xludf.DUMMYFUNCTION("""COMPUTED_VALUE"""),0)</f>
        <v>0</v>
      </c>
      <c r="Z16" s="6">
        <f ca="1">IFERROR(__xludf.DUMMYFUNCTION("""COMPUTED_VALUE"""),0)</f>
        <v>0</v>
      </c>
      <c r="AA16" s="6">
        <f ca="1">IFERROR(__xludf.DUMMYFUNCTION("""COMPUTED_VALUE"""),0)</f>
        <v>0</v>
      </c>
      <c r="AB16" s="6" t="b">
        <f ca="1">IFERROR(__xludf.DUMMYFUNCTION("""COMPUTED_VALUE"""),TRUE)</f>
        <v>1</v>
      </c>
      <c r="AD16" s="6" t="b">
        <f ca="1">IFERROR(__xludf.DUMMYFUNCTION("""COMPUTED_VALUE"""),FALSE)</f>
        <v>0</v>
      </c>
      <c r="AE16" s="6">
        <f ca="1">IFERROR(__xludf.DUMMYFUNCTION("""COMPUTED_VALUE"""),6)</f>
        <v>6</v>
      </c>
      <c r="AF16" s="6">
        <f ca="1">IFERROR(__xludf.DUMMYFUNCTION("""COMPUTED_VALUE"""),0)</f>
        <v>0</v>
      </c>
      <c r="AG16" s="6">
        <f ca="1">IFERROR(__xludf.DUMMYFUNCTION("""COMPUTED_VALUE"""),0)</f>
        <v>0</v>
      </c>
      <c r="AH16" s="6">
        <f ca="1">IFERROR(__xludf.DUMMYFUNCTION("""COMPUTED_VALUE"""),0)</f>
        <v>0</v>
      </c>
      <c r="AI16" s="6">
        <f ca="1">IFERROR(__xludf.DUMMYFUNCTION("""COMPUTED_VALUE"""),1)</f>
        <v>1</v>
      </c>
      <c r="AK16" s="6" t="str">
        <f ca="1">IFERROR(__xludf.DUMMYFUNCTION("""COMPUTED_VALUE"""),"P")</f>
        <v>P</v>
      </c>
      <c r="AL16" s="6">
        <f ca="1">IFERROR(__xludf.DUMMYFUNCTION("""COMPUTED_VALUE"""),0)</f>
        <v>0</v>
      </c>
      <c r="AM16" s="6" t="b">
        <f ca="1">IFERROR(__xludf.DUMMYFUNCTION("""COMPUTED_VALUE"""),FALSE)</f>
        <v>0</v>
      </c>
      <c r="AN16" s="6" t="str">
        <f ca="1">IFERROR(__xludf.DUMMYFUNCTION("""COMPUTED_VALUE"""),"P")</f>
        <v>P</v>
      </c>
      <c r="AO16" s="6"/>
      <c r="AP16" s="6" t="str">
        <f ca="1">IFERROR(__xludf.DUMMYFUNCTION("""COMPUTED_VALUE"""),"x")</f>
        <v>x</v>
      </c>
      <c r="AQ16" s="6" t="b">
        <f ca="1">IFERROR(__xludf.DUMMYFUNCTION("""COMPUTED_VALUE"""),FALSE)</f>
        <v>0</v>
      </c>
      <c r="AR16" s="6" t="b">
        <f ca="1">IFERROR(__xludf.DUMMYFUNCTION("""COMPUTED_VALUE"""),FALSE)</f>
        <v>0</v>
      </c>
      <c r="AS16" s="15"/>
      <c r="AT16" s="6" t="str">
        <f ca="1">IFERROR(__xludf.DUMMYFUNCTION("SWITCH(IF(A16=""Practice"",AN16,FILTER('Items by Team'!E$2:E3410,'Items by Team'!C$2:C3410=D16,B16='Items by Team'!B$2:B3410)),""None"",""No"",""Parked"",""P"",""ShallowCage"",""Sc"",""DeepCage"",""Dc"",""No"",""No"",""P"",""P"",""Sc"",""Sc"",""Dc"",""Dc"&amp;""")"),"P")</f>
        <v>P</v>
      </c>
      <c r="AU16" s="6" t="str">
        <f ca="1">IFERROR(__xludf.DUMMYFUNCTION("SWITCH(IF(A16 = ""Practice"", H16, FILTER('Items by Team'!D$2:D3410,'Items by Team'!C$2:C3410 = D16,'Items by Team'!B$2:B3410 = B16)), ""Yes"", ""TRUE"", ""No"", ""FALSE"",TRUE, ""TRUE"", FALSE, ""FALSE"")"),"TRUE")</f>
        <v>TRUE</v>
      </c>
      <c r="AV16" s="6" t="str">
        <f t="shared" ca="1" si="0"/>
        <v/>
      </c>
      <c r="AW16" s="6">
        <f t="shared" ca="1" si="1"/>
        <v>1</v>
      </c>
      <c r="AX16" s="6">
        <f t="shared" ca="1" si="2"/>
        <v>1</v>
      </c>
      <c r="AY16" s="6">
        <f t="shared" ca="1" si="3"/>
        <v>1</v>
      </c>
      <c r="AZ16" s="9">
        <f t="shared" ca="1" si="4"/>
        <v>1</v>
      </c>
      <c r="BA16" s="6">
        <f t="shared" ca="1" si="5"/>
        <v>0</v>
      </c>
      <c r="BB16" s="6">
        <f t="shared" ca="1" si="6"/>
        <v>0</v>
      </c>
      <c r="BC16" s="9" t="str">
        <f t="shared" ca="1" si="7"/>
        <v/>
      </c>
      <c r="BD16" s="6">
        <f t="shared" ca="1" si="8"/>
        <v>0</v>
      </c>
      <c r="BE16" s="6">
        <f t="shared" ca="1" si="9"/>
        <v>0</v>
      </c>
      <c r="BF16" s="9" t="str">
        <f t="shared" ca="1" si="10"/>
        <v/>
      </c>
      <c r="BG16" s="6">
        <f t="shared" ca="1" si="11"/>
        <v>6</v>
      </c>
      <c r="BH16" s="6">
        <f t="shared" ca="1" si="12"/>
        <v>7</v>
      </c>
      <c r="BI16" s="9">
        <f t="shared" ca="1" si="13"/>
        <v>0.8571428571428571</v>
      </c>
      <c r="BJ16" s="6">
        <f t="shared" ca="1" si="14"/>
        <v>0</v>
      </c>
      <c r="BK16" s="6">
        <f t="shared" ca="1" si="15"/>
        <v>1</v>
      </c>
      <c r="BL16" s="6">
        <f t="shared" ca="1" si="16"/>
        <v>0</v>
      </c>
      <c r="BM16" s="6">
        <f t="shared" ca="1" si="17"/>
        <v>0</v>
      </c>
      <c r="BN16" s="6">
        <f t="shared" ca="1" si="18"/>
        <v>1</v>
      </c>
      <c r="BP16" s="6">
        <f t="shared" ca="1" si="19"/>
        <v>0</v>
      </c>
      <c r="BQ16" s="6" t="b">
        <f ca="1">IFERROR(__xludf.DUMMYFUNCTION("IF(AND(ISERROR(FILTER('Items by Team'!D$2:D3410,'Items by Team'!C$2:C3410 = D16,'Items by Team'!B$2:B3410 = B16)),NOT(A16=""Practice"")),TRUE,FALSE)"),FALSE)</f>
        <v>0</v>
      </c>
      <c r="BR16" s="6" t="e">
        <f t="shared" ca="1" si="20"/>
        <v>#VALUE!</v>
      </c>
    </row>
    <row r="17" spans="1:70">
      <c r="A17" s="6" t="str">
        <f ca="1">IFERROR(__xludf.DUMMYFUNCTION("""COMPUTED_VALUE"""),"Practice")</f>
        <v>Practice</v>
      </c>
      <c r="B17" s="6">
        <f ca="1">IFERROR(__xludf.DUMMYFUNCTION("""COMPUTED_VALUE"""),3)</f>
        <v>3</v>
      </c>
      <c r="C17" s="6" t="str">
        <f ca="1">IFERROR(__xludf.DUMMYFUNCTION("""COMPUTED_VALUE"""),"B3")</f>
        <v>B3</v>
      </c>
      <c r="D17" s="6">
        <f ca="1">IFERROR(__xludf.DUMMYFUNCTION("""COMPUTED_VALUE"""),4229)</f>
        <v>4229</v>
      </c>
      <c r="E17" s="6" t="b">
        <f ca="1">IFERROR(__xludf.DUMMYFUNCTION("""COMPUTED_VALUE"""),FALSE)</f>
        <v>0</v>
      </c>
      <c r="F17" s="6" t="str">
        <f ca="1">IFERROR(__xludf.DUMMYFUNCTION("""COMPUTED_VALUE"""),"Middle")</f>
        <v>Middle</v>
      </c>
      <c r="G17" s="6" t="b">
        <f ca="1">IFERROR(__xludf.DUMMYFUNCTION("""COMPUTED_VALUE"""),TRUE)</f>
        <v>1</v>
      </c>
      <c r="H17" s="6" t="b">
        <f ca="1">IFERROR(__xludf.DUMMYFUNCTION("""COMPUTED_VALUE"""),TRUE)</f>
        <v>1</v>
      </c>
      <c r="I17" s="6">
        <f ca="1">IFERROR(__xludf.DUMMYFUNCTION("""COMPUTED_VALUE"""),0)</f>
        <v>0</v>
      </c>
      <c r="J17" s="6">
        <f ca="1">IFERROR(__xludf.DUMMYFUNCTION("""COMPUTED_VALUE"""),0)</f>
        <v>0</v>
      </c>
      <c r="K17" s="6">
        <f ca="1">IFERROR(__xludf.DUMMYFUNCTION("""COMPUTED_VALUE"""),0)</f>
        <v>0</v>
      </c>
      <c r="L17" s="6">
        <f ca="1">IFERROR(__xludf.DUMMYFUNCTION("""COMPUTED_VALUE"""),0)</f>
        <v>0</v>
      </c>
      <c r="M17" s="6">
        <f ca="1">IFERROR(__xludf.DUMMYFUNCTION("""COMPUTED_VALUE"""),0)</f>
        <v>0</v>
      </c>
      <c r="N17" s="6">
        <f ca="1">IFERROR(__xludf.DUMMYFUNCTION("""COMPUTED_VALUE"""),0)</f>
        <v>0</v>
      </c>
      <c r="O17" s="6">
        <f ca="1">IFERROR(__xludf.DUMMYFUNCTION("""COMPUTED_VALUE"""),0)</f>
        <v>0</v>
      </c>
      <c r="P17" s="6">
        <f ca="1">IFERROR(__xludf.DUMMYFUNCTION("""COMPUTED_VALUE"""),0)</f>
        <v>0</v>
      </c>
      <c r="R17" s="6">
        <f ca="1">IFERROR(__xludf.DUMMYFUNCTION("""COMPUTED_VALUE"""),0)</f>
        <v>0</v>
      </c>
      <c r="S17" s="6">
        <f ca="1">IFERROR(__xludf.DUMMYFUNCTION("""COMPUTED_VALUE"""),0)</f>
        <v>0</v>
      </c>
      <c r="T17" s="6">
        <f ca="1">IFERROR(__xludf.DUMMYFUNCTION("""COMPUTED_VALUE"""),0)</f>
        <v>0</v>
      </c>
      <c r="U17" s="6">
        <f ca="1">IFERROR(__xludf.DUMMYFUNCTION("""COMPUTED_VALUE"""),0)</f>
        <v>0</v>
      </c>
      <c r="V17" s="6">
        <f ca="1">IFERROR(__xludf.DUMMYFUNCTION("""COMPUTED_VALUE"""),0)</f>
        <v>0</v>
      </c>
      <c r="W17" s="6">
        <f ca="1">IFERROR(__xludf.DUMMYFUNCTION("""COMPUTED_VALUE"""),0)</f>
        <v>0</v>
      </c>
      <c r="X17" s="6">
        <f ca="1">IFERROR(__xludf.DUMMYFUNCTION("""COMPUTED_VALUE"""),0)</f>
        <v>0</v>
      </c>
      <c r="Y17" s="6">
        <f ca="1">IFERROR(__xludf.DUMMYFUNCTION("""COMPUTED_VALUE"""),0)</f>
        <v>0</v>
      </c>
      <c r="Z17" s="6">
        <f ca="1">IFERROR(__xludf.DUMMYFUNCTION("""COMPUTED_VALUE"""),0)</f>
        <v>0</v>
      </c>
      <c r="AA17" s="6">
        <f ca="1">IFERROR(__xludf.DUMMYFUNCTION("""COMPUTED_VALUE"""),0)</f>
        <v>0</v>
      </c>
      <c r="AB17" s="6" t="b">
        <f ca="1">IFERROR(__xludf.DUMMYFUNCTION("""COMPUTED_VALUE"""),FALSE)</f>
        <v>0</v>
      </c>
      <c r="AD17" s="6" t="b">
        <f ca="1">IFERROR(__xludf.DUMMYFUNCTION("""COMPUTED_VALUE"""),FALSE)</f>
        <v>0</v>
      </c>
      <c r="AE17" s="6">
        <f ca="1">IFERROR(__xludf.DUMMYFUNCTION("""COMPUTED_VALUE"""),0)</f>
        <v>0</v>
      </c>
      <c r="AF17" s="6">
        <f ca="1">IFERROR(__xludf.DUMMYFUNCTION("""COMPUTED_VALUE"""),0)</f>
        <v>0</v>
      </c>
      <c r="AG17" s="6">
        <f ca="1">IFERROR(__xludf.DUMMYFUNCTION("""COMPUTED_VALUE"""),0)</f>
        <v>0</v>
      </c>
      <c r="AH17" s="6">
        <f ca="1">IFERROR(__xludf.DUMMYFUNCTION("""COMPUTED_VALUE"""),0)</f>
        <v>0</v>
      </c>
      <c r="AI17" s="6">
        <f ca="1">IFERROR(__xludf.DUMMYFUNCTION("""COMPUTED_VALUE"""),0)</f>
        <v>0</v>
      </c>
      <c r="AK17" s="6" t="str">
        <f ca="1">IFERROR(__xludf.DUMMYFUNCTION("""COMPUTED_VALUE"""),"No")</f>
        <v>No</v>
      </c>
      <c r="AL17" s="6">
        <f ca="1">IFERROR(__xludf.DUMMYFUNCTION("""COMPUTED_VALUE"""),0)</f>
        <v>0</v>
      </c>
      <c r="AM17" s="6" t="b">
        <f ca="1">IFERROR(__xludf.DUMMYFUNCTION("""COMPUTED_VALUE"""),FALSE)</f>
        <v>0</v>
      </c>
      <c r="AN17" s="6" t="str">
        <f ca="1">IFERROR(__xludf.DUMMYFUNCTION("""COMPUTED_VALUE"""),"No")</f>
        <v>No</v>
      </c>
      <c r="AO17" s="6"/>
      <c r="AP17" s="6" t="str">
        <f ca="1">IFERROR(__xludf.DUMMYFUNCTION("""COMPUTED_VALUE"""),"x")</f>
        <v>x</v>
      </c>
      <c r="AQ17" s="6" t="b">
        <f ca="1">IFERROR(__xludf.DUMMYFUNCTION("""COMPUTED_VALUE"""),FALSE)</f>
        <v>0</v>
      </c>
      <c r="AR17" s="6" t="b">
        <f ca="1">IFERROR(__xludf.DUMMYFUNCTION("""COMPUTED_VALUE"""),FALSE)</f>
        <v>0</v>
      </c>
      <c r="AS17" s="15"/>
      <c r="AT17" s="6" t="str">
        <f ca="1">IFERROR(__xludf.DUMMYFUNCTION("SWITCH(IF(A17=""Practice"",AN17,FILTER('Items by Team'!E$2:E3410,'Items by Team'!C$2:C3410=D17,B17='Items by Team'!B$2:B3410)),""None"",""No"",""Parked"",""P"",""ShallowCage"",""Sc"",""DeepCage"",""Dc"",""No"",""No"",""P"",""P"",""Sc"",""Sc"",""Dc"",""Dc"&amp;""")"),"No")</f>
        <v>No</v>
      </c>
      <c r="AU17" s="6" t="str">
        <f ca="1">IFERROR(__xludf.DUMMYFUNCTION("SWITCH(IF(A17 = ""Practice"", H17, FILTER('Items by Team'!D$2:D3410,'Items by Team'!C$2:C3410 = D17,'Items by Team'!B$2:B3410 = B17)), ""Yes"", ""TRUE"", ""No"", ""FALSE"",TRUE, ""TRUE"", FALSE, ""FALSE"")"),"TRUE")</f>
        <v>TRUE</v>
      </c>
      <c r="AV17" s="6" t="str">
        <f t="shared" ca="1" si="0"/>
        <v/>
      </c>
      <c r="AW17" s="6">
        <f t="shared" ca="1" si="1"/>
        <v>1</v>
      </c>
      <c r="AX17" s="6">
        <f t="shared" ca="1" si="2"/>
        <v>0</v>
      </c>
      <c r="AY17" s="6">
        <f t="shared" ca="1" si="3"/>
        <v>0</v>
      </c>
      <c r="AZ17" s="9" t="str">
        <f t="shared" ca="1" si="4"/>
        <v/>
      </c>
      <c r="BA17" s="6">
        <f t="shared" ca="1" si="5"/>
        <v>0</v>
      </c>
      <c r="BB17" s="6">
        <f t="shared" ca="1" si="6"/>
        <v>0</v>
      </c>
      <c r="BC17" s="9" t="str">
        <f t="shared" ca="1" si="7"/>
        <v/>
      </c>
      <c r="BD17" s="6">
        <f t="shared" ca="1" si="8"/>
        <v>0</v>
      </c>
      <c r="BE17" s="6">
        <f t="shared" ca="1" si="9"/>
        <v>0</v>
      </c>
      <c r="BF17" s="9" t="str">
        <f t="shared" ca="1" si="10"/>
        <v/>
      </c>
      <c r="BG17" s="6">
        <f t="shared" ca="1" si="11"/>
        <v>0</v>
      </c>
      <c r="BH17" s="6">
        <f t="shared" ca="1" si="12"/>
        <v>0</v>
      </c>
      <c r="BI17" s="9" t="str">
        <f t="shared" ca="1" si="13"/>
        <v/>
      </c>
      <c r="BJ17" s="6">
        <f t="shared" ca="1" si="14"/>
        <v>0</v>
      </c>
      <c r="BK17" s="6">
        <f t="shared" ca="1" si="15"/>
        <v>0</v>
      </c>
      <c r="BL17" s="6">
        <f t="shared" ca="1" si="16"/>
        <v>0</v>
      </c>
      <c r="BM17" s="6">
        <f t="shared" ca="1" si="17"/>
        <v>0</v>
      </c>
      <c r="BN17" s="6">
        <f t="shared" ca="1" si="18"/>
        <v>0</v>
      </c>
      <c r="BP17" s="6">
        <f t="shared" ca="1" si="19"/>
        <v>0</v>
      </c>
      <c r="BQ17" s="6" t="b">
        <f ca="1">IFERROR(__xludf.DUMMYFUNCTION("IF(AND(ISERROR(FILTER('Items by Team'!D$2:D3410,'Items by Team'!C$2:C3410 = D17,'Items by Team'!B$2:B3410 = B17)),NOT(A17=""Practice"")),TRUE,FALSE)"),FALSE)</f>
        <v>0</v>
      </c>
      <c r="BR17" s="6" t="e">
        <f t="shared" ca="1" si="20"/>
        <v>#VALUE!</v>
      </c>
    </row>
    <row r="18" spans="1:70">
      <c r="A18" s="6" t="str">
        <f ca="1">IFERROR(__xludf.DUMMYFUNCTION("""COMPUTED_VALUE"""),"Practice")</f>
        <v>Practice</v>
      </c>
      <c r="B18" s="6">
        <f ca="1">IFERROR(__xludf.DUMMYFUNCTION("""COMPUTED_VALUE"""),4)</f>
        <v>4</v>
      </c>
      <c r="C18" s="6" t="str">
        <f ca="1">IFERROR(__xludf.DUMMYFUNCTION("""COMPUTED_VALUE"""),"R3")</f>
        <v>R3</v>
      </c>
      <c r="D18" s="6">
        <f ca="1">IFERROR(__xludf.DUMMYFUNCTION("""COMPUTED_VALUE"""),7850)</f>
        <v>7850</v>
      </c>
      <c r="E18" s="6" t="b">
        <f ca="1">IFERROR(__xludf.DUMMYFUNCTION("""COMPUTED_VALUE"""),FALSE)</f>
        <v>0</v>
      </c>
      <c r="F18" s="6" t="str">
        <f ca="1">IFERROR(__xludf.DUMMYFUNCTION("""COMPUTED_VALUE"""),"Red Barge")</f>
        <v>Red Barge</v>
      </c>
      <c r="G18" s="6" t="b">
        <f ca="1">IFERROR(__xludf.DUMMYFUNCTION("""COMPUTED_VALUE"""),TRUE)</f>
        <v>1</v>
      </c>
      <c r="H18" s="6" t="b">
        <f ca="1">IFERROR(__xludf.DUMMYFUNCTION("""COMPUTED_VALUE"""),FALSE)</f>
        <v>0</v>
      </c>
      <c r="I18" s="6">
        <f ca="1">IFERROR(__xludf.DUMMYFUNCTION("""COMPUTED_VALUE"""),0)</f>
        <v>0</v>
      </c>
      <c r="J18" s="6">
        <f ca="1">IFERROR(__xludf.DUMMYFUNCTION("""COMPUTED_VALUE"""),0)</f>
        <v>0</v>
      </c>
      <c r="K18" s="6">
        <f ca="1">IFERROR(__xludf.DUMMYFUNCTION("""COMPUTED_VALUE"""),0)</f>
        <v>0</v>
      </c>
      <c r="L18" s="6">
        <f ca="1">IFERROR(__xludf.DUMMYFUNCTION("""COMPUTED_VALUE"""),0)</f>
        <v>0</v>
      </c>
      <c r="M18" s="6">
        <f ca="1">IFERROR(__xludf.DUMMYFUNCTION("""COMPUTED_VALUE"""),0)</f>
        <v>0</v>
      </c>
      <c r="N18" s="6">
        <f ca="1">IFERROR(__xludf.DUMMYFUNCTION("""COMPUTED_VALUE"""),0)</f>
        <v>0</v>
      </c>
      <c r="O18" s="6">
        <f ca="1">IFERROR(__xludf.DUMMYFUNCTION("""COMPUTED_VALUE"""),0)</f>
        <v>0</v>
      </c>
      <c r="P18" s="6">
        <f ca="1">IFERROR(__xludf.DUMMYFUNCTION("""COMPUTED_VALUE"""),0)</f>
        <v>0</v>
      </c>
      <c r="R18" s="6">
        <f ca="1">IFERROR(__xludf.DUMMYFUNCTION("""COMPUTED_VALUE"""),0)</f>
        <v>0</v>
      </c>
      <c r="S18" s="6">
        <f ca="1">IFERROR(__xludf.DUMMYFUNCTION("""COMPUTED_VALUE"""),0)</f>
        <v>0</v>
      </c>
      <c r="T18" s="6">
        <f ca="1">IFERROR(__xludf.DUMMYFUNCTION("""COMPUTED_VALUE"""),0)</f>
        <v>0</v>
      </c>
      <c r="U18" s="6">
        <f ca="1">IFERROR(__xludf.DUMMYFUNCTION("""COMPUTED_VALUE"""),0)</f>
        <v>0</v>
      </c>
      <c r="V18" s="6">
        <f ca="1">IFERROR(__xludf.DUMMYFUNCTION("""COMPUTED_VALUE"""),0)</f>
        <v>0</v>
      </c>
      <c r="W18" s="6">
        <f ca="1">IFERROR(__xludf.DUMMYFUNCTION("""COMPUTED_VALUE"""),0)</f>
        <v>0</v>
      </c>
      <c r="X18" s="6">
        <f ca="1">IFERROR(__xludf.DUMMYFUNCTION("""COMPUTED_VALUE"""),0)</f>
        <v>0</v>
      </c>
      <c r="Y18" s="6">
        <f ca="1">IFERROR(__xludf.DUMMYFUNCTION("""COMPUTED_VALUE"""),2)</f>
        <v>2</v>
      </c>
      <c r="Z18" s="6">
        <f ca="1">IFERROR(__xludf.DUMMYFUNCTION("""COMPUTED_VALUE"""),2)</f>
        <v>2</v>
      </c>
      <c r="AA18" s="6">
        <f ca="1">IFERROR(__xludf.DUMMYFUNCTION("""COMPUTED_VALUE"""),0)</f>
        <v>0</v>
      </c>
      <c r="AB18" s="6" t="b">
        <f ca="1">IFERROR(__xludf.DUMMYFUNCTION("""COMPUTED_VALUE"""),FALSE)</f>
        <v>0</v>
      </c>
      <c r="AD18" s="6" t="b">
        <f ca="1">IFERROR(__xludf.DUMMYFUNCTION("""COMPUTED_VALUE"""),FALSE)</f>
        <v>0</v>
      </c>
      <c r="AE18" s="6">
        <f ca="1">IFERROR(__xludf.DUMMYFUNCTION("""COMPUTED_VALUE"""),0)</f>
        <v>0</v>
      </c>
      <c r="AF18" s="6">
        <f ca="1">IFERROR(__xludf.DUMMYFUNCTION("""COMPUTED_VALUE"""),0)</f>
        <v>0</v>
      </c>
      <c r="AG18" s="6">
        <f ca="1">IFERROR(__xludf.DUMMYFUNCTION("""COMPUTED_VALUE"""),0)</f>
        <v>0</v>
      </c>
      <c r="AH18" s="6">
        <f ca="1">IFERROR(__xludf.DUMMYFUNCTION("""COMPUTED_VALUE"""),0)</f>
        <v>0</v>
      </c>
      <c r="AI18" s="6">
        <f ca="1">IFERROR(__xludf.DUMMYFUNCTION("""COMPUTED_VALUE"""),0)</f>
        <v>0</v>
      </c>
      <c r="AK18" s="6" t="str">
        <f ca="1">IFERROR(__xludf.DUMMYFUNCTION("""COMPUTED_VALUE"""),"No")</f>
        <v>No</v>
      </c>
      <c r="AL18" s="6">
        <f ca="1">IFERROR(__xludf.DUMMYFUNCTION("""COMPUTED_VALUE"""),0)</f>
        <v>0</v>
      </c>
      <c r="AM18" s="6" t="b">
        <f ca="1">IFERROR(__xludf.DUMMYFUNCTION("""COMPUTED_VALUE"""),FALSE)</f>
        <v>0</v>
      </c>
      <c r="AN18" s="6" t="str">
        <f ca="1">IFERROR(__xludf.DUMMYFUNCTION("""COMPUTED_VALUE"""),"No")</f>
        <v>No</v>
      </c>
      <c r="AO18" s="6" t="str">
        <f ca="1">IFERROR(__xludf.DUMMYFUNCTION("""COMPUTED_VALUE"""),"Froze with ~50 seconds left")</f>
        <v>Froze with ~50 seconds left</v>
      </c>
      <c r="AP18" s="6" t="str">
        <f ca="1">IFERROR(__xludf.DUMMYFUNCTION("""COMPUTED_VALUE"""),"x")</f>
        <v>x</v>
      </c>
      <c r="AQ18" s="6" t="b">
        <f ca="1">IFERROR(__xludf.DUMMYFUNCTION("""COMPUTED_VALUE"""),FALSE)</f>
        <v>0</v>
      </c>
      <c r="AR18" s="6" t="b">
        <f ca="1">IFERROR(__xludf.DUMMYFUNCTION("""COMPUTED_VALUE"""),TRUE)</f>
        <v>1</v>
      </c>
      <c r="AS18" s="15"/>
      <c r="AT18" s="6" t="str">
        <f ca="1">IFERROR(__xludf.DUMMYFUNCTION("SWITCH(IF(A18=""Practice"",AN18,FILTER('Items by Team'!E$2:E3410,'Items by Team'!C$2:C3410=D18,B18='Items by Team'!B$2:B3410)),""None"",""No"",""Parked"",""P"",""ShallowCage"",""Sc"",""DeepCage"",""Dc"",""No"",""No"",""P"",""P"",""Sc"",""Sc"",""Dc"",""Dc"&amp;""")"),"No")</f>
        <v>No</v>
      </c>
      <c r="AU18" s="6" t="str">
        <f ca="1">IFERROR(__xludf.DUMMYFUNCTION("SWITCH(IF(A18 = ""Practice"", H18, FILTER('Items by Team'!D$2:D3410,'Items by Team'!C$2:C3410 = D18,'Items by Team'!B$2:B3410 = B18)), ""Yes"", ""TRUE"", ""No"", ""FALSE"",TRUE, ""TRUE"", FALSE, ""FALSE"")"),"FALSE")</f>
        <v>FALSE</v>
      </c>
      <c r="AV18" s="6" t="str">
        <f t="shared" ca="1" si="0"/>
        <v/>
      </c>
      <c r="AW18" s="6">
        <f t="shared" ca="1" si="1"/>
        <v>0</v>
      </c>
      <c r="AX18" s="6">
        <f t="shared" ca="1" si="2"/>
        <v>0</v>
      </c>
      <c r="AY18" s="6">
        <f t="shared" ca="1" si="3"/>
        <v>0</v>
      </c>
      <c r="AZ18" s="9" t="str">
        <f t="shared" ca="1" si="4"/>
        <v/>
      </c>
      <c r="BA18" s="6">
        <f t="shared" ca="1" si="5"/>
        <v>0</v>
      </c>
      <c r="BB18" s="6">
        <f t="shared" ca="1" si="6"/>
        <v>0</v>
      </c>
      <c r="BC18" s="9" t="str">
        <f t="shared" ca="1" si="7"/>
        <v/>
      </c>
      <c r="BD18" s="6">
        <f t="shared" ca="1" si="8"/>
        <v>0</v>
      </c>
      <c r="BE18" s="6">
        <f t="shared" ca="1" si="9"/>
        <v>2</v>
      </c>
      <c r="BF18" s="9">
        <f t="shared" ca="1" si="10"/>
        <v>0</v>
      </c>
      <c r="BG18" s="6">
        <f t="shared" ca="1" si="11"/>
        <v>0</v>
      </c>
      <c r="BH18" s="6">
        <f t="shared" ca="1" si="12"/>
        <v>0</v>
      </c>
      <c r="BI18" s="9" t="str">
        <f t="shared" ca="1" si="13"/>
        <v/>
      </c>
      <c r="BJ18" s="6">
        <f t="shared" ca="1" si="14"/>
        <v>0</v>
      </c>
      <c r="BK18" s="6">
        <f t="shared" ca="1" si="15"/>
        <v>0</v>
      </c>
      <c r="BL18" s="6">
        <f t="shared" ca="1" si="16"/>
        <v>0</v>
      </c>
      <c r="BM18" s="6">
        <f t="shared" ca="1" si="17"/>
        <v>0</v>
      </c>
      <c r="BN18" s="6">
        <f t="shared" ca="1" si="18"/>
        <v>0</v>
      </c>
      <c r="BP18" s="6">
        <f t="shared" ca="1" si="19"/>
        <v>0</v>
      </c>
      <c r="BQ18" s="6" t="b">
        <f ca="1">IFERROR(__xludf.DUMMYFUNCTION("IF(AND(ISERROR(FILTER('Items by Team'!D$2:D3410,'Items by Team'!C$2:C3410 = D18,'Items by Team'!B$2:B3410 = B18)),NOT(A18=""Practice"")),TRUE,FALSE)"),FALSE)</f>
        <v>0</v>
      </c>
      <c r="BR18" s="6" t="e">
        <f t="shared" ca="1" si="20"/>
        <v>#VALUE!</v>
      </c>
    </row>
    <row r="19" spans="1:70">
      <c r="A19" s="6" t="str">
        <f ca="1">IFERROR(__xludf.DUMMYFUNCTION("""COMPUTED_VALUE"""),"Practice")</f>
        <v>Practice</v>
      </c>
      <c r="B19" s="6">
        <f ca="1">IFERROR(__xludf.DUMMYFUNCTION("""COMPUTED_VALUE"""),4)</f>
        <v>4</v>
      </c>
      <c r="C19" s="6" t="str">
        <f ca="1">IFERROR(__xludf.DUMMYFUNCTION("""COMPUTED_VALUE"""),"R1")</f>
        <v>R1</v>
      </c>
      <c r="D19" s="6">
        <f ca="1">IFERROR(__xludf.DUMMYFUNCTION("""COMPUTED_VALUE"""),3891)</f>
        <v>3891</v>
      </c>
      <c r="E19" s="6" t="b">
        <f ca="1">IFERROR(__xludf.DUMMYFUNCTION("""COMPUTED_VALUE"""),FALSE)</f>
        <v>0</v>
      </c>
      <c r="F19" s="6" t="str">
        <f ca="1">IFERROR(__xludf.DUMMYFUNCTION("""COMPUTED_VALUE"""),"Blue Barge")</f>
        <v>Blue Barge</v>
      </c>
      <c r="G19" s="6" t="b">
        <f ca="1">IFERROR(__xludf.DUMMYFUNCTION("""COMPUTED_VALUE"""),TRUE)</f>
        <v>1</v>
      </c>
      <c r="H19" s="6" t="b">
        <f ca="1">IFERROR(__xludf.DUMMYFUNCTION("""COMPUTED_VALUE"""),TRUE)</f>
        <v>1</v>
      </c>
      <c r="I19" s="6">
        <f ca="1">IFERROR(__xludf.DUMMYFUNCTION("""COMPUTED_VALUE"""),0)</f>
        <v>0</v>
      </c>
      <c r="J19" s="6">
        <f ca="1">IFERROR(__xludf.DUMMYFUNCTION("""COMPUTED_VALUE"""),0)</f>
        <v>0</v>
      </c>
      <c r="K19" s="6">
        <f ca="1">IFERROR(__xludf.DUMMYFUNCTION("""COMPUTED_VALUE"""),0)</f>
        <v>0</v>
      </c>
      <c r="L19" s="6">
        <f ca="1">IFERROR(__xludf.DUMMYFUNCTION("""COMPUTED_VALUE"""),1)</f>
        <v>1</v>
      </c>
      <c r="M19" s="6">
        <f ca="1">IFERROR(__xludf.DUMMYFUNCTION("""COMPUTED_VALUE"""),0)</f>
        <v>0</v>
      </c>
      <c r="N19" s="6">
        <f ca="1">IFERROR(__xludf.DUMMYFUNCTION("""COMPUTED_VALUE"""),0)</f>
        <v>0</v>
      </c>
      <c r="O19" s="6">
        <f ca="1">IFERROR(__xludf.DUMMYFUNCTION("""COMPUTED_VALUE"""),0)</f>
        <v>0</v>
      </c>
      <c r="P19" s="6">
        <f ca="1">IFERROR(__xludf.DUMMYFUNCTION("""COMPUTED_VALUE"""),0)</f>
        <v>0</v>
      </c>
      <c r="R19" s="6">
        <f ca="1">IFERROR(__xludf.DUMMYFUNCTION("""COMPUTED_VALUE"""),0)</f>
        <v>0</v>
      </c>
      <c r="S19" s="6">
        <f ca="1">IFERROR(__xludf.DUMMYFUNCTION("""COMPUTED_VALUE"""),0)</f>
        <v>0</v>
      </c>
      <c r="T19" s="6">
        <f ca="1">IFERROR(__xludf.DUMMYFUNCTION("""COMPUTED_VALUE"""),0)</f>
        <v>0</v>
      </c>
      <c r="U19" s="6">
        <f ca="1">IFERROR(__xludf.DUMMYFUNCTION("""COMPUTED_VALUE"""),0)</f>
        <v>0</v>
      </c>
      <c r="V19" s="6">
        <f ca="1">IFERROR(__xludf.DUMMYFUNCTION("""COMPUTED_VALUE"""),0)</f>
        <v>0</v>
      </c>
      <c r="W19" s="6">
        <f ca="1">IFERROR(__xludf.DUMMYFUNCTION("""COMPUTED_VALUE"""),0)</f>
        <v>0</v>
      </c>
      <c r="X19" s="6">
        <f ca="1">IFERROR(__xludf.DUMMYFUNCTION("""COMPUTED_VALUE"""),0)</f>
        <v>0</v>
      </c>
      <c r="Y19" s="6">
        <f ca="1">IFERROR(__xludf.DUMMYFUNCTION("""COMPUTED_VALUE"""),0)</f>
        <v>0</v>
      </c>
      <c r="Z19" s="6">
        <f ca="1">IFERROR(__xludf.DUMMYFUNCTION("""COMPUTED_VALUE"""),0)</f>
        <v>0</v>
      </c>
      <c r="AA19" s="6">
        <f ca="1">IFERROR(__xludf.DUMMYFUNCTION("""COMPUTED_VALUE"""),0)</f>
        <v>0</v>
      </c>
      <c r="AB19" s="6" t="b">
        <f ca="1">IFERROR(__xludf.DUMMYFUNCTION("""COMPUTED_VALUE"""),TRUE)</f>
        <v>1</v>
      </c>
      <c r="AD19" s="6" t="b">
        <f ca="1">IFERROR(__xludf.DUMMYFUNCTION("""COMPUTED_VALUE"""),FALSE)</f>
        <v>0</v>
      </c>
      <c r="AE19" s="6">
        <f ca="1">IFERROR(__xludf.DUMMYFUNCTION("""COMPUTED_VALUE"""),3)</f>
        <v>3</v>
      </c>
      <c r="AF19" s="6">
        <f ca="1">IFERROR(__xludf.DUMMYFUNCTION("""COMPUTED_VALUE"""),0)</f>
        <v>0</v>
      </c>
      <c r="AG19" s="6">
        <f ca="1">IFERROR(__xludf.DUMMYFUNCTION("""COMPUTED_VALUE"""),0)</f>
        <v>0</v>
      </c>
      <c r="AH19" s="6">
        <f ca="1">IFERROR(__xludf.DUMMYFUNCTION("""COMPUTED_VALUE"""),0)</f>
        <v>0</v>
      </c>
      <c r="AI19" s="6">
        <f ca="1">IFERROR(__xludf.DUMMYFUNCTION("""COMPUTED_VALUE"""),4)</f>
        <v>4</v>
      </c>
      <c r="AK19" s="6" t="str">
        <f ca="1">IFERROR(__xludf.DUMMYFUNCTION("""COMPUTED_VALUE"""),"No")</f>
        <v>No</v>
      </c>
      <c r="AL19" s="6">
        <f ca="1">IFERROR(__xludf.DUMMYFUNCTION("""COMPUTED_VALUE"""),0)</f>
        <v>0</v>
      </c>
      <c r="AM19" s="6" t="b">
        <f ca="1">IFERROR(__xludf.DUMMYFUNCTION("""COMPUTED_VALUE"""),FALSE)</f>
        <v>0</v>
      </c>
      <c r="AN19" s="6" t="str">
        <f ca="1">IFERROR(__xludf.DUMMYFUNCTION("""COMPUTED_VALUE"""),"No")</f>
        <v>No</v>
      </c>
      <c r="AO19" s="6"/>
      <c r="AP19" s="6" t="str">
        <f ca="1">IFERROR(__xludf.DUMMYFUNCTION("""COMPUTED_VALUE"""),"2")</f>
        <v>2</v>
      </c>
      <c r="AQ19" s="6" t="b">
        <f ca="1">IFERROR(__xludf.DUMMYFUNCTION("""COMPUTED_VALUE"""),FALSE)</f>
        <v>0</v>
      </c>
      <c r="AR19" s="6" t="b">
        <f ca="1">IFERROR(__xludf.DUMMYFUNCTION("""COMPUTED_VALUE"""),FALSE)</f>
        <v>0</v>
      </c>
      <c r="AS19" s="15"/>
      <c r="AT19" s="6" t="str">
        <f ca="1">IFERROR(__xludf.DUMMYFUNCTION("SWITCH(IF(A19=""Practice"",AN19,FILTER('Items by Team'!E$2:E3410,'Items by Team'!C$2:C3410=D19,B19='Items by Team'!B$2:B3410)),""None"",""No"",""Parked"",""P"",""ShallowCage"",""Sc"",""DeepCage"",""Dc"",""No"",""No"",""P"",""P"",""Sc"",""Sc"",""Dc"",""Dc"&amp;""")"),"No")</f>
        <v>No</v>
      </c>
      <c r="AU19" s="6" t="str">
        <f ca="1">IFERROR(__xludf.DUMMYFUNCTION("SWITCH(IF(A19 = ""Practice"", H19, FILTER('Items by Team'!D$2:D3410,'Items by Team'!C$2:C3410 = D19,'Items by Team'!B$2:B3410 = B19)), ""Yes"", ""TRUE"", ""No"", ""FALSE"",TRUE, ""TRUE"", FALSE, ""FALSE"")"),"TRUE")</f>
        <v>TRUE</v>
      </c>
      <c r="AV19" s="6">
        <f t="shared" ca="1" si="0"/>
        <v>2</v>
      </c>
      <c r="AW19" s="6">
        <f t="shared" ca="1" si="1"/>
        <v>1</v>
      </c>
      <c r="AX19" s="6">
        <f t="shared" ca="1" si="2"/>
        <v>1</v>
      </c>
      <c r="AY19" s="6">
        <f t="shared" ca="1" si="3"/>
        <v>1</v>
      </c>
      <c r="AZ19" s="9">
        <f t="shared" ca="1" si="4"/>
        <v>1</v>
      </c>
      <c r="BA19" s="6">
        <f t="shared" ca="1" si="5"/>
        <v>0</v>
      </c>
      <c r="BB19" s="6">
        <f t="shared" ca="1" si="6"/>
        <v>0</v>
      </c>
      <c r="BC19" s="9" t="str">
        <f t="shared" ca="1" si="7"/>
        <v/>
      </c>
      <c r="BD19" s="6">
        <f t="shared" ca="1" si="8"/>
        <v>0</v>
      </c>
      <c r="BE19" s="6">
        <f t="shared" ca="1" si="9"/>
        <v>0</v>
      </c>
      <c r="BF19" s="9" t="str">
        <f t="shared" ca="1" si="10"/>
        <v/>
      </c>
      <c r="BG19" s="6">
        <f t="shared" ca="1" si="11"/>
        <v>3</v>
      </c>
      <c r="BH19" s="6">
        <f t="shared" ca="1" si="12"/>
        <v>7</v>
      </c>
      <c r="BI19" s="9">
        <f t="shared" ca="1" si="13"/>
        <v>0.42857142857142855</v>
      </c>
      <c r="BJ19" s="6">
        <f t="shared" ca="1" si="14"/>
        <v>0</v>
      </c>
      <c r="BK19" s="6">
        <f t="shared" ca="1" si="15"/>
        <v>0</v>
      </c>
      <c r="BL19" s="6">
        <f t="shared" ca="1" si="16"/>
        <v>0</v>
      </c>
      <c r="BM19" s="6">
        <f t="shared" ca="1" si="17"/>
        <v>0</v>
      </c>
      <c r="BN19" s="6">
        <f t="shared" ca="1" si="18"/>
        <v>1</v>
      </c>
      <c r="BP19" s="6">
        <f t="shared" ca="1" si="19"/>
        <v>0</v>
      </c>
      <c r="BQ19" s="6" t="b">
        <f ca="1">IFERROR(__xludf.DUMMYFUNCTION("IF(AND(ISERROR(FILTER('Items by Team'!D$2:D3410,'Items by Team'!C$2:C3410 = D19,'Items by Team'!B$2:B3410 = B19)),NOT(A19=""Practice"")),TRUE,FALSE)"),FALSE)</f>
        <v>0</v>
      </c>
      <c r="BR19" s="6">
        <f t="shared" ca="1" si="20"/>
        <v>2</v>
      </c>
    </row>
    <row r="20" spans="1:70">
      <c r="A20" s="6" t="str">
        <f ca="1">IFERROR(__xludf.DUMMYFUNCTION("""COMPUTED_VALUE"""),"Practice")</f>
        <v>Practice</v>
      </c>
      <c r="B20" s="6">
        <f ca="1">IFERROR(__xludf.DUMMYFUNCTION("""COMPUTED_VALUE"""),4)</f>
        <v>4</v>
      </c>
      <c r="C20" s="6" t="str">
        <f ca="1">IFERROR(__xludf.DUMMYFUNCTION("""COMPUTED_VALUE"""),"R2")</f>
        <v>R2</v>
      </c>
      <c r="D20" s="6">
        <f ca="1">IFERROR(__xludf.DUMMYFUNCTION("""COMPUTED_VALUE"""),3745)</f>
        <v>3745</v>
      </c>
      <c r="E20" s="6" t="b">
        <f ca="1">IFERROR(__xludf.DUMMYFUNCTION("""COMPUTED_VALUE"""),FALSE)</f>
        <v>0</v>
      </c>
      <c r="F20" s="6" t="str">
        <f ca="1">IFERROR(__xludf.DUMMYFUNCTION("""COMPUTED_VALUE"""),"Red Barge")</f>
        <v>Red Barge</v>
      </c>
      <c r="G20" s="6" t="b">
        <f ca="1">IFERROR(__xludf.DUMMYFUNCTION("""COMPUTED_VALUE"""),TRUE)</f>
        <v>1</v>
      </c>
      <c r="H20" s="6" t="b">
        <f ca="1">IFERROR(__xludf.DUMMYFUNCTION("""COMPUTED_VALUE"""),FALSE)</f>
        <v>0</v>
      </c>
      <c r="I20" s="6">
        <f ca="1">IFERROR(__xludf.DUMMYFUNCTION("""COMPUTED_VALUE"""),0)</f>
        <v>0</v>
      </c>
      <c r="J20" s="6">
        <f ca="1">IFERROR(__xludf.DUMMYFUNCTION("""COMPUTED_VALUE"""),0)</f>
        <v>0</v>
      </c>
      <c r="K20" s="6">
        <f ca="1">IFERROR(__xludf.DUMMYFUNCTION("""COMPUTED_VALUE"""),0)</f>
        <v>0</v>
      </c>
      <c r="L20" s="6">
        <f ca="1">IFERROR(__xludf.DUMMYFUNCTION("""COMPUTED_VALUE"""),0)</f>
        <v>0</v>
      </c>
      <c r="M20" s="6">
        <f ca="1">IFERROR(__xludf.DUMMYFUNCTION("""COMPUTED_VALUE"""),0)</f>
        <v>0</v>
      </c>
      <c r="N20" s="6">
        <f ca="1">IFERROR(__xludf.DUMMYFUNCTION("""COMPUTED_VALUE"""),0)</f>
        <v>0</v>
      </c>
      <c r="O20" s="6">
        <f ca="1">IFERROR(__xludf.DUMMYFUNCTION("""COMPUTED_VALUE"""),0)</f>
        <v>0</v>
      </c>
      <c r="P20" s="6">
        <f ca="1">IFERROR(__xludf.DUMMYFUNCTION("""COMPUTED_VALUE"""),1)</f>
        <v>1</v>
      </c>
      <c r="R20" s="6">
        <f ca="1">IFERROR(__xludf.DUMMYFUNCTION("""COMPUTED_VALUE"""),0)</f>
        <v>0</v>
      </c>
      <c r="S20" s="6">
        <f ca="1">IFERROR(__xludf.DUMMYFUNCTION("""COMPUTED_VALUE"""),0)</f>
        <v>0</v>
      </c>
      <c r="T20" s="6">
        <f ca="1">IFERROR(__xludf.DUMMYFUNCTION("""COMPUTED_VALUE"""),0)</f>
        <v>0</v>
      </c>
      <c r="U20" s="6">
        <f ca="1">IFERROR(__xludf.DUMMYFUNCTION("""COMPUTED_VALUE"""),0)</f>
        <v>0</v>
      </c>
      <c r="V20" s="6">
        <f ca="1">IFERROR(__xludf.DUMMYFUNCTION("""COMPUTED_VALUE"""),0)</f>
        <v>0</v>
      </c>
      <c r="W20" s="6">
        <f ca="1">IFERROR(__xludf.DUMMYFUNCTION("""COMPUTED_VALUE"""),0)</f>
        <v>0</v>
      </c>
      <c r="X20" s="6">
        <f ca="1">IFERROR(__xludf.DUMMYFUNCTION("""COMPUTED_VALUE"""),0)</f>
        <v>0</v>
      </c>
      <c r="Y20" s="6">
        <f ca="1">IFERROR(__xludf.DUMMYFUNCTION("""COMPUTED_VALUE"""),0)</f>
        <v>0</v>
      </c>
      <c r="Z20" s="6">
        <f ca="1">IFERROR(__xludf.DUMMYFUNCTION("""COMPUTED_VALUE"""),0)</f>
        <v>0</v>
      </c>
      <c r="AA20" s="6">
        <f ca="1">IFERROR(__xludf.DUMMYFUNCTION("""COMPUTED_VALUE"""),0)</f>
        <v>0</v>
      </c>
      <c r="AB20" s="6" t="b">
        <f ca="1">IFERROR(__xludf.DUMMYFUNCTION("""COMPUTED_VALUE"""),TRUE)</f>
        <v>1</v>
      </c>
      <c r="AD20" s="6" t="b">
        <f ca="1">IFERROR(__xludf.DUMMYFUNCTION("""COMPUTED_VALUE"""),FALSE)</f>
        <v>0</v>
      </c>
      <c r="AE20" s="6">
        <f ca="1">IFERROR(__xludf.DUMMYFUNCTION("""COMPUTED_VALUE"""),0)</f>
        <v>0</v>
      </c>
      <c r="AF20" s="6">
        <f ca="1">IFERROR(__xludf.DUMMYFUNCTION("""COMPUTED_VALUE"""),0)</f>
        <v>0</v>
      </c>
      <c r="AG20" s="6">
        <f ca="1">IFERROR(__xludf.DUMMYFUNCTION("""COMPUTED_VALUE"""),0)</f>
        <v>0</v>
      </c>
      <c r="AH20" s="6">
        <f ca="1">IFERROR(__xludf.DUMMYFUNCTION("""COMPUTED_VALUE"""),0)</f>
        <v>0</v>
      </c>
      <c r="AI20" s="6">
        <f ca="1">IFERROR(__xludf.DUMMYFUNCTION("""COMPUTED_VALUE"""),0)</f>
        <v>0</v>
      </c>
      <c r="AK20" s="6" t="str">
        <f ca="1">IFERROR(__xludf.DUMMYFUNCTION("""COMPUTED_VALUE"""),"P")</f>
        <v>P</v>
      </c>
      <c r="AL20" s="6">
        <f ca="1">IFERROR(__xludf.DUMMYFUNCTION("""COMPUTED_VALUE"""),0)</f>
        <v>0</v>
      </c>
      <c r="AM20" s="6" t="b">
        <f ca="1">IFERROR(__xludf.DUMMYFUNCTION("""COMPUTED_VALUE"""),FALSE)</f>
        <v>0</v>
      </c>
      <c r="AN20" s="6" t="str">
        <f ca="1">IFERROR(__xludf.DUMMYFUNCTION("""COMPUTED_VALUE"""),"P")</f>
        <v>P</v>
      </c>
      <c r="AO20" s="6"/>
      <c r="AP20" s="6" t="str">
        <f ca="1">IFERROR(__xludf.DUMMYFUNCTION("""COMPUTED_VALUE"""),"x")</f>
        <v>x</v>
      </c>
      <c r="AQ20" s="6" t="b">
        <f ca="1">IFERROR(__xludf.DUMMYFUNCTION("""COMPUTED_VALUE"""),FALSE)</f>
        <v>0</v>
      </c>
      <c r="AR20" s="6" t="b">
        <f ca="1">IFERROR(__xludf.DUMMYFUNCTION("""COMPUTED_VALUE"""),FALSE)</f>
        <v>0</v>
      </c>
      <c r="AS20" s="15"/>
      <c r="AT20" s="6" t="str">
        <f ca="1">IFERROR(__xludf.DUMMYFUNCTION("SWITCH(IF(A20=""Practice"",AN20,FILTER('Items by Team'!E$2:E3410,'Items by Team'!C$2:C3410=D20,B20='Items by Team'!B$2:B3410)),""None"",""No"",""Parked"",""P"",""ShallowCage"",""Sc"",""DeepCage"",""Dc"",""No"",""No"",""P"",""P"",""Sc"",""Sc"",""Dc"",""Dc"&amp;""")"),"P")</f>
        <v>P</v>
      </c>
      <c r="AU20" s="6" t="str">
        <f ca="1">IFERROR(__xludf.DUMMYFUNCTION("SWITCH(IF(A20 = ""Practice"", H20, FILTER('Items by Team'!D$2:D3410,'Items by Team'!C$2:C3410 = D20,'Items by Team'!B$2:B3410 = B20)), ""Yes"", ""TRUE"", ""No"", ""FALSE"",TRUE, ""TRUE"", FALSE, ""FALSE"")"),"FALSE")</f>
        <v>FALSE</v>
      </c>
      <c r="AV20" s="6" t="str">
        <f t="shared" ca="1" si="0"/>
        <v/>
      </c>
      <c r="AW20" s="6">
        <f t="shared" ca="1" si="1"/>
        <v>0</v>
      </c>
      <c r="AX20" s="6">
        <f t="shared" ca="1" si="2"/>
        <v>0</v>
      </c>
      <c r="AY20" s="6">
        <f t="shared" ca="1" si="3"/>
        <v>1</v>
      </c>
      <c r="AZ20" s="9">
        <f t="shared" ca="1" si="4"/>
        <v>0</v>
      </c>
      <c r="BA20" s="6">
        <f t="shared" ca="1" si="5"/>
        <v>0</v>
      </c>
      <c r="BB20" s="6">
        <f t="shared" ca="1" si="6"/>
        <v>0</v>
      </c>
      <c r="BC20" s="9" t="str">
        <f t="shared" ca="1" si="7"/>
        <v/>
      </c>
      <c r="BD20" s="6">
        <f t="shared" ca="1" si="8"/>
        <v>0</v>
      </c>
      <c r="BE20" s="6">
        <f t="shared" ca="1" si="9"/>
        <v>0</v>
      </c>
      <c r="BF20" s="9" t="str">
        <f t="shared" ca="1" si="10"/>
        <v/>
      </c>
      <c r="BG20" s="6">
        <f t="shared" ca="1" si="11"/>
        <v>0</v>
      </c>
      <c r="BH20" s="6">
        <f t="shared" ca="1" si="12"/>
        <v>0</v>
      </c>
      <c r="BI20" s="9" t="str">
        <f t="shared" ca="1" si="13"/>
        <v/>
      </c>
      <c r="BJ20" s="6">
        <f t="shared" ca="1" si="14"/>
        <v>0</v>
      </c>
      <c r="BK20" s="6">
        <f t="shared" ca="1" si="15"/>
        <v>0</v>
      </c>
      <c r="BL20" s="6">
        <f t="shared" ca="1" si="16"/>
        <v>0</v>
      </c>
      <c r="BM20" s="6">
        <f t="shared" ca="1" si="17"/>
        <v>0</v>
      </c>
      <c r="BN20" s="6">
        <f t="shared" ca="1" si="18"/>
        <v>1</v>
      </c>
      <c r="BP20" s="6">
        <f t="shared" ca="1" si="19"/>
        <v>0</v>
      </c>
      <c r="BQ20" s="6" t="b">
        <f ca="1">IFERROR(__xludf.DUMMYFUNCTION("IF(AND(ISERROR(FILTER('Items by Team'!D$2:D3410,'Items by Team'!C$2:C3410 = D20,'Items by Team'!B$2:B3410 = B20)),NOT(A20=""Practice"")),TRUE,FALSE)"),FALSE)</f>
        <v>0</v>
      </c>
      <c r="BR20" s="6" t="e">
        <f t="shared" ca="1" si="20"/>
        <v>#VALUE!</v>
      </c>
    </row>
    <row r="21" spans="1:70">
      <c r="A21" s="6" t="str">
        <f ca="1">IFERROR(__xludf.DUMMYFUNCTION("""COMPUTED_VALUE"""),"Practice")</f>
        <v>Practice</v>
      </c>
      <c r="B21" s="6">
        <f ca="1">IFERROR(__xludf.DUMMYFUNCTION("""COMPUTED_VALUE"""),4)</f>
        <v>4</v>
      </c>
      <c r="C21" s="6" t="str">
        <f ca="1">IFERROR(__xludf.DUMMYFUNCTION("""COMPUTED_VALUE"""),"B3")</f>
        <v>B3</v>
      </c>
      <c r="D21" s="6">
        <f ca="1">IFERROR(__xludf.DUMMYFUNCTION("""COMPUTED_VALUE"""),3630)</f>
        <v>3630</v>
      </c>
      <c r="E21" s="6" t="b">
        <f ca="1">IFERROR(__xludf.DUMMYFUNCTION("""COMPUTED_VALUE"""),FALSE)</f>
        <v>0</v>
      </c>
      <c r="F21" s="6" t="str">
        <f ca="1">IFERROR(__xludf.DUMMYFUNCTION("""COMPUTED_VALUE"""),"Red Barge")</f>
        <v>Red Barge</v>
      </c>
      <c r="G21" s="6" t="b">
        <f ca="1">IFERROR(__xludf.DUMMYFUNCTION("""COMPUTED_VALUE"""),TRUE)</f>
        <v>1</v>
      </c>
      <c r="H21" s="6" t="b">
        <f ca="1">IFERROR(__xludf.DUMMYFUNCTION("""COMPUTED_VALUE"""),TRUE)</f>
        <v>1</v>
      </c>
      <c r="I21" s="6">
        <f ca="1">IFERROR(__xludf.DUMMYFUNCTION("""COMPUTED_VALUE"""),0)</f>
        <v>0</v>
      </c>
      <c r="J21" s="6">
        <f ca="1">IFERROR(__xludf.DUMMYFUNCTION("""COMPUTED_VALUE"""),0)</f>
        <v>0</v>
      </c>
      <c r="K21" s="6">
        <f ca="1">IFERROR(__xludf.DUMMYFUNCTION("""COMPUTED_VALUE"""),0)</f>
        <v>0</v>
      </c>
      <c r="L21" s="6">
        <f ca="1">IFERROR(__xludf.DUMMYFUNCTION("""COMPUTED_VALUE"""),0)</f>
        <v>0</v>
      </c>
      <c r="M21" s="6">
        <f ca="1">IFERROR(__xludf.DUMMYFUNCTION("""COMPUTED_VALUE"""),0)</f>
        <v>0</v>
      </c>
      <c r="N21" s="6">
        <f ca="1">IFERROR(__xludf.DUMMYFUNCTION("""COMPUTED_VALUE"""),0)</f>
        <v>0</v>
      </c>
      <c r="O21" s="6">
        <f ca="1">IFERROR(__xludf.DUMMYFUNCTION("""COMPUTED_VALUE"""),0)</f>
        <v>0</v>
      </c>
      <c r="P21" s="6">
        <f ca="1">IFERROR(__xludf.DUMMYFUNCTION("""COMPUTED_VALUE"""),0)</f>
        <v>0</v>
      </c>
      <c r="R21" s="6">
        <f ca="1">IFERROR(__xludf.DUMMYFUNCTION("""COMPUTED_VALUE"""),0)</f>
        <v>0</v>
      </c>
      <c r="S21" s="6">
        <f ca="1">IFERROR(__xludf.DUMMYFUNCTION("""COMPUTED_VALUE"""),0)</f>
        <v>0</v>
      </c>
      <c r="T21" s="6">
        <f ca="1">IFERROR(__xludf.DUMMYFUNCTION("""COMPUTED_VALUE"""),0)</f>
        <v>0</v>
      </c>
      <c r="U21" s="6">
        <f ca="1">IFERROR(__xludf.DUMMYFUNCTION("""COMPUTED_VALUE"""),0)</f>
        <v>0</v>
      </c>
      <c r="V21" s="6">
        <f ca="1">IFERROR(__xludf.DUMMYFUNCTION("""COMPUTED_VALUE"""),0)</f>
        <v>0</v>
      </c>
      <c r="W21" s="6">
        <f ca="1">IFERROR(__xludf.DUMMYFUNCTION("""COMPUTED_VALUE"""),0)</f>
        <v>0</v>
      </c>
      <c r="X21" s="6">
        <f ca="1">IFERROR(__xludf.DUMMYFUNCTION("""COMPUTED_VALUE"""),0)</f>
        <v>0</v>
      </c>
      <c r="Y21" s="6">
        <f ca="1">IFERROR(__xludf.DUMMYFUNCTION("""COMPUTED_VALUE"""),0)</f>
        <v>0</v>
      </c>
      <c r="Z21" s="6">
        <f ca="1">IFERROR(__xludf.DUMMYFUNCTION("""COMPUTED_VALUE"""),0)</f>
        <v>0</v>
      </c>
      <c r="AA21" s="6">
        <f ca="1">IFERROR(__xludf.DUMMYFUNCTION("""COMPUTED_VALUE"""),0)</f>
        <v>0</v>
      </c>
      <c r="AB21" s="6" t="b">
        <f ca="1">IFERROR(__xludf.DUMMYFUNCTION("""COMPUTED_VALUE"""),TRUE)</f>
        <v>1</v>
      </c>
      <c r="AD21" s="6" t="b">
        <f ca="1">IFERROR(__xludf.DUMMYFUNCTION("""COMPUTED_VALUE"""),FALSE)</f>
        <v>0</v>
      </c>
      <c r="AE21" s="6">
        <f ca="1">IFERROR(__xludf.DUMMYFUNCTION("""COMPUTED_VALUE"""),3)</f>
        <v>3</v>
      </c>
      <c r="AF21" s="6">
        <f ca="1">IFERROR(__xludf.DUMMYFUNCTION("""COMPUTED_VALUE"""),0)</f>
        <v>0</v>
      </c>
      <c r="AG21" s="6">
        <f ca="1">IFERROR(__xludf.DUMMYFUNCTION("""COMPUTED_VALUE"""),0)</f>
        <v>0</v>
      </c>
      <c r="AH21" s="6">
        <f ca="1">IFERROR(__xludf.DUMMYFUNCTION("""COMPUTED_VALUE"""),0)</f>
        <v>0</v>
      </c>
      <c r="AI21" s="6">
        <f ca="1">IFERROR(__xludf.DUMMYFUNCTION("""COMPUTED_VALUE"""),1)</f>
        <v>1</v>
      </c>
      <c r="AK21" s="6" t="str">
        <f ca="1">IFERROR(__xludf.DUMMYFUNCTION("""COMPUTED_VALUE"""),"Dc")</f>
        <v>Dc</v>
      </c>
      <c r="AL21" s="6">
        <f ca="1">IFERROR(__xludf.DUMMYFUNCTION("""COMPUTED_VALUE"""),0)</f>
        <v>0</v>
      </c>
      <c r="AM21" s="6" t="b">
        <f ca="1">IFERROR(__xludf.DUMMYFUNCTION("""COMPUTED_VALUE"""),FALSE)</f>
        <v>0</v>
      </c>
      <c r="AN21" s="6" t="str">
        <f ca="1">IFERROR(__xludf.DUMMYFUNCTION("""COMPUTED_VALUE"""),"Dc")</f>
        <v>Dc</v>
      </c>
      <c r="AO21" s="6"/>
      <c r="AP21" s="6" t="str">
        <f ca="1">IFERROR(__xludf.DUMMYFUNCTION("""COMPUTED_VALUE"""),"x")</f>
        <v>x</v>
      </c>
      <c r="AQ21" s="6" t="b">
        <f ca="1">IFERROR(__xludf.DUMMYFUNCTION("""COMPUTED_VALUE"""),FALSE)</f>
        <v>0</v>
      </c>
      <c r="AR21" s="6" t="b">
        <f ca="1">IFERROR(__xludf.DUMMYFUNCTION("""COMPUTED_VALUE"""),FALSE)</f>
        <v>0</v>
      </c>
      <c r="AS21" s="15"/>
      <c r="AT21" s="6" t="str">
        <f ca="1">IFERROR(__xludf.DUMMYFUNCTION("SWITCH(IF(A21=""Practice"",AN21,FILTER('Items by Team'!E$2:E3410,'Items by Team'!C$2:C3410=D21,B21='Items by Team'!B$2:B3410)),""None"",""No"",""Parked"",""P"",""ShallowCage"",""Sc"",""DeepCage"",""Dc"",""No"",""No"",""P"",""P"",""Sc"",""Sc"",""Dc"",""Dc"&amp;""")"),"Dc")</f>
        <v>Dc</v>
      </c>
      <c r="AU21" s="6" t="str">
        <f ca="1">IFERROR(__xludf.DUMMYFUNCTION("SWITCH(IF(A21 = ""Practice"", H21, FILTER('Items by Team'!D$2:D3410,'Items by Team'!C$2:C3410 = D21,'Items by Team'!B$2:B3410 = B21)), ""Yes"", ""TRUE"", ""No"", ""FALSE"",TRUE, ""TRUE"", FALSE, ""FALSE"")"),"TRUE")</f>
        <v>TRUE</v>
      </c>
      <c r="AV21" s="6" t="str">
        <f t="shared" ca="1" si="0"/>
        <v/>
      </c>
      <c r="AW21" s="6">
        <f t="shared" ca="1" si="1"/>
        <v>1</v>
      </c>
      <c r="AX21" s="6">
        <f t="shared" ca="1" si="2"/>
        <v>0</v>
      </c>
      <c r="AY21" s="6">
        <f t="shared" ca="1" si="3"/>
        <v>0</v>
      </c>
      <c r="AZ21" s="9" t="str">
        <f t="shared" ca="1" si="4"/>
        <v/>
      </c>
      <c r="BA21" s="6">
        <f t="shared" ca="1" si="5"/>
        <v>0</v>
      </c>
      <c r="BB21" s="6">
        <f t="shared" ca="1" si="6"/>
        <v>0</v>
      </c>
      <c r="BC21" s="9" t="str">
        <f t="shared" ca="1" si="7"/>
        <v/>
      </c>
      <c r="BD21" s="6">
        <f t="shared" ca="1" si="8"/>
        <v>0</v>
      </c>
      <c r="BE21" s="6">
        <f t="shared" ca="1" si="9"/>
        <v>0</v>
      </c>
      <c r="BF21" s="9" t="str">
        <f t="shared" ca="1" si="10"/>
        <v/>
      </c>
      <c r="BG21" s="6">
        <f t="shared" ca="1" si="11"/>
        <v>3</v>
      </c>
      <c r="BH21" s="6">
        <f t="shared" ca="1" si="12"/>
        <v>4</v>
      </c>
      <c r="BI21" s="9">
        <f t="shared" ca="1" si="13"/>
        <v>0.75</v>
      </c>
      <c r="BJ21" s="6">
        <f t="shared" ca="1" si="14"/>
        <v>0</v>
      </c>
      <c r="BK21" s="6">
        <f t="shared" ca="1" si="15"/>
        <v>0</v>
      </c>
      <c r="BL21" s="6">
        <f t="shared" ca="1" si="16"/>
        <v>0</v>
      </c>
      <c r="BM21" s="6">
        <f t="shared" ca="1" si="17"/>
        <v>0</v>
      </c>
      <c r="BN21" s="6">
        <f t="shared" ca="1" si="18"/>
        <v>1</v>
      </c>
      <c r="BP21" s="6">
        <f t="shared" ca="1" si="19"/>
        <v>0</v>
      </c>
      <c r="BQ21" s="6" t="b">
        <f ca="1">IFERROR(__xludf.DUMMYFUNCTION("IF(AND(ISERROR(FILTER('Items by Team'!D$2:D3410,'Items by Team'!C$2:C3410 = D21,'Items by Team'!B$2:B3410 = B21)),NOT(A21=""Practice"")),TRUE,FALSE)"),FALSE)</f>
        <v>0</v>
      </c>
      <c r="BR21" s="6" t="e">
        <f t="shared" ca="1" si="20"/>
        <v>#VALUE!</v>
      </c>
    </row>
    <row r="22" spans="1:70">
      <c r="A22" s="6" t="str">
        <f ca="1">IFERROR(__xludf.DUMMYFUNCTION("""COMPUTED_VALUE"""),"Practice")</f>
        <v>Practice</v>
      </c>
      <c r="B22" s="6">
        <f ca="1">IFERROR(__xludf.DUMMYFUNCTION("""COMPUTED_VALUE"""),4)</f>
        <v>4</v>
      </c>
      <c r="C22" s="6" t="str">
        <f ca="1">IFERROR(__xludf.DUMMYFUNCTION("""COMPUTED_VALUE"""),"B1")</f>
        <v>B1</v>
      </c>
      <c r="D22" s="6">
        <f ca="1">IFERROR(__xludf.DUMMYFUNCTION("""COMPUTED_VALUE"""),2502)</f>
        <v>2502</v>
      </c>
      <c r="E22" s="6" t="b">
        <f ca="1">IFERROR(__xludf.DUMMYFUNCTION("""COMPUTED_VALUE"""),FALSE)</f>
        <v>0</v>
      </c>
      <c r="F22" s="6" t="str">
        <f ca="1">IFERROR(__xludf.DUMMYFUNCTION("""COMPUTED_VALUE"""),"Blue Barge")</f>
        <v>Blue Barge</v>
      </c>
      <c r="G22" s="6" t="b">
        <f ca="1">IFERROR(__xludf.DUMMYFUNCTION("""COMPUTED_VALUE"""),TRUE)</f>
        <v>1</v>
      </c>
      <c r="H22" s="6" t="b">
        <f ca="1">IFERROR(__xludf.DUMMYFUNCTION("""COMPUTED_VALUE"""),TRUE)</f>
        <v>1</v>
      </c>
      <c r="I22" s="6">
        <f ca="1">IFERROR(__xludf.DUMMYFUNCTION("""COMPUTED_VALUE"""),0)</f>
        <v>0</v>
      </c>
      <c r="J22" s="6">
        <f ca="1">IFERROR(__xludf.DUMMYFUNCTION("""COMPUTED_VALUE"""),1)</f>
        <v>1</v>
      </c>
      <c r="K22" s="6">
        <f ca="1">IFERROR(__xludf.DUMMYFUNCTION("""COMPUTED_VALUE"""),0)</f>
        <v>0</v>
      </c>
      <c r="L22" s="6">
        <f ca="1">IFERROR(__xludf.DUMMYFUNCTION("""COMPUTED_VALUE"""),0)</f>
        <v>0</v>
      </c>
      <c r="M22" s="6">
        <f ca="1">IFERROR(__xludf.DUMMYFUNCTION("""COMPUTED_VALUE"""),0)</f>
        <v>0</v>
      </c>
      <c r="N22" s="6">
        <f ca="1">IFERROR(__xludf.DUMMYFUNCTION("""COMPUTED_VALUE"""),0)</f>
        <v>0</v>
      </c>
      <c r="O22" s="6">
        <f ca="1">IFERROR(__xludf.DUMMYFUNCTION("""COMPUTED_VALUE"""),0)</f>
        <v>0</v>
      </c>
      <c r="P22" s="6">
        <f ca="1">IFERROR(__xludf.DUMMYFUNCTION("""COMPUTED_VALUE"""),1)</f>
        <v>1</v>
      </c>
      <c r="R22" s="6">
        <f ca="1">IFERROR(__xludf.DUMMYFUNCTION("""COMPUTED_VALUE"""),0)</f>
        <v>0</v>
      </c>
      <c r="S22" s="6">
        <f ca="1">IFERROR(__xludf.DUMMYFUNCTION("""COMPUTED_VALUE"""),0)</f>
        <v>0</v>
      </c>
      <c r="T22" s="6">
        <f ca="1">IFERROR(__xludf.DUMMYFUNCTION("""COMPUTED_VALUE"""),0)</f>
        <v>0</v>
      </c>
      <c r="U22" s="6">
        <f ca="1">IFERROR(__xludf.DUMMYFUNCTION("""COMPUTED_VALUE"""),0)</f>
        <v>0</v>
      </c>
      <c r="V22" s="6">
        <f ca="1">IFERROR(__xludf.DUMMYFUNCTION("""COMPUTED_VALUE"""),0)</f>
        <v>0</v>
      </c>
      <c r="W22" s="6">
        <f ca="1">IFERROR(__xludf.DUMMYFUNCTION("""COMPUTED_VALUE"""),0)</f>
        <v>0</v>
      </c>
      <c r="X22" s="6">
        <f ca="1">IFERROR(__xludf.DUMMYFUNCTION("""COMPUTED_VALUE"""),0)</f>
        <v>0</v>
      </c>
      <c r="Y22" s="6">
        <f ca="1">IFERROR(__xludf.DUMMYFUNCTION("""COMPUTED_VALUE"""),0)</f>
        <v>0</v>
      </c>
      <c r="Z22" s="6">
        <f ca="1">IFERROR(__xludf.DUMMYFUNCTION("""COMPUTED_VALUE"""),0)</f>
        <v>0</v>
      </c>
      <c r="AA22" s="6">
        <f ca="1">IFERROR(__xludf.DUMMYFUNCTION("""COMPUTED_VALUE"""),2)</f>
        <v>2</v>
      </c>
      <c r="AB22" s="6" t="b">
        <f ca="1">IFERROR(__xludf.DUMMYFUNCTION("""COMPUTED_VALUE"""),TRUE)</f>
        <v>1</v>
      </c>
      <c r="AD22" s="6" t="b">
        <f ca="1">IFERROR(__xludf.DUMMYFUNCTION("""COMPUTED_VALUE"""),FALSE)</f>
        <v>0</v>
      </c>
      <c r="AE22" s="6">
        <f ca="1">IFERROR(__xludf.DUMMYFUNCTION("""COMPUTED_VALUE"""),6)</f>
        <v>6</v>
      </c>
      <c r="AF22" s="6">
        <f ca="1">IFERROR(__xludf.DUMMYFUNCTION("""COMPUTED_VALUE"""),0)</f>
        <v>0</v>
      </c>
      <c r="AG22" s="6">
        <f ca="1">IFERROR(__xludf.DUMMYFUNCTION("""COMPUTED_VALUE"""),0)</f>
        <v>0</v>
      </c>
      <c r="AH22" s="6">
        <f ca="1">IFERROR(__xludf.DUMMYFUNCTION("""COMPUTED_VALUE"""),0)</f>
        <v>0</v>
      </c>
      <c r="AI22" s="6">
        <f ca="1">IFERROR(__xludf.DUMMYFUNCTION("""COMPUTED_VALUE"""),4)</f>
        <v>4</v>
      </c>
      <c r="AK22" s="6" t="str">
        <f ca="1">IFERROR(__xludf.DUMMYFUNCTION("""COMPUTED_VALUE"""),"Dc")</f>
        <v>Dc</v>
      </c>
      <c r="AL22" s="6">
        <f ca="1">IFERROR(__xludf.DUMMYFUNCTION("""COMPUTED_VALUE"""),0)</f>
        <v>0</v>
      </c>
      <c r="AM22" s="6" t="b">
        <f ca="1">IFERROR(__xludf.DUMMYFUNCTION("""COMPUTED_VALUE"""),FALSE)</f>
        <v>0</v>
      </c>
      <c r="AN22" s="6" t="str">
        <f ca="1">IFERROR(__xludf.DUMMYFUNCTION("""COMPUTED_VALUE"""),"P")</f>
        <v>P</v>
      </c>
      <c r="AO22" s="6"/>
      <c r="AP22" s="6" t="str">
        <f ca="1">IFERROR(__xludf.DUMMYFUNCTION("""COMPUTED_VALUE"""),"x")</f>
        <v>x</v>
      </c>
      <c r="AQ22" s="6" t="b">
        <f ca="1">IFERROR(__xludf.DUMMYFUNCTION("""COMPUTED_VALUE"""),FALSE)</f>
        <v>0</v>
      </c>
      <c r="AR22" s="6" t="b">
        <f ca="1">IFERROR(__xludf.DUMMYFUNCTION("""COMPUTED_VALUE"""),FALSE)</f>
        <v>0</v>
      </c>
      <c r="AS22" s="15"/>
      <c r="AT22" s="6" t="str">
        <f ca="1">IFERROR(__xludf.DUMMYFUNCTION("SWITCH(IF(A22=""Practice"",AN22,FILTER('Items by Team'!E$2:E3410,'Items by Team'!C$2:C3410=D22,B22='Items by Team'!B$2:B3410)),""None"",""No"",""Parked"",""P"",""ShallowCage"",""Sc"",""DeepCage"",""Dc"",""No"",""No"",""P"",""P"",""Sc"",""Sc"",""Dc"",""Dc"&amp;""")"),"P")</f>
        <v>P</v>
      </c>
      <c r="AU22" s="6" t="str">
        <f ca="1">IFERROR(__xludf.DUMMYFUNCTION("SWITCH(IF(A22 = ""Practice"", H22, FILTER('Items by Team'!D$2:D3410,'Items by Team'!C$2:C3410 = D22,'Items by Team'!B$2:B3410 = B22)), ""Yes"", ""TRUE"", ""No"", ""FALSE"",TRUE, ""TRUE"", FALSE, ""FALSE"")"),"TRUE")</f>
        <v>TRUE</v>
      </c>
      <c r="AV22" s="6" t="str">
        <f t="shared" ca="1" si="0"/>
        <v/>
      </c>
      <c r="AW22" s="6">
        <f t="shared" ca="1" si="1"/>
        <v>1</v>
      </c>
      <c r="AX22" s="6">
        <f t="shared" ca="1" si="2"/>
        <v>0</v>
      </c>
      <c r="AY22" s="6">
        <f t="shared" ca="1" si="3"/>
        <v>1</v>
      </c>
      <c r="AZ22" s="9">
        <f t="shared" ca="1" si="4"/>
        <v>0</v>
      </c>
      <c r="BA22" s="6">
        <f t="shared" ca="1" si="5"/>
        <v>0</v>
      </c>
      <c r="BB22" s="6">
        <f t="shared" ca="1" si="6"/>
        <v>0</v>
      </c>
      <c r="BC22" s="9" t="str">
        <f t="shared" ca="1" si="7"/>
        <v/>
      </c>
      <c r="BD22" s="6">
        <f t="shared" ca="1" si="8"/>
        <v>0</v>
      </c>
      <c r="BE22" s="6">
        <f t="shared" ca="1" si="9"/>
        <v>0</v>
      </c>
      <c r="BF22" s="9" t="str">
        <f t="shared" ca="1" si="10"/>
        <v/>
      </c>
      <c r="BG22" s="6">
        <f t="shared" ca="1" si="11"/>
        <v>6</v>
      </c>
      <c r="BH22" s="6">
        <f t="shared" ca="1" si="12"/>
        <v>10</v>
      </c>
      <c r="BI22" s="9">
        <f t="shared" ca="1" si="13"/>
        <v>0.6</v>
      </c>
      <c r="BJ22" s="6">
        <f t="shared" ca="1" si="14"/>
        <v>0</v>
      </c>
      <c r="BK22" s="6">
        <f t="shared" ca="1" si="15"/>
        <v>0</v>
      </c>
      <c r="BL22" s="6">
        <f t="shared" ca="1" si="16"/>
        <v>1</v>
      </c>
      <c r="BM22" s="6">
        <f t="shared" ca="1" si="17"/>
        <v>0</v>
      </c>
      <c r="BN22" s="6">
        <f t="shared" ca="1" si="18"/>
        <v>1</v>
      </c>
      <c r="BP22" s="6">
        <f t="shared" ca="1" si="19"/>
        <v>0</v>
      </c>
      <c r="BQ22" s="6" t="b">
        <f ca="1">IFERROR(__xludf.DUMMYFUNCTION("IF(AND(ISERROR(FILTER('Items by Team'!D$2:D3410,'Items by Team'!C$2:C3410 = D22,'Items by Team'!B$2:B3410 = B22)),NOT(A22=""Practice"")),TRUE,FALSE)"),FALSE)</f>
        <v>0</v>
      </c>
      <c r="BR22" s="6" t="e">
        <f t="shared" ca="1" si="20"/>
        <v>#VALUE!</v>
      </c>
    </row>
    <row r="23" spans="1:70">
      <c r="A23" s="6" t="str">
        <f ca="1">IFERROR(__xludf.DUMMYFUNCTION("""COMPUTED_VALUE"""),"Practice")</f>
        <v>Practice</v>
      </c>
      <c r="B23" s="6">
        <f ca="1">IFERROR(__xludf.DUMMYFUNCTION("""COMPUTED_VALUE"""),4)</f>
        <v>4</v>
      </c>
      <c r="C23" s="6" t="str">
        <f ca="1">IFERROR(__xludf.DUMMYFUNCTION("""COMPUTED_VALUE"""),"B2")</f>
        <v>B2</v>
      </c>
      <c r="D23" s="6">
        <f ca="1">IFERROR(__xludf.DUMMYFUNCTION("""COMPUTED_VALUE"""),3454)</f>
        <v>3454</v>
      </c>
      <c r="E23" s="6" t="b">
        <f ca="1">IFERROR(__xludf.DUMMYFUNCTION("""COMPUTED_VALUE"""),FALSE)</f>
        <v>0</v>
      </c>
      <c r="F23" s="6" t="str">
        <f ca="1">IFERROR(__xludf.DUMMYFUNCTION("""COMPUTED_VALUE"""),"Middle")</f>
        <v>Middle</v>
      </c>
      <c r="G23" s="6" t="b">
        <f ca="1">IFERROR(__xludf.DUMMYFUNCTION("""COMPUTED_VALUE"""),TRUE)</f>
        <v>1</v>
      </c>
      <c r="H23" s="6" t="b">
        <f ca="1">IFERROR(__xludf.DUMMYFUNCTION("""COMPUTED_VALUE"""),TRUE)</f>
        <v>1</v>
      </c>
      <c r="I23" s="6">
        <f ca="1">IFERROR(__xludf.DUMMYFUNCTION("""COMPUTED_VALUE"""),0)</f>
        <v>0</v>
      </c>
      <c r="J23" s="6">
        <f ca="1">IFERROR(__xludf.DUMMYFUNCTION("""COMPUTED_VALUE"""),0)</f>
        <v>0</v>
      </c>
      <c r="K23" s="6">
        <f ca="1">IFERROR(__xludf.DUMMYFUNCTION("""COMPUTED_VALUE"""),0)</f>
        <v>0</v>
      </c>
      <c r="L23" s="6">
        <f ca="1">IFERROR(__xludf.DUMMYFUNCTION("""COMPUTED_VALUE"""),0)</f>
        <v>0</v>
      </c>
      <c r="M23" s="6">
        <f ca="1">IFERROR(__xludf.DUMMYFUNCTION("""COMPUTED_VALUE"""),0)</f>
        <v>0</v>
      </c>
      <c r="N23" s="6">
        <f ca="1">IFERROR(__xludf.DUMMYFUNCTION("""COMPUTED_VALUE"""),0)</f>
        <v>0</v>
      </c>
      <c r="O23" s="6">
        <f ca="1">IFERROR(__xludf.DUMMYFUNCTION("""COMPUTED_VALUE"""),0)</f>
        <v>0</v>
      </c>
      <c r="P23" s="6">
        <f ca="1">IFERROR(__xludf.DUMMYFUNCTION("""COMPUTED_VALUE"""),0)</f>
        <v>0</v>
      </c>
      <c r="R23" s="6">
        <f ca="1">IFERROR(__xludf.DUMMYFUNCTION("""COMPUTED_VALUE"""),0)</f>
        <v>0</v>
      </c>
      <c r="S23" s="6">
        <f ca="1">IFERROR(__xludf.DUMMYFUNCTION("""COMPUTED_VALUE"""),0)</f>
        <v>0</v>
      </c>
      <c r="T23" s="6">
        <f ca="1">IFERROR(__xludf.DUMMYFUNCTION("""COMPUTED_VALUE"""),0)</f>
        <v>0</v>
      </c>
      <c r="U23" s="6">
        <f ca="1">IFERROR(__xludf.DUMMYFUNCTION("""COMPUTED_VALUE"""),0)</f>
        <v>0</v>
      </c>
      <c r="V23" s="6">
        <f ca="1">IFERROR(__xludf.DUMMYFUNCTION("""COMPUTED_VALUE"""),0)</f>
        <v>0</v>
      </c>
      <c r="W23" s="6">
        <f ca="1">IFERROR(__xludf.DUMMYFUNCTION("""COMPUTED_VALUE"""),0)</f>
        <v>0</v>
      </c>
      <c r="X23" s="6">
        <f ca="1">IFERROR(__xludf.DUMMYFUNCTION("""COMPUTED_VALUE"""),0)</f>
        <v>0</v>
      </c>
      <c r="Y23" s="6">
        <f ca="1">IFERROR(__xludf.DUMMYFUNCTION("""COMPUTED_VALUE"""),0)</f>
        <v>0</v>
      </c>
      <c r="Z23" s="6">
        <f ca="1">IFERROR(__xludf.DUMMYFUNCTION("""COMPUTED_VALUE"""),0)</f>
        <v>0</v>
      </c>
      <c r="AA23" s="6">
        <f ca="1">IFERROR(__xludf.DUMMYFUNCTION("""COMPUTED_VALUE"""),0)</f>
        <v>0</v>
      </c>
      <c r="AB23" s="6" t="b">
        <f ca="1">IFERROR(__xludf.DUMMYFUNCTION("""COMPUTED_VALUE"""),TRUE)</f>
        <v>1</v>
      </c>
      <c r="AD23" s="6" t="b">
        <f ca="1">IFERROR(__xludf.DUMMYFUNCTION("""COMPUTED_VALUE"""),FALSE)</f>
        <v>0</v>
      </c>
      <c r="AE23" s="6">
        <f ca="1">IFERROR(__xludf.DUMMYFUNCTION("""COMPUTED_VALUE"""),1)</f>
        <v>1</v>
      </c>
      <c r="AF23" s="6">
        <f ca="1">IFERROR(__xludf.DUMMYFUNCTION("""COMPUTED_VALUE"""),0)</f>
        <v>0</v>
      </c>
      <c r="AG23" s="6">
        <f ca="1">IFERROR(__xludf.DUMMYFUNCTION("""COMPUTED_VALUE"""),0)</f>
        <v>0</v>
      </c>
      <c r="AH23" s="6">
        <f ca="1">IFERROR(__xludf.DUMMYFUNCTION("""COMPUTED_VALUE"""),1)</f>
        <v>1</v>
      </c>
      <c r="AI23" s="6">
        <f ca="1">IFERROR(__xludf.DUMMYFUNCTION("""COMPUTED_VALUE"""),2)</f>
        <v>2</v>
      </c>
      <c r="AK23" s="6" t="str">
        <f ca="1">IFERROR(__xludf.DUMMYFUNCTION("""COMPUTED_VALUE"""),"P")</f>
        <v>P</v>
      </c>
      <c r="AL23" s="6">
        <f ca="1">IFERROR(__xludf.DUMMYFUNCTION("""COMPUTED_VALUE"""),0)</f>
        <v>0</v>
      </c>
      <c r="AM23" s="6" t="b">
        <f ca="1">IFERROR(__xludf.DUMMYFUNCTION("""COMPUTED_VALUE"""),FALSE)</f>
        <v>0</v>
      </c>
      <c r="AN23" s="6" t="str">
        <f ca="1">IFERROR(__xludf.DUMMYFUNCTION("""COMPUTED_VALUE"""),"P")</f>
        <v>P</v>
      </c>
      <c r="AO23" s="6"/>
      <c r="AP23" s="6" t="str">
        <f ca="1">IFERROR(__xludf.DUMMYFUNCTION("""COMPUTED_VALUE"""),"x")</f>
        <v>x</v>
      </c>
      <c r="AQ23" s="6" t="b">
        <f ca="1">IFERROR(__xludf.DUMMYFUNCTION("""COMPUTED_VALUE"""),FALSE)</f>
        <v>0</v>
      </c>
      <c r="AR23" s="6" t="b">
        <f ca="1">IFERROR(__xludf.DUMMYFUNCTION("""COMPUTED_VALUE"""),FALSE)</f>
        <v>0</v>
      </c>
      <c r="AS23" s="15"/>
      <c r="AT23" s="6" t="str">
        <f ca="1">IFERROR(__xludf.DUMMYFUNCTION("SWITCH(IF(A23=""Practice"",AN23,FILTER('Items by Team'!E$2:E3410,'Items by Team'!C$2:C3410=D23,B23='Items by Team'!B$2:B3410)),""None"",""No"",""Parked"",""P"",""ShallowCage"",""Sc"",""DeepCage"",""Dc"",""No"",""No"",""P"",""P"",""Sc"",""Sc"",""Dc"",""Dc"&amp;""")"),"P")</f>
        <v>P</v>
      </c>
      <c r="AU23" s="6" t="str">
        <f ca="1">IFERROR(__xludf.DUMMYFUNCTION("SWITCH(IF(A23 = ""Practice"", H23, FILTER('Items by Team'!D$2:D3410,'Items by Team'!C$2:C3410 = D23,'Items by Team'!B$2:B3410 = B23)), ""Yes"", ""TRUE"", ""No"", ""FALSE"",TRUE, ""TRUE"", FALSE, ""FALSE"")"),"TRUE")</f>
        <v>TRUE</v>
      </c>
      <c r="AV23" s="6" t="str">
        <f t="shared" ca="1" si="0"/>
        <v/>
      </c>
      <c r="AW23" s="6">
        <f t="shared" ca="1" si="1"/>
        <v>1</v>
      </c>
      <c r="AX23" s="6">
        <f t="shared" ca="1" si="2"/>
        <v>0</v>
      </c>
      <c r="AY23" s="6">
        <f t="shared" ca="1" si="3"/>
        <v>0</v>
      </c>
      <c r="AZ23" s="9" t="str">
        <f t="shared" ca="1" si="4"/>
        <v/>
      </c>
      <c r="BA23" s="6">
        <f t="shared" ca="1" si="5"/>
        <v>0</v>
      </c>
      <c r="BB23" s="6">
        <f t="shared" ca="1" si="6"/>
        <v>0</v>
      </c>
      <c r="BC23" s="9" t="str">
        <f t="shared" ca="1" si="7"/>
        <v/>
      </c>
      <c r="BD23" s="6">
        <f t="shared" ca="1" si="8"/>
        <v>0</v>
      </c>
      <c r="BE23" s="6">
        <f t="shared" ca="1" si="9"/>
        <v>0</v>
      </c>
      <c r="BF23" s="9" t="str">
        <f t="shared" ca="1" si="10"/>
        <v/>
      </c>
      <c r="BG23" s="6">
        <f t="shared" ca="1" si="11"/>
        <v>2</v>
      </c>
      <c r="BH23" s="6">
        <f t="shared" ca="1" si="12"/>
        <v>4</v>
      </c>
      <c r="BI23" s="9">
        <f t="shared" ca="1" si="13"/>
        <v>0.5</v>
      </c>
      <c r="BJ23" s="6">
        <f t="shared" ca="1" si="14"/>
        <v>0</v>
      </c>
      <c r="BK23" s="6">
        <f t="shared" ca="1" si="15"/>
        <v>0</v>
      </c>
      <c r="BL23" s="6">
        <f t="shared" ca="1" si="16"/>
        <v>0</v>
      </c>
      <c r="BM23" s="6">
        <f t="shared" ca="1" si="17"/>
        <v>0</v>
      </c>
      <c r="BN23" s="6">
        <f t="shared" ca="1" si="18"/>
        <v>1</v>
      </c>
      <c r="BP23" s="6">
        <f t="shared" ca="1" si="19"/>
        <v>0</v>
      </c>
      <c r="BQ23" s="6" t="b">
        <f ca="1">IFERROR(__xludf.DUMMYFUNCTION("IF(AND(ISERROR(FILTER('Items by Team'!D$2:D3410,'Items by Team'!C$2:C3410 = D23,'Items by Team'!B$2:B3410 = B23)),NOT(A23=""Practice"")),TRUE,FALSE)"),FALSE)</f>
        <v>0</v>
      </c>
      <c r="BR23" s="6" t="e">
        <f t="shared" ca="1" si="20"/>
        <v>#VALUE!</v>
      </c>
    </row>
    <row r="24" spans="1:70">
      <c r="A24" s="6" t="str">
        <f ca="1">IFERROR(__xludf.DUMMYFUNCTION("""COMPUTED_VALUE"""),"Practice")</f>
        <v>Practice</v>
      </c>
      <c r="B24" s="6">
        <f ca="1">IFERROR(__xludf.DUMMYFUNCTION("""COMPUTED_VALUE"""),5)</f>
        <v>5</v>
      </c>
      <c r="C24" s="6" t="str">
        <f ca="1">IFERROR(__xludf.DUMMYFUNCTION("""COMPUTED_VALUE"""),"B1")</f>
        <v>B1</v>
      </c>
      <c r="D24" s="6">
        <f ca="1">IFERROR(__xludf.DUMMYFUNCTION("""COMPUTED_VALUE"""),3792)</f>
        <v>3792</v>
      </c>
      <c r="E24" s="6" t="b">
        <f ca="1">IFERROR(__xludf.DUMMYFUNCTION("""COMPUTED_VALUE"""),FALSE)</f>
        <v>0</v>
      </c>
      <c r="F24" s="6" t="str">
        <f ca="1">IFERROR(__xludf.DUMMYFUNCTION("""COMPUTED_VALUE"""),"Red Barge")</f>
        <v>Red Barge</v>
      </c>
      <c r="G24" s="6" t="b">
        <f ca="1">IFERROR(__xludf.DUMMYFUNCTION("""COMPUTED_VALUE"""),TRUE)</f>
        <v>1</v>
      </c>
      <c r="H24" s="6" t="b">
        <f ca="1">IFERROR(__xludf.DUMMYFUNCTION("""COMPUTED_VALUE"""),FALSE)</f>
        <v>0</v>
      </c>
      <c r="I24" s="6">
        <f ca="1">IFERROR(__xludf.DUMMYFUNCTION("""COMPUTED_VALUE"""),1)</f>
        <v>1</v>
      </c>
      <c r="J24" s="6">
        <f ca="1">IFERROR(__xludf.DUMMYFUNCTION("""COMPUTED_VALUE"""),0)</f>
        <v>0</v>
      </c>
      <c r="K24" s="6">
        <f ca="1">IFERROR(__xludf.DUMMYFUNCTION("""COMPUTED_VALUE"""),0)</f>
        <v>0</v>
      </c>
      <c r="L24" s="6">
        <f ca="1">IFERROR(__xludf.DUMMYFUNCTION("""COMPUTED_VALUE"""),0)</f>
        <v>0</v>
      </c>
      <c r="M24" s="6">
        <f ca="1">IFERROR(__xludf.DUMMYFUNCTION("""COMPUTED_VALUE"""),0)</f>
        <v>0</v>
      </c>
      <c r="N24" s="6">
        <f ca="1">IFERROR(__xludf.DUMMYFUNCTION("""COMPUTED_VALUE"""),0)</f>
        <v>0</v>
      </c>
      <c r="O24" s="6">
        <f ca="1">IFERROR(__xludf.DUMMYFUNCTION("""COMPUTED_VALUE"""),1)</f>
        <v>1</v>
      </c>
      <c r="P24" s="6">
        <f ca="1">IFERROR(__xludf.DUMMYFUNCTION("""COMPUTED_VALUE"""),0)</f>
        <v>0</v>
      </c>
      <c r="R24" s="6">
        <f ca="1">IFERROR(__xludf.DUMMYFUNCTION("""COMPUTED_VALUE"""),0)</f>
        <v>0</v>
      </c>
      <c r="S24" s="6">
        <f ca="1">IFERROR(__xludf.DUMMYFUNCTION("""COMPUTED_VALUE"""),0)</f>
        <v>0</v>
      </c>
      <c r="T24" s="6">
        <f ca="1">IFERROR(__xludf.DUMMYFUNCTION("""COMPUTED_VALUE"""),0)</f>
        <v>0</v>
      </c>
      <c r="U24" s="6">
        <f ca="1">IFERROR(__xludf.DUMMYFUNCTION("""COMPUTED_VALUE"""),0)</f>
        <v>0</v>
      </c>
      <c r="V24" s="6">
        <f ca="1">IFERROR(__xludf.DUMMYFUNCTION("""COMPUTED_VALUE"""),0)</f>
        <v>0</v>
      </c>
      <c r="W24" s="6">
        <f ca="1">IFERROR(__xludf.DUMMYFUNCTION("""COMPUTED_VALUE"""),8)</f>
        <v>8</v>
      </c>
      <c r="X24" s="6">
        <f ca="1">IFERROR(__xludf.DUMMYFUNCTION("""COMPUTED_VALUE"""),0)</f>
        <v>0</v>
      </c>
      <c r="Y24" s="6">
        <f ca="1">IFERROR(__xludf.DUMMYFUNCTION("""COMPUTED_VALUE"""),0)</f>
        <v>0</v>
      </c>
      <c r="Z24" s="6">
        <f ca="1">IFERROR(__xludf.DUMMYFUNCTION("""COMPUTED_VALUE"""),0)</f>
        <v>0</v>
      </c>
      <c r="AA24" s="6">
        <f ca="1">IFERROR(__xludf.DUMMYFUNCTION("""COMPUTED_VALUE"""),2)</f>
        <v>2</v>
      </c>
      <c r="AB24" s="6" t="b">
        <f ca="1">IFERROR(__xludf.DUMMYFUNCTION("""COMPUTED_VALUE"""),TRUE)</f>
        <v>1</v>
      </c>
      <c r="AD24" s="6" t="b">
        <f ca="1">IFERROR(__xludf.DUMMYFUNCTION("""COMPUTED_VALUE"""),FALSE)</f>
        <v>0</v>
      </c>
      <c r="AE24" s="6">
        <f ca="1">IFERROR(__xludf.DUMMYFUNCTION("""COMPUTED_VALUE"""),0)</f>
        <v>0</v>
      </c>
      <c r="AF24" s="6">
        <f ca="1">IFERROR(__xludf.DUMMYFUNCTION("""COMPUTED_VALUE"""),0)</f>
        <v>0</v>
      </c>
      <c r="AG24" s="6">
        <f ca="1">IFERROR(__xludf.DUMMYFUNCTION("""COMPUTED_VALUE"""),0)</f>
        <v>0</v>
      </c>
      <c r="AH24" s="6">
        <f ca="1">IFERROR(__xludf.DUMMYFUNCTION("""COMPUTED_VALUE"""),0)</f>
        <v>0</v>
      </c>
      <c r="AI24" s="6">
        <f ca="1">IFERROR(__xludf.DUMMYFUNCTION("""COMPUTED_VALUE"""),0)</f>
        <v>0</v>
      </c>
      <c r="AK24" s="6" t="str">
        <f ca="1">IFERROR(__xludf.DUMMYFUNCTION("""COMPUTED_VALUE"""),"Dc")</f>
        <v>Dc</v>
      </c>
      <c r="AL24" s="6">
        <f ca="1">IFERROR(__xludf.DUMMYFUNCTION("""COMPUTED_VALUE"""),0)</f>
        <v>0</v>
      </c>
      <c r="AM24" s="6" t="b">
        <f ca="1">IFERROR(__xludf.DUMMYFUNCTION("""COMPUTED_VALUE"""),TRUE)</f>
        <v>1</v>
      </c>
      <c r="AN24" s="6" t="str">
        <f ca="1">IFERROR(__xludf.DUMMYFUNCTION("""COMPUTED_VALUE"""),"Dc")</f>
        <v>Dc</v>
      </c>
      <c r="AO24" s="6"/>
      <c r="AP24" s="6" t="str">
        <f ca="1">IFERROR(__xludf.DUMMYFUNCTION("""COMPUTED_VALUE"""),"x")</f>
        <v>x</v>
      </c>
      <c r="AQ24" s="6" t="b">
        <f ca="1">IFERROR(__xludf.DUMMYFUNCTION("""COMPUTED_VALUE"""),TRUE)</f>
        <v>1</v>
      </c>
      <c r="AR24" s="6" t="b">
        <f ca="1">IFERROR(__xludf.DUMMYFUNCTION("""COMPUTED_VALUE"""),FALSE)</f>
        <v>0</v>
      </c>
      <c r="AS24" s="15"/>
      <c r="AT24" s="6" t="str">
        <f ca="1">IFERROR(__xludf.DUMMYFUNCTION("SWITCH(IF(A24=""Practice"",AN24,FILTER('Items by Team'!E$2:E3410,'Items by Team'!C$2:C3410=D24,B24='Items by Team'!B$2:B3410)),""None"",""No"",""Parked"",""P"",""ShallowCage"",""Sc"",""DeepCage"",""Dc"",""No"",""No"",""P"",""P"",""Sc"",""Sc"",""Dc"",""Dc"&amp;""")"),"Dc")</f>
        <v>Dc</v>
      </c>
      <c r="AU24" s="6" t="str">
        <f ca="1">IFERROR(__xludf.DUMMYFUNCTION("SWITCH(IF(A24 = ""Practice"", H24, FILTER('Items by Team'!D$2:D3410,'Items by Team'!C$2:C3410 = D24,'Items by Team'!B$2:B3410 = B24)), ""Yes"", ""TRUE"", ""No"", ""FALSE"",TRUE, ""TRUE"", FALSE, ""FALSE"")"),"FALSE")</f>
        <v>FALSE</v>
      </c>
      <c r="AV24" s="6" t="str">
        <f t="shared" ca="1" si="0"/>
        <v/>
      </c>
      <c r="AW24" s="6">
        <f t="shared" ca="1" si="1"/>
        <v>0</v>
      </c>
      <c r="AX24" s="6">
        <f t="shared" ca="1" si="2"/>
        <v>1</v>
      </c>
      <c r="AY24" s="6">
        <f t="shared" ca="1" si="3"/>
        <v>1</v>
      </c>
      <c r="AZ24" s="9">
        <f t="shared" ca="1" si="4"/>
        <v>1</v>
      </c>
      <c r="BA24" s="6">
        <f t="shared" ca="1" si="5"/>
        <v>0</v>
      </c>
      <c r="BB24" s="6">
        <f t="shared" ca="1" si="6"/>
        <v>0</v>
      </c>
      <c r="BC24" s="9" t="str">
        <f t="shared" ca="1" si="7"/>
        <v/>
      </c>
      <c r="BD24" s="6">
        <f t="shared" ca="1" si="8"/>
        <v>0</v>
      </c>
      <c r="BE24" s="6">
        <f t="shared" ca="1" si="9"/>
        <v>0</v>
      </c>
      <c r="BF24" s="9" t="str">
        <f t="shared" ca="1" si="10"/>
        <v/>
      </c>
      <c r="BG24" s="6">
        <f t="shared" ca="1" si="11"/>
        <v>0</v>
      </c>
      <c r="BH24" s="6">
        <f t="shared" ca="1" si="12"/>
        <v>0</v>
      </c>
      <c r="BI24" s="9" t="str">
        <f t="shared" ca="1" si="13"/>
        <v/>
      </c>
      <c r="BJ24" s="6">
        <f t="shared" ca="1" si="14"/>
        <v>1</v>
      </c>
      <c r="BK24" s="6">
        <f t="shared" ca="1" si="15"/>
        <v>1</v>
      </c>
      <c r="BL24" s="6">
        <f t="shared" ca="1" si="16"/>
        <v>0</v>
      </c>
      <c r="BM24" s="6">
        <f t="shared" ca="1" si="17"/>
        <v>0</v>
      </c>
      <c r="BN24" s="6">
        <f t="shared" ca="1" si="18"/>
        <v>1</v>
      </c>
      <c r="BP24" s="6">
        <f t="shared" ca="1" si="19"/>
        <v>0</v>
      </c>
      <c r="BQ24" s="6" t="b">
        <f ca="1">IFERROR(__xludf.DUMMYFUNCTION("IF(AND(ISERROR(FILTER('Items by Team'!D$2:D3410,'Items by Team'!C$2:C3410 = D24,'Items by Team'!B$2:B3410 = B24)),NOT(A24=""Practice"")),TRUE,FALSE)"),FALSE)</f>
        <v>0</v>
      </c>
      <c r="BR24" s="6" t="e">
        <f t="shared" ca="1" si="20"/>
        <v>#VALUE!</v>
      </c>
    </row>
    <row r="25" spans="1:70">
      <c r="A25" s="6" t="str">
        <f ca="1">IFERROR(__xludf.DUMMYFUNCTION("""COMPUTED_VALUE"""),"Practice")</f>
        <v>Practice</v>
      </c>
      <c r="B25" s="6">
        <f ca="1">IFERROR(__xludf.DUMMYFUNCTION("""COMPUTED_VALUE"""),5)</f>
        <v>5</v>
      </c>
      <c r="C25" s="6" t="str">
        <f ca="1">IFERROR(__xludf.DUMMYFUNCTION("""COMPUTED_VALUE"""),"B2")</f>
        <v>B2</v>
      </c>
      <c r="D25" s="6">
        <f ca="1">IFERROR(__xludf.DUMMYFUNCTION("""COMPUTED_VALUE"""),2498)</f>
        <v>2498</v>
      </c>
      <c r="E25" s="6" t="b">
        <f ca="1">IFERROR(__xludf.DUMMYFUNCTION("""COMPUTED_VALUE"""),FALSE)</f>
        <v>0</v>
      </c>
      <c r="F25" s="6" t="str">
        <f ca="1">IFERROR(__xludf.DUMMYFUNCTION("""COMPUTED_VALUE"""),"Middle")</f>
        <v>Middle</v>
      </c>
      <c r="G25" s="6" t="b">
        <f ca="1">IFERROR(__xludf.DUMMYFUNCTION("""COMPUTED_VALUE"""),TRUE)</f>
        <v>1</v>
      </c>
      <c r="H25" s="6" t="b">
        <f ca="1">IFERROR(__xludf.DUMMYFUNCTION("""COMPUTED_VALUE"""),FALSE)</f>
        <v>0</v>
      </c>
      <c r="I25" s="6">
        <f ca="1">IFERROR(__xludf.DUMMYFUNCTION("""COMPUTED_VALUE"""),0)</f>
        <v>0</v>
      </c>
      <c r="J25" s="6">
        <f ca="1">IFERROR(__xludf.DUMMYFUNCTION("""COMPUTED_VALUE"""),0)</f>
        <v>0</v>
      </c>
      <c r="K25" s="6">
        <f ca="1">IFERROR(__xludf.DUMMYFUNCTION("""COMPUTED_VALUE"""),0)</f>
        <v>0</v>
      </c>
      <c r="L25" s="6">
        <f ca="1">IFERROR(__xludf.DUMMYFUNCTION("""COMPUTED_VALUE"""),0)</f>
        <v>0</v>
      </c>
      <c r="M25" s="6">
        <f ca="1">IFERROR(__xludf.DUMMYFUNCTION("""COMPUTED_VALUE"""),0)</f>
        <v>0</v>
      </c>
      <c r="N25" s="6">
        <f ca="1">IFERROR(__xludf.DUMMYFUNCTION("""COMPUTED_VALUE"""),0)</f>
        <v>0</v>
      </c>
      <c r="O25" s="6">
        <f ca="1">IFERROR(__xludf.DUMMYFUNCTION("""COMPUTED_VALUE"""),0)</f>
        <v>0</v>
      </c>
      <c r="P25" s="6">
        <f ca="1">IFERROR(__xludf.DUMMYFUNCTION("""COMPUTED_VALUE"""),0)</f>
        <v>0</v>
      </c>
      <c r="R25" s="6">
        <f ca="1">IFERROR(__xludf.DUMMYFUNCTION("""COMPUTED_VALUE"""),0)</f>
        <v>0</v>
      </c>
      <c r="S25" s="6">
        <f ca="1">IFERROR(__xludf.DUMMYFUNCTION("""COMPUTED_VALUE"""),0)</f>
        <v>0</v>
      </c>
      <c r="T25" s="6">
        <f ca="1">IFERROR(__xludf.DUMMYFUNCTION("""COMPUTED_VALUE"""),0)</f>
        <v>0</v>
      </c>
      <c r="U25" s="6">
        <f ca="1">IFERROR(__xludf.DUMMYFUNCTION("""COMPUTED_VALUE"""),0)</f>
        <v>0</v>
      </c>
      <c r="V25" s="6">
        <f ca="1">IFERROR(__xludf.DUMMYFUNCTION("""COMPUTED_VALUE"""),0)</f>
        <v>0</v>
      </c>
      <c r="W25" s="6">
        <f ca="1">IFERROR(__xludf.DUMMYFUNCTION("""COMPUTED_VALUE"""),0)</f>
        <v>0</v>
      </c>
      <c r="X25" s="6">
        <f ca="1">IFERROR(__xludf.DUMMYFUNCTION("""COMPUTED_VALUE"""),0)</f>
        <v>0</v>
      </c>
      <c r="Y25" s="6">
        <f ca="1">IFERROR(__xludf.DUMMYFUNCTION("""COMPUTED_VALUE"""),0)</f>
        <v>0</v>
      </c>
      <c r="Z25" s="6">
        <f ca="1">IFERROR(__xludf.DUMMYFUNCTION("""COMPUTED_VALUE"""),0)</f>
        <v>0</v>
      </c>
      <c r="AA25" s="6">
        <f ca="1">IFERROR(__xludf.DUMMYFUNCTION("""COMPUTED_VALUE"""),0)</f>
        <v>0</v>
      </c>
      <c r="AB25" s="6" t="b">
        <f ca="1">IFERROR(__xludf.DUMMYFUNCTION("""COMPUTED_VALUE"""),TRUE)</f>
        <v>1</v>
      </c>
      <c r="AD25" s="6" t="b">
        <f ca="1">IFERROR(__xludf.DUMMYFUNCTION("""COMPUTED_VALUE"""),FALSE)</f>
        <v>0</v>
      </c>
      <c r="AE25" s="6">
        <f ca="1">IFERROR(__xludf.DUMMYFUNCTION("""COMPUTED_VALUE"""),0)</f>
        <v>0</v>
      </c>
      <c r="AF25" s="6">
        <f ca="1">IFERROR(__xludf.DUMMYFUNCTION("""COMPUTED_VALUE"""),0)</f>
        <v>0</v>
      </c>
      <c r="AG25" s="6">
        <f ca="1">IFERROR(__xludf.DUMMYFUNCTION("""COMPUTED_VALUE"""),0)</f>
        <v>0</v>
      </c>
      <c r="AH25" s="6">
        <f ca="1">IFERROR(__xludf.DUMMYFUNCTION("""COMPUTED_VALUE"""),0)</f>
        <v>0</v>
      </c>
      <c r="AI25" s="6">
        <f ca="1">IFERROR(__xludf.DUMMYFUNCTION("""COMPUTED_VALUE"""),3)</f>
        <v>3</v>
      </c>
      <c r="AK25" s="6" t="str">
        <f ca="1">IFERROR(__xludf.DUMMYFUNCTION("""COMPUTED_VALUE"""),"P")</f>
        <v>P</v>
      </c>
      <c r="AL25" s="6">
        <f ca="1">IFERROR(__xludf.DUMMYFUNCTION("""COMPUTED_VALUE"""),0)</f>
        <v>0</v>
      </c>
      <c r="AM25" s="6" t="b">
        <f ca="1">IFERROR(__xludf.DUMMYFUNCTION("""COMPUTED_VALUE"""),FALSE)</f>
        <v>0</v>
      </c>
      <c r="AN25" s="6" t="str">
        <f ca="1">IFERROR(__xludf.DUMMYFUNCTION("""COMPUTED_VALUE"""),"P")</f>
        <v>P</v>
      </c>
      <c r="AO25" s="6"/>
      <c r="AP25" s="6" t="str">
        <f ca="1">IFERROR(__xludf.DUMMYFUNCTION("""COMPUTED_VALUE"""),"2")</f>
        <v>2</v>
      </c>
      <c r="AQ25" s="6" t="b">
        <f ca="1">IFERROR(__xludf.DUMMYFUNCTION("""COMPUTED_VALUE"""),FALSE)</f>
        <v>0</v>
      </c>
      <c r="AR25" s="6" t="b">
        <f ca="1">IFERROR(__xludf.DUMMYFUNCTION("""COMPUTED_VALUE"""),FALSE)</f>
        <v>0</v>
      </c>
      <c r="AS25" s="15"/>
      <c r="AT25" s="6" t="str">
        <f ca="1">IFERROR(__xludf.DUMMYFUNCTION("SWITCH(IF(A25=""Practice"",AN25,FILTER('Items by Team'!E$2:E3410,'Items by Team'!C$2:C3410=D25,B25='Items by Team'!B$2:B3410)),""None"",""No"",""Parked"",""P"",""ShallowCage"",""Sc"",""DeepCage"",""Dc"",""No"",""No"",""P"",""P"",""Sc"",""Sc"",""Dc"",""Dc"&amp;""")"),"P")</f>
        <v>P</v>
      </c>
      <c r="AU25" s="6" t="str">
        <f ca="1">IFERROR(__xludf.DUMMYFUNCTION("SWITCH(IF(A25 = ""Practice"", H25, FILTER('Items by Team'!D$2:D3410,'Items by Team'!C$2:C3410 = D25,'Items by Team'!B$2:B3410 = B25)), ""Yes"", ""TRUE"", ""No"", ""FALSE"",TRUE, ""TRUE"", FALSE, ""FALSE"")"),"FALSE")</f>
        <v>FALSE</v>
      </c>
      <c r="AV25" s="6">
        <f t="shared" ca="1" si="0"/>
        <v>2</v>
      </c>
      <c r="AW25" s="6">
        <f t="shared" ca="1" si="1"/>
        <v>0</v>
      </c>
      <c r="AX25" s="6">
        <f t="shared" ca="1" si="2"/>
        <v>0</v>
      </c>
      <c r="AY25" s="6">
        <f t="shared" ca="1" si="3"/>
        <v>0</v>
      </c>
      <c r="AZ25" s="9" t="str">
        <f t="shared" ca="1" si="4"/>
        <v/>
      </c>
      <c r="BA25" s="6">
        <f t="shared" ca="1" si="5"/>
        <v>0</v>
      </c>
      <c r="BB25" s="6">
        <f t="shared" ca="1" si="6"/>
        <v>0</v>
      </c>
      <c r="BC25" s="9" t="str">
        <f t="shared" ca="1" si="7"/>
        <v/>
      </c>
      <c r="BD25" s="6">
        <f t="shared" ca="1" si="8"/>
        <v>0</v>
      </c>
      <c r="BE25" s="6">
        <f t="shared" ca="1" si="9"/>
        <v>0</v>
      </c>
      <c r="BF25" s="9" t="str">
        <f t="shared" ca="1" si="10"/>
        <v/>
      </c>
      <c r="BG25" s="6">
        <f t="shared" ca="1" si="11"/>
        <v>0</v>
      </c>
      <c r="BH25" s="6">
        <f t="shared" ca="1" si="12"/>
        <v>3</v>
      </c>
      <c r="BI25" s="9">
        <f t="shared" ca="1" si="13"/>
        <v>0</v>
      </c>
      <c r="BJ25" s="6">
        <f t="shared" ca="1" si="14"/>
        <v>0</v>
      </c>
      <c r="BK25" s="6">
        <f t="shared" ca="1" si="15"/>
        <v>0</v>
      </c>
      <c r="BL25" s="6">
        <f t="shared" ca="1" si="16"/>
        <v>0</v>
      </c>
      <c r="BM25" s="6">
        <f t="shared" ca="1" si="17"/>
        <v>0</v>
      </c>
      <c r="BN25" s="6">
        <f t="shared" ca="1" si="18"/>
        <v>1</v>
      </c>
      <c r="BP25" s="6">
        <f t="shared" ca="1" si="19"/>
        <v>0</v>
      </c>
      <c r="BQ25" s="6" t="b">
        <f ca="1">IFERROR(__xludf.DUMMYFUNCTION("IF(AND(ISERROR(FILTER('Items by Team'!D$2:D3410,'Items by Team'!C$2:C3410 = D25,'Items by Team'!B$2:B3410 = B25)),NOT(A25=""Practice"")),TRUE,FALSE)"),FALSE)</f>
        <v>0</v>
      </c>
      <c r="BR25" s="6">
        <f t="shared" ca="1" si="20"/>
        <v>2</v>
      </c>
    </row>
    <row r="26" spans="1:70">
      <c r="A26" s="6" t="str">
        <f ca="1">IFERROR(__xludf.DUMMYFUNCTION("""COMPUTED_VALUE"""),"Practice")</f>
        <v>Practice</v>
      </c>
      <c r="B26" s="6">
        <f ca="1">IFERROR(__xludf.DUMMYFUNCTION("""COMPUTED_VALUE"""),5)</f>
        <v>5</v>
      </c>
      <c r="C26" s="6" t="str">
        <f ca="1">IFERROR(__xludf.DUMMYFUNCTION("""COMPUTED_VALUE"""),"R2")</f>
        <v>R2</v>
      </c>
      <c r="D26" s="6">
        <f ca="1">IFERROR(__xludf.DUMMYFUNCTION("""COMPUTED_VALUE"""),3297)</f>
        <v>3297</v>
      </c>
      <c r="E26" s="6" t="b">
        <f ca="1">IFERROR(__xludf.DUMMYFUNCTION("""COMPUTED_VALUE"""),FALSE)</f>
        <v>0</v>
      </c>
      <c r="F26" s="6" t="str">
        <f ca="1">IFERROR(__xludf.DUMMYFUNCTION("""COMPUTED_VALUE"""),"Blue Barge")</f>
        <v>Blue Barge</v>
      </c>
      <c r="G26" s="6" t="b">
        <f ca="1">IFERROR(__xludf.DUMMYFUNCTION("""COMPUTED_VALUE"""),TRUE)</f>
        <v>1</v>
      </c>
      <c r="H26" s="6" t="b">
        <f ca="1">IFERROR(__xludf.DUMMYFUNCTION("""COMPUTED_VALUE"""),TRUE)</f>
        <v>1</v>
      </c>
      <c r="I26" s="6">
        <f ca="1">IFERROR(__xludf.DUMMYFUNCTION("""COMPUTED_VALUE"""),0)</f>
        <v>0</v>
      </c>
      <c r="J26" s="6">
        <f ca="1">IFERROR(__xludf.DUMMYFUNCTION("""COMPUTED_VALUE"""),0)</f>
        <v>0</v>
      </c>
      <c r="K26" s="6">
        <f ca="1">IFERROR(__xludf.DUMMYFUNCTION("""COMPUTED_VALUE"""),1)</f>
        <v>1</v>
      </c>
      <c r="L26" s="6">
        <f ca="1">IFERROR(__xludf.DUMMYFUNCTION("""COMPUTED_VALUE"""),1)</f>
        <v>1</v>
      </c>
      <c r="M26" s="6">
        <f ca="1">IFERROR(__xludf.DUMMYFUNCTION("""COMPUTED_VALUE"""),0)</f>
        <v>0</v>
      </c>
      <c r="N26" s="6">
        <f ca="1">IFERROR(__xludf.DUMMYFUNCTION("""COMPUTED_VALUE"""),0)</f>
        <v>0</v>
      </c>
      <c r="O26" s="6">
        <f ca="1">IFERROR(__xludf.DUMMYFUNCTION("""COMPUTED_VALUE"""),0)</f>
        <v>0</v>
      </c>
      <c r="P26" s="6">
        <f ca="1">IFERROR(__xludf.DUMMYFUNCTION("""COMPUTED_VALUE"""),1)</f>
        <v>1</v>
      </c>
      <c r="R26" s="6">
        <f ca="1">IFERROR(__xludf.DUMMYFUNCTION("""COMPUTED_VALUE"""),0)</f>
        <v>0</v>
      </c>
      <c r="S26" s="6">
        <f ca="1">IFERROR(__xludf.DUMMYFUNCTION("""COMPUTED_VALUE"""),0)</f>
        <v>0</v>
      </c>
      <c r="T26" s="6">
        <f ca="1">IFERROR(__xludf.DUMMYFUNCTION("""COMPUTED_VALUE"""),0)</f>
        <v>0</v>
      </c>
      <c r="U26" s="6">
        <f ca="1">IFERROR(__xludf.DUMMYFUNCTION("""COMPUTED_VALUE"""),0)</f>
        <v>0</v>
      </c>
      <c r="V26" s="6">
        <f ca="1">IFERROR(__xludf.DUMMYFUNCTION("""COMPUTED_VALUE"""),0)</f>
        <v>0</v>
      </c>
      <c r="W26" s="6">
        <f ca="1">IFERROR(__xludf.DUMMYFUNCTION("""COMPUTED_VALUE"""),0)</f>
        <v>0</v>
      </c>
      <c r="X26" s="6">
        <f ca="1">IFERROR(__xludf.DUMMYFUNCTION("""COMPUTED_VALUE"""),1)</f>
        <v>1</v>
      </c>
      <c r="Y26" s="6">
        <f ca="1">IFERROR(__xludf.DUMMYFUNCTION("""COMPUTED_VALUE"""),0)</f>
        <v>0</v>
      </c>
      <c r="Z26" s="6">
        <f ca="1">IFERROR(__xludf.DUMMYFUNCTION("""COMPUTED_VALUE"""),0)</f>
        <v>0</v>
      </c>
      <c r="AA26" s="6">
        <f ca="1">IFERROR(__xludf.DUMMYFUNCTION("""COMPUTED_VALUE"""),0)</f>
        <v>0</v>
      </c>
      <c r="AB26" s="6" t="b">
        <f ca="1">IFERROR(__xludf.DUMMYFUNCTION("""COMPUTED_VALUE"""),FALSE)</f>
        <v>0</v>
      </c>
      <c r="AD26" s="6" t="b">
        <f ca="1">IFERROR(__xludf.DUMMYFUNCTION("""COMPUTED_VALUE"""),TRUE)</f>
        <v>1</v>
      </c>
      <c r="AE26" s="6">
        <f ca="1">IFERROR(__xludf.DUMMYFUNCTION("""COMPUTED_VALUE"""),0)</f>
        <v>0</v>
      </c>
      <c r="AF26" s="6">
        <f ca="1">IFERROR(__xludf.DUMMYFUNCTION("""COMPUTED_VALUE"""),0)</f>
        <v>0</v>
      </c>
      <c r="AG26" s="6">
        <f ca="1">IFERROR(__xludf.DUMMYFUNCTION("""COMPUTED_VALUE"""),1)</f>
        <v>1</v>
      </c>
      <c r="AH26" s="6">
        <f ca="1">IFERROR(__xludf.DUMMYFUNCTION("""COMPUTED_VALUE"""),2)</f>
        <v>2</v>
      </c>
      <c r="AI26" s="6">
        <f ca="1">IFERROR(__xludf.DUMMYFUNCTION("""COMPUTED_VALUE"""),0)</f>
        <v>0</v>
      </c>
      <c r="AK26" s="6" t="str">
        <f ca="1">IFERROR(__xludf.DUMMYFUNCTION("""COMPUTED_VALUE"""),"No")</f>
        <v>No</v>
      </c>
      <c r="AL26" s="6">
        <f ca="1">IFERROR(__xludf.DUMMYFUNCTION("""COMPUTED_VALUE"""),0)</f>
        <v>0</v>
      </c>
      <c r="AM26" s="6" t="b">
        <f ca="1">IFERROR(__xludf.DUMMYFUNCTION("""COMPUTED_VALUE"""),FALSE)</f>
        <v>0</v>
      </c>
      <c r="AN26" s="6" t="str">
        <f ca="1">IFERROR(__xludf.DUMMYFUNCTION("""COMPUTED_VALUE"""),"No")</f>
        <v>No</v>
      </c>
      <c r="AO26" s="6"/>
      <c r="AP26" s="6" t="str">
        <f ca="1">IFERROR(__xludf.DUMMYFUNCTION("""COMPUTED_VALUE"""),"x")</f>
        <v>x</v>
      </c>
      <c r="AQ26" s="6" t="b">
        <f ca="1">IFERROR(__xludf.DUMMYFUNCTION("""COMPUTED_VALUE"""),FALSE)</f>
        <v>0</v>
      </c>
      <c r="AR26" s="6" t="b">
        <f ca="1">IFERROR(__xludf.DUMMYFUNCTION("""COMPUTED_VALUE"""),FALSE)</f>
        <v>0</v>
      </c>
      <c r="AS26" s="15"/>
      <c r="AT26" s="6" t="str">
        <f ca="1">IFERROR(__xludf.DUMMYFUNCTION("SWITCH(IF(A26=""Practice"",AN26,FILTER('Items by Team'!E$2:E3410,'Items by Team'!C$2:C3410=D26,B26='Items by Team'!B$2:B3410)),""None"",""No"",""Parked"",""P"",""ShallowCage"",""Sc"",""DeepCage"",""Dc"",""No"",""No"",""P"",""P"",""Sc"",""Sc"",""Dc"",""Dc"&amp;""")"),"No")</f>
        <v>No</v>
      </c>
      <c r="AU26" s="6" t="str">
        <f ca="1">IFERROR(__xludf.DUMMYFUNCTION("SWITCH(IF(A26 = ""Practice"", H26, FILTER('Items by Team'!D$2:D3410,'Items by Team'!C$2:C3410 = D26,'Items by Team'!B$2:B3410 = B26)), ""Yes"", ""TRUE"", ""No"", ""FALSE"",TRUE, ""TRUE"", FALSE, ""FALSE"")"),"TRUE")</f>
        <v>TRUE</v>
      </c>
      <c r="AV26" s="6" t="str">
        <f t="shared" ca="1" si="0"/>
        <v/>
      </c>
      <c r="AW26" s="6">
        <f t="shared" ca="1" si="1"/>
        <v>1</v>
      </c>
      <c r="AX26" s="6">
        <f t="shared" ca="1" si="2"/>
        <v>1</v>
      </c>
      <c r="AY26" s="6">
        <f t="shared" ca="1" si="3"/>
        <v>2</v>
      </c>
      <c r="AZ26" s="9">
        <f t="shared" ca="1" si="4"/>
        <v>0.5</v>
      </c>
      <c r="BA26" s="6">
        <f t="shared" ca="1" si="5"/>
        <v>0</v>
      </c>
      <c r="BB26" s="6">
        <f t="shared" ca="1" si="6"/>
        <v>0</v>
      </c>
      <c r="BC26" s="9" t="str">
        <f t="shared" ca="1" si="7"/>
        <v/>
      </c>
      <c r="BD26" s="6">
        <f t="shared" ca="1" si="8"/>
        <v>1</v>
      </c>
      <c r="BE26" s="6">
        <f t="shared" ca="1" si="9"/>
        <v>1</v>
      </c>
      <c r="BF26" s="9">
        <f t="shared" ca="1" si="10"/>
        <v>1</v>
      </c>
      <c r="BG26" s="6">
        <f t="shared" ca="1" si="11"/>
        <v>3</v>
      </c>
      <c r="BH26" s="6">
        <f t="shared" ca="1" si="12"/>
        <v>3</v>
      </c>
      <c r="BI26" s="9">
        <f t="shared" ca="1" si="13"/>
        <v>1</v>
      </c>
      <c r="BJ26" s="6">
        <f t="shared" ca="1" si="14"/>
        <v>0</v>
      </c>
      <c r="BK26" s="6">
        <f t="shared" ca="1" si="15"/>
        <v>0</v>
      </c>
      <c r="BL26" s="6">
        <f t="shared" ca="1" si="16"/>
        <v>0</v>
      </c>
      <c r="BM26" s="6">
        <f t="shared" ca="1" si="17"/>
        <v>1</v>
      </c>
      <c r="BN26" s="6">
        <f t="shared" ca="1" si="18"/>
        <v>0</v>
      </c>
      <c r="BP26" s="6">
        <f t="shared" ca="1" si="19"/>
        <v>1</v>
      </c>
      <c r="BQ26" s="6" t="b">
        <f ca="1">IFERROR(__xludf.DUMMYFUNCTION("IF(AND(ISERROR(FILTER('Items by Team'!D$2:D3410,'Items by Team'!C$2:C3410 = D26,'Items by Team'!B$2:B3410 = B26)),NOT(A26=""Practice"")),TRUE,FALSE)"),FALSE)</f>
        <v>0</v>
      </c>
      <c r="BR26" s="6" t="e">
        <f t="shared" ca="1" si="20"/>
        <v>#VALUE!</v>
      </c>
    </row>
    <row r="27" spans="1:70">
      <c r="A27" s="6" t="str">
        <f ca="1">IFERROR(__xludf.DUMMYFUNCTION("""COMPUTED_VALUE"""),"Practice")</f>
        <v>Practice</v>
      </c>
      <c r="B27" s="6">
        <f ca="1">IFERROR(__xludf.DUMMYFUNCTION("""COMPUTED_VALUE"""),5)</f>
        <v>5</v>
      </c>
      <c r="C27" s="6" t="str">
        <f ca="1">IFERROR(__xludf.DUMMYFUNCTION("""COMPUTED_VALUE"""),"B3")</f>
        <v>B3</v>
      </c>
      <c r="D27" s="6">
        <f ca="1">IFERROR(__xludf.DUMMYFUNCTION("""COMPUTED_VALUE"""),2549)</f>
        <v>2549</v>
      </c>
      <c r="E27" s="6" t="b">
        <f ca="1">IFERROR(__xludf.DUMMYFUNCTION("""COMPUTED_VALUE"""),FALSE)</f>
        <v>0</v>
      </c>
      <c r="F27" s="6" t="str">
        <f ca="1">IFERROR(__xludf.DUMMYFUNCTION("""COMPUTED_VALUE"""),"Blue Barge")</f>
        <v>Blue Barge</v>
      </c>
      <c r="G27" s="6" t="b">
        <f ca="1">IFERROR(__xludf.DUMMYFUNCTION("""COMPUTED_VALUE"""),TRUE)</f>
        <v>1</v>
      </c>
      <c r="H27" s="6" t="b">
        <f ca="1">IFERROR(__xludf.DUMMYFUNCTION("""COMPUTED_VALUE"""),FALSE)</f>
        <v>0</v>
      </c>
      <c r="I27" s="6">
        <f ca="1">IFERROR(__xludf.DUMMYFUNCTION("""COMPUTED_VALUE"""),0)</f>
        <v>0</v>
      </c>
      <c r="J27" s="6">
        <f ca="1">IFERROR(__xludf.DUMMYFUNCTION("""COMPUTED_VALUE"""),0)</f>
        <v>0</v>
      </c>
      <c r="K27" s="6">
        <f ca="1">IFERROR(__xludf.DUMMYFUNCTION("""COMPUTED_VALUE"""),0)</f>
        <v>0</v>
      </c>
      <c r="L27" s="6">
        <f ca="1">IFERROR(__xludf.DUMMYFUNCTION("""COMPUTED_VALUE"""),0)</f>
        <v>0</v>
      </c>
      <c r="M27" s="6">
        <f ca="1">IFERROR(__xludf.DUMMYFUNCTION("""COMPUTED_VALUE"""),0)</f>
        <v>0</v>
      </c>
      <c r="N27" s="6">
        <f ca="1">IFERROR(__xludf.DUMMYFUNCTION("""COMPUTED_VALUE"""),0)</f>
        <v>0</v>
      </c>
      <c r="O27" s="6">
        <f ca="1">IFERROR(__xludf.DUMMYFUNCTION("""COMPUTED_VALUE"""),0)</f>
        <v>0</v>
      </c>
      <c r="P27" s="6">
        <f ca="1">IFERROR(__xludf.DUMMYFUNCTION("""COMPUTED_VALUE"""),0)</f>
        <v>0</v>
      </c>
      <c r="R27" s="6">
        <f ca="1">IFERROR(__xludf.DUMMYFUNCTION("""COMPUTED_VALUE"""),0)</f>
        <v>0</v>
      </c>
      <c r="S27" s="6">
        <f ca="1">IFERROR(__xludf.DUMMYFUNCTION("""COMPUTED_VALUE"""),0)</f>
        <v>0</v>
      </c>
      <c r="T27" s="6">
        <f ca="1">IFERROR(__xludf.DUMMYFUNCTION("""COMPUTED_VALUE"""),0)</f>
        <v>0</v>
      </c>
      <c r="U27" s="6">
        <f ca="1">IFERROR(__xludf.DUMMYFUNCTION("""COMPUTED_VALUE"""),0)</f>
        <v>0</v>
      </c>
      <c r="V27" s="6">
        <f ca="1">IFERROR(__xludf.DUMMYFUNCTION("""COMPUTED_VALUE"""),0)</f>
        <v>0</v>
      </c>
      <c r="W27" s="6">
        <f ca="1">IFERROR(__xludf.DUMMYFUNCTION("""COMPUTED_VALUE"""),0)</f>
        <v>0</v>
      </c>
      <c r="X27" s="6">
        <f ca="1">IFERROR(__xludf.DUMMYFUNCTION("""COMPUTED_VALUE"""),0)</f>
        <v>0</v>
      </c>
      <c r="Y27" s="6">
        <f ca="1">IFERROR(__xludf.DUMMYFUNCTION("""COMPUTED_VALUE"""),0)</f>
        <v>0</v>
      </c>
      <c r="Z27" s="6">
        <f ca="1">IFERROR(__xludf.DUMMYFUNCTION("""COMPUTED_VALUE"""),0)</f>
        <v>0</v>
      </c>
      <c r="AA27" s="6">
        <f ca="1">IFERROR(__xludf.DUMMYFUNCTION("""COMPUTED_VALUE"""),0)</f>
        <v>0</v>
      </c>
      <c r="AB27" s="6" t="b">
        <f ca="1">IFERROR(__xludf.DUMMYFUNCTION("""COMPUTED_VALUE"""),FALSE)</f>
        <v>0</v>
      </c>
      <c r="AD27" s="6" t="b">
        <f ca="1">IFERROR(__xludf.DUMMYFUNCTION("""COMPUTED_VALUE"""),FALSE)</f>
        <v>0</v>
      </c>
      <c r="AE27" s="6">
        <f ca="1">IFERROR(__xludf.DUMMYFUNCTION("""COMPUTED_VALUE"""),0)</f>
        <v>0</v>
      </c>
      <c r="AF27" s="6">
        <f ca="1">IFERROR(__xludf.DUMMYFUNCTION("""COMPUTED_VALUE"""),0)</f>
        <v>0</v>
      </c>
      <c r="AG27" s="6">
        <f ca="1">IFERROR(__xludf.DUMMYFUNCTION("""COMPUTED_VALUE"""),0)</f>
        <v>0</v>
      </c>
      <c r="AH27" s="6">
        <f ca="1">IFERROR(__xludf.DUMMYFUNCTION("""COMPUTED_VALUE"""),0)</f>
        <v>0</v>
      </c>
      <c r="AI27" s="6">
        <f ca="1">IFERROR(__xludf.DUMMYFUNCTION("""COMPUTED_VALUE"""),0)</f>
        <v>0</v>
      </c>
      <c r="AK27" s="6" t="str">
        <f ca="1">IFERROR(__xludf.DUMMYFUNCTION("""COMPUTED_VALUE"""),"No")</f>
        <v>No</v>
      </c>
      <c r="AL27" s="6">
        <f ca="1">IFERROR(__xludf.DUMMYFUNCTION("""COMPUTED_VALUE"""),0)</f>
        <v>0</v>
      </c>
      <c r="AM27" s="6" t="b">
        <f ca="1">IFERROR(__xludf.DUMMYFUNCTION("""COMPUTED_VALUE"""),FALSE)</f>
        <v>0</v>
      </c>
      <c r="AN27" s="6" t="str">
        <f ca="1">IFERROR(__xludf.DUMMYFUNCTION("""COMPUTED_VALUE"""),"P")</f>
        <v>P</v>
      </c>
      <c r="AO27" s="6"/>
      <c r="AP27" s="6" t="str">
        <f ca="1">IFERROR(__xludf.DUMMYFUNCTION("""COMPUTED_VALUE"""),"x")</f>
        <v>x</v>
      </c>
      <c r="AQ27" s="6" t="b">
        <f ca="1">IFERROR(__xludf.DUMMYFUNCTION("""COMPUTED_VALUE"""),FALSE)</f>
        <v>0</v>
      </c>
      <c r="AR27" s="6" t="b">
        <f ca="1">IFERROR(__xludf.DUMMYFUNCTION("""COMPUTED_VALUE"""),TRUE)</f>
        <v>1</v>
      </c>
      <c r="AS27" s="15"/>
      <c r="AT27" s="6" t="str">
        <f ca="1">IFERROR(__xludf.DUMMYFUNCTION("SWITCH(IF(A27=""Practice"",AN27,FILTER('Items by Team'!E$2:E3410,'Items by Team'!C$2:C3410=D27,B27='Items by Team'!B$2:B3410)),""None"",""No"",""Parked"",""P"",""ShallowCage"",""Sc"",""DeepCage"",""Dc"",""No"",""No"",""P"",""P"",""Sc"",""Sc"",""Dc"",""Dc"&amp;""")"),"P")</f>
        <v>P</v>
      </c>
      <c r="AU27" s="6" t="str">
        <f ca="1">IFERROR(__xludf.DUMMYFUNCTION("SWITCH(IF(A27 = ""Practice"", H27, FILTER('Items by Team'!D$2:D3410,'Items by Team'!C$2:C3410 = D27,'Items by Team'!B$2:B3410 = B27)), ""Yes"", ""TRUE"", ""No"", ""FALSE"",TRUE, ""TRUE"", FALSE, ""FALSE"")"),"FALSE")</f>
        <v>FALSE</v>
      </c>
      <c r="AV27" s="6" t="str">
        <f t="shared" ca="1" si="0"/>
        <v/>
      </c>
      <c r="AW27" s="6">
        <f t="shared" ca="1" si="1"/>
        <v>0</v>
      </c>
      <c r="AX27" s="6">
        <f t="shared" ca="1" si="2"/>
        <v>0</v>
      </c>
      <c r="AY27" s="6">
        <f t="shared" ca="1" si="3"/>
        <v>0</v>
      </c>
      <c r="AZ27" s="9" t="str">
        <f t="shared" ca="1" si="4"/>
        <v/>
      </c>
      <c r="BA27" s="6">
        <f t="shared" ca="1" si="5"/>
        <v>0</v>
      </c>
      <c r="BB27" s="6">
        <f t="shared" ca="1" si="6"/>
        <v>0</v>
      </c>
      <c r="BC27" s="9" t="str">
        <f t="shared" ca="1" si="7"/>
        <v/>
      </c>
      <c r="BD27" s="6">
        <f t="shared" ca="1" si="8"/>
        <v>0</v>
      </c>
      <c r="BE27" s="6">
        <f t="shared" ca="1" si="9"/>
        <v>0</v>
      </c>
      <c r="BF27" s="9" t="str">
        <f t="shared" ca="1" si="10"/>
        <v/>
      </c>
      <c r="BG27" s="6">
        <f t="shared" ca="1" si="11"/>
        <v>0</v>
      </c>
      <c r="BH27" s="6">
        <f t="shared" ca="1" si="12"/>
        <v>0</v>
      </c>
      <c r="BI27" s="9" t="str">
        <f t="shared" ca="1" si="13"/>
        <v/>
      </c>
      <c r="BJ27" s="6">
        <f t="shared" ca="1" si="14"/>
        <v>0</v>
      </c>
      <c r="BK27" s="6">
        <f t="shared" ca="1" si="15"/>
        <v>0</v>
      </c>
      <c r="BL27" s="6">
        <f t="shared" ca="1" si="16"/>
        <v>0</v>
      </c>
      <c r="BM27" s="6">
        <f t="shared" ca="1" si="17"/>
        <v>0</v>
      </c>
      <c r="BN27" s="6">
        <f t="shared" ca="1" si="18"/>
        <v>0</v>
      </c>
      <c r="BP27" s="6">
        <f t="shared" ca="1" si="19"/>
        <v>0</v>
      </c>
      <c r="BQ27" s="6" t="b">
        <f ca="1">IFERROR(__xludf.DUMMYFUNCTION("IF(AND(ISERROR(FILTER('Items by Team'!D$2:D3410,'Items by Team'!C$2:C3410 = D27,'Items by Team'!B$2:B3410 = B27)),NOT(A27=""Practice"")),TRUE,FALSE)"),FALSE)</f>
        <v>0</v>
      </c>
      <c r="BR27" s="6" t="e">
        <f t="shared" ca="1" si="20"/>
        <v>#VALUE!</v>
      </c>
    </row>
    <row r="28" spans="1:70">
      <c r="A28" s="6" t="str">
        <f ca="1">IFERROR(__xludf.DUMMYFUNCTION("""COMPUTED_VALUE"""),"Practice")</f>
        <v>Practice</v>
      </c>
      <c r="B28" s="6">
        <f ca="1">IFERROR(__xludf.DUMMYFUNCTION("""COMPUTED_VALUE"""),5)</f>
        <v>5</v>
      </c>
      <c r="C28" s="6" t="str">
        <f ca="1">IFERROR(__xludf.DUMMYFUNCTION("""COMPUTED_VALUE"""),"R1")</f>
        <v>R1</v>
      </c>
      <c r="D28" s="6">
        <f ca="1">IFERROR(__xludf.DUMMYFUNCTION("""COMPUTED_VALUE"""),8570)</f>
        <v>8570</v>
      </c>
      <c r="E28" s="6" t="b">
        <f ca="1">IFERROR(__xludf.DUMMYFUNCTION("""COMPUTED_VALUE"""),FALSE)</f>
        <v>0</v>
      </c>
      <c r="F28" s="6" t="str">
        <f ca="1">IFERROR(__xludf.DUMMYFUNCTION("""COMPUTED_VALUE"""),"Red Barge")</f>
        <v>Red Barge</v>
      </c>
      <c r="G28" s="6" t="b">
        <f ca="1">IFERROR(__xludf.DUMMYFUNCTION("""COMPUTED_VALUE"""),TRUE)</f>
        <v>1</v>
      </c>
      <c r="H28" s="6" t="b">
        <f ca="1">IFERROR(__xludf.DUMMYFUNCTION("""COMPUTED_VALUE"""),TRUE)</f>
        <v>1</v>
      </c>
      <c r="I28" s="6">
        <f ca="1">IFERROR(__xludf.DUMMYFUNCTION("""COMPUTED_VALUE"""),2)</f>
        <v>2</v>
      </c>
      <c r="J28" s="6">
        <f ca="1">IFERROR(__xludf.DUMMYFUNCTION("""COMPUTED_VALUE"""),0)</f>
        <v>0</v>
      </c>
      <c r="K28" s="6">
        <f ca="1">IFERROR(__xludf.DUMMYFUNCTION("""COMPUTED_VALUE"""),0)</f>
        <v>0</v>
      </c>
      <c r="L28" s="6">
        <f ca="1">IFERROR(__xludf.DUMMYFUNCTION("""COMPUTED_VALUE"""),0)</f>
        <v>0</v>
      </c>
      <c r="M28" s="6">
        <f ca="1">IFERROR(__xludf.DUMMYFUNCTION("""COMPUTED_VALUE"""),0)</f>
        <v>0</v>
      </c>
      <c r="N28" s="6">
        <f ca="1">IFERROR(__xludf.DUMMYFUNCTION("""COMPUTED_VALUE"""),0)</f>
        <v>0</v>
      </c>
      <c r="O28" s="6">
        <f ca="1">IFERROR(__xludf.DUMMYFUNCTION("""COMPUTED_VALUE"""),2)</f>
        <v>2</v>
      </c>
      <c r="P28" s="6">
        <f ca="1">IFERROR(__xludf.DUMMYFUNCTION("""COMPUTED_VALUE"""),1)</f>
        <v>1</v>
      </c>
      <c r="R28" s="6">
        <f ca="1">IFERROR(__xludf.DUMMYFUNCTION("""COMPUTED_VALUE"""),0)</f>
        <v>0</v>
      </c>
      <c r="S28" s="6">
        <f ca="1">IFERROR(__xludf.DUMMYFUNCTION("""COMPUTED_VALUE"""),0)</f>
        <v>0</v>
      </c>
      <c r="T28" s="6">
        <f ca="1">IFERROR(__xludf.DUMMYFUNCTION("""COMPUTED_VALUE"""),0)</f>
        <v>0</v>
      </c>
      <c r="U28" s="6">
        <f ca="1">IFERROR(__xludf.DUMMYFUNCTION("""COMPUTED_VALUE"""),0)</f>
        <v>0</v>
      </c>
      <c r="V28" s="6">
        <f ca="1">IFERROR(__xludf.DUMMYFUNCTION("""COMPUTED_VALUE"""),0)</f>
        <v>0</v>
      </c>
      <c r="W28" s="6">
        <f ca="1">IFERROR(__xludf.DUMMYFUNCTION("""COMPUTED_VALUE"""),3)</f>
        <v>3</v>
      </c>
      <c r="X28" s="6">
        <f ca="1">IFERROR(__xludf.DUMMYFUNCTION("""COMPUTED_VALUE"""),0)</f>
        <v>0</v>
      </c>
      <c r="Y28" s="6">
        <f ca="1">IFERROR(__xludf.DUMMYFUNCTION("""COMPUTED_VALUE"""),0)</f>
        <v>0</v>
      </c>
      <c r="Z28" s="6">
        <f ca="1">IFERROR(__xludf.DUMMYFUNCTION("""COMPUTED_VALUE"""),0)</f>
        <v>0</v>
      </c>
      <c r="AA28" s="6">
        <f ca="1">IFERROR(__xludf.DUMMYFUNCTION("""COMPUTED_VALUE"""),0)</f>
        <v>0</v>
      </c>
      <c r="AB28" s="6" t="b">
        <f ca="1">IFERROR(__xludf.DUMMYFUNCTION("""COMPUTED_VALUE"""),TRUE)</f>
        <v>1</v>
      </c>
      <c r="AD28" s="6" t="b">
        <f ca="1">IFERROR(__xludf.DUMMYFUNCTION("""COMPUTED_VALUE"""),FALSE)</f>
        <v>0</v>
      </c>
      <c r="AE28" s="6">
        <f ca="1">IFERROR(__xludf.DUMMYFUNCTION("""COMPUTED_VALUE"""),0)</f>
        <v>0</v>
      </c>
      <c r="AF28" s="6">
        <f ca="1">IFERROR(__xludf.DUMMYFUNCTION("""COMPUTED_VALUE"""),0)</f>
        <v>0</v>
      </c>
      <c r="AG28" s="6">
        <f ca="1">IFERROR(__xludf.DUMMYFUNCTION("""COMPUTED_VALUE"""),1)</f>
        <v>1</v>
      </c>
      <c r="AH28" s="6">
        <f ca="1">IFERROR(__xludf.DUMMYFUNCTION("""COMPUTED_VALUE"""),0)</f>
        <v>0</v>
      </c>
      <c r="AI28" s="6">
        <f ca="1">IFERROR(__xludf.DUMMYFUNCTION("""COMPUTED_VALUE"""),0)</f>
        <v>0</v>
      </c>
      <c r="AK28" s="6" t="str">
        <f ca="1">IFERROR(__xludf.DUMMYFUNCTION("""COMPUTED_VALUE"""),"Dc")</f>
        <v>Dc</v>
      </c>
      <c r="AL28" s="6">
        <f ca="1">IFERROR(__xludf.DUMMYFUNCTION("""COMPUTED_VALUE"""),0)</f>
        <v>0</v>
      </c>
      <c r="AM28" s="6" t="b">
        <f ca="1">IFERROR(__xludf.DUMMYFUNCTION("""COMPUTED_VALUE"""),FALSE)</f>
        <v>0</v>
      </c>
      <c r="AN28" s="6" t="str">
        <f ca="1">IFERROR(__xludf.DUMMYFUNCTION("""COMPUTED_VALUE"""),"Dc")</f>
        <v>Dc</v>
      </c>
      <c r="AO28" s="6"/>
      <c r="AP28" s="6" t="str">
        <f ca="1">IFERROR(__xludf.DUMMYFUNCTION("""COMPUTED_VALUE"""),"x")</f>
        <v>x</v>
      </c>
      <c r="AQ28" s="6" t="b">
        <f ca="1">IFERROR(__xludf.DUMMYFUNCTION("""COMPUTED_VALUE"""),FALSE)</f>
        <v>0</v>
      </c>
      <c r="AR28" s="6" t="b">
        <f ca="1">IFERROR(__xludf.DUMMYFUNCTION("""COMPUTED_VALUE"""),FALSE)</f>
        <v>0</v>
      </c>
      <c r="AS28" s="15"/>
      <c r="AT28" s="6" t="str">
        <f ca="1">IFERROR(__xludf.DUMMYFUNCTION("SWITCH(IF(A28=""Practice"",AN28,FILTER('Items by Team'!E$2:E3410,'Items by Team'!C$2:C3410=D28,B28='Items by Team'!B$2:B3410)),""None"",""No"",""Parked"",""P"",""ShallowCage"",""Sc"",""DeepCage"",""Dc"",""No"",""No"",""P"",""P"",""Sc"",""Sc"",""Dc"",""Dc"&amp;""")"),"Dc")</f>
        <v>Dc</v>
      </c>
      <c r="AU28" s="6" t="str">
        <f ca="1">IFERROR(__xludf.DUMMYFUNCTION("SWITCH(IF(A28 = ""Practice"", H28, FILTER('Items by Team'!D$2:D3410,'Items by Team'!C$2:C3410 = D28,'Items by Team'!B$2:B3410 = B28)), ""Yes"", ""TRUE"", ""No"", ""FALSE"",TRUE, ""TRUE"", FALSE, ""FALSE"")"),"TRUE")</f>
        <v>TRUE</v>
      </c>
      <c r="AV28" s="6" t="str">
        <f t="shared" ca="1" si="0"/>
        <v/>
      </c>
      <c r="AW28" s="6">
        <f t="shared" ca="1" si="1"/>
        <v>1</v>
      </c>
      <c r="AX28" s="6">
        <f t="shared" ca="1" si="2"/>
        <v>2</v>
      </c>
      <c r="AY28" s="6">
        <f t="shared" ca="1" si="3"/>
        <v>3</v>
      </c>
      <c r="AZ28" s="9">
        <f t="shared" ca="1" si="4"/>
        <v>0.66666666666666663</v>
      </c>
      <c r="BA28" s="6">
        <f t="shared" ca="1" si="5"/>
        <v>0</v>
      </c>
      <c r="BB28" s="6">
        <f t="shared" ca="1" si="6"/>
        <v>0</v>
      </c>
      <c r="BC28" s="9" t="str">
        <f t="shared" ca="1" si="7"/>
        <v/>
      </c>
      <c r="BD28" s="6">
        <f t="shared" ca="1" si="8"/>
        <v>0</v>
      </c>
      <c r="BE28" s="6">
        <f t="shared" ca="1" si="9"/>
        <v>0</v>
      </c>
      <c r="BF28" s="9" t="str">
        <f t="shared" ca="1" si="10"/>
        <v/>
      </c>
      <c r="BG28" s="6">
        <f t="shared" ca="1" si="11"/>
        <v>1</v>
      </c>
      <c r="BH28" s="6">
        <f t="shared" ca="1" si="12"/>
        <v>1</v>
      </c>
      <c r="BI28" s="9">
        <f t="shared" ca="1" si="13"/>
        <v>1</v>
      </c>
      <c r="BJ28" s="6">
        <f t="shared" ca="1" si="14"/>
        <v>0</v>
      </c>
      <c r="BK28" s="6">
        <f t="shared" ca="1" si="15"/>
        <v>1</v>
      </c>
      <c r="BL28" s="6">
        <f t="shared" ca="1" si="16"/>
        <v>0</v>
      </c>
      <c r="BM28" s="6">
        <f t="shared" ca="1" si="17"/>
        <v>0</v>
      </c>
      <c r="BN28" s="6">
        <f t="shared" ca="1" si="18"/>
        <v>1</v>
      </c>
      <c r="BP28" s="6">
        <f t="shared" ca="1" si="19"/>
        <v>0</v>
      </c>
      <c r="BQ28" s="6" t="b">
        <f ca="1">IFERROR(__xludf.DUMMYFUNCTION("IF(AND(ISERROR(FILTER('Items by Team'!D$2:D3410,'Items by Team'!C$2:C3410 = D28,'Items by Team'!B$2:B3410 = B28)),NOT(A28=""Practice"")),TRUE,FALSE)"),FALSE)</f>
        <v>0</v>
      </c>
      <c r="BR28" s="6" t="e">
        <f t="shared" ca="1" si="20"/>
        <v>#VALUE!</v>
      </c>
    </row>
    <row r="29" spans="1:70">
      <c r="A29" s="6" t="str">
        <f ca="1">IFERROR(__xludf.DUMMYFUNCTION("""COMPUTED_VALUE"""),"Practice")</f>
        <v>Practice</v>
      </c>
      <c r="B29" s="6">
        <f ca="1">IFERROR(__xludf.DUMMYFUNCTION("""COMPUTED_VALUE"""),5)</f>
        <v>5</v>
      </c>
      <c r="C29" s="6" t="str">
        <f ca="1">IFERROR(__xludf.DUMMYFUNCTION("""COMPUTED_VALUE"""),"R3")</f>
        <v>R3</v>
      </c>
      <c r="D29" s="6">
        <f ca="1">IFERROR(__xludf.DUMMYFUNCTION("""COMPUTED_VALUE"""),2667)</f>
        <v>2667</v>
      </c>
      <c r="E29" s="6" t="b">
        <f ca="1">IFERROR(__xludf.DUMMYFUNCTION("""COMPUTED_VALUE"""),FALSE)</f>
        <v>0</v>
      </c>
      <c r="F29" s="6" t="str">
        <f ca="1">IFERROR(__xludf.DUMMYFUNCTION("""COMPUTED_VALUE"""),"Middle")</f>
        <v>Middle</v>
      </c>
      <c r="G29" s="6" t="b">
        <f ca="1">IFERROR(__xludf.DUMMYFUNCTION("""COMPUTED_VALUE"""),FALSE)</f>
        <v>0</v>
      </c>
      <c r="H29" s="6" t="b">
        <f ca="1">IFERROR(__xludf.DUMMYFUNCTION("""COMPUTED_VALUE"""),FALSE)</f>
        <v>0</v>
      </c>
      <c r="I29" s="6">
        <f ca="1">IFERROR(__xludf.DUMMYFUNCTION("""COMPUTED_VALUE"""),0)</f>
        <v>0</v>
      </c>
      <c r="J29" s="6">
        <f ca="1">IFERROR(__xludf.DUMMYFUNCTION("""COMPUTED_VALUE"""),0)</f>
        <v>0</v>
      </c>
      <c r="K29" s="6">
        <f ca="1">IFERROR(__xludf.DUMMYFUNCTION("""COMPUTED_VALUE"""),0)</f>
        <v>0</v>
      </c>
      <c r="L29" s="6">
        <f ca="1">IFERROR(__xludf.DUMMYFUNCTION("""COMPUTED_VALUE"""),0)</f>
        <v>0</v>
      </c>
      <c r="M29" s="6">
        <f ca="1">IFERROR(__xludf.DUMMYFUNCTION("""COMPUTED_VALUE"""),0)</f>
        <v>0</v>
      </c>
      <c r="N29" s="6">
        <f ca="1">IFERROR(__xludf.DUMMYFUNCTION("""COMPUTED_VALUE"""),0)</f>
        <v>0</v>
      </c>
      <c r="O29" s="6">
        <f ca="1">IFERROR(__xludf.DUMMYFUNCTION("""COMPUTED_VALUE"""),0)</f>
        <v>0</v>
      </c>
      <c r="P29" s="6">
        <f ca="1">IFERROR(__xludf.DUMMYFUNCTION("""COMPUTED_VALUE"""),0)</f>
        <v>0</v>
      </c>
      <c r="R29" s="6">
        <f ca="1">IFERROR(__xludf.DUMMYFUNCTION("""COMPUTED_VALUE"""),0)</f>
        <v>0</v>
      </c>
      <c r="S29" s="6">
        <f ca="1">IFERROR(__xludf.DUMMYFUNCTION("""COMPUTED_VALUE"""),0)</f>
        <v>0</v>
      </c>
      <c r="T29" s="6">
        <f ca="1">IFERROR(__xludf.DUMMYFUNCTION("""COMPUTED_VALUE"""),0)</f>
        <v>0</v>
      </c>
      <c r="U29" s="6">
        <f ca="1">IFERROR(__xludf.DUMMYFUNCTION("""COMPUTED_VALUE"""),0)</f>
        <v>0</v>
      </c>
      <c r="V29" s="6">
        <f ca="1">IFERROR(__xludf.DUMMYFUNCTION("""COMPUTED_VALUE"""),0)</f>
        <v>0</v>
      </c>
      <c r="W29" s="6">
        <f ca="1">IFERROR(__xludf.DUMMYFUNCTION("""COMPUTED_VALUE"""),1)</f>
        <v>1</v>
      </c>
      <c r="X29" s="6">
        <f ca="1">IFERROR(__xludf.DUMMYFUNCTION("""COMPUTED_VALUE"""),2)</f>
        <v>2</v>
      </c>
      <c r="Y29" s="6">
        <f ca="1">IFERROR(__xludf.DUMMYFUNCTION("""COMPUTED_VALUE"""),0)</f>
        <v>0</v>
      </c>
      <c r="Z29" s="6">
        <f ca="1">IFERROR(__xludf.DUMMYFUNCTION("""COMPUTED_VALUE"""),2)</f>
        <v>2</v>
      </c>
      <c r="AA29" s="6">
        <f ca="1">IFERROR(__xludf.DUMMYFUNCTION("""COMPUTED_VALUE"""),1)</f>
        <v>1</v>
      </c>
      <c r="AB29" s="6" t="b">
        <f ca="1">IFERROR(__xludf.DUMMYFUNCTION("""COMPUTED_VALUE"""),FALSE)</f>
        <v>0</v>
      </c>
      <c r="AD29" s="6" t="b">
        <f ca="1">IFERROR(__xludf.DUMMYFUNCTION("""COMPUTED_VALUE"""),FALSE)</f>
        <v>0</v>
      </c>
      <c r="AE29" s="6">
        <f ca="1">IFERROR(__xludf.DUMMYFUNCTION("""COMPUTED_VALUE"""),0)</f>
        <v>0</v>
      </c>
      <c r="AF29" s="6">
        <f ca="1">IFERROR(__xludf.DUMMYFUNCTION("""COMPUTED_VALUE"""),0)</f>
        <v>0</v>
      </c>
      <c r="AG29" s="6">
        <f ca="1">IFERROR(__xludf.DUMMYFUNCTION("""COMPUTED_VALUE"""),0)</f>
        <v>0</v>
      </c>
      <c r="AH29" s="6">
        <f ca="1">IFERROR(__xludf.DUMMYFUNCTION("""COMPUTED_VALUE"""),0)</f>
        <v>0</v>
      </c>
      <c r="AI29" s="6">
        <f ca="1">IFERROR(__xludf.DUMMYFUNCTION("""COMPUTED_VALUE"""),0)</f>
        <v>0</v>
      </c>
      <c r="AK29" s="6" t="str">
        <f ca="1">IFERROR(__xludf.DUMMYFUNCTION("""COMPUTED_VALUE"""),"P")</f>
        <v>P</v>
      </c>
      <c r="AL29" s="6">
        <f ca="1">IFERROR(__xludf.DUMMYFUNCTION("""COMPUTED_VALUE"""),0)</f>
        <v>0</v>
      </c>
      <c r="AM29" s="6" t="b">
        <f ca="1">IFERROR(__xludf.DUMMYFUNCTION("""COMPUTED_VALUE"""),FALSE)</f>
        <v>0</v>
      </c>
      <c r="AN29" s="6" t="str">
        <f ca="1">IFERROR(__xludf.DUMMYFUNCTION("""COMPUTED_VALUE"""),"P")</f>
        <v>P</v>
      </c>
      <c r="AO29" s="6" t="str">
        <f ca="1">IFERROR(__xludf.DUMMYFUNCTION("""COMPUTED_VALUE"""),"No auto phase")</f>
        <v>No auto phase</v>
      </c>
      <c r="AP29" s="6" t="str">
        <f ca="1">IFERROR(__xludf.DUMMYFUNCTION("""COMPUTED_VALUE"""),"x")</f>
        <v>x</v>
      </c>
      <c r="AQ29" s="6" t="b">
        <f ca="1">IFERROR(__xludf.DUMMYFUNCTION("""COMPUTED_VALUE"""),TRUE)</f>
        <v>1</v>
      </c>
      <c r="AR29" s="6" t="b">
        <f ca="1">IFERROR(__xludf.DUMMYFUNCTION("""COMPUTED_VALUE"""),FALSE)</f>
        <v>0</v>
      </c>
      <c r="AS29" s="15"/>
      <c r="AT29" s="6" t="str">
        <f ca="1">IFERROR(__xludf.DUMMYFUNCTION("SWITCH(IF(A29=""Practice"",AN29,FILTER('Items by Team'!E$2:E3410,'Items by Team'!C$2:C3410=D29,B29='Items by Team'!B$2:B3410)),""None"",""No"",""Parked"",""P"",""ShallowCage"",""Sc"",""DeepCage"",""Dc"",""No"",""No"",""P"",""P"",""Sc"",""Sc"",""Dc"",""Dc"&amp;""")"),"P")</f>
        <v>P</v>
      </c>
      <c r="AU29" s="6" t="str">
        <f ca="1">IFERROR(__xludf.DUMMYFUNCTION("SWITCH(IF(A29 = ""Practice"", H29, FILTER('Items by Team'!D$2:D3410,'Items by Team'!C$2:C3410 = D29,'Items by Team'!B$2:B3410 = B29)), ""Yes"", ""TRUE"", ""No"", ""FALSE"",TRUE, ""TRUE"", FALSE, ""FALSE"")"),"FALSE")</f>
        <v>FALSE</v>
      </c>
      <c r="AV29" s="6" t="str">
        <f t="shared" ca="1" si="0"/>
        <v/>
      </c>
      <c r="AW29" s="6">
        <f t="shared" ca="1" si="1"/>
        <v>0</v>
      </c>
      <c r="AX29" s="6">
        <f t="shared" ca="1" si="2"/>
        <v>0</v>
      </c>
      <c r="AY29" s="6">
        <f t="shared" ca="1" si="3"/>
        <v>0</v>
      </c>
      <c r="AZ29" s="9" t="str">
        <f t="shared" ca="1" si="4"/>
        <v/>
      </c>
      <c r="BA29" s="6">
        <f t="shared" ca="1" si="5"/>
        <v>0</v>
      </c>
      <c r="BB29" s="6">
        <f t="shared" ca="1" si="6"/>
        <v>0</v>
      </c>
      <c r="BC29" s="9" t="str">
        <f t="shared" ca="1" si="7"/>
        <v/>
      </c>
      <c r="BD29" s="6">
        <f t="shared" ca="1" si="8"/>
        <v>2</v>
      </c>
      <c r="BE29" s="6">
        <f t="shared" ca="1" si="9"/>
        <v>2</v>
      </c>
      <c r="BF29" s="9">
        <f t="shared" ca="1" si="10"/>
        <v>1</v>
      </c>
      <c r="BG29" s="6">
        <f t="shared" ca="1" si="11"/>
        <v>0</v>
      </c>
      <c r="BH29" s="6">
        <f t="shared" ca="1" si="12"/>
        <v>0</v>
      </c>
      <c r="BI29" s="9" t="str">
        <f t="shared" ca="1" si="13"/>
        <v/>
      </c>
      <c r="BJ29" s="6">
        <f t="shared" ca="1" si="14"/>
        <v>1</v>
      </c>
      <c r="BK29" s="6">
        <f t="shared" ca="1" si="15"/>
        <v>0</v>
      </c>
      <c r="BL29" s="6">
        <f t="shared" ca="1" si="16"/>
        <v>0</v>
      </c>
      <c r="BM29" s="6">
        <f t="shared" ca="1" si="17"/>
        <v>0</v>
      </c>
      <c r="BN29" s="6">
        <f t="shared" ca="1" si="18"/>
        <v>0</v>
      </c>
      <c r="BP29" s="6">
        <f t="shared" ca="1" si="19"/>
        <v>0</v>
      </c>
      <c r="BQ29" s="6" t="b">
        <f ca="1">IFERROR(__xludf.DUMMYFUNCTION("IF(AND(ISERROR(FILTER('Items by Team'!D$2:D3410,'Items by Team'!C$2:C3410 = D29,'Items by Team'!B$2:B3410 = B29)),NOT(A29=""Practice"")),TRUE,FALSE)"),FALSE)</f>
        <v>0</v>
      </c>
      <c r="BR29" s="6" t="e">
        <f t="shared" ca="1" si="20"/>
        <v>#VALUE!</v>
      </c>
    </row>
    <row r="30" spans="1:70">
      <c r="A30" s="6" t="str">
        <f ca="1">IFERROR(__xludf.DUMMYFUNCTION("""COMPUTED_VALUE"""),"Practice")</f>
        <v>Practice</v>
      </c>
      <c r="B30" s="6">
        <f ca="1">IFERROR(__xludf.DUMMYFUNCTION("""COMPUTED_VALUE"""),6)</f>
        <v>6</v>
      </c>
      <c r="C30" s="6" t="str">
        <f ca="1">IFERROR(__xludf.DUMMYFUNCTION("""COMPUTED_VALUE"""),"B2")</f>
        <v>B2</v>
      </c>
      <c r="D30" s="6">
        <f ca="1">IFERROR(__xludf.DUMMYFUNCTION("""COMPUTED_VALUE"""),3082)</f>
        <v>3082</v>
      </c>
      <c r="E30" s="6" t="b">
        <f ca="1">IFERROR(__xludf.DUMMYFUNCTION("""COMPUTED_VALUE"""),FALSE)</f>
        <v>0</v>
      </c>
      <c r="F30" s="6" t="str">
        <f ca="1">IFERROR(__xludf.DUMMYFUNCTION("""COMPUTED_VALUE"""),"Red Barge")</f>
        <v>Red Barge</v>
      </c>
      <c r="G30" s="6" t="b">
        <f ca="1">IFERROR(__xludf.DUMMYFUNCTION("""COMPUTED_VALUE"""),TRUE)</f>
        <v>1</v>
      </c>
      <c r="H30" s="6" t="b">
        <f ca="1">IFERROR(__xludf.DUMMYFUNCTION("""COMPUTED_VALUE"""),TRUE)</f>
        <v>1</v>
      </c>
      <c r="I30" s="6">
        <f ca="1">IFERROR(__xludf.DUMMYFUNCTION("""COMPUTED_VALUE"""),2)</f>
        <v>2</v>
      </c>
      <c r="J30" s="6">
        <f ca="1">IFERROR(__xludf.DUMMYFUNCTION("""COMPUTED_VALUE"""),0)</f>
        <v>0</v>
      </c>
      <c r="K30" s="6">
        <f ca="1">IFERROR(__xludf.DUMMYFUNCTION("""COMPUTED_VALUE"""),0)</f>
        <v>0</v>
      </c>
      <c r="L30" s="6">
        <f ca="1">IFERROR(__xludf.DUMMYFUNCTION("""COMPUTED_VALUE"""),2)</f>
        <v>2</v>
      </c>
      <c r="M30" s="6">
        <f ca="1">IFERROR(__xludf.DUMMYFUNCTION("""COMPUTED_VALUE"""),0)</f>
        <v>0</v>
      </c>
      <c r="N30" s="6">
        <f ca="1">IFERROR(__xludf.DUMMYFUNCTION("""COMPUTED_VALUE"""),0)</f>
        <v>0</v>
      </c>
      <c r="O30" s="6">
        <f ca="1">IFERROR(__xludf.DUMMYFUNCTION("""COMPUTED_VALUE"""),0)</f>
        <v>0</v>
      </c>
      <c r="P30" s="6">
        <f ca="1">IFERROR(__xludf.DUMMYFUNCTION("""COMPUTED_VALUE"""),1)</f>
        <v>1</v>
      </c>
      <c r="R30" s="6">
        <f ca="1">IFERROR(__xludf.DUMMYFUNCTION("""COMPUTED_VALUE"""),0)</f>
        <v>0</v>
      </c>
      <c r="S30" s="6">
        <f ca="1">IFERROR(__xludf.DUMMYFUNCTION("""COMPUTED_VALUE"""),0)</f>
        <v>0</v>
      </c>
      <c r="T30" s="6">
        <f ca="1">IFERROR(__xludf.DUMMYFUNCTION("""COMPUTED_VALUE"""),0)</f>
        <v>0</v>
      </c>
      <c r="U30" s="6">
        <f ca="1">IFERROR(__xludf.DUMMYFUNCTION("""COMPUTED_VALUE"""),0)</f>
        <v>0</v>
      </c>
      <c r="V30" s="6">
        <f ca="1">IFERROR(__xludf.DUMMYFUNCTION("""COMPUTED_VALUE"""),0)</f>
        <v>0</v>
      </c>
      <c r="W30" s="6">
        <f ca="1">IFERROR(__xludf.DUMMYFUNCTION("""COMPUTED_VALUE"""),0)</f>
        <v>0</v>
      </c>
      <c r="X30" s="6">
        <f ca="1">IFERROR(__xludf.DUMMYFUNCTION("""COMPUTED_VALUE"""),0)</f>
        <v>0</v>
      </c>
      <c r="Y30" s="6">
        <f ca="1">IFERROR(__xludf.DUMMYFUNCTION("""COMPUTED_VALUE"""),0)</f>
        <v>0</v>
      </c>
      <c r="Z30" s="6">
        <f ca="1">IFERROR(__xludf.DUMMYFUNCTION("""COMPUTED_VALUE"""),0)</f>
        <v>0</v>
      </c>
      <c r="AA30" s="6">
        <f ca="1">IFERROR(__xludf.DUMMYFUNCTION("""COMPUTED_VALUE"""),0)</f>
        <v>0</v>
      </c>
      <c r="AB30" s="6" t="b">
        <f ca="1">IFERROR(__xludf.DUMMYFUNCTION("""COMPUTED_VALUE"""),TRUE)</f>
        <v>1</v>
      </c>
      <c r="AD30" s="6" t="b">
        <f ca="1">IFERROR(__xludf.DUMMYFUNCTION("""COMPUTED_VALUE"""),FALSE)</f>
        <v>0</v>
      </c>
      <c r="AE30" s="6">
        <f ca="1">IFERROR(__xludf.DUMMYFUNCTION("""COMPUTED_VALUE"""),4)</f>
        <v>4</v>
      </c>
      <c r="AF30" s="6">
        <f ca="1">IFERROR(__xludf.DUMMYFUNCTION("""COMPUTED_VALUE"""),0)</f>
        <v>0</v>
      </c>
      <c r="AG30" s="6">
        <f ca="1">IFERROR(__xludf.DUMMYFUNCTION("""COMPUTED_VALUE"""),0)</f>
        <v>0</v>
      </c>
      <c r="AH30" s="6">
        <f ca="1">IFERROR(__xludf.DUMMYFUNCTION("""COMPUTED_VALUE"""),0)</f>
        <v>0</v>
      </c>
      <c r="AI30" s="6">
        <f ca="1">IFERROR(__xludf.DUMMYFUNCTION("""COMPUTED_VALUE"""),0)</f>
        <v>0</v>
      </c>
      <c r="AK30" s="6" t="str">
        <f ca="1">IFERROR(__xludf.DUMMYFUNCTION("""COMPUTED_VALUE"""),"P")</f>
        <v>P</v>
      </c>
      <c r="AL30" s="6">
        <f ca="1">IFERROR(__xludf.DUMMYFUNCTION("""COMPUTED_VALUE"""),0)</f>
        <v>0</v>
      </c>
      <c r="AM30" s="6" t="b">
        <f ca="1">IFERROR(__xludf.DUMMYFUNCTION("""COMPUTED_VALUE"""),FALSE)</f>
        <v>0</v>
      </c>
      <c r="AN30" s="6" t="str">
        <f ca="1">IFERROR(__xludf.DUMMYFUNCTION("""COMPUTED_VALUE"""),"P")</f>
        <v>P</v>
      </c>
      <c r="AO30" s="6"/>
      <c r="AP30" s="6" t="str">
        <f ca="1">IFERROR(__xludf.DUMMYFUNCTION("""COMPUTED_VALUE"""),"x")</f>
        <v>x</v>
      </c>
      <c r="AQ30" s="6" t="b">
        <f ca="1">IFERROR(__xludf.DUMMYFUNCTION("""COMPUTED_VALUE"""),TRUE)</f>
        <v>1</v>
      </c>
      <c r="AR30" s="6" t="b">
        <f ca="1">IFERROR(__xludf.DUMMYFUNCTION("""COMPUTED_VALUE"""),FALSE)</f>
        <v>0</v>
      </c>
      <c r="AS30" s="15"/>
      <c r="AT30" s="6" t="str">
        <f ca="1">IFERROR(__xludf.DUMMYFUNCTION("SWITCH(IF(A30=""Practice"",AN30,FILTER('Items by Team'!E$2:E3410,'Items by Team'!C$2:C3410=D30,B30='Items by Team'!B$2:B3410)),""None"",""No"",""Parked"",""P"",""ShallowCage"",""Sc"",""DeepCage"",""Dc"",""No"",""No"",""P"",""P"",""Sc"",""Sc"",""Dc"",""Dc"&amp;""")"),"P")</f>
        <v>P</v>
      </c>
      <c r="AU30" s="6" t="str">
        <f ca="1">IFERROR(__xludf.DUMMYFUNCTION("SWITCH(IF(A30 = ""Practice"", H30, FILTER('Items by Team'!D$2:D3410,'Items by Team'!C$2:C3410 = D30,'Items by Team'!B$2:B3410 = B30)), ""Yes"", ""TRUE"", ""No"", ""FALSE"",TRUE, ""TRUE"", FALSE, ""FALSE"")"),"TRUE")</f>
        <v>TRUE</v>
      </c>
      <c r="AV30" s="6" t="str">
        <f t="shared" ca="1" si="0"/>
        <v/>
      </c>
      <c r="AW30" s="6">
        <f t="shared" ca="1" si="1"/>
        <v>1</v>
      </c>
      <c r="AX30" s="6">
        <f t="shared" ca="1" si="2"/>
        <v>2</v>
      </c>
      <c r="AY30" s="6">
        <f t="shared" ca="1" si="3"/>
        <v>3</v>
      </c>
      <c r="AZ30" s="9">
        <f t="shared" ca="1" si="4"/>
        <v>0.66666666666666663</v>
      </c>
      <c r="BA30" s="6">
        <f t="shared" ca="1" si="5"/>
        <v>0</v>
      </c>
      <c r="BB30" s="6">
        <f t="shared" ca="1" si="6"/>
        <v>0</v>
      </c>
      <c r="BC30" s="9" t="str">
        <f t="shared" ca="1" si="7"/>
        <v/>
      </c>
      <c r="BD30" s="6">
        <f t="shared" ca="1" si="8"/>
        <v>0</v>
      </c>
      <c r="BE30" s="6">
        <f t="shared" ca="1" si="9"/>
        <v>0</v>
      </c>
      <c r="BF30" s="9" t="str">
        <f t="shared" ca="1" si="10"/>
        <v/>
      </c>
      <c r="BG30" s="6">
        <f t="shared" ca="1" si="11"/>
        <v>4</v>
      </c>
      <c r="BH30" s="6">
        <f t="shared" ca="1" si="12"/>
        <v>4</v>
      </c>
      <c r="BI30" s="9">
        <f t="shared" ca="1" si="13"/>
        <v>1</v>
      </c>
      <c r="BJ30" s="6">
        <f t="shared" ca="1" si="14"/>
        <v>1</v>
      </c>
      <c r="BK30" s="6">
        <f t="shared" ca="1" si="15"/>
        <v>1</v>
      </c>
      <c r="BL30" s="6">
        <f t="shared" ca="1" si="16"/>
        <v>0</v>
      </c>
      <c r="BM30" s="6">
        <f t="shared" ca="1" si="17"/>
        <v>0</v>
      </c>
      <c r="BN30" s="6">
        <f t="shared" ca="1" si="18"/>
        <v>1</v>
      </c>
      <c r="BP30" s="6">
        <f t="shared" ca="1" si="19"/>
        <v>0</v>
      </c>
      <c r="BQ30" s="6" t="b">
        <f ca="1">IFERROR(__xludf.DUMMYFUNCTION("IF(AND(ISERROR(FILTER('Items by Team'!D$2:D3410,'Items by Team'!C$2:C3410 = D30,'Items by Team'!B$2:B3410 = B30)),NOT(A30=""Practice"")),TRUE,FALSE)"),FALSE)</f>
        <v>0</v>
      </c>
      <c r="BR30" s="6" t="e">
        <f t="shared" ca="1" si="20"/>
        <v>#VALUE!</v>
      </c>
    </row>
    <row r="31" spans="1:70">
      <c r="A31" s="6" t="str">
        <f ca="1">IFERROR(__xludf.DUMMYFUNCTION("""COMPUTED_VALUE"""),"Practice")</f>
        <v>Practice</v>
      </c>
      <c r="B31" s="6">
        <f ca="1">IFERROR(__xludf.DUMMYFUNCTION("""COMPUTED_VALUE"""),6)</f>
        <v>6</v>
      </c>
      <c r="C31" s="6" t="str">
        <f ca="1">IFERROR(__xludf.DUMMYFUNCTION("""COMPUTED_VALUE"""),"B1")</f>
        <v>B1</v>
      </c>
      <c r="D31" s="6">
        <f ca="1">IFERROR(__xludf.DUMMYFUNCTION("""COMPUTED_VALUE"""),2491)</f>
        <v>2491</v>
      </c>
      <c r="E31" s="6" t="b">
        <f ca="1">IFERROR(__xludf.DUMMYFUNCTION("""COMPUTED_VALUE"""),FALSE)</f>
        <v>0</v>
      </c>
      <c r="F31" s="6" t="str">
        <f ca="1">IFERROR(__xludf.DUMMYFUNCTION("""COMPUTED_VALUE"""),"Blue Barge")</f>
        <v>Blue Barge</v>
      </c>
      <c r="G31" s="6" t="b">
        <f ca="1">IFERROR(__xludf.DUMMYFUNCTION("""COMPUTED_VALUE"""),TRUE)</f>
        <v>1</v>
      </c>
      <c r="H31" s="6" t="b">
        <f ca="1">IFERROR(__xludf.DUMMYFUNCTION("""COMPUTED_VALUE"""),TRUE)</f>
        <v>1</v>
      </c>
      <c r="I31" s="6">
        <f ca="1">IFERROR(__xludf.DUMMYFUNCTION("""COMPUTED_VALUE"""),0)</f>
        <v>0</v>
      </c>
      <c r="J31" s="6">
        <f ca="1">IFERROR(__xludf.DUMMYFUNCTION("""COMPUTED_VALUE"""),2)</f>
        <v>2</v>
      </c>
      <c r="K31" s="6">
        <f ca="1">IFERROR(__xludf.DUMMYFUNCTION("""COMPUTED_VALUE"""),0)</f>
        <v>0</v>
      </c>
      <c r="L31" s="6">
        <f ca="1">IFERROR(__xludf.DUMMYFUNCTION("""COMPUTED_VALUE"""),1)</f>
        <v>1</v>
      </c>
      <c r="M31" s="6">
        <f ca="1">IFERROR(__xludf.DUMMYFUNCTION("""COMPUTED_VALUE"""),0)</f>
        <v>0</v>
      </c>
      <c r="N31" s="6">
        <f ca="1">IFERROR(__xludf.DUMMYFUNCTION("""COMPUTED_VALUE"""),0)</f>
        <v>0</v>
      </c>
      <c r="O31" s="6">
        <f ca="1">IFERROR(__xludf.DUMMYFUNCTION("""COMPUTED_VALUE"""),0)</f>
        <v>0</v>
      </c>
      <c r="P31" s="6">
        <f ca="1">IFERROR(__xludf.DUMMYFUNCTION("""COMPUTED_VALUE"""),2)</f>
        <v>2</v>
      </c>
      <c r="R31" s="6">
        <f ca="1">IFERROR(__xludf.DUMMYFUNCTION("""COMPUTED_VALUE"""),0)</f>
        <v>0</v>
      </c>
      <c r="S31" s="6">
        <f ca="1">IFERROR(__xludf.DUMMYFUNCTION("""COMPUTED_VALUE"""),0)</f>
        <v>0</v>
      </c>
      <c r="T31" s="6">
        <f ca="1">IFERROR(__xludf.DUMMYFUNCTION("""COMPUTED_VALUE"""),0)</f>
        <v>0</v>
      </c>
      <c r="U31" s="6">
        <f ca="1">IFERROR(__xludf.DUMMYFUNCTION("""COMPUTED_VALUE"""),0)</f>
        <v>0</v>
      </c>
      <c r="V31" s="6">
        <f ca="1">IFERROR(__xludf.DUMMYFUNCTION("""COMPUTED_VALUE"""),0)</f>
        <v>0</v>
      </c>
      <c r="W31" s="6">
        <f ca="1">IFERROR(__xludf.DUMMYFUNCTION("""COMPUTED_VALUE"""),0)</f>
        <v>0</v>
      </c>
      <c r="X31" s="6">
        <f ca="1">IFERROR(__xludf.DUMMYFUNCTION("""COMPUTED_VALUE"""),1)</f>
        <v>1</v>
      </c>
      <c r="Y31" s="6">
        <f ca="1">IFERROR(__xludf.DUMMYFUNCTION("""COMPUTED_VALUE"""),0)</f>
        <v>0</v>
      </c>
      <c r="Z31" s="6">
        <f ca="1">IFERROR(__xludf.DUMMYFUNCTION("""COMPUTED_VALUE"""),1)</f>
        <v>1</v>
      </c>
      <c r="AA31" s="6">
        <f ca="1">IFERROR(__xludf.DUMMYFUNCTION("""COMPUTED_VALUE"""),0)</f>
        <v>0</v>
      </c>
      <c r="AB31" s="6" t="b">
        <f ca="1">IFERROR(__xludf.DUMMYFUNCTION("""COMPUTED_VALUE"""),TRUE)</f>
        <v>1</v>
      </c>
      <c r="AD31" s="6" t="b">
        <f ca="1">IFERROR(__xludf.DUMMYFUNCTION("""COMPUTED_VALUE"""),FALSE)</f>
        <v>0</v>
      </c>
      <c r="AE31" s="6">
        <f ca="1">IFERROR(__xludf.DUMMYFUNCTION("""COMPUTED_VALUE"""),1)</f>
        <v>1</v>
      </c>
      <c r="AF31" s="6">
        <f ca="1">IFERROR(__xludf.DUMMYFUNCTION("""COMPUTED_VALUE"""),1)</f>
        <v>1</v>
      </c>
      <c r="AG31" s="6">
        <f ca="1">IFERROR(__xludf.DUMMYFUNCTION("""COMPUTED_VALUE"""),1)</f>
        <v>1</v>
      </c>
      <c r="AH31" s="6">
        <f ca="1">IFERROR(__xludf.DUMMYFUNCTION("""COMPUTED_VALUE"""),2)</f>
        <v>2</v>
      </c>
      <c r="AI31" s="6">
        <f ca="1">IFERROR(__xludf.DUMMYFUNCTION("""COMPUTED_VALUE"""),4)</f>
        <v>4</v>
      </c>
      <c r="AK31" s="6" t="str">
        <f ca="1">IFERROR(__xludf.DUMMYFUNCTION("""COMPUTED_VALUE"""),"Dc")</f>
        <v>Dc</v>
      </c>
      <c r="AL31" s="6">
        <f ca="1">IFERROR(__xludf.DUMMYFUNCTION("""COMPUTED_VALUE"""),0)</f>
        <v>0</v>
      </c>
      <c r="AM31" s="6" t="b">
        <f ca="1">IFERROR(__xludf.DUMMYFUNCTION("""COMPUTED_VALUE"""),FALSE)</f>
        <v>0</v>
      </c>
      <c r="AN31" s="6" t="str">
        <f ca="1">IFERROR(__xludf.DUMMYFUNCTION("""COMPUTED_VALUE"""),"Dc")</f>
        <v>Dc</v>
      </c>
      <c r="AO31" s="6" t="str">
        <f ca="1">IFERROR(__xludf.DUMMYFUNCTION("""COMPUTED_VALUE"""),"YESSSSSSSSSSSSS!")</f>
        <v>YESSSSSSSSSSSSS!</v>
      </c>
      <c r="AP31" s="6" t="str">
        <f ca="1">IFERROR(__xludf.DUMMYFUNCTION("""COMPUTED_VALUE"""),"x")</f>
        <v>x</v>
      </c>
      <c r="AQ31" s="6" t="b">
        <f ca="1">IFERROR(__xludf.DUMMYFUNCTION("""COMPUTED_VALUE"""),FALSE)</f>
        <v>0</v>
      </c>
      <c r="AR31" s="6" t="b">
        <f ca="1">IFERROR(__xludf.DUMMYFUNCTION("""COMPUTED_VALUE"""),FALSE)</f>
        <v>0</v>
      </c>
      <c r="AS31" s="15"/>
      <c r="AT31" s="6" t="str">
        <f ca="1">IFERROR(__xludf.DUMMYFUNCTION("SWITCH(IF(A31=""Practice"",AN31,FILTER('Items by Team'!E$2:E3410,'Items by Team'!C$2:C3410=D31,B31='Items by Team'!B$2:B3410)),""None"",""No"",""Parked"",""P"",""ShallowCage"",""Sc"",""DeepCage"",""Dc"",""No"",""No"",""P"",""P"",""Sc"",""Sc"",""Dc"",""Dc"&amp;""")"),"Dc")</f>
        <v>Dc</v>
      </c>
      <c r="AU31" s="6" t="str">
        <f ca="1">IFERROR(__xludf.DUMMYFUNCTION("SWITCH(IF(A31 = ""Practice"", H31, FILTER('Items by Team'!D$2:D3410,'Items by Team'!C$2:C3410 = D31,'Items by Team'!B$2:B3410 = B31)), ""Yes"", ""TRUE"", ""No"", ""FALSE"",TRUE, ""TRUE"", FALSE, ""FALSE"")"),"TRUE")</f>
        <v>TRUE</v>
      </c>
      <c r="AV31" s="6" t="str">
        <f t="shared" ca="1" si="0"/>
        <v/>
      </c>
      <c r="AW31" s="6">
        <f t="shared" ca="1" si="1"/>
        <v>1</v>
      </c>
      <c r="AX31" s="6">
        <f t="shared" ca="1" si="2"/>
        <v>1</v>
      </c>
      <c r="AY31" s="6">
        <f t="shared" ca="1" si="3"/>
        <v>3</v>
      </c>
      <c r="AZ31" s="9">
        <f t="shared" ca="1" si="4"/>
        <v>0.33333333333333331</v>
      </c>
      <c r="BA31" s="6">
        <f t="shared" ca="1" si="5"/>
        <v>0</v>
      </c>
      <c r="BB31" s="6">
        <f t="shared" ca="1" si="6"/>
        <v>0</v>
      </c>
      <c r="BC31" s="9" t="str">
        <f t="shared" ca="1" si="7"/>
        <v/>
      </c>
      <c r="BD31" s="6">
        <f t="shared" ca="1" si="8"/>
        <v>1</v>
      </c>
      <c r="BE31" s="6">
        <f t="shared" ca="1" si="9"/>
        <v>1</v>
      </c>
      <c r="BF31" s="9">
        <f t="shared" ca="1" si="10"/>
        <v>1</v>
      </c>
      <c r="BG31" s="6">
        <f t="shared" ca="1" si="11"/>
        <v>5</v>
      </c>
      <c r="BH31" s="6">
        <f t="shared" ca="1" si="12"/>
        <v>9</v>
      </c>
      <c r="BI31" s="9">
        <f t="shared" ca="1" si="13"/>
        <v>0.55555555555555558</v>
      </c>
      <c r="BJ31" s="6">
        <f t="shared" ca="1" si="14"/>
        <v>0</v>
      </c>
      <c r="BK31" s="6">
        <f t="shared" ca="1" si="15"/>
        <v>0</v>
      </c>
      <c r="BL31" s="6">
        <f t="shared" ca="1" si="16"/>
        <v>1</v>
      </c>
      <c r="BM31" s="6">
        <f t="shared" ca="1" si="17"/>
        <v>0</v>
      </c>
      <c r="BN31" s="6">
        <f t="shared" ca="1" si="18"/>
        <v>1</v>
      </c>
      <c r="BP31" s="6">
        <f t="shared" ca="1" si="19"/>
        <v>0</v>
      </c>
      <c r="BQ31" s="6" t="b">
        <f ca="1">IFERROR(__xludf.DUMMYFUNCTION("IF(AND(ISERROR(FILTER('Items by Team'!D$2:D3410,'Items by Team'!C$2:C3410 = D31,'Items by Team'!B$2:B3410 = B31)),NOT(A31=""Practice"")),TRUE,FALSE)"),FALSE)</f>
        <v>0</v>
      </c>
      <c r="BR31" s="6" t="e">
        <f t="shared" ca="1" si="20"/>
        <v>#VALUE!</v>
      </c>
    </row>
    <row r="32" spans="1:70">
      <c r="A32" s="6" t="str">
        <f ca="1">IFERROR(__xludf.DUMMYFUNCTION("""COMPUTED_VALUE"""),"Practice")</f>
        <v>Practice</v>
      </c>
      <c r="B32" s="6">
        <f ca="1">IFERROR(__xludf.DUMMYFUNCTION("""COMPUTED_VALUE"""),6)</f>
        <v>6</v>
      </c>
      <c r="C32" s="6" t="str">
        <f ca="1">IFERROR(__xludf.DUMMYFUNCTION("""COMPUTED_VALUE"""),"B3")</f>
        <v>B3</v>
      </c>
      <c r="D32" s="6">
        <f ca="1">IFERROR(__xludf.DUMMYFUNCTION("""COMPUTED_VALUE"""),4225)</f>
        <v>4225</v>
      </c>
      <c r="E32" s="6" t="b">
        <f ca="1">IFERROR(__xludf.DUMMYFUNCTION("""COMPUTED_VALUE"""),FALSE)</f>
        <v>0</v>
      </c>
      <c r="F32" s="6" t="str">
        <f ca="1">IFERROR(__xludf.DUMMYFUNCTION("""COMPUTED_VALUE"""),"Middle")</f>
        <v>Middle</v>
      </c>
      <c r="G32" s="6" t="b">
        <f ca="1">IFERROR(__xludf.DUMMYFUNCTION("""COMPUTED_VALUE"""),TRUE)</f>
        <v>1</v>
      </c>
      <c r="H32" s="6" t="b">
        <f ca="1">IFERROR(__xludf.DUMMYFUNCTION("""COMPUTED_VALUE"""),TRUE)</f>
        <v>1</v>
      </c>
      <c r="I32" s="6">
        <f ca="1">IFERROR(__xludf.DUMMYFUNCTION("""COMPUTED_VALUE"""),0)</f>
        <v>0</v>
      </c>
      <c r="J32" s="6">
        <f ca="1">IFERROR(__xludf.DUMMYFUNCTION("""COMPUTED_VALUE"""),0)</f>
        <v>0</v>
      </c>
      <c r="K32" s="6">
        <f ca="1">IFERROR(__xludf.DUMMYFUNCTION("""COMPUTED_VALUE"""),0)</f>
        <v>0</v>
      </c>
      <c r="L32" s="6">
        <f ca="1">IFERROR(__xludf.DUMMYFUNCTION("""COMPUTED_VALUE"""),0)</f>
        <v>0</v>
      </c>
      <c r="M32" s="6">
        <f ca="1">IFERROR(__xludf.DUMMYFUNCTION("""COMPUTED_VALUE"""),0)</f>
        <v>0</v>
      </c>
      <c r="N32" s="6">
        <f ca="1">IFERROR(__xludf.DUMMYFUNCTION("""COMPUTED_VALUE"""),0)</f>
        <v>0</v>
      </c>
      <c r="O32" s="6">
        <f ca="1">IFERROR(__xludf.DUMMYFUNCTION("""COMPUTED_VALUE"""),0)</f>
        <v>0</v>
      </c>
      <c r="P32" s="6">
        <f ca="1">IFERROR(__xludf.DUMMYFUNCTION("""COMPUTED_VALUE"""),0)</f>
        <v>0</v>
      </c>
      <c r="R32" s="6">
        <f ca="1">IFERROR(__xludf.DUMMYFUNCTION("""COMPUTED_VALUE"""),0)</f>
        <v>0</v>
      </c>
      <c r="S32" s="6">
        <f ca="1">IFERROR(__xludf.DUMMYFUNCTION("""COMPUTED_VALUE"""),0)</f>
        <v>0</v>
      </c>
      <c r="T32" s="6">
        <f ca="1">IFERROR(__xludf.DUMMYFUNCTION("""COMPUTED_VALUE"""),0)</f>
        <v>0</v>
      </c>
      <c r="U32" s="6">
        <f ca="1">IFERROR(__xludf.DUMMYFUNCTION("""COMPUTED_VALUE"""),0)</f>
        <v>0</v>
      </c>
      <c r="V32" s="6">
        <f ca="1">IFERROR(__xludf.DUMMYFUNCTION("""COMPUTED_VALUE"""),0)</f>
        <v>0</v>
      </c>
      <c r="W32" s="6">
        <f ca="1">IFERROR(__xludf.DUMMYFUNCTION("""COMPUTED_VALUE"""),0)</f>
        <v>0</v>
      </c>
      <c r="X32" s="6">
        <f ca="1">IFERROR(__xludf.DUMMYFUNCTION("""COMPUTED_VALUE"""),0)</f>
        <v>0</v>
      </c>
      <c r="Y32" s="6">
        <f ca="1">IFERROR(__xludf.DUMMYFUNCTION("""COMPUTED_VALUE"""),0)</f>
        <v>0</v>
      </c>
      <c r="Z32" s="6">
        <f ca="1">IFERROR(__xludf.DUMMYFUNCTION("""COMPUTED_VALUE"""),0)</f>
        <v>0</v>
      </c>
      <c r="AA32" s="6">
        <f ca="1">IFERROR(__xludf.DUMMYFUNCTION("""COMPUTED_VALUE"""),0)</f>
        <v>0</v>
      </c>
      <c r="AB32" s="6" t="b">
        <f ca="1">IFERROR(__xludf.DUMMYFUNCTION("""COMPUTED_VALUE"""),TRUE)</f>
        <v>1</v>
      </c>
      <c r="AD32" s="6" t="b">
        <f ca="1">IFERROR(__xludf.DUMMYFUNCTION("""COMPUTED_VALUE"""),FALSE)</f>
        <v>0</v>
      </c>
      <c r="AE32" s="6">
        <f ca="1">IFERROR(__xludf.DUMMYFUNCTION("""COMPUTED_VALUE"""),0)</f>
        <v>0</v>
      </c>
      <c r="AF32" s="6">
        <f ca="1">IFERROR(__xludf.DUMMYFUNCTION("""COMPUTED_VALUE"""),0)</f>
        <v>0</v>
      </c>
      <c r="AG32" s="6">
        <f ca="1">IFERROR(__xludf.DUMMYFUNCTION("""COMPUTED_VALUE"""),0)</f>
        <v>0</v>
      </c>
      <c r="AH32" s="6">
        <f ca="1">IFERROR(__xludf.DUMMYFUNCTION("""COMPUTED_VALUE"""),1)</f>
        <v>1</v>
      </c>
      <c r="AI32" s="6">
        <f ca="1">IFERROR(__xludf.DUMMYFUNCTION("""COMPUTED_VALUE"""),3)</f>
        <v>3</v>
      </c>
      <c r="AK32" s="6" t="str">
        <f ca="1">IFERROR(__xludf.DUMMYFUNCTION("""COMPUTED_VALUE"""),"P")</f>
        <v>P</v>
      </c>
      <c r="AL32" s="6">
        <f ca="1">IFERROR(__xludf.DUMMYFUNCTION("""COMPUTED_VALUE"""),0)</f>
        <v>0</v>
      </c>
      <c r="AM32" s="6" t="b">
        <f ca="1">IFERROR(__xludf.DUMMYFUNCTION("""COMPUTED_VALUE"""),FALSE)</f>
        <v>0</v>
      </c>
      <c r="AN32" s="6" t="str">
        <f ca="1">IFERROR(__xludf.DUMMYFUNCTION("""COMPUTED_VALUE"""),"P")</f>
        <v>P</v>
      </c>
      <c r="AO32" s="6"/>
      <c r="AP32" s="6" t="str">
        <f ca="1">IFERROR(__xludf.DUMMYFUNCTION("""COMPUTED_VALUE"""),"x")</f>
        <v>x</v>
      </c>
      <c r="AQ32" s="6" t="b">
        <f ca="1">IFERROR(__xludf.DUMMYFUNCTION("""COMPUTED_VALUE"""),FALSE)</f>
        <v>0</v>
      </c>
      <c r="AR32" s="6" t="b">
        <f ca="1">IFERROR(__xludf.DUMMYFUNCTION("""COMPUTED_VALUE"""),FALSE)</f>
        <v>0</v>
      </c>
      <c r="AS32" s="15"/>
      <c r="AT32" s="6" t="str">
        <f ca="1">IFERROR(__xludf.DUMMYFUNCTION("SWITCH(IF(A32=""Practice"",AN32,FILTER('Items by Team'!E$2:E3410,'Items by Team'!C$2:C3410=D32,B32='Items by Team'!B$2:B3410)),""None"",""No"",""Parked"",""P"",""ShallowCage"",""Sc"",""DeepCage"",""Dc"",""No"",""No"",""P"",""P"",""Sc"",""Sc"",""Dc"",""Dc"&amp;""")"),"P")</f>
        <v>P</v>
      </c>
      <c r="AU32" s="6" t="str">
        <f ca="1">IFERROR(__xludf.DUMMYFUNCTION("SWITCH(IF(A32 = ""Practice"", H32, FILTER('Items by Team'!D$2:D3410,'Items by Team'!C$2:C3410 = D32,'Items by Team'!B$2:B3410 = B32)), ""Yes"", ""TRUE"", ""No"", ""FALSE"",TRUE, ""TRUE"", FALSE, ""FALSE"")"),"TRUE")</f>
        <v>TRUE</v>
      </c>
      <c r="AV32" s="6" t="str">
        <f t="shared" ca="1" si="0"/>
        <v/>
      </c>
      <c r="AW32" s="6">
        <f t="shared" ca="1" si="1"/>
        <v>1</v>
      </c>
      <c r="AX32" s="6">
        <f t="shared" ca="1" si="2"/>
        <v>0</v>
      </c>
      <c r="AY32" s="6">
        <f t="shared" ca="1" si="3"/>
        <v>0</v>
      </c>
      <c r="AZ32" s="9" t="str">
        <f t="shared" ca="1" si="4"/>
        <v/>
      </c>
      <c r="BA32" s="6">
        <f t="shared" ca="1" si="5"/>
        <v>0</v>
      </c>
      <c r="BB32" s="6">
        <f t="shared" ca="1" si="6"/>
        <v>0</v>
      </c>
      <c r="BC32" s="9" t="str">
        <f t="shared" ca="1" si="7"/>
        <v/>
      </c>
      <c r="BD32" s="6">
        <f t="shared" ca="1" si="8"/>
        <v>0</v>
      </c>
      <c r="BE32" s="6">
        <f t="shared" ca="1" si="9"/>
        <v>0</v>
      </c>
      <c r="BF32" s="9" t="str">
        <f t="shared" ca="1" si="10"/>
        <v/>
      </c>
      <c r="BG32" s="6">
        <f t="shared" ca="1" si="11"/>
        <v>1</v>
      </c>
      <c r="BH32" s="6">
        <f t="shared" ca="1" si="12"/>
        <v>4</v>
      </c>
      <c r="BI32" s="9">
        <f t="shared" ca="1" si="13"/>
        <v>0.25</v>
      </c>
      <c r="BJ32" s="6">
        <f t="shared" ca="1" si="14"/>
        <v>0</v>
      </c>
      <c r="BK32" s="6">
        <f t="shared" ca="1" si="15"/>
        <v>0</v>
      </c>
      <c r="BL32" s="6">
        <f t="shared" ca="1" si="16"/>
        <v>0</v>
      </c>
      <c r="BM32" s="6">
        <f t="shared" ca="1" si="17"/>
        <v>0</v>
      </c>
      <c r="BN32" s="6">
        <f t="shared" ca="1" si="18"/>
        <v>1</v>
      </c>
      <c r="BP32" s="6">
        <f t="shared" ca="1" si="19"/>
        <v>0</v>
      </c>
      <c r="BQ32" s="6" t="b">
        <f ca="1">IFERROR(__xludf.DUMMYFUNCTION("IF(AND(ISERROR(FILTER('Items by Team'!D$2:D3410,'Items by Team'!C$2:C3410 = D32,'Items by Team'!B$2:B3410 = B32)),NOT(A32=""Practice"")),TRUE,FALSE)"),FALSE)</f>
        <v>0</v>
      </c>
      <c r="BR32" s="6" t="e">
        <f t="shared" ca="1" si="20"/>
        <v>#VALUE!</v>
      </c>
    </row>
    <row r="33" spans="1:70">
      <c r="A33" s="6" t="str">
        <f ca="1">IFERROR(__xludf.DUMMYFUNCTION("""COMPUTED_VALUE"""),"Practice")</f>
        <v>Practice</v>
      </c>
      <c r="B33" s="6">
        <f ca="1">IFERROR(__xludf.DUMMYFUNCTION("""COMPUTED_VALUE"""),6)</f>
        <v>6</v>
      </c>
      <c r="C33" s="6" t="str">
        <f ca="1">IFERROR(__xludf.DUMMYFUNCTION("""COMPUTED_VALUE"""),"R3")</f>
        <v>R3</v>
      </c>
      <c r="D33" s="6">
        <f ca="1">IFERROR(__xludf.DUMMYFUNCTION("""COMPUTED_VALUE"""),4778)</f>
        <v>4778</v>
      </c>
      <c r="E33" s="6" t="b">
        <f ca="1">IFERROR(__xludf.DUMMYFUNCTION("""COMPUTED_VALUE"""),FALSE)</f>
        <v>0</v>
      </c>
      <c r="F33" s="6" t="str">
        <f ca="1">IFERROR(__xludf.DUMMYFUNCTION("""COMPUTED_VALUE"""),"Blue Barge")</f>
        <v>Blue Barge</v>
      </c>
      <c r="G33" s="6" t="b">
        <f ca="1">IFERROR(__xludf.DUMMYFUNCTION("""COMPUTED_VALUE"""),FALSE)</f>
        <v>0</v>
      </c>
      <c r="H33" s="6" t="b">
        <f ca="1">IFERROR(__xludf.DUMMYFUNCTION("""COMPUTED_VALUE"""),TRUE)</f>
        <v>1</v>
      </c>
      <c r="I33" s="6">
        <f ca="1">IFERROR(__xludf.DUMMYFUNCTION("""COMPUTED_VALUE"""),0)</f>
        <v>0</v>
      </c>
      <c r="J33" s="6">
        <f ca="1">IFERROR(__xludf.DUMMYFUNCTION("""COMPUTED_VALUE"""),0)</f>
        <v>0</v>
      </c>
      <c r="K33" s="6">
        <f ca="1">IFERROR(__xludf.DUMMYFUNCTION("""COMPUTED_VALUE"""),0)</f>
        <v>0</v>
      </c>
      <c r="L33" s="6">
        <f ca="1">IFERROR(__xludf.DUMMYFUNCTION("""COMPUTED_VALUE"""),0)</f>
        <v>0</v>
      </c>
      <c r="M33" s="6">
        <f ca="1">IFERROR(__xludf.DUMMYFUNCTION("""COMPUTED_VALUE"""),0)</f>
        <v>0</v>
      </c>
      <c r="N33" s="6">
        <f ca="1">IFERROR(__xludf.DUMMYFUNCTION("""COMPUTED_VALUE"""),0)</f>
        <v>0</v>
      </c>
      <c r="O33" s="6">
        <f ca="1">IFERROR(__xludf.DUMMYFUNCTION("""COMPUTED_VALUE"""),0)</f>
        <v>0</v>
      </c>
      <c r="P33" s="6">
        <f ca="1">IFERROR(__xludf.DUMMYFUNCTION("""COMPUTED_VALUE"""),0)</f>
        <v>0</v>
      </c>
      <c r="R33" s="6">
        <f ca="1">IFERROR(__xludf.DUMMYFUNCTION("""COMPUTED_VALUE"""),0)</f>
        <v>0</v>
      </c>
      <c r="S33" s="6">
        <f ca="1">IFERROR(__xludf.DUMMYFUNCTION("""COMPUTED_VALUE"""),0)</f>
        <v>0</v>
      </c>
      <c r="T33" s="6">
        <f ca="1">IFERROR(__xludf.DUMMYFUNCTION("""COMPUTED_VALUE"""),0)</f>
        <v>0</v>
      </c>
      <c r="U33" s="6">
        <f ca="1">IFERROR(__xludf.DUMMYFUNCTION("""COMPUTED_VALUE"""),0)</f>
        <v>0</v>
      </c>
      <c r="V33" s="6">
        <f ca="1">IFERROR(__xludf.DUMMYFUNCTION("""COMPUTED_VALUE"""),1)</f>
        <v>1</v>
      </c>
      <c r="W33" s="6">
        <f ca="1">IFERROR(__xludf.DUMMYFUNCTION("""COMPUTED_VALUE"""),0)</f>
        <v>0</v>
      </c>
      <c r="X33" s="6">
        <f ca="1">IFERROR(__xludf.DUMMYFUNCTION("""COMPUTED_VALUE"""),0)</f>
        <v>0</v>
      </c>
      <c r="Y33" s="6">
        <f ca="1">IFERROR(__xludf.DUMMYFUNCTION("""COMPUTED_VALUE"""),0)</f>
        <v>0</v>
      </c>
      <c r="Z33" s="6">
        <f ca="1">IFERROR(__xludf.DUMMYFUNCTION("""COMPUTED_VALUE"""),0)</f>
        <v>0</v>
      </c>
      <c r="AA33" s="6">
        <f ca="1">IFERROR(__xludf.DUMMYFUNCTION("""COMPUTED_VALUE"""),1)</f>
        <v>1</v>
      </c>
      <c r="AB33" s="6" t="b">
        <f ca="1">IFERROR(__xludf.DUMMYFUNCTION("""COMPUTED_VALUE"""),FALSE)</f>
        <v>0</v>
      </c>
      <c r="AD33" s="6" t="b">
        <f ca="1">IFERROR(__xludf.DUMMYFUNCTION("""COMPUTED_VALUE"""),FALSE)</f>
        <v>0</v>
      </c>
      <c r="AE33" s="6">
        <f ca="1">IFERROR(__xludf.DUMMYFUNCTION("""COMPUTED_VALUE"""),0)</f>
        <v>0</v>
      </c>
      <c r="AF33" s="6">
        <f ca="1">IFERROR(__xludf.DUMMYFUNCTION("""COMPUTED_VALUE"""),0)</f>
        <v>0</v>
      </c>
      <c r="AG33" s="6">
        <f ca="1">IFERROR(__xludf.DUMMYFUNCTION("""COMPUTED_VALUE"""),0)</f>
        <v>0</v>
      </c>
      <c r="AH33" s="6">
        <f ca="1">IFERROR(__xludf.DUMMYFUNCTION("""COMPUTED_VALUE"""),0)</f>
        <v>0</v>
      </c>
      <c r="AI33" s="6">
        <f ca="1">IFERROR(__xludf.DUMMYFUNCTION("""COMPUTED_VALUE"""),0)</f>
        <v>0</v>
      </c>
      <c r="AK33" s="6" t="str">
        <f ca="1">IFERROR(__xludf.DUMMYFUNCTION("""COMPUTED_VALUE"""),"P")</f>
        <v>P</v>
      </c>
      <c r="AL33" s="6">
        <f ca="1">IFERROR(__xludf.DUMMYFUNCTION("""COMPUTED_VALUE"""),0)</f>
        <v>0</v>
      </c>
      <c r="AM33" s="6" t="b">
        <f ca="1">IFERROR(__xludf.DUMMYFUNCTION("""COMPUTED_VALUE"""),FALSE)</f>
        <v>0</v>
      </c>
      <c r="AN33" s="6" t="str">
        <f ca="1">IFERROR(__xludf.DUMMYFUNCTION("""COMPUTED_VALUE"""),"P")</f>
        <v>P</v>
      </c>
      <c r="AO33" s="6" t="str">
        <f ca="1">IFERROR(__xludf.DUMMYFUNCTION("""COMPUTED_VALUE"""),"Parked in the barge about half way through the match")</f>
        <v>Parked in the barge about half way through the match</v>
      </c>
      <c r="AP33" s="6" t="str">
        <f ca="1">IFERROR(__xludf.DUMMYFUNCTION("""COMPUTED_VALUE"""),"x")</f>
        <v>x</v>
      </c>
      <c r="AQ33" s="6" t="b">
        <f ca="1">IFERROR(__xludf.DUMMYFUNCTION("""COMPUTED_VALUE"""),FALSE)</f>
        <v>0</v>
      </c>
      <c r="AR33" s="6" t="b">
        <f ca="1">IFERROR(__xludf.DUMMYFUNCTION("""COMPUTED_VALUE"""),TRUE)</f>
        <v>1</v>
      </c>
      <c r="AS33" s="15"/>
      <c r="AT33" s="6" t="str">
        <f ca="1">IFERROR(__xludf.DUMMYFUNCTION("SWITCH(IF(A33=""Practice"",AN33,FILTER('Items by Team'!E$2:E3410,'Items by Team'!C$2:C3410=D33,B33='Items by Team'!B$2:B3410)),""None"",""No"",""Parked"",""P"",""ShallowCage"",""Sc"",""DeepCage"",""Dc"",""No"",""No"",""P"",""P"",""Sc"",""Sc"",""Dc"",""Dc"&amp;""")"),"P")</f>
        <v>P</v>
      </c>
      <c r="AU33" s="6" t="str">
        <f ca="1">IFERROR(__xludf.DUMMYFUNCTION("SWITCH(IF(A33 = ""Practice"", H33, FILTER('Items by Team'!D$2:D3410,'Items by Team'!C$2:C3410 = D33,'Items by Team'!B$2:B3410 = B33)), ""Yes"", ""TRUE"", ""No"", ""FALSE"",TRUE, ""TRUE"", FALSE, ""FALSE"")"),"TRUE")</f>
        <v>TRUE</v>
      </c>
      <c r="AV33" s="6" t="str">
        <f t="shared" ca="1" si="0"/>
        <v/>
      </c>
      <c r="AW33" s="6">
        <f t="shared" ca="1" si="1"/>
        <v>1</v>
      </c>
      <c r="AX33" s="6">
        <f t="shared" ca="1" si="2"/>
        <v>0</v>
      </c>
      <c r="AY33" s="6">
        <f t="shared" ca="1" si="3"/>
        <v>0</v>
      </c>
      <c r="AZ33" s="9" t="str">
        <f t="shared" ca="1" si="4"/>
        <v/>
      </c>
      <c r="BA33" s="6">
        <f t="shared" ca="1" si="5"/>
        <v>0</v>
      </c>
      <c r="BB33" s="6">
        <f t="shared" ca="1" si="6"/>
        <v>0</v>
      </c>
      <c r="BC33" s="9" t="str">
        <f t="shared" ca="1" si="7"/>
        <v/>
      </c>
      <c r="BD33" s="6">
        <f t="shared" ca="1" si="8"/>
        <v>0</v>
      </c>
      <c r="BE33" s="6">
        <f t="shared" ca="1" si="9"/>
        <v>0</v>
      </c>
      <c r="BF33" s="9" t="str">
        <f t="shared" ca="1" si="10"/>
        <v/>
      </c>
      <c r="BG33" s="6">
        <f t="shared" ca="1" si="11"/>
        <v>0</v>
      </c>
      <c r="BH33" s="6">
        <f t="shared" ca="1" si="12"/>
        <v>0</v>
      </c>
      <c r="BI33" s="9" t="str">
        <f t="shared" ca="1" si="13"/>
        <v/>
      </c>
      <c r="BJ33" s="6">
        <f t="shared" ca="1" si="14"/>
        <v>0</v>
      </c>
      <c r="BK33" s="6">
        <f t="shared" ca="1" si="15"/>
        <v>0</v>
      </c>
      <c r="BL33" s="6">
        <f t="shared" ca="1" si="16"/>
        <v>0</v>
      </c>
      <c r="BM33" s="6">
        <f t="shared" ca="1" si="17"/>
        <v>0</v>
      </c>
      <c r="BN33" s="6">
        <f t="shared" ca="1" si="18"/>
        <v>0</v>
      </c>
      <c r="BP33" s="6">
        <f t="shared" ca="1" si="19"/>
        <v>0</v>
      </c>
      <c r="BQ33" s="6" t="b">
        <f ca="1">IFERROR(__xludf.DUMMYFUNCTION("IF(AND(ISERROR(FILTER('Items by Team'!D$2:D3410,'Items by Team'!C$2:C3410 = D33,'Items by Team'!B$2:B3410 = B33)),NOT(A33=""Practice"")),TRUE,FALSE)"),FALSE)</f>
        <v>0</v>
      </c>
      <c r="BR33" s="6" t="e">
        <f t="shared" ca="1" si="20"/>
        <v>#VALUE!</v>
      </c>
    </row>
    <row r="34" spans="1:70">
      <c r="A34" s="6" t="str">
        <f ca="1">IFERROR(__xludf.DUMMYFUNCTION("""COMPUTED_VALUE"""),"Practice")</f>
        <v>Practice</v>
      </c>
      <c r="B34" s="6">
        <f ca="1">IFERROR(__xludf.DUMMYFUNCTION("""COMPUTED_VALUE"""),6)</f>
        <v>6</v>
      </c>
      <c r="C34" s="6" t="str">
        <f ca="1">IFERROR(__xludf.DUMMYFUNCTION("""COMPUTED_VALUE"""),"R1")</f>
        <v>R1</v>
      </c>
      <c r="D34" s="6">
        <f ca="1">IFERROR(__xludf.DUMMYFUNCTION("""COMPUTED_VALUE"""),2472)</f>
        <v>2472</v>
      </c>
      <c r="E34" s="6" t="b">
        <f ca="1">IFERROR(__xludf.DUMMYFUNCTION("""COMPUTED_VALUE"""),FALSE)</f>
        <v>0</v>
      </c>
      <c r="F34" s="6" t="str">
        <f ca="1">IFERROR(__xludf.DUMMYFUNCTION("""COMPUTED_VALUE"""),"Red Barge")</f>
        <v>Red Barge</v>
      </c>
      <c r="G34" s="6" t="b">
        <f ca="1">IFERROR(__xludf.DUMMYFUNCTION("""COMPUTED_VALUE"""),TRUE)</f>
        <v>1</v>
      </c>
      <c r="H34" s="6" t="b">
        <f ca="1">IFERROR(__xludf.DUMMYFUNCTION("""COMPUTED_VALUE"""),FALSE)</f>
        <v>0</v>
      </c>
      <c r="I34" s="6">
        <f ca="1">IFERROR(__xludf.DUMMYFUNCTION("""COMPUTED_VALUE"""),0)</f>
        <v>0</v>
      </c>
      <c r="J34" s="6">
        <f ca="1">IFERROR(__xludf.DUMMYFUNCTION("""COMPUTED_VALUE"""),0)</f>
        <v>0</v>
      </c>
      <c r="K34" s="6">
        <f ca="1">IFERROR(__xludf.DUMMYFUNCTION("""COMPUTED_VALUE"""),0)</f>
        <v>0</v>
      </c>
      <c r="L34" s="6">
        <f ca="1">IFERROR(__xludf.DUMMYFUNCTION("""COMPUTED_VALUE"""),0)</f>
        <v>0</v>
      </c>
      <c r="M34" s="6">
        <f ca="1">IFERROR(__xludf.DUMMYFUNCTION("""COMPUTED_VALUE"""),0)</f>
        <v>0</v>
      </c>
      <c r="N34" s="6">
        <f ca="1">IFERROR(__xludf.DUMMYFUNCTION("""COMPUTED_VALUE"""),0)</f>
        <v>0</v>
      </c>
      <c r="O34" s="6">
        <f ca="1">IFERROR(__xludf.DUMMYFUNCTION("""COMPUTED_VALUE"""),0)</f>
        <v>0</v>
      </c>
      <c r="P34" s="6">
        <f ca="1">IFERROR(__xludf.DUMMYFUNCTION("""COMPUTED_VALUE"""),1)</f>
        <v>1</v>
      </c>
      <c r="R34" s="6">
        <f ca="1">IFERROR(__xludf.DUMMYFUNCTION("""COMPUTED_VALUE"""),0)</f>
        <v>0</v>
      </c>
      <c r="S34" s="6">
        <f ca="1">IFERROR(__xludf.DUMMYFUNCTION("""COMPUTED_VALUE"""),0)</f>
        <v>0</v>
      </c>
      <c r="T34" s="6">
        <f ca="1">IFERROR(__xludf.DUMMYFUNCTION("""COMPUTED_VALUE"""),0)</f>
        <v>0</v>
      </c>
      <c r="U34" s="6">
        <f ca="1">IFERROR(__xludf.DUMMYFUNCTION("""COMPUTED_VALUE"""),0)</f>
        <v>0</v>
      </c>
      <c r="V34" s="6">
        <f ca="1">IFERROR(__xludf.DUMMYFUNCTION("""COMPUTED_VALUE"""),0)</f>
        <v>0</v>
      </c>
      <c r="W34" s="6">
        <f ca="1">IFERROR(__xludf.DUMMYFUNCTION("""COMPUTED_VALUE"""),1)</f>
        <v>1</v>
      </c>
      <c r="X34" s="6">
        <f ca="1">IFERROR(__xludf.DUMMYFUNCTION("""COMPUTED_VALUE"""),0)</f>
        <v>0</v>
      </c>
      <c r="Y34" s="6">
        <f ca="1">IFERROR(__xludf.DUMMYFUNCTION("""COMPUTED_VALUE"""),0)</f>
        <v>0</v>
      </c>
      <c r="Z34" s="6">
        <f ca="1">IFERROR(__xludf.DUMMYFUNCTION("""COMPUTED_VALUE"""),0)</f>
        <v>0</v>
      </c>
      <c r="AA34" s="6">
        <f ca="1">IFERROR(__xludf.DUMMYFUNCTION("""COMPUTED_VALUE"""),0)</f>
        <v>0</v>
      </c>
      <c r="AB34" s="6" t="b">
        <f ca="1">IFERROR(__xludf.DUMMYFUNCTION("""COMPUTED_VALUE"""),TRUE)</f>
        <v>1</v>
      </c>
      <c r="AD34" s="6" t="b">
        <f ca="1">IFERROR(__xludf.DUMMYFUNCTION("""COMPUTED_VALUE"""),FALSE)</f>
        <v>0</v>
      </c>
      <c r="AE34" s="6">
        <f ca="1">IFERROR(__xludf.DUMMYFUNCTION("""COMPUTED_VALUE"""),8)</f>
        <v>8</v>
      </c>
      <c r="AF34" s="6">
        <f ca="1">IFERROR(__xludf.DUMMYFUNCTION("""COMPUTED_VALUE"""),0)</f>
        <v>0</v>
      </c>
      <c r="AG34" s="6">
        <f ca="1">IFERROR(__xludf.DUMMYFUNCTION("""COMPUTED_VALUE"""),0)</f>
        <v>0</v>
      </c>
      <c r="AH34" s="6">
        <f ca="1">IFERROR(__xludf.DUMMYFUNCTION("""COMPUTED_VALUE"""),0)</f>
        <v>0</v>
      </c>
      <c r="AI34" s="6">
        <f ca="1">IFERROR(__xludf.DUMMYFUNCTION("""COMPUTED_VALUE"""),5)</f>
        <v>5</v>
      </c>
      <c r="AK34" s="6" t="str">
        <f ca="1">IFERROR(__xludf.DUMMYFUNCTION("""COMPUTED_VALUE"""),"P")</f>
        <v>P</v>
      </c>
      <c r="AL34" s="6">
        <f ca="1">IFERROR(__xludf.DUMMYFUNCTION("""COMPUTED_VALUE"""),0)</f>
        <v>0</v>
      </c>
      <c r="AM34" s="6" t="b">
        <f ca="1">IFERROR(__xludf.DUMMYFUNCTION("""COMPUTED_VALUE"""),FALSE)</f>
        <v>0</v>
      </c>
      <c r="AN34" s="6" t="str">
        <f ca="1">IFERROR(__xludf.DUMMYFUNCTION("""COMPUTED_VALUE"""),"No")</f>
        <v>No</v>
      </c>
      <c r="AO34" s="6"/>
      <c r="AP34" s="6" t="str">
        <f ca="1">IFERROR(__xludf.DUMMYFUNCTION("""COMPUTED_VALUE"""),"x")</f>
        <v>x</v>
      </c>
      <c r="AQ34" s="6" t="b">
        <f ca="1">IFERROR(__xludf.DUMMYFUNCTION("""COMPUTED_VALUE"""),FALSE)</f>
        <v>0</v>
      </c>
      <c r="AR34" s="6" t="b">
        <f ca="1">IFERROR(__xludf.DUMMYFUNCTION("""COMPUTED_VALUE"""),FALSE)</f>
        <v>0</v>
      </c>
      <c r="AS34" s="15"/>
      <c r="AT34" s="6" t="str">
        <f ca="1">IFERROR(__xludf.DUMMYFUNCTION("SWITCH(IF(A34=""Practice"",AN34,FILTER('Items by Team'!E$2:E3410,'Items by Team'!C$2:C3410=D34,B34='Items by Team'!B$2:B3410)),""None"",""No"",""Parked"",""P"",""ShallowCage"",""Sc"",""DeepCage"",""Dc"",""No"",""No"",""P"",""P"",""Sc"",""Sc"",""Dc"",""Dc"&amp;""")"),"No")</f>
        <v>No</v>
      </c>
      <c r="AU34" s="6" t="str">
        <f ca="1">IFERROR(__xludf.DUMMYFUNCTION("SWITCH(IF(A34 = ""Practice"", H34, FILTER('Items by Team'!D$2:D3410,'Items by Team'!C$2:C3410 = D34,'Items by Team'!B$2:B3410 = B34)), ""Yes"", ""TRUE"", ""No"", ""FALSE"",TRUE, ""TRUE"", FALSE, ""FALSE"")"),"FALSE")</f>
        <v>FALSE</v>
      </c>
      <c r="AV34" s="6" t="str">
        <f t="shared" ca="1" si="0"/>
        <v/>
      </c>
      <c r="AW34" s="6">
        <f t="shared" ca="1" si="1"/>
        <v>0</v>
      </c>
      <c r="AX34" s="6">
        <f t="shared" ca="1" si="2"/>
        <v>0</v>
      </c>
      <c r="AY34" s="6">
        <f t="shared" ca="1" si="3"/>
        <v>1</v>
      </c>
      <c r="AZ34" s="9">
        <f t="shared" ca="1" si="4"/>
        <v>0</v>
      </c>
      <c r="BA34" s="6">
        <f t="shared" ca="1" si="5"/>
        <v>0</v>
      </c>
      <c r="BB34" s="6">
        <f t="shared" ca="1" si="6"/>
        <v>0</v>
      </c>
      <c r="BC34" s="9" t="str">
        <f t="shared" ca="1" si="7"/>
        <v/>
      </c>
      <c r="BD34" s="6">
        <f t="shared" ca="1" si="8"/>
        <v>0</v>
      </c>
      <c r="BE34" s="6">
        <f t="shared" ca="1" si="9"/>
        <v>0</v>
      </c>
      <c r="BF34" s="9" t="str">
        <f t="shared" ca="1" si="10"/>
        <v/>
      </c>
      <c r="BG34" s="6">
        <f t="shared" ca="1" si="11"/>
        <v>8</v>
      </c>
      <c r="BH34" s="6">
        <f t="shared" ca="1" si="12"/>
        <v>13</v>
      </c>
      <c r="BI34" s="9">
        <f t="shared" ca="1" si="13"/>
        <v>0.61538461538461542</v>
      </c>
      <c r="BJ34" s="6">
        <f t="shared" ca="1" si="14"/>
        <v>0</v>
      </c>
      <c r="BK34" s="6">
        <f t="shared" ca="1" si="15"/>
        <v>0</v>
      </c>
      <c r="BL34" s="6">
        <f t="shared" ca="1" si="16"/>
        <v>0</v>
      </c>
      <c r="BM34" s="6">
        <f t="shared" ca="1" si="17"/>
        <v>0</v>
      </c>
      <c r="BN34" s="6">
        <f t="shared" ca="1" si="18"/>
        <v>1</v>
      </c>
      <c r="BP34" s="6">
        <f t="shared" ca="1" si="19"/>
        <v>0</v>
      </c>
      <c r="BQ34" s="6" t="b">
        <f ca="1">IFERROR(__xludf.DUMMYFUNCTION("IF(AND(ISERROR(FILTER('Items by Team'!D$2:D3410,'Items by Team'!C$2:C3410 = D34,'Items by Team'!B$2:B3410 = B34)),NOT(A34=""Practice"")),TRUE,FALSE)"),FALSE)</f>
        <v>0</v>
      </c>
      <c r="BR34" s="6" t="e">
        <f t="shared" ca="1" si="20"/>
        <v>#VALUE!</v>
      </c>
    </row>
    <row r="35" spans="1:70">
      <c r="A35" s="6" t="str">
        <f ca="1">IFERROR(__xludf.DUMMYFUNCTION("""COMPUTED_VALUE"""),"Practice")</f>
        <v>Practice</v>
      </c>
      <c r="B35" s="6">
        <f ca="1">IFERROR(__xludf.DUMMYFUNCTION("""COMPUTED_VALUE"""),6)</f>
        <v>6</v>
      </c>
      <c r="C35" s="6" t="str">
        <f ca="1">IFERROR(__xludf.DUMMYFUNCTION("""COMPUTED_VALUE"""),"R2")</f>
        <v>R2</v>
      </c>
      <c r="D35" s="6">
        <f ca="1">IFERROR(__xludf.DUMMYFUNCTION("""COMPUTED_VALUE"""),4663)</f>
        <v>4663</v>
      </c>
      <c r="E35" s="6" t="b">
        <f ca="1">IFERROR(__xludf.DUMMYFUNCTION("""COMPUTED_VALUE"""),FALSE)</f>
        <v>0</v>
      </c>
      <c r="F35" s="6" t="str">
        <f ca="1">IFERROR(__xludf.DUMMYFUNCTION("""COMPUTED_VALUE"""),"Middle")</f>
        <v>Middle</v>
      </c>
      <c r="G35" s="6" t="b">
        <f ca="1">IFERROR(__xludf.DUMMYFUNCTION("""COMPUTED_VALUE"""),TRUE)</f>
        <v>1</v>
      </c>
      <c r="H35" s="6" t="b">
        <f ca="1">IFERROR(__xludf.DUMMYFUNCTION("""COMPUTED_VALUE"""),FALSE)</f>
        <v>0</v>
      </c>
      <c r="I35" s="6">
        <f ca="1">IFERROR(__xludf.DUMMYFUNCTION("""COMPUTED_VALUE"""),0)</f>
        <v>0</v>
      </c>
      <c r="J35" s="6">
        <f ca="1">IFERROR(__xludf.DUMMYFUNCTION("""COMPUTED_VALUE"""),0)</f>
        <v>0</v>
      </c>
      <c r="K35" s="6">
        <f ca="1">IFERROR(__xludf.DUMMYFUNCTION("""COMPUTED_VALUE"""),0)</f>
        <v>0</v>
      </c>
      <c r="L35" s="6">
        <f ca="1">IFERROR(__xludf.DUMMYFUNCTION("""COMPUTED_VALUE"""),0)</f>
        <v>0</v>
      </c>
      <c r="M35" s="6">
        <f ca="1">IFERROR(__xludf.DUMMYFUNCTION("""COMPUTED_VALUE"""),0)</f>
        <v>0</v>
      </c>
      <c r="N35" s="6">
        <f ca="1">IFERROR(__xludf.DUMMYFUNCTION("""COMPUTED_VALUE"""),0)</f>
        <v>0</v>
      </c>
      <c r="O35" s="6">
        <f ca="1">IFERROR(__xludf.DUMMYFUNCTION("""COMPUTED_VALUE"""),1)</f>
        <v>1</v>
      </c>
      <c r="P35" s="6">
        <f ca="1">IFERROR(__xludf.DUMMYFUNCTION("""COMPUTED_VALUE"""),0)</f>
        <v>0</v>
      </c>
      <c r="R35" s="6">
        <f ca="1">IFERROR(__xludf.DUMMYFUNCTION("""COMPUTED_VALUE"""),0)</f>
        <v>0</v>
      </c>
      <c r="S35" s="6">
        <f ca="1">IFERROR(__xludf.DUMMYFUNCTION("""COMPUTED_VALUE"""),0)</f>
        <v>0</v>
      </c>
      <c r="T35" s="6">
        <f ca="1">IFERROR(__xludf.DUMMYFUNCTION("""COMPUTED_VALUE"""),0)</f>
        <v>0</v>
      </c>
      <c r="U35" s="6">
        <f ca="1">IFERROR(__xludf.DUMMYFUNCTION("""COMPUTED_VALUE"""),1)</f>
        <v>1</v>
      </c>
      <c r="V35" s="6">
        <f ca="1">IFERROR(__xludf.DUMMYFUNCTION("""COMPUTED_VALUE"""),0)</f>
        <v>0</v>
      </c>
      <c r="W35" s="6">
        <f ca="1">IFERROR(__xludf.DUMMYFUNCTION("""COMPUTED_VALUE"""),3)</f>
        <v>3</v>
      </c>
      <c r="X35" s="6">
        <f ca="1">IFERROR(__xludf.DUMMYFUNCTION("""COMPUTED_VALUE"""),3)</f>
        <v>3</v>
      </c>
      <c r="Y35" s="6">
        <f ca="1">IFERROR(__xludf.DUMMYFUNCTION("""COMPUTED_VALUE"""),0)</f>
        <v>0</v>
      </c>
      <c r="Z35" s="6">
        <f ca="1">IFERROR(__xludf.DUMMYFUNCTION("""COMPUTED_VALUE"""),0)</f>
        <v>0</v>
      </c>
      <c r="AA35" s="6">
        <f ca="1">IFERROR(__xludf.DUMMYFUNCTION("""COMPUTED_VALUE"""),0)</f>
        <v>0</v>
      </c>
      <c r="AB35" s="6" t="b">
        <f ca="1">IFERROR(__xludf.DUMMYFUNCTION("""COMPUTED_VALUE"""),FALSE)</f>
        <v>0</v>
      </c>
      <c r="AD35" s="6" t="b">
        <f ca="1">IFERROR(__xludf.DUMMYFUNCTION("""COMPUTED_VALUE"""),FALSE)</f>
        <v>0</v>
      </c>
      <c r="AE35" s="6">
        <f ca="1">IFERROR(__xludf.DUMMYFUNCTION("""COMPUTED_VALUE"""),1)</f>
        <v>1</v>
      </c>
      <c r="AF35" s="6">
        <f ca="1">IFERROR(__xludf.DUMMYFUNCTION("""COMPUTED_VALUE"""),0)</f>
        <v>0</v>
      </c>
      <c r="AG35" s="6">
        <f ca="1">IFERROR(__xludf.DUMMYFUNCTION("""COMPUTED_VALUE"""),0)</f>
        <v>0</v>
      </c>
      <c r="AH35" s="6">
        <f ca="1">IFERROR(__xludf.DUMMYFUNCTION("""COMPUTED_VALUE"""),0)</f>
        <v>0</v>
      </c>
      <c r="AI35" s="6">
        <f ca="1">IFERROR(__xludf.DUMMYFUNCTION("""COMPUTED_VALUE"""),0)</f>
        <v>0</v>
      </c>
      <c r="AK35" s="6" t="str">
        <f ca="1">IFERROR(__xludf.DUMMYFUNCTION("""COMPUTED_VALUE"""),"Dc")</f>
        <v>Dc</v>
      </c>
      <c r="AL35" s="6">
        <f ca="1">IFERROR(__xludf.DUMMYFUNCTION("""COMPUTED_VALUE"""),0)</f>
        <v>0</v>
      </c>
      <c r="AM35" s="6" t="b">
        <f ca="1">IFERROR(__xludf.DUMMYFUNCTION("""COMPUTED_VALUE"""),FALSE)</f>
        <v>0</v>
      </c>
      <c r="AN35" s="6" t="str">
        <f ca="1">IFERROR(__xludf.DUMMYFUNCTION("""COMPUTED_VALUE"""),"P")</f>
        <v>P</v>
      </c>
      <c r="AO35" s="6"/>
      <c r="AP35" s="6" t="str">
        <f ca="1">IFERROR(__xludf.DUMMYFUNCTION("""COMPUTED_VALUE"""),"x")</f>
        <v>x</v>
      </c>
      <c r="AQ35" s="6" t="b">
        <f ca="1">IFERROR(__xludf.DUMMYFUNCTION("""COMPUTED_VALUE"""),FALSE)</f>
        <v>0</v>
      </c>
      <c r="AR35" s="6" t="b">
        <f ca="1">IFERROR(__xludf.DUMMYFUNCTION("""COMPUTED_VALUE"""),FALSE)</f>
        <v>0</v>
      </c>
      <c r="AS35" s="15"/>
      <c r="AT35" s="6" t="str">
        <f ca="1">IFERROR(__xludf.DUMMYFUNCTION("SWITCH(IF(A35=""Practice"",AN35,FILTER('Items by Team'!E$2:E3410,'Items by Team'!C$2:C3410=D35,B35='Items by Team'!B$2:B3410)),""None"",""No"",""Parked"",""P"",""ShallowCage"",""Sc"",""DeepCage"",""Dc"",""No"",""No"",""P"",""P"",""Sc"",""Sc"",""Dc"",""Dc"&amp;""")"),"P")</f>
        <v>P</v>
      </c>
      <c r="AU35" s="6" t="str">
        <f ca="1">IFERROR(__xludf.DUMMYFUNCTION("SWITCH(IF(A35 = ""Practice"", H35, FILTER('Items by Team'!D$2:D3410,'Items by Team'!C$2:C3410 = D35,'Items by Team'!B$2:B3410 = B35)), ""Yes"", ""TRUE"", ""No"", ""FALSE"",TRUE, ""TRUE"", FALSE, ""FALSE"")"),"FALSE")</f>
        <v>FALSE</v>
      </c>
      <c r="AV35" s="6" t="str">
        <f t="shared" ca="1" si="0"/>
        <v/>
      </c>
      <c r="AW35" s="6">
        <f t="shared" ca="1" si="1"/>
        <v>0</v>
      </c>
      <c r="AX35" s="6">
        <f t="shared" ca="1" si="2"/>
        <v>1</v>
      </c>
      <c r="AY35" s="6">
        <f t="shared" ca="1" si="3"/>
        <v>1</v>
      </c>
      <c r="AZ35" s="9">
        <f t="shared" ca="1" si="4"/>
        <v>1</v>
      </c>
      <c r="BA35" s="6">
        <f t="shared" ca="1" si="5"/>
        <v>0</v>
      </c>
      <c r="BB35" s="6">
        <f t="shared" ca="1" si="6"/>
        <v>1</v>
      </c>
      <c r="BC35" s="9">
        <f t="shared" ca="1" si="7"/>
        <v>0</v>
      </c>
      <c r="BD35" s="6">
        <f t="shared" ca="1" si="8"/>
        <v>3</v>
      </c>
      <c r="BE35" s="6">
        <f t="shared" ca="1" si="9"/>
        <v>3</v>
      </c>
      <c r="BF35" s="9">
        <f t="shared" ca="1" si="10"/>
        <v>1</v>
      </c>
      <c r="BG35" s="6">
        <f t="shared" ca="1" si="11"/>
        <v>1</v>
      </c>
      <c r="BH35" s="6">
        <f t="shared" ca="1" si="12"/>
        <v>1</v>
      </c>
      <c r="BI35" s="9">
        <f t="shared" ca="1" si="13"/>
        <v>1</v>
      </c>
      <c r="BJ35" s="6">
        <f t="shared" ca="1" si="14"/>
        <v>0</v>
      </c>
      <c r="BK35" s="6">
        <f t="shared" ca="1" si="15"/>
        <v>0</v>
      </c>
      <c r="BL35" s="6">
        <f t="shared" ca="1" si="16"/>
        <v>0</v>
      </c>
      <c r="BM35" s="6">
        <f t="shared" ca="1" si="17"/>
        <v>0</v>
      </c>
      <c r="BN35" s="6">
        <f t="shared" ca="1" si="18"/>
        <v>0</v>
      </c>
      <c r="BP35" s="6">
        <f t="shared" ca="1" si="19"/>
        <v>0</v>
      </c>
      <c r="BQ35" s="6" t="b">
        <f ca="1">IFERROR(__xludf.DUMMYFUNCTION("IF(AND(ISERROR(FILTER('Items by Team'!D$2:D3410,'Items by Team'!C$2:C3410 = D35,'Items by Team'!B$2:B3410 = B35)),NOT(A35=""Practice"")),TRUE,FALSE)"),FALSE)</f>
        <v>0</v>
      </c>
      <c r="BR35" s="6" t="e">
        <f t="shared" ca="1" si="20"/>
        <v>#VALUE!</v>
      </c>
    </row>
    <row r="36" spans="1:70">
      <c r="A36" s="6" t="str">
        <f ca="1">IFERROR(__xludf.DUMMYFUNCTION("""COMPUTED_VALUE"""),"Practice")</f>
        <v>Practice</v>
      </c>
      <c r="B36" s="6">
        <f ca="1">IFERROR(__xludf.DUMMYFUNCTION("""COMPUTED_VALUE"""),6)</f>
        <v>6</v>
      </c>
      <c r="C36" s="6" t="str">
        <f ca="1">IFERROR(__xludf.DUMMYFUNCTION("""COMPUTED_VALUE"""),"R1")</f>
        <v>R1</v>
      </c>
      <c r="D36" s="6">
        <f ca="1">IFERROR(__xludf.DUMMYFUNCTION("""COMPUTED_VALUE"""),3082)</f>
        <v>3082</v>
      </c>
      <c r="E36" s="6" t="b">
        <f ca="1">IFERROR(__xludf.DUMMYFUNCTION("""COMPUTED_VALUE"""),FALSE)</f>
        <v>0</v>
      </c>
      <c r="F36" s="6" t="str">
        <f ca="1">IFERROR(__xludf.DUMMYFUNCTION("""COMPUTED_VALUE"""),"Red Barge")</f>
        <v>Red Barge</v>
      </c>
      <c r="G36" s="6" t="b">
        <f ca="1">IFERROR(__xludf.DUMMYFUNCTION("""COMPUTED_VALUE"""),TRUE)</f>
        <v>1</v>
      </c>
      <c r="H36" s="6" t="b">
        <f ca="1">IFERROR(__xludf.DUMMYFUNCTION("""COMPUTED_VALUE"""),FALSE)</f>
        <v>0</v>
      </c>
      <c r="I36" s="6">
        <f ca="1">IFERROR(__xludf.DUMMYFUNCTION("""COMPUTED_VALUE"""),2)</f>
        <v>2</v>
      </c>
      <c r="J36" s="6">
        <f ca="1">IFERROR(__xludf.DUMMYFUNCTION("""COMPUTED_VALUE"""),0)</f>
        <v>0</v>
      </c>
      <c r="K36" s="6">
        <f ca="1">IFERROR(__xludf.DUMMYFUNCTION("""COMPUTED_VALUE"""),0)</f>
        <v>0</v>
      </c>
      <c r="L36" s="6">
        <f ca="1">IFERROR(__xludf.DUMMYFUNCTION("""COMPUTED_VALUE"""),2)</f>
        <v>2</v>
      </c>
      <c r="M36" s="6">
        <f ca="1">IFERROR(__xludf.DUMMYFUNCTION("""COMPUTED_VALUE"""),0)</f>
        <v>0</v>
      </c>
      <c r="N36" s="6">
        <f ca="1">IFERROR(__xludf.DUMMYFUNCTION("""COMPUTED_VALUE"""),0)</f>
        <v>0</v>
      </c>
      <c r="O36" s="6">
        <f ca="1">IFERROR(__xludf.DUMMYFUNCTION("""COMPUTED_VALUE"""),0)</f>
        <v>0</v>
      </c>
      <c r="P36" s="6">
        <f ca="1">IFERROR(__xludf.DUMMYFUNCTION("""COMPUTED_VALUE"""),1)</f>
        <v>1</v>
      </c>
      <c r="R36" s="6">
        <f ca="1">IFERROR(__xludf.DUMMYFUNCTION("""COMPUTED_VALUE"""),0)</f>
        <v>0</v>
      </c>
      <c r="S36" s="6">
        <f ca="1">IFERROR(__xludf.DUMMYFUNCTION("""COMPUTED_VALUE"""),0)</f>
        <v>0</v>
      </c>
      <c r="T36" s="6">
        <f ca="1">IFERROR(__xludf.DUMMYFUNCTION("""COMPUTED_VALUE"""),0)</f>
        <v>0</v>
      </c>
      <c r="U36" s="6">
        <f ca="1">IFERROR(__xludf.DUMMYFUNCTION("""COMPUTED_VALUE"""),0)</f>
        <v>0</v>
      </c>
      <c r="V36" s="6">
        <f ca="1">IFERROR(__xludf.DUMMYFUNCTION("""COMPUTED_VALUE"""),0)</f>
        <v>0</v>
      </c>
      <c r="W36" s="6">
        <f ca="1">IFERROR(__xludf.DUMMYFUNCTION("""COMPUTED_VALUE"""),0)</f>
        <v>0</v>
      </c>
      <c r="X36" s="6">
        <f ca="1">IFERROR(__xludf.DUMMYFUNCTION("""COMPUTED_VALUE"""),0)</f>
        <v>0</v>
      </c>
      <c r="Y36" s="6">
        <f ca="1">IFERROR(__xludf.DUMMYFUNCTION("""COMPUTED_VALUE"""),0)</f>
        <v>0</v>
      </c>
      <c r="Z36" s="6">
        <f ca="1">IFERROR(__xludf.DUMMYFUNCTION("""COMPUTED_VALUE"""),0)</f>
        <v>0</v>
      </c>
      <c r="AA36" s="6">
        <f ca="1">IFERROR(__xludf.DUMMYFUNCTION("""COMPUTED_VALUE"""),0)</f>
        <v>0</v>
      </c>
      <c r="AB36" s="6" t="b">
        <f ca="1">IFERROR(__xludf.DUMMYFUNCTION("""COMPUTED_VALUE"""),TRUE)</f>
        <v>1</v>
      </c>
      <c r="AD36" s="6" t="b">
        <f ca="1">IFERROR(__xludf.DUMMYFUNCTION("""COMPUTED_VALUE"""),FALSE)</f>
        <v>0</v>
      </c>
      <c r="AE36" s="6">
        <f ca="1">IFERROR(__xludf.DUMMYFUNCTION("""COMPUTED_VALUE"""),4)</f>
        <v>4</v>
      </c>
      <c r="AF36" s="6">
        <f ca="1">IFERROR(__xludf.DUMMYFUNCTION("""COMPUTED_VALUE"""),0)</f>
        <v>0</v>
      </c>
      <c r="AG36" s="6">
        <f ca="1">IFERROR(__xludf.DUMMYFUNCTION("""COMPUTED_VALUE"""),0)</f>
        <v>0</v>
      </c>
      <c r="AH36" s="6">
        <f ca="1">IFERROR(__xludf.DUMMYFUNCTION("""COMPUTED_VALUE"""),0)</f>
        <v>0</v>
      </c>
      <c r="AI36" s="6">
        <f ca="1">IFERROR(__xludf.DUMMYFUNCTION("""COMPUTED_VALUE"""),1)</f>
        <v>1</v>
      </c>
      <c r="AK36" s="6" t="str">
        <f ca="1">IFERROR(__xludf.DUMMYFUNCTION("""COMPUTED_VALUE"""),"No")</f>
        <v>No</v>
      </c>
      <c r="AL36" s="6">
        <f ca="1">IFERROR(__xludf.DUMMYFUNCTION("""COMPUTED_VALUE"""),0)</f>
        <v>0</v>
      </c>
      <c r="AM36" s="6" t="b">
        <f ca="1">IFERROR(__xludf.DUMMYFUNCTION("""COMPUTED_VALUE"""),FALSE)</f>
        <v>0</v>
      </c>
      <c r="AN36" s="6" t="str">
        <f ca="1">IFERROR(__xludf.DUMMYFUNCTION("""COMPUTED_VALUE"""),"Sc")</f>
        <v>Sc</v>
      </c>
      <c r="AO36" s="6" t="str">
        <f ca="1">IFERROR(__xludf.DUMMYFUNCTION("""COMPUTED_VALUE"""),"climb not successful")</f>
        <v>climb not successful</v>
      </c>
      <c r="AP36" s="6" t="str">
        <f ca="1">IFERROR(__xludf.DUMMYFUNCTION("""COMPUTED_VALUE"""),"x")</f>
        <v>x</v>
      </c>
      <c r="AQ36" s="6" t="b">
        <f ca="1">IFERROR(__xludf.DUMMYFUNCTION("""COMPUTED_VALUE"""),TRUE)</f>
        <v>1</v>
      </c>
      <c r="AR36" s="6" t="b">
        <f ca="1">IFERROR(__xludf.DUMMYFUNCTION("""COMPUTED_VALUE"""),FALSE)</f>
        <v>0</v>
      </c>
      <c r="AS36" s="15"/>
      <c r="AT36" s="6" t="str">
        <f ca="1">IFERROR(__xludf.DUMMYFUNCTION("SWITCH(IF(A36=""Practice"",AN36,FILTER('Items by Team'!E$2:E3410,'Items by Team'!C$2:C3410=D36,B36='Items by Team'!B$2:B3410)),""None"",""No"",""Parked"",""P"",""ShallowCage"",""Sc"",""DeepCage"",""Dc"",""No"",""No"",""P"",""P"",""Sc"",""Sc"",""Dc"",""Dc"&amp;""")"),"Sc")</f>
        <v>Sc</v>
      </c>
      <c r="AU36" s="6" t="str">
        <f ca="1">IFERROR(__xludf.DUMMYFUNCTION("SWITCH(IF(A36 = ""Practice"", H36, FILTER('Items by Team'!D$2:D3410,'Items by Team'!C$2:C3410 = D36,'Items by Team'!B$2:B3410 = B36)), ""Yes"", ""TRUE"", ""No"", ""FALSE"",TRUE, ""TRUE"", FALSE, ""FALSE"")"),"FALSE")</f>
        <v>FALSE</v>
      </c>
      <c r="AV36" s="6" t="str">
        <f t="shared" ca="1" si="0"/>
        <v/>
      </c>
      <c r="AW36" s="6">
        <f t="shared" ca="1" si="1"/>
        <v>0</v>
      </c>
      <c r="AX36" s="6">
        <f t="shared" ca="1" si="2"/>
        <v>2</v>
      </c>
      <c r="AY36" s="6">
        <f t="shared" ca="1" si="3"/>
        <v>3</v>
      </c>
      <c r="AZ36" s="9">
        <f t="shared" ca="1" si="4"/>
        <v>0.66666666666666663</v>
      </c>
      <c r="BA36" s="6">
        <f t="shared" ca="1" si="5"/>
        <v>0</v>
      </c>
      <c r="BB36" s="6">
        <f t="shared" ca="1" si="6"/>
        <v>0</v>
      </c>
      <c r="BC36" s="9" t="str">
        <f t="shared" ca="1" si="7"/>
        <v/>
      </c>
      <c r="BD36" s="6">
        <f t="shared" ca="1" si="8"/>
        <v>0</v>
      </c>
      <c r="BE36" s="6">
        <f t="shared" ca="1" si="9"/>
        <v>0</v>
      </c>
      <c r="BF36" s="9" t="str">
        <f t="shared" ca="1" si="10"/>
        <v/>
      </c>
      <c r="BG36" s="6">
        <f t="shared" ca="1" si="11"/>
        <v>4</v>
      </c>
      <c r="BH36" s="6">
        <f t="shared" ca="1" si="12"/>
        <v>5</v>
      </c>
      <c r="BI36" s="9">
        <f t="shared" ca="1" si="13"/>
        <v>0.8</v>
      </c>
      <c r="BJ36" s="6">
        <f t="shared" ca="1" si="14"/>
        <v>1</v>
      </c>
      <c r="BK36" s="6">
        <f t="shared" ca="1" si="15"/>
        <v>1</v>
      </c>
      <c r="BL36" s="6">
        <f t="shared" ca="1" si="16"/>
        <v>0</v>
      </c>
      <c r="BM36" s="6">
        <f t="shared" ca="1" si="17"/>
        <v>0</v>
      </c>
      <c r="BN36" s="6">
        <f t="shared" ca="1" si="18"/>
        <v>1</v>
      </c>
      <c r="BP36" s="6">
        <f t="shared" ca="1" si="19"/>
        <v>0</v>
      </c>
      <c r="BQ36" s="6" t="b">
        <f ca="1">IFERROR(__xludf.DUMMYFUNCTION("IF(AND(ISERROR(FILTER('Items by Team'!D$2:D3410,'Items by Team'!C$2:C3410 = D36,'Items by Team'!B$2:B3410 = B36)),NOT(A36=""Practice"")),TRUE,FALSE)"),FALSE)</f>
        <v>0</v>
      </c>
      <c r="BR36" s="6" t="e">
        <f t="shared" ca="1" si="20"/>
        <v>#VALUE!</v>
      </c>
    </row>
    <row r="37" spans="1:70">
      <c r="A37" s="6" t="str">
        <f ca="1">IFERROR(__xludf.DUMMYFUNCTION("""COMPUTED_VALUE"""),"Practice")</f>
        <v>Practice</v>
      </c>
      <c r="B37" s="6">
        <f ca="1">IFERROR(__xludf.DUMMYFUNCTION("""COMPUTED_VALUE"""),7)</f>
        <v>7</v>
      </c>
      <c r="C37" s="6" t="str">
        <f ca="1">IFERROR(__xludf.DUMMYFUNCTION("""COMPUTED_VALUE"""),"B2")</f>
        <v>B2</v>
      </c>
      <c r="D37" s="6">
        <f ca="1">IFERROR(__xludf.DUMMYFUNCTION("""COMPUTED_VALUE"""),3883)</f>
        <v>3883</v>
      </c>
      <c r="E37" s="6" t="b">
        <f ca="1">IFERROR(__xludf.DUMMYFUNCTION("""COMPUTED_VALUE"""),FALSE)</f>
        <v>0</v>
      </c>
      <c r="F37" s="6" t="str">
        <f ca="1">IFERROR(__xludf.DUMMYFUNCTION("""COMPUTED_VALUE"""),"Blue Barge")</f>
        <v>Blue Barge</v>
      </c>
      <c r="G37" s="6" t="b">
        <f ca="1">IFERROR(__xludf.DUMMYFUNCTION("""COMPUTED_VALUE"""),TRUE)</f>
        <v>1</v>
      </c>
      <c r="H37" s="6" t="b">
        <f ca="1">IFERROR(__xludf.DUMMYFUNCTION("""COMPUTED_VALUE"""),TRUE)</f>
        <v>1</v>
      </c>
      <c r="I37" s="6">
        <f ca="1">IFERROR(__xludf.DUMMYFUNCTION("""COMPUTED_VALUE"""),0)</f>
        <v>0</v>
      </c>
      <c r="J37" s="6">
        <f ca="1">IFERROR(__xludf.DUMMYFUNCTION("""COMPUTED_VALUE"""),0)</f>
        <v>0</v>
      </c>
      <c r="K37" s="6">
        <f ca="1">IFERROR(__xludf.DUMMYFUNCTION("""COMPUTED_VALUE"""),0)</f>
        <v>0</v>
      </c>
      <c r="L37" s="6">
        <f ca="1">IFERROR(__xludf.DUMMYFUNCTION("""COMPUTED_VALUE"""),0)</f>
        <v>0</v>
      </c>
      <c r="M37" s="6">
        <f ca="1">IFERROR(__xludf.DUMMYFUNCTION("""COMPUTED_VALUE"""),0)</f>
        <v>0</v>
      </c>
      <c r="N37" s="6">
        <f ca="1">IFERROR(__xludf.DUMMYFUNCTION("""COMPUTED_VALUE"""),0)</f>
        <v>0</v>
      </c>
      <c r="O37" s="6">
        <f ca="1">IFERROR(__xludf.DUMMYFUNCTION("""COMPUTED_VALUE"""),0)</f>
        <v>0</v>
      </c>
      <c r="P37" s="6">
        <f ca="1">IFERROR(__xludf.DUMMYFUNCTION("""COMPUTED_VALUE"""),1)</f>
        <v>1</v>
      </c>
      <c r="R37" s="6">
        <f ca="1">IFERROR(__xludf.DUMMYFUNCTION("""COMPUTED_VALUE"""),0)</f>
        <v>0</v>
      </c>
      <c r="S37" s="6">
        <f ca="1">IFERROR(__xludf.DUMMYFUNCTION("""COMPUTED_VALUE"""),0)</f>
        <v>0</v>
      </c>
      <c r="T37" s="6">
        <f ca="1">IFERROR(__xludf.DUMMYFUNCTION("""COMPUTED_VALUE"""),0)</f>
        <v>0</v>
      </c>
      <c r="U37" s="6">
        <f ca="1">IFERROR(__xludf.DUMMYFUNCTION("""COMPUTED_VALUE"""),0)</f>
        <v>0</v>
      </c>
      <c r="V37" s="6">
        <f ca="1">IFERROR(__xludf.DUMMYFUNCTION("""COMPUTED_VALUE"""),0)</f>
        <v>0</v>
      </c>
      <c r="W37" s="6">
        <f ca="1">IFERROR(__xludf.DUMMYFUNCTION("""COMPUTED_VALUE"""),0)</f>
        <v>0</v>
      </c>
      <c r="X37" s="6">
        <f ca="1">IFERROR(__xludf.DUMMYFUNCTION("""COMPUTED_VALUE"""),0)</f>
        <v>0</v>
      </c>
      <c r="Y37" s="6">
        <f ca="1">IFERROR(__xludf.DUMMYFUNCTION("""COMPUTED_VALUE"""),0)</f>
        <v>0</v>
      </c>
      <c r="Z37" s="6">
        <f ca="1">IFERROR(__xludf.DUMMYFUNCTION("""COMPUTED_VALUE"""),0)</f>
        <v>0</v>
      </c>
      <c r="AA37" s="6">
        <f ca="1">IFERROR(__xludf.DUMMYFUNCTION("""COMPUTED_VALUE"""),0)</f>
        <v>0</v>
      </c>
      <c r="AB37" s="6" t="b">
        <f ca="1">IFERROR(__xludf.DUMMYFUNCTION("""COMPUTED_VALUE"""),TRUE)</f>
        <v>1</v>
      </c>
      <c r="AD37" s="6" t="b">
        <f ca="1">IFERROR(__xludf.DUMMYFUNCTION("""COMPUTED_VALUE"""),FALSE)</f>
        <v>0</v>
      </c>
      <c r="AE37" s="6">
        <f ca="1">IFERROR(__xludf.DUMMYFUNCTION("""COMPUTED_VALUE"""),1)</f>
        <v>1</v>
      </c>
      <c r="AF37" s="6">
        <f ca="1">IFERROR(__xludf.DUMMYFUNCTION("""COMPUTED_VALUE"""),3)</f>
        <v>3</v>
      </c>
      <c r="AG37" s="6">
        <f ca="1">IFERROR(__xludf.DUMMYFUNCTION("""COMPUTED_VALUE"""),3)</f>
        <v>3</v>
      </c>
      <c r="AH37" s="6">
        <f ca="1">IFERROR(__xludf.DUMMYFUNCTION("""COMPUTED_VALUE"""),0)</f>
        <v>0</v>
      </c>
      <c r="AI37" s="6">
        <f ca="1">IFERROR(__xludf.DUMMYFUNCTION("""COMPUTED_VALUE"""),1)</f>
        <v>1</v>
      </c>
      <c r="AK37" s="6" t="str">
        <f ca="1">IFERROR(__xludf.DUMMYFUNCTION("""COMPUTED_VALUE"""),"Dc")</f>
        <v>Dc</v>
      </c>
      <c r="AL37" s="6">
        <f ca="1">IFERROR(__xludf.DUMMYFUNCTION("""COMPUTED_VALUE"""),0)</f>
        <v>0</v>
      </c>
      <c r="AM37" s="6" t="b">
        <f ca="1">IFERROR(__xludf.DUMMYFUNCTION("""COMPUTED_VALUE"""),FALSE)</f>
        <v>0</v>
      </c>
      <c r="AN37" s="6" t="str">
        <f ca="1">IFERROR(__xludf.DUMMYFUNCTION("""COMPUTED_VALUE"""),"No")</f>
        <v>No</v>
      </c>
      <c r="AO37" s="6"/>
      <c r="AP37" s="6" t="str">
        <f ca="1">IFERROR(__xludf.DUMMYFUNCTION("""COMPUTED_VALUE"""),"x")</f>
        <v>x</v>
      </c>
      <c r="AQ37" s="6" t="b">
        <f ca="1">IFERROR(__xludf.DUMMYFUNCTION("""COMPUTED_VALUE"""),FALSE)</f>
        <v>0</v>
      </c>
      <c r="AR37" s="6" t="b">
        <f ca="1">IFERROR(__xludf.DUMMYFUNCTION("""COMPUTED_VALUE"""),FALSE)</f>
        <v>0</v>
      </c>
      <c r="AS37" s="15"/>
      <c r="AT37" s="6" t="str">
        <f ca="1">IFERROR(__xludf.DUMMYFUNCTION("SWITCH(IF(A37=""Practice"",AN37,FILTER('Items by Team'!E$2:E3410,'Items by Team'!C$2:C3410=D37,B37='Items by Team'!B$2:B3410)),""None"",""No"",""Parked"",""P"",""ShallowCage"",""Sc"",""DeepCage"",""Dc"",""No"",""No"",""P"",""P"",""Sc"",""Sc"",""Dc"",""Dc"&amp;""")"),"No")</f>
        <v>No</v>
      </c>
      <c r="AU37" s="6" t="str">
        <f ca="1">IFERROR(__xludf.DUMMYFUNCTION("SWITCH(IF(A37 = ""Practice"", H37, FILTER('Items by Team'!D$2:D3410,'Items by Team'!C$2:C3410 = D37,'Items by Team'!B$2:B3410 = B37)), ""Yes"", ""TRUE"", ""No"", ""FALSE"",TRUE, ""TRUE"", FALSE, ""FALSE"")"),"TRUE")</f>
        <v>TRUE</v>
      </c>
      <c r="AV37" s="6" t="str">
        <f t="shared" ca="1" si="0"/>
        <v/>
      </c>
      <c r="AW37" s="6">
        <f t="shared" ca="1" si="1"/>
        <v>1</v>
      </c>
      <c r="AX37" s="6">
        <f t="shared" ca="1" si="2"/>
        <v>0</v>
      </c>
      <c r="AY37" s="6">
        <f t="shared" ca="1" si="3"/>
        <v>1</v>
      </c>
      <c r="AZ37" s="9">
        <f t="shared" ca="1" si="4"/>
        <v>0</v>
      </c>
      <c r="BA37" s="6">
        <f t="shared" ca="1" si="5"/>
        <v>0</v>
      </c>
      <c r="BB37" s="6">
        <f t="shared" ca="1" si="6"/>
        <v>0</v>
      </c>
      <c r="BC37" s="9" t="str">
        <f t="shared" ca="1" si="7"/>
        <v/>
      </c>
      <c r="BD37" s="6">
        <f t="shared" ca="1" si="8"/>
        <v>0</v>
      </c>
      <c r="BE37" s="6">
        <f t="shared" ca="1" si="9"/>
        <v>0</v>
      </c>
      <c r="BF37" s="9" t="str">
        <f t="shared" ca="1" si="10"/>
        <v/>
      </c>
      <c r="BG37" s="6">
        <f t="shared" ca="1" si="11"/>
        <v>7</v>
      </c>
      <c r="BH37" s="6">
        <f t="shared" ca="1" si="12"/>
        <v>8</v>
      </c>
      <c r="BI37" s="9">
        <f t="shared" ca="1" si="13"/>
        <v>0.875</v>
      </c>
      <c r="BJ37" s="6">
        <f t="shared" ca="1" si="14"/>
        <v>0</v>
      </c>
      <c r="BK37" s="6">
        <f t="shared" ca="1" si="15"/>
        <v>0</v>
      </c>
      <c r="BL37" s="6">
        <f t="shared" ca="1" si="16"/>
        <v>0</v>
      </c>
      <c r="BM37" s="6">
        <f t="shared" ca="1" si="17"/>
        <v>0</v>
      </c>
      <c r="BN37" s="6">
        <f t="shared" ca="1" si="18"/>
        <v>1</v>
      </c>
      <c r="BP37" s="6">
        <f t="shared" ca="1" si="19"/>
        <v>0</v>
      </c>
      <c r="BQ37" s="6" t="b">
        <f ca="1">IFERROR(__xludf.DUMMYFUNCTION("IF(AND(ISERROR(FILTER('Items by Team'!D$2:D3410,'Items by Team'!C$2:C3410 = D37,'Items by Team'!B$2:B3410 = B37)),NOT(A37=""Practice"")),TRUE,FALSE)"),FALSE)</f>
        <v>0</v>
      </c>
      <c r="BR37" s="6" t="e">
        <f t="shared" ca="1" si="20"/>
        <v>#VALUE!</v>
      </c>
    </row>
    <row r="38" spans="1:70">
      <c r="A38" s="6" t="str">
        <f ca="1">IFERROR(__xludf.DUMMYFUNCTION("""COMPUTED_VALUE"""),"Practice")</f>
        <v>Practice</v>
      </c>
      <c r="B38" s="6">
        <f ca="1">IFERROR(__xludf.DUMMYFUNCTION("""COMPUTED_VALUE"""),7)</f>
        <v>7</v>
      </c>
      <c r="C38" s="6" t="str">
        <f ca="1">IFERROR(__xludf.DUMMYFUNCTION("""COMPUTED_VALUE"""),"B1")</f>
        <v>B1</v>
      </c>
      <c r="D38" s="6">
        <f ca="1">IFERROR(__xludf.DUMMYFUNCTION("""COMPUTED_VALUE"""),2264)</f>
        <v>2264</v>
      </c>
      <c r="E38" s="6" t="b">
        <f ca="1">IFERROR(__xludf.DUMMYFUNCTION("""COMPUTED_VALUE"""),FALSE)</f>
        <v>0</v>
      </c>
      <c r="F38" s="6"/>
      <c r="G38" s="6" t="b">
        <f ca="1">IFERROR(__xludf.DUMMYFUNCTION("""COMPUTED_VALUE"""),TRUE)</f>
        <v>1</v>
      </c>
      <c r="H38" s="6" t="b">
        <f ca="1">IFERROR(__xludf.DUMMYFUNCTION("""COMPUTED_VALUE"""),FALSE)</f>
        <v>0</v>
      </c>
      <c r="I38" s="6">
        <f ca="1">IFERROR(__xludf.DUMMYFUNCTION("""COMPUTED_VALUE"""),0)</f>
        <v>0</v>
      </c>
      <c r="J38" s="6">
        <f ca="1">IFERROR(__xludf.DUMMYFUNCTION("""COMPUTED_VALUE"""),0)</f>
        <v>0</v>
      </c>
      <c r="K38" s="6">
        <f ca="1">IFERROR(__xludf.DUMMYFUNCTION("""COMPUTED_VALUE"""),0)</f>
        <v>0</v>
      </c>
      <c r="L38" s="6">
        <f ca="1">IFERROR(__xludf.DUMMYFUNCTION("""COMPUTED_VALUE"""),0)</f>
        <v>0</v>
      </c>
      <c r="M38" s="6">
        <f ca="1">IFERROR(__xludf.DUMMYFUNCTION("""COMPUTED_VALUE"""),0)</f>
        <v>0</v>
      </c>
      <c r="N38" s="6">
        <f ca="1">IFERROR(__xludf.DUMMYFUNCTION("""COMPUTED_VALUE"""),0)</f>
        <v>0</v>
      </c>
      <c r="O38" s="6">
        <f ca="1">IFERROR(__xludf.DUMMYFUNCTION("""COMPUTED_VALUE"""),0)</f>
        <v>0</v>
      </c>
      <c r="P38" s="6">
        <f ca="1">IFERROR(__xludf.DUMMYFUNCTION("""COMPUTED_VALUE"""),0)</f>
        <v>0</v>
      </c>
      <c r="R38" s="6">
        <f ca="1">IFERROR(__xludf.DUMMYFUNCTION("""COMPUTED_VALUE"""),0)</f>
        <v>0</v>
      </c>
      <c r="S38" s="6">
        <f ca="1">IFERROR(__xludf.DUMMYFUNCTION("""COMPUTED_VALUE"""),0)</f>
        <v>0</v>
      </c>
      <c r="T38" s="6">
        <f ca="1">IFERROR(__xludf.DUMMYFUNCTION("""COMPUTED_VALUE"""),0)</f>
        <v>0</v>
      </c>
      <c r="U38" s="6">
        <f ca="1">IFERROR(__xludf.DUMMYFUNCTION("""COMPUTED_VALUE"""),0)</f>
        <v>0</v>
      </c>
      <c r="V38" s="6">
        <f ca="1">IFERROR(__xludf.DUMMYFUNCTION("""COMPUTED_VALUE"""),0)</f>
        <v>0</v>
      </c>
      <c r="W38" s="6">
        <f ca="1">IFERROR(__xludf.DUMMYFUNCTION("""COMPUTED_VALUE"""),0)</f>
        <v>0</v>
      </c>
      <c r="X38" s="6">
        <f ca="1">IFERROR(__xludf.DUMMYFUNCTION("""COMPUTED_VALUE"""),0)</f>
        <v>0</v>
      </c>
      <c r="Y38" s="6">
        <f ca="1">IFERROR(__xludf.DUMMYFUNCTION("""COMPUTED_VALUE"""),0)</f>
        <v>0</v>
      </c>
      <c r="Z38" s="6">
        <f ca="1">IFERROR(__xludf.DUMMYFUNCTION("""COMPUTED_VALUE"""),2)</f>
        <v>2</v>
      </c>
      <c r="AA38" s="6">
        <f ca="1">IFERROR(__xludf.DUMMYFUNCTION("""COMPUTED_VALUE"""),0)</f>
        <v>0</v>
      </c>
      <c r="AB38" s="6" t="b">
        <f ca="1">IFERROR(__xludf.DUMMYFUNCTION("""COMPUTED_VALUE"""),TRUE)</f>
        <v>1</v>
      </c>
      <c r="AD38" s="6" t="b">
        <f ca="1">IFERROR(__xludf.DUMMYFUNCTION("""COMPUTED_VALUE"""),FALSE)</f>
        <v>0</v>
      </c>
      <c r="AE38" s="6">
        <f ca="1">IFERROR(__xludf.DUMMYFUNCTION("""COMPUTED_VALUE"""),1)</f>
        <v>1</v>
      </c>
      <c r="AF38" s="6">
        <f ca="1">IFERROR(__xludf.DUMMYFUNCTION("""COMPUTED_VALUE"""),1)</f>
        <v>1</v>
      </c>
      <c r="AG38" s="6">
        <f ca="1">IFERROR(__xludf.DUMMYFUNCTION("""COMPUTED_VALUE"""),0)</f>
        <v>0</v>
      </c>
      <c r="AH38" s="6">
        <f ca="1">IFERROR(__xludf.DUMMYFUNCTION("""COMPUTED_VALUE"""),0)</f>
        <v>0</v>
      </c>
      <c r="AI38" s="6">
        <f ca="1">IFERROR(__xludf.DUMMYFUNCTION("""COMPUTED_VALUE"""),3)</f>
        <v>3</v>
      </c>
      <c r="AK38" s="6" t="str">
        <f ca="1">IFERROR(__xludf.DUMMYFUNCTION("""COMPUTED_VALUE"""),"Dc")</f>
        <v>Dc</v>
      </c>
      <c r="AL38" s="6">
        <f ca="1">IFERROR(__xludf.DUMMYFUNCTION("""COMPUTED_VALUE"""),0)</f>
        <v>0</v>
      </c>
      <c r="AM38" s="6" t="b">
        <f ca="1">IFERROR(__xludf.DUMMYFUNCTION("""COMPUTED_VALUE"""),FALSE)</f>
        <v>0</v>
      </c>
      <c r="AN38" s="6" t="str">
        <f ca="1">IFERROR(__xludf.DUMMYFUNCTION("""COMPUTED_VALUE"""),"Dc")</f>
        <v>Dc</v>
      </c>
      <c r="AO38" s="6"/>
      <c r="AP38" s="6" t="str">
        <f ca="1">IFERROR(__xludf.DUMMYFUNCTION("""COMPUTED_VALUE"""),"x")</f>
        <v>x</v>
      </c>
      <c r="AQ38" s="6" t="b">
        <f ca="1">IFERROR(__xludf.DUMMYFUNCTION("""COMPUTED_VALUE"""),FALSE)</f>
        <v>0</v>
      </c>
      <c r="AR38" s="6" t="b">
        <f ca="1">IFERROR(__xludf.DUMMYFUNCTION("""COMPUTED_VALUE"""),FALSE)</f>
        <v>0</v>
      </c>
      <c r="AS38" s="15"/>
      <c r="AT38" s="6" t="str">
        <f ca="1">IFERROR(__xludf.DUMMYFUNCTION("SWITCH(IF(A38=""Practice"",AN38,FILTER('Items by Team'!E$2:E3410,'Items by Team'!C$2:C3410=D38,B38='Items by Team'!B$2:B3410)),""None"",""No"",""Parked"",""P"",""ShallowCage"",""Sc"",""DeepCage"",""Dc"",""No"",""No"",""P"",""P"",""Sc"",""Sc"",""Dc"",""Dc"&amp;""")"),"Dc")</f>
        <v>Dc</v>
      </c>
      <c r="AU38" s="6" t="str">
        <f ca="1">IFERROR(__xludf.DUMMYFUNCTION("SWITCH(IF(A38 = ""Practice"", H38, FILTER('Items by Team'!D$2:D3410,'Items by Team'!C$2:C3410 = D38,'Items by Team'!B$2:B3410 = B38)), ""Yes"", ""TRUE"", ""No"", ""FALSE"",TRUE, ""TRUE"", FALSE, ""FALSE"")"),"FALSE")</f>
        <v>FALSE</v>
      </c>
      <c r="AV38" s="6" t="str">
        <f t="shared" ca="1" si="0"/>
        <v/>
      </c>
      <c r="AW38" s="6">
        <f t="shared" ca="1" si="1"/>
        <v>0</v>
      </c>
      <c r="AX38" s="6">
        <f t="shared" ca="1" si="2"/>
        <v>0</v>
      </c>
      <c r="AY38" s="6">
        <f t="shared" ca="1" si="3"/>
        <v>0</v>
      </c>
      <c r="AZ38" s="9" t="str">
        <f t="shared" ca="1" si="4"/>
        <v/>
      </c>
      <c r="BA38" s="6">
        <f t="shared" ca="1" si="5"/>
        <v>0</v>
      </c>
      <c r="BB38" s="6">
        <f t="shared" ca="1" si="6"/>
        <v>0</v>
      </c>
      <c r="BC38" s="9" t="str">
        <f t="shared" ca="1" si="7"/>
        <v/>
      </c>
      <c r="BD38" s="6">
        <f t="shared" ca="1" si="8"/>
        <v>0</v>
      </c>
      <c r="BE38" s="6">
        <f t="shared" ca="1" si="9"/>
        <v>0</v>
      </c>
      <c r="BF38" s="9" t="str">
        <f t="shared" ca="1" si="10"/>
        <v/>
      </c>
      <c r="BG38" s="6">
        <f t="shared" ca="1" si="11"/>
        <v>2</v>
      </c>
      <c r="BH38" s="6">
        <f t="shared" ca="1" si="12"/>
        <v>5</v>
      </c>
      <c r="BI38" s="9">
        <f t="shared" ca="1" si="13"/>
        <v>0.4</v>
      </c>
      <c r="BJ38" s="6">
        <f t="shared" ca="1" si="14"/>
        <v>0</v>
      </c>
      <c r="BK38" s="6">
        <f t="shared" ca="1" si="15"/>
        <v>0</v>
      </c>
      <c r="BL38" s="6">
        <f t="shared" ca="1" si="16"/>
        <v>0</v>
      </c>
      <c r="BM38" s="6">
        <f t="shared" ca="1" si="17"/>
        <v>0</v>
      </c>
      <c r="BN38" s="6">
        <f t="shared" ca="1" si="18"/>
        <v>1</v>
      </c>
      <c r="BP38" s="6">
        <f t="shared" ca="1" si="19"/>
        <v>0</v>
      </c>
      <c r="BQ38" s="6" t="b">
        <f ca="1">IFERROR(__xludf.DUMMYFUNCTION("IF(AND(ISERROR(FILTER('Items by Team'!D$2:D3410,'Items by Team'!C$2:C3410 = D38,'Items by Team'!B$2:B3410 = B38)),NOT(A38=""Practice"")),TRUE,FALSE)"),FALSE)</f>
        <v>0</v>
      </c>
      <c r="BR38" s="6" t="e">
        <f t="shared" ca="1" si="20"/>
        <v>#VALUE!</v>
      </c>
    </row>
    <row r="39" spans="1:70">
      <c r="A39" s="6" t="str">
        <f ca="1">IFERROR(__xludf.DUMMYFUNCTION("""COMPUTED_VALUE"""),"Practice")</f>
        <v>Practice</v>
      </c>
      <c r="B39" s="6">
        <f ca="1">IFERROR(__xludf.DUMMYFUNCTION("""COMPUTED_VALUE"""),7)</f>
        <v>7</v>
      </c>
      <c r="C39" s="6" t="str">
        <f ca="1">IFERROR(__xludf.DUMMYFUNCTION("""COMPUTED_VALUE"""),"R2")</f>
        <v>R2</v>
      </c>
      <c r="D39" s="6">
        <f ca="1">IFERROR(__xludf.DUMMYFUNCTION("""COMPUTED_VALUE"""),6909)</f>
        <v>6909</v>
      </c>
      <c r="E39" s="6" t="b">
        <f ca="1">IFERROR(__xludf.DUMMYFUNCTION("""COMPUTED_VALUE"""),FALSE)</f>
        <v>0</v>
      </c>
      <c r="F39" s="6" t="str">
        <f ca="1">IFERROR(__xludf.DUMMYFUNCTION("""COMPUTED_VALUE"""),"Red Barge")</f>
        <v>Red Barge</v>
      </c>
      <c r="G39" s="6" t="b">
        <f ca="1">IFERROR(__xludf.DUMMYFUNCTION("""COMPUTED_VALUE"""),TRUE)</f>
        <v>1</v>
      </c>
      <c r="H39" s="6" t="b">
        <f ca="1">IFERROR(__xludf.DUMMYFUNCTION("""COMPUTED_VALUE"""),TRUE)</f>
        <v>1</v>
      </c>
      <c r="I39" s="6">
        <f ca="1">IFERROR(__xludf.DUMMYFUNCTION("""COMPUTED_VALUE"""),0)</f>
        <v>0</v>
      </c>
      <c r="J39" s="6">
        <f ca="1">IFERROR(__xludf.DUMMYFUNCTION("""COMPUTED_VALUE"""),0)</f>
        <v>0</v>
      </c>
      <c r="K39" s="6">
        <f ca="1">IFERROR(__xludf.DUMMYFUNCTION("""COMPUTED_VALUE"""),0)</f>
        <v>0</v>
      </c>
      <c r="L39" s="6">
        <f ca="1">IFERROR(__xludf.DUMMYFUNCTION("""COMPUTED_VALUE"""),0)</f>
        <v>0</v>
      </c>
      <c r="M39" s="6">
        <f ca="1">IFERROR(__xludf.DUMMYFUNCTION("""COMPUTED_VALUE"""),0)</f>
        <v>0</v>
      </c>
      <c r="N39" s="6">
        <f ca="1">IFERROR(__xludf.DUMMYFUNCTION("""COMPUTED_VALUE"""),0)</f>
        <v>0</v>
      </c>
      <c r="O39" s="6">
        <f ca="1">IFERROR(__xludf.DUMMYFUNCTION("""COMPUTED_VALUE"""),0)</f>
        <v>0</v>
      </c>
      <c r="P39" s="6">
        <f ca="1">IFERROR(__xludf.DUMMYFUNCTION("""COMPUTED_VALUE"""),0)</f>
        <v>0</v>
      </c>
      <c r="R39" s="6">
        <f ca="1">IFERROR(__xludf.DUMMYFUNCTION("""COMPUTED_VALUE"""),0)</f>
        <v>0</v>
      </c>
      <c r="S39" s="6">
        <f ca="1">IFERROR(__xludf.DUMMYFUNCTION("""COMPUTED_VALUE"""),0)</f>
        <v>0</v>
      </c>
      <c r="T39" s="6">
        <f ca="1">IFERROR(__xludf.DUMMYFUNCTION("""COMPUTED_VALUE"""),0)</f>
        <v>0</v>
      </c>
      <c r="U39" s="6">
        <f ca="1">IFERROR(__xludf.DUMMYFUNCTION("""COMPUTED_VALUE"""),0)</f>
        <v>0</v>
      </c>
      <c r="V39" s="6">
        <f ca="1">IFERROR(__xludf.DUMMYFUNCTION("""COMPUTED_VALUE"""),0)</f>
        <v>0</v>
      </c>
      <c r="W39" s="6">
        <f ca="1">IFERROR(__xludf.DUMMYFUNCTION("""COMPUTED_VALUE"""),0)</f>
        <v>0</v>
      </c>
      <c r="X39" s="6">
        <f ca="1">IFERROR(__xludf.DUMMYFUNCTION("""COMPUTED_VALUE"""),0)</f>
        <v>0</v>
      </c>
      <c r="Y39" s="6">
        <f ca="1">IFERROR(__xludf.DUMMYFUNCTION("""COMPUTED_VALUE"""),0)</f>
        <v>0</v>
      </c>
      <c r="Z39" s="6">
        <f ca="1">IFERROR(__xludf.DUMMYFUNCTION("""COMPUTED_VALUE"""),0)</f>
        <v>0</v>
      </c>
      <c r="AA39" s="6">
        <f ca="1">IFERROR(__xludf.DUMMYFUNCTION("""COMPUTED_VALUE"""),0)</f>
        <v>0</v>
      </c>
      <c r="AB39" s="6" t="b">
        <f ca="1">IFERROR(__xludf.DUMMYFUNCTION("""COMPUTED_VALUE"""),TRUE)</f>
        <v>1</v>
      </c>
      <c r="AD39" s="6" t="b">
        <f ca="1">IFERROR(__xludf.DUMMYFUNCTION("""COMPUTED_VALUE"""),FALSE)</f>
        <v>0</v>
      </c>
      <c r="AE39" s="6">
        <f ca="1">IFERROR(__xludf.DUMMYFUNCTION("""COMPUTED_VALUE"""),0)</f>
        <v>0</v>
      </c>
      <c r="AF39" s="6">
        <f ca="1">IFERROR(__xludf.DUMMYFUNCTION("""COMPUTED_VALUE"""),0)</f>
        <v>0</v>
      </c>
      <c r="AG39" s="6">
        <f ca="1">IFERROR(__xludf.DUMMYFUNCTION("""COMPUTED_VALUE"""),3)</f>
        <v>3</v>
      </c>
      <c r="AH39" s="6">
        <f ca="1">IFERROR(__xludf.DUMMYFUNCTION("""COMPUTED_VALUE"""),2)</f>
        <v>2</v>
      </c>
      <c r="AI39" s="6">
        <f ca="1">IFERROR(__xludf.DUMMYFUNCTION("""COMPUTED_VALUE"""),5)</f>
        <v>5</v>
      </c>
      <c r="AK39" s="6" t="str">
        <f ca="1">IFERROR(__xludf.DUMMYFUNCTION("""COMPUTED_VALUE"""),"Sc")</f>
        <v>Sc</v>
      </c>
      <c r="AL39" s="6">
        <f ca="1">IFERROR(__xludf.DUMMYFUNCTION("""COMPUTED_VALUE"""),0)</f>
        <v>0</v>
      </c>
      <c r="AM39" s="6" t="b">
        <f ca="1">IFERROR(__xludf.DUMMYFUNCTION("""COMPUTED_VALUE"""),FALSE)</f>
        <v>0</v>
      </c>
      <c r="AN39" s="6" t="str">
        <f ca="1">IFERROR(__xludf.DUMMYFUNCTION("""COMPUTED_VALUE"""),"P")</f>
        <v>P</v>
      </c>
      <c r="AO39" s="6" t="str">
        <f ca="1">IFERROR(__xludf.DUMMYFUNCTION("""COMPUTED_VALUE"""),"Tried to Shallow Climb, ran out of time")</f>
        <v>Tried to Shallow Climb, ran out of time</v>
      </c>
      <c r="AP39" s="6" t="str">
        <f ca="1">IFERROR(__xludf.DUMMYFUNCTION("""COMPUTED_VALUE"""),"x")</f>
        <v>x</v>
      </c>
      <c r="AQ39" s="6" t="b">
        <f ca="1">IFERROR(__xludf.DUMMYFUNCTION("""COMPUTED_VALUE"""),FALSE)</f>
        <v>0</v>
      </c>
      <c r="AR39" s="6" t="b">
        <f ca="1">IFERROR(__xludf.DUMMYFUNCTION("""COMPUTED_VALUE"""),FALSE)</f>
        <v>0</v>
      </c>
      <c r="AS39" s="15"/>
      <c r="AT39" s="6" t="str">
        <f ca="1">IFERROR(__xludf.DUMMYFUNCTION("SWITCH(IF(A39=""Practice"",AN39,FILTER('Items by Team'!E$2:E3410,'Items by Team'!C$2:C3410=D39,B39='Items by Team'!B$2:B3410)),""None"",""No"",""Parked"",""P"",""ShallowCage"",""Sc"",""DeepCage"",""Dc"",""No"",""No"",""P"",""P"",""Sc"",""Sc"",""Dc"",""Dc"&amp;""")"),"P")</f>
        <v>P</v>
      </c>
      <c r="AU39" s="6" t="str">
        <f ca="1">IFERROR(__xludf.DUMMYFUNCTION("SWITCH(IF(A39 = ""Practice"", H39, FILTER('Items by Team'!D$2:D3410,'Items by Team'!C$2:C3410 = D39,'Items by Team'!B$2:B3410 = B39)), ""Yes"", ""TRUE"", ""No"", ""FALSE"",TRUE, ""TRUE"", FALSE, ""FALSE"")"),"TRUE")</f>
        <v>TRUE</v>
      </c>
      <c r="AV39" s="6" t="str">
        <f t="shared" ca="1" si="0"/>
        <v/>
      </c>
      <c r="AW39" s="6">
        <f t="shared" ca="1" si="1"/>
        <v>1</v>
      </c>
      <c r="AX39" s="6">
        <f t="shared" ca="1" si="2"/>
        <v>0</v>
      </c>
      <c r="AY39" s="6">
        <f t="shared" ca="1" si="3"/>
        <v>0</v>
      </c>
      <c r="AZ39" s="9" t="str">
        <f t="shared" ca="1" si="4"/>
        <v/>
      </c>
      <c r="BA39" s="6">
        <f t="shared" ca="1" si="5"/>
        <v>0</v>
      </c>
      <c r="BB39" s="6">
        <f t="shared" ca="1" si="6"/>
        <v>0</v>
      </c>
      <c r="BC39" s="9" t="str">
        <f t="shared" ca="1" si="7"/>
        <v/>
      </c>
      <c r="BD39" s="6">
        <f t="shared" ca="1" si="8"/>
        <v>0</v>
      </c>
      <c r="BE39" s="6">
        <f t="shared" ca="1" si="9"/>
        <v>0</v>
      </c>
      <c r="BF39" s="9" t="str">
        <f t="shared" ca="1" si="10"/>
        <v/>
      </c>
      <c r="BG39" s="6">
        <f t="shared" ca="1" si="11"/>
        <v>5</v>
      </c>
      <c r="BH39" s="6">
        <f t="shared" ca="1" si="12"/>
        <v>10</v>
      </c>
      <c r="BI39" s="9">
        <f t="shared" ca="1" si="13"/>
        <v>0.5</v>
      </c>
      <c r="BJ39" s="6">
        <f t="shared" ca="1" si="14"/>
        <v>0</v>
      </c>
      <c r="BK39" s="6">
        <f t="shared" ca="1" si="15"/>
        <v>0</v>
      </c>
      <c r="BL39" s="6">
        <f t="shared" ca="1" si="16"/>
        <v>0</v>
      </c>
      <c r="BM39" s="6">
        <f t="shared" ca="1" si="17"/>
        <v>0</v>
      </c>
      <c r="BN39" s="6">
        <f t="shared" ca="1" si="18"/>
        <v>1</v>
      </c>
      <c r="BP39" s="6">
        <f t="shared" ca="1" si="19"/>
        <v>0</v>
      </c>
      <c r="BQ39" s="6" t="b">
        <f ca="1">IFERROR(__xludf.DUMMYFUNCTION("IF(AND(ISERROR(FILTER('Items by Team'!D$2:D3410,'Items by Team'!C$2:C3410 = D39,'Items by Team'!B$2:B3410 = B39)),NOT(A39=""Practice"")),TRUE,FALSE)"),FALSE)</f>
        <v>0</v>
      </c>
      <c r="BR39" s="6" t="e">
        <f t="shared" ca="1" si="20"/>
        <v>#VALUE!</v>
      </c>
    </row>
    <row r="40" spans="1:70">
      <c r="A40" s="6" t="str">
        <f ca="1">IFERROR(__xludf.DUMMYFUNCTION("""COMPUTED_VALUE"""),"Practice")</f>
        <v>Practice</v>
      </c>
      <c r="B40" s="6">
        <f ca="1">IFERROR(__xludf.DUMMYFUNCTION("""COMPUTED_VALUE"""),7)</f>
        <v>7</v>
      </c>
      <c r="C40" s="6" t="str">
        <f ca="1">IFERROR(__xludf.DUMMYFUNCTION("""COMPUTED_VALUE"""),"R3")</f>
        <v>R3</v>
      </c>
      <c r="D40" s="6">
        <f ca="1">IFERROR(__xludf.DUMMYFUNCTION("""COMPUTED_VALUE"""),6217)</f>
        <v>6217</v>
      </c>
      <c r="E40" s="6" t="b">
        <f ca="1">IFERROR(__xludf.DUMMYFUNCTION("""COMPUTED_VALUE"""),FALSE)</f>
        <v>0</v>
      </c>
      <c r="F40" s="6" t="str">
        <f ca="1">IFERROR(__xludf.DUMMYFUNCTION("""COMPUTED_VALUE"""),"Middle")</f>
        <v>Middle</v>
      </c>
      <c r="G40" s="6" t="b">
        <f ca="1">IFERROR(__xludf.DUMMYFUNCTION("""COMPUTED_VALUE"""),FALSE)</f>
        <v>0</v>
      </c>
      <c r="H40" s="6" t="b">
        <f ca="1">IFERROR(__xludf.DUMMYFUNCTION("""COMPUTED_VALUE"""),FALSE)</f>
        <v>0</v>
      </c>
      <c r="I40" s="6">
        <f ca="1">IFERROR(__xludf.DUMMYFUNCTION("""COMPUTED_VALUE"""),0)</f>
        <v>0</v>
      </c>
      <c r="J40" s="6">
        <f ca="1">IFERROR(__xludf.DUMMYFUNCTION("""COMPUTED_VALUE"""),0)</f>
        <v>0</v>
      </c>
      <c r="K40" s="6">
        <f ca="1">IFERROR(__xludf.DUMMYFUNCTION("""COMPUTED_VALUE"""),0)</f>
        <v>0</v>
      </c>
      <c r="L40" s="6">
        <f ca="1">IFERROR(__xludf.DUMMYFUNCTION("""COMPUTED_VALUE"""),0)</f>
        <v>0</v>
      </c>
      <c r="M40" s="6">
        <f ca="1">IFERROR(__xludf.DUMMYFUNCTION("""COMPUTED_VALUE"""),0)</f>
        <v>0</v>
      </c>
      <c r="N40" s="6">
        <f ca="1">IFERROR(__xludf.DUMMYFUNCTION("""COMPUTED_VALUE"""),0)</f>
        <v>0</v>
      </c>
      <c r="O40" s="6">
        <f ca="1">IFERROR(__xludf.DUMMYFUNCTION("""COMPUTED_VALUE"""),0)</f>
        <v>0</v>
      </c>
      <c r="P40" s="6">
        <f ca="1">IFERROR(__xludf.DUMMYFUNCTION("""COMPUTED_VALUE"""),0)</f>
        <v>0</v>
      </c>
      <c r="R40" s="6">
        <f ca="1">IFERROR(__xludf.DUMMYFUNCTION("""COMPUTED_VALUE"""),0)</f>
        <v>0</v>
      </c>
      <c r="S40" s="6">
        <f ca="1">IFERROR(__xludf.DUMMYFUNCTION("""COMPUTED_VALUE"""),0)</f>
        <v>0</v>
      </c>
      <c r="T40" s="6">
        <f ca="1">IFERROR(__xludf.DUMMYFUNCTION("""COMPUTED_VALUE"""),0)</f>
        <v>0</v>
      </c>
      <c r="U40" s="6">
        <f ca="1">IFERROR(__xludf.DUMMYFUNCTION("""COMPUTED_VALUE"""),0)</f>
        <v>0</v>
      </c>
      <c r="V40" s="6">
        <f ca="1">IFERROR(__xludf.DUMMYFUNCTION("""COMPUTED_VALUE"""),0)</f>
        <v>0</v>
      </c>
      <c r="W40" s="6">
        <f ca="1">IFERROR(__xludf.DUMMYFUNCTION("""COMPUTED_VALUE"""),0)</f>
        <v>0</v>
      </c>
      <c r="X40" s="6">
        <f ca="1">IFERROR(__xludf.DUMMYFUNCTION("""COMPUTED_VALUE"""),0)</f>
        <v>0</v>
      </c>
      <c r="Y40" s="6">
        <f ca="1">IFERROR(__xludf.DUMMYFUNCTION("""COMPUTED_VALUE"""),0)</f>
        <v>0</v>
      </c>
      <c r="Z40" s="6">
        <f ca="1">IFERROR(__xludf.DUMMYFUNCTION("""COMPUTED_VALUE"""),0)</f>
        <v>0</v>
      </c>
      <c r="AA40" s="6">
        <f ca="1">IFERROR(__xludf.DUMMYFUNCTION("""COMPUTED_VALUE"""),0)</f>
        <v>0</v>
      </c>
      <c r="AB40" s="6" t="b">
        <f ca="1">IFERROR(__xludf.DUMMYFUNCTION("""COMPUTED_VALUE"""),TRUE)</f>
        <v>1</v>
      </c>
      <c r="AD40" s="6" t="b">
        <f ca="1">IFERROR(__xludf.DUMMYFUNCTION("""COMPUTED_VALUE"""),FALSE)</f>
        <v>0</v>
      </c>
      <c r="AE40" s="6">
        <f ca="1">IFERROR(__xludf.DUMMYFUNCTION("""COMPUTED_VALUE"""),4)</f>
        <v>4</v>
      </c>
      <c r="AF40" s="6">
        <f ca="1">IFERROR(__xludf.DUMMYFUNCTION("""COMPUTED_VALUE"""),0)</f>
        <v>0</v>
      </c>
      <c r="AG40" s="6">
        <f ca="1">IFERROR(__xludf.DUMMYFUNCTION("""COMPUTED_VALUE"""),0)</f>
        <v>0</v>
      </c>
      <c r="AH40" s="6">
        <f ca="1">IFERROR(__xludf.DUMMYFUNCTION("""COMPUTED_VALUE"""),0)</f>
        <v>0</v>
      </c>
      <c r="AI40" s="6">
        <f ca="1">IFERROR(__xludf.DUMMYFUNCTION("""COMPUTED_VALUE"""),0)</f>
        <v>0</v>
      </c>
      <c r="AK40" s="6" t="str">
        <f ca="1">IFERROR(__xludf.DUMMYFUNCTION("""COMPUTED_VALUE"""),"P")</f>
        <v>P</v>
      </c>
      <c r="AL40" s="6">
        <f ca="1">IFERROR(__xludf.DUMMYFUNCTION("""COMPUTED_VALUE"""),0)</f>
        <v>0</v>
      </c>
      <c r="AM40" s="6" t="b">
        <f ca="1">IFERROR(__xludf.DUMMYFUNCTION("""COMPUTED_VALUE"""),FALSE)</f>
        <v>0</v>
      </c>
      <c r="AN40" s="6" t="str">
        <f ca="1">IFERROR(__xludf.DUMMYFUNCTION("""COMPUTED_VALUE"""),"P")</f>
        <v>P</v>
      </c>
      <c r="AO40" s="6" t="str">
        <f ca="1">IFERROR(__xludf.DUMMYFUNCTION("""COMPUTED_VALUE"""),"No auto")</f>
        <v>No auto</v>
      </c>
      <c r="AP40" s="6" t="str">
        <f ca="1">IFERROR(__xludf.DUMMYFUNCTION("""COMPUTED_VALUE"""),"x")</f>
        <v>x</v>
      </c>
      <c r="AQ40" s="6" t="b">
        <f ca="1">IFERROR(__xludf.DUMMYFUNCTION("""COMPUTED_VALUE"""),FALSE)</f>
        <v>0</v>
      </c>
      <c r="AR40" s="6" t="b">
        <f ca="1">IFERROR(__xludf.DUMMYFUNCTION("""COMPUTED_VALUE"""),FALSE)</f>
        <v>0</v>
      </c>
      <c r="AS40" s="15"/>
      <c r="AT40" s="6" t="str">
        <f ca="1">IFERROR(__xludf.DUMMYFUNCTION("SWITCH(IF(A40=""Practice"",AN40,FILTER('Items by Team'!E$2:E3410,'Items by Team'!C$2:C3410=D40,B40='Items by Team'!B$2:B3410)),""None"",""No"",""Parked"",""P"",""ShallowCage"",""Sc"",""DeepCage"",""Dc"",""No"",""No"",""P"",""P"",""Sc"",""Sc"",""Dc"",""Dc"&amp;""")"),"P")</f>
        <v>P</v>
      </c>
      <c r="AU40" s="6" t="str">
        <f ca="1">IFERROR(__xludf.DUMMYFUNCTION("SWITCH(IF(A40 = ""Practice"", H40, FILTER('Items by Team'!D$2:D3410,'Items by Team'!C$2:C3410 = D40,'Items by Team'!B$2:B3410 = B40)), ""Yes"", ""TRUE"", ""No"", ""FALSE"",TRUE, ""TRUE"", FALSE, ""FALSE"")"),"FALSE")</f>
        <v>FALSE</v>
      </c>
      <c r="AV40" s="6" t="str">
        <f t="shared" ca="1" si="0"/>
        <v/>
      </c>
      <c r="AW40" s="6">
        <f t="shared" ca="1" si="1"/>
        <v>0</v>
      </c>
      <c r="AX40" s="6">
        <f t="shared" ca="1" si="2"/>
        <v>0</v>
      </c>
      <c r="AY40" s="6">
        <f t="shared" ca="1" si="3"/>
        <v>0</v>
      </c>
      <c r="AZ40" s="9" t="str">
        <f t="shared" ca="1" si="4"/>
        <v/>
      </c>
      <c r="BA40" s="6">
        <f t="shared" ca="1" si="5"/>
        <v>0</v>
      </c>
      <c r="BB40" s="6">
        <f t="shared" ca="1" si="6"/>
        <v>0</v>
      </c>
      <c r="BC40" s="9" t="str">
        <f t="shared" ca="1" si="7"/>
        <v/>
      </c>
      <c r="BD40" s="6">
        <f t="shared" ca="1" si="8"/>
        <v>0</v>
      </c>
      <c r="BE40" s="6">
        <f t="shared" ca="1" si="9"/>
        <v>0</v>
      </c>
      <c r="BF40" s="9" t="str">
        <f t="shared" ca="1" si="10"/>
        <v/>
      </c>
      <c r="BG40" s="6">
        <f t="shared" ca="1" si="11"/>
        <v>4</v>
      </c>
      <c r="BH40" s="6">
        <f t="shared" ca="1" si="12"/>
        <v>4</v>
      </c>
      <c r="BI40" s="9">
        <f t="shared" ca="1" si="13"/>
        <v>1</v>
      </c>
      <c r="BJ40" s="6">
        <f t="shared" ca="1" si="14"/>
        <v>0</v>
      </c>
      <c r="BK40" s="6">
        <f t="shared" ca="1" si="15"/>
        <v>0</v>
      </c>
      <c r="BL40" s="6">
        <f t="shared" ca="1" si="16"/>
        <v>0</v>
      </c>
      <c r="BM40" s="6">
        <f t="shared" ca="1" si="17"/>
        <v>0</v>
      </c>
      <c r="BN40" s="6">
        <f t="shared" ca="1" si="18"/>
        <v>1</v>
      </c>
      <c r="BP40" s="6">
        <f t="shared" ca="1" si="19"/>
        <v>0</v>
      </c>
      <c r="BQ40" s="6" t="b">
        <f ca="1">IFERROR(__xludf.DUMMYFUNCTION("IF(AND(ISERROR(FILTER('Items by Team'!D$2:D3410,'Items by Team'!C$2:C3410 = D40,'Items by Team'!B$2:B3410 = B40)),NOT(A40=""Practice"")),TRUE,FALSE)"),FALSE)</f>
        <v>0</v>
      </c>
      <c r="BR40" s="6" t="e">
        <f t="shared" ca="1" si="20"/>
        <v>#VALUE!</v>
      </c>
    </row>
    <row r="41" spans="1:70">
      <c r="A41" s="6" t="str">
        <f ca="1">IFERROR(__xludf.DUMMYFUNCTION("""COMPUTED_VALUE"""),"Practice")</f>
        <v>Practice</v>
      </c>
      <c r="B41" s="6">
        <f ca="1">IFERROR(__xludf.DUMMYFUNCTION("""COMPUTED_VALUE"""),7)</f>
        <v>7</v>
      </c>
      <c r="C41" s="6" t="str">
        <f ca="1">IFERROR(__xludf.DUMMYFUNCTION("""COMPUTED_VALUE"""),"R1")</f>
        <v>R1</v>
      </c>
      <c r="D41" s="6">
        <f ca="1">IFERROR(__xludf.DUMMYFUNCTION("""COMPUTED_VALUE"""),3891)</f>
        <v>3891</v>
      </c>
      <c r="E41" s="6" t="b">
        <f ca="1">IFERROR(__xludf.DUMMYFUNCTION("""COMPUTED_VALUE"""),FALSE)</f>
        <v>0</v>
      </c>
      <c r="F41" s="6" t="str">
        <f ca="1">IFERROR(__xludf.DUMMYFUNCTION("""COMPUTED_VALUE"""),"Blue Barge")</f>
        <v>Blue Barge</v>
      </c>
      <c r="G41" s="6" t="b">
        <f ca="1">IFERROR(__xludf.DUMMYFUNCTION("""COMPUTED_VALUE"""),TRUE)</f>
        <v>1</v>
      </c>
      <c r="H41" s="6" t="b">
        <f ca="1">IFERROR(__xludf.DUMMYFUNCTION("""COMPUTED_VALUE"""),FALSE)</f>
        <v>0</v>
      </c>
      <c r="I41" s="6">
        <f ca="1">IFERROR(__xludf.DUMMYFUNCTION("""COMPUTED_VALUE"""),0)</f>
        <v>0</v>
      </c>
      <c r="J41" s="6">
        <f ca="1">IFERROR(__xludf.DUMMYFUNCTION("""COMPUTED_VALUE"""),0)</f>
        <v>0</v>
      </c>
      <c r="K41" s="6">
        <f ca="1">IFERROR(__xludf.DUMMYFUNCTION("""COMPUTED_VALUE"""),0)</f>
        <v>0</v>
      </c>
      <c r="L41" s="6">
        <f ca="1">IFERROR(__xludf.DUMMYFUNCTION("""COMPUTED_VALUE"""),0)</f>
        <v>0</v>
      </c>
      <c r="M41" s="6">
        <f ca="1">IFERROR(__xludf.DUMMYFUNCTION("""COMPUTED_VALUE"""),0)</f>
        <v>0</v>
      </c>
      <c r="N41" s="6">
        <f ca="1">IFERROR(__xludf.DUMMYFUNCTION("""COMPUTED_VALUE"""),0)</f>
        <v>0</v>
      </c>
      <c r="O41" s="6">
        <f ca="1">IFERROR(__xludf.DUMMYFUNCTION("""COMPUTED_VALUE"""),0)</f>
        <v>0</v>
      </c>
      <c r="P41" s="6">
        <f ca="1">IFERROR(__xludf.DUMMYFUNCTION("""COMPUTED_VALUE"""),1)</f>
        <v>1</v>
      </c>
      <c r="R41" s="6">
        <f ca="1">IFERROR(__xludf.DUMMYFUNCTION("""COMPUTED_VALUE"""),0)</f>
        <v>0</v>
      </c>
      <c r="S41" s="6">
        <f ca="1">IFERROR(__xludf.DUMMYFUNCTION("""COMPUTED_VALUE"""),0)</f>
        <v>0</v>
      </c>
      <c r="T41" s="6">
        <f ca="1">IFERROR(__xludf.DUMMYFUNCTION("""COMPUTED_VALUE"""),0)</f>
        <v>0</v>
      </c>
      <c r="U41" s="6">
        <f ca="1">IFERROR(__xludf.DUMMYFUNCTION("""COMPUTED_VALUE"""),0)</f>
        <v>0</v>
      </c>
      <c r="V41" s="6">
        <f ca="1">IFERROR(__xludf.DUMMYFUNCTION("""COMPUTED_VALUE"""),0)</f>
        <v>0</v>
      </c>
      <c r="W41" s="6">
        <f ca="1">IFERROR(__xludf.DUMMYFUNCTION("""COMPUTED_VALUE"""),0)</f>
        <v>0</v>
      </c>
      <c r="X41" s="6">
        <f ca="1">IFERROR(__xludf.DUMMYFUNCTION("""COMPUTED_VALUE"""),0)</f>
        <v>0</v>
      </c>
      <c r="Y41" s="6">
        <f ca="1">IFERROR(__xludf.DUMMYFUNCTION("""COMPUTED_VALUE"""),0)</f>
        <v>0</v>
      </c>
      <c r="Z41" s="6">
        <f ca="1">IFERROR(__xludf.DUMMYFUNCTION("""COMPUTED_VALUE"""),0)</f>
        <v>0</v>
      </c>
      <c r="AA41" s="6">
        <f ca="1">IFERROR(__xludf.DUMMYFUNCTION("""COMPUTED_VALUE"""),0)</f>
        <v>0</v>
      </c>
      <c r="AB41" s="6" t="b">
        <f ca="1">IFERROR(__xludf.DUMMYFUNCTION("""COMPUTED_VALUE"""),TRUE)</f>
        <v>1</v>
      </c>
      <c r="AD41" s="6" t="b">
        <f ca="1">IFERROR(__xludf.DUMMYFUNCTION("""COMPUTED_VALUE"""),FALSE)</f>
        <v>0</v>
      </c>
      <c r="AE41" s="6">
        <f ca="1">IFERROR(__xludf.DUMMYFUNCTION("""COMPUTED_VALUE"""),5)</f>
        <v>5</v>
      </c>
      <c r="AF41" s="6">
        <f ca="1">IFERROR(__xludf.DUMMYFUNCTION("""COMPUTED_VALUE"""),0)</f>
        <v>0</v>
      </c>
      <c r="AG41" s="6">
        <f ca="1">IFERROR(__xludf.DUMMYFUNCTION("""COMPUTED_VALUE"""),0)</f>
        <v>0</v>
      </c>
      <c r="AH41" s="6">
        <f ca="1">IFERROR(__xludf.DUMMYFUNCTION("""COMPUTED_VALUE"""),0)</f>
        <v>0</v>
      </c>
      <c r="AI41" s="6">
        <f ca="1">IFERROR(__xludf.DUMMYFUNCTION("""COMPUTED_VALUE"""),4)</f>
        <v>4</v>
      </c>
      <c r="AK41" s="6" t="str">
        <f ca="1">IFERROR(__xludf.DUMMYFUNCTION("""COMPUTED_VALUE"""),"P")</f>
        <v>P</v>
      </c>
      <c r="AL41" s="6">
        <f ca="1">IFERROR(__xludf.DUMMYFUNCTION("""COMPUTED_VALUE"""),0)</f>
        <v>0</v>
      </c>
      <c r="AM41" s="6" t="b">
        <f ca="1">IFERROR(__xludf.DUMMYFUNCTION("""COMPUTED_VALUE"""),FALSE)</f>
        <v>0</v>
      </c>
      <c r="AN41" s="6" t="str">
        <f ca="1">IFERROR(__xludf.DUMMYFUNCTION("""COMPUTED_VALUE"""),"P")</f>
        <v>P</v>
      </c>
      <c r="AO41" s="6"/>
      <c r="AP41" s="6" t="str">
        <f ca="1">IFERROR(__xludf.DUMMYFUNCTION("""COMPUTED_VALUE"""),"x")</f>
        <v>x</v>
      </c>
      <c r="AQ41" s="6" t="b">
        <f ca="1">IFERROR(__xludf.DUMMYFUNCTION("""COMPUTED_VALUE"""),FALSE)</f>
        <v>0</v>
      </c>
      <c r="AR41" s="6" t="b">
        <f ca="1">IFERROR(__xludf.DUMMYFUNCTION("""COMPUTED_VALUE"""),FALSE)</f>
        <v>0</v>
      </c>
      <c r="AS41" s="15"/>
      <c r="AT41" s="6" t="str">
        <f ca="1">IFERROR(__xludf.DUMMYFUNCTION("SWITCH(IF(A41=""Practice"",AN41,FILTER('Items by Team'!E$2:E3410,'Items by Team'!C$2:C3410=D41,B41='Items by Team'!B$2:B3410)),""None"",""No"",""Parked"",""P"",""ShallowCage"",""Sc"",""DeepCage"",""Dc"",""No"",""No"",""P"",""P"",""Sc"",""Sc"",""Dc"",""Dc"&amp;""")"),"P")</f>
        <v>P</v>
      </c>
      <c r="AU41" s="6" t="str">
        <f ca="1">IFERROR(__xludf.DUMMYFUNCTION("SWITCH(IF(A41 = ""Practice"", H41, FILTER('Items by Team'!D$2:D3410,'Items by Team'!C$2:C3410 = D41,'Items by Team'!B$2:B3410 = B41)), ""Yes"", ""TRUE"", ""No"", ""FALSE"",TRUE, ""TRUE"", FALSE, ""FALSE"")"),"FALSE")</f>
        <v>FALSE</v>
      </c>
      <c r="AV41" s="6" t="str">
        <f t="shared" ca="1" si="0"/>
        <v/>
      </c>
      <c r="AW41" s="6">
        <f t="shared" ca="1" si="1"/>
        <v>0</v>
      </c>
      <c r="AX41" s="6">
        <f t="shared" ca="1" si="2"/>
        <v>0</v>
      </c>
      <c r="AY41" s="6">
        <f t="shared" ca="1" si="3"/>
        <v>1</v>
      </c>
      <c r="AZ41" s="9">
        <f t="shared" ca="1" si="4"/>
        <v>0</v>
      </c>
      <c r="BA41" s="6">
        <f t="shared" ca="1" si="5"/>
        <v>0</v>
      </c>
      <c r="BB41" s="6">
        <f t="shared" ca="1" si="6"/>
        <v>0</v>
      </c>
      <c r="BC41" s="9" t="str">
        <f t="shared" ca="1" si="7"/>
        <v/>
      </c>
      <c r="BD41" s="6">
        <f t="shared" ca="1" si="8"/>
        <v>0</v>
      </c>
      <c r="BE41" s="6">
        <f t="shared" ca="1" si="9"/>
        <v>0</v>
      </c>
      <c r="BF41" s="9" t="str">
        <f t="shared" ca="1" si="10"/>
        <v/>
      </c>
      <c r="BG41" s="6">
        <f t="shared" ca="1" si="11"/>
        <v>5</v>
      </c>
      <c r="BH41" s="6">
        <f t="shared" ca="1" si="12"/>
        <v>9</v>
      </c>
      <c r="BI41" s="9">
        <f t="shared" ca="1" si="13"/>
        <v>0.55555555555555558</v>
      </c>
      <c r="BJ41" s="6">
        <f t="shared" ca="1" si="14"/>
        <v>0</v>
      </c>
      <c r="BK41" s="6">
        <f t="shared" ca="1" si="15"/>
        <v>0</v>
      </c>
      <c r="BL41" s="6">
        <f t="shared" ca="1" si="16"/>
        <v>0</v>
      </c>
      <c r="BM41" s="6">
        <f t="shared" ca="1" si="17"/>
        <v>0</v>
      </c>
      <c r="BN41" s="6">
        <f t="shared" ca="1" si="18"/>
        <v>1</v>
      </c>
      <c r="BP41" s="6">
        <f t="shared" ca="1" si="19"/>
        <v>0</v>
      </c>
      <c r="BQ41" s="6" t="b">
        <f ca="1">IFERROR(__xludf.DUMMYFUNCTION("IF(AND(ISERROR(FILTER('Items by Team'!D$2:D3410,'Items by Team'!C$2:C3410 = D41,'Items by Team'!B$2:B3410 = B41)),NOT(A41=""Practice"")),TRUE,FALSE)"),FALSE)</f>
        <v>0</v>
      </c>
      <c r="BR41" s="6" t="e">
        <f t="shared" ca="1" si="20"/>
        <v>#VALUE!</v>
      </c>
    </row>
    <row r="42" spans="1:70">
      <c r="A42" s="6" t="str">
        <f ca="1">IFERROR(__xludf.DUMMYFUNCTION("""COMPUTED_VALUE"""),"Practice")</f>
        <v>Practice</v>
      </c>
      <c r="B42" s="6">
        <f ca="1">IFERROR(__xludf.DUMMYFUNCTION("""COMPUTED_VALUE"""),7)</f>
        <v>7</v>
      </c>
      <c r="C42" s="6" t="str">
        <f ca="1">IFERROR(__xludf.DUMMYFUNCTION("""COMPUTED_VALUE"""),"B3")</f>
        <v>B3</v>
      </c>
      <c r="D42" s="6">
        <f ca="1">IFERROR(__xludf.DUMMYFUNCTION("""COMPUTED_VALUE"""),2823)</f>
        <v>2823</v>
      </c>
      <c r="E42" s="6" t="b">
        <f ca="1">IFERROR(__xludf.DUMMYFUNCTION("""COMPUTED_VALUE"""),FALSE)</f>
        <v>0</v>
      </c>
      <c r="F42" s="6" t="str">
        <f ca="1">IFERROR(__xludf.DUMMYFUNCTION("""COMPUTED_VALUE"""),"Red Barge")</f>
        <v>Red Barge</v>
      </c>
      <c r="G42" s="6" t="b">
        <f ca="1">IFERROR(__xludf.DUMMYFUNCTION("""COMPUTED_VALUE"""),TRUE)</f>
        <v>1</v>
      </c>
      <c r="H42" s="6" t="b">
        <f ca="1">IFERROR(__xludf.DUMMYFUNCTION("""COMPUTED_VALUE"""),TRUE)</f>
        <v>1</v>
      </c>
      <c r="I42" s="6">
        <f ca="1">IFERROR(__xludf.DUMMYFUNCTION("""COMPUTED_VALUE"""),2)</f>
        <v>2</v>
      </c>
      <c r="J42" s="6">
        <f ca="1">IFERROR(__xludf.DUMMYFUNCTION("""COMPUTED_VALUE"""),0)</f>
        <v>0</v>
      </c>
      <c r="K42" s="6">
        <f ca="1">IFERROR(__xludf.DUMMYFUNCTION("""COMPUTED_VALUE"""),0)</f>
        <v>0</v>
      </c>
      <c r="L42" s="6">
        <f ca="1">IFERROR(__xludf.DUMMYFUNCTION("""COMPUTED_VALUE"""),2)</f>
        <v>2</v>
      </c>
      <c r="M42" s="6">
        <f ca="1">IFERROR(__xludf.DUMMYFUNCTION("""COMPUTED_VALUE"""),0)</f>
        <v>0</v>
      </c>
      <c r="N42" s="6">
        <f ca="1">IFERROR(__xludf.DUMMYFUNCTION("""COMPUTED_VALUE"""),0)</f>
        <v>0</v>
      </c>
      <c r="O42" s="6">
        <f ca="1">IFERROR(__xludf.DUMMYFUNCTION("""COMPUTED_VALUE"""),0)</f>
        <v>0</v>
      </c>
      <c r="P42" s="6">
        <f ca="1">IFERROR(__xludf.DUMMYFUNCTION("""COMPUTED_VALUE"""),0)</f>
        <v>0</v>
      </c>
      <c r="R42" s="6">
        <f ca="1">IFERROR(__xludf.DUMMYFUNCTION("""COMPUTED_VALUE"""),0)</f>
        <v>0</v>
      </c>
      <c r="S42" s="6">
        <f ca="1">IFERROR(__xludf.DUMMYFUNCTION("""COMPUTED_VALUE"""),0)</f>
        <v>0</v>
      </c>
      <c r="T42" s="6">
        <f ca="1">IFERROR(__xludf.DUMMYFUNCTION("""COMPUTED_VALUE"""),0)</f>
        <v>0</v>
      </c>
      <c r="U42" s="6">
        <f ca="1">IFERROR(__xludf.DUMMYFUNCTION("""COMPUTED_VALUE"""),0)</f>
        <v>0</v>
      </c>
      <c r="V42" s="6">
        <f ca="1">IFERROR(__xludf.DUMMYFUNCTION("""COMPUTED_VALUE"""),0)</f>
        <v>0</v>
      </c>
      <c r="W42" s="6">
        <f ca="1">IFERROR(__xludf.DUMMYFUNCTION("""COMPUTED_VALUE"""),0)</f>
        <v>0</v>
      </c>
      <c r="X42" s="6">
        <f ca="1">IFERROR(__xludf.DUMMYFUNCTION("""COMPUTED_VALUE"""),0)</f>
        <v>0</v>
      </c>
      <c r="Y42" s="6">
        <f ca="1">IFERROR(__xludf.DUMMYFUNCTION("""COMPUTED_VALUE"""),0)</f>
        <v>0</v>
      </c>
      <c r="Z42" s="6">
        <f ca="1">IFERROR(__xludf.DUMMYFUNCTION("""COMPUTED_VALUE"""),0)</f>
        <v>0</v>
      </c>
      <c r="AA42" s="6">
        <f ca="1">IFERROR(__xludf.DUMMYFUNCTION("""COMPUTED_VALUE"""),0)</f>
        <v>0</v>
      </c>
      <c r="AB42" s="6" t="b">
        <f ca="1">IFERROR(__xludf.DUMMYFUNCTION("""COMPUTED_VALUE"""),TRUE)</f>
        <v>1</v>
      </c>
      <c r="AD42" s="6" t="b">
        <f ca="1">IFERROR(__xludf.DUMMYFUNCTION("""COMPUTED_VALUE"""),FALSE)</f>
        <v>0</v>
      </c>
      <c r="AE42" s="6">
        <f ca="1">IFERROR(__xludf.DUMMYFUNCTION("""COMPUTED_VALUE"""),4)</f>
        <v>4</v>
      </c>
      <c r="AF42" s="6">
        <f ca="1">IFERROR(__xludf.DUMMYFUNCTION("""COMPUTED_VALUE"""),1)</f>
        <v>1</v>
      </c>
      <c r="AG42" s="6">
        <f ca="1">IFERROR(__xludf.DUMMYFUNCTION("""COMPUTED_VALUE"""),4)</f>
        <v>4</v>
      </c>
      <c r="AH42" s="6">
        <f ca="1">IFERROR(__xludf.DUMMYFUNCTION("""COMPUTED_VALUE"""),0)</f>
        <v>0</v>
      </c>
      <c r="AI42" s="6">
        <f ca="1">IFERROR(__xludf.DUMMYFUNCTION("""COMPUTED_VALUE"""),0)</f>
        <v>0</v>
      </c>
      <c r="AK42" s="6" t="str">
        <f ca="1">IFERROR(__xludf.DUMMYFUNCTION("""COMPUTED_VALUE"""),"Dc")</f>
        <v>Dc</v>
      </c>
      <c r="AL42" s="6">
        <f ca="1">IFERROR(__xludf.DUMMYFUNCTION("""COMPUTED_VALUE"""),0)</f>
        <v>0</v>
      </c>
      <c r="AM42" s="6" t="b">
        <f ca="1">IFERROR(__xludf.DUMMYFUNCTION("""COMPUTED_VALUE"""),TRUE)</f>
        <v>1</v>
      </c>
      <c r="AN42" s="6" t="str">
        <f ca="1">IFERROR(__xludf.DUMMYFUNCTION("""COMPUTED_VALUE"""),"P")</f>
        <v>P</v>
      </c>
      <c r="AO42" s="6"/>
      <c r="AP42" s="6" t="str">
        <f ca="1">IFERROR(__xludf.DUMMYFUNCTION("""COMPUTED_VALUE"""),"x")</f>
        <v>x</v>
      </c>
      <c r="AQ42" s="6" t="b">
        <f ca="1">IFERROR(__xludf.DUMMYFUNCTION("""COMPUTED_VALUE"""),FALSE)</f>
        <v>0</v>
      </c>
      <c r="AR42" s="6" t="b">
        <f ca="1">IFERROR(__xludf.DUMMYFUNCTION("""COMPUTED_VALUE"""),FALSE)</f>
        <v>0</v>
      </c>
      <c r="AS42" s="15"/>
      <c r="AT42" s="6" t="str">
        <f ca="1">IFERROR(__xludf.DUMMYFUNCTION("SWITCH(IF(A42=""Practice"",AN42,FILTER('Items by Team'!E$2:E3410,'Items by Team'!C$2:C3410=D42,B42='Items by Team'!B$2:B3410)),""None"",""No"",""Parked"",""P"",""ShallowCage"",""Sc"",""DeepCage"",""Dc"",""No"",""No"",""P"",""P"",""Sc"",""Sc"",""Dc"",""Dc"&amp;""")"),"P")</f>
        <v>P</v>
      </c>
      <c r="AU42" s="6" t="str">
        <f ca="1">IFERROR(__xludf.DUMMYFUNCTION("SWITCH(IF(A42 = ""Practice"", H42, FILTER('Items by Team'!D$2:D3410,'Items by Team'!C$2:C3410 = D42,'Items by Team'!B$2:B3410 = B42)), ""Yes"", ""TRUE"", ""No"", ""FALSE"",TRUE, ""TRUE"", FALSE, ""FALSE"")"),"TRUE")</f>
        <v>TRUE</v>
      </c>
      <c r="AV42" s="6" t="str">
        <f t="shared" ca="1" si="0"/>
        <v/>
      </c>
      <c r="AW42" s="6">
        <f t="shared" ca="1" si="1"/>
        <v>1</v>
      </c>
      <c r="AX42" s="6">
        <f t="shared" ca="1" si="2"/>
        <v>2</v>
      </c>
      <c r="AY42" s="6">
        <f t="shared" ca="1" si="3"/>
        <v>2</v>
      </c>
      <c r="AZ42" s="9">
        <f t="shared" ca="1" si="4"/>
        <v>1</v>
      </c>
      <c r="BA42" s="6">
        <f t="shared" ca="1" si="5"/>
        <v>0</v>
      </c>
      <c r="BB42" s="6">
        <f t="shared" ca="1" si="6"/>
        <v>0</v>
      </c>
      <c r="BC42" s="9" t="str">
        <f t="shared" ca="1" si="7"/>
        <v/>
      </c>
      <c r="BD42" s="6">
        <f t="shared" ca="1" si="8"/>
        <v>0</v>
      </c>
      <c r="BE42" s="6">
        <f t="shared" ca="1" si="9"/>
        <v>0</v>
      </c>
      <c r="BF42" s="9" t="str">
        <f t="shared" ca="1" si="10"/>
        <v/>
      </c>
      <c r="BG42" s="6">
        <f t="shared" ca="1" si="11"/>
        <v>9</v>
      </c>
      <c r="BH42" s="6">
        <f t="shared" ca="1" si="12"/>
        <v>9</v>
      </c>
      <c r="BI42" s="9">
        <f t="shared" ca="1" si="13"/>
        <v>1</v>
      </c>
      <c r="BJ42" s="6">
        <f t="shared" ca="1" si="14"/>
        <v>0</v>
      </c>
      <c r="BK42" s="6">
        <f t="shared" ca="1" si="15"/>
        <v>1</v>
      </c>
      <c r="BL42" s="6">
        <f t="shared" ca="1" si="16"/>
        <v>0</v>
      </c>
      <c r="BM42" s="6">
        <f t="shared" ca="1" si="17"/>
        <v>0</v>
      </c>
      <c r="BN42" s="6">
        <f t="shared" ca="1" si="18"/>
        <v>1</v>
      </c>
      <c r="BP42" s="6">
        <f t="shared" ca="1" si="19"/>
        <v>0</v>
      </c>
      <c r="BQ42" s="6" t="b">
        <f ca="1">IFERROR(__xludf.DUMMYFUNCTION("IF(AND(ISERROR(FILTER('Items by Team'!D$2:D3410,'Items by Team'!C$2:C3410 = D42,'Items by Team'!B$2:B3410 = B42)),NOT(A42=""Practice"")),TRUE,FALSE)"),FALSE)</f>
        <v>0</v>
      </c>
      <c r="BR42" s="6" t="e">
        <f t="shared" ca="1" si="20"/>
        <v>#VALUE!</v>
      </c>
    </row>
    <row r="43" spans="1:70">
      <c r="A43" s="6" t="str">
        <f ca="1">IFERROR(__xludf.DUMMYFUNCTION("""COMPUTED_VALUE"""),"Practice")</f>
        <v>Practice</v>
      </c>
      <c r="B43" s="6">
        <f ca="1">IFERROR(__xludf.DUMMYFUNCTION("""COMPUTED_VALUE"""),8)</f>
        <v>8</v>
      </c>
      <c r="C43" s="6" t="str">
        <f ca="1">IFERROR(__xludf.DUMMYFUNCTION("""COMPUTED_VALUE"""),"R1")</f>
        <v>R1</v>
      </c>
      <c r="D43" s="6">
        <f ca="1">IFERROR(__xludf.DUMMYFUNCTION("""COMPUTED_VALUE"""),3926)</f>
        <v>3926</v>
      </c>
      <c r="E43" s="6" t="b">
        <f ca="1">IFERROR(__xludf.DUMMYFUNCTION("""COMPUTED_VALUE"""),FALSE)</f>
        <v>0</v>
      </c>
      <c r="F43" s="6" t="str">
        <f ca="1">IFERROR(__xludf.DUMMYFUNCTION("""COMPUTED_VALUE"""),"Red Barge")</f>
        <v>Red Barge</v>
      </c>
      <c r="G43" s="6" t="b">
        <f ca="1">IFERROR(__xludf.DUMMYFUNCTION("""COMPUTED_VALUE"""),TRUE)</f>
        <v>1</v>
      </c>
      <c r="H43" s="6" t="b">
        <f ca="1">IFERROR(__xludf.DUMMYFUNCTION("""COMPUTED_VALUE"""),TRUE)</f>
        <v>1</v>
      </c>
      <c r="I43" s="6">
        <f ca="1">IFERROR(__xludf.DUMMYFUNCTION("""COMPUTED_VALUE"""),0)</f>
        <v>0</v>
      </c>
      <c r="J43" s="6">
        <f ca="1">IFERROR(__xludf.DUMMYFUNCTION("""COMPUTED_VALUE"""),0)</f>
        <v>0</v>
      </c>
      <c r="K43" s="6">
        <f ca="1">IFERROR(__xludf.DUMMYFUNCTION("""COMPUTED_VALUE"""),0)</f>
        <v>0</v>
      </c>
      <c r="L43" s="6">
        <f ca="1">IFERROR(__xludf.DUMMYFUNCTION("""COMPUTED_VALUE"""),0)</f>
        <v>0</v>
      </c>
      <c r="M43" s="6">
        <f ca="1">IFERROR(__xludf.DUMMYFUNCTION("""COMPUTED_VALUE"""),0)</f>
        <v>0</v>
      </c>
      <c r="N43" s="6">
        <f ca="1">IFERROR(__xludf.DUMMYFUNCTION("""COMPUTED_VALUE"""),0)</f>
        <v>0</v>
      </c>
      <c r="O43" s="6">
        <f ca="1">IFERROR(__xludf.DUMMYFUNCTION("""COMPUTED_VALUE"""),0)</f>
        <v>0</v>
      </c>
      <c r="P43" s="6">
        <f ca="1">IFERROR(__xludf.DUMMYFUNCTION("""COMPUTED_VALUE"""),0)</f>
        <v>0</v>
      </c>
      <c r="R43" s="6">
        <f ca="1">IFERROR(__xludf.DUMMYFUNCTION("""COMPUTED_VALUE"""),0)</f>
        <v>0</v>
      </c>
      <c r="S43" s="6">
        <f ca="1">IFERROR(__xludf.DUMMYFUNCTION("""COMPUTED_VALUE"""),0)</f>
        <v>0</v>
      </c>
      <c r="T43" s="6">
        <f ca="1">IFERROR(__xludf.DUMMYFUNCTION("""COMPUTED_VALUE"""),0)</f>
        <v>0</v>
      </c>
      <c r="U43" s="6">
        <f ca="1">IFERROR(__xludf.DUMMYFUNCTION("""COMPUTED_VALUE"""),0)</f>
        <v>0</v>
      </c>
      <c r="V43" s="6">
        <f ca="1">IFERROR(__xludf.DUMMYFUNCTION("""COMPUTED_VALUE"""),0)</f>
        <v>0</v>
      </c>
      <c r="W43" s="6">
        <f ca="1">IFERROR(__xludf.DUMMYFUNCTION("""COMPUTED_VALUE"""),0)</f>
        <v>0</v>
      </c>
      <c r="X43" s="6">
        <f ca="1">IFERROR(__xludf.DUMMYFUNCTION("""COMPUTED_VALUE"""),0)</f>
        <v>0</v>
      </c>
      <c r="Y43" s="6">
        <f ca="1">IFERROR(__xludf.DUMMYFUNCTION("""COMPUTED_VALUE"""),0)</f>
        <v>0</v>
      </c>
      <c r="Z43" s="6">
        <f ca="1">IFERROR(__xludf.DUMMYFUNCTION("""COMPUTED_VALUE"""),0)</f>
        <v>0</v>
      </c>
      <c r="AA43" s="6">
        <f ca="1">IFERROR(__xludf.DUMMYFUNCTION("""COMPUTED_VALUE"""),0)</f>
        <v>0</v>
      </c>
      <c r="AB43" s="6" t="b">
        <f ca="1">IFERROR(__xludf.DUMMYFUNCTION("""COMPUTED_VALUE"""),TRUE)</f>
        <v>1</v>
      </c>
      <c r="AD43" s="6" t="b">
        <f ca="1">IFERROR(__xludf.DUMMYFUNCTION("""COMPUTED_VALUE"""),FALSE)</f>
        <v>0</v>
      </c>
      <c r="AE43" s="6">
        <f ca="1">IFERROR(__xludf.DUMMYFUNCTION("""COMPUTED_VALUE"""),0)</f>
        <v>0</v>
      </c>
      <c r="AF43" s="6">
        <f ca="1">IFERROR(__xludf.DUMMYFUNCTION("""COMPUTED_VALUE"""),0)</f>
        <v>0</v>
      </c>
      <c r="AG43" s="6">
        <f ca="1">IFERROR(__xludf.DUMMYFUNCTION("""COMPUTED_VALUE"""),1)</f>
        <v>1</v>
      </c>
      <c r="AH43" s="6">
        <f ca="1">IFERROR(__xludf.DUMMYFUNCTION("""COMPUTED_VALUE"""),0)</f>
        <v>0</v>
      </c>
      <c r="AI43" s="6">
        <f ca="1">IFERROR(__xludf.DUMMYFUNCTION("""COMPUTED_VALUE"""),1)</f>
        <v>1</v>
      </c>
      <c r="AK43" s="6" t="str">
        <f ca="1">IFERROR(__xludf.DUMMYFUNCTION("""COMPUTED_VALUE"""),"P")</f>
        <v>P</v>
      </c>
      <c r="AL43" s="6">
        <f ca="1">IFERROR(__xludf.DUMMYFUNCTION("""COMPUTED_VALUE"""),0)</f>
        <v>0</v>
      </c>
      <c r="AM43" s="6" t="b">
        <f ca="1">IFERROR(__xludf.DUMMYFUNCTION("""COMPUTED_VALUE"""),FALSE)</f>
        <v>0</v>
      </c>
      <c r="AN43" s="6" t="str">
        <f ca="1">IFERROR(__xludf.DUMMYFUNCTION("""COMPUTED_VALUE"""),"P")</f>
        <v>P</v>
      </c>
      <c r="AO43" s="6"/>
      <c r="AP43" s="6" t="str">
        <f ca="1">IFERROR(__xludf.DUMMYFUNCTION("""COMPUTED_VALUE"""),"x")</f>
        <v>x</v>
      </c>
      <c r="AQ43" s="6" t="b">
        <f ca="1">IFERROR(__xludf.DUMMYFUNCTION("""COMPUTED_VALUE"""),FALSE)</f>
        <v>0</v>
      </c>
      <c r="AR43" s="6" t="b">
        <f ca="1">IFERROR(__xludf.DUMMYFUNCTION("""COMPUTED_VALUE"""),FALSE)</f>
        <v>0</v>
      </c>
      <c r="AS43" s="15"/>
      <c r="AT43" s="6" t="str">
        <f ca="1">IFERROR(__xludf.DUMMYFUNCTION("SWITCH(IF(A43=""Practice"",AN43,FILTER('Items by Team'!E$2:E3410,'Items by Team'!C$2:C3410=D43,B43='Items by Team'!B$2:B3410)),""None"",""No"",""Parked"",""P"",""ShallowCage"",""Sc"",""DeepCage"",""Dc"",""No"",""No"",""P"",""P"",""Sc"",""Sc"",""Dc"",""Dc"&amp;""")"),"P")</f>
        <v>P</v>
      </c>
      <c r="AU43" s="6" t="str">
        <f ca="1">IFERROR(__xludf.DUMMYFUNCTION("SWITCH(IF(A43 = ""Practice"", H43, FILTER('Items by Team'!D$2:D3410,'Items by Team'!C$2:C3410 = D43,'Items by Team'!B$2:B3410 = B43)), ""Yes"", ""TRUE"", ""No"", ""FALSE"",TRUE, ""TRUE"", FALSE, ""FALSE"")"),"TRUE")</f>
        <v>TRUE</v>
      </c>
      <c r="AV43" s="6" t="str">
        <f t="shared" ca="1" si="0"/>
        <v/>
      </c>
      <c r="AW43" s="6">
        <f t="shared" ca="1" si="1"/>
        <v>1</v>
      </c>
      <c r="AX43" s="6">
        <f t="shared" ca="1" si="2"/>
        <v>0</v>
      </c>
      <c r="AY43" s="6">
        <f t="shared" ca="1" si="3"/>
        <v>0</v>
      </c>
      <c r="AZ43" s="9" t="str">
        <f t="shared" ca="1" si="4"/>
        <v/>
      </c>
      <c r="BA43" s="6">
        <f t="shared" ca="1" si="5"/>
        <v>0</v>
      </c>
      <c r="BB43" s="6">
        <f t="shared" ca="1" si="6"/>
        <v>0</v>
      </c>
      <c r="BC43" s="9" t="str">
        <f t="shared" ca="1" si="7"/>
        <v/>
      </c>
      <c r="BD43" s="6">
        <f t="shared" ca="1" si="8"/>
        <v>0</v>
      </c>
      <c r="BE43" s="6">
        <f t="shared" ca="1" si="9"/>
        <v>0</v>
      </c>
      <c r="BF43" s="9" t="str">
        <f t="shared" ca="1" si="10"/>
        <v/>
      </c>
      <c r="BG43" s="6">
        <f t="shared" ca="1" si="11"/>
        <v>1</v>
      </c>
      <c r="BH43" s="6">
        <f t="shared" ca="1" si="12"/>
        <v>2</v>
      </c>
      <c r="BI43" s="9">
        <f t="shared" ca="1" si="13"/>
        <v>0.5</v>
      </c>
      <c r="BJ43" s="6">
        <f t="shared" ca="1" si="14"/>
        <v>0</v>
      </c>
      <c r="BK43" s="6">
        <f t="shared" ca="1" si="15"/>
        <v>0</v>
      </c>
      <c r="BL43" s="6">
        <f t="shared" ca="1" si="16"/>
        <v>0</v>
      </c>
      <c r="BM43" s="6">
        <f t="shared" ca="1" si="17"/>
        <v>0</v>
      </c>
      <c r="BN43" s="6">
        <f t="shared" ca="1" si="18"/>
        <v>1</v>
      </c>
      <c r="BP43" s="6">
        <f t="shared" ca="1" si="19"/>
        <v>0</v>
      </c>
      <c r="BQ43" s="6" t="b">
        <f ca="1">IFERROR(__xludf.DUMMYFUNCTION("IF(AND(ISERROR(FILTER('Items by Team'!D$2:D3410,'Items by Team'!C$2:C3410 = D43,'Items by Team'!B$2:B3410 = B43)),NOT(A43=""Practice"")),TRUE,FALSE)"),FALSE)</f>
        <v>0</v>
      </c>
      <c r="BR43" s="6" t="e">
        <f t="shared" ca="1" si="20"/>
        <v>#VALUE!</v>
      </c>
    </row>
    <row r="44" spans="1:70">
      <c r="A44" s="6" t="str">
        <f ca="1">IFERROR(__xludf.DUMMYFUNCTION("""COMPUTED_VALUE"""),"Practice")</f>
        <v>Practice</v>
      </c>
      <c r="B44" s="6">
        <f ca="1">IFERROR(__xludf.DUMMYFUNCTION("""COMPUTED_VALUE"""),8)</f>
        <v>8</v>
      </c>
      <c r="C44" s="6" t="str">
        <f ca="1">IFERROR(__xludf.DUMMYFUNCTION("""COMPUTED_VALUE"""),"B1")</f>
        <v>B1</v>
      </c>
      <c r="D44" s="6">
        <f ca="1">IFERROR(__xludf.DUMMYFUNCTION("""COMPUTED_VALUE"""),2450)</f>
        <v>2450</v>
      </c>
      <c r="E44" s="6" t="b">
        <f ca="1">IFERROR(__xludf.DUMMYFUNCTION("""COMPUTED_VALUE"""),FALSE)</f>
        <v>0</v>
      </c>
      <c r="F44" s="6" t="str">
        <f ca="1">IFERROR(__xludf.DUMMYFUNCTION("""COMPUTED_VALUE"""),"Blue Barge")</f>
        <v>Blue Barge</v>
      </c>
      <c r="G44" s="6" t="b">
        <f ca="1">IFERROR(__xludf.DUMMYFUNCTION("""COMPUTED_VALUE"""),TRUE)</f>
        <v>1</v>
      </c>
      <c r="H44" s="6" t="b">
        <f ca="1">IFERROR(__xludf.DUMMYFUNCTION("""COMPUTED_VALUE"""),FALSE)</f>
        <v>0</v>
      </c>
      <c r="I44" s="6">
        <f ca="1">IFERROR(__xludf.DUMMYFUNCTION("""COMPUTED_VALUE"""),0)</f>
        <v>0</v>
      </c>
      <c r="J44" s="6">
        <f ca="1">IFERROR(__xludf.DUMMYFUNCTION("""COMPUTED_VALUE"""),0)</f>
        <v>0</v>
      </c>
      <c r="K44" s="6">
        <f ca="1">IFERROR(__xludf.DUMMYFUNCTION("""COMPUTED_VALUE"""),0)</f>
        <v>0</v>
      </c>
      <c r="L44" s="6">
        <f ca="1">IFERROR(__xludf.DUMMYFUNCTION("""COMPUTED_VALUE"""),0)</f>
        <v>0</v>
      </c>
      <c r="M44" s="6">
        <f ca="1">IFERROR(__xludf.DUMMYFUNCTION("""COMPUTED_VALUE"""),0)</f>
        <v>0</v>
      </c>
      <c r="N44" s="6">
        <f ca="1">IFERROR(__xludf.DUMMYFUNCTION("""COMPUTED_VALUE"""),0)</f>
        <v>0</v>
      </c>
      <c r="O44" s="6">
        <f ca="1">IFERROR(__xludf.DUMMYFUNCTION("""COMPUTED_VALUE"""),0)</f>
        <v>0</v>
      </c>
      <c r="P44" s="6">
        <f ca="1">IFERROR(__xludf.DUMMYFUNCTION("""COMPUTED_VALUE"""),0)</f>
        <v>0</v>
      </c>
      <c r="R44" s="6">
        <f ca="1">IFERROR(__xludf.DUMMYFUNCTION("""COMPUTED_VALUE"""),0)</f>
        <v>0</v>
      </c>
      <c r="S44" s="6">
        <f ca="1">IFERROR(__xludf.DUMMYFUNCTION("""COMPUTED_VALUE"""),0)</f>
        <v>0</v>
      </c>
      <c r="T44" s="6">
        <f ca="1">IFERROR(__xludf.DUMMYFUNCTION("""COMPUTED_VALUE"""),0)</f>
        <v>0</v>
      </c>
      <c r="U44" s="6">
        <f ca="1">IFERROR(__xludf.DUMMYFUNCTION("""COMPUTED_VALUE"""),0)</f>
        <v>0</v>
      </c>
      <c r="V44" s="6">
        <f ca="1">IFERROR(__xludf.DUMMYFUNCTION("""COMPUTED_VALUE"""),0)</f>
        <v>0</v>
      </c>
      <c r="W44" s="6">
        <f ca="1">IFERROR(__xludf.DUMMYFUNCTION("""COMPUTED_VALUE"""),0)</f>
        <v>0</v>
      </c>
      <c r="X44" s="6">
        <f ca="1">IFERROR(__xludf.DUMMYFUNCTION("""COMPUTED_VALUE"""),0)</f>
        <v>0</v>
      </c>
      <c r="Y44" s="6">
        <f ca="1">IFERROR(__xludf.DUMMYFUNCTION("""COMPUTED_VALUE"""),0)</f>
        <v>0</v>
      </c>
      <c r="Z44" s="6">
        <f ca="1">IFERROR(__xludf.DUMMYFUNCTION("""COMPUTED_VALUE"""),0)</f>
        <v>0</v>
      </c>
      <c r="AA44" s="6">
        <f ca="1">IFERROR(__xludf.DUMMYFUNCTION("""COMPUTED_VALUE"""),2)</f>
        <v>2</v>
      </c>
      <c r="AB44" s="6" t="b">
        <f ca="1">IFERROR(__xludf.DUMMYFUNCTION("""COMPUTED_VALUE"""),FALSE)</f>
        <v>0</v>
      </c>
      <c r="AD44" s="6" t="b">
        <f ca="1">IFERROR(__xludf.DUMMYFUNCTION("""COMPUTED_VALUE"""),FALSE)</f>
        <v>0</v>
      </c>
      <c r="AE44" s="6">
        <f ca="1">IFERROR(__xludf.DUMMYFUNCTION("""COMPUTED_VALUE"""),0)</f>
        <v>0</v>
      </c>
      <c r="AF44" s="6">
        <f ca="1">IFERROR(__xludf.DUMMYFUNCTION("""COMPUTED_VALUE"""),0)</f>
        <v>0</v>
      </c>
      <c r="AG44" s="6">
        <f ca="1">IFERROR(__xludf.DUMMYFUNCTION("""COMPUTED_VALUE"""),0)</f>
        <v>0</v>
      </c>
      <c r="AH44" s="6">
        <f ca="1">IFERROR(__xludf.DUMMYFUNCTION("""COMPUTED_VALUE"""),0)</f>
        <v>0</v>
      </c>
      <c r="AI44" s="6">
        <f ca="1">IFERROR(__xludf.DUMMYFUNCTION("""COMPUTED_VALUE"""),2)</f>
        <v>2</v>
      </c>
      <c r="AK44" s="6" t="str">
        <f ca="1">IFERROR(__xludf.DUMMYFUNCTION("""COMPUTED_VALUE"""),"No")</f>
        <v>No</v>
      </c>
      <c r="AL44" s="6">
        <f ca="1">IFERROR(__xludf.DUMMYFUNCTION("""COMPUTED_VALUE"""),0)</f>
        <v>0</v>
      </c>
      <c r="AM44" s="6" t="b">
        <f ca="1">IFERROR(__xludf.DUMMYFUNCTION("""COMPUTED_VALUE"""),FALSE)</f>
        <v>0</v>
      </c>
      <c r="AN44" s="6" t="str">
        <f ca="1">IFERROR(__xludf.DUMMYFUNCTION("""COMPUTED_VALUE"""),"P")</f>
        <v>P</v>
      </c>
      <c r="AO44" s="6"/>
      <c r="AP44" s="6" t="str">
        <f ca="1">IFERROR(__xludf.DUMMYFUNCTION("""COMPUTED_VALUE"""),"x")</f>
        <v>x</v>
      </c>
      <c r="AQ44" s="6" t="b">
        <f ca="1">IFERROR(__xludf.DUMMYFUNCTION("""COMPUTED_VALUE"""),FALSE)</f>
        <v>0</v>
      </c>
      <c r="AR44" s="6" t="b">
        <f ca="1">IFERROR(__xludf.DUMMYFUNCTION("""COMPUTED_VALUE"""),FALSE)</f>
        <v>0</v>
      </c>
      <c r="AS44" s="15"/>
      <c r="AT44" s="6" t="str">
        <f ca="1">IFERROR(__xludf.DUMMYFUNCTION("SWITCH(IF(A44=""Practice"",AN44,FILTER('Items by Team'!E$2:E3410,'Items by Team'!C$2:C3410=D44,B44='Items by Team'!B$2:B3410)),""None"",""No"",""Parked"",""P"",""ShallowCage"",""Sc"",""DeepCage"",""Dc"",""No"",""No"",""P"",""P"",""Sc"",""Sc"",""Dc"",""Dc"&amp;""")"),"P")</f>
        <v>P</v>
      </c>
      <c r="AU44" s="6" t="str">
        <f ca="1">IFERROR(__xludf.DUMMYFUNCTION("SWITCH(IF(A44 = ""Practice"", H44, FILTER('Items by Team'!D$2:D3410,'Items by Team'!C$2:C3410 = D44,'Items by Team'!B$2:B3410 = B44)), ""Yes"", ""TRUE"", ""No"", ""FALSE"",TRUE, ""TRUE"", FALSE, ""FALSE"")"),"FALSE")</f>
        <v>FALSE</v>
      </c>
      <c r="AV44" s="6" t="str">
        <f t="shared" ca="1" si="0"/>
        <v/>
      </c>
      <c r="AW44" s="6">
        <f t="shared" ca="1" si="1"/>
        <v>0</v>
      </c>
      <c r="AX44" s="6">
        <f t="shared" ca="1" si="2"/>
        <v>0</v>
      </c>
      <c r="AY44" s="6">
        <f t="shared" ca="1" si="3"/>
        <v>0</v>
      </c>
      <c r="AZ44" s="9" t="str">
        <f t="shared" ca="1" si="4"/>
        <v/>
      </c>
      <c r="BA44" s="6">
        <f t="shared" ca="1" si="5"/>
        <v>0</v>
      </c>
      <c r="BB44" s="6">
        <f t="shared" ca="1" si="6"/>
        <v>0</v>
      </c>
      <c r="BC44" s="9" t="str">
        <f t="shared" ca="1" si="7"/>
        <v/>
      </c>
      <c r="BD44" s="6">
        <f t="shared" ca="1" si="8"/>
        <v>0</v>
      </c>
      <c r="BE44" s="6">
        <f t="shared" ca="1" si="9"/>
        <v>0</v>
      </c>
      <c r="BF44" s="9" t="str">
        <f t="shared" ca="1" si="10"/>
        <v/>
      </c>
      <c r="BG44" s="6">
        <f t="shared" ca="1" si="11"/>
        <v>0</v>
      </c>
      <c r="BH44" s="6">
        <f t="shared" ca="1" si="12"/>
        <v>2</v>
      </c>
      <c r="BI44" s="9">
        <f t="shared" ca="1" si="13"/>
        <v>0</v>
      </c>
      <c r="BJ44" s="6">
        <f t="shared" ca="1" si="14"/>
        <v>0</v>
      </c>
      <c r="BK44" s="6">
        <f t="shared" ca="1" si="15"/>
        <v>0</v>
      </c>
      <c r="BL44" s="6">
        <f t="shared" ca="1" si="16"/>
        <v>0</v>
      </c>
      <c r="BM44" s="6">
        <f t="shared" ca="1" si="17"/>
        <v>0</v>
      </c>
      <c r="BN44" s="6">
        <f t="shared" ca="1" si="18"/>
        <v>0</v>
      </c>
      <c r="BP44" s="6">
        <f t="shared" ca="1" si="19"/>
        <v>0</v>
      </c>
      <c r="BQ44" s="6" t="b">
        <f ca="1">IFERROR(__xludf.DUMMYFUNCTION("IF(AND(ISERROR(FILTER('Items by Team'!D$2:D3410,'Items by Team'!C$2:C3410 = D44,'Items by Team'!B$2:B3410 = B44)),NOT(A44=""Practice"")),TRUE,FALSE)"),FALSE)</f>
        <v>0</v>
      </c>
      <c r="BR44" s="6" t="e">
        <f t="shared" ca="1" si="20"/>
        <v>#VALUE!</v>
      </c>
    </row>
    <row r="45" spans="1:70">
      <c r="A45" s="6" t="str">
        <f ca="1">IFERROR(__xludf.DUMMYFUNCTION("""COMPUTED_VALUE"""),"Practice")</f>
        <v>Practice</v>
      </c>
      <c r="B45" s="6">
        <f ca="1">IFERROR(__xludf.DUMMYFUNCTION("""COMPUTED_VALUE"""),8)</f>
        <v>8</v>
      </c>
      <c r="C45" s="6" t="str">
        <f ca="1">IFERROR(__xludf.DUMMYFUNCTION("""COMPUTED_VALUE"""),"B3")</f>
        <v>B3</v>
      </c>
      <c r="D45" s="6">
        <f ca="1">IFERROR(__xludf.DUMMYFUNCTION("""COMPUTED_VALUE"""),5271)</f>
        <v>5271</v>
      </c>
      <c r="E45" s="6" t="b">
        <f ca="1">IFERROR(__xludf.DUMMYFUNCTION("""COMPUTED_VALUE"""),FALSE)</f>
        <v>0</v>
      </c>
      <c r="F45" s="6" t="str">
        <f ca="1">IFERROR(__xludf.DUMMYFUNCTION("""COMPUTED_VALUE"""),"Red Barge")</f>
        <v>Red Barge</v>
      </c>
      <c r="G45" s="6" t="b">
        <f ca="1">IFERROR(__xludf.DUMMYFUNCTION("""COMPUTED_VALUE"""),TRUE)</f>
        <v>1</v>
      </c>
      <c r="H45" s="6" t="b">
        <f ca="1">IFERROR(__xludf.DUMMYFUNCTION("""COMPUTED_VALUE"""),FALSE)</f>
        <v>0</v>
      </c>
      <c r="I45" s="6">
        <f ca="1">IFERROR(__xludf.DUMMYFUNCTION("""COMPUTED_VALUE"""),0)</f>
        <v>0</v>
      </c>
      <c r="J45" s="6">
        <f ca="1">IFERROR(__xludf.DUMMYFUNCTION("""COMPUTED_VALUE"""),0)</f>
        <v>0</v>
      </c>
      <c r="K45" s="6">
        <f ca="1">IFERROR(__xludf.DUMMYFUNCTION("""COMPUTED_VALUE"""),0)</f>
        <v>0</v>
      </c>
      <c r="L45" s="6">
        <f ca="1">IFERROR(__xludf.DUMMYFUNCTION("""COMPUTED_VALUE"""),0)</f>
        <v>0</v>
      </c>
      <c r="M45" s="6">
        <f ca="1">IFERROR(__xludf.DUMMYFUNCTION("""COMPUTED_VALUE"""),0)</f>
        <v>0</v>
      </c>
      <c r="N45" s="6">
        <f ca="1">IFERROR(__xludf.DUMMYFUNCTION("""COMPUTED_VALUE"""),0)</f>
        <v>0</v>
      </c>
      <c r="O45" s="6">
        <f ca="1">IFERROR(__xludf.DUMMYFUNCTION("""COMPUTED_VALUE"""),0)</f>
        <v>0</v>
      </c>
      <c r="P45" s="6">
        <f ca="1">IFERROR(__xludf.DUMMYFUNCTION("""COMPUTED_VALUE"""),0)</f>
        <v>0</v>
      </c>
      <c r="R45" s="6">
        <f ca="1">IFERROR(__xludf.DUMMYFUNCTION("""COMPUTED_VALUE"""),0)</f>
        <v>0</v>
      </c>
      <c r="S45" s="6">
        <f ca="1">IFERROR(__xludf.DUMMYFUNCTION("""COMPUTED_VALUE"""),0)</f>
        <v>0</v>
      </c>
      <c r="T45" s="6">
        <f ca="1">IFERROR(__xludf.DUMMYFUNCTION("""COMPUTED_VALUE"""),0)</f>
        <v>0</v>
      </c>
      <c r="U45" s="6">
        <f ca="1">IFERROR(__xludf.DUMMYFUNCTION("""COMPUTED_VALUE"""),0)</f>
        <v>0</v>
      </c>
      <c r="V45" s="6">
        <f ca="1">IFERROR(__xludf.DUMMYFUNCTION("""COMPUTED_VALUE"""),0)</f>
        <v>0</v>
      </c>
      <c r="W45" s="6">
        <f ca="1">IFERROR(__xludf.DUMMYFUNCTION("""COMPUTED_VALUE"""),0)</f>
        <v>0</v>
      </c>
      <c r="X45" s="6">
        <f ca="1">IFERROR(__xludf.DUMMYFUNCTION("""COMPUTED_VALUE"""),0)</f>
        <v>0</v>
      </c>
      <c r="Y45" s="6">
        <f ca="1">IFERROR(__xludf.DUMMYFUNCTION("""COMPUTED_VALUE"""),0)</f>
        <v>0</v>
      </c>
      <c r="Z45" s="6">
        <f ca="1">IFERROR(__xludf.DUMMYFUNCTION("""COMPUTED_VALUE"""),0)</f>
        <v>0</v>
      </c>
      <c r="AA45" s="6">
        <f ca="1">IFERROR(__xludf.DUMMYFUNCTION("""COMPUTED_VALUE"""),0)</f>
        <v>0</v>
      </c>
      <c r="AB45" s="6" t="b">
        <f ca="1">IFERROR(__xludf.DUMMYFUNCTION("""COMPUTED_VALUE"""),TRUE)</f>
        <v>1</v>
      </c>
      <c r="AD45" s="6" t="b">
        <f ca="1">IFERROR(__xludf.DUMMYFUNCTION("""COMPUTED_VALUE"""),FALSE)</f>
        <v>0</v>
      </c>
      <c r="AE45" s="6">
        <f ca="1">IFERROR(__xludf.DUMMYFUNCTION("""COMPUTED_VALUE"""),0)</f>
        <v>0</v>
      </c>
      <c r="AF45" s="6">
        <f ca="1">IFERROR(__xludf.DUMMYFUNCTION("""COMPUTED_VALUE"""),0)</f>
        <v>0</v>
      </c>
      <c r="AG45" s="6">
        <f ca="1">IFERROR(__xludf.DUMMYFUNCTION("""COMPUTED_VALUE"""),0)</f>
        <v>0</v>
      </c>
      <c r="AH45" s="6">
        <f ca="1">IFERROR(__xludf.DUMMYFUNCTION("""COMPUTED_VALUE"""),1)</f>
        <v>1</v>
      </c>
      <c r="AI45" s="6">
        <f ca="1">IFERROR(__xludf.DUMMYFUNCTION("""COMPUTED_VALUE"""),2)</f>
        <v>2</v>
      </c>
      <c r="AK45" s="6" t="str">
        <f ca="1">IFERROR(__xludf.DUMMYFUNCTION("""COMPUTED_VALUE"""),"P")</f>
        <v>P</v>
      </c>
      <c r="AL45" s="6">
        <f ca="1">IFERROR(__xludf.DUMMYFUNCTION("""COMPUTED_VALUE"""),0)</f>
        <v>0</v>
      </c>
      <c r="AM45" s="6" t="b">
        <f ca="1">IFERROR(__xludf.DUMMYFUNCTION("""COMPUTED_VALUE"""),FALSE)</f>
        <v>0</v>
      </c>
      <c r="AN45" s="6" t="str">
        <f ca="1">IFERROR(__xludf.DUMMYFUNCTION("""COMPUTED_VALUE"""),"P")</f>
        <v>P</v>
      </c>
      <c r="AO45" s="6"/>
      <c r="AP45" s="6" t="str">
        <f ca="1">IFERROR(__xludf.DUMMYFUNCTION("""COMPUTED_VALUE"""),"x")</f>
        <v>x</v>
      </c>
      <c r="AQ45" s="6" t="b">
        <f ca="1">IFERROR(__xludf.DUMMYFUNCTION("""COMPUTED_VALUE"""),FALSE)</f>
        <v>0</v>
      </c>
      <c r="AR45" s="6" t="b">
        <f ca="1">IFERROR(__xludf.DUMMYFUNCTION("""COMPUTED_VALUE"""),FALSE)</f>
        <v>0</v>
      </c>
      <c r="AS45" s="15"/>
      <c r="AT45" s="6" t="str">
        <f ca="1">IFERROR(__xludf.DUMMYFUNCTION("SWITCH(IF(A45=""Practice"",AN45,FILTER('Items by Team'!E$2:E3410,'Items by Team'!C$2:C3410=D45,B45='Items by Team'!B$2:B3410)),""None"",""No"",""Parked"",""P"",""ShallowCage"",""Sc"",""DeepCage"",""Dc"",""No"",""No"",""P"",""P"",""Sc"",""Sc"",""Dc"",""Dc"&amp;""")"),"P")</f>
        <v>P</v>
      </c>
      <c r="AU45" s="6" t="str">
        <f ca="1">IFERROR(__xludf.DUMMYFUNCTION("SWITCH(IF(A45 = ""Practice"", H45, FILTER('Items by Team'!D$2:D3410,'Items by Team'!C$2:C3410 = D45,'Items by Team'!B$2:B3410 = B45)), ""Yes"", ""TRUE"", ""No"", ""FALSE"",TRUE, ""TRUE"", FALSE, ""FALSE"")"),"FALSE")</f>
        <v>FALSE</v>
      </c>
      <c r="AV45" s="6" t="str">
        <f t="shared" ca="1" si="0"/>
        <v/>
      </c>
      <c r="AW45" s="6">
        <f t="shared" ca="1" si="1"/>
        <v>0</v>
      </c>
      <c r="AX45" s="6">
        <f t="shared" ca="1" si="2"/>
        <v>0</v>
      </c>
      <c r="AY45" s="6">
        <f t="shared" ca="1" si="3"/>
        <v>0</v>
      </c>
      <c r="AZ45" s="9" t="str">
        <f t="shared" ca="1" si="4"/>
        <v/>
      </c>
      <c r="BA45" s="6">
        <f t="shared" ca="1" si="5"/>
        <v>0</v>
      </c>
      <c r="BB45" s="6">
        <f t="shared" ca="1" si="6"/>
        <v>0</v>
      </c>
      <c r="BC45" s="9" t="str">
        <f t="shared" ca="1" si="7"/>
        <v/>
      </c>
      <c r="BD45" s="6">
        <f t="shared" ca="1" si="8"/>
        <v>0</v>
      </c>
      <c r="BE45" s="6">
        <f t="shared" ca="1" si="9"/>
        <v>0</v>
      </c>
      <c r="BF45" s="9" t="str">
        <f t="shared" ca="1" si="10"/>
        <v/>
      </c>
      <c r="BG45" s="6">
        <f t="shared" ca="1" si="11"/>
        <v>1</v>
      </c>
      <c r="BH45" s="6">
        <f t="shared" ca="1" si="12"/>
        <v>3</v>
      </c>
      <c r="BI45" s="9">
        <f t="shared" ca="1" si="13"/>
        <v>0.33333333333333331</v>
      </c>
      <c r="BJ45" s="6">
        <f t="shared" ca="1" si="14"/>
        <v>0</v>
      </c>
      <c r="BK45" s="6">
        <f t="shared" ca="1" si="15"/>
        <v>0</v>
      </c>
      <c r="BL45" s="6">
        <f t="shared" ca="1" si="16"/>
        <v>0</v>
      </c>
      <c r="BM45" s="6">
        <f t="shared" ca="1" si="17"/>
        <v>0</v>
      </c>
      <c r="BN45" s="6">
        <f t="shared" ca="1" si="18"/>
        <v>1</v>
      </c>
      <c r="BP45" s="6">
        <f t="shared" ca="1" si="19"/>
        <v>0</v>
      </c>
      <c r="BQ45" s="6" t="b">
        <f ca="1">IFERROR(__xludf.DUMMYFUNCTION("IF(AND(ISERROR(FILTER('Items by Team'!D$2:D3410,'Items by Team'!C$2:C3410 = D45,'Items by Team'!B$2:B3410 = B45)),NOT(A45=""Practice"")),TRUE,FALSE)"),FALSE)</f>
        <v>0</v>
      </c>
      <c r="BR45" s="6" t="e">
        <f t="shared" ca="1" si="20"/>
        <v>#VALUE!</v>
      </c>
    </row>
    <row r="46" spans="1:70">
      <c r="A46" s="6" t="str">
        <f ca="1">IFERROR(__xludf.DUMMYFUNCTION("""COMPUTED_VALUE"""),"Practice")</f>
        <v>Practice</v>
      </c>
      <c r="B46" s="6">
        <f ca="1">IFERROR(__xludf.DUMMYFUNCTION("""COMPUTED_VALUE"""),8)</f>
        <v>8</v>
      </c>
      <c r="C46" s="6" t="str">
        <f ca="1">IFERROR(__xludf.DUMMYFUNCTION("""COMPUTED_VALUE"""),"R1")</f>
        <v>R1</v>
      </c>
      <c r="D46" s="6">
        <f ca="1">IFERROR(__xludf.DUMMYFUNCTION("""COMPUTED_VALUE"""),7068)</f>
        <v>7068</v>
      </c>
      <c r="E46" s="6" t="b">
        <f ca="1">IFERROR(__xludf.DUMMYFUNCTION("""COMPUTED_VALUE"""),FALSE)</f>
        <v>0</v>
      </c>
      <c r="F46" s="6" t="str">
        <f ca="1">IFERROR(__xludf.DUMMYFUNCTION("""COMPUTED_VALUE"""),"Red Barge")</f>
        <v>Red Barge</v>
      </c>
      <c r="G46" s="6" t="b">
        <f ca="1">IFERROR(__xludf.DUMMYFUNCTION("""COMPUTED_VALUE"""),FALSE)</f>
        <v>0</v>
      </c>
      <c r="H46" s="6" t="b">
        <f ca="1">IFERROR(__xludf.DUMMYFUNCTION("""COMPUTED_VALUE"""),TRUE)</f>
        <v>1</v>
      </c>
      <c r="I46" s="6">
        <f ca="1">IFERROR(__xludf.DUMMYFUNCTION("""COMPUTED_VALUE"""),0)</f>
        <v>0</v>
      </c>
      <c r="J46" s="6">
        <f ca="1">IFERROR(__xludf.DUMMYFUNCTION("""COMPUTED_VALUE"""),0)</f>
        <v>0</v>
      </c>
      <c r="K46" s="6">
        <f ca="1">IFERROR(__xludf.DUMMYFUNCTION("""COMPUTED_VALUE"""),0)</f>
        <v>0</v>
      </c>
      <c r="L46" s="6">
        <f ca="1">IFERROR(__xludf.DUMMYFUNCTION("""COMPUTED_VALUE"""),0)</f>
        <v>0</v>
      </c>
      <c r="M46" s="6">
        <f ca="1">IFERROR(__xludf.DUMMYFUNCTION("""COMPUTED_VALUE"""),0)</f>
        <v>0</v>
      </c>
      <c r="N46" s="6">
        <f ca="1">IFERROR(__xludf.DUMMYFUNCTION("""COMPUTED_VALUE"""),0)</f>
        <v>0</v>
      </c>
      <c r="O46" s="6">
        <f ca="1">IFERROR(__xludf.DUMMYFUNCTION("""COMPUTED_VALUE"""),0)</f>
        <v>0</v>
      </c>
      <c r="P46" s="6">
        <f ca="1">IFERROR(__xludf.DUMMYFUNCTION("""COMPUTED_VALUE"""),0)</f>
        <v>0</v>
      </c>
      <c r="R46" s="6">
        <f ca="1">IFERROR(__xludf.DUMMYFUNCTION("""COMPUTED_VALUE"""),0)</f>
        <v>0</v>
      </c>
      <c r="S46" s="6">
        <f ca="1">IFERROR(__xludf.DUMMYFUNCTION("""COMPUTED_VALUE"""),0)</f>
        <v>0</v>
      </c>
      <c r="T46" s="6">
        <f ca="1">IFERROR(__xludf.DUMMYFUNCTION("""COMPUTED_VALUE"""),0)</f>
        <v>0</v>
      </c>
      <c r="U46" s="6">
        <f ca="1">IFERROR(__xludf.DUMMYFUNCTION("""COMPUTED_VALUE"""),0)</f>
        <v>0</v>
      </c>
      <c r="V46" s="6">
        <f ca="1">IFERROR(__xludf.DUMMYFUNCTION("""COMPUTED_VALUE"""),0)</f>
        <v>0</v>
      </c>
      <c r="W46" s="6">
        <f ca="1">IFERROR(__xludf.DUMMYFUNCTION("""COMPUTED_VALUE"""),0)</f>
        <v>0</v>
      </c>
      <c r="X46" s="6">
        <f ca="1">IFERROR(__xludf.DUMMYFUNCTION("""COMPUTED_VALUE"""),0)</f>
        <v>0</v>
      </c>
      <c r="Y46" s="6">
        <f ca="1">IFERROR(__xludf.DUMMYFUNCTION("""COMPUTED_VALUE"""),0)</f>
        <v>0</v>
      </c>
      <c r="Z46" s="6">
        <f ca="1">IFERROR(__xludf.DUMMYFUNCTION("""COMPUTED_VALUE"""),1)</f>
        <v>1</v>
      </c>
      <c r="AA46" s="6">
        <f ca="1">IFERROR(__xludf.DUMMYFUNCTION("""COMPUTED_VALUE"""),0)</f>
        <v>0</v>
      </c>
      <c r="AB46" s="6" t="b">
        <f ca="1">IFERROR(__xludf.DUMMYFUNCTION("""COMPUTED_VALUE"""),TRUE)</f>
        <v>1</v>
      </c>
      <c r="AD46" s="6" t="b">
        <f ca="1">IFERROR(__xludf.DUMMYFUNCTION("""COMPUTED_VALUE"""),FALSE)</f>
        <v>0</v>
      </c>
      <c r="AE46" s="6">
        <f ca="1">IFERROR(__xludf.DUMMYFUNCTION("""COMPUTED_VALUE"""),1)</f>
        <v>1</v>
      </c>
      <c r="AF46" s="6">
        <f ca="1">IFERROR(__xludf.DUMMYFUNCTION("""COMPUTED_VALUE"""),0)</f>
        <v>0</v>
      </c>
      <c r="AG46" s="6">
        <f ca="1">IFERROR(__xludf.DUMMYFUNCTION("""COMPUTED_VALUE"""),0)</f>
        <v>0</v>
      </c>
      <c r="AH46" s="6">
        <f ca="1">IFERROR(__xludf.DUMMYFUNCTION("""COMPUTED_VALUE"""),0)</f>
        <v>0</v>
      </c>
      <c r="AI46" s="6">
        <f ca="1">IFERROR(__xludf.DUMMYFUNCTION("""COMPUTED_VALUE"""),0)</f>
        <v>0</v>
      </c>
      <c r="AK46" s="6" t="str">
        <f ca="1">IFERROR(__xludf.DUMMYFUNCTION("""COMPUTED_VALUE"""),"Sc")</f>
        <v>Sc</v>
      </c>
      <c r="AL46" s="6">
        <f ca="1">IFERROR(__xludf.DUMMYFUNCTION("""COMPUTED_VALUE"""),0)</f>
        <v>0</v>
      </c>
      <c r="AM46" s="6" t="b">
        <f ca="1">IFERROR(__xludf.DUMMYFUNCTION("""COMPUTED_VALUE"""),FALSE)</f>
        <v>0</v>
      </c>
      <c r="AN46" s="6" t="str">
        <f ca="1">IFERROR(__xludf.DUMMYFUNCTION("""COMPUTED_VALUE"""),"P")</f>
        <v>P</v>
      </c>
      <c r="AO46" s="6"/>
      <c r="AP46" s="6" t="str">
        <f ca="1">IFERROR(__xludf.DUMMYFUNCTION("""COMPUTED_VALUE"""),"x")</f>
        <v>x</v>
      </c>
      <c r="AQ46" s="6" t="b">
        <f ca="1">IFERROR(__xludf.DUMMYFUNCTION("""COMPUTED_VALUE"""),FALSE)</f>
        <v>0</v>
      </c>
      <c r="AR46" s="6" t="b">
        <f ca="1">IFERROR(__xludf.DUMMYFUNCTION("""COMPUTED_VALUE"""),FALSE)</f>
        <v>0</v>
      </c>
      <c r="AS46" s="15"/>
      <c r="AT46" s="6" t="str">
        <f ca="1">IFERROR(__xludf.DUMMYFUNCTION("SWITCH(IF(A46=""Practice"",AN46,FILTER('Items by Team'!E$2:E3410,'Items by Team'!C$2:C3410=D46,B46='Items by Team'!B$2:B3410)),""None"",""No"",""Parked"",""P"",""ShallowCage"",""Sc"",""DeepCage"",""Dc"",""No"",""No"",""P"",""P"",""Sc"",""Sc"",""Dc"",""Dc"&amp;""")"),"P")</f>
        <v>P</v>
      </c>
      <c r="AU46" s="6" t="str">
        <f ca="1">IFERROR(__xludf.DUMMYFUNCTION("SWITCH(IF(A46 = ""Practice"", H46, FILTER('Items by Team'!D$2:D3410,'Items by Team'!C$2:C3410 = D46,'Items by Team'!B$2:B3410 = B46)), ""Yes"", ""TRUE"", ""No"", ""FALSE"",TRUE, ""TRUE"", FALSE, ""FALSE"")"),"TRUE")</f>
        <v>TRUE</v>
      </c>
      <c r="AV46" s="6" t="str">
        <f t="shared" ca="1" si="0"/>
        <v/>
      </c>
      <c r="AW46" s="6">
        <f t="shared" ca="1" si="1"/>
        <v>1</v>
      </c>
      <c r="AX46" s="6">
        <f t="shared" ca="1" si="2"/>
        <v>0</v>
      </c>
      <c r="AY46" s="6">
        <f t="shared" ca="1" si="3"/>
        <v>0</v>
      </c>
      <c r="AZ46" s="9" t="str">
        <f t="shared" ca="1" si="4"/>
        <v/>
      </c>
      <c r="BA46" s="6">
        <f t="shared" ca="1" si="5"/>
        <v>0</v>
      </c>
      <c r="BB46" s="6">
        <f t="shared" ca="1" si="6"/>
        <v>0</v>
      </c>
      <c r="BC46" s="9" t="str">
        <f t="shared" ca="1" si="7"/>
        <v/>
      </c>
      <c r="BD46" s="6">
        <f t="shared" ca="1" si="8"/>
        <v>0</v>
      </c>
      <c r="BE46" s="6">
        <f t="shared" ca="1" si="9"/>
        <v>0</v>
      </c>
      <c r="BF46" s="9" t="str">
        <f t="shared" ca="1" si="10"/>
        <v/>
      </c>
      <c r="BG46" s="6">
        <f t="shared" ca="1" si="11"/>
        <v>1</v>
      </c>
      <c r="BH46" s="6">
        <f t="shared" ca="1" si="12"/>
        <v>1</v>
      </c>
      <c r="BI46" s="9">
        <f t="shared" ca="1" si="13"/>
        <v>1</v>
      </c>
      <c r="BJ46" s="6">
        <f t="shared" ca="1" si="14"/>
        <v>0</v>
      </c>
      <c r="BK46" s="6">
        <f t="shared" ca="1" si="15"/>
        <v>0</v>
      </c>
      <c r="BL46" s="6">
        <f t="shared" ca="1" si="16"/>
        <v>0</v>
      </c>
      <c r="BM46" s="6">
        <f t="shared" ca="1" si="17"/>
        <v>0</v>
      </c>
      <c r="BN46" s="6">
        <f t="shared" ca="1" si="18"/>
        <v>1</v>
      </c>
      <c r="BP46" s="6">
        <f t="shared" ca="1" si="19"/>
        <v>0</v>
      </c>
      <c r="BQ46" s="6" t="b">
        <f ca="1">IFERROR(__xludf.DUMMYFUNCTION("IF(AND(ISERROR(FILTER('Items by Team'!D$2:D3410,'Items by Team'!C$2:C3410 = D46,'Items by Team'!B$2:B3410 = B46)),NOT(A46=""Practice"")),TRUE,FALSE)"),FALSE)</f>
        <v>0</v>
      </c>
      <c r="BR46" s="6" t="e">
        <f t="shared" ca="1" si="20"/>
        <v>#VALUE!</v>
      </c>
    </row>
    <row r="47" spans="1:70">
      <c r="A47" s="6" t="str">
        <f ca="1">IFERROR(__xludf.DUMMYFUNCTION("""COMPUTED_VALUE"""),"Practice")</f>
        <v>Practice</v>
      </c>
      <c r="B47" s="6">
        <f ca="1">IFERROR(__xludf.DUMMYFUNCTION("""COMPUTED_VALUE"""),8)</f>
        <v>8</v>
      </c>
      <c r="C47" s="6" t="str">
        <f ca="1">IFERROR(__xludf.DUMMYFUNCTION("""COMPUTED_VALUE"""),"R2")</f>
        <v>R2</v>
      </c>
      <c r="D47" s="6">
        <f ca="1">IFERROR(__xludf.DUMMYFUNCTION("""COMPUTED_VALUE"""),2220)</f>
        <v>2220</v>
      </c>
      <c r="E47" s="6" t="b">
        <f ca="1">IFERROR(__xludf.DUMMYFUNCTION("""COMPUTED_VALUE"""),FALSE)</f>
        <v>0</v>
      </c>
      <c r="F47" s="6" t="str">
        <f ca="1">IFERROR(__xludf.DUMMYFUNCTION("""COMPUTED_VALUE"""),"Blue Barge")</f>
        <v>Blue Barge</v>
      </c>
      <c r="G47" s="6" t="b">
        <f ca="1">IFERROR(__xludf.DUMMYFUNCTION("""COMPUTED_VALUE"""),TRUE)</f>
        <v>1</v>
      </c>
      <c r="H47" s="6" t="b">
        <f ca="1">IFERROR(__xludf.DUMMYFUNCTION("""COMPUTED_VALUE"""),TRUE)</f>
        <v>1</v>
      </c>
      <c r="I47" s="6">
        <f ca="1">IFERROR(__xludf.DUMMYFUNCTION("""COMPUTED_VALUE"""),2)</f>
        <v>2</v>
      </c>
      <c r="J47" s="6">
        <f ca="1">IFERROR(__xludf.DUMMYFUNCTION("""COMPUTED_VALUE"""),0)</f>
        <v>0</v>
      </c>
      <c r="K47" s="6">
        <f ca="1">IFERROR(__xludf.DUMMYFUNCTION("""COMPUTED_VALUE"""),0)</f>
        <v>0</v>
      </c>
      <c r="L47" s="6">
        <f ca="1">IFERROR(__xludf.DUMMYFUNCTION("""COMPUTED_VALUE"""),4)</f>
        <v>4</v>
      </c>
      <c r="M47" s="6">
        <f ca="1">IFERROR(__xludf.DUMMYFUNCTION("""COMPUTED_VALUE"""),0)</f>
        <v>0</v>
      </c>
      <c r="N47" s="6">
        <f ca="1">IFERROR(__xludf.DUMMYFUNCTION("""COMPUTED_VALUE"""),0)</f>
        <v>0</v>
      </c>
      <c r="O47" s="6">
        <f ca="1">IFERROR(__xludf.DUMMYFUNCTION("""COMPUTED_VALUE"""),0)</f>
        <v>0</v>
      </c>
      <c r="P47" s="6">
        <f ca="1">IFERROR(__xludf.DUMMYFUNCTION("""COMPUTED_VALUE"""),1)</f>
        <v>1</v>
      </c>
      <c r="R47" s="6">
        <f ca="1">IFERROR(__xludf.DUMMYFUNCTION("""COMPUTED_VALUE"""),0)</f>
        <v>0</v>
      </c>
      <c r="S47" s="6">
        <f ca="1">IFERROR(__xludf.DUMMYFUNCTION("""COMPUTED_VALUE"""),0)</f>
        <v>0</v>
      </c>
      <c r="T47" s="6">
        <f ca="1">IFERROR(__xludf.DUMMYFUNCTION("""COMPUTED_VALUE"""),0)</f>
        <v>0</v>
      </c>
      <c r="U47" s="6">
        <f ca="1">IFERROR(__xludf.DUMMYFUNCTION("""COMPUTED_VALUE"""),0)</f>
        <v>0</v>
      </c>
      <c r="V47" s="6">
        <f ca="1">IFERROR(__xludf.DUMMYFUNCTION("""COMPUTED_VALUE"""),0)</f>
        <v>0</v>
      </c>
      <c r="W47" s="6">
        <f ca="1">IFERROR(__xludf.DUMMYFUNCTION("""COMPUTED_VALUE"""),0)</f>
        <v>0</v>
      </c>
      <c r="X47" s="6">
        <f ca="1">IFERROR(__xludf.DUMMYFUNCTION("""COMPUTED_VALUE"""),2)</f>
        <v>2</v>
      </c>
      <c r="Y47" s="6">
        <f ca="1">IFERROR(__xludf.DUMMYFUNCTION("""COMPUTED_VALUE"""),0)</f>
        <v>0</v>
      </c>
      <c r="Z47" s="6">
        <f ca="1">IFERROR(__xludf.DUMMYFUNCTION("""COMPUTED_VALUE"""),0)</f>
        <v>0</v>
      </c>
      <c r="AA47" s="6">
        <f ca="1">IFERROR(__xludf.DUMMYFUNCTION("""COMPUTED_VALUE"""),3)</f>
        <v>3</v>
      </c>
      <c r="AB47" s="6" t="b">
        <f ca="1">IFERROR(__xludf.DUMMYFUNCTION("""COMPUTED_VALUE"""),TRUE)</f>
        <v>1</v>
      </c>
      <c r="AD47" s="6" t="b">
        <f ca="1">IFERROR(__xludf.DUMMYFUNCTION("""COMPUTED_VALUE"""),FALSE)</f>
        <v>0</v>
      </c>
      <c r="AE47" s="6">
        <f ca="1">IFERROR(__xludf.DUMMYFUNCTION("""COMPUTED_VALUE"""),3)</f>
        <v>3</v>
      </c>
      <c r="AF47" s="6">
        <f ca="1">IFERROR(__xludf.DUMMYFUNCTION("""COMPUTED_VALUE"""),4)</f>
        <v>4</v>
      </c>
      <c r="AG47" s="6">
        <f ca="1">IFERROR(__xludf.DUMMYFUNCTION("""COMPUTED_VALUE"""),4)</f>
        <v>4</v>
      </c>
      <c r="AH47" s="6">
        <f ca="1">IFERROR(__xludf.DUMMYFUNCTION("""COMPUTED_VALUE"""),0)</f>
        <v>0</v>
      </c>
      <c r="AI47" s="6">
        <f ca="1">IFERROR(__xludf.DUMMYFUNCTION("""COMPUTED_VALUE"""),1)</f>
        <v>1</v>
      </c>
      <c r="AK47" s="6" t="str">
        <f ca="1">IFERROR(__xludf.DUMMYFUNCTION("""COMPUTED_VALUE"""),"No")</f>
        <v>No</v>
      </c>
      <c r="AL47" s="6">
        <f ca="1">IFERROR(__xludf.DUMMYFUNCTION("""COMPUTED_VALUE"""),0)</f>
        <v>0</v>
      </c>
      <c r="AM47" s="6" t="b">
        <f ca="1">IFERROR(__xludf.DUMMYFUNCTION("""COMPUTED_VALUE"""),FALSE)</f>
        <v>0</v>
      </c>
      <c r="AN47" s="6" t="str">
        <f ca="1">IFERROR(__xludf.DUMMYFUNCTION("""COMPUTED_VALUE"""),"P")</f>
        <v>P</v>
      </c>
      <c r="AO47" s="6"/>
      <c r="AP47" s="6" t="str">
        <f ca="1">IFERROR(__xludf.DUMMYFUNCTION("""COMPUTED_VALUE"""),"x")</f>
        <v>x</v>
      </c>
      <c r="AQ47" s="6" t="b">
        <f ca="1">IFERROR(__xludf.DUMMYFUNCTION("""COMPUTED_VALUE"""),FALSE)</f>
        <v>0</v>
      </c>
      <c r="AR47" s="6" t="b">
        <f ca="1">IFERROR(__xludf.DUMMYFUNCTION("""COMPUTED_VALUE"""),FALSE)</f>
        <v>0</v>
      </c>
      <c r="AS47" s="15"/>
      <c r="AT47" s="6" t="str">
        <f ca="1">IFERROR(__xludf.DUMMYFUNCTION("SWITCH(IF(A47=""Practice"",AN47,FILTER('Items by Team'!E$2:E3410,'Items by Team'!C$2:C3410=D47,B47='Items by Team'!B$2:B3410)),""None"",""No"",""Parked"",""P"",""ShallowCage"",""Sc"",""DeepCage"",""Dc"",""No"",""No"",""P"",""P"",""Sc"",""Sc"",""Dc"",""Dc"&amp;""")"),"P")</f>
        <v>P</v>
      </c>
      <c r="AU47" s="6" t="str">
        <f ca="1">IFERROR(__xludf.DUMMYFUNCTION("SWITCH(IF(A47 = ""Practice"", H47, FILTER('Items by Team'!D$2:D3410,'Items by Team'!C$2:C3410 = D47,'Items by Team'!B$2:B3410 = B47)), ""Yes"", ""TRUE"", ""No"", ""FALSE"",TRUE, ""TRUE"", FALSE, ""FALSE"")"),"TRUE")</f>
        <v>TRUE</v>
      </c>
      <c r="AV47" s="6" t="str">
        <f t="shared" ca="1" si="0"/>
        <v/>
      </c>
      <c r="AW47" s="6">
        <f t="shared" ca="1" si="1"/>
        <v>1</v>
      </c>
      <c r="AX47" s="6">
        <f t="shared" ca="1" si="2"/>
        <v>4</v>
      </c>
      <c r="AY47" s="6">
        <f t="shared" ca="1" si="3"/>
        <v>5</v>
      </c>
      <c r="AZ47" s="9">
        <f t="shared" ca="1" si="4"/>
        <v>0.8</v>
      </c>
      <c r="BA47" s="6">
        <f t="shared" ca="1" si="5"/>
        <v>0</v>
      </c>
      <c r="BB47" s="6">
        <f t="shared" ca="1" si="6"/>
        <v>0</v>
      </c>
      <c r="BC47" s="9" t="str">
        <f t="shared" ca="1" si="7"/>
        <v/>
      </c>
      <c r="BD47" s="6">
        <f t="shared" ca="1" si="8"/>
        <v>2</v>
      </c>
      <c r="BE47" s="6">
        <f t="shared" ca="1" si="9"/>
        <v>2</v>
      </c>
      <c r="BF47" s="9">
        <f t="shared" ca="1" si="10"/>
        <v>1</v>
      </c>
      <c r="BG47" s="6">
        <f t="shared" ca="1" si="11"/>
        <v>11</v>
      </c>
      <c r="BH47" s="6">
        <f t="shared" ca="1" si="12"/>
        <v>12</v>
      </c>
      <c r="BI47" s="9">
        <f t="shared" ca="1" si="13"/>
        <v>0.91666666666666663</v>
      </c>
      <c r="BJ47" s="6">
        <f t="shared" ca="1" si="14"/>
        <v>0</v>
      </c>
      <c r="BK47" s="6">
        <f t="shared" ca="1" si="15"/>
        <v>1</v>
      </c>
      <c r="BL47" s="6">
        <f t="shared" ca="1" si="16"/>
        <v>0</v>
      </c>
      <c r="BM47" s="6">
        <f t="shared" ca="1" si="17"/>
        <v>0</v>
      </c>
      <c r="BN47" s="6">
        <f t="shared" ca="1" si="18"/>
        <v>1</v>
      </c>
      <c r="BP47" s="6">
        <f t="shared" ca="1" si="19"/>
        <v>0</v>
      </c>
      <c r="BQ47" s="6" t="b">
        <f ca="1">IFERROR(__xludf.DUMMYFUNCTION("IF(AND(ISERROR(FILTER('Items by Team'!D$2:D3410,'Items by Team'!C$2:C3410 = D47,'Items by Team'!B$2:B3410 = B47)),NOT(A47=""Practice"")),TRUE,FALSE)"),FALSE)</f>
        <v>0</v>
      </c>
      <c r="BR47" s="6" t="e">
        <f t="shared" ca="1" si="20"/>
        <v>#VALUE!</v>
      </c>
    </row>
    <row r="48" spans="1:70">
      <c r="A48" s="6" t="str">
        <f ca="1">IFERROR(__xludf.DUMMYFUNCTION("""COMPUTED_VALUE"""),"Practice")</f>
        <v>Practice</v>
      </c>
      <c r="B48" s="6">
        <f ca="1">IFERROR(__xludf.DUMMYFUNCTION("""COMPUTED_VALUE"""),9)</f>
        <v>9</v>
      </c>
      <c r="C48" s="6" t="str">
        <f ca="1">IFERROR(__xludf.DUMMYFUNCTION("""COMPUTED_VALUE"""),"B2")</f>
        <v>B2</v>
      </c>
      <c r="D48" s="6">
        <f ca="1">IFERROR(__xludf.DUMMYFUNCTION("""COMPUTED_VALUE"""),2227)</f>
        <v>2227</v>
      </c>
      <c r="E48" s="6" t="b">
        <f ca="1">IFERROR(__xludf.DUMMYFUNCTION("""COMPUTED_VALUE"""),FALSE)</f>
        <v>0</v>
      </c>
      <c r="F48" s="6" t="str">
        <f ca="1">IFERROR(__xludf.DUMMYFUNCTION("""COMPUTED_VALUE"""),"Red Barge")</f>
        <v>Red Barge</v>
      </c>
      <c r="G48" s="6" t="b">
        <f ca="1">IFERROR(__xludf.DUMMYFUNCTION("""COMPUTED_VALUE"""),TRUE)</f>
        <v>1</v>
      </c>
      <c r="H48" s="6" t="b">
        <f ca="1">IFERROR(__xludf.DUMMYFUNCTION("""COMPUTED_VALUE"""),TRUE)</f>
        <v>1</v>
      </c>
      <c r="I48" s="6">
        <f ca="1">IFERROR(__xludf.DUMMYFUNCTION("""COMPUTED_VALUE"""),1)</f>
        <v>1</v>
      </c>
      <c r="J48" s="6">
        <f ca="1">IFERROR(__xludf.DUMMYFUNCTION("""COMPUTED_VALUE"""),0)</f>
        <v>0</v>
      </c>
      <c r="K48" s="6">
        <f ca="1">IFERROR(__xludf.DUMMYFUNCTION("""COMPUTED_VALUE"""),0)</f>
        <v>0</v>
      </c>
      <c r="L48" s="6">
        <f ca="1">IFERROR(__xludf.DUMMYFUNCTION("""COMPUTED_VALUE"""),0)</f>
        <v>0</v>
      </c>
      <c r="M48" s="6">
        <f ca="1">IFERROR(__xludf.DUMMYFUNCTION("""COMPUTED_VALUE"""),0)</f>
        <v>0</v>
      </c>
      <c r="N48" s="6">
        <f ca="1">IFERROR(__xludf.DUMMYFUNCTION("""COMPUTED_VALUE"""),0)</f>
        <v>0</v>
      </c>
      <c r="O48" s="6">
        <f ca="1">IFERROR(__xludf.DUMMYFUNCTION("""COMPUTED_VALUE"""),0)</f>
        <v>0</v>
      </c>
      <c r="P48" s="6">
        <f ca="1">IFERROR(__xludf.DUMMYFUNCTION("""COMPUTED_VALUE"""),1)</f>
        <v>1</v>
      </c>
      <c r="R48" s="6">
        <f ca="1">IFERROR(__xludf.DUMMYFUNCTION("""COMPUTED_VALUE"""),0)</f>
        <v>0</v>
      </c>
      <c r="S48" s="6">
        <f ca="1">IFERROR(__xludf.DUMMYFUNCTION("""COMPUTED_VALUE"""),0)</f>
        <v>0</v>
      </c>
      <c r="T48" s="6">
        <f ca="1">IFERROR(__xludf.DUMMYFUNCTION("""COMPUTED_VALUE"""),0)</f>
        <v>0</v>
      </c>
      <c r="U48" s="6">
        <f ca="1">IFERROR(__xludf.DUMMYFUNCTION("""COMPUTED_VALUE"""),0)</f>
        <v>0</v>
      </c>
      <c r="V48" s="6">
        <f ca="1">IFERROR(__xludf.DUMMYFUNCTION("""COMPUTED_VALUE"""),0)</f>
        <v>0</v>
      </c>
      <c r="W48" s="6">
        <f ca="1">IFERROR(__xludf.DUMMYFUNCTION("""COMPUTED_VALUE"""),0)</f>
        <v>0</v>
      </c>
      <c r="X48" s="6">
        <f ca="1">IFERROR(__xludf.DUMMYFUNCTION("""COMPUTED_VALUE"""),0)</f>
        <v>0</v>
      </c>
      <c r="Y48" s="6">
        <f ca="1">IFERROR(__xludf.DUMMYFUNCTION("""COMPUTED_VALUE"""),0)</f>
        <v>0</v>
      </c>
      <c r="Z48" s="6">
        <f ca="1">IFERROR(__xludf.DUMMYFUNCTION("""COMPUTED_VALUE"""),0)</f>
        <v>0</v>
      </c>
      <c r="AA48" s="6">
        <f ca="1">IFERROR(__xludf.DUMMYFUNCTION("""COMPUTED_VALUE"""),0)</f>
        <v>0</v>
      </c>
      <c r="AB48" s="6" t="b">
        <f ca="1">IFERROR(__xludf.DUMMYFUNCTION("""COMPUTED_VALUE"""),FALSE)</f>
        <v>0</v>
      </c>
      <c r="AD48" s="6" t="b">
        <f ca="1">IFERROR(__xludf.DUMMYFUNCTION("""COMPUTED_VALUE"""),FALSE)</f>
        <v>0</v>
      </c>
      <c r="AE48" s="6">
        <f ca="1">IFERROR(__xludf.DUMMYFUNCTION("""COMPUTED_VALUE"""),0)</f>
        <v>0</v>
      </c>
      <c r="AF48" s="6">
        <f ca="1">IFERROR(__xludf.DUMMYFUNCTION("""COMPUTED_VALUE"""),0)</f>
        <v>0</v>
      </c>
      <c r="AG48" s="6">
        <f ca="1">IFERROR(__xludf.DUMMYFUNCTION("""COMPUTED_VALUE"""),0)</f>
        <v>0</v>
      </c>
      <c r="AH48" s="6">
        <f ca="1">IFERROR(__xludf.DUMMYFUNCTION("""COMPUTED_VALUE"""),0)</f>
        <v>0</v>
      </c>
      <c r="AI48" s="6">
        <f ca="1">IFERROR(__xludf.DUMMYFUNCTION("""COMPUTED_VALUE"""),0)</f>
        <v>0</v>
      </c>
      <c r="AK48" s="6" t="str">
        <f ca="1">IFERROR(__xludf.DUMMYFUNCTION("""COMPUTED_VALUE"""),"No")</f>
        <v>No</v>
      </c>
      <c r="AL48" s="6">
        <f ca="1">IFERROR(__xludf.DUMMYFUNCTION("""COMPUTED_VALUE"""),0)</f>
        <v>0</v>
      </c>
      <c r="AM48" s="6" t="b">
        <f ca="1">IFERROR(__xludf.DUMMYFUNCTION("""COMPUTED_VALUE"""),FALSE)</f>
        <v>0</v>
      </c>
      <c r="AN48" s="6" t="str">
        <f ca="1">IFERROR(__xludf.DUMMYFUNCTION("""COMPUTED_VALUE"""),"No")</f>
        <v>No</v>
      </c>
      <c r="AO48" s="6"/>
      <c r="AP48" s="6" t="str">
        <f ca="1">IFERROR(__xludf.DUMMYFUNCTION("""COMPUTED_VALUE"""),"x")</f>
        <v>x</v>
      </c>
      <c r="AQ48" s="6" t="b">
        <f ca="1">IFERROR(__xludf.DUMMYFUNCTION("""COMPUTED_VALUE"""),FALSE)</f>
        <v>0</v>
      </c>
      <c r="AR48" s="6" t="b">
        <f ca="1">IFERROR(__xludf.DUMMYFUNCTION("""COMPUTED_VALUE"""),FALSE)</f>
        <v>0</v>
      </c>
      <c r="AS48" s="15"/>
      <c r="AT48" s="6" t="str">
        <f ca="1">IFERROR(__xludf.DUMMYFUNCTION("SWITCH(IF(A48=""Practice"",AN48,FILTER('Items by Team'!E$2:E3410,'Items by Team'!C$2:C3410=D48,B48='Items by Team'!B$2:B3410)),""None"",""No"",""Parked"",""P"",""ShallowCage"",""Sc"",""DeepCage"",""Dc"",""No"",""No"",""P"",""P"",""Sc"",""Sc"",""Dc"",""Dc"&amp;""")"),"No")</f>
        <v>No</v>
      </c>
      <c r="AU48" s="6" t="str">
        <f ca="1">IFERROR(__xludf.DUMMYFUNCTION("SWITCH(IF(A48 = ""Practice"", H48, FILTER('Items by Team'!D$2:D3410,'Items by Team'!C$2:C3410 = D48,'Items by Team'!B$2:B3410 = B48)), ""Yes"", ""TRUE"", ""No"", ""FALSE"",TRUE, ""TRUE"", FALSE, ""FALSE"")"),"TRUE")</f>
        <v>TRUE</v>
      </c>
      <c r="AV48" s="6" t="str">
        <f t="shared" ca="1" si="0"/>
        <v/>
      </c>
      <c r="AW48" s="6">
        <f t="shared" ca="1" si="1"/>
        <v>1</v>
      </c>
      <c r="AX48" s="6">
        <f t="shared" ca="1" si="2"/>
        <v>0</v>
      </c>
      <c r="AY48" s="6">
        <f t="shared" ca="1" si="3"/>
        <v>1</v>
      </c>
      <c r="AZ48" s="9">
        <f t="shared" ca="1" si="4"/>
        <v>0</v>
      </c>
      <c r="BA48" s="6">
        <f t="shared" ca="1" si="5"/>
        <v>0</v>
      </c>
      <c r="BB48" s="6">
        <f t="shared" ca="1" si="6"/>
        <v>0</v>
      </c>
      <c r="BC48" s="9" t="str">
        <f t="shared" ca="1" si="7"/>
        <v/>
      </c>
      <c r="BD48" s="6">
        <f t="shared" ca="1" si="8"/>
        <v>0</v>
      </c>
      <c r="BE48" s="6">
        <f t="shared" ca="1" si="9"/>
        <v>0</v>
      </c>
      <c r="BF48" s="9" t="str">
        <f t="shared" ca="1" si="10"/>
        <v/>
      </c>
      <c r="BG48" s="6">
        <f t="shared" ca="1" si="11"/>
        <v>0</v>
      </c>
      <c r="BH48" s="6">
        <f t="shared" ca="1" si="12"/>
        <v>0</v>
      </c>
      <c r="BI48" s="9" t="str">
        <f t="shared" ca="1" si="13"/>
        <v/>
      </c>
      <c r="BJ48" s="6">
        <f t="shared" ca="1" si="14"/>
        <v>0</v>
      </c>
      <c r="BK48" s="6">
        <f t="shared" ca="1" si="15"/>
        <v>1</v>
      </c>
      <c r="BL48" s="6">
        <f t="shared" ca="1" si="16"/>
        <v>0</v>
      </c>
      <c r="BM48" s="6">
        <f t="shared" ca="1" si="17"/>
        <v>0</v>
      </c>
      <c r="BN48" s="6">
        <f t="shared" ca="1" si="18"/>
        <v>0</v>
      </c>
      <c r="BP48" s="6">
        <f t="shared" ca="1" si="19"/>
        <v>0</v>
      </c>
      <c r="BQ48" s="6" t="b">
        <f ca="1">IFERROR(__xludf.DUMMYFUNCTION("IF(AND(ISERROR(FILTER('Items by Team'!D$2:D3410,'Items by Team'!C$2:C3410 = D48,'Items by Team'!B$2:B3410 = B48)),NOT(A48=""Practice"")),TRUE,FALSE)"),FALSE)</f>
        <v>0</v>
      </c>
      <c r="BR48" s="6" t="e">
        <f t="shared" ca="1" si="20"/>
        <v>#VALUE!</v>
      </c>
    </row>
    <row r="49" spans="1:70">
      <c r="A49" s="6" t="str">
        <f ca="1">IFERROR(__xludf.DUMMYFUNCTION("""COMPUTED_VALUE"""),"Practice")</f>
        <v>Practice</v>
      </c>
      <c r="B49" s="6">
        <f ca="1">IFERROR(__xludf.DUMMYFUNCTION("""COMPUTED_VALUE"""),9)</f>
        <v>9</v>
      </c>
      <c r="C49" s="6" t="str">
        <f ca="1">IFERROR(__xludf.DUMMYFUNCTION("""COMPUTED_VALUE"""),"B1")</f>
        <v>B1</v>
      </c>
      <c r="D49" s="6">
        <f ca="1">IFERROR(__xludf.DUMMYFUNCTION("""COMPUTED_VALUE"""),2538)</f>
        <v>2538</v>
      </c>
      <c r="E49" s="6" t="b">
        <f ca="1">IFERROR(__xludf.DUMMYFUNCTION("""COMPUTED_VALUE"""),FALSE)</f>
        <v>0</v>
      </c>
      <c r="F49" s="6"/>
      <c r="G49" s="6" t="b">
        <f ca="1">IFERROR(__xludf.DUMMYFUNCTION("""COMPUTED_VALUE"""),TRUE)</f>
        <v>1</v>
      </c>
      <c r="H49" s="6" t="b">
        <f ca="1">IFERROR(__xludf.DUMMYFUNCTION("""COMPUTED_VALUE"""),FALSE)</f>
        <v>0</v>
      </c>
      <c r="I49" s="6">
        <f ca="1">IFERROR(__xludf.DUMMYFUNCTION("""COMPUTED_VALUE"""),0)</f>
        <v>0</v>
      </c>
      <c r="J49" s="6">
        <f ca="1">IFERROR(__xludf.DUMMYFUNCTION("""COMPUTED_VALUE"""),0)</f>
        <v>0</v>
      </c>
      <c r="K49" s="6">
        <f ca="1">IFERROR(__xludf.DUMMYFUNCTION("""COMPUTED_VALUE"""),0)</f>
        <v>0</v>
      </c>
      <c r="L49" s="6">
        <f ca="1">IFERROR(__xludf.DUMMYFUNCTION("""COMPUTED_VALUE"""),0)</f>
        <v>0</v>
      </c>
      <c r="M49" s="6">
        <f ca="1">IFERROR(__xludf.DUMMYFUNCTION("""COMPUTED_VALUE"""),0)</f>
        <v>0</v>
      </c>
      <c r="N49" s="6">
        <f ca="1">IFERROR(__xludf.DUMMYFUNCTION("""COMPUTED_VALUE"""),0)</f>
        <v>0</v>
      </c>
      <c r="O49" s="6">
        <f ca="1">IFERROR(__xludf.DUMMYFUNCTION("""COMPUTED_VALUE"""),0)</f>
        <v>0</v>
      </c>
      <c r="P49" s="6">
        <f ca="1">IFERROR(__xludf.DUMMYFUNCTION("""COMPUTED_VALUE"""),0)</f>
        <v>0</v>
      </c>
      <c r="R49" s="6">
        <f ca="1">IFERROR(__xludf.DUMMYFUNCTION("""COMPUTED_VALUE"""),0)</f>
        <v>0</v>
      </c>
      <c r="S49" s="6">
        <f ca="1">IFERROR(__xludf.DUMMYFUNCTION("""COMPUTED_VALUE"""),0)</f>
        <v>0</v>
      </c>
      <c r="T49" s="6">
        <f ca="1">IFERROR(__xludf.DUMMYFUNCTION("""COMPUTED_VALUE"""),0)</f>
        <v>0</v>
      </c>
      <c r="U49" s="6">
        <f ca="1">IFERROR(__xludf.DUMMYFUNCTION("""COMPUTED_VALUE"""),0)</f>
        <v>0</v>
      </c>
      <c r="V49" s="6">
        <f ca="1">IFERROR(__xludf.DUMMYFUNCTION("""COMPUTED_VALUE"""),0)</f>
        <v>0</v>
      </c>
      <c r="W49" s="6">
        <f ca="1">IFERROR(__xludf.DUMMYFUNCTION("""COMPUTED_VALUE"""),0)</f>
        <v>0</v>
      </c>
      <c r="X49" s="6">
        <f ca="1">IFERROR(__xludf.DUMMYFUNCTION("""COMPUTED_VALUE"""),0)</f>
        <v>0</v>
      </c>
      <c r="Y49" s="6">
        <f ca="1">IFERROR(__xludf.DUMMYFUNCTION("""COMPUTED_VALUE"""),0)</f>
        <v>0</v>
      </c>
      <c r="Z49" s="6">
        <f ca="1">IFERROR(__xludf.DUMMYFUNCTION("""COMPUTED_VALUE"""),0)</f>
        <v>0</v>
      </c>
      <c r="AA49" s="6">
        <f ca="1">IFERROR(__xludf.DUMMYFUNCTION("""COMPUTED_VALUE"""),0)</f>
        <v>0</v>
      </c>
      <c r="AB49" s="6" t="b">
        <f ca="1">IFERROR(__xludf.DUMMYFUNCTION("""COMPUTED_VALUE"""),TRUE)</f>
        <v>1</v>
      </c>
      <c r="AD49" s="6" t="b">
        <f ca="1">IFERROR(__xludf.DUMMYFUNCTION("""COMPUTED_VALUE"""),FALSE)</f>
        <v>0</v>
      </c>
      <c r="AE49" s="6">
        <f ca="1">IFERROR(__xludf.DUMMYFUNCTION("""COMPUTED_VALUE"""),0)</f>
        <v>0</v>
      </c>
      <c r="AF49" s="6">
        <f ca="1">IFERROR(__xludf.DUMMYFUNCTION("""COMPUTED_VALUE"""),0)</f>
        <v>0</v>
      </c>
      <c r="AG49" s="6">
        <f ca="1">IFERROR(__xludf.DUMMYFUNCTION("""COMPUTED_VALUE"""),0)</f>
        <v>0</v>
      </c>
      <c r="AH49" s="6">
        <f ca="1">IFERROR(__xludf.DUMMYFUNCTION("""COMPUTED_VALUE"""),2)</f>
        <v>2</v>
      </c>
      <c r="AI49" s="6">
        <f ca="1">IFERROR(__xludf.DUMMYFUNCTION("""COMPUTED_VALUE"""),2)</f>
        <v>2</v>
      </c>
      <c r="AK49" s="6" t="str">
        <f ca="1">IFERROR(__xludf.DUMMYFUNCTION("""COMPUTED_VALUE"""),"No")</f>
        <v>No</v>
      </c>
      <c r="AL49" s="6">
        <f ca="1">IFERROR(__xludf.DUMMYFUNCTION("""COMPUTED_VALUE"""),0)</f>
        <v>0</v>
      </c>
      <c r="AM49" s="6" t="b">
        <f ca="1">IFERROR(__xludf.DUMMYFUNCTION("""COMPUTED_VALUE"""),FALSE)</f>
        <v>0</v>
      </c>
      <c r="AN49" s="6" t="str">
        <f ca="1">IFERROR(__xludf.DUMMYFUNCTION("""COMPUTED_VALUE"""),"No")</f>
        <v>No</v>
      </c>
      <c r="AO49" s="6"/>
      <c r="AP49" s="6" t="str">
        <f ca="1">IFERROR(__xludf.DUMMYFUNCTION("""COMPUTED_VALUE"""),"x")</f>
        <v>x</v>
      </c>
      <c r="AQ49" s="6" t="b">
        <f ca="1">IFERROR(__xludf.DUMMYFUNCTION("""COMPUTED_VALUE"""),FALSE)</f>
        <v>0</v>
      </c>
      <c r="AR49" s="6" t="b">
        <f ca="1">IFERROR(__xludf.DUMMYFUNCTION("""COMPUTED_VALUE"""),FALSE)</f>
        <v>0</v>
      </c>
      <c r="AS49" s="15"/>
      <c r="AT49" s="6" t="str">
        <f ca="1">IFERROR(__xludf.DUMMYFUNCTION("SWITCH(IF(A49=""Practice"",AN49,FILTER('Items by Team'!E$2:E3410,'Items by Team'!C$2:C3410=D49,B49='Items by Team'!B$2:B3410)),""None"",""No"",""Parked"",""P"",""ShallowCage"",""Sc"",""DeepCage"",""Dc"",""No"",""No"",""P"",""P"",""Sc"",""Sc"",""Dc"",""Dc"&amp;""")"),"No")</f>
        <v>No</v>
      </c>
      <c r="AU49" s="6" t="str">
        <f ca="1">IFERROR(__xludf.DUMMYFUNCTION("SWITCH(IF(A49 = ""Practice"", H49, FILTER('Items by Team'!D$2:D3410,'Items by Team'!C$2:C3410 = D49,'Items by Team'!B$2:B3410 = B49)), ""Yes"", ""TRUE"", ""No"", ""FALSE"",TRUE, ""TRUE"", FALSE, ""FALSE"")"),"FALSE")</f>
        <v>FALSE</v>
      </c>
      <c r="AV49" s="6" t="str">
        <f t="shared" ca="1" si="0"/>
        <v/>
      </c>
      <c r="AW49" s="6">
        <f t="shared" ca="1" si="1"/>
        <v>0</v>
      </c>
      <c r="AX49" s="6">
        <f t="shared" ca="1" si="2"/>
        <v>0</v>
      </c>
      <c r="AY49" s="6">
        <f t="shared" ca="1" si="3"/>
        <v>0</v>
      </c>
      <c r="AZ49" s="9" t="str">
        <f t="shared" ca="1" si="4"/>
        <v/>
      </c>
      <c r="BA49" s="6">
        <f t="shared" ca="1" si="5"/>
        <v>0</v>
      </c>
      <c r="BB49" s="6">
        <f t="shared" ca="1" si="6"/>
        <v>0</v>
      </c>
      <c r="BC49" s="9" t="str">
        <f t="shared" ca="1" si="7"/>
        <v/>
      </c>
      <c r="BD49" s="6">
        <f t="shared" ca="1" si="8"/>
        <v>0</v>
      </c>
      <c r="BE49" s="6">
        <f t="shared" ca="1" si="9"/>
        <v>0</v>
      </c>
      <c r="BF49" s="9" t="str">
        <f t="shared" ca="1" si="10"/>
        <v/>
      </c>
      <c r="BG49" s="6">
        <f t="shared" ca="1" si="11"/>
        <v>2</v>
      </c>
      <c r="BH49" s="6">
        <f t="shared" ca="1" si="12"/>
        <v>4</v>
      </c>
      <c r="BI49" s="9">
        <f t="shared" ca="1" si="13"/>
        <v>0.5</v>
      </c>
      <c r="BJ49" s="6">
        <f t="shared" ca="1" si="14"/>
        <v>0</v>
      </c>
      <c r="BK49" s="6">
        <f t="shared" ca="1" si="15"/>
        <v>0</v>
      </c>
      <c r="BL49" s="6">
        <f t="shared" ca="1" si="16"/>
        <v>0</v>
      </c>
      <c r="BM49" s="6">
        <f t="shared" ca="1" si="17"/>
        <v>0</v>
      </c>
      <c r="BN49" s="6">
        <f t="shared" ca="1" si="18"/>
        <v>1</v>
      </c>
      <c r="BP49" s="6">
        <f t="shared" ca="1" si="19"/>
        <v>0</v>
      </c>
      <c r="BQ49" s="6" t="b">
        <f ca="1">IFERROR(__xludf.DUMMYFUNCTION("IF(AND(ISERROR(FILTER('Items by Team'!D$2:D3410,'Items by Team'!C$2:C3410 = D49,'Items by Team'!B$2:B3410 = B49)),NOT(A49=""Practice"")),TRUE,FALSE)"),FALSE)</f>
        <v>0</v>
      </c>
      <c r="BR49" s="6" t="e">
        <f t="shared" ca="1" si="20"/>
        <v>#VALUE!</v>
      </c>
    </row>
    <row r="50" spans="1:70">
      <c r="A50" s="6" t="str">
        <f ca="1">IFERROR(__xludf.DUMMYFUNCTION("""COMPUTED_VALUE"""),"Practice")</f>
        <v>Practice</v>
      </c>
      <c r="B50" s="6">
        <f ca="1">IFERROR(__xludf.DUMMYFUNCTION("""COMPUTED_VALUE"""),9)</f>
        <v>9</v>
      </c>
      <c r="C50" s="6" t="str">
        <f ca="1">IFERROR(__xludf.DUMMYFUNCTION("""COMPUTED_VALUE"""),"R2")</f>
        <v>R2</v>
      </c>
      <c r="D50" s="6">
        <f ca="1">IFERROR(__xludf.DUMMYFUNCTION("""COMPUTED_VALUE"""),3018)</f>
        <v>3018</v>
      </c>
      <c r="E50" s="6" t="b">
        <f ca="1">IFERROR(__xludf.DUMMYFUNCTION("""COMPUTED_VALUE"""),FALSE)</f>
        <v>0</v>
      </c>
      <c r="F50" s="6" t="str">
        <f ca="1">IFERROR(__xludf.DUMMYFUNCTION("""COMPUTED_VALUE"""),"Red Barge")</f>
        <v>Red Barge</v>
      </c>
      <c r="G50" s="6" t="b">
        <f ca="1">IFERROR(__xludf.DUMMYFUNCTION("""COMPUTED_VALUE"""),TRUE)</f>
        <v>1</v>
      </c>
      <c r="H50" s="6" t="b">
        <f ca="1">IFERROR(__xludf.DUMMYFUNCTION("""COMPUTED_VALUE"""),TRUE)</f>
        <v>1</v>
      </c>
      <c r="I50" s="6">
        <f ca="1">IFERROR(__xludf.DUMMYFUNCTION("""COMPUTED_VALUE"""),0)</f>
        <v>0</v>
      </c>
      <c r="J50" s="6">
        <f ca="1">IFERROR(__xludf.DUMMYFUNCTION("""COMPUTED_VALUE"""),1)</f>
        <v>1</v>
      </c>
      <c r="K50" s="6">
        <f ca="1">IFERROR(__xludf.DUMMYFUNCTION("""COMPUTED_VALUE"""),0)</f>
        <v>0</v>
      </c>
      <c r="L50" s="6">
        <f ca="1">IFERROR(__xludf.DUMMYFUNCTION("""COMPUTED_VALUE"""),0)</f>
        <v>0</v>
      </c>
      <c r="M50" s="6">
        <f ca="1">IFERROR(__xludf.DUMMYFUNCTION("""COMPUTED_VALUE"""),0)</f>
        <v>0</v>
      </c>
      <c r="N50" s="6">
        <f ca="1">IFERROR(__xludf.DUMMYFUNCTION("""COMPUTED_VALUE"""),1)</f>
        <v>1</v>
      </c>
      <c r="O50" s="6">
        <f ca="1">IFERROR(__xludf.DUMMYFUNCTION("""COMPUTED_VALUE"""),0)</f>
        <v>0</v>
      </c>
      <c r="P50" s="6">
        <f ca="1">IFERROR(__xludf.DUMMYFUNCTION("""COMPUTED_VALUE"""),0)</f>
        <v>0</v>
      </c>
      <c r="R50" s="6">
        <f ca="1">IFERROR(__xludf.DUMMYFUNCTION("""COMPUTED_VALUE"""),0)</f>
        <v>0</v>
      </c>
      <c r="S50" s="6">
        <f ca="1">IFERROR(__xludf.DUMMYFUNCTION("""COMPUTED_VALUE"""),0)</f>
        <v>0</v>
      </c>
      <c r="T50" s="6">
        <f ca="1">IFERROR(__xludf.DUMMYFUNCTION("""COMPUTED_VALUE"""),0)</f>
        <v>0</v>
      </c>
      <c r="U50" s="6">
        <f ca="1">IFERROR(__xludf.DUMMYFUNCTION("""COMPUTED_VALUE"""),0)</f>
        <v>0</v>
      </c>
      <c r="V50" s="6">
        <f ca="1">IFERROR(__xludf.DUMMYFUNCTION("""COMPUTED_VALUE"""),0)</f>
        <v>0</v>
      </c>
      <c r="W50" s="6">
        <f ca="1">IFERROR(__xludf.DUMMYFUNCTION("""COMPUTED_VALUE"""),0)</f>
        <v>0</v>
      </c>
      <c r="X50" s="6">
        <f ca="1">IFERROR(__xludf.DUMMYFUNCTION("""COMPUTED_VALUE"""),0)</f>
        <v>0</v>
      </c>
      <c r="Y50" s="6">
        <f ca="1">IFERROR(__xludf.DUMMYFUNCTION("""COMPUTED_VALUE"""),0)</f>
        <v>0</v>
      </c>
      <c r="Z50" s="6">
        <f ca="1">IFERROR(__xludf.DUMMYFUNCTION("""COMPUTED_VALUE"""),0)</f>
        <v>0</v>
      </c>
      <c r="AA50" s="6">
        <f ca="1">IFERROR(__xludf.DUMMYFUNCTION("""COMPUTED_VALUE"""),0)</f>
        <v>0</v>
      </c>
      <c r="AB50" s="6" t="b">
        <f ca="1">IFERROR(__xludf.DUMMYFUNCTION("""COMPUTED_VALUE"""),TRUE)</f>
        <v>1</v>
      </c>
      <c r="AD50" s="6" t="b">
        <f ca="1">IFERROR(__xludf.DUMMYFUNCTION("""COMPUTED_VALUE"""),FALSE)</f>
        <v>0</v>
      </c>
      <c r="AE50" s="6">
        <f ca="1">IFERROR(__xludf.DUMMYFUNCTION("""COMPUTED_VALUE"""),6)</f>
        <v>6</v>
      </c>
      <c r="AF50" s="6">
        <f ca="1">IFERROR(__xludf.DUMMYFUNCTION("""COMPUTED_VALUE"""),1)</f>
        <v>1</v>
      </c>
      <c r="AG50" s="6">
        <f ca="1">IFERROR(__xludf.DUMMYFUNCTION("""COMPUTED_VALUE"""),0)</f>
        <v>0</v>
      </c>
      <c r="AH50" s="6">
        <f ca="1">IFERROR(__xludf.DUMMYFUNCTION("""COMPUTED_VALUE"""),0)</f>
        <v>0</v>
      </c>
      <c r="AI50" s="6">
        <f ca="1">IFERROR(__xludf.DUMMYFUNCTION("""COMPUTED_VALUE"""),2)</f>
        <v>2</v>
      </c>
      <c r="AK50" s="6" t="str">
        <f ca="1">IFERROR(__xludf.DUMMYFUNCTION("""COMPUTED_VALUE"""),"Dc")</f>
        <v>Dc</v>
      </c>
      <c r="AL50" s="6">
        <f ca="1">IFERROR(__xludf.DUMMYFUNCTION("""COMPUTED_VALUE"""),0)</f>
        <v>0</v>
      </c>
      <c r="AM50" s="6" t="b">
        <f ca="1">IFERROR(__xludf.DUMMYFUNCTION("""COMPUTED_VALUE"""),FALSE)</f>
        <v>0</v>
      </c>
      <c r="AN50" s="6" t="str">
        <f ca="1">IFERROR(__xludf.DUMMYFUNCTION("""COMPUTED_VALUE"""),"P")</f>
        <v>P</v>
      </c>
      <c r="AO50" s="6" t="str">
        <f ca="1">IFERROR(__xludf.DUMMYFUNCTION("""COMPUTED_VALUE"""),"tried to deep climb")</f>
        <v>tried to deep climb</v>
      </c>
      <c r="AP50" s="6" t="str">
        <f ca="1">IFERROR(__xludf.DUMMYFUNCTION("""COMPUTED_VALUE"""),"x")</f>
        <v>x</v>
      </c>
      <c r="AQ50" s="6" t="b">
        <f ca="1">IFERROR(__xludf.DUMMYFUNCTION("""COMPUTED_VALUE"""),FALSE)</f>
        <v>0</v>
      </c>
      <c r="AR50" s="6" t="b">
        <f ca="1">IFERROR(__xludf.DUMMYFUNCTION("""COMPUTED_VALUE"""),FALSE)</f>
        <v>0</v>
      </c>
      <c r="AS50" s="15"/>
      <c r="AT50" s="6" t="str">
        <f ca="1">IFERROR(__xludf.DUMMYFUNCTION("SWITCH(IF(A50=""Practice"",AN50,FILTER('Items by Team'!E$2:E3410,'Items by Team'!C$2:C3410=D50,B50='Items by Team'!B$2:B3410)),""None"",""No"",""Parked"",""P"",""ShallowCage"",""Sc"",""DeepCage"",""Dc"",""No"",""No"",""P"",""P"",""Sc"",""Sc"",""Dc"",""Dc"&amp;""")"),"P")</f>
        <v>P</v>
      </c>
      <c r="AU50" s="6" t="str">
        <f ca="1">IFERROR(__xludf.DUMMYFUNCTION("SWITCH(IF(A50 = ""Practice"", H50, FILTER('Items by Team'!D$2:D3410,'Items by Team'!C$2:C3410 = D50,'Items by Team'!B$2:B3410 = B50)), ""Yes"", ""TRUE"", ""No"", ""FALSE"",TRUE, ""TRUE"", FALSE, ""FALSE"")"),"TRUE")</f>
        <v>TRUE</v>
      </c>
      <c r="AV50" s="6" t="str">
        <f t="shared" ca="1" si="0"/>
        <v/>
      </c>
      <c r="AW50" s="6">
        <f t="shared" ca="1" si="1"/>
        <v>1</v>
      </c>
      <c r="AX50" s="6">
        <f t="shared" ca="1" si="2"/>
        <v>1</v>
      </c>
      <c r="AY50" s="6">
        <f t="shared" ca="1" si="3"/>
        <v>1</v>
      </c>
      <c r="AZ50" s="9">
        <f t="shared" ca="1" si="4"/>
        <v>1</v>
      </c>
      <c r="BA50" s="6">
        <f t="shared" ca="1" si="5"/>
        <v>0</v>
      </c>
      <c r="BB50" s="6">
        <f t="shared" ca="1" si="6"/>
        <v>0</v>
      </c>
      <c r="BC50" s="9" t="str">
        <f t="shared" ca="1" si="7"/>
        <v/>
      </c>
      <c r="BD50" s="6">
        <f t="shared" ca="1" si="8"/>
        <v>0</v>
      </c>
      <c r="BE50" s="6">
        <f t="shared" ca="1" si="9"/>
        <v>0</v>
      </c>
      <c r="BF50" s="9" t="str">
        <f t="shared" ca="1" si="10"/>
        <v/>
      </c>
      <c r="BG50" s="6">
        <f t="shared" ca="1" si="11"/>
        <v>7</v>
      </c>
      <c r="BH50" s="6">
        <f t="shared" ca="1" si="12"/>
        <v>9</v>
      </c>
      <c r="BI50" s="9">
        <f t="shared" ca="1" si="13"/>
        <v>0.77777777777777779</v>
      </c>
      <c r="BJ50" s="6">
        <f t="shared" ca="1" si="14"/>
        <v>0</v>
      </c>
      <c r="BK50" s="6">
        <f t="shared" ca="1" si="15"/>
        <v>0</v>
      </c>
      <c r="BL50" s="6">
        <f t="shared" ca="1" si="16"/>
        <v>1</v>
      </c>
      <c r="BM50" s="6">
        <f t="shared" ca="1" si="17"/>
        <v>0</v>
      </c>
      <c r="BN50" s="6">
        <f t="shared" ca="1" si="18"/>
        <v>1</v>
      </c>
      <c r="BP50" s="6">
        <f t="shared" ca="1" si="19"/>
        <v>0</v>
      </c>
      <c r="BQ50" s="6" t="b">
        <f ca="1">IFERROR(__xludf.DUMMYFUNCTION("IF(AND(ISERROR(FILTER('Items by Team'!D$2:D3410,'Items by Team'!C$2:C3410 = D50,'Items by Team'!B$2:B3410 = B50)),NOT(A50=""Practice"")),TRUE,FALSE)"),FALSE)</f>
        <v>0</v>
      </c>
      <c r="BR50" s="6" t="e">
        <f t="shared" ca="1" si="20"/>
        <v>#VALUE!</v>
      </c>
    </row>
    <row r="51" spans="1:70">
      <c r="A51" s="6" t="str">
        <f ca="1">IFERROR(__xludf.DUMMYFUNCTION("""COMPUTED_VALUE"""),"Practice")</f>
        <v>Practice</v>
      </c>
      <c r="B51" s="6">
        <f ca="1">IFERROR(__xludf.DUMMYFUNCTION("""COMPUTED_VALUE"""),9)</f>
        <v>9</v>
      </c>
      <c r="C51" s="6" t="str">
        <f ca="1">IFERROR(__xludf.DUMMYFUNCTION("""COMPUTED_VALUE"""),"R3")</f>
        <v>R3</v>
      </c>
      <c r="D51" s="6">
        <f ca="1">IFERROR(__xludf.DUMMYFUNCTION("""COMPUTED_VALUE"""),2847)</f>
        <v>2847</v>
      </c>
      <c r="E51" s="6" t="b">
        <f ca="1">IFERROR(__xludf.DUMMYFUNCTION("""COMPUTED_VALUE"""),FALSE)</f>
        <v>0</v>
      </c>
      <c r="F51" s="6" t="str">
        <f ca="1">IFERROR(__xludf.DUMMYFUNCTION("""COMPUTED_VALUE"""),"Blue Barge")</f>
        <v>Blue Barge</v>
      </c>
      <c r="G51" s="6" t="b">
        <f ca="1">IFERROR(__xludf.DUMMYFUNCTION("""COMPUTED_VALUE"""),TRUE)</f>
        <v>1</v>
      </c>
      <c r="H51" s="6" t="b">
        <f ca="1">IFERROR(__xludf.DUMMYFUNCTION("""COMPUTED_VALUE"""),TRUE)</f>
        <v>1</v>
      </c>
      <c r="I51" s="6">
        <f ca="1">IFERROR(__xludf.DUMMYFUNCTION("""COMPUTED_VALUE"""),0)</f>
        <v>0</v>
      </c>
      <c r="J51" s="6">
        <f ca="1">IFERROR(__xludf.DUMMYFUNCTION("""COMPUTED_VALUE"""),0)</f>
        <v>0</v>
      </c>
      <c r="K51" s="6">
        <f ca="1">IFERROR(__xludf.DUMMYFUNCTION("""COMPUTED_VALUE"""),0)</f>
        <v>0</v>
      </c>
      <c r="L51" s="6">
        <f ca="1">IFERROR(__xludf.DUMMYFUNCTION("""COMPUTED_VALUE"""),0)</f>
        <v>0</v>
      </c>
      <c r="M51" s="6">
        <f ca="1">IFERROR(__xludf.DUMMYFUNCTION("""COMPUTED_VALUE"""),0)</f>
        <v>0</v>
      </c>
      <c r="N51" s="6">
        <f ca="1">IFERROR(__xludf.DUMMYFUNCTION("""COMPUTED_VALUE"""),0)</f>
        <v>0</v>
      </c>
      <c r="O51" s="6">
        <f ca="1">IFERROR(__xludf.DUMMYFUNCTION("""COMPUTED_VALUE"""),0)</f>
        <v>0</v>
      </c>
      <c r="P51" s="6">
        <f ca="1">IFERROR(__xludf.DUMMYFUNCTION("""COMPUTED_VALUE"""),0)</f>
        <v>0</v>
      </c>
      <c r="R51" s="6">
        <f ca="1">IFERROR(__xludf.DUMMYFUNCTION("""COMPUTED_VALUE"""),0)</f>
        <v>0</v>
      </c>
      <c r="S51" s="6">
        <f ca="1">IFERROR(__xludf.DUMMYFUNCTION("""COMPUTED_VALUE"""),0)</f>
        <v>0</v>
      </c>
      <c r="T51" s="6">
        <f ca="1">IFERROR(__xludf.DUMMYFUNCTION("""COMPUTED_VALUE"""),0)</f>
        <v>0</v>
      </c>
      <c r="U51" s="6">
        <f ca="1">IFERROR(__xludf.DUMMYFUNCTION("""COMPUTED_VALUE"""),0)</f>
        <v>0</v>
      </c>
      <c r="V51" s="6">
        <f ca="1">IFERROR(__xludf.DUMMYFUNCTION("""COMPUTED_VALUE"""),0)</f>
        <v>0</v>
      </c>
      <c r="W51" s="6">
        <f ca="1">IFERROR(__xludf.DUMMYFUNCTION("""COMPUTED_VALUE"""),0)</f>
        <v>0</v>
      </c>
      <c r="X51" s="6">
        <f ca="1">IFERROR(__xludf.DUMMYFUNCTION("""COMPUTED_VALUE"""),0)</f>
        <v>0</v>
      </c>
      <c r="Y51" s="6">
        <f ca="1">IFERROR(__xludf.DUMMYFUNCTION("""COMPUTED_VALUE"""),0)</f>
        <v>0</v>
      </c>
      <c r="Z51" s="6">
        <f ca="1">IFERROR(__xludf.DUMMYFUNCTION("""COMPUTED_VALUE"""),3)</f>
        <v>3</v>
      </c>
      <c r="AA51" s="6">
        <f ca="1">IFERROR(__xludf.DUMMYFUNCTION("""COMPUTED_VALUE"""),0)</f>
        <v>0</v>
      </c>
      <c r="AB51" s="6" t="b">
        <f ca="1">IFERROR(__xludf.DUMMYFUNCTION("""COMPUTED_VALUE"""),FALSE)</f>
        <v>0</v>
      </c>
      <c r="AD51" s="6" t="b">
        <f ca="1">IFERROR(__xludf.DUMMYFUNCTION("""COMPUTED_VALUE"""),FALSE)</f>
        <v>0</v>
      </c>
      <c r="AE51" s="6">
        <f ca="1">IFERROR(__xludf.DUMMYFUNCTION("""COMPUTED_VALUE"""),4)</f>
        <v>4</v>
      </c>
      <c r="AF51" s="6">
        <f ca="1">IFERROR(__xludf.DUMMYFUNCTION("""COMPUTED_VALUE"""),4)</f>
        <v>4</v>
      </c>
      <c r="AG51" s="6">
        <f ca="1">IFERROR(__xludf.DUMMYFUNCTION("""COMPUTED_VALUE"""),2)</f>
        <v>2</v>
      </c>
      <c r="AH51" s="6">
        <f ca="1">IFERROR(__xludf.DUMMYFUNCTION("""COMPUTED_VALUE"""),0)</f>
        <v>0</v>
      </c>
      <c r="AI51" s="6">
        <f ca="1">IFERROR(__xludf.DUMMYFUNCTION("""COMPUTED_VALUE"""),3)</f>
        <v>3</v>
      </c>
      <c r="AK51" s="6" t="str">
        <f ca="1">IFERROR(__xludf.DUMMYFUNCTION("""COMPUTED_VALUE"""),"P")</f>
        <v>P</v>
      </c>
      <c r="AL51" s="6">
        <f ca="1">IFERROR(__xludf.DUMMYFUNCTION("""COMPUTED_VALUE"""),0)</f>
        <v>0</v>
      </c>
      <c r="AM51" s="6" t="b">
        <f ca="1">IFERROR(__xludf.DUMMYFUNCTION("""COMPUTED_VALUE"""),FALSE)</f>
        <v>0</v>
      </c>
      <c r="AN51" s="6" t="str">
        <f ca="1">IFERROR(__xludf.DUMMYFUNCTION("""COMPUTED_VALUE"""),"P")</f>
        <v>P</v>
      </c>
      <c r="AO51" s="6" t="str">
        <f ca="1">IFERROR(__xludf.DUMMYFUNCTION("""COMPUTED_VALUE"""),"Very fast park")</f>
        <v>Very fast park</v>
      </c>
      <c r="AP51" s="6" t="str">
        <f ca="1">IFERROR(__xludf.DUMMYFUNCTION("""COMPUTED_VALUE"""),"x")</f>
        <v>x</v>
      </c>
      <c r="AQ51" s="6" t="b">
        <f ca="1">IFERROR(__xludf.DUMMYFUNCTION("""COMPUTED_VALUE"""),FALSE)</f>
        <v>0</v>
      </c>
      <c r="AR51" s="6" t="b">
        <f ca="1">IFERROR(__xludf.DUMMYFUNCTION("""COMPUTED_VALUE"""),FALSE)</f>
        <v>0</v>
      </c>
      <c r="AS51" s="15"/>
      <c r="AT51" s="6" t="str">
        <f ca="1">IFERROR(__xludf.DUMMYFUNCTION("SWITCH(IF(A51=""Practice"",AN51,FILTER('Items by Team'!E$2:E3410,'Items by Team'!C$2:C3410=D51,B51='Items by Team'!B$2:B3410)),""None"",""No"",""Parked"",""P"",""ShallowCage"",""Sc"",""DeepCage"",""Dc"",""No"",""No"",""P"",""P"",""Sc"",""Sc"",""Dc"",""Dc"&amp;""")"),"P")</f>
        <v>P</v>
      </c>
      <c r="AU51" s="6" t="str">
        <f ca="1">IFERROR(__xludf.DUMMYFUNCTION("SWITCH(IF(A51 = ""Practice"", H51, FILTER('Items by Team'!D$2:D3410,'Items by Team'!C$2:C3410 = D51,'Items by Team'!B$2:B3410 = B51)), ""Yes"", ""TRUE"", ""No"", ""FALSE"",TRUE, ""TRUE"", FALSE, ""FALSE"")"),"TRUE")</f>
        <v>TRUE</v>
      </c>
      <c r="AV51" s="6" t="str">
        <f t="shared" ca="1" si="0"/>
        <v/>
      </c>
      <c r="AW51" s="6">
        <f t="shared" ca="1" si="1"/>
        <v>1</v>
      </c>
      <c r="AX51" s="6">
        <f t="shared" ca="1" si="2"/>
        <v>0</v>
      </c>
      <c r="AY51" s="6">
        <f t="shared" ca="1" si="3"/>
        <v>0</v>
      </c>
      <c r="AZ51" s="9" t="str">
        <f t="shared" ca="1" si="4"/>
        <v/>
      </c>
      <c r="BA51" s="6">
        <f t="shared" ca="1" si="5"/>
        <v>0</v>
      </c>
      <c r="BB51" s="6">
        <f t="shared" ca="1" si="6"/>
        <v>0</v>
      </c>
      <c r="BC51" s="9" t="str">
        <f t="shared" ca="1" si="7"/>
        <v/>
      </c>
      <c r="BD51" s="6">
        <f t="shared" ca="1" si="8"/>
        <v>0</v>
      </c>
      <c r="BE51" s="6">
        <f t="shared" ca="1" si="9"/>
        <v>0</v>
      </c>
      <c r="BF51" s="9" t="str">
        <f t="shared" ca="1" si="10"/>
        <v/>
      </c>
      <c r="BG51" s="6">
        <f t="shared" ca="1" si="11"/>
        <v>10</v>
      </c>
      <c r="BH51" s="6">
        <f t="shared" ca="1" si="12"/>
        <v>13</v>
      </c>
      <c r="BI51" s="9">
        <f t="shared" ca="1" si="13"/>
        <v>0.76923076923076927</v>
      </c>
      <c r="BJ51" s="6">
        <f t="shared" ca="1" si="14"/>
        <v>0</v>
      </c>
      <c r="BK51" s="6">
        <f t="shared" ca="1" si="15"/>
        <v>0</v>
      </c>
      <c r="BL51" s="6">
        <f t="shared" ca="1" si="16"/>
        <v>0</v>
      </c>
      <c r="BM51" s="6">
        <f t="shared" ca="1" si="17"/>
        <v>0</v>
      </c>
      <c r="BN51" s="6">
        <f t="shared" ca="1" si="18"/>
        <v>0</v>
      </c>
      <c r="BP51" s="6">
        <f t="shared" ca="1" si="19"/>
        <v>0</v>
      </c>
      <c r="BQ51" s="6" t="b">
        <f ca="1">IFERROR(__xludf.DUMMYFUNCTION("IF(AND(ISERROR(FILTER('Items by Team'!D$2:D3410,'Items by Team'!C$2:C3410 = D51,'Items by Team'!B$2:B3410 = B51)),NOT(A51=""Practice"")),TRUE,FALSE)"),FALSE)</f>
        <v>0</v>
      </c>
      <c r="BR51" s="6" t="e">
        <f t="shared" ca="1" si="20"/>
        <v>#VALUE!</v>
      </c>
    </row>
    <row r="52" spans="1:70">
      <c r="A52" s="6" t="str">
        <f ca="1">IFERROR(__xludf.DUMMYFUNCTION("""COMPUTED_VALUE"""),"Practice")</f>
        <v>Practice</v>
      </c>
      <c r="B52" s="6">
        <f ca="1">IFERROR(__xludf.DUMMYFUNCTION("""COMPUTED_VALUE"""),9)</f>
        <v>9</v>
      </c>
      <c r="C52" s="6" t="str">
        <f ca="1">IFERROR(__xludf.DUMMYFUNCTION("""COMPUTED_VALUE"""),"B3")</f>
        <v>B3</v>
      </c>
      <c r="D52" s="6">
        <f ca="1">IFERROR(__xludf.DUMMYFUNCTION("""COMPUTED_VALUE"""),3454)</f>
        <v>3454</v>
      </c>
      <c r="E52" s="6" t="b">
        <f ca="1">IFERROR(__xludf.DUMMYFUNCTION("""COMPUTED_VALUE"""),FALSE)</f>
        <v>0</v>
      </c>
      <c r="F52" s="6" t="str">
        <f ca="1">IFERROR(__xludf.DUMMYFUNCTION("""COMPUTED_VALUE"""),"Blue Barge")</f>
        <v>Blue Barge</v>
      </c>
      <c r="G52" s="6" t="b">
        <f ca="1">IFERROR(__xludf.DUMMYFUNCTION("""COMPUTED_VALUE"""),TRUE)</f>
        <v>1</v>
      </c>
      <c r="H52" s="6" t="b">
        <f ca="1">IFERROR(__xludf.DUMMYFUNCTION("""COMPUTED_VALUE"""),TRUE)</f>
        <v>1</v>
      </c>
      <c r="I52" s="6">
        <f ca="1">IFERROR(__xludf.DUMMYFUNCTION("""COMPUTED_VALUE"""),0)</f>
        <v>0</v>
      </c>
      <c r="J52" s="6">
        <f ca="1">IFERROR(__xludf.DUMMYFUNCTION("""COMPUTED_VALUE"""),0)</f>
        <v>0</v>
      </c>
      <c r="K52" s="6">
        <f ca="1">IFERROR(__xludf.DUMMYFUNCTION("""COMPUTED_VALUE"""),0)</f>
        <v>0</v>
      </c>
      <c r="L52" s="6">
        <f ca="1">IFERROR(__xludf.DUMMYFUNCTION("""COMPUTED_VALUE"""),0)</f>
        <v>0</v>
      </c>
      <c r="M52" s="6">
        <f ca="1">IFERROR(__xludf.DUMMYFUNCTION("""COMPUTED_VALUE"""),0)</f>
        <v>0</v>
      </c>
      <c r="N52" s="6">
        <f ca="1">IFERROR(__xludf.DUMMYFUNCTION("""COMPUTED_VALUE"""),0)</f>
        <v>0</v>
      </c>
      <c r="O52" s="6">
        <f ca="1">IFERROR(__xludf.DUMMYFUNCTION("""COMPUTED_VALUE"""),1)</f>
        <v>1</v>
      </c>
      <c r="P52" s="6">
        <f ca="1">IFERROR(__xludf.DUMMYFUNCTION("""COMPUTED_VALUE"""),0)</f>
        <v>0</v>
      </c>
      <c r="R52" s="6">
        <f ca="1">IFERROR(__xludf.DUMMYFUNCTION("""COMPUTED_VALUE"""),0)</f>
        <v>0</v>
      </c>
      <c r="S52" s="6">
        <f ca="1">IFERROR(__xludf.DUMMYFUNCTION("""COMPUTED_VALUE"""),0)</f>
        <v>0</v>
      </c>
      <c r="T52" s="6">
        <f ca="1">IFERROR(__xludf.DUMMYFUNCTION("""COMPUTED_VALUE"""),0)</f>
        <v>0</v>
      </c>
      <c r="U52" s="6">
        <f ca="1">IFERROR(__xludf.DUMMYFUNCTION("""COMPUTED_VALUE"""),0)</f>
        <v>0</v>
      </c>
      <c r="V52" s="6">
        <f ca="1">IFERROR(__xludf.DUMMYFUNCTION("""COMPUTED_VALUE"""),0)</f>
        <v>0</v>
      </c>
      <c r="W52" s="6">
        <f ca="1">IFERROR(__xludf.DUMMYFUNCTION("""COMPUTED_VALUE"""),1)</f>
        <v>1</v>
      </c>
      <c r="X52" s="6">
        <f ca="1">IFERROR(__xludf.DUMMYFUNCTION("""COMPUTED_VALUE"""),0)</f>
        <v>0</v>
      </c>
      <c r="Y52" s="6">
        <f ca="1">IFERROR(__xludf.DUMMYFUNCTION("""COMPUTED_VALUE"""),0)</f>
        <v>0</v>
      </c>
      <c r="Z52" s="6">
        <f ca="1">IFERROR(__xludf.DUMMYFUNCTION("""COMPUTED_VALUE"""),0)</f>
        <v>0</v>
      </c>
      <c r="AA52" s="6">
        <f ca="1">IFERROR(__xludf.DUMMYFUNCTION("""COMPUTED_VALUE"""),0)</f>
        <v>0</v>
      </c>
      <c r="AB52" s="6" t="b">
        <f ca="1">IFERROR(__xludf.DUMMYFUNCTION("""COMPUTED_VALUE"""),TRUE)</f>
        <v>1</v>
      </c>
      <c r="AD52" s="6" t="b">
        <f ca="1">IFERROR(__xludf.DUMMYFUNCTION("""COMPUTED_VALUE"""),FALSE)</f>
        <v>0</v>
      </c>
      <c r="AE52" s="6">
        <f ca="1">IFERROR(__xludf.DUMMYFUNCTION("""COMPUTED_VALUE"""),1)</f>
        <v>1</v>
      </c>
      <c r="AF52" s="6">
        <f ca="1">IFERROR(__xludf.DUMMYFUNCTION("""COMPUTED_VALUE"""),0)</f>
        <v>0</v>
      </c>
      <c r="AG52" s="6">
        <f ca="1">IFERROR(__xludf.DUMMYFUNCTION("""COMPUTED_VALUE"""),0)</f>
        <v>0</v>
      </c>
      <c r="AH52" s="6">
        <f ca="1">IFERROR(__xludf.DUMMYFUNCTION("""COMPUTED_VALUE"""),0)</f>
        <v>0</v>
      </c>
      <c r="AI52" s="6">
        <f ca="1">IFERROR(__xludf.DUMMYFUNCTION("""COMPUTED_VALUE"""),0)</f>
        <v>0</v>
      </c>
      <c r="AK52" s="6" t="str">
        <f ca="1">IFERROR(__xludf.DUMMYFUNCTION("""COMPUTED_VALUE"""),"P")</f>
        <v>P</v>
      </c>
      <c r="AL52" s="6">
        <f ca="1">IFERROR(__xludf.DUMMYFUNCTION("""COMPUTED_VALUE"""),0)</f>
        <v>0</v>
      </c>
      <c r="AM52" s="6" t="b">
        <f ca="1">IFERROR(__xludf.DUMMYFUNCTION("""COMPUTED_VALUE"""),FALSE)</f>
        <v>0</v>
      </c>
      <c r="AN52" s="6" t="str">
        <f ca="1">IFERROR(__xludf.DUMMYFUNCTION("""COMPUTED_VALUE"""),"P")</f>
        <v>P</v>
      </c>
      <c r="AO52" s="6" t="str">
        <f ca="1">IFERROR(__xludf.DUMMYFUNCTION("""COMPUTED_VALUE"""),"seems like intake bent witch caused elevator to not work")</f>
        <v>seems like intake bent witch caused elevator to not work</v>
      </c>
      <c r="AP52" s="6" t="str">
        <f ca="1">IFERROR(__xludf.DUMMYFUNCTION("""COMPUTED_VALUE"""),"x")</f>
        <v>x</v>
      </c>
      <c r="AQ52" s="6" t="b">
        <f ca="1">IFERROR(__xludf.DUMMYFUNCTION("""COMPUTED_VALUE"""),FALSE)</f>
        <v>0</v>
      </c>
      <c r="AR52" s="6" t="b">
        <f ca="1">IFERROR(__xludf.DUMMYFUNCTION("""COMPUTED_VALUE"""),TRUE)</f>
        <v>1</v>
      </c>
      <c r="AS52" s="15"/>
      <c r="AT52" s="6" t="str">
        <f ca="1">IFERROR(__xludf.DUMMYFUNCTION("SWITCH(IF(A52=""Practice"",AN52,FILTER('Items by Team'!E$2:E3410,'Items by Team'!C$2:C3410=D52,B52='Items by Team'!B$2:B3410)),""None"",""No"",""Parked"",""P"",""ShallowCage"",""Sc"",""DeepCage"",""Dc"",""No"",""No"",""P"",""P"",""Sc"",""Sc"",""Dc"",""Dc"&amp;""")"),"P")</f>
        <v>P</v>
      </c>
      <c r="AU52" s="6" t="str">
        <f ca="1">IFERROR(__xludf.DUMMYFUNCTION("SWITCH(IF(A52 = ""Practice"", H52, FILTER('Items by Team'!D$2:D3410,'Items by Team'!C$2:C3410 = D52,'Items by Team'!B$2:B3410 = B52)), ""Yes"", ""TRUE"", ""No"", ""FALSE"",TRUE, ""TRUE"", FALSE, ""FALSE"")"),"TRUE")</f>
        <v>TRUE</v>
      </c>
      <c r="AV52" s="6" t="str">
        <f t="shared" ca="1" si="0"/>
        <v/>
      </c>
      <c r="AW52" s="6">
        <f t="shared" ca="1" si="1"/>
        <v>1</v>
      </c>
      <c r="AX52" s="6">
        <f t="shared" ca="1" si="2"/>
        <v>1</v>
      </c>
      <c r="AY52" s="6">
        <f t="shared" ca="1" si="3"/>
        <v>1</v>
      </c>
      <c r="AZ52" s="9">
        <f t="shared" ca="1" si="4"/>
        <v>1</v>
      </c>
      <c r="BA52" s="6">
        <f t="shared" ca="1" si="5"/>
        <v>0</v>
      </c>
      <c r="BB52" s="6">
        <f t="shared" ca="1" si="6"/>
        <v>0</v>
      </c>
      <c r="BC52" s="9" t="str">
        <f t="shared" ca="1" si="7"/>
        <v/>
      </c>
      <c r="BD52" s="6">
        <f t="shared" ca="1" si="8"/>
        <v>0</v>
      </c>
      <c r="BE52" s="6">
        <f t="shared" ca="1" si="9"/>
        <v>0</v>
      </c>
      <c r="BF52" s="9" t="str">
        <f t="shared" ca="1" si="10"/>
        <v/>
      </c>
      <c r="BG52" s="6">
        <f t="shared" ca="1" si="11"/>
        <v>1</v>
      </c>
      <c r="BH52" s="6">
        <f t="shared" ca="1" si="12"/>
        <v>1</v>
      </c>
      <c r="BI52" s="9">
        <f t="shared" ca="1" si="13"/>
        <v>1</v>
      </c>
      <c r="BJ52" s="6">
        <f t="shared" ca="1" si="14"/>
        <v>0</v>
      </c>
      <c r="BK52" s="6">
        <f t="shared" ca="1" si="15"/>
        <v>0</v>
      </c>
      <c r="BL52" s="6">
        <f t="shared" ca="1" si="16"/>
        <v>0</v>
      </c>
      <c r="BM52" s="6">
        <f t="shared" ca="1" si="17"/>
        <v>0</v>
      </c>
      <c r="BN52" s="6">
        <f t="shared" ca="1" si="18"/>
        <v>1</v>
      </c>
      <c r="BP52" s="6">
        <f t="shared" ca="1" si="19"/>
        <v>0</v>
      </c>
      <c r="BQ52" s="6" t="b">
        <f ca="1">IFERROR(__xludf.DUMMYFUNCTION("IF(AND(ISERROR(FILTER('Items by Team'!D$2:D3410,'Items by Team'!C$2:C3410 = D52,'Items by Team'!B$2:B3410 = B52)),NOT(A52=""Practice"")),TRUE,FALSE)"),FALSE)</f>
        <v>0</v>
      </c>
      <c r="BR52" s="6" t="e">
        <f t="shared" ca="1" si="20"/>
        <v>#VALUE!</v>
      </c>
    </row>
    <row r="53" spans="1:70">
      <c r="A53" s="6" t="str">
        <f ca="1">IFERROR(__xludf.DUMMYFUNCTION("""COMPUTED_VALUE"""),"Practice")</f>
        <v>Practice</v>
      </c>
      <c r="B53" s="6">
        <f ca="1">IFERROR(__xludf.DUMMYFUNCTION("""COMPUTED_VALUE"""),9)</f>
        <v>9</v>
      </c>
      <c r="C53" s="6" t="str">
        <f ca="1">IFERROR(__xludf.DUMMYFUNCTION("""COMPUTED_VALUE"""),"R1")</f>
        <v>R1</v>
      </c>
      <c r="D53" s="6">
        <f ca="1">IFERROR(__xludf.DUMMYFUNCTION("""COMPUTED_VALUE"""),2846)</f>
        <v>2846</v>
      </c>
      <c r="E53" s="6" t="b">
        <f ca="1">IFERROR(__xludf.DUMMYFUNCTION("""COMPUTED_VALUE"""),FALSE)</f>
        <v>0</v>
      </c>
      <c r="F53" s="6" t="str">
        <f ca="1">IFERROR(__xludf.DUMMYFUNCTION("""COMPUTED_VALUE"""),"Middle")</f>
        <v>Middle</v>
      </c>
      <c r="G53" s="6" t="b">
        <f ca="1">IFERROR(__xludf.DUMMYFUNCTION("""COMPUTED_VALUE"""),TRUE)</f>
        <v>1</v>
      </c>
      <c r="H53" s="6" t="b">
        <f ca="1">IFERROR(__xludf.DUMMYFUNCTION("""COMPUTED_VALUE"""),TRUE)</f>
        <v>1</v>
      </c>
      <c r="I53" s="6">
        <f ca="1">IFERROR(__xludf.DUMMYFUNCTION("""COMPUTED_VALUE"""),0)</f>
        <v>0</v>
      </c>
      <c r="J53" s="6">
        <f ca="1">IFERROR(__xludf.DUMMYFUNCTION("""COMPUTED_VALUE"""),0)</f>
        <v>0</v>
      </c>
      <c r="K53" s="6">
        <f ca="1">IFERROR(__xludf.DUMMYFUNCTION("""COMPUTED_VALUE"""),0)</f>
        <v>0</v>
      </c>
      <c r="L53" s="6">
        <f ca="1">IFERROR(__xludf.DUMMYFUNCTION("""COMPUTED_VALUE"""),0)</f>
        <v>0</v>
      </c>
      <c r="M53" s="6">
        <f ca="1">IFERROR(__xludf.DUMMYFUNCTION("""COMPUTED_VALUE"""),0)</f>
        <v>0</v>
      </c>
      <c r="N53" s="6">
        <f ca="1">IFERROR(__xludf.DUMMYFUNCTION("""COMPUTED_VALUE"""),0)</f>
        <v>0</v>
      </c>
      <c r="O53" s="6">
        <f ca="1">IFERROR(__xludf.DUMMYFUNCTION("""COMPUTED_VALUE"""),0)</f>
        <v>0</v>
      </c>
      <c r="P53" s="6">
        <f ca="1">IFERROR(__xludf.DUMMYFUNCTION("""COMPUTED_VALUE"""),1)</f>
        <v>1</v>
      </c>
      <c r="R53" s="6">
        <f ca="1">IFERROR(__xludf.DUMMYFUNCTION("""COMPUTED_VALUE"""),0)</f>
        <v>0</v>
      </c>
      <c r="S53" s="6">
        <f ca="1">IFERROR(__xludf.DUMMYFUNCTION("""COMPUTED_VALUE"""),0)</f>
        <v>0</v>
      </c>
      <c r="T53" s="6">
        <f ca="1">IFERROR(__xludf.DUMMYFUNCTION("""COMPUTED_VALUE"""),0)</f>
        <v>0</v>
      </c>
      <c r="U53" s="6">
        <f ca="1">IFERROR(__xludf.DUMMYFUNCTION("""COMPUTED_VALUE"""),0)</f>
        <v>0</v>
      </c>
      <c r="V53" s="6">
        <f ca="1">IFERROR(__xludf.DUMMYFUNCTION("""COMPUTED_VALUE"""),0)</f>
        <v>0</v>
      </c>
      <c r="W53" s="6">
        <f ca="1">IFERROR(__xludf.DUMMYFUNCTION("""COMPUTED_VALUE"""),0)</f>
        <v>0</v>
      </c>
      <c r="X53" s="6">
        <f ca="1">IFERROR(__xludf.DUMMYFUNCTION("""COMPUTED_VALUE"""),0)</f>
        <v>0</v>
      </c>
      <c r="Y53" s="6">
        <f ca="1">IFERROR(__xludf.DUMMYFUNCTION("""COMPUTED_VALUE"""),1)</f>
        <v>1</v>
      </c>
      <c r="Z53" s="6">
        <f ca="1">IFERROR(__xludf.DUMMYFUNCTION("""COMPUTED_VALUE"""),0)</f>
        <v>0</v>
      </c>
      <c r="AA53" s="6">
        <f ca="1">IFERROR(__xludf.DUMMYFUNCTION("""COMPUTED_VALUE"""),0)</f>
        <v>0</v>
      </c>
      <c r="AB53" s="6" t="b">
        <f ca="1">IFERROR(__xludf.DUMMYFUNCTION("""COMPUTED_VALUE"""),TRUE)</f>
        <v>1</v>
      </c>
      <c r="AD53" s="6" t="b">
        <f ca="1">IFERROR(__xludf.DUMMYFUNCTION("""COMPUTED_VALUE"""),FALSE)</f>
        <v>0</v>
      </c>
      <c r="AE53" s="6">
        <f ca="1">IFERROR(__xludf.DUMMYFUNCTION("""COMPUTED_VALUE"""),0)</f>
        <v>0</v>
      </c>
      <c r="AF53" s="6">
        <f ca="1">IFERROR(__xludf.DUMMYFUNCTION("""COMPUTED_VALUE"""),0)</f>
        <v>0</v>
      </c>
      <c r="AG53" s="6">
        <f ca="1">IFERROR(__xludf.DUMMYFUNCTION("""COMPUTED_VALUE"""),0)</f>
        <v>0</v>
      </c>
      <c r="AH53" s="6">
        <f ca="1">IFERROR(__xludf.DUMMYFUNCTION("""COMPUTED_VALUE"""),0)</f>
        <v>0</v>
      </c>
      <c r="AI53" s="6">
        <f ca="1">IFERROR(__xludf.DUMMYFUNCTION("""COMPUTED_VALUE"""),1)</f>
        <v>1</v>
      </c>
      <c r="AK53" s="6" t="str">
        <f ca="1">IFERROR(__xludf.DUMMYFUNCTION("""COMPUTED_VALUE"""),"Dc")</f>
        <v>Dc</v>
      </c>
      <c r="AL53" s="6">
        <f ca="1">IFERROR(__xludf.DUMMYFUNCTION("""COMPUTED_VALUE"""),0)</f>
        <v>0</v>
      </c>
      <c r="AM53" s="6" t="b">
        <f ca="1">IFERROR(__xludf.DUMMYFUNCTION("""COMPUTED_VALUE"""),FALSE)</f>
        <v>0</v>
      </c>
      <c r="AN53" s="6" t="str">
        <f ca="1">IFERROR(__xludf.DUMMYFUNCTION("""COMPUTED_VALUE"""),"No")</f>
        <v>No</v>
      </c>
      <c r="AO53" s="6" t="str">
        <f ca="1">IFERROR(__xludf.DUMMYFUNCTION("""COMPUTED_VALUE"""),"The robot ran out of power halfway through match.")</f>
        <v>The robot ran out of power halfway through match.</v>
      </c>
      <c r="AP53" s="6" t="str">
        <f ca="1">IFERROR(__xludf.DUMMYFUNCTION("""COMPUTED_VALUE"""),"x")</f>
        <v>x</v>
      </c>
      <c r="AQ53" s="6" t="b">
        <f ca="1">IFERROR(__xludf.DUMMYFUNCTION("""COMPUTED_VALUE"""),FALSE)</f>
        <v>0</v>
      </c>
      <c r="AR53" s="6" t="b">
        <f ca="1">IFERROR(__xludf.DUMMYFUNCTION("""COMPUTED_VALUE"""),FALSE)</f>
        <v>0</v>
      </c>
      <c r="AS53" s="15"/>
      <c r="AT53" s="6" t="str">
        <f ca="1">IFERROR(__xludf.DUMMYFUNCTION("SWITCH(IF(A53=""Practice"",AN53,FILTER('Items by Team'!E$2:E3410,'Items by Team'!C$2:C3410=D53,B53='Items by Team'!B$2:B3410)),""None"",""No"",""Parked"",""P"",""ShallowCage"",""Sc"",""DeepCage"",""Dc"",""No"",""No"",""P"",""P"",""Sc"",""Sc"",""Dc"",""Dc"&amp;""")"),"No")</f>
        <v>No</v>
      </c>
      <c r="AU53" s="6" t="str">
        <f ca="1">IFERROR(__xludf.DUMMYFUNCTION("SWITCH(IF(A53 = ""Practice"", H53, FILTER('Items by Team'!D$2:D3410,'Items by Team'!C$2:C3410 = D53,'Items by Team'!B$2:B3410 = B53)), ""Yes"", ""TRUE"", ""No"", ""FALSE"",TRUE, ""TRUE"", FALSE, ""FALSE"")"),"TRUE")</f>
        <v>TRUE</v>
      </c>
      <c r="AV53" s="6" t="str">
        <f t="shared" ca="1" si="0"/>
        <v/>
      </c>
      <c r="AW53" s="6">
        <f t="shared" ca="1" si="1"/>
        <v>1</v>
      </c>
      <c r="AX53" s="6">
        <f t="shared" ca="1" si="2"/>
        <v>0</v>
      </c>
      <c r="AY53" s="6">
        <f t="shared" ca="1" si="3"/>
        <v>1</v>
      </c>
      <c r="AZ53" s="9">
        <f t="shared" ca="1" si="4"/>
        <v>0</v>
      </c>
      <c r="BA53" s="6">
        <f t="shared" ca="1" si="5"/>
        <v>0</v>
      </c>
      <c r="BB53" s="6">
        <f t="shared" ca="1" si="6"/>
        <v>0</v>
      </c>
      <c r="BC53" s="9" t="str">
        <f t="shared" ca="1" si="7"/>
        <v/>
      </c>
      <c r="BD53" s="6">
        <f t="shared" ca="1" si="8"/>
        <v>0</v>
      </c>
      <c r="BE53" s="6">
        <f t="shared" ca="1" si="9"/>
        <v>1</v>
      </c>
      <c r="BF53" s="9">
        <f t="shared" ca="1" si="10"/>
        <v>0</v>
      </c>
      <c r="BG53" s="6">
        <f t="shared" ca="1" si="11"/>
        <v>0</v>
      </c>
      <c r="BH53" s="6">
        <f t="shared" ca="1" si="12"/>
        <v>1</v>
      </c>
      <c r="BI53" s="9">
        <f t="shared" ca="1" si="13"/>
        <v>0</v>
      </c>
      <c r="BJ53" s="6">
        <f t="shared" ca="1" si="14"/>
        <v>0</v>
      </c>
      <c r="BK53" s="6">
        <f t="shared" ca="1" si="15"/>
        <v>0</v>
      </c>
      <c r="BL53" s="6">
        <f t="shared" ca="1" si="16"/>
        <v>0</v>
      </c>
      <c r="BM53" s="6">
        <f t="shared" ca="1" si="17"/>
        <v>0</v>
      </c>
      <c r="BN53" s="6">
        <f t="shared" ca="1" si="18"/>
        <v>1</v>
      </c>
      <c r="BP53" s="6">
        <f t="shared" ca="1" si="19"/>
        <v>0</v>
      </c>
      <c r="BQ53" s="6" t="b">
        <f ca="1">IFERROR(__xludf.DUMMYFUNCTION("IF(AND(ISERROR(FILTER('Items by Team'!D$2:D3410,'Items by Team'!C$2:C3410 = D53,'Items by Team'!B$2:B3410 = B53)),NOT(A53=""Practice"")),TRUE,FALSE)"),FALSE)</f>
        <v>0</v>
      </c>
      <c r="BR53" s="6" t="e">
        <f t="shared" ca="1" si="20"/>
        <v>#VALUE!</v>
      </c>
    </row>
    <row r="54" spans="1:70">
      <c r="A54" s="6" t="str">
        <f ca="1">IFERROR(__xludf.DUMMYFUNCTION("""COMPUTED_VALUE"""),"Practice")</f>
        <v>Practice</v>
      </c>
      <c r="B54" s="6">
        <f ca="1">IFERROR(__xludf.DUMMYFUNCTION("""COMPUTED_VALUE"""),10)</f>
        <v>10</v>
      </c>
      <c r="C54" s="6" t="str">
        <f ca="1">IFERROR(__xludf.DUMMYFUNCTION("""COMPUTED_VALUE"""),"B3")</f>
        <v>B3</v>
      </c>
      <c r="D54" s="6">
        <f ca="1">IFERROR(__xludf.DUMMYFUNCTION("""COMPUTED_VALUE"""),5464)</f>
        <v>5464</v>
      </c>
      <c r="E54" s="6" t="b">
        <f ca="1">IFERROR(__xludf.DUMMYFUNCTION("""COMPUTED_VALUE"""),FALSE)</f>
        <v>0</v>
      </c>
      <c r="F54" s="6" t="str">
        <f ca="1">IFERROR(__xludf.DUMMYFUNCTION("""COMPUTED_VALUE"""),"Middle")</f>
        <v>Middle</v>
      </c>
      <c r="G54" s="6" t="b">
        <f ca="1">IFERROR(__xludf.DUMMYFUNCTION("""COMPUTED_VALUE"""),TRUE)</f>
        <v>1</v>
      </c>
      <c r="H54" s="6" t="b">
        <f ca="1">IFERROR(__xludf.DUMMYFUNCTION("""COMPUTED_VALUE"""),TRUE)</f>
        <v>1</v>
      </c>
      <c r="I54" s="6">
        <f ca="1">IFERROR(__xludf.DUMMYFUNCTION("""COMPUTED_VALUE"""),1)</f>
        <v>1</v>
      </c>
      <c r="J54" s="6">
        <f ca="1">IFERROR(__xludf.DUMMYFUNCTION("""COMPUTED_VALUE"""),0)</f>
        <v>0</v>
      </c>
      <c r="K54" s="6">
        <f ca="1">IFERROR(__xludf.DUMMYFUNCTION("""COMPUTED_VALUE"""),0)</f>
        <v>0</v>
      </c>
      <c r="L54" s="6">
        <f ca="1">IFERROR(__xludf.DUMMYFUNCTION("""COMPUTED_VALUE"""),1)</f>
        <v>1</v>
      </c>
      <c r="M54" s="6">
        <f ca="1">IFERROR(__xludf.DUMMYFUNCTION("""COMPUTED_VALUE"""),0)</f>
        <v>0</v>
      </c>
      <c r="N54" s="6">
        <f ca="1">IFERROR(__xludf.DUMMYFUNCTION("""COMPUTED_VALUE"""),0)</f>
        <v>0</v>
      </c>
      <c r="O54" s="6">
        <f ca="1">IFERROR(__xludf.DUMMYFUNCTION("""COMPUTED_VALUE"""),0)</f>
        <v>0</v>
      </c>
      <c r="P54" s="6">
        <f ca="1">IFERROR(__xludf.DUMMYFUNCTION("""COMPUTED_VALUE"""),0)</f>
        <v>0</v>
      </c>
      <c r="R54" s="6">
        <f ca="1">IFERROR(__xludf.DUMMYFUNCTION("""COMPUTED_VALUE"""),0)</f>
        <v>0</v>
      </c>
      <c r="S54" s="6">
        <f ca="1">IFERROR(__xludf.DUMMYFUNCTION("""COMPUTED_VALUE"""),0)</f>
        <v>0</v>
      </c>
      <c r="T54" s="6">
        <f ca="1">IFERROR(__xludf.DUMMYFUNCTION("""COMPUTED_VALUE"""),0)</f>
        <v>0</v>
      </c>
      <c r="U54" s="6">
        <f ca="1">IFERROR(__xludf.DUMMYFUNCTION("""COMPUTED_VALUE"""),0)</f>
        <v>0</v>
      </c>
      <c r="V54" s="6">
        <f ca="1">IFERROR(__xludf.DUMMYFUNCTION("""COMPUTED_VALUE"""),0)</f>
        <v>0</v>
      </c>
      <c r="W54" s="6">
        <f ca="1">IFERROR(__xludf.DUMMYFUNCTION("""COMPUTED_VALUE"""),0)</f>
        <v>0</v>
      </c>
      <c r="X54" s="6">
        <f ca="1">IFERROR(__xludf.DUMMYFUNCTION("""COMPUTED_VALUE"""),0)</f>
        <v>0</v>
      </c>
      <c r="Y54" s="6">
        <f ca="1">IFERROR(__xludf.DUMMYFUNCTION("""COMPUTED_VALUE"""),0)</f>
        <v>0</v>
      </c>
      <c r="Z54" s="6">
        <f ca="1">IFERROR(__xludf.DUMMYFUNCTION("""COMPUTED_VALUE"""),0)</f>
        <v>0</v>
      </c>
      <c r="AA54" s="6">
        <f ca="1">IFERROR(__xludf.DUMMYFUNCTION("""COMPUTED_VALUE"""),0)</f>
        <v>0</v>
      </c>
      <c r="AB54" s="6" t="b">
        <f ca="1">IFERROR(__xludf.DUMMYFUNCTION("""COMPUTED_VALUE"""),TRUE)</f>
        <v>1</v>
      </c>
      <c r="AD54" s="6" t="b">
        <f ca="1">IFERROR(__xludf.DUMMYFUNCTION("""COMPUTED_VALUE"""),FALSE)</f>
        <v>0</v>
      </c>
      <c r="AE54" s="6">
        <f ca="1">IFERROR(__xludf.DUMMYFUNCTION("""COMPUTED_VALUE"""),6)</f>
        <v>6</v>
      </c>
      <c r="AF54" s="6">
        <f ca="1">IFERROR(__xludf.DUMMYFUNCTION("""COMPUTED_VALUE"""),0)</f>
        <v>0</v>
      </c>
      <c r="AG54" s="6">
        <f ca="1">IFERROR(__xludf.DUMMYFUNCTION("""COMPUTED_VALUE"""),0)</f>
        <v>0</v>
      </c>
      <c r="AH54" s="6">
        <f ca="1">IFERROR(__xludf.DUMMYFUNCTION("""COMPUTED_VALUE"""),0)</f>
        <v>0</v>
      </c>
      <c r="AI54" s="6">
        <f ca="1">IFERROR(__xludf.DUMMYFUNCTION("""COMPUTED_VALUE"""),1)</f>
        <v>1</v>
      </c>
      <c r="AK54" s="6" t="str">
        <f ca="1">IFERROR(__xludf.DUMMYFUNCTION("""COMPUTED_VALUE"""),"Dc")</f>
        <v>Dc</v>
      </c>
      <c r="AL54" s="6">
        <f ca="1">IFERROR(__xludf.DUMMYFUNCTION("""COMPUTED_VALUE"""),0)</f>
        <v>0</v>
      </c>
      <c r="AM54" s="6" t="b">
        <f ca="1">IFERROR(__xludf.DUMMYFUNCTION("""COMPUTED_VALUE"""),FALSE)</f>
        <v>0</v>
      </c>
      <c r="AN54" s="6" t="str">
        <f ca="1">IFERROR(__xludf.DUMMYFUNCTION("""COMPUTED_VALUE"""),"P")</f>
        <v>P</v>
      </c>
      <c r="AO54" s="6"/>
      <c r="AP54" s="6" t="str">
        <f ca="1">IFERROR(__xludf.DUMMYFUNCTION("""COMPUTED_VALUE"""),"x")</f>
        <v>x</v>
      </c>
      <c r="AQ54" s="6" t="b">
        <f ca="1">IFERROR(__xludf.DUMMYFUNCTION("""COMPUTED_VALUE"""),FALSE)</f>
        <v>0</v>
      </c>
      <c r="AR54" s="6" t="b">
        <f ca="1">IFERROR(__xludf.DUMMYFUNCTION("""COMPUTED_VALUE"""),FALSE)</f>
        <v>0</v>
      </c>
      <c r="AS54" s="15"/>
      <c r="AT54" s="6" t="str">
        <f ca="1">IFERROR(__xludf.DUMMYFUNCTION("SWITCH(IF(A54=""Practice"",AN54,FILTER('Items by Team'!E$2:E3410,'Items by Team'!C$2:C3410=D54,B54='Items by Team'!B$2:B3410)),""None"",""No"",""Parked"",""P"",""ShallowCage"",""Sc"",""DeepCage"",""Dc"",""No"",""No"",""P"",""P"",""Sc"",""Sc"",""Dc"",""Dc"&amp;""")"),"P")</f>
        <v>P</v>
      </c>
      <c r="AU54" s="6" t="str">
        <f ca="1">IFERROR(__xludf.DUMMYFUNCTION("SWITCH(IF(A54 = ""Practice"", H54, FILTER('Items by Team'!D$2:D3410,'Items by Team'!C$2:C3410 = D54,'Items by Team'!B$2:B3410 = B54)), ""Yes"", ""TRUE"", ""No"", ""FALSE"",TRUE, ""TRUE"", FALSE, ""FALSE"")"),"TRUE")</f>
        <v>TRUE</v>
      </c>
      <c r="AV54" s="6" t="str">
        <f t="shared" ca="1" si="0"/>
        <v/>
      </c>
      <c r="AW54" s="6">
        <f t="shared" ca="1" si="1"/>
        <v>1</v>
      </c>
      <c r="AX54" s="6">
        <f t="shared" ca="1" si="2"/>
        <v>1</v>
      </c>
      <c r="AY54" s="6">
        <f t="shared" ca="1" si="3"/>
        <v>1</v>
      </c>
      <c r="AZ54" s="9">
        <f t="shared" ca="1" si="4"/>
        <v>1</v>
      </c>
      <c r="BA54" s="6">
        <f t="shared" ca="1" si="5"/>
        <v>0</v>
      </c>
      <c r="BB54" s="6">
        <f t="shared" ca="1" si="6"/>
        <v>0</v>
      </c>
      <c r="BC54" s="9" t="str">
        <f t="shared" ca="1" si="7"/>
        <v/>
      </c>
      <c r="BD54" s="6">
        <f t="shared" ca="1" si="8"/>
        <v>0</v>
      </c>
      <c r="BE54" s="6">
        <f t="shared" ca="1" si="9"/>
        <v>0</v>
      </c>
      <c r="BF54" s="9" t="str">
        <f t="shared" ca="1" si="10"/>
        <v/>
      </c>
      <c r="BG54" s="6">
        <f t="shared" ca="1" si="11"/>
        <v>6</v>
      </c>
      <c r="BH54" s="6">
        <f t="shared" ca="1" si="12"/>
        <v>7</v>
      </c>
      <c r="BI54" s="9">
        <f t="shared" ca="1" si="13"/>
        <v>0.8571428571428571</v>
      </c>
      <c r="BJ54" s="6">
        <f t="shared" ca="1" si="14"/>
        <v>0</v>
      </c>
      <c r="BK54" s="6">
        <f t="shared" ca="1" si="15"/>
        <v>1</v>
      </c>
      <c r="BL54" s="6">
        <f t="shared" ca="1" si="16"/>
        <v>0</v>
      </c>
      <c r="BM54" s="6">
        <f t="shared" ca="1" si="17"/>
        <v>0</v>
      </c>
      <c r="BN54" s="6">
        <f t="shared" ca="1" si="18"/>
        <v>1</v>
      </c>
      <c r="BP54" s="6">
        <f t="shared" ca="1" si="19"/>
        <v>0</v>
      </c>
      <c r="BQ54" s="6" t="b">
        <f ca="1">IFERROR(__xludf.DUMMYFUNCTION("IF(AND(ISERROR(FILTER('Items by Team'!D$2:D3410,'Items by Team'!C$2:C3410 = D54,'Items by Team'!B$2:B3410 = B54)),NOT(A54=""Practice"")),TRUE,FALSE)"),FALSE)</f>
        <v>0</v>
      </c>
      <c r="BR54" s="6" t="e">
        <f t="shared" ca="1" si="20"/>
        <v>#VALUE!</v>
      </c>
    </row>
    <row r="55" spans="1:70">
      <c r="A55" s="6" t="str">
        <f ca="1">IFERROR(__xludf.DUMMYFUNCTION("""COMPUTED_VALUE"""),"Practice")</f>
        <v>Practice</v>
      </c>
      <c r="B55" s="6">
        <f ca="1">IFERROR(__xludf.DUMMYFUNCTION("""COMPUTED_VALUE"""),10)</f>
        <v>10</v>
      </c>
      <c r="C55" s="6" t="str">
        <f ca="1">IFERROR(__xludf.DUMMYFUNCTION("""COMPUTED_VALUE"""),"R1")</f>
        <v>R1</v>
      </c>
      <c r="D55" s="6">
        <f ca="1">IFERROR(__xludf.DUMMYFUNCTION("""COMPUTED_VALUE"""),3630)</f>
        <v>3630</v>
      </c>
      <c r="E55" s="6" t="b">
        <f ca="1">IFERROR(__xludf.DUMMYFUNCTION("""COMPUTED_VALUE"""),FALSE)</f>
        <v>0</v>
      </c>
      <c r="F55" s="6" t="str">
        <f ca="1">IFERROR(__xludf.DUMMYFUNCTION("""COMPUTED_VALUE"""),"Red Barge")</f>
        <v>Red Barge</v>
      </c>
      <c r="G55" s="6" t="b">
        <f ca="1">IFERROR(__xludf.DUMMYFUNCTION("""COMPUTED_VALUE"""),TRUE)</f>
        <v>1</v>
      </c>
      <c r="H55" s="6" t="b">
        <f ca="1">IFERROR(__xludf.DUMMYFUNCTION("""COMPUTED_VALUE"""),TRUE)</f>
        <v>1</v>
      </c>
      <c r="I55" s="6">
        <f ca="1">IFERROR(__xludf.DUMMYFUNCTION("""COMPUTED_VALUE"""),0)</f>
        <v>0</v>
      </c>
      <c r="J55" s="6">
        <f ca="1">IFERROR(__xludf.DUMMYFUNCTION("""COMPUTED_VALUE"""),1)</f>
        <v>1</v>
      </c>
      <c r="K55" s="6">
        <f ca="1">IFERROR(__xludf.DUMMYFUNCTION("""COMPUTED_VALUE"""),0)</f>
        <v>0</v>
      </c>
      <c r="L55" s="6">
        <f ca="1">IFERROR(__xludf.DUMMYFUNCTION("""COMPUTED_VALUE"""),1)</f>
        <v>1</v>
      </c>
      <c r="M55" s="6">
        <f ca="1">IFERROR(__xludf.DUMMYFUNCTION("""COMPUTED_VALUE"""),0)</f>
        <v>0</v>
      </c>
      <c r="N55" s="6">
        <f ca="1">IFERROR(__xludf.DUMMYFUNCTION("""COMPUTED_VALUE"""),0)</f>
        <v>0</v>
      </c>
      <c r="O55" s="6">
        <f ca="1">IFERROR(__xludf.DUMMYFUNCTION("""COMPUTED_VALUE"""),0)</f>
        <v>0</v>
      </c>
      <c r="P55" s="6">
        <f ca="1">IFERROR(__xludf.DUMMYFUNCTION("""COMPUTED_VALUE"""),1)</f>
        <v>1</v>
      </c>
      <c r="R55" s="6">
        <f ca="1">IFERROR(__xludf.DUMMYFUNCTION("""COMPUTED_VALUE"""),0)</f>
        <v>0</v>
      </c>
      <c r="S55" s="6">
        <f ca="1">IFERROR(__xludf.DUMMYFUNCTION("""COMPUTED_VALUE"""),0)</f>
        <v>0</v>
      </c>
      <c r="T55" s="6">
        <f ca="1">IFERROR(__xludf.DUMMYFUNCTION("""COMPUTED_VALUE"""),0)</f>
        <v>0</v>
      </c>
      <c r="U55" s="6">
        <f ca="1">IFERROR(__xludf.DUMMYFUNCTION("""COMPUTED_VALUE"""),0)</f>
        <v>0</v>
      </c>
      <c r="V55" s="6">
        <f ca="1">IFERROR(__xludf.DUMMYFUNCTION("""COMPUTED_VALUE"""),0)</f>
        <v>0</v>
      </c>
      <c r="W55" s="6">
        <f ca="1">IFERROR(__xludf.DUMMYFUNCTION("""COMPUTED_VALUE"""),0)</f>
        <v>0</v>
      </c>
      <c r="X55" s="6">
        <f ca="1">IFERROR(__xludf.DUMMYFUNCTION("""COMPUTED_VALUE"""),0)</f>
        <v>0</v>
      </c>
      <c r="Y55" s="6">
        <f ca="1">IFERROR(__xludf.DUMMYFUNCTION("""COMPUTED_VALUE"""),0)</f>
        <v>0</v>
      </c>
      <c r="Z55" s="6">
        <f ca="1">IFERROR(__xludf.DUMMYFUNCTION("""COMPUTED_VALUE"""),0)</f>
        <v>0</v>
      </c>
      <c r="AA55" s="6">
        <f ca="1">IFERROR(__xludf.DUMMYFUNCTION("""COMPUTED_VALUE"""),0)</f>
        <v>0</v>
      </c>
      <c r="AB55" s="6" t="b">
        <f ca="1">IFERROR(__xludf.DUMMYFUNCTION("""COMPUTED_VALUE"""),TRUE)</f>
        <v>1</v>
      </c>
      <c r="AD55" s="6" t="b">
        <f ca="1">IFERROR(__xludf.DUMMYFUNCTION("""COMPUTED_VALUE"""),FALSE)</f>
        <v>0</v>
      </c>
      <c r="AE55" s="6">
        <f ca="1">IFERROR(__xludf.DUMMYFUNCTION("""COMPUTED_VALUE"""),5)</f>
        <v>5</v>
      </c>
      <c r="AF55" s="6">
        <f ca="1">IFERROR(__xludf.DUMMYFUNCTION("""COMPUTED_VALUE"""),1)</f>
        <v>1</v>
      </c>
      <c r="AG55" s="6">
        <f ca="1">IFERROR(__xludf.DUMMYFUNCTION("""COMPUTED_VALUE"""),0)</f>
        <v>0</v>
      </c>
      <c r="AH55" s="6">
        <f ca="1">IFERROR(__xludf.DUMMYFUNCTION("""COMPUTED_VALUE"""),0)</f>
        <v>0</v>
      </c>
      <c r="AI55" s="6">
        <f ca="1">IFERROR(__xludf.DUMMYFUNCTION("""COMPUTED_VALUE"""),3)</f>
        <v>3</v>
      </c>
      <c r="AK55" s="6" t="str">
        <f ca="1">IFERROR(__xludf.DUMMYFUNCTION("""COMPUTED_VALUE"""),"Dc")</f>
        <v>Dc</v>
      </c>
      <c r="AL55" s="6">
        <f ca="1">IFERROR(__xludf.DUMMYFUNCTION("""COMPUTED_VALUE"""),0)</f>
        <v>0</v>
      </c>
      <c r="AM55" s="6" t="b">
        <f ca="1">IFERROR(__xludf.DUMMYFUNCTION("""COMPUTED_VALUE"""),FALSE)</f>
        <v>0</v>
      </c>
      <c r="AN55" s="6" t="str">
        <f ca="1">IFERROR(__xludf.DUMMYFUNCTION("""COMPUTED_VALUE"""),"Dc")</f>
        <v>Dc</v>
      </c>
      <c r="AO55" s="6"/>
      <c r="AP55" s="6" t="str">
        <f ca="1">IFERROR(__xludf.DUMMYFUNCTION("""COMPUTED_VALUE"""),"x")</f>
        <v>x</v>
      </c>
      <c r="AQ55" s="6" t="b">
        <f ca="1">IFERROR(__xludf.DUMMYFUNCTION("""COMPUTED_VALUE"""),FALSE)</f>
        <v>0</v>
      </c>
      <c r="AR55" s="6" t="b">
        <f ca="1">IFERROR(__xludf.DUMMYFUNCTION("""COMPUTED_VALUE"""),FALSE)</f>
        <v>0</v>
      </c>
      <c r="AS55" s="15"/>
      <c r="AT55" s="6" t="str">
        <f ca="1">IFERROR(__xludf.DUMMYFUNCTION("SWITCH(IF(A55=""Practice"",AN55,FILTER('Items by Team'!E$2:E3410,'Items by Team'!C$2:C3410=D55,B55='Items by Team'!B$2:B3410)),""None"",""No"",""Parked"",""P"",""ShallowCage"",""Sc"",""DeepCage"",""Dc"",""No"",""No"",""P"",""P"",""Sc"",""Sc"",""Dc"",""Dc"&amp;""")"),"Dc")</f>
        <v>Dc</v>
      </c>
      <c r="AU55" s="6" t="str">
        <f ca="1">IFERROR(__xludf.DUMMYFUNCTION("SWITCH(IF(A55 = ""Practice"", H55, FILTER('Items by Team'!D$2:D3410,'Items by Team'!C$2:C3410 = D55,'Items by Team'!B$2:B3410 = B55)), ""Yes"", ""TRUE"", ""No"", ""FALSE"",TRUE, ""TRUE"", FALSE, ""FALSE"")"),"TRUE")</f>
        <v>TRUE</v>
      </c>
      <c r="AV55" s="6" t="str">
        <f t="shared" ca="1" si="0"/>
        <v/>
      </c>
      <c r="AW55" s="6">
        <f t="shared" ca="1" si="1"/>
        <v>1</v>
      </c>
      <c r="AX55" s="6">
        <f t="shared" ca="1" si="2"/>
        <v>1</v>
      </c>
      <c r="AY55" s="6">
        <f t="shared" ca="1" si="3"/>
        <v>2</v>
      </c>
      <c r="AZ55" s="9">
        <f t="shared" ca="1" si="4"/>
        <v>0.5</v>
      </c>
      <c r="BA55" s="6">
        <f t="shared" ca="1" si="5"/>
        <v>0</v>
      </c>
      <c r="BB55" s="6">
        <f t="shared" ca="1" si="6"/>
        <v>0</v>
      </c>
      <c r="BC55" s="9" t="str">
        <f t="shared" ca="1" si="7"/>
        <v/>
      </c>
      <c r="BD55" s="6">
        <f t="shared" ca="1" si="8"/>
        <v>0</v>
      </c>
      <c r="BE55" s="6">
        <f t="shared" ca="1" si="9"/>
        <v>0</v>
      </c>
      <c r="BF55" s="9" t="str">
        <f t="shared" ca="1" si="10"/>
        <v/>
      </c>
      <c r="BG55" s="6">
        <f t="shared" ca="1" si="11"/>
        <v>6</v>
      </c>
      <c r="BH55" s="6">
        <f t="shared" ca="1" si="12"/>
        <v>9</v>
      </c>
      <c r="BI55" s="9">
        <f t="shared" ca="1" si="13"/>
        <v>0.66666666666666663</v>
      </c>
      <c r="BJ55" s="6">
        <f t="shared" ca="1" si="14"/>
        <v>0</v>
      </c>
      <c r="BK55" s="6">
        <f t="shared" ca="1" si="15"/>
        <v>0</v>
      </c>
      <c r="BL55" s="6">
        <f t="shared" ca="1" si="16"/>
        <v>1</v>
      </c>
      <c r="BM55" s="6">
        <f t="shared" ca="1" si="17"/>
        <v>0</v>
      </c>
      <c r="BN55" s="6">
        <f t="shared" ca="1" si="18"/>
        <v>1</v>
      </c>
      <c r="BP55" s="6">
        <f t="shared" ca="1" si="19"/>
        <v>0</v>
      </c>
      <c r="BQ55" s="6" t="b">
        <f ca="1">IFERROR(__xludf.DUMMYFUNCTION("IF(AND(ISERROR(FILTER('Items by Team'!D$2:D3410,'Items by Team'!C$2:C3410 = D55,'Items by Team'!B$2:B3410 = B55)),NOT(A55=""Practice"")),TRUE,FALSE)"),FALSE)</f>
        <v>0</v>
      </c>
      <c r="BR55" s="6" t="e">
        <f t="shared" ca="1" si="20"/>
        <v>#VALUE!</v>
      </c>
    </row>
    <row r="56" spans="1:70">
      <c r="A56" s="6" t="str">
        <f ca="1">IFERROR(__xludf.DUMMYFUNCTION("""COMPUTED_VALUE"""),"Practice")</f>
        <v>Practice</v>
      </c>
      <c r="B56" s="6">
        <f ca="1">IFERROR(__xludf.DUMMYFUNCTION("""COMPUTED_VALUE"""),10)</f>
        <v>10</v>
      </c>
      <c r="C56" s="6" t="str">
        <f ca="1">IFERROR(__xludf.DUMMYFUNCTION("""COMPUTED_VALUE"""),"R3")</f>
        <v>R3</v>
      </c>
      <c r="D56" s="6">
        <f ca="1">IFERROR(__xludf.DUMMYFUNCTION("""COMPUTED_VALUE"""),7849)</f>
        <v>7849</v>
      </c>
      <c r="E56" s="6" t="b">
        <f ca="1">IFERROR(__xludf.DUMMYFUNCTION("""COMPUTED_VALUE"""),FALSE)</f>
        <v>0</v>
      </c>
      <c r="F56" s="6" t="str">
        <f ca="1">IFERROR(__xludf.DUMMYFUNCTION("""COMPUTED_VALUE"""),"Blue Barge")</f>
        <v>Blue Barge</v>
      </c>
      <c r="G56" s="6" t="b">
        <f ca="1">IFERROR(__xludf.DUMMYFUNCTION("""COMPUTED_VALUE"""),TRUE)</f>
        <v>1</v>
      </c>
      <c r="H56" s="6" t="b">
        <f ca="1">IFERROR(__xludf.DUMMYFUNCTION("""COMPUTED_VALUE"""),TRUE)</f>
        <v>1</v>
      </c>
      <c r="I56" s="6">
        <f ca="1">IFERROR(__xludf.DUMMYFUNCTION("""COMPUTED_VALUE"""),1)</f>
        <v>1</v>
      </c>
      <c r="J56" s="6">
        <f ca="1">IFERROR(__xludf.DUMMYFUNCTION("""COMPUTED_VALUE"""),0)</f>
        <v>0</v>
      </c>
      <c r="K56" s="6">
        <f ca="1">IFERROR(__xludf.DUMMYFUNCTION("""COMPUTED_VALUE"""),0)</f>
        <v>0</v>
      </c>
      <c r="L56" s="6">
        <f ca="1">IFERROR(__xludf.DUMMYFUNCTION("""COMPUTED_VALUE"""),0)</f>
        <v>0</v>
      </c>
      <c r="M56" s="6">
        <f ca="1">IFERROR(__xludf.DUMMYFUNCTION("""COMPUTED_VALUE"""),0)</f>
        <v>0</v>
      </c>
      <c r="N56" s="6">
        <f ca="1">IFERROR(__xludf.DUMMYFUNCTION("""COMPUTED_VALUE"""),0)</f>
        <v>0</v>
      </c>
      <c r="O56" s="6">
        <f ca="1">IFERROR(__xludf.DUMMYFUNCTION("""COMPUTED_VALUE"""),1)</f>
        <v>1</v>
      </c>
      <c r="P56" s="6">
        <f ca="1">IFERROR(__xludf.DUMMYFUNCTION("""COMPUTED_VALUE"""),0)</f>
        <v>0</v>
      </c>
      <c r="R56" s="6">
        <f ca="1">IFERROR(__xludf.DUMMYFUNCTION("""COMPUTED_VALUE"""),0)</f>
        <v>0</v>
      </c>
      <c r="S56" s="6">
        <f ca="1">IFERROR(__xludf.DUMMYFUNCTION("""COMPUTED_VALUE"""),0)</f>
        <v>0</v>
      </c>
      <c r="T56" s="6">
        <f ca="1">IFERROR(__xludf.DUMMYFUNCTION("""COMPUTED_VALUE"""),0)</f>
        <v>0</v>
      </c>
      <c r="U56" s="6">
        <f ca="1">IFERROR(__xludf.DUMMYFUNCTION("""COMPUTED_VALUE"""),0)</f>
        <v>0</v>
      </c>
      <c r="V56" s="6">
        <f ca="1">IFERROR(__xludf.DUMMYFUNCTION("""COMPUTED_VALUE"""),0)</f>
        <v>0</v>
      </c>
      <c r="W56" s="6">
        <f ca="1">IFERROR(__xludf.DUMMYFUNCTION("""COMPUTED_VALUE"""),0)</f>
        <v>0</v>
      </c>
      <c r="X56" s="6">
        <f ca="1">IFERROR(__xludf.DUMMYFUNCTION("""COMPUTED_VALUE"""),0)</f>
        <v>0</v>
      </c>
      <c r="Y56" s="6">
        <f ca="1">IFERROR(__xludf.DUMMYFUNCTION("""COMPUTED_VALUE"""),0)</f>
        <v>0</v>
      </c>
      <c r="Z56" s="6">
        <f ca="1">IFERROR(__xludf.DUMMYFUNCTION("""COMPUTED_VALUE"""),0)</f>
        <v>0</v>
      </c>
      <c r="AA56" s="6">
        <f ca="1">IFERROR(__xludf.DUMMYFUNCTION("""COMPUTED_VALUE"""),0)</f>
        <v>0</v>
      </c>
      <c r="AB56" s="6" t="b">
        <f ca="1">IFERROR(__xludf.DUMMYFUNCTION("""COMPUTED_VALUE"""),TRUE)</f>
        <v>1</v>
      </c>
      <c r="AD56" s="6" t="b">
        <f ca="1">IFERROR(__xludf.DUMMYFUNCTION("""COMPUTED_VALUE"""),FALSE)</f>
        <v>0</v>
      </c>
      <c r="AE56" s="6">
        <f ca="1">IFERROR(__xludf.DUMMYFUNCTION("""COMPUTED_VALUE"""),0)</f>
        <v>0</v>
      </c>
      <c r="AF56" s="6">
        <f ca="1">IFERROR(__xludf.DUMMYFUNCTION("""COMPUTED_VALUE"""),3)</f>
        <v>3</v>
      </c>
      <c r="AG56" s="6">
        <f ca="1">IFERROR(__xludf.DUMMYFUNCTION("""COMPUTED_VALUE"""),0)</f>
        <v>0</v>
      </c>
      <c r="AH56" s="6">
        <f ca="1">IFERROR(__xludf.DUMMYFUNCTION("""COMPUTED_VALUE"""),0)</f>
        <v>0</v>
      </c>
      <c r="AI56" s="6">
        <f ca="1">IFERROR(__xludf.DUMMYFUNCTION("""COMPUTED_VALUE"""),3)</f>
        <v>3</v>
      </c>
      <c r="AK56" s="6" t="str">
        <f ca="1">IFERROR(__xludf.DUMMYFUNCTION("""COMPUTED_VALUE"""),"P")</f>
        <v>P</v>
      </c>
      <c r="AL56" s="6">
        <f ca="1">IFERROR(__xludf.DUMMYFUNCTION("""COMPUTED_VALUE"""),0)</f>
        <v>0</v>
      </c>
      <c r="AM56" s="6" t="b">
        <f ca="1">IFERROR(__xludf.DUMMYFUNCTION("""COMPUTED_VALUE"""),FALSE)</f>
        <v>0</v>
      </c>
      <c r="AN56" s="6" t="str">
        <f ca="1">IFERROR(__xludf.DUMMYFUNCTION("""COMPUTED_VALUE"""),"P")</f>
        <v>P</v>
      </c>
      <c r="AO56" s="6" t="str">
        <f ca="1">IFERROR(__xludf.DUMMYFUNCTION("""COMPUTED_VALUE"""),"Early park (20s)")</f>
        <v>Early park (20s)</v>
      </c>
      <c r="AP56" s="6" t="str">
        <f ca="1">IFERROR(__xludf.DUMMYFUNCTION("""COMPUTED_VALUE"""),"x")</f>
        <v>x</v>
      </c>
      <c r="AQ56" s="6" t="b">
        <f ca="1">IFERROR(__xludf.DUMMYFUNCTION("""COMPUTED_VALUE"""),FALSE)</f>
        <v>0</v>
      </c>
      <c r="AR56" s="6" t="b">
        <f ca="1">IFERROR(__xludf.DUMMYFUNCTION("""COMPUTED_VALUE"""),FALSE)</f>
        <v>0</v>
      </c>
      <c r="AS56" s="15"/>
      <c r="AT56" s="6" t="str">
        <f ca="1">IFERROR(__xludf.DUMMYFUNCTION("SWITCH(IF(A56=""Practice"",AN56,FILTER('Items by Team'!E$2:E3410,'Items by Team'!C$2:C3410=D56,B56='Items by Team'!B$2:B3410)),""None"",""No"",""Parked"",""P"",""ShallowCage"",""Sc"",""DeepCage"",""Dc"",""No"",""No"",""P"",""P"",""Sc"",""Sc"",""Dc"",""Dc"&amp;""")"),"P")</f>
        <v>P</v>
      </c>
      <c r="AU56" s="6" t="str">
        <f ca="1">IFERROR(__xludf.DUMMYFUNCTION("SWITCH(IF(A56 = ""Practice"", H56, FILTER('Items by Team'!D$2:D3410,'Items by Team'!C$2:C3410 = D56,'Items by Team'!B$2:B3410 = B56)), ""Yes"", ""TRUE"", ""No"", ""FALSE"",TRUE, ""TRUE"", FALSE, ""FALSE"")"),"TRUE")</f>
        <v>TRUE</v>
      </c>
      <c r="AV56" s="6" t="str">
        <f t="shared" ca="1" si="0"/>
        <v/>
      </c>
      <c r="AW56" s="6">
        <f t="shared" ca="1" si="1"/>
        <v>1</v>
      </c>
      <c r="AX56" s="6">
        <f t="shared" ca="1" si="2"/>
        <v>1</v>
      </c>
      <c r="AY56" s="6">
        <f t="shared" ca="1" si="3"/>
        <v>1</v>
      </c>
      <c r="AZ56" s="9">
        <f t="shared" ca="1" si="4"/>
        <v>1</v>
      </c>
      <c r="BA56" s="6">
        <f t="shared" ca="1" si="5"/>
        <v>0</v>
      </c>
      <c r="BB56" s="6">
        <f t="shared" ca="1" si="6"/>
        <v>0</v>
      </c>
      <c r="BC56" s="9" t="str">
        <f t="shared" ca="1" si="7"/>
        <v/>
      </c>
      <c r="BD56" s="6">
        <f t="shared" ca="1" si="8"/>
        <v>0</v>
      </c>
      <c r="BE56" s="6">
        <f t="shared" ca="1" si="9"/>
        <v>0</v>
      </c>
      <c r="BF56" s="9" t="str">
        <f t="shared" ca="1" si="10"/>
        <v/>
      </c>
      <c r="BG56" s="6">
        <f t="shared" ca="1" si="11"/>
        <v>3</v>
      </c>
      <c r="BH56" s="6">
        <f t="shared" ca="1" si="12"/>
        <v>6</v>
      </c>
      <c r="BI56" s="9">
        <f t="shared" ca="1" si="13"/>
        <v>0.5</v>
      </c>
      <c r="BJ56" s="6">
        <f t="shared" ca="1" si="14"/>
        <v>0</v>
      </c>
      <c r="BK56" s="6">
        <f t="shared" ca="1" si="15"/>
        <v>1</v>
      </c>
      <c r="BL56" s="6">
        <f t="shared" ca="1" si="16"/>
        <v>0</v>
      </c>
      <c r="BM56" s="6">
        <f t="shared" ca="1" si="17"/>
        <v>0</v>
      </c>
      <c r="BN56" s="6">
        <f t="shared" ca="1" si="18"/>
        <v>1</v>
      </c>
      <c r="BP56" s="6">
        <f t="shared" ca="1" si="19"/>
        <v>0</v>
      </c>
      <c r="BQ56" s="6" t="b">
        <f ca="1">IFERROR(__xludf.DUMMYFUNCTION("IF(AND(ISERROR(FILTER('Items by Team'!D$2:D3410,'Items by Team'!C$2:C3410 = D56,'Items by Team'!B$2:B3410 = B56)),NOT(A56=""Practice"")),TRUE,FALSE)"),FALSE)</f>
        <v>0</v>
      </c>
      <c r="BR56" s="6" t="e">
        <f t="shared" ca="1" si="20"/>
        <v>#VALUE!</v>
      </c>
    </row>
    <row r="57" spans="1:70">
      <c r="A57" s="6" t="str">
        <f ca="1">IFERROR(__xludf.DUMMYFUNCTION("""COMPUTED_VALUE"""),"Practice")</f>
        <v>Practice</v>
      </c>
      <c r="B57" s="6">
        <f ca="1">IFERROR(__xludf.DUMMYFUNCTION("""COMPUTED_VALUE"""),10)</f>
        <v>10</v>
      </c>
      <c r="C57" s="6" t="str">
        <f ca="1">IFERROR(__xludf.DUMMYFUNCTION("""COMPUTED_VALUE"""),"B2")</f>
        <v>B2</v>
      </c>
      <c r="D57" s="6">
        <f ca="1">IFERROR(__xludf.DUMMYFUNCTION("""COMPUTED_VALUE"""),8570)</f>
        <v>8570</v>
      </c>
      <c r="E57" s="6" t="b">
        <f ca="1">IFERROR(__xludf.DUMMYFUNCTION("""COMPUTED_VALUE"""),FALSE)</f>
        <v>0</v>
      </c>
      <c r="F57" s="6" t="str">
        <f ca="1">IFERROR(__xludf.DUMMYFUNCTION("""COMPUTED_VALUE"""),"Blue Barge")</f>
        <v>Blue Barge</v>
      </c>
      <c r="G57" s="6" t="b">
        <f ca="1">IFERROR(__xludf.DUMMYFUNCTION("""COMPUTED_VALUE"""),TRUE)</f>
        <v>1</v>
      </c>
      <c r="H57" s="6" t="b">
        <f ca="1">IFERROR(__xludf.DUMMYFUNCTION("""COMPUTED_VALUE"""),TRUE)</f>
        <v>1</v>
      </c>
      <c r="I57" s="6">
        <f ca="1">IFERROR(__xludf.DUMMYFUNCTION("""COMPUTED_VALUE"""),0)</f>
        <v>0</v>
      </c>
      <c r="J57" s="6">
        <f ca="1">IFERROR(__xludf.DUMMYFUNCTION("""COMPUTED_VALUE"""),1)</f>
        <v>1</v>
      </c>
      <c r="K57" s="6">
        <f ca="1">IFERROR(__xludf.DUMMYFUNCTION("""COMPUTED_VALUE"""),0)</f>
        <v>0</v>
      </c>
      <c r="L57" s="6">
        <f ca="1">IFERROR(__xludf.DUMMYFUNCTION("""COMPUTED_VALUE"""),0)</f>
        <v>0</v>
      </c>
      <c r="M57" s="6">
        <f ca="1">IFERROR(__xludf.DUMMYFUNCTION("""COMPUTED_VALUE"""),0)</f>
        <v>0</v>
      </c>
      <c r="N57" s="6">
        <f ca="1">IFERROR(__xludf.DUMMYFUNCTION("""COMPUTED_VALUE"""),1)</f>
        <v>1</v>
      </c>
      <c r="O57" s="6">
        <f ca="1">IFERROR(__xludf.DUMMYFUNCTION("""COMPUTED_VALUE"""),0)</f>
        <v>0</v>
      </c>
      <c r="P57" s="6">
        <f ca="1">IFERROR(__xludf.DUMMYFUNCTION("""COMPUTED_VALUE"""),1)</f>
        <v>1</v>
      </c>
      <c r="R57" s="6">
        <f ca="1">IFERROR(__xludf.DUMMYFUNCTION("""COMPUTED_VALUE"""),0)</f>
        <v>0</v>
      </c>
      <c r="S57" s="6">
        <f ca="1">IFERROR(__xludf.DUMMYFUNCTION("""COMPUTED_VALUE"""),0)</f>
        <v>0</v>
      </c>
      <c r="T57" s="6">
        <f ca="1">IFERROR(__xludf.DUMMYFUNCTION("""COMPUTED_VALUE"""),0)</f>
        <v>0</v>
      </c>
      <c r="U57" s="6">
        <f ca="1">IFERROR(__xludf.DUMMYFUNCTION("""COMPUTED_VALUE"""),0)</f>
        <v>0</v>
      </c>
      <c r="V57" s="6">
        <f ca="1">IFERROR(__xludf.DUMMYFUNCTION("""COMPUTED_VALUE"""),0)</f>
        <v>0</v>
      </c>
      <c r="W57" s="6">
        <f ca="1">IFERROR(__xludf.DUMMYFUNCTION("""COMPUTED_VALUE"""),1)</f>
        <v>1</v>
      </c>
      <c r="X57" s="6">
        <f ca="1">IFERROR(__xludf.DUMMYFUNCTION("""COMPUTED_VALUE"""),0)</f>
        <v>0</v>
      </c>
      <c r="Y57" s="6">
        <f ca="1">IFERROR(__xludf.DUMMYFUNCTION("""COMPUTED_VALUE"""),0)</f>
        <v>0</v>
      </c>
      <c r="Z57" s="6">
        <f ca="1">IFERROR(__xludf.DUMMYFUNCTION("""COMPUTED_VALUE"""),0)</f>
        <v>0</v>
      </c>
      <c r="AA57" s="6">
        <f ca="1">IFERROR(__xludf.DUMMYFUNCTION("""COMPUTED_VALUE"""),1)</f>
        <v>1</v>
      </c>
      <c r="AB57" s="6" t="b">
        <f ca="1">IFERROR(__xludf.DUMMYFUNCTION("""COMPUTED_VALUE"""),TRUE)</f>
        <v>1</v>
      </c>
      <c r="AD57" s="6" t="b">
        <f ca="1">IFERROR(__xludf.DUMMYFUNCTION("""COMPUTED_VALUE"""),TRUE)</f>
        <v>1</v>
      </c>
      <c r="AE57" s="6">
        <f ca="1">IFERROR(__xludf.DUMMYFUNCTION("""COMPUTED_VALUE"""),0)</f>
        <v>0</v>
      </c>
      <c r="AF57" s="6">
        <f ca="1">IFERROR(__xludf.DUMMYFUNCTION("""COMPUTED_VALUE"""),1)</f>
        <v>1</v>
      </c>
      <c r="AG57" s="6">
        <f ca="1">IFERROR(__xludf.DUMMYFUNCTION("""COMPUTED_VALUE"""),3)</f>
        <v>3</v>
      </c>
      <c r="AH57" s="6">
        <f ca="1">IFERROR(__xludf.DUMMYFUNCTION("""COMPUTED_VALUE"""),5)</f>
        <v>5</v>
      </c>
      <c r="AI57" s="6">
        <f ca="1">IFERROR(__xludf.DUMMYFUNCTION("""COMPUTED_VALUE"""),0)</f>
        <v>0</v>
      </c>
      <c r="AK57" s="6" t="str">
        <f ca="1">IFERROR(__xludf.DUMMYFUNCTION("""COMPUTED_VALUE"""),"Dc")</f>
        <v>Dc</v>
      </c>
      <c r="AL57" s="6">
        <f ca="1">IFERROR(__xludf.DUMMYFUNCTION("""COMPUTED_VALUE"""),0)</f>
        <v>0</v>
      </c>
      <c r="AM57" s="6" t="b">
        <f ca="1">IFERROR(__xludf.DUMMYFUNCTION("""COMPUTED_VALUE"""),FALSE)</f>
        <v>0</v>
      </c>
      <c r="AN57" s="6" t="str">
        <f ca="1">IFERROR(__xludf.DUMMYFUNCTION("""COMPUTED_VALUE"""),"No")</f>
        <v>No</v>
      </c>
      <c r="AO57" s="6" t="str">
        <f ca="1">IFERROR(__xludf.DUMMYFUNCTION("""COMPUTED_VALUE"""),"possibly no point ")</f>
        <v xml:space="preserve">possibly no point </v>
      </c>
      <c r="AP57" s="6" t="str">
        <f ca="1">IFERROR(__xludf.DUMMYFUNCTION("""COMPUTED_VALUE"""),"x")</f>
        <v>x</v>
      </c>
      <c r="AQ57" s="6" t="b">
        <f ca="1">IFERROR(__xludf.DUMMYFUNCTION("""COMPUTED_VALUE"""),FALSE)</f>
        <v>0</v>
      </c>
      <c r="AR57" s="6" t="b">
        <f ca="1">IFERROR(__xludf.DUMMYFUNCTION("""COMPUTED_VALUE"""),FALSE)</f>
        <v>0</v>
      </c>
      <c r="AS57" s="15"/>
      <c r="AT57" s="6" t="str">
        <f ca="1">IFERROR(__xludf.DUMMYFUNCTION("SWITCH(IF(A57=""Practice"",AN57,FILTER('Items by Team'!E$2:E3410,'Items by Team'!C$2:C3410=D57,B57='Items by Team'!B$2:B3410)),""None"",""No"",""Parked"",""P"",""ShallowCage"",""Sc"",""DeepCage"",""Dc"",""No"",""No"",""P"",""P"",""Sc"",""Sc"",""Dc"",""Dc"&amp;""")"),"No")</f>
        <v>No</v>
      </c>
      <c r="AU57" s="6" t="str">
        <f ca="1">IFERROR(__xludf.DUMMYFUNCTION("SWITCH(IF(A57 = ""Practice"", H57, FILTER('Items by Team'!D$2:D3410,'Items by Team'!C$2:C3410 = D57,'Items by Team'!B$2:B3410 = B57)), ""Yes"", ""TRUE"", ""No"", ""FALSE"",TRUE, ""TRUE"", FALSE, ""FALSE"")"),"TRUE")</f>
        <v>TRUE</v>
      </c>
      <c r="AV57" s="6" t="str">
        <f t="shared" ca="1" si="0"/>
        <v/>
      </c>
      <c r="AW57" s="6">
        <f t="shared" ca="1" si="1"/>
        <v>1</v>
      </c>
      <c r="AX57" s="6">
        <f t="shared" ca="1" si="2"/>
        <v>1</v>
      </c>
      <c r="AY57" s="6">
        <f t="shared" ca="1" si="3"/>
        <v>2</v>
      </c>
      <c r="AZ57" s="9">
        <f t="shared" ca="1" si="4"/>
        <v>0.5</v>
      </c>
      <c r="BA57" s="6">
        <f t="shared" ca="1" si="5"/>
        <v>0</v>
      </c>
      <c r="BB57" s="6">
        <f t="shared" ca="1" si="6"/>
        <v>0</v>
      </c>
      <c r="BC57" s="9" t="str">
        <f t="shared" ca="1" si="7"/>
        <v/>
      </c>
      <c r="BD57" s="6">
        <f t="shared" ca="1" si="8"/>
        <v>0</v>
      </c>
      <c r="BE57" s="6">
        <f t="shared" ca="1" si="9"/>
        <v>0</v>
      </c>
      <c r="BF57" s="9" t="str">
        <f t="shared" ca="1" si="10"/>
        <v/>
      </c>
      <c r="BG57" s="6">
        <f t="shared" ca="1" si="11"/>
        <v>9</v>
      </c>
      <c r="BH57" s="6">
        <f t="shared" ca="1" si="12"/>
        <v>9</v>
      </c>
      <c r="BI57" s="9">
        <f t="shared" ca="1" si="13"/>
        <v>1</v>
      </c>
      <c r="BJ57" s="6">
        <f t="shared" ca="1" si="14"/>
        <v>0</v>
      </c>
      <c r="BK57" s="6">
        <f t="shared" ca="1" si="15"/>
        <v>0</v>
      </c>
      <c r="BL57" s="6">
        <f t="shared" ca="1" si="16"/>
        <v>1</v>
      </c>
      <c r="BM57" s="6">
        <f t="shared" ca="1" si="17"/>
        <v>0</v>
      </c>
      <c r="BN57" s="6">
        <f t="shared" ca="1" si="18"/>
        <v>1</v>
      </c>
      <c r="BP57" s="6">
        <f t="shared" ca="1" si="19"/>
        <v>1</v>
      </c>
      <c r="BQ57" s="6" t="b">
        <f ca="1">IFERROR(__xludf.DUMMYFUNCTION("IF(AND(ISERROR(FILTER('Items by Team'!D$2:D3410,'Items by Team'!C$2:C3410 = D57,'Items by Team'!B$2:B3410 = B57)),NOT(A57=""Practice"")),TRUE,FALSE)"),FALSE)</f>
        <v>0</v>
      </c>
      <c r="BR57" s="6" t="e">
        <f t="shared" ca="1" si="20"/>
        <v>#VALUE!</v>
      </c>
    </row>
    <row r="58" spans="1:70">
      <c r="A58" s="6" t="str">
        <f ca="1">IFERROR(__xludf.DUMMYFUNCTION("""COMPUTED_VALUE"""),"Practice")</f>
        <v>Practice</v>
      </c>
      <c r="B58" s="6">
        <f ca="1">IFERROR(__xludf.DUMMYFUNCTION("""COMPUTED_VALUE"""),10)</f>
        <v>10</v>
      </c>
      <c r="C58" s="6" t="str">
        <f ca="1">IFERROR(__xludf.DUMMYFUNCTION("""COMPUTED_VALUE"""),"B1")</f>
        <v>B1</v>
      </c>
      <c r="D58" s="6">
        <f ca="1">IFERROR(__xludf.DUMMYFUNCTION("""COMPUTED_VALUE"""),4229)</f>
        <v>4229</v>
      </c>
      <c r="E58" s="6" t="b">
        <f ca="1">IFERROR(__xludf.DUMMYFUNCTION("""COMPUTED_VALUE"""),FALSE)</f>
        <v>0</v>
      </c>
      <c r="F58" s="6" t="str">
        <f ca="1">IFERROR(__xludf.DUMMYFUNCTION("""COMPUTED_VALUE"""),"Red Barge")</f>
        <v>Red Barge</v>
      </c>
      <c r="G58" s="6" t="b">
        <f ca="1">IFERROR(__xludf.DUMMYFUNCTION("""COMPUTED_VALUE"""),TRUE)</f>
        <v>1</v>
      </c>
      <c r="H58" s="6" t="b">
        <f ca="1">IFERROR(__xludf.DUMMYFUNCTION("""COMPUTED_VALUE"""),FALSE)</f>
        <v>0</v>
      </c>
      <c r="I58" s="6">
        <f ca="1">IFERROR(__xludf.DUMMYFUNCTION("""COMPUTED_VALUE"""),0)</f>
        <v>0</v>
      </c>
      <c r="J58" s="6">
        <f ca="1">IFERROR(__xludf.DUMMYFUNCTION("""COMPUTED_VALUE"""),0)</f>
        <v>0</v>
      </c>
      <c r="K58" s="6">
        <f ca="1">IFERROR(__xludf.DUMMYFUNCTION("""COMPUTED_VALUE"""),0)</f>
        <v>0</v>
      </c>
      <c r="L58" s="6">
        <f ca="1">IFERROR(__xludf.DUMMYFUNCTION("""COMPUTED_VALUE"""),0)</f>
        <v>0</v>
      </c>
      <c r="M58" s="6">
        <f ca="1">IFERROR(__xludf.DUMMYFUNCTION("""COMPUTED_VALUE"""),0)</f>
        <v>0</v>
      </c>
      <c r="N58" s="6">
        <f ca="1">IFERROR(__xludf.DUMMYFUNCTION("""COMPUTED_VALUE"""),0)</f>
        <v>0</v>
      </c>
      <c r="O58" s="6">
        <f ca="1">IFERROR(__xludf.DUMMYFUNCTION("""COMPUTED_VALUE"""),0)</f>
        <v>0</v>
      </c>
      <c r="P58" s="6">
        <f ca="1">IFERROR(__xludf.DUMMYFUNCTION("""COMPUTED_VALUE"""),0)</f>
        <v>0</v>
      </c>
      <c r="R58" s="6">
        <f ca="1">IFERROR(__xludf.DUMMYFUNCTION("""COMPUTED_VALUE"""),0)</f>
        <v>0</v>
      </c>
      <c r="S58" s="6">
        <f ca="1">IFERROR(__xludf.DUMMYFUNCTION("""COMPUTED_VALUE"""),0)</f>
        <v>0</v>
      </c>
      <c r="T58" s="6">
        <f ca="1">IFERROR(__xludf.DUMMYFUNCTION("""COMPUTED_VALUE"""),0)</f>
        <v>0</v>
      </c>
      <c r="U58" s="6">
        <f ca="1">IFERROR(__xludf.DUMMYFUNCTION("""COMPUTED_VALUE"""),0)</f>
        <v>0</v>
      </c>
      <c r="V58" s="6">
        <f ca="1">IFERROR(__xludf.DUMMYFUNCTION("""COMPUTED_VALUE"""),0)</f>
        <v>0</v>
      </c>
      <c r="W58" s="6">
        <f ca="1">IFERROR(__xludf.DUMMYFUNCTION("""COMPUTED_VALUE"""),0)</f>
        <v>0</v>
      </c>
      <c r="X58" s="6">
        <f ca="1">IFERROR(__xludf.DUMMYFUNCTION("""COMPUTED_VALUE"""),0)</f>
        <v>0</v>
      </c>
      <c r="Y58" s="6">
        <f ca="1">IFERROR(__xludf.DUMMYFUNCTION("""COMPUTED_VALUE"""),0)</f>
        <v>0</v>
      </c>
      <c r="Z58" s="6">
        <f ca="1">IFERROR(__xludf.DUMMYFUNCTION("""COMPUTED_VALUE"""),0)</f>
        <v>0</v>
      </c>
      <c r="AA58" s="6">
        <f ca="1">IFERROR(__xludf.DUMMYFUNCTION("""COMPUTED_VALUE"""),0)</f>
        <v>0</v>
      </c>
      <c r="AB58" s="6" t="b">
        <f ca="1">IFERROR(__xludf.DUMMYFUNCTION("""COMPUTED_VALUE"""),FALSE)</f>
        <v>0</v>
      </c>
      <c r="AD58" s="6" t="b">
        <f ca="1">IFERROR(__xludf.DUMMYFUNCTION("""COMPUTED_VALUE"""),FALSE)</f>
        <v>0</v>
      </c>
      <c r="AE58" s="6">
        <f ca="1">IFERROR(__xludf.DUMMYFUNCTION("""COMPUTED_VALUE"""),0)</f>
        <v>0</v>
      </c>
      <c r="AF58" s="6">
        <f ca="1">IFERROR(__xludf.DUMMYFUNCTION("""COMPUTED_VALUE"""),0)</f>
        <v>0</v>
      </c>
      <c r="AG58" s="6">
        <f ca="1">IFERROR(__xludf.DUMMYFUNCTION("""COMPUTED_VALUE"""),0)</f>
        <v>0</v>
      </c>
      <c r="AH58" s="6">
        <f ca="1">IFERROR(__xludf.DUMMYFUNCTION("""COMPUTED_VALUE"""),0)</f>
        <v>0</v>
      </c>
      <c r="AI58" s="6">
        <f ca="1">IFERROR(__xludf.DUMMYFUNCTION("""COMPUTED_VALUE"""),0)</f>
        <v>0</v>
      </c>
      <c r="AK58" s="6" t="str">
        <f ca="1">IFERROR(__xludf.DUMMYFUNCTION("""COMPUTED_VALUE"""),"No")</f>
        <v>No</v>
      </c>
      <c r="AL58" s="6">
        <f ca="1">IFERROR(__xludf.DUMMYFUNCTION("""COMPUTED_VALUE"""),0)</f>
        <v>0</v>
      </c>
      <c r="AM58" s="6" t="b">
        <f ca="1">IFERROR(__xludf.DUMMYFUNCTION("""COMPUTED_VALUE"""),FALSE)</f>
        <v>0</v>
      </c>
      <c r="AN58" s="6" t="str">
        <f ca="1">IFERROR(__xludf.DUMMYFUNCTION("""COMPUTED_VALUE"""),"No")</f>
        <v>No</v>
      </c>
      <c r="AO58" s="6" t="str">
        <f ca="1">IFERROR(__xludf.DUMMYFUNCTION("""COMPUTED_VALUE"""),"was in the red barge zone at the very beginning of end game ")</f>
        <v xml:space="preserve">was in the red barge zone at the very beginning of end game </v>
      </c>
      <c r="AP58" s="6" t="str">
        <f ca="1">IFERROR(__xludf.DUMMYFUNCTION("""COMPUTED_VALUE"""),"x")</f>
        <v>x</v>
      </c>
      <c r="AQ58" s="6" t="b">
        <f ca="1">IFERROR(__xludf.DUMMYFUNCTION("""COMPUTED_VALUE"""),FALSE)</f>
        <v>0</v>
      </c>
      <c r="AR58" s="6" t="b">
        <f ca="1">IFERROR(__xludf.DUMMYFUNCTION("""COMPUTED_VALUE"""),FALSE)</f>
        <v>0</v>
      </c>
      <c r="AS58" s="15"/>
      <c r="AT58" s="6" t="str">
        <f ca="1">IFERROR(__xludf.DUMMYFUNCTION("SWITCH(IF(A58=""Practice"",AN58,FILTER('Items by Team'!E$2:E3410,'Items by Team'!C$2:C3410=D58,B58='Items by Team'!B$2:B3410)),""None"",""No"",""Parked"",""P"",""ShallowCage"",""Sc"",""DeepCage"",""Dc"",""No"",""No"",""P"",""P"",""Sc"",""Sc"",""Dc"",""Dc"&amp;""")"),"No")</f>
        <v>No</v>
      </c>
      <c r="AU58" s="6" t="str">
        <f ca="1">IFERROR(__xludf.DUMMYFUNCTION("SWITCH(IF(A58 = ""Practice"", H58, FILTER('Items by Team'!D$2:D3410,'Items by Team'!C$2:C3410 = D58,'Items by Team'!B$2:B3410 = B58)), ""Yes"", ""TRUE"", ""No"", ""FALSE"",TRUE, ""TRUE"", FALSE, ""FALSE"")"),"FALSE")</f>
        <v>FALSE</v>
      </c>
      <c r="AV58" s="6" t="str">
        <f t="shared" ca="1" si="0"/>
        <v/>
      </c>
      <c r="AW58" s="6">
        <f t="shared" ca="1" si="1"/>
        <v>0</v>
      </c>
      <c r="AX58" s="6">
        <f t="shared" ca="1" si="2"/>
        <v>0</v>
      </c>
      <c r="AY58" s="6">
        <f t="shared" ca="1" si="3"/>
        <v>0</v>
      </c>
      <c r="AZ58" s="9" t="str">
        <f t="shared" ca="1" si="4"/>
        <v/>
      </c>
      <c r="BA58" s="6">
        <f t="shared" ca="1" si="5"/>
        <v>0</v>
      </c>
      <c r="BB58" s="6">
        <f t="shared" ca="1" si="6"/>
        <v>0</v>
      </c>
      <c r="BC58" s="9" t="str">
        <f t="shared" ca="1" si="7"/>
        <v/>
      </c>
      <c r="BD58" s="6">
        <f t="shared" ca="1" si="8"/>
        <v>0</v>
      </c>
      <c r="BE58" s="6">
        <f t="shared" ca="1" si="9"/>
        <v>0</v>
      </c>
      <c r="BF58" s="9" t="str">
        <f t="shared" ca="1" si="10"/>
        <v/>
      </c>
      <c r="BG58" s="6">
        <f t="shared" ca="1" si="11"/>
        <v>0</v>
      </c>
      <c r="BH58" s="6">
        <f t="shared" ca="1" si="12"/>
        <v>0</v>
      </c>
      <c r="BI58" s="9" t="str">
        <f t="shared" ca="1" si="13"/>
        <v/>
      </c>
      <c r="BJ58" s="6">
        <f t="shared" ca="1" si="14"/>
        <v>0</v>
      </c>
      <c r="BK58" s="6">
        <f t="shared" ca="1" si="15"/>
        <v>0</v>
      </c>
      <c r="BL58" s="6">
        <f t="shared" ca="1" si="16"/>
        <v>0</v>
      </c>
      <c r="BM58" s="6">
        <f t="shared" ca="1" si="17"/>
        <v>0</v>
      </c>
      <c r="BN58" s="6">
        <f t="shared" ca="1" si="18"/>
        <v>0</v>
      </c>
      <c r="BP58" s="6">
        <f t="shared" ca="1" si="19"/>
        <v>0</v>
      </c>
      <c r="BQ58" s="6" t="b">
        <f ca="1">IFERROR(__xludf.DUMMYFUNCTION("IF(AND(ISERROR(FILTER('Items by Team'!D$2:D3410,'Items by Team'!C$2:C3410 = D58,'Items by Team'!B$2:B3410 = B58)),NOT(A58=""Practice"")),TRUE,FALSE)"),FALSE)</f>
        <v>0</v>
      </c>
      <c r="BR58" s="6" t="e">
        <f t="shared" ca="1" si="20"/>
        <v>#VALUE!</v>
      </c>
    </row>
    <row r="59" spans="1:70">
      <c r="A59" s="6" t="str">
        <f ca="1">IFERROR(__xludf.DUMMYFUNCTION("""COMPUTED_VALUE"""),"Practice")</f>
        <v>Practice</v>
      </c>
      <c r="B59" s="6">
        <f ca="1">IFERROR(__xludf.DUMMYFUNCTION("""COMPUTED_VALUE"""),11)</f>
        <v>11</v>
      </c>
      <c r="C59" s="6" t="str">
        <f ca="1">IFERROR(__xludf.DUMMYFUNCTION("""COMPUTED_VALUE"""),"B2")</f>
        <v>B2</v>
      </c>
      <c r="D59" s="6">
        <f ca="1">IFERROR(__xludf.DUMMYFUNCTION("""COMPUTED_VALUE"""),2207)</f>
        <v>2207</v>
      </c>
      <c r="E59" s="6" t="b">
        <f ca="1">IFERROR(__xludf.DUMMYFUNCTION("""COMPUTED_VALUE"""),FALSE)</f>
        <v>0</v>
      </c>
      <c r="F59" s="6" t="str">
        <f ca="1">IFERROR(__xludf.DUMMYFUNCTION("""COMPUTED_VALUE"""),"Red Barge")</f>
        <v>Red Barge</v>
      </c>
      <c r="G59" s="6" t="b">
        <f ca="1">IFERROR(__xludf.DUMMYFUNCTION("""COMPUTED_VALUE"""),TRUE)</f>
        <v>1</v>
      </c>
      <c r="H59" s="6" t="b">
        <f ca="1">IFERROR(__xludf.DUMMYFUNCTION("""COMPUTED_VALUE"""),TRUE)</f>
        <v>1</v>
      </c>
      <c r="I59" s="6">
        <f ca="1">IFERROR(__xludf.DUMMYFUNCTION("""COMPUTED_VALUE"""),0)</f>
        <v>0</v>
      </c>
      <c r="J59" s="6">
        <f ca="1">IFERROR(__xludf.DUMMYFUNCTION("""COMPUTED_VALUE"""),0)</f>
        <v>0</v>
      </c>
      <c r="K59" s="6">
        <f ca="1">IFERROR(__xludf.DUMMYFUNCTION("""COMPUTED_VALUE"""),0)</f>
        <v>0</v>
      </c>
      <c r="L59" s="6">
        <f ca="1">IFERROR(__xludf.DUMMYFUNCTION("""COMPUTED_VALUE"""),0)</f>
        <v>0</v>
      </c>
      <c r="M59" s="6">
        <f ca="1">IFERROR(__xludf.DUMMYFUNCTION("""COMPUTED_VALUE"""),0)</f>
        <v>0</v>
      </c>
      <c r="N59" s="6">
        <f ca="1">IFERROR(__xludf.DUMMYFUNCTION("""COMPUTED_VALUE"""),0)</f>
        <v>0</v>
      </c>
      <c r="O59" s="6">
        <f ca="1">IFERROR(__xludf.DUMMYFUNCTION("""COMPUTED_VALUE"""),0)</f>
        <v>0</v>
      </c>
      <c r="P59" s="6">
        <f ca="1">IFERROR(__xludf.DUMMYFUNCTION("""COMPUTED_VALUE"""),2)</f>
        <v>2</v>
      </c>
      <c r="R59" s="6">
        <f ca="1">IFERROR(__xludf.DUMMYFUNCTION("""COMPUTED_VALUE"""),0)</f>
        <v>0</v>
      </c>
      <c r="S59" s="6">
        <f ca="1">IFERROR(__xludf.DUMMYFUNCTION("""COMPUTED_VALUE"""),0)</f>
        <v>0</v>
      </c>
      <c r="T59" s="6">
        <f ca="1">IFERROR(__xludf.DUMMYFUNCTION("""COMPUTED_VALUE"""),0)</f>
        <v>0</v>
      </c>
      <c r="U59" s="6">
        <f ca="1">IFERROR(__xludf.DUMMYFUNCTION("""COMPUTED_VALUE"""),0)</f>
        <v>0</v>
      </c>
      <c r="V59" s="6">
        <f ca="1">IFERROR(__xludf.DUMMYFUNCTION("""COMPUTED_VALUE"""),0)</f>
        <v>0</v>
      </c>
      <c r="W59" s="6">
        <f ca="1">IFERROR(__xludf.DUMMYFUNCTION("""COMPUTED_VALUE"""),0)</f>
        <v>0</v>
      </c>
      <c r="X59" s="6">
        <f ca="1">IFERROR(__xludf.DUMMYFUNCTION("""COMPUTED_VALUE"""),0)</f>
        <v>0</v>
      </c>
      <c r="Y59" s="6">
        <f ca="1">IFERROR(__xludf.DUMMYFUNCTION("""COMPUTED_VALUE"""),1)</f>
        <v>1</v>
      </c>
      <c r="Z59" s="6">
        <f ca="1">IFERROR(__xludf.DUMMYFUNCTION("""COMPUTED_VALUE"""),1)</f>
        <v>1</v>
      </c>
      <c r="AA59" s="6">
        <f ca="1">IFERROR(__xludf.DUMMYFUNCTION("""COMPUTED_VALUE"""),1)</f>
        <v>1</v>
      </c>
      <c r="AB59" s="6" t="b">
        <f ca="1">IFERROR(__xludf.DUMMYFUNCTION("""COMPUTED_VALUE"""),FALSE)</f>
        <v>0</v>
      </c>
      <c r="AD59" s="6" t="b">
        <f ca="1">IFERROR(__xludf.DUMMYFUNCTION("""COMPUTED_VALUE"""),FALSE)</f>
        <v>0</v>
      </c>
      <c r="AE59" s="6">
        <f ca="1">IFERROR(__xludf.DUMMYFUNCTION("""COMPUTED_VALUE"""),0)</f>
        <v>0</v>
      </c>
      <c r="AF59" s="6">
        <f ca="1">IFERROR(__xludf.DUMMYFUNCTION("""COMPUTED_VALUE"""),0)</f>
        <v>0</v>
      </c>
      <c r="AG59" s="6">
        <f ca="1">IFERROR(__xludf.DUMMYFUNCTION("""COMPUTED_VALUE"""),0)</f>
        <v>0</v>
      </c>
      <c r="AH59" s="6">
        <f ca="1">IFERROR(__xludf.DUMMYFUNCTION("""COMPUTED_VALUE"""),0)</f>
        <v>0</v>
      </c>
      <c r="AI59" s="6">
        <f ca="1">IFERROR(__xludf.DUMMYFUNCTION("""COMPUTED_VALUE"""),0)</f>
        <v>0</v>
      </c>
      <c r="AK59" s="6" t="str">
        <f ca="1">IFERROR(__xludf.DUMMYFUNCTION("""COMPUTED_VALUE"""),"Dc")</f>
        <v>Dc</v>
      </c>
      <c r="AL59" s="6">
        <f ca="1">IFERROR(__xludf.DUMMYFUNCTION("""COMPUTED_VALUE"""),0)</f>
        <v>0</v>
      </c>
      <c r="AM59" s="6" t="b">
        <f ca="1">IFERROR(__xludf.DUMMYFUNCTION("""COMPUTED_VALUE"""),FALSE)</f>
        <v>0</v>
      </c>
      <c r="AN59" s="6" t="str">
        <f ca="1">IFERROR(__xludf.DUMMYFUNCTION("""COMPUTED_VALUE"""),"No")</f>
        <v>No</v>
      </c>
      <c r="AO59" s="6" t="str">
        <f ca="1">IFERROR(__xludf.DUMMYFUNCTION("""COMPUTED_VALUE"""),"no deep climb")</f>
        <v>no deep climb</v>
      </c>
      <c r="AP59" s="6" t="str">
        <f ca="1">IFERROR(__xludf.DUMMYFUNCTION("""COMPUTED_VALUE"""),"2")</f>
        <v>2</v>
      </c>
      <c r="AQ59" s="6" t="b">
        <f ca="1">IFERROR(__xludf.DUMMYFUNCTION("""COMPUTED_VALUE"""),FALSE)</f>
        <v>0</v>
      </c>
      <c r="AR59" s="6" t="b">
        <f ca="1">IFERROR(__xludf.DUMMYFUNCTION("""COMPUTED_VALUE"""),FALSE)</f>
        <v>0</v>
      </c>
      <c r="AS59" s="15"/>
      <c r="AT59" s="6" t="str">
        <f ca="1">IFERROR(__xludf.DUMMYFUNCTION("SWITCH(IF(A59=""Practice"",AN59,FILTER('Items by Team'!E$2:E3410,'Items by Team'!C$2:C3410=D59,B59='Items by Team'!B$2:B3410)),""None"",""No"",""Parked"",""P"",""ShallowCage"",""Sc"",""DeepCage"",""Dc"",""No"",""No"",""P"",""P"",""Sc"",""Sc"",""Dc"",""Dc"&amp;""")"),"No")</f>
        <v>No</v>
      </c>
      <c r="AU59" s="6" t="str">
        <f ca="1">IFERROR(__xludf.DUMMYFUNCTION("SWITCH(IF(A59 = ""Practice"", H59, FILTER('Items by Team'!D$2:D3410,'Items by Team'!C$2:C3410 = D59,'Items by Team'!B$2:B3410 = B59)), ""Yes"", ""TRUE"", ""No"", ""FALSE"",TRUE, ""TRUE"", FALSE, ""FALSE"")"),"TRUE")</f>
        <v>TRUE</v>
      </c>
      <c r="AV59" s="6">
        <f t="shared" ca="1" si="0"/>
        <v>2</v>
      </c>
      <c r="AW59" s="6">
        <f t="shared" ca="1" si="1"/>
        <v>1</v>
      </c>
      <c r="AX59" s="6">
        <f t="shared" ca="1" si="2"/>
        <v>0</v>
      </c>
      <c r="AY59" s="6">
        <f t="shared" ca="1" si="3"/>
        <v>2</v>
      </c>
      <c r="AZ59" s="9">
        <f t="shared" ca="1" si="4"/>
        <v>0</v>
      </c>
      <c r="BA59" s="6">
        <f t="shared" ca="1" si="5"/>
        <v>0</v>
      </c>
      <c r="BB59" s="6">
        <f t="shared" ca="1" si="6"/>
        <v>0</v>
      </c>
      <c r="BC59" s="9" t="str">
        <f t="shared" ca="1" si="7"/>
        <v/>
      </c>
      <c r="BD59" s="6">
        <f t="shared" ca="1" si="8"/>
        <v>0</v>
      </c>
      <c r="BE59" s="6">
        <f t="shared" ca="1" si="9"/>
        <v>1</v>
      </c>
      <c r="BF59" s="9">
        <f t="shared" ca="1" si="10"/>
        <v>0</v>
      </c>
      <c r="BG59" s="6">
        <f t="shared" ca="1" si="11"/>
        <v>0</v>
      </c>
      <c r="BH59" s="6">
        <f t="shared" ca="1" si="12"/>
        <v>0</v>
      </c>
      <c r="BI59" s="9" t="str">
        <f t="shared" ca="1" si="13"/>
        <v/>
      </c>
      <c r="BJ59" s="6">
        <f t="shared" ca="1" si="14"/>
        <v>0</v>
      </c>
      <c r="BK59" s="6">
        <f t="shared" ca="1" si="15"/>
        <v>0</v>
      </c>
      <c r="BL59" s="6">
        <f t="shared" ca="1" si="16"/>
        <v>0</v>
      </c>
      <c r="BM59" s="6">
        <f t="shared" ca="1" si="17"/>
        <v>0</v>
      </c>
      <c r="BN59" s="6">
        <f t="shared" ca="1" si="18"/>
        <v>0</v>
      </c>
      <c r="BP59" s="6">
        <f t="shared" ca="1" si="19"/>
        <v>0</v>
      </c>
      <c r="BQ59" s="6" t="b">
        <f ca="1">IFERROR(__xludf.DUMMYFUNCTION("IF(AND(ISERROR(FILTER('Items by Team'!D$2:D3410,'Items by Team'!C$2:C3410 = D59,'Items by Team'!B$2:B3410 = B59)),NOT(A59=""Practice"")),TRUE,FALSE)"),FALSE)</f>
        <v>0</v>
      </c>
      <c r="BR59" s="6">
        <f t="shared" ca="1" si="20"/>
        <v>2</v>
      </c>
    </row>
    <row r="60" spans="1:70">
      <c r="A60" s="6" t="str">
        <f ca="1">IFERROR(__xludf.DUMMYFUNCTION("""COMPUTED_VALUE"""),"Practice")</f>
        <v>Practice</v>
      </c>
      <c r="B60" s="6">
        <f ca="1">IFERROR(__xludf.DUMMYFUNCTION("""COMPUTED_VALUE"""),11)</f>
        <v>11</v>
      </c>
      <c r="C60" s="6" t="str">
        <f ca="1">IFERROR(__xludf.DUMMYFUNCTION("""COMPUTED_VALUE"""),"B1")</f>
        <v>B1</v>
      </c>
      <c r="D60" s="6">
        <f ca="1">IFERROR(__xludf.DUMMYFUNCTION("""COMPUTED_VALUE"""),2511)</f>
        <v>2511</v>
      </c>
      <c r="E60" s="6" t="b">
        <f ca="1">IFERROR(__xludf.DUMMYFUNCTION("""COMPUTED_VALUE"""),FALSE)</f>
        <v>0</v>
      </c>
      <c r="F60" s="6" t="str">
        <f ca="1">IFERROR(__xludf.DUMMYFUNCTION("""COMPUTED_VALUE"""),"Middle")</f>
        <v>Middle</v>
      </c>
      <c r="G60" s="6" t="b">
        <f ca="1">IFERROR(__xludf.DUMMYFUNCTION("""COMPUTED_VALUE"""),FALSE)</f>
        <v>0</v>
      </c>
      <c r="H60" s="6" t="b">
        <f ca="1">IFERROR(__xludf.DUMMYFUNCTION("""COMPUTED_VALUE"""),FALSE)</f>
        <v>0</v>
      </c>
      <c r="I60" s="6">
        <f ca="1">IFERROR(__xludf.DUMMYFUNCTION("""COMPUTED_VALUE"""),0)</f>
        <v>0</v>
      </c>
      <c r="J60" s="6">
        <f ca="1">IFERROR(__xludf.DUMMYFUNCTION("""COMPUTED_VALUE"""),0)</f>
        <v>0</v>
      </c>
      <c r="K60" s="6">
        <f ca="1">IFERROR(__xludf.DUMMYFUNCTION("""COMPUTED_VALUE"""),0)</f>
        <v>0</v>
      </c>
      <c r="L60" s="6">
        <f ca="1">IFERROR(__xludf.DUMMYFUNCTION("""COMPUTED_VALUE"""),0)</f>
        <v>0</v>
      </c>
      <c r="M60" s="6">
        <f ca="1">IFERROR(__xludf.DUMMYFUNCTION("""COMPUTED_VALUE"""),0)</f>
        <v>0</v>
      </c>
      <c r="N60" s="6">
        <f ca="1">IFERROR(__xludf.DUMMYFUNCTION("""COMPUTED_VALUE"""),0)</f>
        <v>0</v>
      </c>
      <c r="O60" s="6">
        <f ca="1">IFERROR(__xludf.DUMMYFUNCTION("""COMPUTED_VALUE"""),0)</f>
        <v>0</v>
      </c>
      <c r="P60" s="6">
        <f ca="1">IFERROR(__xludf.DUMMYFUNCTION("""COMPUTED_VALUE"""),0)</f>
        <v>0</v>
      </c>
      <c r="R60" s="6">
        <f ca="1">IFERROR(__xludf.DUMMYFUNCTION("""COMPUTED_VALUE"""),0)</f>
        <v>0</v>
      </c>
      <c r="S60" s="6">
        <f ca="1">IFERROR(__xludf.DUMMYFUNCTION("""COMPUTED_VALUE"""),0)</f>
        <v>0</v>
      </c>
      <c r="T60" s="6">
        <f ca="1">IFERROR(__xludf.DUMMYFUNCTION("""COMPUTED_VALUE"""),0)</f>
        <v>0</v>
      </c>
      <c r="U60" s="6">
        <f ca="1">IFERROR(__xludf.DUMMYFUNCTION("""COMPUTED_VALUE"""),0)</f>
        <v>0</v>
      </c>
      <c r="V60" s="6">
        <f ca="1">IFERROR(__xludf.DUMMYFUNCTION("""COMPUTED_VALUE"""),0)</f>
        <v>0</v>
      </c>
      <c r="W60" s="6">
        <f ca="1">IFERROR(__xludf.DUMMYFUNCTION("""COMPUTED_VALUE"""),0)</f>
        <v>0</v>
      </c>
      <c r="X60" s="6">
        <f ca="1">IFERROR(__xludf.DUMMYFUNCTION("""COMPUTED_VALUE"""),0)</f>
        <v>0</v>
      </c>
      <c r="Y60" s="6">
        <f ca="1">IFERROR(__xludf.DUMMYFUNCTION("""COMPUTED_VALUE"""),0)</f>
        <v>0</v>
      </c>
      <c r="Z60" s="6">
        <f ca="1">IFERROR(__xludf.DUMMYFUNCTION("""COMPUTED_VALUE"""),0)</f>
        <v>0</v>
      </c>
      <c r="AA60" s="6">
        <f ca="1">IFERROR(__xludf.DUMMYFUNCTION("""COMPUTED_VALUE"""),0)</f>
        <v>0</v>
      </c>
      <c r="AB60" s="6" t="b">
        <f ca="1">IFERROR(__xludf.DUMMYFUNCTION("""COMPUTED_VALUE"""),FALSE)</f>
        <v>0</v>
      </c>
      <c r="AD60" s="6" t="b">
        <f ca="1">IFERROR(__xludf.DUMMYFUNCTION("""COMPUTED_VALUE"""),FALSE)</f>
        <v>0</v>
      </c>
      <c r="AE60" s="6">
        <f ca="1">IFERROR(__xludf.DUMMYFUNCTION("""COMPUTED_VALUE"""),0)</f>
        <v>0</v>
      </c>
      <c r="AF60" s="6">
        <f ca="1">IFERROR(__xludf.DUMMYFUNCTION("""COMPUTED_VALUE"""),0)</f>
        <v>0</v>
      </c>
      <c r="AG60" s="6">
        <f ca="1">IFERROR(__xludf.DUMMYFUNCTION("""COMPUTED_VALUE"""),0)</f>
        <v>0</v>
      </c>
      <c r="AH60" s="6">
        <f ca="1">IFERROR(__xludf.DUMMYFUNCTION("""COMPUTED_VALUE"""),0)</f>
        <v>0</v>
      </c>
      <c r="AI60" s="6">
        <f ca="1">IFERROR(__xludf.DUMMYFUNCTION("""COMPUTED_VALUE"""),0)</f>
        <v>0</v>
      </c>
      <c r="AK60" s="6" t="str">
        <f ca="1">IFERROR(__xludf.DUMMYFUNCTION("""COMPUTED_VALUE"""),"No")</f>
        <v>No</v>
      </c>
      <c r="AL60" s="6">
        <f ca="1">IFERROR(__xludf.DUMMYFUNCTION("""COMPUTED_VALUE"""),0)</f>
        <v>0</v>
      </c>
      <c r="AM60" s="6" t="b">
        <f ca="1">IFERROR(__xludf.DUMMYFUNCTION("""COMPUTED_VALUE"""),FALSE)</f>
        <v>0</v>
      </c>
      <c r="AN60" s="6" t="str">
        <f ca="1">IFERROR(__xludf.DUMMYFUNCTION("""COMPUTED_VALUE"""),"No")</f>
        <v>No</v>
      </c>
      <c r="AO60" s="6"/>
      <c r="AP60" s="6" t="str">
        <f ca="1">IFERROR(__xludf.DUMMYFUNCTION("""COMPUTED_VALUE"""),"x")</f>
        <v>x</v>
      </c>
      <c r="AQ60" s="6" t="b">
        <f ca="1">IFERROR(__xludf.DUMMYFUNCTION("""COMPUTED_VALUE"""),FALSE)</f>
        <v>0</v>
      </c>
      <c r="AR60" s="6" t="b">
        <f ca="1">IFERROR(__xludf.DUMMYFUNCTION("""COMPUTED_VALUE"""),FALSE)</f>
        <v>0</v>
      </c>
      <c r="AS60" s="15"/>
      <c r="AT60" s="6" t="str">
        <f ca="1">IFERROR(__xludf.DUMMYFUNCTION("SWITCH(IF(A60=""Practice"",AN60,FILTER('Items by Team'!E$2:E3410,'Items by Team'!C$2:C3410=D60,B60='Items by Team'!B$2:B3410)),""None"",""No"",""Parked"",""P"",""ShallowCage"",""Sc"",""DeepCage"",""Dc"",""No"",""No"",""P"",""P"",""Sc"",""Sc"",""Dc"",""Dc"&amp;""")"),"No")</f>
        <v>No</v>
      </c>
      <c r="AU60" s="6" t="str">
        <f ca="1">IFERROR(__xludf.DUMMYFUNCTION("SWITCH(IF(A60 = ""Practice"", H60, FILTER('Items by Team'!D$2:D3410,'Items by Team'!C$2:C3410 = D60,'Items by Team'!B$2:B3410 = B60)), ""Yes"", ""TRUE"", ""No"", ""FALSE"",TRUE, ""TRUE"", FALSE, ""FALSE"")"),"FALSE")</f>
        <v>FALSE</v>
      </c>
      <c r="AV60" s="6" t="str">
        <f t="shared" ca="1" si="0"/>
        <v/>
      </c>
      <c r="AW60" s="6">
        <f t="shared" ca="1" si="1"/>
        <v>0</v>
      </c>
      <c r="AX60" s="6">
        <f t="shared" ca="1" si="2"/>
        <v>0</v>
      </c>
      <c r="AY60" s="6">
        <f t="shared" ca="1" si="3"/>
        <v>0</v>
      </c>
      <c r="AZ60" s="9" t="str">
        <f t="shared" ca="1" si="4"/>
        <v/>
      </c>
      <c r="BA60" s="6">
        <f t="shared" ca="1" si="5"/>
        <v>0</v>
      </c>
      <c r="BB60" s="6">
        <f t="shared" ca="1" si="6"/>
        <v>0</v>
      </c>
      <c r="BC60" s="9" t="str">
        <f t="shared" ca="1" si="7"/>
        <v/>
      </c>
      <c r="BD60" s="6">
        <f t="shared" ca="1" si="8"/>
        <v>0</v>
      </c>
      <c r="BE60" s="6">
        <f t="shared" ca="1" si="9"/>
        <v>0</v>
      </c>
      <c r="BF60" s="9" t="str">
        <f t="shared" ca="1" si="10"/>
        <v/>
      </c>
      <c r="BG60" s="6">
        <f t="shared" ca="1" si="11"/>
        <v>0</v>
      </c>
      <c r="BH60" s="6">
        <f t="shared" ca="1" si="12"/>
        <v>0</v>
      </c>
      <c r="BI60" s="9" t="str">
        <f t="shared" ca="1" si="13"/>
        <v/>
      </c>
      <c r="BJ60" s="6">
        <f t="shared" ca="1" si="14"/>
        <v>0</v>
      </c>
      <c r="BK60" s="6">
        <f t="shared" ca="1" si="15"/>
        <v>0</v>
      </c>
      <c r="BL60" s="6">
        <f t="shared" ca="1" si="16"/>
        <v>0</v>
      </c>
      <c r="BM60" s="6">
        <f t="shared" ca="1" si="17"/>
        <v>0</v>
      </c>
      <c r="BN60" s="6">
        <f t="shared" ca="1" si="18"/>
        <v>0</v>
      </c>
      <c r="BP60" s="6">
        <f t="shared" ca="1" si="19"/>
        <v>0</v>
      </c>
      <c r="BQ60" s="6" t="b">
        <f ca="1">IFERROR(__xludf.DUMMYFUNCTION("IF(AND(ISERROR(FILTER('Items by Team'!D$2:D3410,'Items by Team'!C$2:C3410 = D60,'Items by Team'!B$2:B3410 = B60)),NOT(A60=""Practice"")),TRUE,FALSE)"),FALSE)</f>
        <v>0</v>
      </c>
      <c r="BR60" s="6" t="e">
        <f t="shared" ca="1" si="20"/>
        <v>#VALUE!</v>
      </c>
    </row>
    <row r="61" spans="1:70">
      <c r="A61" s="6" t="str">
        <f ca="1">IFERROR(__xludf.DUMMYFUNCTION("""COMPUTED_VALUE"""),"Practice")</f>
        <v>Practice</v>
      </c>
      <c r="B61" s="6">
        <f ca="1">IFERROR(__xludf.DUMMYFUNCTION("""COMPUTED_VALUE"""),11)</f>
        <v>11</v>
      </c>
      <c r="C61" s="6" t="str">
        <f ca="1">IFERROR(__xludf.DUMMYFUNCTION("""COMPUTED_VALUE"""),"B3")</f>
        <v>B3</v>
      </c>
      <c r="D61" s="6">
        <f ca="1">IFERROR(__xludf.DUMMYFUNCTION("""COMPUTED_VALUE"""),2472)</f>
        <v>2472</v>
      </c>
      <c r="E61" s="6" t="b">
        <f ca="1">IFERROR(__xludf.DUMMYFUNCTION("""COMPUTED_VALUE"""),FALSE)</f>
        <v>0</v>
      </c>
      <c r="F61" s="6" t="str">
        <f ca="1">IFERROR(__xludf.DUMMYFUNCTION("""COMPUTED_VALUE"""),"Middle")</f>
        <v>Middle</v>
      </c>
      <c r="G61" s="6" t="b">
        <f ca="1">IFERROR(__xludf.DUMMYFUNCTION("""COMPUTED_VALUE"""),TRUE)</f>
        <v>1</v>
      </c>
      <c r="H61" s="6" t="b">
        <f ca="1">IFERROR(__xludf.DUMMYFUNCTION("""COMPUTED_VALUE"""),TRUE)</f>
        <v>1</v>
      </c>
      <c r="I61" s="6">
        <f ca="1">IFERROR(__xludf.DUMMYFUNCTION("""COMPUTED_VALUE"""),1)</f>
        <v>1</v>
      </c>
      <c r="J61" s="6">
        <f ca="1">IFERROR(__xludf.DUMMYFUNCTION("""COMPUTED_VALUE"""),0)</f>
        <v>0</v>
      </c>
      <c r="K61" s="6">
        <f ca="1">IFERROR(__xludf.DUMMYFUNCTION("""COMPUTED_VALUE"""),0)</f>
        <v>0</v>
      </c>
      <c r="L61" s="6">
        <f ca="1">IFERROR(__xludf.DUMMYFUNCTION("""COMPUTED_VALUE"""),1)</f>
        <v>1</v>
      </c>
      <c r="M61" s="6">
        <f ca="1">IFERROR(__xludf.DUMMYFUNCTION("""COMPUTED_VALUE"""),0)</f>
        <v>0</v>
      </c>
      <c r="N61" s="6">
        <f ca="1">IFERROR(__xludf.DUMMYFUNCTION("""COMPUTED_VALUE"""),0)</f>
        <v>0</v>
      </c>
      <c r="O61" s="6">
        <f ca="1">IFERROR(__xludf.DUMMYFUNCTION("""COMPUTED_VALUE"""),0)</f>
        <v>0</v>
      </c>
      <c r="P61" s="6">
        <f ca="1">IFERROR(__xludf.DUMMYFUNCTION("""COMPUTED_VALUE"""),0)</f>
        <v>0</v>
      </c>
      <c r="R61" s="6">
        <f ca="1">IFERROR(__xludf.DUMMYFUNCTION("""COMPUTED_VALUE"""),0)</f>
        <v>0</v>
      </c>
      <c r="S61" s="6">
        <f ca="1">IFERROR(__xludf.DUMMYFUNCTION("""COMPUTED_VALUE"""),0)</f>
        <v>0</v>
      </c>
      <c r="T61" s="6">
        <f ca="1">IFERROR(__xludf.DUMMYFUNCTION("""COMPUTED_VALUE"""),0)</f>
        <v>0</v>
      </c>
      <c r="U61" s="6">
        <f ca="1">IFERROR(__xludf.DUMMYFUNCTION("""COMPUTED_VALUE"""),0)</f>
        <v>0</v>
      </c>
      <c r="V61" s="6">
        <f ca="1">IFERROR(__xludf.DUMMYFUNCTION("""COMPUTED_VALUE"""),0)</f>
        <v>0</v>
      </c>
      <c r="W61" s="6">
        <f ca="1">IFERROR(__xludf.DUMMYFUNCTION("""COMPUTED_VALUE"""),2)</f>
        <v>2</v>
      </c>
      <c r="X61" s="6">
        <f ca="1">IFERROR(__xludf.DUMMYFUNCTION("""COMPUTED_VALUE"""),0)</f>
        <v>0</v>
      </c>
      <c r="Y61" s="6">
        <f ca="1">IFERROR(__xludf.DUMMYFUNCTION("""COMPUTED_VALUE"""),0)</f>
        <v>0</v>
      </c>
      <c r="Z61" s="6">
        <f ca="1">IFERROR(__xludf.DUMMYFUNCTION("""COMPUTED_VALUE"""),0)</f>
        <v>0</v>
      </c>
      <c r="AA61" s="6">
        <f ca="1">IFERROR(__xludf.DUMMYFUNCTION("""COMPUTED_VALUE"""),0)</f>
        <v>0</v>
      </c>
      <c r="AB61" s="6" t="b">
        <f ca="1">IFERROR(__xludf.DUMMYFUNCTION("""COMPUTED_VALUE"""),TRUE)</f>
        <v>1</v>
      </c>
      <c r="AD61" s="6" t="b">
        <f ca="1">IFERROR(__xludf.DUMMYFUNCTION("""COMPUTED_VALUE"""),FALSE)</f>
        <v>0</v>
      </c>
      <c r="AE61" s="6">
        <f ca="1">IFERROR(__xludf.DUMMYFUNCTION("""COMPUTED_VALUE"""),5)</f>
        <v>5</v>
      </c>
      <c r="AF61" s="6">
        <f ca="1">IFERROR(__xludf.DUMMYFUNCTION("""COMPUTED_VALUE"""),0)</f>
        <v>0</v>
      </c>
      <c r="AG61" s="6">
        <f ca="1">IFERROR(__xludf.DUMMYFUNCTION("""COMPUTED_VALUE"""),0)</f>
        <v>0</v>
      </c>
      <c r="AH61" s="6">
        <f ca="1">IFERROR(__xludf.DUMMYFUNCTION("""COMPUTED_VALUE"""),1)</f>
        <v>1</v>
      </c>
      <c r="AI61" s="6">
        <f ca="1">IFERROR(__xludf.DUMMYFUNCTION("""COMPUTED_VALUE"""),0)</f>
        <v>0</v>
      </c>
      <c r="AK61" s="6" t="str">
        <f ca="1">IFERROR(__xludf.DUMMYFUNCTION("""COMPUTED_VALUE"""),"P")</f>
        <v>P</v>
      </c>
      <c r="AL61" s="6">
        <f ca="1">IFERROR(__xludf.DUMMYFUNCTION("""COMPUTED_VALUE"""),0)</f>
        <v>0</v>
      </c>
      <c r="AM61" s="6" t="b">
        <f ca="1">IFERROR(__xludf.DUMMYFUNCTION("""COMPUTED_VALUE"""),FALSE)</f>
        <v>0</v>
      </c>
      <c r="AN61" s="6" t="str">
        <f ca="1">IFERROR(__xludf.DUMMYFUNCTION("""COMPUTED_VALUE"""),"P")</f>
        <v>P</v>
      </c>
      <c r="AO61" s="6"/>
      <c r="AP61" s="6" t="str">
        <f ca="1">IFERROR(__xludf.DUMMYFUNCTION("""COMPUTED_VALUE"""),"x")</f>
        <v>x</v>
      </c>
      <c r="AQ61" s="6" t="b">
        <f ca="1">IFERROR(__xludf.DUMMYFUNCTION("""COMPUTED_VALUE"""),FALSE)</f>
        <v>0</v>
      </c>
      <c r="AR61" s="6" t="b">
        <f ca="1">IFERROR(__xludf.DUMMYFUNCTION("""COMPUTED_VALUE"""),FALSE)</f>
        <v>0</v>
      </c>
      <c r="AS61" s="15"/>
      <c r="AT61" s="6" t="str">
        <f ca="1">IFERROR(__xludf.DUMMYFUNCTION("SWITCH(IF(A61=""Practice"",AN61,FILTER('Items by Team'!E$2:E3410,'Items by Team'!C$2:C3410=D61,B61='Items by Team'!B$2:B3410)),""None"",""No"",""Parked"",""P"",""ShallowCage"",""Sc"",""DeepCage"",""Dc"",""No"",""No"",""P"",""P"",""Sc"",""Sc"",""Dc"",""Dc"&amp;""")"),"P")</f>
        <v>P</v>
      </c>
      <c r="AU61" s="6" t="str">
        <f ca="1">IFERROR(__xludf.DUMMYFUNCTION("SWITCH(IF(A61 = ""Practice"", H61, FILTER('Items by Team'!D$2:D3410,'Items by Team'!C$2:C3410 = D61,'Items by Team'!B$2:B3410 = B61)), ""Yes"", ""TRUE"", ""No"", ""FALSE"",TRUE, ""TRUE"", FALSE, ""FALSE"")"),"TRUE")</f>
        <v>TRUE</v>
      </c>
      <c r="AV61" s="6" t="str">
        <f t="shared" ca="1" si="0"/>
        <v/>
      </c>
      <c r="AW61" s="6">
        <f t="shared" ca="1" si="1"/>
        <v>1</v>
      </c>
      <c r="AX61" s="6">
        <f t="shared" ca="1" si="2"/>
        <v>1</v>
      </c>
      <c r="AY61" s="6">
        <f t="shared" ca="1" si="3"/>
        <v>1</v>
      </c>
      <c r="AZ61" s="9">
        <f t="shared" ca="1" si="4"/>
        <v>1</v>
      </c>
      <c r="BA61" s="6">
        <f t="shared" ca="1" si="5"/>
        <v>0</v>
      </c>
      <c r="BB61" s="6">
        <f t="shared" ca="1" si="6"/>
        <v>0</v>
      </c>
      <c r="BC61" s="9" t="str">
        <f t="shared" ca="1" si="7"/>
        <v/>
      </c>
      <c r="BD61" s="6">
        <f t="shared" ca="1" si="8"/>
        <v>0</v>
      </c>
      <c r="BE61" s="6">
        <f t="shared" ca="1" si="9"/>
        <v>0</v>
      </c>
      <c r="BF61" s="9" t="str">
        <f t="shared" ca="1" si="10"/>
        <v/>
      </c>
      <c r="BG61" s="6">
        <f t="shared" ca="1" si="11"/>
        <v>6</v>
      </c>
      <c r="BH61" s="6">
        <f t="shared" ca="1" si="12"/>
        <v>6</v>
      </c>
      <c r="BI61" s="9">
        <f t="shared" ca="1" si="13"/>
        <v>1</v>
      </c>
      <c r="BJ61" s="6">
        <f t="shared" ca="1" si="14"/>
        <v>0</v>
      </c>
      <c r="BK61" s="6">
        <f t="shared" ca="1" si="15"/>
        <v>1</v>
      </c>
      <c r="BL61" s="6">
        <f t="shared" ca="1" si="16"/>
        <v>0</v>
      </c>
      <c r="BM61" s="6">
        <f t="shared" ca="1" si="17"/>
        <v>0</v>
      </c>
      <c r="BN61" s="6">
        <f t="shared" ca="1" si="18"/>
        <v>1</v>
      </c>
      <c r="BP61" s="6">
        <f t="shared" ca="1" si="19"/>
        <v>0</v>
      </c>
      <c r="BQ61" s="6" t="b">
        <f ca="1">IFERROR(__xludf.DUMMYFUNCTION("IF(AND(ISERROR(FILTER('Items by Team'!D$2:D3410,'Items by Team'!C$2:C3410 = D61,'Items by Team'!B$2:B3410 = B61)),NOT(A61=""Practice"")),TRUE,FALSE)"),FALSE)</f>
        <v>0</v>
      </c>
      <c r="BR61" s="6" t="e">
        <f t="shared" ca="1" si="20"/>
        <v>#VALUE!</v>
      </c>
    </row>
    <row r="62" spans="1:70">
      <c r="A62" s="6" t="str">
        <f ca="1">IFERROR(__xludf.DUMMYFUNCTION("""COMPUTED_VALUE"""),"Practice")</f>
        <v>Practice</v>
      </c>
      <c r="B62" s="6">
        <f ca="1">IFERROR(__xludf.DUMMYFUNCTION("""COMPUTED_VALUE"""),11)</f>
        <v>11</v>
      </c>
      <c r="C62" s="6" t="str">
        <f ca="1">IFERROR(__xludf.DUMMYFUNCTION("""COMPUTED_VALUE"""),"R2")</f>
        <v>R2</v>
      </c>
      <c r="D62" s="6">
        <f ca="1">IFERROR(__xludf.DUMMYFUNCTION("""COMPUTED_VALUE"""),3297)</f>
        <v>3297</v>
      </c>
      <c r="E62" s="6" t="b">
        <f ca="1">IFERROR(__xludf.DUMMYFUNCTION("""COMPUTED_VALUE"""),FALSE)</f>
        <v>0</v>
      </c>
      <c r="F62" s="6" t="str">
        <f ca="1">IFERROR(__xludf.DUMMYFUNCTION("""COMPUTED_VALUE"""),"Blue Barge")</f>
        <v>Blue Barge</v>
      </c>
      <c r="G62" s="6" t="b">
        <f ca="1">IFERROR(__xludf.DUMMYFUNCTION("""COMPUTED_VALUE"""),TRUE)</f>
        <v>1</v>
      </c>
      <c r="H62" s="6" t="b">
        <f ca="1">IFERROR(__xludf.DUMMYFUNCTION("""COMPUTED_VALUE"""),TRUE)</f>
        <v>1</v>
      </c>
      <c r="I62" s="6">
        <f ca="1">IFERROR(__xludf.DUMMYFUNCTION("""COMPUTED_VALUE"""),0)</f>
        <v>0</v>
      </c>
      <c r="J62" s="6">
        <f ca="1">IFERROR(__xludf.DUMMYFUNCTION("""COMPUTED_VALUE"""),0)</f>
        <v>0</v>
      </c>
      <c r="K62" s="6">
        <f ca="1">IFERROR(__xludf.DUMMYFUNCTION("""COMPUTED_VALUE"""),1)</f>
        <v>1</v>
      </c>
      <c r="L62" s="6">
        <f ca="1">IFERROR(__xludf.DUMMYFUNCTION("""COMPUTED_VALUE"""),1)</f>
        <v>1</v>
      </c>
      <c r="M62" s="6">
        <f ca="1">IFERROR(__xludf.DUMMYFUNCTION("""COMPUTED_VALUE"""),0)</f>
        <v>0</v>
      </c>
      <c r="N62" s="6">
        <f ca="1">IFERROR(__xludf.DUMMYFUNCTION("""COMPUTED_VALUE"""),0)</f>
        <v>0</v>
      </c>
      <c r="O62" s="6">
        <f ca="1">IFERROR(__xludf.DUMMYFUNCTION("""COMPUTED_VALUE"""),0)</f>
        <v>0</v>
      </c>
      <c r="P62" s="6">
        <f ca="1">IFERROR(__xludf.DUMMYFUNCTION("""COMPUTED_VALUE"""),0)</f>
        <v>0</v>
      </c>
      <c r="R62" s="6">
        <f ca="1">IFERROR(__xludf.DUMMYFUNCTION("""COMPUTED_VALUE"""),0)</f>
        <v>0</v>
      </c>
      <c r="S62" s="6">
        <f ca="1">IFERROR(__xludf.DUMMYFUNCTION("""COMPUTED_VALUE"""),0)</f>
        <v>0</v>
      </c>
      <c r="T62" s="6">
        <f ca="1">IFERROR(__xludf.DUMMYFUNCTION("""COMPUTED_VALUE"""),0)</f>
        <v>0</v>
      </c>
      <c r="U62" s="6">
        <f ca="1">IFERROR(__xludf.DUMMYFUNCTION("""COMPUTED_VALUE"""),0)</f>
        <v>0</v>
      </c>
      <c r="V62" s="6">
        <f ca="1">IFERROR(__xludf.DUMMYFUNCTION("""COMPUTED_VALUE"""),0)</f>
        <v>0</v>
      </c>
      <c r="W62" s="6">
        <f ca="1">IFERROR(__xludf.DUMMYFUNCTION("""COMPUTED_VALUE"""),1)</f>
        <v>1</v>
      </c>
      <c r="X62" s="6">
        <f ca="1">IFERROR(__xludf.DUMMYFUNCTION("""COMPUTED_VALUE"""),2)</f>
        <v>2</v>
      </c>
      <c r="Y62" s="6">
        <f ca="1">IFERROR(__xludf.DUMMYFUNCTION("""COMPUTED_VALUE"""),1)</f>
        <v>1</v>
      </c>
      <c r="Z62" s="6">
        <f ca="1">IFERROR(__xludf.DUMMYFUNCTION("""COMPUTED_VALUE"""),0)</f>
        <v>0</v>
      </c>
      <c r="AA62" s="6">
        <f ca="1">IFERROR(__xludf.DUMMYFUNCTION("""COMPUTED_VALUE"""),0)</f>
        <v>0</v>
      </c>
      <c r="AB62" s="6" t="b">
        <f ca="1">IFERROR(__xludf.DUMMYFUNCTION("""COMPUTED_VALUE"""),FALSE)</f>
        <v>0</v>
      </c>
      <c r="AD62" s="6" t="b">
        <f ca="1">IFERROR(__xludf.DUMMYFUNCTION("""COMPUTED_VALUE"""),TRUE)</f>
        <v>1</v>
      </c>
      <c r="AE62" s="6">
        <f ca="1">IFERROR(__xludf.DUMMYFUNCTION("""COMPUTED_VALUE"""),3)</f>
        <v>3</v>
      </c>
      <c r="AF62" s="6">
        <f ca="1">IFERROR(__xludf.DUMMYFUNCTION("""COMPUTED_VALUE"""),0)</f>
        <v>0</v>
      </c>
      <c r="AG62" s="6">
        <f ca="1">IFERROR(__xludf.DUMMYFUNCTION("""COMPUTED_VALUE"""),0)</f>
        <v>0</v>
      </c>
      <c r="AH62" s="6">
        <f ca="1">IFERROR(__xludf.DUMMYFUNCTION("""COMPUTED_VALUE"""),0)</f>
        <v>0</v>
      </c>
      <c r="AI62" s="6">
        <f ca="1">IFERROR(__xludf.DUMMYFUNCTION("""COMPUTED_VALUE"""),1)</f>
        <v>1</v>
      </c>
      <c r="AK62" s="6" t="str">
        <f ca="1">IFERROR(__xludf.DUMMYFUNCTION("""COMPUTED_VALUE"""),"Dc")</f>
        <v>Dc</v>
      </c>
      <c r="AL62" s="6">
        <f ca="1">IFERROR(__xludf.DUMMYFUNCTION("""COMPUTED_VALUE"""),0)</f>
        <v>0</v>
      </c>
      <c r="AM62" s="6" t="b">
        <f ca="1">IFERROR(__xludf.DUMMYFUNCTION("""COMPUTED_VALUE"""),TRUE)</f>
        <v>1</v>
      </c>
      <c r="AN62" s="6" t="str">
        <f ca="1">IFERROR(__xludf.DUMMYFUNCTION("""COMPUTED_VALUE"""),"Dc")</f>
        <v>Dc</v>
      </c>
      <c r="AO62" s="6" t="str">
        <f ca="1">IFERROR(__xludf.DUMMYFUNCTION("""COMPUTED_VALUE"""),"wow")</f>
        <v>wow</v>
      </c>
      <c r="AP62" s="6" t="str">
        <f ca="1">IFERROR(__xludf.DUMMYFUNCTION("""COMPUTED_VALUE"""),"x")</f>
        <v>x</v>
      </c>
      <c r="AQ62" s="6" t="b">
        <f ca="1">IFERROR(__xludf.DUMMYFUNCTION("""COMPUTED_VALUE"""),FALSE)</f>
        <v>0</v>
      </c>
      <c r="AR62" s="6" t="b">
        <f ca="1">IFERROR(__xludf.DUMMYFUNCTION("""COMPUTED_VALUE"""),FALSE)</f>
        <v>0</v>
      </c>
      <c r="AS62" s="15"/>
      <c r="AT62" s="6" t="str">
        <f ca="1">IFERROR(__xludf.DUMMYFUNCTION("SWITCH(IF(A62=""Practice"",AN62,FILTER('Items by Team'!E$2:E3410,'Items by Team'!C$2:C3410=D62,B62='Items by Team'!B$2:B3410)),""None"",""No"",""Parked"",""P"",""ShallowCage"",""Sc"",""DeepCage"",""Dc"",""No"",""No"",""P"",""P"",""Sc"",""Sc"",""Dc"",""Dc"&amp;""")"),"Dc")</f>
        <v>Dc</v>
      </c>
      <c r="AU62" s="6" t="str">
        <f ca="1">IFERROR(__xludf.DUMMYFUNCTION("SWITCH(IF(A62 = ""Practice"", H62, FILTER('Items by Team'!D$2:D3410,'Items by Team'!C$2:C3410 = D62,'Items by Team'!B$2:B3410 = B62)), ""Yes"", ""TRUE"", ""No"", ""FALSE"",TRUE, ""TRUE"", FALSE, ""FALSE"")"),"TRUE")</f>
        <v>TRUE</v>
      </c>
      <c r="AV62" s="6" t="str">
        <f t="shared" ca="1" si="0"/>
        <v/>
      </c>
      <c r="AW62" s="6">
        <f t="shared" ca="1" si="1"/>
        <v>1</v>
      </c>
      <c r="AX62" s="6">
        <f t="shared" ca="1" si="2"/>
        <v>1</v>
      </c>
      <c r="AY62" s="6">
        <f t="shared" ca="1" si="3"/>
        <v>1</v>
      </c>
      <c r="AZ62" s="9">
        <f t="shared" ca="1" si="4"/>
        <v>1</v>
      </c>
      <c r="BA62" s="6">
        <f t="shared" ca="1" si="5"/>
        <v>0</v>
      </c>
      <c r="BB62" s="6">
        <f t="shared" ca="1" si="6"/>
        <v>0</v>
      </c>
      <c r="BC62" s="9" t="str">
        <f t="shared" ca="1" si="7"/>
        <v/>
      </c>
      <c r="BD62" s="6">
        <f t="shared" ca="1" si="8"/>
        <v>2</v>
      </c>
      <c r="BE62" s="6">
        <f t="shared" ca="1" si="9"/>
        <v>3</v>
      </c>
      <c r="BF62" s="9">
        <f t="shared" ca="1" si="10"/>
        <v>0.66666666666666663</v>
      </c>
      <c r="BG62" s="6">
        <f t="shared" ca="1" si="11"/>
        <v>3</v>
      </c>
      <c r="BH62" s="6">
        <f t="shared" ca="1" si="12"/>
        <v>4</v>
      </c>
      <c r="BI62" s="9">
        <f t="shared" ca="1" si="13"/>
        <v>0.75</v>
      </c>
      <c r="BJ62" s="6">
        <f t="shared" ca="1" si="14"/>
        <v>0</v>
      </c>
      <c r="BK62" s="6">
        <f t="shared" ca="1" si="15"/>
        <v>0</v>
      </c>
      <c r="BL62" s="6">
        <f t="shared" ca="1" si="16"/>
        <v>0</v>
      </c>
      <c r="BM62" s="6">
        <f t="shared" ca="1" si="17"/>
        <v>1</v>
      </c>
      <c r="BN62" s="6">
        <f t="shared" ca="1" si="18"/>
        <v>0</v>
      </c>
      <c r="BP62" s="6">
        <f t="shared" ca="1" si="19"/>
        <v>1</v>
      </c>
      <c r="BQ62" s="6" t="b">
        <f ca="1">IFERROR(__xludf.DUMMYFUNCTION("IF(AND(ISERROR(FILTER('Items by Team'!D$2:D3410,'Items by Team'!C$2:C3410 = D62,'Items by Team'!B$2:B3410 = B62)),NOT(A62=""Practice"")),TRUE,FALSE)"),FALSE)</f>
        <v>0</v>
      </c>
      <c r="BR62" s="6" t="e">
        <f t="shared" ca="1" si="20"/>
        <v>#VALUE!</v>
      </c>
    </row>
    <row r="63" spans="1:70">
      <c r="A63" s="6" t="str">
        <f ca="1">IFERROR(__xludf.DUMMYFUNCTION("""COMPUTED_VALUE"""),"Practice")</f>
        <v>Practice</v>
      </c>
      <c r="B63" s="6">
        <f ca="1">IFERROR(__xludf.DUMMYFUNCTION("""COMPUTED_VALUE"""),11)</f>
        <v>11</v>
      </c>
      <c r="C63" s="6" t="str">
        <f ca="1">IFERROR(__xludf.DUMMYFUNCTION("""COMPUTED_VALUE"""),"R3")</f>
        <v>R3</v>
      </c>
      <c r="D63" s="6">
        <f ca="1">IFERROR(__xludf.DUMMYFUNCTION("""COMPUTED_VALUE"""),2502)</f>
        <v>2502</v>
      </c>
      <c r="E63" s="6" t="b">
        <f ca="1">IFERROR(__xludf.DUMMYFUNCTION("""COMPUTED_VALUE"""),FALSE)</f>
        <v>0</v>
      </c>
      <c r="F63" s="6" t="str">
        <f ca="1">IFERROR(__xludf.DUMMYFUNCTION("""COMPUTED_VALUE"""),"Middle")</f>
        <v>Middle</v>
      </c>
      <c r="G63" s="6" t="b">
        <f ca="1">IFERROR(__xludf.DUMMYFUNCTION("""COMPUTED_VALUE"""),TRUE)</f>
        <v>1</v>
      </c>
      <c r="H63" s="6" t="b">
        <f ca="1">IFERROR(__xludf.DUMMYFUNCTION("""COMPUTED_VALUE"""),TRUE)</f>
        <v>1</v>
      </c>
      <c r="I63" s="6">
        <f ca="1">IFERROR(__xludf.DUMMYFUNCTION("""COMPUTED_VALUE"""),0)</f>
        <v>0</v>
      </c>
      <c r="J63" s="6">
        <f ca="1">IFERROR(__xludf.DUMMYFUNCTION("""COMPUTED_VALUE"""),0)</f>
        <v>0</v>
      </c>
      <c r="K63" s="6">
        <f ca="1">IFERROR(__xludf.DUMMYFUNCTION("""COMPUTED_VALUE"""),0)</f>
        <v>0</v>
      </c>
      <c r="L63" s="6">
        <f ca="1">IFERROR(__xludf.DUMMYFUNCTION("""COMPUTED_VALUE"""),0)</f>
        <v>0</v>
      </c>
      <c r="M63" s="6">
        <f ca="1">IFERROR(__xludf.DUMMYFUNCTION("""COMPUTED_VALUE"""),0)</f>
        <v>0</v>
      </c>
      <c r="N63" s="6">
        <f ca="1">IFERROR(__xludf.DUMMYFUNCTION("""COMPUTED_VALUE"""),0)</f>
        <v>0</v>
      </c>
      <c r="O63" s="6">
        <f ca="1">IFERROR(__xludf.DUMMYFUNCTION("""COMPUTED_VALUE"""),0)</f>
        <v>0</v>
      </c>
      <c r="P63" s="6">
        <f ca="1">IFERROR(__xludf.DUMMYFUNCTION("""COMPUTED_VALUE"""),0)</f>
        <v>0</v>
      </c>
      <c r="R63" s="6">
        <f ca="1">IFERROR(__xludf.DUMMYFUNCTION("""COMPUTED_VALUE"""),0)</f>
        <v>0</v>
      </c>
      <c r="S63" s="6">
        <f ca="1">IFERROR(__xludf.DUMMYFUNCTION("""COMPUTED_VALUE"""),0)</f>
        <v>0</v>
      </c>
      <c r="T63" s="6">
        <f ca="1">IFERROR(__xludf.DUMMYFUNCTION("""COMPUTED_VALUE"""),0)</f>
        <v>0</v>
      </c>
      <c r="U63" s="6">
        <f ca="1">IFERROR(__xludf.DUMMYFUNCTION("""COMPUTED_VALUE"""),0)</f>
        <v>0</v>
      </c>
      <c r="V63" s="6">
        <f ca="1">IFERROR(__xludf.DUMMYFUNCTION("""COMPUTED_VALUE"""),0)</f>
        <v>0</v>
      </c>
      <c r="W63" s="6">
        <f ca="1">IFERROR(__xludf.DUMMYFUNCTION("""COMPUTED_VALUE"""),0)</f>
        <v>0</v>
      </c>
      <c r="X63" s="6">
        <f ca="1">IFERROR(__xludf.DUMMYFUNCTION("""COMPUTED_VALUE"""),0)</f>
        <v>0</v>
      </c>
      <c r="Y63" s="6">
        <f ca="1">IFERROR(__xludf.DUMMYFUNCTION("""COMPUTED_VALUE"""),0)</f>
        <v>0</v>
      </c>
      <c r="Z63" s="6">
        <f ca="1">IFERROR(__xludf.DUMMYFUNCTION("""COMPUTED_VALUE"""),0)</f>
        <v>0</v>
      </c>
      <c r="AA63" s="6">
        <f ca="1">IFERROR(__xludf.DUMMYFUNCTION("""COMPUTED_VALUE"""),1)</f>
        <v>1</v>
      </c>
      <c r="AB63" s="6" t="b">
        <f ca="1">IFERROR(__xludf.DUMMYFUNCTION("""COMPUTED_VALUE"""),TRUE)</f>
        <v>1</v>
      </c>
      <c r="AD63" s="6" t="b">
        <f ca="1">IFERROR(__xludf.DUMMYFUNCTION("""COMPUTED_VALUE"""),FALSE)</f>
        <v>0</v>
      </c>
      <c r="AE63" s="6">
        <f ca="1">IFERROR(__xludf.DUMMYFUNCTION("""COMPUTED_VALUE"""),3)</f>
        <v>3</v>
      </c>
      <c r="AF63" s="6">
        <f ca="1">IFERROR(__xludf.DUMMYFUNCTION("""COMPUTED_VALUE"""),1)</f>
        <v>1</v>
      </c>
      <c r="AG63" s="6">
        <f ca="1">IFERROR(__xludf.DUMMYFUNCTION("""COMPUTED_VALUE"""),0)</f>
        <v>0</v>
      </c>
      <c r="AH63" s="6">
        <f ca="1">IFERROR(__xludf.DUMMYFUNCTION("""COMPUTED_VALUE"""),1)</f>
        <v>1</v>
      </c>
      <c r="AI63" s="6">
        <f ca="1">IFERROR(__xludf.DUMMYFUNCTION("""COMPUTED_VALUE"""),6)</f>
        <v>6</v>
      </c>
      <c r="AK63" s="6" t="str">
        <f ca="1">IFERROR(__xludf.DUMMYFUNCTION("""COMPUTED_VALUE"""),"Dc")</f>
        <v>Dc</v>
      </c>
      <c r="AL63" s="6">
        <f ca="1">IFERROR(__xludf.DUMMYFUNCTION("""COMPUTED_VALUE"""),11.88)</f>
        <v>11.88</v>
      </c>
      <c r="AM63" s="6" t="b">
        <f ca="1">IFERROR(__xludf.DUMMYFUNCTION("""COMPUTED_VALUE"""),FALSE)</f>
        <v>0</v>
      </c>
      <c r="AN63" s="6" t="str">
        <f ca="1">IFERROR(__xludf.DUMMYFUNCTION("""COMPUTED_VALUE"""),"Dc")</f>
        <v>Dc</v>
      </c>
      <c r="AO63" s="6"/>
      <c r="AP63" s="6" t="str">
        <f ca="1">IFERROR(__xludf.DUMMYFUNCTION("""COMPUTED_VALUE"""),"x")</f>
        <v>x</v>
      </c>
      <c r="AQ63" s="6" t="b">
        <f ca="1">IFERROR(__xludf.DUMMYFUNCTION("""COMPUTED_VALUE"""),FALSE)</f>
        <v>0</v>
      </c>
      <c r="AR63" s="6" t="b">
        <f ca="1">IFERROR(__xludf.DUMMYFUNCTION("""COMPUTED_VALUE"""),FALSE)</f>
        <v>0</v>
      </c>
      <c r="AS63" s="15"/>
      <c r="AT63" s="6" t="str">
        <f ca="1">IFERROR(__xludf.DUMMYFUNCTION("SWITCH(IF(A63=""Practice"",AN63,FILTER('Items by Team'!E$2:E3410,'Items by Team'!C$2:C3410=D63,B63='Items by Team'!B$2:B3410)),""None"",""No"",""Parked"",""P"",""ShallowCage"",""Sc"",""DeepCage"",""Dc"",""No"",""No"",""P"",""P"",""Sc"",""Sc"",""Dc"",""Dc"&amp;""")"),"Dc")</f>
        <v>Dc</v>
      </c>
      <c r="AU63" s="6" t="str">
        <f ca="1">IFERROR(__xludf.DUMMYFUNCTION("SWITCH(IF(A63 = ""Practice"", H63, FILTER('Items by Team'!D$2:D3410,'Items by Team'!C$2:C3410 = D63,'Items by Team'!B$2:B3410 = B63)), ""Yes"", ""TRUE"", ""No"", ""FALSE"",TRUE, ""TRUE"", FALSE, ""FALSE"")"),"TRUE")</f>
        <v>TRUE</v>
      </c>
      <c r="AV63" s="6" t="str">
        <f t="shared" ca="1" si="0"/>
        <v/>
      </c>
      <c r="AW63" s="6">
        <f t="shared" ca="1" si="1"/>
        <v>1</v>
      </c>
      <c r="AX63" s="6">
        <f t="shared" ca="1" si="2"/>
        <v>0</v>
      </c>
      <c r="AY63" s="6">
        <f t="shared" ca="1" si="3"/>
        <v>0</v>
      </c>
      <c r="AZ63" s="9" t="str">
        <f t="shared" ca="1" si="4"/>
        <v/>
      </c>
      <c r="BA63" s="6">
        <f t="shared" ca="1" si="5"/>
        <v>0</v>
      </c>
      <c r="BB63" s="6">
        <f t="shared" ca="1" si="6"/>
        <v>0</v>
      </c>
      <c r="BC63" s="9" t="str">
        <f t="shared" ca="1" si="7"/>
        <v/>
      </c>
      <c r="BD63" s="6">
        <f t="shared" ca="1" si="8"/>
        <v>0</v>
      </c>
      <c r="BE63" s="6">
        <f t="shared" ca="1" si="9"/>
        <v>0</v>
      </c>
      <c r="BF63" s="9" t="str">
        <f t="shared" ca="1" si="10"/>
        <v/>
      </c>
      <c r="BG63" s="6">
        <f t="shared" ca="1" si="11"/>
        <v>5</v>
      </c>
      <c r="BH63" s="6">
        <f t="shared" ca="1" si="12"/>
        <v>11</v>
      </c>
      <c r="BI63" s="9">
        <f t="shared" ca="1" si="13"/>
        <v>0.45454545454545453</v>
      </c>
      <c r="BJ63" s="6">
        <f t="shared" ca="1" si="14"/>
        <v>0</v>
      </c>
      <c r="BK63" s="6">
        <f t="shared" ca="1" si="15"/>
        <v>0</v>
      </c>
      <c r="BL63" s="6">
        <f t="shared" ca="1" si="16"/>
        <v>0</v>
      </c>
      <c r="BM63" s="6">
        <f t="shared" ca="1" si="17"/>
        <v>0</v>
      </c>
      <c r="BN63" s="6">
        <f t="shared" ca="1" si="18"/>
        <v>1</v>
      </c>
      <c r="BP63" s="6">
        <f t="shared" ca="1" si="19"/>
        <v>0</v>
      </c>
      <c r="BQ63" s="6" t="b">
        <f ca="1">IFERROR(__xludf.DUMMYFUNCTION("IF(AND(ISERROR(FILTER('Items by Team'!D$2:D3410,'Items by Team'!C$2:C3410 = D63,'Items by Team'!B$2:B3410 = B63)),NOT(A63=""Practice"")),TRUE,FALSE)"),FALSE)</f>
        <v>0</v>
      </c>
      <c r="BR63" s="6" t="e">
        <f t="shared" ca="1" si="20"/>
        <v>#VALUE!</v>
      </c>
    </row>
    <row r="64" spans="1:70">
      <c r="A64" s="6" t="str">
        <f ca="1">IFERROR(__xludf.DUMMYFUNCTION("""COMPUTED_VALUE"""),"Practice")</f>
        <v>Practice</v>
      </c>
      <c r="B64" s="6">
        <f ca="1">IFERROR(__xludf.DUMMYFUNCTION("""COMPUTED_VALUE"""),12)</f>
        <v>12</v>
      </c>
      <c r="C64" s="6" t="str">
        <f ca="1">IFERROR(__xludf.DUMMYFUNCTION("""COMPUTED_VALUE"""),"B1")</f>
        <v>B1</v>
      </c>
      <c r="D64" s="6">
        <f ca="1">IFERROR(__xludf.DUMMYFUNCTION("""COMPUTED_VALUE"""),2498)</f>
        <v>2498</v>
      </c>
      <c r="E64" s="6" t="b">
        <f ca="1">IFERROR(__xludf.DUMMYFUNCTION("""COMPUTED_VALUE"""),TRUE)</f>
        <v>1</v>
      </c>
      <c r="F64" s="6"/>
      <c r="G64" s="6" t="b">
        <f ca="1">IFERROR(__xludf.DUMMYFUNCTION("""COMPUTED_VALUE"""),TRUE)</f>
        <v>1</v>
      </c>
      <c r="H64" s="6" t="b">
        <f ca="1">IFERROR(__xludf.DUMMYFUNCTION("""COMPUTED_VALUE"""),FALSE)</f>
        <v>0</v>
      </c>
      <c r="I64" s="6">
        <f ca="1">IFERROR(__xludf.DUMMYFUNCTION("""COMPUTED_VALUE"""),0)</f>
        <v>0</v>
      </c>
      <c r="J64" s="6">
        <f ca="1">IFERROR(__xludf.DUMMYFUNCTION("""COMPUTED_VALUE"""),0)</f>
        <v>0</v>
      </c>
      <c r="K64" s="6">
        <f ca="1">IFERROR(__xludf.DUMMYFUNCTION("""COMPUTED_VALUE"""),0)</f>
        <v>0</v>
      </c>
      <c r="L64" s="6">
        <f ca="1">IFERROR(__xludf.DUMMYFUNCTION("""COMPUTED_VALUE"""),0)</f>
        <v>0</v>
      </c>
      <c r="M64" s="6">
        <f ca="1">IFERROR(__xludf.DUMMYFUNCTION("""COMPUTED_VALUE"""),0)</f>
        <v>0</v>
      </c>
      <c r="N64" s="6">
        <f ca="1">IFERROR(__xludf.DUMMYFUNCTION("""COMPUTED_VALUE"""),0)</f>
        <v>0</v>
      </c>
      <c r="O64" s="6">
        <f ca="1">IFERROR(__xludf.DUMMYFUNCTION("""COMPUTED_VALUE"""),0)</f>
        <v>0</v>
      </c>
      <c r="P64" s="6">
        <f ca="1">IFERROR(__xludf.DUMMYFUNCTION("""COMPUTED_VALUE"""),0)</f>
        <v>0</v>
      </c>
      <c r="R64" s="6">
        <f ca="1">IFERROR(__xludf.DUMMYFUNCTION("""COMPUTED_VALUE"""),0)</f>
        <v>0</v>
      </c>
      <c r="S64" s="6">
        <f ca="1">IFERROR(__xludf.DUMMYFUNCTION("""COMPUTED_VALUE"""),0)</f>
        <v>0</v>
      </c>
      <c r="T64" s="6">
        <f ca="1">IFERROR(__xludf.DUMMYFUNCTION("""COMPUTED_VALUE"""),0)</f>
        <v>0</v>
      </c>
      <c r="U64" s="6">
        <f ca="1">IFERROR(__xludf.DUMMYFUNCTION("""COMPUTED_VALUE"""),0)</f>
        <v>0</v>
      </c>
      <c r="V64" s="6">
        <f ca="1">IFERROR(__xludf.DUMMYFUNCTION("""COMPUTED_VALUE"""),0)</f>
        <v>0</v>
      </c>
      <c r="W64" s="6">
        <f ca="1">IFERROR(__xludf.DUMMYFUNCTION("""COMPUTED_VALUE"""),0)</f>
        <v>0</v>
      </c>
      <c r="X64" s="6">
        <f ca="1">IFERROR(__xludf.DUMMYFUNCTION("""COMPUTED_VALUE"""),0)</f>
        <v>0</v>
      </c>
      <c r="Y64" s="6">
        <f ca="1">IFERROR(__xludf.DUMMYFUNCTION("""COMPUTED_VALUE"""),0)</f>
        <v>0</v>
      </c>
      <c r="Z64" s="6">
        <f ca="1">IFERROR(__xludf.DUMMYFUNCTION("""COMPUTED_VALUE"""),0)</f>
        <v>0</v>
      </c>
      <c r="AA64" s="6">
        <f ca="1">IFERROR(__xludf.DUMMYFUNCTION("""COMPUTED_VALUE"""),0)</f>
        <v>0</v>
      </c>
      <c r="AB64" s="6" t="b">
        <f ca="1">IFERROR(__xludf.DUMMYFUNCTION("""COMPUTED_VALUE"""),FALSE)</f>
        <v>0</v>
      </c>
      <c r="AD64" s="6" t="b">
        <f ca="1">IFERROR(__xludf.DUMMYFUNCTION("""COMPUTED_VALUE"""),FALSE)</f>
        <v>0</v>
      </c>
      <c r="AE64" s="6">
        <f ca="1">IFERROR(__xludf.DUMMYFUNCTION("""COMPUTED_VALUE"""),0)</f>
        <v>0</v>
      </c>
      <c r="AF64" s="6">
        <f ca="1">IFERROR(__xludf.DUMMYFUNCTION("""COMPUTED_VALUE"""),0)</f>
        <v>0</v>
      </c>
      <c r="AG64" s="6">
        <f ca="1">IFERROR(__xludf.DUMMYFUNCTION("""COMPUTED_VALUE"""),0)</f>
        <v>0</v>
      </c>
      <c r="AH64" s="6">
        <f ca="1">IFERROR(__xludf.DUMMYFUNCTION("""COMPUTED_VALUE"""),0)</f>
        <v>0</v>
      </c>
      <c r="AI64" s="6">
        <f ca="1">IFERROR(__xludf.DUMMYFUNCTION("""COMPUTED_VALUE"""),0)</f>
        <v>0</v>
      </c>
      <c r="AK64" s="6" t="str">
        <f ca="1">IFERROR(__xludf.DUMMYFUNCTION("""COMPUTED_VALUE"""),"No")</f>
        <v>No</v>
      </c>
      <c r="AL64" s="6">
        <f ca="1">IFERROR(__xludf.DUMMYFUNCTION("""COMPUTED_VALUE"""),0)</f>
        <v>0</v>
      </c>
      <c r="AM64" s="6" t="b">
        <f ca="1">IFERROR(__xludf.DUMMYFUNCTION("""COMPUTED_VALUE"""),FALSE)</f>
        <v>0</v>
      </c>
      <c r="AN64" s="6" t="str">
        <f ca="1">IFERROR(__xludf.DUMMYFUNCTION("""COMPUTED_VALUE"""),"No")</f>
        <v>No</v>
      </c>
      <c r="AO64" s="6" t="str">
        <f ca="1">IFERROR(__xludf.DUMMYFUNCTION("""COMPUTED_VALUE"""),"Practice")</f>
        <v>Practice</v>
      </c>
      <c r="AP64" s="6" t="str">
        <f ca="1">IFERROR(__xludf.DUMMYFUNCTION("""COMPUTED_VALUE"""),"x")</f>
        <v>x</v>
      </c>
      <c r="AQ64" s="6" t="b">
        <f ca="1">IFERROR(__xludf.DUMMYFUNCTION("""COMPUTED_VALUE"""),FALSE)</f>
        <v>0</v>
      </c>
      <c r="AR64" s="6" t="b">
        <f ca="1">IFERROR(__xludf.DUMMYFUNCTION("""COMPUTED_VALUE"""),FALSE)</f>
        <v>0</v>
      </c>
      <c r="AS64" s="15"/>
      <c r="AT64" s="6" t="str">
        <f ca="1">IFERROR(__xludf.DUMMYFUNCTION("SWITCH(IF(A64=""Practice"",AN64,FILTER('Items by Team'!E$2:E3410,'Items by Team'!C$2:C3410=D64,B64='Items by Team'!B$2:B3410)),""None"",""No"",""Parked"",""P"",""ShallowCage"",""Sc"",""DeepCage"",""Dc"",""No"",""No"",""P"",""P"",""Sc"",""Sc"",""Dc"",""Dc"&amp;""")"),"No")</f>
        <v>No</v>
      </c>
      <c r="AU64" s="6" t="str">
        <f ca="1">IFERROR(__xludf.DUMMYFUNCTION("SWITCH(IF(A64 = ""Practice"", H64, FILTER('Items by Team'!D$2:D3410,'Items by Team'!C$2:C3410 = D64,'Items by Team'!B$2:B3410 = B64)), ""Yes"", ""TRUE"", ""No"", ""FALSE"",TRUE, ""TRUE"", FALSE, ""FALSE"")"),"FALSE")</f>
        <v>FALSE</v>
      </c>
      <c r="AV64" s="6" t="str">
        <f t="shared" ca="1" si="0"/>
        <v/>
      </c>
      <c r="AW64" s="6">
        <f t="shared" ca="1" si="1"/>
        <v>0</v>
      </c>
      <c r="AX64" s="6">
        <f t="shared" ca="1" si="2"/>
        <v>0</v>
      </c>
      <c r="AY64" s="6">
        <f t="shared" ca="1" si="3"/>
        <v>0</v>
      </c>
      <c r="AZ64" s="9" t="str">
        <f t="shared" ca="1" si="4"/>
        <v/>
      </c>
      <c r="BA64" s="6">
        <f t="shared" ca="1" si="5"/>
        <v>0</v>
      </c>
      <c r="BB64" s="6">
        <f t="shared" ca="1" si="6"/>
        <v>0</v>
      </c>
      <c r="BC64" s="9" t="str">
        <f t="shared" ca="1" si="7"/>
        <v/>
      </c>
      <c r="BD64" s="6">
        <f t="shared" ca="1" si="8"/>
        <v>0</v>
      </c>
      <c r="BE64" s="6">
        <f t="shared" ca="1" si="9"/>
        <v>0</v>
      </c>
      <c r="BF64" s="9" t="str">
        <f t="shared" ca="1" si="10"/>
        <v/>
      </c>
      <c r="BG64" s="6">
        <f t="shared" ca="1" si="11"/>
        <v>0</v>
      </c>
      <c r="BH64" s="6">
        <f t="shared" ca="1" si="12"/>
        <v>0</v>
      </c>
      <c r="BI64" s="9" t="str">
        <f t="shared" ca="1" si="13"/>
        <v/>
      </c>
      <c r="BJ64" s="6">
        <f t="shared" ca="1" si="14"/>
        <v>0</v>
      </c>
      <c r="BK64" s="6">
        <f t="shared" ca="1" si="15"/>
        <v>0</v>
      </c>
      <c r="BL64" s="6">
        <f t="shared" ca="1" si="16"/>
        <v>0</v>
      </c>
      <c r="BM64" s="6">
        <f t="shared" ca="1" si="17"/>
        <v>0</v>
      </c>
      <c r="BN64" s="6">
        <f t="shared" ca="1" si="18"/>
        <v>0</v>
      </c>
      <c r="BP64" s="6">
        <f t="shared" ca="1" si="19"/>
        <v>0</v>
      </c>
      <c r="BQ64" s="6" t="b">
        <f ca="1">IFERROR(__xludf.DUMMYFUNCTION("IF(AND(ISERROR(FILTER('Items by Team'!D$2:D3410,'Items by Team'!C$2:C3410 = D64,'Items by Team'!B$2:B3410 = B64)),NOT(A64=""Practice"")),TRUE,FALSE)"),FALSE)</f>
        <v>0</v>
      </c>
      <c r="BR64" s="6" t="e">
        <f t="shared" ca="1" si="20"/>
        <v>#VALUE!</v>
      </c>
    </row>
    <row r="65" spans="1:70">
      <c r="A65" s="6" t="str">
        <f ca="1">IFERROR(__xludf.DUMMYFUNCTION("""COMPUTED_VALUE"""),"Practice")</f>
        <v>Practice</v>
      </c>
      <c r="B65" s="6">
        <f ca="1">IFERROR(__xludf.DUMMYFUNCTION("""COMPUTED_VALUE"""),12)</f>
        <v>12</v>
      </c>
      <c r="C65" s="6" t="str">
        <f ca="1">IFERROR(__xludf.DUMMYFUNCTION("""COMPUTED_VALUE"""),"B3")</f>
        <v>B3</v>
      </c>
      <c r="D65" s="6">
        <f ca="1">IFERROR(__xludf.DUMMYFUNCTION("""COMPUTED_VALUE"""),6909)</f>
        <v>6909</v>
      </c>
      <c r="E65" s="6" t="b">
        <f ca="1">IFERROR(__xludf.DUMMYFUNCTION("""COMPUTED_VALUE"""),FALSE)</f>
        <v>0</v>
      </c>
      <c r="F65" s="6" t="str">
        <f ca="1">IFERROR(__xludf.DUMMYFUNCTION("""COMPUTED_VALUE"""),"Red Barge")</f>
        <v>Red Barge</v>
      </c>
      <c r="G65" s="6" t="b">
        <f ca="1">IFERROR(__xludf.DUMMYFUNCTION("""COMPUTED_VALUE"""),TRUE)</f>
        <v>1</v>
      </c>
      <c r="H65" s="6" t="b">
        <f ca="1">IFERROR(__xludf.DUMMYFUNCTION("""COMPUTED_VALUE"""),TRUE)</f>
        <v>1</v>
      </c>
      <c r="I65" s="6">
        <f ca="1">IFERROR(__xludf.DUMMYFUNCTION("""COMPUTED_VALUE"""),1)</f>
        <v>1</v>
      </c>
      <c r="J65" s="6">
        <f ca="1">IFERROR(__xludf.DUMMYFUNCTION("""COMPUTED_VALUE"""),0)</f>
        <v>0</v>
      </c>
      <c r="K65" s="6">
        <f ca="1">IFERROR(__xludf.DUMMYFUNCTION("""COMPUTED_VALUE"""),0)</f>
        <v>0</v>
      </c>
      <c r="L65" s="6">
        <f ca="1">IFERROR(__xludf.DUMMYFUNCTION("""COMPUTED_VALUE"""),1)</f>
        <v>1</v>
      </c>
      <c r="M65" s="6">
        <f ca="1">IFERROR(__xludf.DUMMYFUNCTION("""COMPUTED_VALUE"""),0)</f>
        <v>0</v>
      </c>
      <c r="N65" s="6">
        <f ca="1">IFERROR(__xludf.DUMMYFUNCTION("""COMPUTED_VALUE"""),0)</f>
        <v>0</v>
      </c>
      <c r="O65" s="6">
        <f ca="1">IFERROR(__xludf.DUMMYFUNCTION("""COMPUTED_VALUE"""),0)</f>
        <v>0</v>
      </c>
      <c r="P65" s="6">
        <f ca="1">IFERROR(__xludf.DUMMYFUNCTION("""COMPUTED_VALUE"""),0)</f>
        <v>0</v>
      </c>
      <c r="R65" s="6">
        <f ca="1">IFERROR(__xludf.DUMMYFUNCTION("""COMPUTED_VALUE"""),0)</f>
        <v>0</v>
      </c>
      <c r="S65" s="6">
        <f ca="1">IFERROR(__xludf.DUMMYFUNCTION("""COMPUTED_VALUE"""),0)</f>
        <v>0</v>
      </c>
      <c r="T65" s="6">
        <f ca="1">IFERROR(__xludf.DUMMYFUNCTION("""COMPUTED_VALUE"""),0)</f>
        <v>0</v>
      </c>
      <c r="U65" s="6">
        <f ca="1">IFERROR(__xludf.DUMMYFUNCTION("""COMPUTED_VALUE"""),0)</f>
        <v>0</v>
      </c>
      <c r="V65" s="6">
        <f ca="1">IFERROR(__xludf.DUMMYFUNCTION("""COMPUTED_VALUE"""),0)</f>
        <v>0</v>
      </c>
      <c r="W65" s="6">
        <f ca="1">IFERROR(__xludf.DUMMYFUNCTION("""COMPUTED_VALUE"""),0)</f>
        <v>0</v>
      </c>
      <c r="X65" s="6">
        <f ca="1">IFERROR(__xludf.DUMMYFUNCTION("""COMPUTED_VALUE"""),0)</f>
        <v>0</v>
      </c>
      <c r="Y65" s="6">
        <f ca="1">IFERROR(__xludf.DUMMYFUNCTION("""COMPUTED_VALUE"""),0)</f>
        <v>0</v>
      </c>
      <c r="Z65" s="6">
        <f ca="1">IFERROR(__xludf.DUMMYFUNCTION("""COMPUTED_VALUE"""),0)</f>
        <v>0</v>
      </c>
      <c r="AA65" s="6">
        <f ca="1">IFERROR(__xludf.DUMMYFUNCTION("""COMPUTED_VALUE"""),0)</f>
        <v>0</v>
      </c>
      <c r="AB65" s="6" t="b">
        <f ca="1">IFERROR(__xludf.DUMMYFUNCTION("""COMPUTED_VALUE"""),TRUE)</f>
        <v>1</v>
      </c>
      <c r="AD65" s="6" t="b">
        <f ca="1">IFERROR(__xludf.DUMMYFUNCTION("""COMPUTED_VALUE"""),FALSE)</f>
        <v>0</v>
      </c>
      <c r="AE65" s="6">
        <f ca="1">IFERROR(__xludf.DUMMYFUNCTION("""COMPUTED_VALUE"""),3)</f>
        <v>3</v>
      </c>
      <c r="AF65" s="6">
        <f ca="1">IFERROR(__xludf.DUMMYFUNCTION("""COMPUTED_VALUE"""),2)</f>
        <v>2</v>
      </c>
      <c r="AG65" s="6">
        <f ca="1">IFERROR(__xludf.DUMMYFUNCTION("""COMPUTED_VALUE"""),0)</f>
        <v>0</v>
      </c>
      <c r="AH65" s="6">
        <f ca="1">IFERROR(__xludf.DUMMYFUNCTION("""COMPUTED_VALUE"""),0)</f>
        <v>0</v>
      </c>
      <c r="AI65" s="6">
        <f ca="1">IFERROR(__xludf.DUMMYFUNCTION("""COMPUTED_VALUE"""),0)</f>
        <v>0</v>
      </c>
      <c r="AK65" s="6" t="str">
        <f ca="1">IFERROR(__xludf.DUMMYFUNCTION("""COMPUTED_VALUE"""),"Dc")</f>
        <v>Dc</v>
      </c>
      <c r="AL65" s="6">
        <f ca="1">IFERROR(__xludf.DUMMYFUNCTION("""COMPUTED_VALUE"""),0)</f>
        <v>0</v>
      </c>
      <c r="AM65" s="6" t="b">
        <f ca="1">IFERROR(__xludf.DUMMYFUNCTION("""COMPUTED_VALUE"""),FALSE)</f>
        <v>0</v>
      </c>
      <c r="AN65" s="6" t="str">
        <f ca="1">IFERROR(__xludf.DUMMYFUNCTION("""COMPUTED_VALUE"""),"Dc")</f>
        <v>Dc</v>
      </c>
      <c r="AO65" s="6"/>
      <c r="AP65" s="6" t="str">
        <f ca="1">IFERROR(__xludf.DUMMYFUNCTION("""COMPUTED_VALUE"""),"x")</f>
        <v>x</v>
      </c>
      <c r="AQ65" s="6" t="b">
        <f ca="1">IFERROR(__xludf.DUMMYFUNCTION("""COMPUTED_VALUE"""),FALSE)</f>
        <v>0</v>
      </c>
      <c r="AR65" s="6" t="b">
        <f ca="1">IFERROR(__xludf.DUMMYFUNCTION("""COMPUTED_VALUE"""),FALSE)</f>
        <v>0</v>
      </c>
      <c r="AS65" s="15"/>
      <c r="AT65" s="6" t="str">
        <f ca="1">IFERROR(__xludf.DUMMYFUNCTION("SWITCH(IF(A65=""Practice"",AN65,FILTER('Items by Team'!E$2:E3410,'Items by Team'!C$2:C3410=D65,B65='Items by Team'!B$2:B3410)),""None"",""No"",""Parked"",""P"",""ShallowCage"",""Sc"",""DeepCage"",""Dc"",""No"",""No"",""P"",""P"",""Sc"",""Sc"",""Dc"",""Dc"&amp;""")"),"Dc")</f>
        <v>Dc</v>
      </c>
      <c r="AU65" s="6" t="str">
        <f ca="1">IFERROR(__xludf.DUMMYFUNCTION("SWITCH(IF(A65 = ""Practice"", H65, FILTER('Items by Team'!D$2:D3410,'Items by Team'!C$2:C3410 = D65,'Items by Team'!B$2:B3410 = B65)), ""Yes"", ""TRUE"", ""No"", ""FALSE"",TRUE, ""TRUE"", FALSE, ""FALSE"")"),"TRUE")</f>
        <v>TRUE</v>
      </c>
      <c r="AV65" s="6" t="str">
        <f t="shared" ca="1" si="0"/>
        <v/>
      </c>
      <c r="AW65" s="6">
        <f t="shared" ca="1" si="1"/>
        <v>1</v>
      </c>
      <c r="AX65" s="6">
        <f t="shared" ca="1" si="2"/>
        <v>1</v>
      </c>
      <c r="AY65" s="6">
        <f t="shared" ca="1" si="3"/>
        <v>1</v>
      </c>
      <c r="AZ65" s="9">
        <f t="shared" ca="1" si="4"/>
        <v>1</v>
      </c>
      <c r="BA65" s="6">
        <f t="shared" ca="1" si="5"/>
        <v>0</v>
      </c>
      <c r="BB65" s="6">
        <f t="shared" ca="1" si="6"/>
        <v>0</v>
      </c>
      <c r="BC65" s="9" t="str">
        <f t="shared" ca="1" si="7"/>
        <v/>
      </c>
      <c r="BD65" s="6">
        <f t="shared" ca="1" si="8"/>
        <v>0</v>
      </c>
      <c r="BE65" s="6">
        <f t="shared" ca="1" si="9"/>
        <v>0</v>
      </c>
      <c r="BF65" s="9" t="str">
        <f t="shared" ca="1" si="10"/>
        <v/>
      </c>
      <c r="BG65" s="6">
        <f t="shared" ca="1" si="11"/>
        <v>5</v>
      </c>
      <c r="BH65" s="6">
        <f t="shared" ca="1" si="12"/>
        <v>5</v>
      </c>
      <c r="BI65" s="9">
        <f t="shared" ca="1" si="13"/>
        <v>1</v>
      </c>
      <c r="BJ65" s="6">
        <f t="shared" ca="1" si="14"/>
        <v>0</v>
      </c>
      <c r="BK65" s="6">
        <f t="shared" ca="1" si="15"/>
        <v>1</v>
      </c>
      <c r="BL65" s="6">
        <f t="shared" ca="1" si="16"/>
        <v>0</v>
      </c>
      <c r="BM65" s="6">
        <f t="shared" ca="1" si="17"/>
        <v>0</v>
      </c>
      <c r="BN65" s="6">
        <f t="shared" ca="1" si="18"/>
        <v>1</v>
      </c>
      <c r="BP65" s="6">
        <f t="shared" ca="1" si="19"/>
        <v>0</v>
      </c>
      <c r="BQ65" s="6" t="b">
        <f ca="1">IFERROR(__xludf.DUMMYFUNCTION("IF(AND(ISERROR(FILTER('Items by Team'!D$2:D3410,'Items by Team'!C$2:C3410 = D65,'Items by Team'!B$2:B3410 = B65)),NOT(A65=""Practice"")),TRUE,FALSE)"),FALSE)</f>
        <v>0</v>
      </c>
      <c r="BR65" s="6" t="e">
        <f t="shared" ca="1" si="20"/>
        <v>#VALUE!</v>
      </c>
    </row>
    <row r="66" spans="1:70">
      <c r="A66" s="6" t="str">
        <f ca="1">IFERROR(__xludf.DUMMYFUNCTION("""COMPUTED_VALUE"""),"Practice")</f>
        <v>Practice</v>
      </c>
      <c r="B66" s="6">
        <f ca="1">IFERROR(__xludf.DUMMYFUNCTION("""COMPUTED_VALUE"""),12)</f>
        <v>12</v>
      </c>
      <c r="C66" s="6" t="str">
        <f ca="1">IFERROR(__xludf.DUMMYFUNCTION("""COMPUTED_VALUE"""),"R1")</f>
        <v>R1</v>
      </c>
      <c r="D66" s="6">
        <f ca="1">IFERROR(__xludf.DUMMYFUNCTION("""COMPUTED_VALUE"""),2220)</f>
        <v>2220</v>
      </c>
      <c r="E66" s="6" t="b">
        <f ca="1">IFERROR(__xludf.DUMMYFUNCTION("""COMPUTED_VALUE"""),FALSE)</f>
        <v>0</v>
      </c>
      <c r="F66" s="6" t="str">
        <f ca="1">IFERROR(__xludf.DUMMYFUNCTION("""COMPUTED_VALUE"""),"Red Barge")</f>
        <v>Red Barge</v>
      </c>
      <c r="G66" s="6" t="b">
        <f ca="1">IFERROR(__xludf.DUMMYFUNCTION("""COMPUTED_VALUE"""),TRUE)</f>
        <v>1</v>
      </c>
      <c r="H66" s="6" t="b">
        <f ca="1">IFERROR(__xludf.DUMMYFUNCTION("""COMPUTED_VALUE"""),TRUE)</f>
        <v>1</v>
      </c>
      <c r="I66" s="6">
        <f ca="1">IFERROR(__xludf.DUMMYFUNCTION("""COMPUTED_VALUE"""),0)</f>
        <v>0</v>
      </c>
      <c r="J66" s="6">
        <f ca="1">IFERROR(__xludf.DUMMYFUNCTION("""COMPUTED_VALUE"""),1)</f>
        <v>1</v>
      </c>
      <c r="K66" s="6">
        <f ca="1">IFERROR(__xludf.DUMMYFUNCTION("""COMPUTED_VALUE"""),0)</f>
        <v>0</v>
      </c>
      <c r="L66" s="6">
        <f ca="1">IFERROR(__xludf.DUMMYFUNCTION("""COMPUTED_VALUE"""),3)</f>
        <v>3</v>
      </c>
      <c r="M66" s="6">
        <f ca="1">IFERROR(__xludf.DUMMYFUNCTION("""COMPUTED_VALUE"""),0)</f>
        <v>0</v>
      </c>
      <c r="N66" s="6">
        <f ca="1">IFERROR(__xludf.DUMMYFUNCTION("""COMPUTED_VALUE"""),0)</f>
        <v>0</v>
      </c>
      <c r="O66" s="6">
        <f ca="1">IFERROR(__xludf.DUMMYFUNCTION("""COMPUTED_VALUE"""),0)</f>
        <v>0</v>
      </c>
      <c r="P66" s="6">
        <f ca="1">IFERROR(__xludf.DUMMYFUNCTION("""COMPUTED_VALUE"""),0)</f>
        <v>0</v>
      </c>
      <c r="R66" s="6">
        <f ca="1">IFERROR(__xludf.DUMMYFUNCTION("""COMPUTED_VALUE"""),0)</f>
        <v>0</v>
      </c>
      <c r="S66" s="6">
        <f ca="1">IFERROR(__xludf.DUMMYFUNCTION("""COMPUTED_VALUE"""),0)</f>
        <v>0</v>
      </c>
      <c r="T66" s="6">
        <f ca="1">IFERROR(__xludf.DUMMYFUNCTION("""COMPUTED_VALUE"""),0)</f>
        <v>0</v>
      </c>
      <c r="U66" s="6">
        <f ca="1">IFERROR(__xludf.DUMMYFUNCTION("""COMPUTED_VALUE"""),0)</f>
        <v>0</v>
      </c>
      <c r="V66" s="6">
        <f ca="1">IFERROR(__xludf.DUMMYFUNCTION("""COMPUTED_VALUE"""),0)</f>
        <v>0</v>
      </c>
      <c r="W66" s="6">
        <f ca="1">IFERROR(__xludf.DUMMYFUNCTION("""COMPUTED_VALUE"""),0)</f>
        <v>0</v>
      </c>
      <c r="X66" s="6">
        <f ca="1">IFERROR(__xludf.DUMMYFUNCTION("""COMPUTED_VALUE"""),0)</f>
        <v>0</v>
      </c>
      <c r="Y66" s="6">
        <f ca="1">IFERROR(__xludf.DUMMYFUNCTION("""COMPUTED_VALUE"""),0)</f>
        <v>0</v>
      </c>
      <c r="Z66" s="6">
        <f ca="1">IFERROR(__xludf.DUMMYFUNCTION("""COMPUTED_VALUE"""),2)</f>
        <v>2</v>
      </c>
      <c r="AA66" s="6">
        <f ca="1">IFERROR(__xludf.DUMMYFUNCTION("""COMPUTED_VALUE"""),0)</f>
        <v>0</v>
      </c>
      <c r="AB66" s="6" t="b">
        <f ca="1">IFERROR(__xludf.DUMMYFUNCTION("""COMPUTED_VALUE"""),TRUE)</f>
        <v>1</v>
      </c>
      <c r="AD66" s="6" t="b">
        <f ca="1">IFERROR(__xludf.DUMMYFUNCTION("""COMPUTED_VALUE"""),FALSE)</f>
        <v>0</v>
      </c>
      <c r="AE66" s="6">
        <f ca="1">IFERROR(__xludf.DUMMYFUNCTION("""COMPUTED_VALUE"""),0)</f>
        <v>0</v>
      </c>
      <c r="AF66" s="6">
        <f ca="1">IFERROR(__xludf.DUMMYFUNCTION("""COMPUTED_VALUE"""),7)</f>
        <v>7</v>
      </c>
      <c r="AG66" s="6">
        <f ca="1">IFERROR(__xludf.DUMMYFUNCTION("""COMPUTED_VALUE"""),6)</f>
        <v>6</v>
      </c>
      <c r="AH66" s="6">
        <f ca="1">IFERROR(__xludf.DUMMYFUNCTION("""COMPUTED_VALUE"""),0)</f>
        <v>0</v>
      </c>
      <c r="AI66" s="6">
        <f ca="1">IFERROR(__xludf.DUMMYFUNCTION("""COMPUTED_VALUE"""),1)</f>
        <v>1</v>
      </c>
      <c r="AK66" s="6" t="str">
        <f ca="1">IFERROR(__xludf.DUMMYFUNCTION("""COMPUTED_VALUE"""),"Dc")</f>
        <v>Dc</v>
      </c>
      <c r="AL66" s="6">
        <f ca="1">IFERROR(__xludf.DUMMYFUNCTION("""COMPUTED_VALUE"""),0)</f>
        <v>0</v>
      </c>
      <c r="AM66" s="6" t="b">
        <f ca="1">IFERROR(__xludf.DUMMYFUNCTION("""COMPUTED_VALUE"""),FALSE)</f>
        <v>0</v>
      </c>
      <c r="AN66" s="6" t="str">
        <f ca="1">IFERROR(__xludf.DUMMYFUNCTION("""COMPUTED_VALUE"""),"No")</f>
        <v>No</v>
      </c>
      <c r="AO66" s="6"/>
      <c r="AP66" s="6" t="str">
        <f ca="1">IFERROR(__xludf.DUMMYFUNCTION("""COMPUTED_VALUE"""),"x")</f>
        <v>x</v>
      </c>
      <c r="AQ66" s="6" t="b">
        <f ca="1">IFERROR(__xludf.DUMMYFUNCTION("""COMPUTED_VALUE"""),FALSE)</f>
        <v>0</v>
      </c>
      <c r="AR66" s="6" t="b">
        <f ca="1">IFERROR(__xludf.DUMMYFUNCTION("""COMPUTED_VALUE"""),FALSE)</f>
        <v>0</v>
      </c>
      <c r="AS66" s="15"/>
      <c r="AT66" s="6" t="str">
        <f ca="1">IFERROR(__xludf.DUMMYFUNCTION("SWITCH(IF(A66=""Practice"",AN66,FILTER('Items by Team'!E$2:E3410,'Items by Team'!C$2:C3410=D66,B66='Items by Team'!B$2:B3410)),""None"",""No"",""Parked"",""P"",""ShallowCage"",""Sc"",""DeepCage"",""Dc"",""No"",""No"",""P"",""P"",""Sc"",""Sc"",""Dc"",""Dc"&amp;""")"),"No")</f>
        <v>No</v>
      </c>
      <c r="AU66" s="6" t="str">
        <f ca="1">IFERROR(__xludf.DUMMYFUNCTION("SWITCH(IF(A66 = ""Practice"", H66, FILTER('Items by Team'!D$2:D3410,'Items by Team'!C$2:C3410 = D66,'Items by Team'!B$2:B3410 = B66)), ""Yes"", ""TRUE"", ""No"", ""FALSE"",TRUE, ""TRUE"", FALSE, ""FALSE"")"),"TRUE")</f>
        <v>TRUE</v>
      </c>
      <c r="AV66" s="6" t="str">
        <f t="shared" ca="1" si="0"/>
        <v/>
      </c>
      <c r="AW66" s="6">
        <f t="shared" ca="1" si="1"/>
        <v>1</v>
      </c>
      <c r="AX66" s="6">
        <f t="shared" ca="1" si="2"/>
        <v>3</v>
      </c>
      <c r="AY66" s="6">
        <f t="shared" ca="1" si="3"/>
        <v>3</v>
      </c>
      <c r="AZ66" s="9">
        <f t="shared" ca="1" si="4"/>
        <v>1</v>
      </c>
      <c r="BA66" s="6">
        <f t="shared" ca="1" si="5"/>
        <v>0</v>
      </c>
      <c r="BB66" s="6">
        <f t="shared" ca="1" si="6"/>
        <v>0</v>
      </c>
      <c r="BC66" s="9" t="str">
        <f t="shared" ca="1" si="7"/>
        <v/>
      </c>
      <c r="BD66" s="6">
        <f t="shared" ca="1" si="8"/>
        <v>0</v>
      </c>
      <c r="BE66" s="6">
        <f t="shared" ca="1" si="9"/>
        <v>0</v>
      </c>
      <c r="BF66" s="9" t="str">
        <f t="shared" ca="1" si="10"/>
        <v/>
      </c>
      <c r="BG66" s="6">
        <f t="shared" ca="1" si="11"/>
        <v>13</v>
      </c>
      <c r="BH66" s="6">
        <f t="shared" ca="1" si="12"/>
        <v>14</v>
      </c>
      <c r="BI66" s="9">
        <f t="shared" ca="1" si="13"/>
        <v>0.9285714285714286</v>
      </c>
      <c r="BJ66" s="6">
        <f t="shared" ca="1" si="14"/>
        <v>0</v>
      </c>
      <c r="BK66" s="6">
        <f t="shared" ca="1" si="15"/>
        <v>0</v>
      </c>
      <c r="BL66" s="6">
        <f t="shared" ca="1" si="16"/>
        <v>1</v>
      </c>
      <c r="BM66" s="6">
        <f t="shared" ca="1" si="17"/>
        <v>0</v>
      </c>
      <c r="BN66" s="6">
        <f t="shared" ca="1" si="18"/>
        <v>1</v>
      </c>
      <c r="BP66" s="6">
        <f t="shared" ca="1" si="19"/>
        <v>0</v>
      </c>
      <c r="BQ66" s="6" t="b">
        <f ca="1">IFERROR(__xludf.DUMMYFUNCTION("IF(AND(ISERROR(FILTER('Items by Team'!D$2:D3410,'Items by Team'!C$2:C3410 = D66,'Items by Team'!B$2:B3410 = B66)),NOT(A66=""Practice"")),TRUE,FALSE)"),FALSE)</f>
        <v>0</v>
      </c>
      <c r="BR66" s="6" t="e">
        <f t="shared" ca="1" si="20"/>
        <v>#VALUE!</v>
      </c>
    </row>
    <row r="67" spans="1:70">
      <c r="A67" s="6" t="str">
        <f ca="1">IFERROR(__xludf.DUMMYFUNCTION("""COMPUTED_VALUE"""),"Practice")</f>
        <v>Practice</v>
      </c>
      <c r="B67" s="6">
        <f ca="1">IFERROR(__xludf.DUMMYFUNCTION("""COMPUTED_VALUE"""),12)</f>
        <v>12</v>
      </c>
      <c r="C67" s="6" t="str">
        <f ca="1">IFERROR(__xludf.DUMMYFUNCTION("""COMPUTED_VALUE"""),"R2")</f>
        <v>R2</v>
      </c>
      <c r="D67" s="6">
        <f ca="1">IFERROR(__xludf.DUMMYFUNCTION("""COMPUTED_VALUE"""),4174)</f>
        <v>4174</v>
      </c>
      <c r="E67" s="6" t="b">
        <f ca="1">IFERROR(__xludf.DUMMYFUNCTION("""COMPUTED_VALUE"""),FALSE)</f>
        <v>0</v>
      </c>
      <c r="F67" s="6" t="str">
        <f ca="1">IFERROR(__xludf.DUMMYFUNCTION("""COMPUTED_VALUE"""),"Blue Barge")</f>
        <v>Blue Barge</v>
      </c>
      <c r="G67" s="6" t="b">
        <f ca="1">IFERROR(__xludf.DUMMYFUNCTION("""COMPUTED_VALUE"""),TRUE)</f>
        <v>1</v>
      </c>
      <c r="H67" s="6" t="b">
        <f ca="1">IFERROR(__xludf.DUMMYFUNCTION("""COMPUTED_VALUE"""),TRUE)</f>
        <v>1</v>
      </c>
      <c r="I67" s="6">
        <f ca="1">IFERROR(__xludf.DUMMYFUNCTION("""COMPUTED_VALUE"""),1)</f>
        <v>1</v>
      </c>
      <c r="J67" s="6">
        <f ca="1">IFERROR(__xludf.DUMMYFUNCTION("""COMPUTED_VALUE"""),0)</f>
        <v>0</v>
      </c>
      <c r="K67" s="6">
        <f ca="1">IFERROR(__xludf.DUMMYFUNCTION("""COMPUTED_VALUE"""),0)</f>
        <v>0</v>
      </c>
      <c r="L67" s="6">
        <f ca="1">IFERROR(__xludf.DUMMYFUNCTION("""COMPUTED_VALUE"""),2)</f>
        <v>2</v>
      </c>
      <c r="M67" s="6">
        <f ca="1">IFERROR(__xludf.DUMMYFUNCTION("""COMPUTED_VALUE"""),0)</f>
        <v>0</v>
      </c>
      <c r="N67" s="6">
        <f ca="1">IFERROR(__xludf.DUMMYFUNCTION("""COMPUTED_VALUE"""),0)</f>
        <v>0</v>
      </c>
      <c r="O67" s="6">
        <f ca="1">IFERROR(__xludf.DUMMYFUNCTION("""COMPUTED_VALUE"""),0)</f>
        <v>0</v>
      </c>
      <c r="P67" s="6">
        <f ca="1">IFERROR(__xludf.DUMMYFUNCTION("""COMPUTED_VALUE"""),0)</f>
        <v>0</v>
      </c>
      <c r="R67" s="6">
        <f ca="1">IFERROR(__xludf.DUMMYFUNCTION("""COMPUTED_VALUE"""),0)</f>
        <v>0</v>
      </c>
      <c r="S67" s="6">
        <f ca="1">IFERROR(__xludf.DUMMYFUNCTION("""COMPUTED_VALUE"""),0)</f>
        <v>0</v>
      </c>
      <c r="T67" s="6">
        <f ca="1">IFERROR(__xludf.DUMMYFUNCTION("""COMPUTED_VALUE"""),0)</f>
        <v>0</v>
      </c>
      <c r="U67" s="6">
        <f ca="1">IFERROR(__xludf.DUMMYFUNCTION("""COMPUTED_VALUE"""),0)</f>
        <v>0</v>
      </c>
      <c r="V67" s="6">
        <f ca="1">IFERROR(__xludf.DUMMYFUNCTION("""COMPUTED_VALUE"""),0)</f>
        <v>0</v>
      </c>
      <c r="W67" s="6">
        <f ca="1">IFERROR(__xludf.DUMMYFUNCTION("""COMPUTED_VALUE"""),0)</f>
        <v>0</v>
      </c>
      <c r="X67" s="6">
        <f ca="1">IFERROR(__xludf.DUMMYFUNCTION("""COMPUTED_VALUE"""),0)</f>
        <v>0</v>
      </c>
      <c r="Y67" s="6">
        <f ca="1">IFERROR(__xludf.DUMMYFUNCTION("""COMPUTED_VALUE"""),0)</f>
        <v>0</v>
      </c>
      <c r="Z67" s="6">
        <f ca="1">IFERROR(__xludf.DUMMYFUNCTION("""COMPUTED_VALUE"""),0)</f>
        <v>0</v>
      </c>
      <c r="AA67" s="6">
        <f ca="1">IFERROR(__xludf.DUMMYFUNCTION("""COMPUTED_VALUE"""),2)</f>
        <v>2</v>
      </c>
      <c r="AB67" s="6" t="b">
        <f ca="1">IFERROR(__xludf.DUMMYFUNCTION("""COMPUTED_VALUE"""),TRUE)</f>
        <v>1</v>
      </c>
      <c r="AD67" s="6" t="b">
        <f ca="1">IFERROR(__xludf.DUMMYFUNCTION("""COMPUTED_VALUE"""),FALSE)</f>
        <v>0</v>
      </c>
      <c r="AE67" s="6">
        <f ca="1">IFERROR(__xludf.DUMMYFUNCTION("""COMPUTED_VALUE"""),3)</f>
        <v>3</v>
      </c>
      <c r="AF67" s="6">
        <f ca="1">IFERROR(__xludf.DUMMYFUNCTION("""COMPUTED_VALUE"""),3)</f>
        <v>3</v>
      </c>
      <c r="AG67" s="6">
        <f ca="1">IFERROR(__xludf.DUMMYFUNCTION("""COMPUTED_VALUE"""),1)</f>
        <v>1</v>
      </c>
      <c r="AH67" s="6">
        <f ca="1">IFERROR(__xludf.DUMMYFUNCTION("""COMPUTED_VALUE"""),0)</f>
        <v>0</v>
      </c>
      <c r="AI67" s="6">
        <f ca="1">IFERROR(__xludf.DUMMYFUNCTION("""COMPUTED_VALUE"""),2)</f>
        <v>2</v>
      </c>
      <c r="AK67" s="6" t="str">
        <f ca="1">IFERROR(__xludf.DUMMYFUNCTION("""COMPUTED_VALUE"""),"Dc")</f>
        <v>Dc</v>
      </c>
      <c r="AL67" s="6">
        <f ca="1">IFERROR(__xludf.DUMMYFUNCTION("""COMPUTED_VALUE"""),0)</f>
        <v>0</v>
      </c>
      <c r="AM67" s="6" t="b">
        <f ca="1">IFERROR(__xludf.DUMMYFUNCTION("""COMPUTED_VALUE"""),TRUE)</f>
        <v>1</v>
      </c>
      <c r="AN67" s="6" t="str">
        <f ca="1">IFERROR(__xludf.DUMMYFUNCTION("""COMPUTED_VALUE"""),"Dc")</f>
        <v>Dc</v>
      </c>
      <c r="AO67" s="6"/>
      <c r="AP67" s="6" t="str">
        <f ca="1">IFERROR(__xludf.DUMMYFUNCTION("""COMPUTED_VALUE"""),"x")</f>
        <v>x</v>
      </c>
      <c r="AQ67" s="6" t="b">
        <f ca="1">IFERROR(__xludf.DUMMYFUNCTION("""COMPUTED_VALUE"""),FALSE)</f>
        <v>0</v>
      </c>
      <c r="AR67" s="6" t="b">
        <f ca="1">IFERROR(__xludf.DUMMYFUNCTION("""COMPUTED_VALUE"""),FALSE)</f>
        <v>0</v>
      </c>
      <c r="AS67" s="15"/>
      <c r="AT67" s="6" t="str">
        <f ca="1">IFERROR(__xludf.DUMMYFUNCTION("SWITCH(IF(A67=""Practice"",AN67,FILTER('Items by Team'!E$2:E3410,'Items by Team'!C$2:C3410=D67,B67='Items by Team'!B$2:B3410)),""None"",""No"",""Parked"",""P"",""ShallowCage"",""Sc"",""DeepCage"",""Dc"",""No"",""No"",""P"",""P"",""Sc"",""Sc"",""Dc"",""Dc"&amp;""")"),"Dc")</f>
        <v>Dc</v>
      </c>
      <c r="AU67" s="6" t="str">
        <f ca="1">IFERROR(__xludf.DUMMYFUNCTION("SWITCH(IF(A67 = ""Practice"", H67, FILTER('Items by Team'!D$2:D3410,'Items by Team'!C$2:C3410 = D67,'Items by Team'!B$2:B3410 = B67)), ""Yes"", ""TRUE"", ""No"", ""FALSE"",TRUE, ""TRUE"", FALSE, ""FALSE"")"),"TRUE")</f>
        <v>TRUE</v>
      </c>
      <c r="AV67" s="6" t="str">
        <f t="shared" ca="1" si="0"/>
        <v/>
      </c>
      <c r="AW67" s="6">
        <f t="shared" ca="1" si="1"/>
        <v>1</v>
      </c>
      <c r="AX67" s="6">
        <f t="shared" ca="1" si="2"/>
        <v>2</v>
      </c>
      <c r="AY67" s="6">
        <f t="shared" ca="1" si="3"/>
        <v>2</v>
      </c>
      <c r="AZ67" s="9">
        <f t="shared" ca="1" si="4"/>
        <v>1</v>
      </c>
      <c r="BA67" s="6">
        <f t="shared" ca="1" si="5"/>
        <v>0</v>
      </c>
      <c r="BB67" s="6">
        <f t="shared" ca="1" si="6"/>
        <v>0</v>
      </c>
      <c r="BC67" s="9" t="str">
        <f t="shared" ca="1" si="7"/>
        <v/>
      </c>
      <c r="BD67" s="6">
        <f t="shared" ca="1" si="8"/>
        <v>0</v>
      </c>
      <c r="BE67" s="6">
        <f t="shared" ca="1" si="9"/>
        <v>0</v>
      </c>
      <c r="BF67" s="9" t="str">
        <f t="shared" ca="1" si="10"/>
        <v/>
      </c>
      <c r="BG67" s="6">
        <f t="shared" ca="1" si="11"/>
        <v>7</v>
      </c>
      <c r="BH67" s="6">
        <f t="shared" ca="1" si="12"/>
        <v>9</v>
      </c>
      <c r="BI67" s="9">
        <f t="shared" ca="1" si="13"/>
        <v>0.77777777777777779</v>
      </c>
      <c r="BJ67" s="6">
        <f t="shared" ca="1" si="14"/>
        <v>0</v>
      </c>
      <c r="BK67" s="6">
        <f t="shared" ca="1" si="15"/>
        <v>1</v>
      </c>
      <c r="BL67" s="6">
        <f t="shared" ca="1" si="16"/>
        <v>0</v>
      </c>
      <c r="BM67" s="6">
        <f t="shared" ca="1" si="17"/>
        <v>0</v>
      </c>
      <c r="BN67" s="6">
        <f t="shared" ca="1" si="18"/>
        <v>1</v>
      </c>
      <c r="BP67" s="6">
        <f t="shared" ca="1" si="19"/>
        <v>0</v>
      </c>
      <c r="BQ67" s="6" t="b">
        <f ca="1">IFERROR(__xludf.DUMMYFUNCTION("IF(AND(ISERROR(FILTER('Items by Team'!D$2:D3410,'Items by Team'!C$2:C3410 = D67,'Items by Team'!B$2:B3410 = B67)),NOT(A67=""Practice"")),TRUE,FALSE)"),FALSE)</f>
        <v>0</v>
      </c>
      <c r="BR67" s="6" t="e">
        <f t="shared" ca="1" si="20"/>
        <v>#VALUE!</v>
      </c>
    </row>
    <row r="68" spans="1:70">
      <c r="A68" s="6" t="str">
        <f ca="1">IFERROR(__xludf.DUMMYFUNCTION("""COMPUTED_VALUE"""),"Practice")</f>
        <v>Practice</v>
      </c>
      <c r="B68" s="6">
        <f ca="1">IFERROR(__xludf.DUMMYFUNCTION("""COMPUTED_VALUE"""),12)</f>
        <v>12</v>
      </c>
      <c r="C68" s="6" t="str">
        <f ca="1">IFERROR(__xludf.DUMMYFUNCTION("""COMPUTED_VALUE"""),"R3")</f>
        <v>R3</v>
      </c>
      <c r="D68" s="6">
        <f ca="1">IFERROR(__xludf.DUMMYFUNCTION("""COMPUTED_VALUE"""),2181)</f>
        <v>2181</v>
      </c>
      <c r="E68" s="6" t="b">
        <f ca="1">IFERROR(__xludf.DUMMYFUNCTION("""COMPUTED_VALUE"""),FALSE)</f>
        <v>0</v>
      </c>
      <c r="F68" s="6"/>
      <c r="G68" s="6" t="b">
        <f ca="1">IFERROR(__xludf.DUMMYFUNCTION("""COMPUTED_VALUE"""),TRUE)</f>
        <v>1</v>
      </c>
      <c r="H68" s="6" t="b">
        <f ca="1">IFERROR(__xludf.DUMMYFUNCTION("""COMPUTED_VALUE"""),TRUE)</f>
        <v>1</v>
      </c>
      <c r="I68" s="6">
        <f ca="1">IFERROR(__xludf.DUMMYFUNCTION("""COMPUTED_VALUE"""),0)</f>
        <v>0</v>
      </c>
      <c r="J68" s="6">
        <f ca="1">IFERROR(__xludf.DUMMYFUNCTION("""COMPUTED_VALUE"""),0)</f>
        <v>0</v>
      </c>
      <c r="K68" s="6">
        <f ca="1">IFERROR(__xludf.DUMMYFUNCTION("""COMPUTED_VALUE"""),0)</f>
        <v>0</v>
      </c>
      <c r="L68" s="6">
        <f ca="1">IFERROR(__xludf.DUMMYFUNCTION("""COMPUTED_VALUE"""),1)</f>
        <v>1</v>
      </c>
      <c r="M68" s="6">
        <f ca="1">IFERROR(__xludf.DUMMYFUNCTION("""COMPUTED_VALUE"""),0)</f>
        <v>0</v>
      </c>
      <c r="N68" s="6">
        <f ca="1">IFERROR(__xludf.DUMMYFUNCTION("""COMPUTED_VALUE"""),0)</f>
        <v>0</v>
      </c>
      <c r="O68" s="6">
        <f ca="1">IFERROR(__xludf.DUMMYFUNCTION("""COMPUTED_VALUE"""),0)</f>
        <v>0</v>
      </c>
      <c r="P68" s="6">
        <f ca="1">IFERROR(__xludf.DUMMYFUNCTION("""COMPUTED_VALUE"""),0)</f>
        <v>0</v>
      </c>
      <c r="R68" s="6">
        <f ca="1">IFERROR(__xludf.DUMMYFUNCTION("""COMPUTED_VALUE"""),0)</f>
        <v>0</v>
      </c>
      <c r="S68" s="6">
        <f ca="1">IFERROR(__xludf.DUMMYFUNCTION("""COMPUTED_VALUE"""),0)</f>
        <v>0</v>
      </c>
      <c r="T68" s="6">
        <f ca="1">IFERROR(__xludf.DUMMYFUNCTION("""COMPUTED_VALUE"""),0)</f>
        <v>0</v>
      </c>
      <c r="U68" s="6">
        <f ca="1">IFERROR(__xludf.DUMMYFUNCTION("""COMPUTED_VALUE"""),0)</f>
        <v>0</v>
      </c>
      <c r="V68" s="6">
        <f ca="1">IFERROR(__xludf.DUMMYFUNCTION("""COMPUTED_VALUE"""),0)</f>
        <v>0</v>
      </c>
      <c r="W68" s="6">
        <f ca="1">IFERROR(__xludf.DUMMYFUNCTION("""COMPUTED_VALUE"""),1)</f>
        <v>1</v>
      </c>
      <c r="X68" s="6">
        <f ca="1">IFERROR(__xludf.DUMMYFUNCTION("""COMPUTED_VALUE"""),0)</f>
        <v>0</v>
      </c>
      <c r="Y68" s="6">
        <f ca="1">IFERROR(__xludf.DUMMYFUNCTION("""COMPUTED_VALUE"""),1)</f>
        <v>1</v>
      </c>
      <c r="Z68" s="6">
        <f ca="1">IFERROR(__xludf.DUMMYFUNCTION("""COMPUTED_VALUE"""),2)</f>
        <v>2</v>
      </c>
      <c r="AA68" s="6">
        <f ca="1">IFERROR(__xludf.DUMMYFUNCTION("""COMPUTED_VALUE"""),0)</f>
        <v>0</v>
      </c>
      <c r="AB68" s="6" t="b">
        <f ca="1">IFERROR(__xludf.DUMMYFUNCTION("""COMPUTED_VALUE"""),TRUE)</f>
        <v>1</v>
      </c>
      <c r="AD68" s="6" t="b">
        <f ca="1">IFERROR(__xludf.DUMMYFUNCTION("""COMPUTED_VALUE"""),FALSE)</f>
        <v>0</v>
      </c>
      <c r="AE68" s="6">
        <f ca="1">IFERROR(__xludf.DUMMYFUNCTION("""COMPUTED_VALUE"""),1)</f>
        <v>1</v>
      </c>
      <c r="AF68" s="6">
        <f ca="1">IFERROR(__xludf.DUMMYFUNCTION("""COMPUTED_VALUE"""),0)</f>
        <v>0</v>
      </c>
      <c r="AG68" s="6">
        <f ca="1">IFERROR(__xludf.DUMMYFUNCTION("""COMPUTED_VALUE"""),0)</f>
        <v>0</v>
      </c>
      <c r="AH68" s="6">
        <f ca="1">IFERROR(__xludf.DUMMYFUNCTION("""COMPUTED_VALUE"""),0)</f>
        <v>0</v>
      </c>
      <c r="AI68" s="6">
        <f ca="1">IFERROR(__xludf.DUMMYFUNCTION("""COMPUTED_VALUE"""),2)</f>
        <v>2</v>
      </c>
      <c r="AK68" s="6" t="str">
        <f ca="1">IFERROR(__xludf.DUMMYFUNCTION("""COMPUTED_VALUE"""),"Dc")</f>
        <v>Dc</v>
      </c>
      <c r="AL68" s="6">
        <f ca="1">IFERROR(__xludf.DUMMYFUNCTION("""COMPUTED_VALUE"""),7.15)</f>
        <v>7.15</v>
      </c>
      <c r="AM68" s="6" t="b">
        <f ca="1">IFERROR(__xludf.DUMMYFUNCTION("""COMPUTED_VALUE"""),FALSE)</f>
        <v>0</v>
      </c>
      <c r="AN68" s="6" t="str">
        <f ca="1">IFERROR(__xludf.DUMMYFUNCTION("""COMPUTED_VALUE"""),"Dc")</f>
        <v>Dc</v>
      </c>
      <c r="AO68" s="6"/>
      <c r="AP68" s="6" t="str">
        <f ca="1">IFERROR(__xludf.DUMMYFUNCTION("""COMPUTED_VALUE"""),"x")</f>
        <v>x</v>
      </c>
      <c r="AQ68" s="6" t="b">
        <f ca="1">IFERROR(__xludf.DUMMYFUNCTION("""COMPUTED_VALUE"""),FALSE)</f>
        <v>0</v>
      </c>
      <c r="AR68" s="6" t="b">
        <f ca="1">IFERROR(__xludf.DUMMYFUNCTION("""COMPUTED_VALUE"""),FALSE)</f>
        <v>0</v>
      </c>
      <c r="AS68" s="15"/>
      <c r="AT68" s="6" t="str">
        <f ca="1">IFERROR(__xludf.DUMMYFUNCTION("SWITCH(IF(A68=""Practice"",AN68,FILTER('Items by Team'!E$2:E3410,'Items by Team'!C$2:C3410=D68,B68='Items by Team'!B$2:B3410)),""None"",""No"",""Parked"",""P"",""ShallowCage"",""Sc"",""DeepCage"",""Dc"",""No"",""No"",""P"",""P"",""Sc"",""Sc"",""Dc"",""Dc"&amp;""")"),"Dc")</f>
        <v>Dc</v>
      </c>
      <c r="AU68" s="6" t="str">
        <f ca="1">IFERROR(__xludf.DUMMYFUNCTION("SWITCH(IF(A68 = ""Practice"", H68, FILTER('Items by Team'!D$2:D3410,'Items by Team'!C$2:C3410 = D68,'Items by Team'!B$2:B3410 = B68)), ""Yes"", ""TRUE"", ""No"", ""FALSE"",TRUE, ""TRUE"", FALSE, ""FALSE"")"),"TRUE")</f>
        <v>TRUE</v>
      </c>
      <c r="AV68" s="6" t="str">
        <f t="shared" ca="1" si="0"/>
        <v/>
      </c>
      <c r="AW68" s="6">
        <f t="shared" ca="1" si="1"/>
        <v>1</v>
      </c>
      <c r="AX68" s="6">
        <f t="shared" ca="1" si="2"/>
        <v>1</v>
      </c>
      <c r="AY68" s="6">
        <f t="shared" ca="1" si="3"/>
        <v>1</v>
      </c>
      <c r="AZ68" s="9">
        <f t="shared" ca="1" si="4"/>
        <v>1</v>
      </c>
      <c r="BA68" s="6">
        <f t="shared" ca="1" si="5"/>
        <v>0</v>
      </c>
      <c r="BB68" s="6">
        <f t="shared" ca="1" si="6"/>
        <v>0</v>
      </c>
      <c r="BC68" s="9" t="str">
        <f t="shared" ca="1" si="7"/>
        <v/>
      </c>
      <c r="BD68" s="6">
        <f t="shared" ca="1" si="8"/>
        <v>0</v>
      </c>
      <c r="BE68" s="6">
        <f t="shared" ca="1" si="9"/>
        <v>1</v>
      </c>
      <c r="BF68" s="9">
        <f t="shared" ca="1" si="10"/>
        <v>0</v>
      </c>
      <c r="BG68" s="6">
        <f t="shared" ca="1" si="11"/>
        <v>1</v>
      </c>
      <c r="BH68" s="6">
        <f t="shared" ca="1" si="12"/>
        <v>3</v>
      </c>
      <c r="BI68" s="9">
        <f t="shared" ca="1" si="13"/>
        <v>0.33333333333333331</v>
      </c>
      <c r="BJ68" s="6">
        <f t="shared" ca="1" si="14"/>
        <v>0</v>
      </c>
      <c r="BK68" s="6">
        <f t="shared" ca="1" si="15"/>
        <v>0</v>
      </c>
      <c r="BL68" s="6">
        <f t="shared" ca="1" si="16"/>
        <v>0</v>
      </c>
      <c r="BM68" s="6">
        <f t="shared" ca="1" si="17"/>
        <v>0</v>
      </c>
      <c r="BN68" s="6">
        <f t="shared" ca="1" si="18"/>
        <v>1</v>
      </c>
      <c r="BP68" s="6">
        <f t="shared" ca="1" si="19"/>
        <v>0</v>
      </c>
      <c r="BQ68" s="6" t="b">
        <f ca="1">IFERROR(__xludf.DUMMYFUNCTION("IF(AND(ISERROR(FILTER('Items by Team'!D$2:D3410,'Items by Team'!C$2:C3410 = D68,'Items by Team'!B$2:B3410 = B68)),NOT(A68=""Practice"")),TRUE,FALSE)"),FALSE)</f>
        <v>0</v>
      </c>
      <c r="BR68" s="6" t="e">
        <f t="shared" ca="1" si="20"/>
        <v>#VALUE!</v>
      </c>
    </row>
    <row r="69" spans="1:70">
      <c r="A69" s="6" t="str">
        <f ca="1">IFERROR(__xludf.DUMMYFUNCTION("""COMPUTED_VALUE"""),"Practice")</f>
        <v>Practice</v>
      </c>
      <c r="B69" s="6">
        <f ca="1">IFERROR(__xludf.DUMMYFUNCTION("""COMPUTED_VALUE"""),13)</f>
        <v>13</v>
      </c>
      <c r="C69" s="6" t="str">
        <f ca="1">IFERROR(__xludf.DUMMYFUNCTION("""COMPUTED_VALUE"""),"B2")</f>
        <v>B2</v>
      </c>
      <c r="D69" s="6">
        <f ca="1">IFERROR(__xludf.DUMMYFUNCTION("""COMPUTED_VALUE"""),4687)</f>
        <v>4687</v>
      </c>
      <c r="E69" s="6" t="b">
        <f ca="1">IFERROR(__xludf.DUMMYFUNCTION("""COMPUTED_VALUE"""),FALSE)</f>
        <v>0</v>
      </c>
      <c r="F69" s="6" t="str">
        <f ca="1">IFERROR(__xludf.DUMMYFUNCTION("""COMPUTED_VALUE"""),"Middle")</f>
        <v>Middle</v>
      </c>
      <c r="G69" s="6" t="b">
        <f ca="1">IFERROR(__xludf.DUMMYFUNCTION("""COMPUTED_VALUE"""),TRUE)</f>
        <v>1</v>
      </c>
      <c r="H69" s="6" t="b">
        <f ca="1">IFERROR(__xludf.DUMMYFUNCTION("""COMPUTED_VALUE"""),TRUE)</f>
        <v>1</v>
      </c>
      <c r="I69" s="6">
        <f ca="1">IFERROR(__xludf.DUMMYFUNCTION("""COMPUTED_VALUE"""),0)</f>
        <v>0</v>
      </c>
      <c r="J69" s="6">
        <f ca="1">IFERROR(__xludf.DUMMYFUNCTION("""COMPUTED_VALUE"""),0)</f>
        <v>0</v>
      </c>
      <c r="K69" s="6">
        <f ca="1">IFERROR(__xludf.DUMMYFUNCTION("""COMPUTED_VALUE"""),0)</f>
        <v>0</v>
      </c>
      <c r="L69" s="6">
        <f ca="1">IFERROR(__xludf.DUMMYFUNCTION("""COMPUTED_VALUE"""),0)</f>
        <v>0</v>
      </c>
      <c r="M69" s="6">
        <f ca="1">IFERROR(__xludf.DUMMYFUNCTION("""COMPUTED_VALUE"""),0)</f>
        <v>0</v>
      </c>
      <c r="N69" s="6">
        <f ca="1">IFERROR(__xludf.DUMMYFUNCTION("""COMPUTED_VALUE"""),0)</f>
        <v>0</v>
      </c>
      <c r="O69" s="6">
        <f ca="1">IFERROR(__xludf.DUMMYFUNCTION("""COMPUTED_VALUE"""),0)</f>
        <v>0</v>
      </c>
      <c r="P69" s="6">
        <f ca="1">IFERROR(__xludf.DUMMYFUNCTION("""COMPUTED_VALUE"""),0)</f>
        <v>0</v>
      </c>
      <c r="R69" s="6">
        <f ca="1">IFERROR(__xludf.DUMMYFUNCTION("""COMPUTED_VALUE"""),0)</f>
        <v>0</v>
      </c>
      <c r="S69" s="6">
        <f ca="1">IFERROR(__xludf.DUMMYFUNCTION("""COMPUTED_VALUE"""),0)</f>
        <v>0</v>
      </c>
      <c r="T69" s="6">
        <f ca="1">IFERROR(__xludf.DUMMYFUNCTION("""COMPUTED_VALUE"""),0)</f>
        <v>0</v>
      </c>
      <c r="U69" s="6">
        <f ca="1">IFERROR(__xludf.DUMMYFUNCTION("""COMPUTED_VALUE"""),0)</f>
        <v>0</v>
      </c>
      <c r="V69" s="6">
        <f ca="1">IFERROR(__xludf.DUMMYFUNCTION("""COMPUTED_VALUE"""),0)</f>
        <v>0</v>
      </c>
      <c r="W69" s="6">
        <f ca="1">IFERROR(__xludf.DUMMYFUNCTION("""COMPUTED_VALUE"""),0)</f>
        <v>0</v>
      </c>
      <c r="X69" s="6">
        <f ca="1">IFERROR(__xludf.DUMMYFUNCTION("""COMPUTED_VALUE"""),0)</f>
        <v>0</v>
      </c>
      <c r="Y69" s="6">
        <f ca="1">IFERROR(__xludf.DUMMYFUNCTION("""COMPUTED_VALUE"""),0)</f>
        <v>0</v>
      </c>
      <c r="Z69" s="6">
        <f ca="1">IFERROR(__xludf.DUMMYFUNCTION("""COMPUTED_VALUE"""),0)</f>
        <v>0</v>
      </c>
      <c r="AA69" s="6">
        <f ca="1">IFERROR(__xludf.DUMMYFUNCTION("""COMPUTED_VALUE"""),0)</f>
        <v>0</v>
      </c>
      <c r="AB69" s="6" t="b">
        <f ca="1">IFERROR(__xludf.DUMMYFUNCTION("""COMPUTED_VALUE"""),TRUE)</f>
        <v>1</v>
      </c>
      <c r="AD69" s="6" t="b">
        <f ca="1">IFERROR(__xludf.DUMMYFUNCTION("""COMPUTED_VALUE"""),FALSE)</f>
        <v>0</v>
      </c>
      <c r="AE69" s="6">
        <f ca="1">IFERROR(__xludf.DUMMYFUNCTION("""COMPUTED_VALUE"""),3)</f>
        <v>3</v>
      </c>
      <c r="AF69" s="6">
        <f ca="1">IFERROR(__xludf.DUMMYFUNCTION("""COMPUTED_VALUE"""),0)</f>
        <v>0</v>
      </c>
      <c r="AG69" s="6">
        <f ca="1">IFERROR(__xludf.DUMMYFUNCTION("""COMPUTED_VALUE"""),0)</f>
        <v>0</v>
      </c>
      <c r="AH69" s="6">
        <f ca="1">IFERROR(__xludf.DUMMYFUNCTION("""COMPUTED_VALUE"""),1)</f>
        <v>1</v>
      </c>
      <c r="AI69" s="6">
        <f ca="1">IFERROR(__xludf.DUMMYFUNCTION("""COMPUTED_VALUE"""),0)</f>
        <v>0</v>
      </c>
      <c r="AK69" s="6" t="str">
        <f ca="1">IFERROR(__xludf.DUMMYFUNCTION("""COMPUTED_VALUE"""),"P")</f>
        <v>P</v>
      </c>
      <c r="AL69" s="6">
        <f ca="1">IFERROR(__xludf.DUMMYFUNCTION("""COMPUTED_VALUE"""),0)</f>
        <v>0</v>
      </c>
      <c r="AM69" s="6" t="b">
        <f ca="1">IFERROR(__xludf.DUMMYFUNCTION("""COMPUTED_VALUE"""),FALSE)</f>
        <v>0</v>
      </c>
      <c r="AN69" s="6" t="str">
        <f ca="1">IFERROR(__xludf.DUMMYFUNCTION("""COMPUTED_VALUE"""),"P")</f>
        <v>P</v>
      </c>
      <c r="AO69" s="6"/>
      <c r="AP69" s="6" t="str">
        <f ca="1">IFERROR(__xludf.DUMMYFUNCTION("""COMPUTED_VALUE"""),"x")</f>
        <v>x</v>
      </c>
      <c r="AQ69" s="6" t="b">
        <f ca="1">IFERROR(__xludf.DUMMYFUNCTION("""COMPUTED_VALUE"""),FALSE)</f>
        <v>0</v>
      </c>
      <c r="AR69" s="6" t="b">
        <f ca="1">IFERROR(__xludf.DUMMYFUNCTION("""COMPUTED_VALUE"""),FALSE)</f>
        <v>0</v>
      </c>
      <c r="AS69" s="15"/>
      <c r="AT69" s="6" t="str">
        <f ca="1">IFERROR(__xludf.DUMMYFUNCTION("SWITCH(IF(A69=""Practice"",AN69,FILTER('Items by Team'!E$2:E3410,'Items by Team'!C$2:C3410=D69,B69='Items by Team'!B$2:B3410)),""None"",""No"",""Parked"",""P"",""ShallowCage"",""Sc"",""DeepCage"",""Dc"",""No"",""No"",""P"",""P"",""Sc"",""Sc"",""Dc"",""Dc"&amp;""")"),"P")</f>
        <v>P</v>
      </c>
      <c r="AU69" s="6" t="str">
        <f ca="1">IFERROR(__xludf.DUMMYFUNCTION("SWITCH(IF(A69 = ""Practice"", H69, FILTER('Items by Team'!D$2:D3410,'Items by Team'!C$2:C3410 = D69,'Items by Team'!B$2:B3410 = B69)), ""Yes"", ""TRUE"", ""No"", ""FALSE"",TRUE, ""TRUE"", FALSE, ""FALSE"")"),"TRUE")</f>
        <v>TRUE</v>
      </c>
      <c r="AV69" s="6" t="str">
        <f t="shared" ca="1" si="0"/>
        <v/>
      </c>
      <c r="AW69" s="6">
        <f t="shared" ca="1" si="1"/>
        <v>1</v>
      </c>
      <c r="AX69" s="6">
        <f t="shared" ca="1" si="2"/>
        <v>0</v>
      </c>
      <c r="AY69" s="6">
        <f t="shared" ca="1" si="3"/>
        <v>0</v>
      </c>
      <c r="AZ69" s="9" t="str">
        <f t="shared" ca="1" si="4"/>
        <v/>
      </c>
      <c r="BA69" s="6">
        <f t="shared" ca="1" si="5"/>
        <v>0</v>
      </c>
      <c r="BB69" s="6">
        <f t="shared" ca="1" si="6"/>
        <v>0</v>
      </c>
      <c r="BC69" s="9" t="str">
        <f t="shared" ca="1" si="7"/>
        <v/>
      </c>
      <c r="BD69" s="6">
        <f t="shared" ca="1" si="8"/>
        <v>0</v>
      </c>
      <c r="BE69" s="6">
        <f t="shared" ca="1" si="9"/>
        <v>0</v>
      </c>
      <c r="BF69" s="9" t="str">
        <f t="shared" ca="1" si="10"/>
        <v/>
      </c>
      <c r="BG69" s="6">
        <f t="shared" ca="1" si="11"/>
        <v>4</v>
      </c>
      <c r="BH69" s="6">
        <f t="shared" ca="1" si="12"/>
        <v>4</v>
      </c>
      <c r="BI69" s="9">
        <f t="shared" ca="1" si="13"/>
        <v>1</v>
      </c>
      <c r="BJ69" s="6">
        <f t="shared" ca="1" si="14"/>
        <v>0</v>
      </c>
      <c r="BK69" s="6">
        <f t="shared" ca="1" si="15"/>
        <v>0</v>
      </c>
      <c r="BL69" s="6">
        <f t="shared" ca="1" si="16"/>
        <v>0</v>
      </c>
      <c r="BM69" s="6">
        <f t="shared" ca="1" si="17"/>
        <v>0</v>
      </c>
      <c r="BN69" s="6">
        <f t="shared" ca="1" si="18"/>
        <v>1</v>
      </c>
      <c r="BP69" s="6">
        <f t="shared" ca="1" si="19"/>
        <v>0</v>
      </c>
      <c r="BQ69" s="6" t="b">
        <f ca="1">IFERROR(__xludf.DUMMYFUNCTION("IF(AND(ISERROR(FILTER('Items by Team'!D$2:D3410,'Items by Team'!C$2:C3410 = D69,'Items by Team'!B$2:B3410 = B69)),NOT(A69=""Practice"")),TRUE,FALSE)"),FALSE)</f>
        <v>0</v>
      </c>
      <c r="BR69" s="6" t="e">
        <f t="shared" ca="1" si="20"/>
        <v>#VALUE!</v>
      </c>
    </row>
    <row r="70" spans="1:70">
      <c r="A70" s="6" t="str">
        <f ca="1">IFERROR(__xludf.DUMMYFUNCTION("""COMPUTED_VALUE"""),"Practice")</f>
        <v>Practice</v>
      </c>
      <c r="B70" s="6">
        <f ca="1">IFERROR(__xludf.DUMMYFUNCTION("""COMPUTED_VALUE"""),13)</f>
        <v>13</v>
      </c>
      <c r="C70" s="6" t="str">
        <f ca="1">IFERROR(__xludf.DUMMYFUNCTION("""COMPUTED_VALUE"""),"B1")</f>
        <v>B1</v>
      </c>
      <c r="D70" s="6">
        <f ca="1">IFERROR(__xludf.DUMMYFUNCTION("""COMPUTED_VALUE"""),3082)</f>
        <v>3082</v>
      </c>
      <c r="E70" s="6" t="b">
        <f ca="1">IFERROR(__xludf.DUMMYFUNCTION("""COMPUTED_VALUE"""),FALSE)</f>
        <v>0</v>
      </c>
      <c r="F70" s="6" t="str">
        <f ca="1">IFERROR(__xludf.DUMMYFUNCTION("""COMPUTED_VALUE"""),"Red Barge")</f>
        <v>Red Barge</v>
      </c>
      <c r="G70" s="6" t="b">
        <f ca="1">IFERROR(__xludf.DUMMYFUNCTION("""COMPUTED_VALUE"""),TRUE)</f>
        <v>1</v>
      </c>
      <c r="H70" s="6" t="b">
        <f ca="1">IFERROR(__xludf.DUMMYFUNCTION("""COMPUTED_VALUE"""),TRUE)</f>
        <v>1</v>
      </c>
      <c r="I70" s="6">
        <f ca="1">IFERROR(__xludf.DUMMYFUNCTION("""COMPUTED_VALUE"""),0)</f>
        <v>0</v>
      </c>
      <c r="J70" s="6">
        <f ca="1">IFERROR(__xludf.DUMMYFUNCTION("""COMPUTED_VALUE"""),1)</f>
        <v>1</v>
      </c>
      <c r="K70" s="6">
        <f ca="1">IFERROR(__xludf.DUMMYFUNCTION("""COMPUTED_VALUE"""),0)</f>
        <v>0</v>
      </c>
      <c r="L70" s="6">
        <f ca="1">IFERROR(__xludf.DUMMYFUNCTION("""COMPUTED_VALUE"""),0)</f>
        <v>0</v>
      </c>
      <c r="M70" s="6">
        <f ca="1">IFERROR(__xludf.DUMMYFUNCTION("""COMPUTED_VALUE"""),0)</f>
        <v>0</v>
      </c>
      <c r="N70" s="6">
        <f ca="1">IFERROR(__xludf.DUMMYFUNCTION("""COMPUTED_VALUE"""),0)</f>
        <v>0</v>
      </c>
      <c r="O70" s="6">
        <f ca="1">IFERROR(__xludf.DUMMYFUNCTION("""COMPUTED_VALUE"""),0)</f>
        <v>0</v>
      </c>
      <c r="P70" s="6">
        <f ca="1">IFERROR(__xludf.DUMMYFUNCTION("""COMPUTED_VALUE"""),1)</f>
        <v>1</v>
      </c>
      <c r="R70" s="6">
        <f ca="1">IFERROR(__xludf.DUMMYFUNCTION("""COMPUTED_VALUE"""),0)</f>
        <v>0</v>
      </c>
      <c r="S70" s="6">
        <f ca="1">IFERROR(__xludf.DUMMYFUNCTION("""COMPUTED_VALUE"""),0)</f>
        <v>0</v>
      </c>
      <c r="T70" s="6">
        <f ca="1">IFERROR(__xludf.DUMMYFUNCTION("""COMPUTED_VALUE"""),0)</f>
        <v>0</v>
      </c>
      <c r="U70" s="6">
        <f ca="1">IFERROR(__xludf.DUMMYFUNCTION("""COMPUTED_VALUE"""),0)</f>
        <v>0</v>
      </c>
      <c r="V70" s="6">
        <f ca="1">IFERROR(__xludf.DUMMYFUNCTION("""COMPUTED_VALUE"""),0)</f>
        <v>0</v>
      </c>
      <c r="W70" s="6">
        <f ca="1">IFERROR(__xludf.DUMMYFUNCTION("""COMPUTED_VALUE"""),0)</f>
        <v>0</v>
      </c>
      <c r="X70" s="6">
        <f ca="1">IFERROR(__xludf.DUMMYFUNCTION("""COMPUTED_VALUE"""),0)</f>
        <v>0</v>
      </c>
      <c r="Y70" s="6">
        <f ca="1">IFERROR(__xludf.DUMMYFUNCTION("""COMPUTED_VALUE"""),0)</f>
        <v>0</v>
      </c>
      <c r="Z70" s="6">
        <f ca="1">IFERROR(__xludf.DUMMYFUNCTION("""COMPUTED_VALUE"""),0)</f>
        <v>0</v>
      </c>
      <c r="AA70" s="6">
        <f ca="1">IFERROR(__xludf.DUMMYFUNCTION("""COMPUTED_VALUE"""),0)</f>
        <v>0</v>
      </c>
      <c r="AB70" s="6" t="b">
        <f ca="1">IFERROR(__xludf.DUMMYFUNCTION("""COMPUTED_VALUE"""),TRUE)</f>
        <v>1</v>
      </c>
      <c r="AD70" s="6" t="b">
        <f ca="1">IFERROR(__xludf.DUMMYFUNCTION("""COMPUTED_VALUE"""),FALSE)</f>
        <v>0</v>
      </c>
      <c r="AE70" s="6">
        <f ca="1">IFERROR(__xludf.DUMMYFUNCTION("""COMPUTED_VALUE"""),4)</f>
        <v>4</v>
      </c>
      <c r="AF70" s="6">
        <f ca="1">IFERROR(__xludf.DUMMYFUNCTION("""COMPUTED_VALUE"""),0)</f>
        <v>0</v>
      </c>
      <c r="AG70" s="6">
        <f ca="1">IFERROR(__xludf.DUMMYFUNCTION("""COMPUTED_VALUE"""),0)</f>
        <v>0</v>
      </c>
      <c r="AH70" s="6">
        <f ca="1">IFERROR(__xludf.DUMMYFUNCTION("""COMPUTED_VALUE"""),0)</f>
        <v>0</v>
      </c>
      <c r="AI70" s="6">
        <f ca="1">IFERROR(__xludf.DUMMYFUNCTION("""COMPUTED_VALUE"""),3)</f>
        <v>3</v>
      </c>
      <c r="AK70" s="6" t="str">
        <f ca="1">IFERROR(__xludf.DUMMYFUNCTION("""COMPUTED_VALUE"""),"P")</f>
        <v>P</v>
      </c>
      <c r="AL70" s="6">
        <f ca="1">IFERROR(__xludf.DUMMYFUNCTION("""COMPUTED_VALUE"""),0)</f>
        <v>0</v>
      </c>
      <c r="AM70" s="6" t="b">
        <f ca="1">IFERROR(__xludf.DUMMYFUNCTION("""COMPUTED_VALUE"""),FALSE)</f>
        <v>0</v>
      </c>
      <c r="AN70" s="6" t="str">
        <f ca="1">IFERROR(__xludf.DUMMYFUNCTION("""COMPUTED_VALUE"""),"No")</f>
        <v>No</v>
      </c>
      <c r="AO70" s="6"/>
      <c r="AP70" s="6" t="str">
        <f ca="1">IFERROR(__xludf.DUMMYFUNCTION("""COMPUTED_VALUE"""),"x")</f>
        <v>x</v>
      </c>
      <c r="AQ70" s="6" t="b">
        <f ca="1">IFERROR(__xludf.DUMMYFUNCTION("""COMPUTED_VALUE"""),TRUE)</f>
        <v>1</v>
      </c>
      <c r="AR70" s="6" t="b">
        <f ca="1">IFERROR(__xludf.DUMMYFUNCTION("""COMPUTED_VALUE"""),FALSE)</f>
        <v>0</v>
      </c>
      <c r="AS70" s="15"/>
      <c r="AT70" s="6" t="str">
        <f ca="1">IFERROR(__xludf.DUMMYFUNCTION("SWITCH(IF(A70=""Practice"",AN70,FILTER('Items by Team'!E$2:E3410,'Items by Team'!C$2:C3410=D70,B70='Items by Team'!B$2:B3410)),""None"",""No"",""Parked"",""P"",""ShallowCage"",""Sc"",""DeepCage"",""Dc"",""No"",""No"",""P"",""P"",""Sc"",""Sc"",""Dc"",""Dc"&amp;""")"),"No")</f>
        <v>No</v>
      </c>
      <c r="AU70" s="6" t="str">
        <f ca="1">IFERROR(__xludf.DUMMYFUNCTION("SWITCH(IF(A70 = ""Practice"", H70, FILTER('Items by Team'!D$2:D3410,'Items by Team'!C$2:C3410 = D70,'Items by Team'!B$2:B3410 = B70)), ""Yes"", ""TRUE"", ""No"", ""FALSE"",TRUE, ""TRUE"", FALSE, ""FALSE"")"),"TRUE")</f>
        <v>TRUE</v>
      </c>
      <c r="AV70" s="6" t="str">
        <f t="shared" ca="1" si="0"/>
        <v/>
      </c>
      <c r="AW70" s="6">
        <f t="shared" ca="1" si="1"/>
        <v>1</v>
      </c>
      <c r="AX70" s="6">
        <f t="shared" ca="1" si="2"/>
        <v>0</v>
      </c>
      <c r="AY70" s="6">
        <f t="shared" ca="1" si="3"/>
        <v>1</v>
      </c>
      <c r="AZ70" s="9">
        <f t="shared" ca="1" si="4"/>
        <v>0</v>
      </c>
      <c r="BA70" s="6">
        <f t="shared" ca="1" si="5"/>
        <v>0</v>
      </c>
      <c r="BB70" s="6">
        <f t="shared" ca="1" si="6"/>
        <v>0</v>
      </c>
      <c r="BC70" s="9" t="str">
        <f t="shared" ca="1" si="7"/>
        <v/>
      </c>
      <c r="BD70" s="6">
        <f t="shared" ca="1" si="8"/>
        <v>0</v>
      </c>
      <c r="BE70" s="6">
        <f t="shared" ca="1" si="9"/>
        <v>0</v>
      </c>
      <c r="BF70" s="9" t="str">
        <f t="shared" ca="1" si="10"/>
        <v/>
      </c>
      <c r="BG70" s="6">
        <f t="shared" ca="1" si="11"/>
        <v>4</v>
      </c>
      <c r="BH70" s="6">
        <f t="shared" ca="1" si="12"/>
        <v>7</v>
      </c>
      <c r="BI70" s="9">
        <f t="shared" ca="1" si="13"/>
        <v>0.5714285714285714</v>
      </c>
      <c r="BJ70" s="6">
        <f t="shared" ca="1" si="14"/>
        <v>1</v>
      </c>
      <c r="BK70" s="6">
        <f t="shared" ca="1" si="15"/>
        <v>0</v>
      </c>
      <c r="BL70" s="6">
        <f t="shared" ca="1" si="16"/>
        <v>1</v>
      </c>
      <c r="BM70" s="6">
        <f t="shared" ca="1" si="17"/>
        <v>0</v>
      </c>
      <c r="BN70" s="6">
        <f t="shared" ca="1" si="18"/>
        <v>1</v>
      </c>
      <c r="BP70" s="6">
        <f t="shared" ca="1" si="19"/>
        <v>0</v>
      </c>
      <c r="BQ70" s="6" t="b">
        <f ca="1">IFERROR(__xludf.DUMMYFUNCTION("IF(AND(ISERROR(FILTER('Items by Team'!D$2:D3410,'Items by Team'!C$2:C3410 = D70,'Items by Team'!B$2:B3410 = B70)),NOT(A70=""Practice"")),TRUE,FALSE)"),FALSE)</f>
        <v>0</v>
      </c>
      <c r="BR70" s="6" t="e">
        <f t="shared" ca="1" si="20"/>
        <v>#VALUE!</v>
      </c>
    </row>
    <row r="71" spans="1:70">
      <c r="A71" s="6" t="str">
        <f ca="1">IFERROR(__xludf.DUMMYFUNCTION("""COMPUTED_VALUE"""),"Practice")</f>
        <v>Practice</v>
      </c>
      <c r="B71" s="6">
        <f ca="1">IFERROR(__xludf.DUMMYFUNCTION("""COMPUTED_VALUE"""),13)</f>
        <v>13</v>
      </c>
      <c r="C71" s="6" t="str">
        <f ca="1">IFERROR(__xludf.DUMMYFUNCTION("""COMPUTED_VALUE"""),"B3")</f>
        <v>B3</v>
      </c>
      <c r="D71" s="6">
        <f ca="1">IFERROR(__xludf.DUMMYFUNCTION("""COMPUTED_VALUE"""),3755)</f>
        <v>3755</v>
      </c>
      <c r="E71" s="6" t="b">
        <f ca="1">IFERROR(__xludf.DUMMYFUNCTION("""COMPUTED_VALUE"""),FALSE)</f>
        <v>0</v>
      </c>
      <c r="F71" s="6"/>
      <c r="G71" s="6" t="b">
        <f ca="1">IFERROR(__xludf.DUMMYFUNCTION("""COMPUTED_VALUE"""),TRUE)</f>
        <v>1</v>
      </c>
      <c r="H71" s="6" t="b">
        <f ca="1">IFERROR(__xludf.DUMMYFUNCTION("""COMPUTED_VALUE"""),FALSE)</f>
        <v>0</v>
      </c>
      <c r="I71" s="6">
        <f ca="1">IFERROR(__xludf.DUMMYFUNCTION("""COMPUTED_VALUE"""),0)</f>
        <v>0</v>
      </c>
      <c r="J71" s="6">
        <f ca="1">IFERROR(__xludf.DUMMYFUNCTION("""COMPUTED_VALUE"""),0)</f>
        <v>0</v>
      </c>
      <c r="K71" s="6">
        <f ca="1">IFERROR(__xludf.DUMMYFUNCTION("""COMPUTED_VALUE"""),0)</f>
        <v>0</v>
      </c>
      <c r="L71" s="6">
        <f ca="1">IFERROR(__xludf.DUMMYFUNCTION("""COMPUTED_VALUE"""),0)</f>
        <v>0</v>
      </c>
      <c r="M71" s="6">
        <f ca="1">IFERROR(__xludf.DUMMYFUNCTION("""COMPUTED_VALUE"""),0)</f>
        <v>0</v>
      </c>
      <c r="N71" s="6">
        <f ca="1">IFERROR(__xludf.DUMMYFUNCTION("""COMPUTED_VALUE"""),0)</f>
        <v>0</v>
      </c>
      <c r="O71" s="6">
        <f ca="1">IFERROR(__xludf.DUMMYFUNCTION("""COMPUTED_VALUE"""),0)</f>
        <v>0</v>
      </c>
      <c r="P71" s="6">
        <f ca="1">IFERROR(__xludf.DUMMYFUNCTION("""COMPUTED_VALUE"""),0)</f>
        <v>0</v>
      </c>
      <c r="R71" s="6">
        <f ca="1">IFERROR(__xludf.DUMMYFUNCTION("""COMPUTED_VALUE"""),0)</f>
        <v>0</v>
      </c>
      <c r="S71" s="6">
        <f ca="1">IFERROR(__xludf.DUMMYFUNCTION("""COMPUTED_VALUE"""),0)</f>
        <v>0</v>
      </c>
      <c r="T71" s="6">
        <f ca="1">IFERROR(__xludf.DUMMYFUNCTION("""COMPUTED_VALUE"""),0)</f>
        <v>0</v>
      </c>
      <c r="U71" s="6">
        <f ca="1">IFERROR(__xludf.DUMMYFUNCTION("""COMPUTED_VALUE"""),0)</f>
        <v>0</v>
      </c>
      <c r="V71" s="6">
        <f ca="1">IFERROR(__xludf.DUMMYFUNCTION("""COMPUTED_VALUE"""),0)</f>
        <v>0</v>
      </c>
      <c r="W71" s="6">
        <f ca="1">IFERROR(__xludf.DUMMYFUNCTION("""COMPUTED_VALUE"""),4)</f>
        <v>4</v>
      </c>
      <c r="X71" s="6">
        <f ca="1">IFERROR(__xludf.DUMMYFUNCTION("""COMPUTED_VALUE"""),0)</f>
        <v>0</v>
      </c>
      <c r="Y71" s="6">
        <f ca="1">IFERROR(__xludf.DUMMYFUNCTION("""COMPUTED_VALUE"""),0)</f>
        <v>0</v>
      </c>
      <c r="Z71" s="6">
        <f ca="1">IFERROR(__xludf.DUMMYFUNCTION("""COMPUTED_VALUE"""),0)</f>
        <v>0</v>
      </c>
      <c r="AA71" s="6">
        <f ca="1">IFERROR(__xludf.DUMMYFUNCTION("""COMPUTED_VALUE"""),0)</f>
        <v>0</v>
      </c>
      <c r="AB71" s="6" t="b">
        <f ca="1">IFERROR(__xludf.DUMMYFUNCTION("""COMPUTED_VALUE"""),FALSE)</f>
        <v>0</v>
      </c>
      <c r="AD71" s="6" t="b">
        <f ca="1">IFERROR(__xludf.DUMMYFUNCTION("""COMPUTED_VALUE"""),FALSE)</f>
        <v>0</v>
      </c>
      <c r="AE71" s="6">
        <f ca="1">IFERROR(__xludf.DUMMYFUNCTION("""COMPUTED_VALUE"""),0)</f>
        <v>0</v>
      </c>
      <c r="AF71" s="6">
        <f ca="1">IFERROR(__xludf.DUMMYFUNCTION("""COMPUTED_VALUE"""),0)</f>
        <v>0</v>
      </c>
      <c r="AG71" s="6">
        <f ca="1">IFERROR(__xludf.DUMMYFUNCTION("""COMPUTED_VALUE"""),0)</f>
        <v>0</v>
      </c>
      <c r="AH71" s="6">
        <f ca="1">IFERROR(__xludf.DUMMYFUNCTION("""COMPUTED_VALUE"""),0)</f>
        <v>0</v>
      </c>
      <c r="AI71" s="6">
        <f ca="1">IFERROR(__xludf.DUMMYFUNCTION("""COMPUTED_VALUE"""),0)</f>
        <v>0</v>
      </c>
      <c r="AK71" s="6" t="str">
        <f ca="1">IFERROR(__xludf.DUMMYFUNCTION("""COMPUTED_VALUE"""),"No")</f>
        <v>No</v>
      </c>
      <c r="AL71" s="6">
        <f ca="1">IFERROR(__xludf.DUMMYFUNCTION("""COMPUTED_VALUE"""),0)</f>
        <v>0</v>
      </c>
      <c r="AM71" s="6" t="b">
        <f ca="1">IFERROR(__xludf.DUMMYFUNCTION("""COMPUTED_VALUE"""),FALSE)</f>
        <v>0</v>
      </c>
      <c r="AN71" s="6" t="str">
        <f ca="1">IFERROR(__xludf.DUMMYFUNCTION("""COMPUTED_VALUE"""),"P")</f>
        <v>P</v>
      </c>
      <c r="AO71" s="6"/>
      <c r="AP71" s="6" t="str">
        <f ca="1">IFERROR(__xludf.DUMMYFUNCTION("""COMPUTED_VALUE"""),"x")</f>
        <v>x</v>
      </c>
      <c r="AQ71" s="6" t="b">
        <f ca="1">IFERROR(__xludf.DUMMYFUNCTION("""COMPUTED_VALUE"""),FALSE)</f>
        <v>0</v>
      </c>
      <c r="AR71" s="6" t="b">
        <f ca="1">IFERROR(__xludf.DUMMYFUNCTION("""COMPUTED_VALUE"""),FALSE)</f>
        <v>0</v>
      </c>
      <c r="AS71" s="15"/>
      <c r="AT71" s="6" t="str">
        <f ca="1">IFERROR(__xludf.DUMMYFUNCTION("SWITCH(IF(A71=""Practice"",AN71,FILTER('Items by Team'!E$2:E3410,'Items by Team'!C$2:C3410=D71,B71='Items by Team'!B$2:B3410)),""None"",""No"",""Parked"",""P"",""ShallowCage"",""Sc"",""DeepCage"",""Dc"",""No"",""No"",""P"",""P"",""Sc"",""Sc"",""Dc"",""Dc"&amp;""")"),"P")</f>
        <v>P</v>
      </c>
      <c r="AU71" s="6" t="str">
        <f ca="1">IFERROR(__xludf.DUMMYFUNCTION("SWITCH(IF(A71 = ""Practice"", H71, FILTER('Items by Team'!D$2:D3410,'Items by Team'!C$2:C3410 = D71,'Items by Team'!B$2:B3410 = B71)), ""Yes"", ""TRUE"", ""No"", ""FALSE"",TRUE, ""TRUE"", FALSE, ""FALSE"")"),"FALSE")</f>
        <v>FALSE</v>
      </c>
      <c r="AV71" s="6" t="str">
        <f t="shared" ca="1" si="0"/>
        <v/>
      </c>
      <c r="AW71" s="6">
        <f t="shared" ca="1" si="1"/>
        <v>0</v>
      </c>
      <c r="AX71" s="6">
        <f t="shared" ca="1" si="2"/>
        <v>0</v>
      </c>
      <c r="AY71" s="6">
        <f t="shared" ca="1" si="3"/>
        <v>0</v>
      </c>
      <c r="AZ71" s="9" t="str">
        <f t="shared" ca="1" si="4"/>
        <v/>
      </c>
      <c r="BA71" s="6">
        <f t="shared" ca="1" si="5"/>
        <v>0</v>
      </c>
      <c r="BB71" s="6">
        <f t="shared" ca="1" si="6"/>
        <v>0</v>
      </c>
      <c r="BC71" s="9" t="str">
        <f t="shared" ca="1" si="7"/>
        <v/>
      </c>
      <c r="BD71" s="6">
        <f t="shared" ca="1" si="8"/>
        <v>0</v>
      </c>
      <c r="BE71" s="6">
        <f t="shared" ca="1" si="9"/>
        <v>0</v>
      </c>
      <c r="BF71" s="9" t="str">
        <f t="shared" ca="1" si="10"/>
        <v/>
      </c>
      <c r="BG71" s="6">
        <f t="shared" ca="1" si="11"/>
        <v>0</v>
      </c>
      <c r="BH71" s="6">
        <f t="shared" ca="1" si="12"/>
        <v>0</v>
      </c>
      <c r="BI71" s="9" t="str">
        <f t="shared" ca="1" si="13"/>
        <v/>
      </c>
      <c r="BJ71" s="6">
        <f t="shared" ca="1" si="14"/>
        <v>0</v>
      </c>
      <c r="BK71" s="6">
        <f t="shared" ca="1" si="15"/>
        <v>0</v>
      </c>
      <c r="BL71" s="6">
        <f t="shared" ca="1" si="16"/>
        <v>0</v>
      </c>
      <c r="BM71" s="6">
        <f t="shared" ca="1" si="17"/>
        <v>0</v>
      </c>
      <c r="BN71" s="6">
        <f t="shared" ca="1" si="18"/>
        <v>0</v>
      </c>
      <c r="BP71" s="6">
        <f t="shared" ca="1" si="19"/>
        <v>0</v>
      </c>
      <c r="BQ71" s="6" t="b">
        <f ca="1">IFERROR(__xludf.DUMMYFUNCTION("IF(AND(ISERROR(FILTER('Items by Team'!D$2:D3410,'Items by Team'!C$2:C3410 = D71,'Items by Team'!B$2:B3410 = B71)),NOT(A71=""Practice"")),TRUE,FALSE)"),FALSE)</f>
        <v>0</v>
      </c>
      <c r="BR71" s="6" t="e">
        <f t="shared" ca="1" si="20"/>
        <v>#VALUE!</v>
      </c>
    </row>
    <row r="72" spans="1:70">
      <c r="A72" s="6" t="str">
        <f ca="1">IFERROR(__xludf.DUMMYFUNCTION("""COMPUTED_VALUE"""),"Practice")</f>
        <v>Practice</v>
      </c>
      <c r="B72" s="6">
        <f ca="1">IFERROR(__xludf.DUMMYFUNCTION("""COMPUTED_VALUE"""),13)</f>
        <v>13</v>
      </c>
      <c r="C72" s="6" t="str">
        <f ca="1">IFERROR(__xludf.DUMMYFUNCTION("""COMPUTED_VALUE"""),"R1")</f>
        <v>R1</v>
      </c>
      <c r="D72" s="6">
        <f ca="1">IFERROR(__xludf.DUMMYFUNCTION("""COMPUTED_VALUE"""),3038)</f>
        <v>3038</v>
      </c>
      <c r="E72" s="6" t="b">
        <f ca="1">IFERROR(__xludf.DUMMYFUNCTION("""COMPUTED_VALUE"""),FALSE)</f>
        <v>0</v>
      </c>
      <c r="F72" s="6" t="str">
        <f ca="1">IFERROR(__xludf.DUMMYFUNCTION("""COMPUTED_VALUE"""),"Middle")</f>
        <v>Middle</v>
      </c>
      <c r="G72" s="6" t="b">
        <f ca="1">IFERROR(__xludf.DUMMYFUNCTION("""COMPUTED_VALUE"""),TRUE)</f>
        <v>1</v>
      </c>
      <c r="H72" s="6" t="b">
        <f ca="1">IFERROR(__xludf.DUMMYFUNCTION("""COMPUTED_VALUE"""),FALSE)</f>
        <v>0</v>
      </c>
      <c r="I72" s="6">
        <f ca="1">IFERROR(__xludf.DUMMYFUNCTION("""COMPUTED_VALUE"""),0)</f>
        <v>0</v>
      </c>
      <c r="J72" s="6">
        <f ca="1">IFERROR(__xludf.DUMMYFUNCTION("""COMPUTED_VALUE"""),0)</f>
        <v>0</v>
      </c>
      <c r="K72" s="6">
        <f ca="1">IFERROR(__xludf.DUMMYFUNCTION("""COMPUTED_VALUE"""),0)</f>
        <v>0</v>
      </c>
      <c r="L72" s="6">
        <f ca="1">IFERROR(__xludf.DUMMYFUNCTION("""COMPUTED_VALUE"""),0)</f>
        <v>0</v>
      </c>
      <c r="M72" s="6">
        <f ca="1">IFERROR(__xludf.DUMMYFUNCTION("""COMPUTED_VALUE"""),0)</f>
        <v>0</v>
      </c>
      <c r="N72" s="6">
        <f ca="1">IFERROR(__xludf.DUMMYFUNCTION("""COMPUTED_VALUE"""),0)</f>
        <v>0</v>
      </c>
      <c r="O72" s="6">
        <f ca="1">IFERROR(__xludf.DUMMYFUNCTION("""COMPUTED_VALUE"""),0)</f>
        <v>0</v>
      </c>
      <c r="P72" s="6">
        <f ca="1">IFERROR(__xludf.DUMMYFUNCTION("""COMPUTED_VALUE"""),0)</f>
        <v>0</v>
      </c>
      <c r="R72" s="6">
        <f ca="1">IFERROR(__xludf.DUMMYFUNCTION("""COMPUTED_VALUE"""),0)</f>
        <v>0</v>
      </c>
      <c r="S72" s="6">
        <f ca="1">IFERROR(__xludf.DUMMYFUNCTION("""COMPUTED_VALUE"""),0)</f>
        <v>0</v>
      </c>
      <c r="T72" s="6">
        <f ca="1">IFERROR(__xludf.DUMMYFUNCTION("""COMPUTED_VALUE"""),0)</f>
        <v>0</v>
      </c>
      <c r="U72" s="6">
        <f ca="1">IFERROR(__xludf.DUMMYFUNCTION("""COMPUTED_VALUE"""),0)</f>
        <v>0</v>
      </c>
      <c r="V72" s="6">
        <f ca="1">IFERROR(__xludf.DUMMYFUNCTION("""COMPUTED_VALUE"""),0)</f>
        <v>0</v>
      </c>
      <c r="W72" s="6">
        <f ca="1">IFERROR(__xludf.DUMMYFUNCTION("""COMPUTED_VALUE"""),0)</f>
        <v>0</v>
      </c>
      <c r="X72" s="6">
        <f ca="1">IFERROR(__xludf.DUMMYFUNCTION("""COMPUTED_VALUE"""),0)</f>
        <v>0</v>
      </c>
      <c r="Y72" s="6">
        <f ca="1">IFERROR(__xludf.DUMMYFUNCTION("""COMPUTED_VALUE"""),0)</f>
        <v>0</v>
      </c>
      <c r="Z72" s="6">
        <f ca="1">IFERROR(__xludf.DUMMYFUNCTION("""COMPUTED_VALUE"""),0)</f>
        <v>0</v>
      </c>
      <c r="AA72" s="6">
        <f ca="1">IFERROR(__xludf.DUMMYFUNCTION("""COMPUTED_VALUE"""),0)</f>
        <v>0</v>
      </c>
      <c r="AB72" s="6" t="b">
        <f ca="1">IFERROR(__xludf.DUMMYFUNCTION("""COMPUTED_VALUE"""),TRUE)</f>
        <v>1</v>
      </c>
      <c r="AD72" s="6" t="b">
        <f ca="1">IFERROR(__xludf.DUMMYFUNCTION("""COMPUTED_VALUE"""),FALSE)</f>
        <v>0</v>
      </c>
      <c r="AE72" s="6">
        <f ca="1">IFERROR(__xludf.DUMMYFUNCTION("""COMPUTED_VALUE"""),0)</f>
        <v>0</v>
      </c>
      <c r="AF72" s="6">
        <f ca="1">IFERROR(__xludf.DUMMYFUNCTION("""COMPUTED_VALUE"""),0)</f>
        <v>0</v>
      </c>
      <c r="AG72" s="6">
        <f ca="1">IFERROR(__xludf.DUMMYFUNCTION("""COMPUTED_VALUE"""),3)</f>
        <v>3</v>
      </c>
      <c r="AH72" s="6">
        <f ca="1">IFERROR(__xludf.DUMMYFUNCTION("""COMPUTED_VALUE"""),1)</f>
        <v>1</v>
      </c>
      <c r="AI72" s="6">
        <f ca="1">IFERROR(__xludf.DUMMYFUNCTION("""COMPUTED_VALUE"""),2)</f>
        <v>2</v>
      </c>
      <c r="AK72" s="6" t="str">
        <f ca="1">IFERROR(__xludf.DUMMYFUNCTION("""COMPUTED_VALUE"""),"P")</f>
        <v>P</v>
      </c>
      <c r="AL72" s="6">
        <f ca="1">IFERROR(__xludf.DUMMYFUNCTION("""COMPUTED_VALUE"""),0)</f>
        <v>0</v>
      </c>
      <c r="AM72" s="6" t="b">
        <f ca="1">IFERROR(__xludf.DUMMYFUNCTION("""COMPUTED_VALUE"""),TRUE)</f>
        <v>1</v>
      </c>
      <c r="AN72" s="6" t="str">
        <f ca="1">IFERROR(__xludf.DUMMYFUNCTION("""COMPUTED_VALUE"""),"P")</f>
        <v>P</v>
      </c>
      <c r="AO72" s="6" t="str">
        <f ca="1">IFERROR(__xludf.DUMMYFUNCTION("""COMPUTED_VALUE"""),"just attempted to park and crossed center line doing so")</f>
        <v>just attempted to park and crossed center line doing so</v>
      </c>
      <c r="AP72" s="6" t="str">
        <f ca="1">IFERROR(__xludf.DUMMYFUNCTION("""COMPUTED_VALUE"""),"x")</f>
        <v>x</v>
      </c>
      <c r="AQ72" s="6" t="b">
        <f ca="1">IFERROR(__xludf.DUMMYFUNCTION("""COMPUTED_VALUE"""),TRUE)</f>
        <v>1</v>
      </c>
      <c r="AR72" s="6" t="b">
        <f ca="1">IFERROR(__xludf.DUMMYFUNCTION("""COMPUTED_VALUE"""),FALSE)</f>
        <v>0</v>
      </c>
      <c r="AS72" s="15"/>
      <c r="AT72" s="6" t="str">
        <f ca="1">IFERROR(__xludf.DUMMYFUNCTION("SWITCH(IF(A72=""Practice"",AN72,FILTER('Items by Team'!E$2:E3410,'Items by Team'!C$2:C3410=D72,B72='Items by Team'!B$2:B3410)),""None"",""No"",""Parked"",""P"",""ShallowCage"",""Sc"",""DeepCage"",""Dc"",""No"",""No"",""P"",""P"",""Sc"",""Sc"",""Dc"",""Dc"&amp;""")"),"P")</f>
        <v>P</v>
      </c>
      <c r="AU72" s="6" t="str">
        <f ca="1">IFERROR(__xludf.DUMMYFUNCTION("SWITCH(IF(A72 = ""Practice"", H72, FILTER('Items by Team'!D$2:D3410,'Items by Team'!C$2:C3410 = D72,'Items by Team'!B$2:B3410 = B72)), ""Yes"", ""TRUE"", ""No"", ""FALSE"",TRUE, ""TRUE"", FALSE, ""FALSE"")"),"FALSE")</f>
        <v>FALSE</v>
      </c>
      <c r="AV72" s="6" t="str">
        <f t="shared" ca="1" si="0"/>
        <v/>
      </c>
      <c r="AW72" s="6">
        <f t="shared" ca="1" si="1"/>
        <v>0</v>
      </c>
      <c r="AX72" s="6">
        <f t="shared" ca="1" si="2"/>
        <v>0</v>
      </c>
      <c r="AY72" s="6">
        <f t="shared" ca="1" si="3"/>
        <v>0</v>
      </c>
      <c r="AZ72" s="9" t="str">
        <f t="shared" ca="1" si="4"/>
        <v/>
      </c>
      <c r="BA72" s="6">
        <f t="shared" ca="1" si="5"/>
        <v>0</v>
      </c>
      <c r="BB72" s="6">
        <f t="shared" ca="1" si="6"/>
        <v>0</v>
      </c>
      <c r="BC72" s="9" t="str">
        <f t="shared" ca="1" si="7"/>
        <v/>
      </c>
      <c r="BD72" s="6">
        <f t="shared" ca="1" si="8"/>
        <v>0</v>
      </c>
      <c r="BE72" s="6">
        <f t="shared" ca="1" si="9"/>
        <v>0</v>
      </c>
      <c r="BF72" s="9" t="str">
        <f t="shared" ca="1" si="10"/>
        <v/>
      </c>
      <c r="BG72" s="6">
        <f t="shared" ca="1" si="11"/>
        <v>4</v>
      </c>
      <c r="BH72" s="6">
        <f t="shared" ca="1" si="12"/>
        <v>6</v>
      </c>
      <c r="BI72" s="9">
        <f t="shared" ca="1" si="13"/>
        <v>0.66666666666666663</v>
      </c>
      <c r="BJ72" s="6">
        <f t="shared" ca="1" si="14"/>
        <v>1</v>
      </c>
      <c r="BK72" s="6">
        <f t="shared" ca="1" si="15"/>
        <v>0</v>
      </c>
      <c r="BL72" s="6">
        <f t="shared" ca="1" si="16"/>
        <v>0</v>
      </c>
      <c r="BM72" s="6">
        <f t="shared" ca="1" si="17"/>
        <v>0</v>
      </c>
      <c r="BN72" s="6">
        <f t="shared" ca="1" si="18"/>
        <v>1</v>
      </c>
      <c r="BP72" s="6">
        <f t="shared" ca="1" si="19"/>
        <v>0</v>
      </c>
      <c r="BQ72" s="6" t="b">
        <f ca="1">IFERROR(__xludf.DUMMYFUNCTION("IF(AND(ISERROR(FILTER('Items by Team'!D$2:D3410,'Items by Team'!C$2:C3410 = D72,'Items by Team'!B$2:B3410 = B72)),NOT(A72=""Practice"")),TRUE,FALSE)"),FALSE)</f>
        <v>0</v>
      </c>
      <c r="BR72" s="6" t="e">
        <f t="shared" ca="1" si="20"/>
        <v>#VALUE!</v>
      </c>
    </row>
    <row r="73" spans="1:70">
      <c r="A73" s="6" t="str">
        <f ca="1">IFERROR(__xludf.DUMMYFUNCTION("""COMPUTED_VALUE"""),"Practice")</f>
        <v>Practice</v>
      </c>
      <c r="B73" s="6">
        <f ca="1">IFERROR(__xludf.DUMMYFUNCTION("""COMPUTED_VALUE"""),13)</f>
        <v>13</v>
      </c>
      <c r="C73" s="6" t="str">
        <f ca="1">IFERROR(__xludf.DUMMYFUNCTION("""COMPUTED_VALUE"""),"R2")</f>
        <v>R2</v>
      </c>
      <c r="D73" s="6">
        <f ca="1">IFERROR(__xludf.DUMMYFUNCTION("""COMPUTED_VALUE"""),3891)</f>
        <v>3891</v>
      </c>
      <c r="E73" s="6" t="b">
        <f ca="1">IFERROR(__xludf.DUMMYFUNCTION("""COMPUTED_VALUE"""),FALSE)</f>
        <v>0</v>
      </c>
      <c r="F73" s="6" t="str">
        <f ca="1">IFERROR(__xludf.DUMMYFUNCTION("""COMPUTED_VALUE"""),"Red Barge")</f>
        <v>Red Barge</v>
      </c>
      <c r="G73" s="6" t="b">
        <f ca="1">IFERROR(__xludf.DUMMYFUNCTION("""COMPUTED_VALUE"""),TRUE)</f>
        <v>1</v>
      </c>
      <c r="H73" s="6" t="b">
        <f ca="1">IFERROR(__xludf.DUMMYFUNCTION("""COMPUTED_VALUE"""),TRUE)</f>
        <v>1</v>
      </c>
      <c r="I73" s="6">
        <f ca="1">IFERROR(__xludf.DUMMYFUNCTION("""COMPUTED_VALUE"""),0)</f>
        <v>0</v>
      </c>
      <c r="J73" s="6">
        <f ca="1">IFERROR(__xludf.DUMMYFUNCTION("""COMPUTED_VALUE"""),0)</f>
        <v>0</v>
      </c>
      <c r="K73" s="6">
        <f ca="1">IFERROR(__xludf.DUMMYFUNCTION("""COMPUTED_VALUE"""),0)</f>
        <v>0</v>
      </c>
      <c r="L73" s="6">
        <f ca="1">IFERROR(__xludf.DUMMYFUNCTION("""COMPUTED_VALUE"""),0)</f>
        <v>0</v>
      </c>
      <c r="M73" s="6">
        <f ca="1">IFERROR(__xludf.DUMMYFUNCTION("""COMPUTED_VALUE"""),0)</f>
        <v>0</v>
      </c>
      <c r="N73" s="6">
        <f ca="1">IFERROR(__xludf.DUMMYFUNCTION("""COMPUTED_VALUE"""),0)</f>
        <v>0</v>
      </c>
      <c r="O73" s="6">
        <f ca="1">IFERROR(__xludf.DUMMYFUNCTION("""COMPUTED_VALUE"""),0)</f>
        <v>0</v>
      </c>
      <c r="P73" s="6">
        <f ca="1">IFERROR(__xludf.DUMMYFUNCTION("""COMPUTED_VALUE"""),0)</f>
        <v>0</v>
      </c>
      <c r="R73" s="6">
        <f ca="1">IFERROR(__xludf.DUMMYFUNCTION("""COMPUTED_VALUE"""),0)</f>
        <v>0</v>
      </c>
      <c r="S73" s="6">
        <f ca="1">IFERROR(__xludf.DUMMYFUNCTION("""COMPUTED_VALUE"""),0)</f>
        <v>0</v>
      </c>
      <c r="T73" s="6">
        <f ca="1">IFERROR(__xludf.DUMMYFUNCTION("""COMPUTED_VALUE"""),0)</f>
        <v>0</v>
      </c>
      <c r="U73" s="6">
        <f ca="1">IFERROR(__xludf.DUMMYFUNCTION("""COMPUTED_VALUE"""),0)</f>
        <v>0</v>
      </c>
      <c r="V73" s="6">
        <f ca="1">IFERROR(__xludf.DUMMYFUNCTION("""COMPUTED_VALUE"""),0)</f>
        <v>0</v>
      </c>
      <c r="W73" s="6">
        <f ca="1">IFERROR(__xludf.DUMMYFUNCTION("""COMPUTED_VALUE"""),0)</f>
        <v>0</v>
      </c>
      <c r="X73" s="6">
        <f ca="1">IFERROR(__xludf.DUMMYFUNCTION("""COMPUTED_VALUE"""),0)</f>
        <v>0</v>
      </c>
      <c r="Y73" s="6">
        <f ca="1">IFERROR(__xludf.DUMMYFUNCTION("""COMPUTED_VALUE"""),0)</f>
        <v>0</v>
      </c>
      <c r="Z73" s="6">
        <f ca="1">IFERROR(__xludf.DUMMYFUNCTION("""COMPUTED_VALUE"""),0)</f>
        <v>0</v>
      </c>
      <c r="AA73" s="6">
        <f ca="1">IFERROR(__xludf.DUMMYFUNCTION("""COMPUTED_VALUE"""),0)</f>
        <v>0</v>
      </c>
      <c r="AB73" s="6" t="b">
        <f ca="1">IFERROR(__xludf.DUMMYFUNCTION("""COMPUTED_VALUE"""),TRUE)</f>
        <v>1</v>
      </c>
      <c r="AD73" s="6" t="b">
        <f ca="1">IFERROR(__xludf.DUMMYFUNCTION("""COMPUTED_VALUE"""),FALSE)</f>
        <v>0</v>
      </c>
      <c r="AE73" s="6">
        <f ca="1">IFERROR(__xludf.DUMMYFUNCTION("""COMPUTED_VALUE"""),3)</f>
        <v>3</v>
      </c>
      <c r="AF73" s="6">
        <f ca="1">IFERROR(__xludf.DUMMYFUNCTION("""COMPUTED_VALUE"""),0)</f>
        <v>0</v>
      </c>
      <c r="AG73" s="6">
        <f ca="1">IFERROR(__xludf.DUMMYFUNCTION("""COMPUTED_VALUE"""),0)</f>
        <v>0</v>
      </c>
      <c r="AH73" s="6">
        <f ca="1">IFERROR(__xludf.DUMMYFUNCTION("""COMPUTED_VALUE"""),2)</f>
        <v>2</v>
      </c>
      <c r="AI73" s="6">
        <f ca="1">IFERROR(__xludf.DUMMYFUNCTION("""COMPUTED_VALUE"""),2)</f>
        <v>2</v>
      </c>
      <c r="AK73" s="6" t="str">
        <f ca="1">IFERROR(__xludf.DUMMYFUNCTION("""COMPUTED_VALUE"""),"No")</f>
        <v>No</v>
      </c>
      <c r="AL73" s="6">
        <f ca="1">IFERROR(__xludf.DUMMYFUNCTION("""COMPUTED_VALUE"""),0)</f>
        <v>0</v>
      </c>
      <c r="AM73" s="6" t="b">
        <f ca="1">IFERROR(__xludf.DUMMYFUNCTION("""COMPUTED_VALUE"""),FALSE)</f>
        <v>0</v>
      </c>
      <c r="AN73" s="6" t="str">
        <f ca="1">IFERROR(__xludf.DUMMYFUNCTION("""COMPUTED_VALUE"""),"P")</f>
        <v>P</v>
      </c>
      <c r="AO73" s="6" t="str">
        <f ca="1">IFERROR(__xludf.DUMMYFUNCTION("""COMPUTED_VALUE"""),"waited until ~3 sec to go and park/potential climb attempt?")</f>
        <v>waited until ~3 sec to go and park/potential climb attempt?</v>
      </c>
      <c r="AP73" s="6" t="str">
        <f ca="1">IFERROR(__xludf.DUMMYFUNCTION("""COMPUTED_VALUE"""),"x")</f>
        <v>x</v>
      </c>
      <c r="AQ73" s="6" t="b">
        <f ca="1">IFERROR(__xludf.DUMMYFUNCTION("""COMPUTED_VALUE"""),FALSE)</f>
        <v>0</v>
      </c>
      <c r="AR73" s="6" t="b">
        <f ca="1">IFERROR(__xludf.DUMMYFUNCTION("""COMPUTED_VALUE"""),FALSE)</f>
        <v>0</v>
      </c>
      <c r="AS73" s="15"/>
      <c r="AT73" s="6" t="str">
        <f ca="1">IFERROR(__xludf.DUMMYFUNCTION("SWITCH(IF(A73=""Practice"",AN73,FILTER('Items by Team'!E$2:E3410,'Items by Team'!C$2:C3410=D73,B73='Items by Team'!B$2:B3410)),""None"",""No"",""Parked"",""P"",""ShallowCage"",""Sc"",""DeepCage"",""Dc"",""No"",""No"",""P"",""P"",""Sc"",""Sc"",""Dc"",""Dc"&amp;""")"),"P")</f>
        <v>P</v>
      </c>
      <c r="AU73" s="6" t="str">
        <f ca="1">IFERROR(__xludf.DUMMYFUNCTION("SWITCH(IF(A73 = ""Practice"", H73, FILTER('Items by Team'!D$2:D3410,'Items by Team'!C$2:C3410 = D73,'Items by Team'!B$2:B3410 = B73)), ""Yes"", ""TRUE"", ""No"", ""FALSE"",TRUE, ""TRUE"", FALSE, ""FALSE"")"),"TRUE")</f>
        <v>TRUE</v>
      </c>
      <c r="AV73" s="6" t="str">
        <f t="shared" ca="1" si="0"/>
        <v/>
      </c>
      <c r="AW73" s="6">
        <f t="shared" ca="1" si="1"/>
        <v>1</v>
      </c>
      <c r="AX73" s="6">
        <f t="shared" ca="1" si="2"/>
        <v>0</v>
      </c>
      <c r="AY73" s="6">
        <f t="shared" ca="1" si="3"/>
        <v>0</v>
      </c>
      <c r="AZ73" s="9" t="str">
        <f t="shared" ca="1" si="4"/>
        <v/>
      </c>
      <c r="BA73" s="6">
        <f t="shared" ca="1" si="5"/>
        <v>0</v>
      </c>
      <c r="BB73" s="6">
        <f t="shared" ca="1" si="6"/>
        <v>0</v>
      </c>
      <c r="BC73" s="9" t="str">
        <f t="shared" ca="1" si="7"/>
        <v/>
      </c>
      <c r="BD73" s="6">
        <f t="shared" ca="1" si="8"/>
        <v>0</v>
      </c>
      <c r="BE73" s="6">
        <f t="shared" ca="1" si="9"/>
        <v>0</v>
      </c>
      <c r="BF73" s="9" t="str">
        <f t="shared" ca="1" si="10"/>
        <v/>
      </c>
      <c r="BG73" s="6">
        <f t="shared" ca="1" si="11"/>
        <v>5</v>
      </c>
      <c r="BH73" s="6">
        <f t="shared" ca="1" si="12"/>
        <v>7</v>
      </c>
      <c r="BI73" s="9">
        <f t="shared" ca="1" si="13"/>
        <v>0.7142857142857143</v>
      </c>
      <c r="BJ73" s="6">
        <f t="shared" ca="1" si="14"/>
        <v>0</v>
      </c>
      <c r="BK73" s="6">
        <f t="shared" ca="1" si="15"/>
        <v>0</v>
      </c>
      <c r="BL73" s="6">
        <f t="shared" ca="1" si="16"/>
        <v>0</v>
      </c>
      <c r="BM73" s="6">
        <f t="shared" ca="1" si="17"/>
        <v>0</v>
      </c>
      <c r="BN73" s="6">
        <f t="shared" ca="1" si="18"/>
        <v>1</v>
      </c>
      <c r="BP73" s="6">
        <f t="shared" ca="1" si="19"/>
        <v>0</v>
      </c>
      <c r="BQ73" s="6" t="b">
        <f ca="1">IFERROR(__xludf.DUMMYFUNCTION("IF(AND(ISERROR(FILTER('Items by Team'!D$2:D3410,'Items by Team'!C$2:C3410 = D73,'Items by Team'!B$2:B3410 = B73)),NOT(A73=""Practice"")),TRUE,FALSE)"),FALSE)</f>
        <v>0</v>
      </c>
      <c r="BR73" s="6" t="e">
        <f t="shared" ca="1" si="20"/>
        <v>#VALUE!</v>
      </c>
    </row>
    <row r="74" spans="1:70">
      <c r="A74" s="6" t="str">
        <f ca="1">IFERROR(__xludf.DUMMYFUNCTION("""COMPUTED_VALUE"""),"Practice")</f>
        <v>Practice</v>
      </c>
      <c r="B74" s="6">
        <f ca="1">IFERROR(__xludf.DUMMYFUNCTION("""COMPUTED_VALUE"""),14)</f>
        <v>14</v>
      </c>
      <c r="C74" s="6" t="str">
        <f ca="1">IFERROR(__xludf.DUMMYFUNCTION("""COMPUTED_VALUE"""),"B1")</f>
        <v>B1</v>
      </c>
      <c r="D74" s="6">
        <f ca="1">IFERROR(__xludf.DUMMYFUNCTION("""COMPUTED_VALUE"""),4664)</f>
        <v>4664</v>
      </c>
      <c r="E74" s="6" t="b">
        <f ca="1">IFERROR(__xludf.DUMMYFUNCTION("""COMPUTED_VALUE"""),TRUE)</f>
        <v>1</v>
      </c>
      <c r="F74" s="6"/>
      <c r="G74" s="6" t="b">
        <f ca="1">IFERROR(__xludf.DUMMYFUNCTION("""COMPUTED_VALUE"""),TRUE)</f>
        <v>1</v>
      </c>
      <c r="H74" s="6" t="b">
        <f ca="1">IFERROR(__xludf.DUMMYFUNCTION("""COMPUTED_VALUE"""),FALSE)</f>
        <v>0</v>
      </c>
      <c r="I74" s="6">
        <f ca="1">IFERROR(__xludf.DUMMYFUNCTION("""COMPUTED_VALUE"""),0)</f>
        <v>0</v>
      </c>
      <c r="J74" s="6">
        <f ca="1">IFERROR(__xludf.DUMMYFUNCTION("""COMPUTED_VALUE"""),0)</f>
        <v>0</v>
      </c>
      <c r="K74" s="6">
        <f ca="1">IFERROR(__xludf.DUMMYFUNCTION("""COMPUTED_VALUE"""),0)</f>
        <v>0</v>
      </c>
      <c r="L74" s="6">
        <f ca="1">IFERROR(__xludf.DUMMYFUNCTION("""COMPUTED_VALUE"""),0)</f>
        <v>0</v>
      </c>
      <c r="M74" s="6">
        <f ca="1">IFERROR(__xludf.DUMMYFUNCTION("""COMPUTED_VALUE"""),0)</f>
        <v>0</v>
      </c>
      <c r="N74" s="6">
        <f ca="1">IFERROR(__xludf.DUMMYFUNCTION("""COMPUTED_VALUE"""),0)</f>
        <v>0</v>
      </c>
      <c r="O74" s="6">
        <f ca="1">IFERROR(__xludf.DUMMYFUNCTION("""COMPUTED_VALUE"""),0)</f>
        <v>0</v>
      </c>
      <c r="P74" s="6">
        <f ca="1">IFERROR(__xludf.DUMMYFUNCTION("""COMPUTED_VALUE"""),0)</f>
        <v>0</v>
      </c>
      <c r="R74" s="6">
        <f ca="1">IFERROR(__xludf.DUMMYFUNCTION("""COMPUTED_VALUE"""),0)</f>
        <v>0</v>
      </c>
      <c r="S74" s="6">
        <f ca="1">IFERROR(__xludf.DUMMYFUNCTION("""COMPUTED_VALUE"""),0)</f>
        <v>0</v>
      </c>
      <c r="T74" s="6">
        <f ca="1">IFERROR(__xludf.DUMMYFUNCTION("""COMPUTED_VALUE"""),0)</f>
        <v>0</v>
      </c>
      <c r="U74" s="6">
        <f ca="1">IFERROR(__xludf.DUMMYFUNCTION("""COMPUTED_VALUE"""),0)</f>
        <v>0</v>
      </c>
      <c r="V74" s="6">
        <f ca="1">IFERROR(__xludf.DUMMYFUNCTION("""COMPUTED_VALUE"""),0)</f>
        <v>0</v>
      </c>
      <c r="W74" s="6">
        <f ca="1">IFERROR(__xludf.DUMMYFUNCTION("""COMPUTED_VALUE"""),0)</f>
        <v>0</v>
      </c>
      <c r="X74" s="6">
        <f ca="1">IFERROR(__xludf.DUMMYFUNCTION("""COMPUTED_VALUE"""),0)</f>
        <v>0</v>
      </c>
      <c r="Y74" s="6">
        <f ca="1">IFERROR(__xludf.DUMMYFUNCTION("""COMPUTED_VALUE"""),0)</f>
        <v>0</v>
      </c>
      <c r="Z74" s="6">
        <f ca="1">IFERROR(__xludf.DUMMYFUNCTION("""COMPUTED_VALUE"""),0)</f>
        <v>0</v>
      </c>
      <c r="AA74" s="6">
        <f ca="1">IFERROR(__xludf.DUMMYFUNCTION("""COMPUTED_VALUE"""),0)</f>
        <v>0</v>
      </c>
      <c r="AB74" s="6" t="b">
        <f ca="1">IFERROR(__xludf.DUMMYFUNCTION("""COMPUTED_VALUE"""),FALSE)</f>
        <v>0</v>
      </c>
      <c r="AD74" s="6" t="b">
        <f ca="1">IFERROR(__xludf.DUMMYFUNCTION("""COMPUTED_VALUE"""),FALSE)</f>
        <v>0</v>
      </c>
      <c r="AE74" s="6">
        <f ca="1">IFERROR(__xludf.DUMMYFUNCTION("""COMPUTED_VALUE"""),0)</f>
        <v>0</v>
      </c>
      <c r="AF74" s="6">
        <f ca="1">IFERROR(__xludf.DUMMYFUNCTION("""COMPUTED_VALUE"""),0)</f>
        <v>0</v>
      </c>
      <c r="AG74" s="6">
        <f ca="1">IFERROR(__xludf.DUMMYFUNCTION("""COMPUTED_VALUE"""),0)</f>
        <v>0</v>
      </c>
      <c r="AH74" s="6">
        <f ca="1">IFERROR(__xludf.DUMMYFUNCTION("""COMPUTED_VALUE"""),0)</f>
        <v>0</v>
      </c>
      <c r="AI74" s="6">
        <f ca="1">IFERROR(__xludf.DUMMYFUNCTION("""COMPUTED_VALUE"""),0)</f>
        <v>0</v>
      </c>
      <c r="AK74" s="6" t="str">
        <f ca="1">IFERROR(__xludf.DUMMYFUNCTION("""COMPUTED_VALUE"""),"No")</f>
        <v>No</v>
      </c>
      <c r="AL74" s="6">
        <f ca="1">IFERROR(__xludf.DUMMYFUNCTION("""COMPUTED_VALUE"""),0)</f>
        <v>0</v>
      </c>
      <c r="AM74" s="6" t="b">
        <f ca="1">IFERROR(__xludf.DUMMYFUNCTION("""COMPUTED_VALUE"""),FALSE)</f>
        <v>0</v>
      </c>
      <c r="AN74" s="6" t="str">
        <f ca="1">IFERROR(__xludf.DUMMYFUNCTION("""COMPUTED_VALUE"""),"No")</f>
        <v>No</v>
      </c>
      <c r="AO74" s="6"/>
      <c r="AP74" s="6" t="str">
        <f ca="1">IFERROR(__xludf.DUMMYFUNCTION("""COMPUTED_VALUE"""),"x")</f>
        <v>x</v>
      </c>
      <c r="AQ74" s="6" t="b">
        <f ca="1">IFERROR(__xludf.DUMMYFUNCTION("""COMPUTED_VALUE"""),FALSE)</f>
        <v>0</v>
      </c>
      <c r="AR74" s="6" t="b">
        <f ca="1">IFERROR(__xludf.DUMMYFUNCTION("""COMPUTED_VALUE"""),FALSE)</f>
        <v>0</v>
      </c>
      <c r="AS74" s="15"/>
      <c r="AT74" s="6" t="str">
        <f ca="1">IFERROR(__xludf.DUMMYFUNCTION("SWITCH(IF(A74=""Practice"",AN74,FILTER('Items by Team'!E$2:E3410,'Items by Team'!C$2:C3410=D74,B74='Items by Team'!B$2:B3410)),""None"",""No"",""Parked"",""P"",""ShallowCage"",""Sc"",""DeepCage"",""Dc"",""No"",""No"",""P"",""P"",""Sc"",""Sc"",""Dc"",""Dc"&amp;""")"),"No")</f>
        <v>No</v>
      </c>
      <c r="AU74" s="6" t="str">
        <f ca="1">IFERROR(__xludf.DUMMYFUNCTION("SWITCH(IF(A74 = ""Practice"", H74, FILTER('Items by Team'!D$2:D3410,'Items by Team'!C$2:C3410 = D74,'Items by Team'!B$2:B3410 = B74)), ""Yes"", ""TRUE"", ""No"", ""FALSE"",TRUE, ""TRUE"", FALSE, ""FALSE"")"),"FALSE")</f>
        <v>FALSE</v>
      </c>
      <c r="AV74" s="6" t="str">
        <f t="shared" ca="1" si="0"/>
        <v/>
      </c>
      <c r="AW74" s="6">
        <f t="shared" ca="1" si="1"/>
        <v>0</v>
      </c>
      <c r="AX74" s="6">
        <f t="shared" ca="1" si="2"/>
        <v>0</v>
      </c>
      <c r="AY74" s="6">
        <f t="shared" ca="1" si="3"/>
        <v>0</v>
      </c>
      <c r="AZ74" s="9" t="str">
        <f t="shared" ca="1" si="4"/>
        <v/>
      </c>
      <c r="BA74" s="6">
        <f t="shared" ca="1" si="5"/>
        <v>0</v>
      </c>
      <c r="BB74" s="6">
        <f t="shared" ca="1" si="6"/>
        <v>0</v>
      </c>
      <c r="BC74" s="9" t="str">
        <f t="shared" ca="1" si="7"/>
        <v/>
      </c>
      <c r="BD74" s="6">
        <f t="shared" ca="1" si="8"/>
        <v>0</v>
      </c>
      <c r="BE74" s="6">
        <f t="shared" ca="1" si="9"/>
        <v>0</v>
      </c>
      <c r="BF74" s="9" t="str">
        <f t="shared" ca="1" si="10"/>
        <v/>
      </c>
      <c r="BG74" s="6">
        <f t="shared" ca="1" si="11"/>
        <v>0</v>
      </c>
      <c r="BH74" s="6">
        <f t="shared" ca="1" si="12"/>
        <v>0</v>
      </c>
      <c r="BI74" s="9" t="str">
        <f t="shared" ca="1" si="13"/>
        <v/>
      </c>
      <c r="BJ74" s="6">
        <f t="shared" ca="1" si="14"/>
        <v>0</v>
      </c>
      <c r="BK74" s="6">
        <f t="shared" ca="1" si="15"/>
        <v>0</v>
      </c>
      <c r="BL74" s="6">
        <f t="shared" ca="1" si="16"/>
        <v>0</v>
      </c>
      <c r="BM74" s="6">
        <f t="shared" ca="1" si="17"/>
        <v>0</v>
      </c>
      <c r="BN74" s="6">
        <f t="shared" ca="1" si="18"/>
        <v>0</v>
      </c>
      <c r="BP74" s="6">
        <f t="shared" ca="1" si="19"/>
        <v>0</v>
      </c>
      <c r="BQ74" s="6" t="b">
        <f ca="1">IFERROR(__xludf.DUMMYFUNCTION("IF(AND(ISERROR(FILTER('Items by Team'!D$2:D3410,'Items by Team'!C$2:C3410 = D74,'Items by Team'!B$2:B3410 = B74)),NOT(A74=""Practice"")),TRUE,FALSE)"),FALSE)</f>
        <v>0</v>
      </c>
      <c r="BR74" s="6" t="e">
        <f t="shared" ca="1" si="20"/>
        <v>#VALUE!</v>
      </c>
    </row>
    <row r="75" spans="1:70">
      <c r="A75" s="6" t="str">
        <f ca="1">IFERROR(__xludf.DUMMYFUNCTION("""COMPUTED_VALUE"""),"Practice")</f>
        <v>Practice</v>
      </c>
      <c r="B75" s="6">
        <f ca="1">IFERROR(__xludf.DUMMYFUNCTION("""COMPUTED_VALUE"""),14)</f>
        <v>14</v>
      </c>
      <c r="C75" s="6" t="str">
        <f ca="1">IFERROR(__xludf.DUMMYFUNCTION("""COMPUTED_VALUE"""),"B2")</f>
        <v>B2</v>
      </c>
      <c r="D75" s="6">
        <f ca="1">IFERROR(__xludf.DUMMYFUNCTION("""COMPUTED_VALUE"""),6045)</f>
        <v>6045</v>
      </c>
      <c r="E75" s="6" t="b">
        <f ca="1">IFERROR(__xludf.DUMMYFUNCTION("""COMPUTED_VALUE"""),FALSE)</f>
        <v>0</v>
      </c>
      <c r="F75" s="6" t="str">
        <f ca="1">IFERROR(__xludf.DUMMYFUNCTION("""COMPUTED_VALUE"""),"Middle")</f>
        <v>Middle</v>
      </c>
      <c r="G75" s="6" t="b">
        <f ca="1">IFERROR(__xludf.DUMMYFUNCTION("""COMPUTED_VALUE"""),TRUE)</f>
        <v>1</v>
      </c>
      <c r="H75" s="6" t="b">
        <f ca="1">IFERROR(__xludf.DUMMYFUNCTION("""COMPUTED_VALUE"""),FALSE)</f>
        <v>0</v>
      </c>
      <c r="I75" s="6">
        <f ca="1">IFERROR(__xludf.DUMMYFUNCTION("""COMPUTED_VALUE"""),0)</f>
        <v>0</v>
      </c>
      <c r="J75" s="6">
        <f ca="1">IFERROR(__xludf.DUMMYFUNCTION("""COMPUTED_VALUE"""),0)</f>
        <v>0</v>
      </c>
      <c r="K75" s="6">
        <f ca="1">IFERROR(__xludf.DUMMYFUNCTION("""COMPUTED_VALUE"""),0)</f>
        <v>0</v>
      </c>
      <c r="L75" s="6">
        <f ca="1">IFERROR(__xludf.DUMMYFUNCTION("""COMPUTED_VALUE"""),0)</f>
        <v>0</v>
      </c>
      <c r="M75" s="6">
        <f ca="1">IFERROR(__xludf.DUMMYFUNCTION("""COMPUTED_VALUE"""),0)</f>
        <v>0</v>
      </c>
      <c r="N75" s="6">
        <f ca="1">IFERROR(__xludf.DUMMYFUNCTION("""COMPUTED_VALUE"""),0)</f>
        <v>0</v>
      </c>
      <c r="O75" s="6">
        <f ca="1">IFERROR(__xludf.DUMMYFUNCTION("""COMPUTED_VALUE"""),0)</f>
        <v>0</v>
      </c>
      <c r="P75" s="6">
        <f ca="1">IFERROR(__xludf.DUMMYFUNCTION("""COMPUTED_VALUE"""),0)</f>
        <v>0</v>
      </c>
      <c r="R75" s="6">
        <f ca="1">IFERROR(__xludf.DUMMYFUNCTION("""COMPUTED_VALUE"""),0)</f>
        <v>0</v>
      </c>
      <c r="S75" s="6">
        <f ca="1">IFERROR(__xludf.DUMMYFUNCTION("""COMPUTED_VALUE"""),0)</f>
        <v>0</v>
      </c>
      <c r="T75" s="6">
        <f ca="1">IFERROR(__xludf.DUMMYFUNCTION("""COMPUTED_VALUE"""),0)</f>
        <v>0</v>
      </c>
      <c r="U75" s="6">
        <f ca="1">IFERROR(__xludf.DUMMYFUNCTION("""COMPUTED_VALUE"""),0)</f>
        <v>0</v>
      </c>
      <c r="V75" s="6">
        <f ca="1">IFERROR(__xludf.DUMMYFUNCTION("""COMPUTED_VALUE"""),0)</f>
        <v>0</v>
      </c>
      <c r="W75" s="6">
        <f ca="1">IFERROR(__xludf.DUMMYFUNCTION("""COMPUTED_VALUE"""),1)</f>
        <v>1</v>
      </c>
      <c r="X75" s="6">
        <f ca="1">IFERROR(__xludf.DUMMYFUNCTION("""COMPUTED_VALUE"""),2)</f>
        <v>2</v>
      </c>
      <c r="Y75" s="6">
        <f ca="1">IFERROR(__xludf.DUMMYFUNCTION("""COMPUTED_VALUE"""),1)</f>
        <v>1</v>
      </c>
      <c r="Z75" s="6">
        <f ca="1">IFERROR(__xludf.DUMMYFUNCTION("""COMPUTED_VALUE"""),4)</f>
        <v>4</v>
      </c>
      <c r="AA75" s="6">
        <f ca="1">IFERROR(__xludf.DUMMYFUNCTION("""COMPUTED_VALUE"""),1)</f>
        <v>1</v>
      </c>
      <c r="AB75" s="6" t="b">
        <f ca="1">IFERROR(__xludf.DUMMYFUNCTION("""COMPUTED_VALUE"""),TRUE)</f>
        <v>1</v>
      </c>
      <c r="AD75" s="6" t="b">
        <f ca="1">IFERROR(__xludf.DUMMYFUNCTION("""COMPUTED_VALUE"""),FALSE)</f>
        <v>0</v>
      </c>
      <c r="AE75" s="6">
        <f ca="1">IFERROR(__xludf.DUMMYFUNCTION("""COMPUTED_VALUE"""),3)</f>
        <v>3</v>
      </c>
      <c r="AF75" s="6">
        <f ca="1">IFERROR(__xludf.DUMMYFUNCTION("""COMPUTED_VALUE"""),0)</f>
        <v>0</v>
      </c>
      <c r="AG75" s="6">
        <f ca="1">IFERROR(__xludf.DUMMYFUNCTION("""COMPUTED_VALUE"""),0)</f>
        <v>0</v>
      </c>
      <c r="AH75" s="6">
        <f ca="1">IFERROR(__xludf.DUMMYFUNCTION("""COMPUTED_VALUE"""),2)</f>
        <v>2</v>
      </c>
      <c r="AI75" s="6">
        <f ca="1">IFERROR(__xludf.DUMMYFUNCTION("""COMPUTED_VALUE"""),0)</f>
        <v>0</v>
      </c>
      <c r="AK75" s="6" t="str">
        <f ca="1">IFERROR(__xludf.DUMMYFUNCTION("""COMPUTED_VALUE"""),"P")</f>
        <v>P</v>
      </c>
      <c r="AL75" s="6">
        <f ca="1">IFERROR(__xludf.DUMMYFUNCTION("""COMPUTED_VALUE"""),0)</f>
        <v>0</v>
      </c>
      <c r="AM75" s="6" t="b">
        <f ca="1">IFERROR(__xludf.DUMMYFUNCTION("""COMPUTED_VALUE"""),FALSE)</f>
        <v>0</v>
      </c>
      <c r="AN75" s="6" t="str">
        <f ca="1">IFERROR(__xludf.DUMMYFUNCTION("""COMPUTED_VALUE"""),"P")</f>
        <v>P</v>
      </c>
      <c r="AO75" s="6"/>
      <c r="AP75" s="6" t="str">
        <f ca="1">IFERROR(__xludf.DUMMYFUNCTION("""COMPUTED_VALUE"""),"x")</f>
        <v>x</v>
      </c>
      <c r="AQ75" s="6" t="b">
        <f ca="1">IFERROR(__xludf.DUMMYFUNCTION("""COMPUTED_VALUE"""),FALSE)</f>
        <v>0</v>
      </c>
      <c r="AR75" s="6" t="b">
        <f ca="1">IFERROR(__xludf.DUMMYFUNCTION("""COMPUTED_VALUE"""),FALSE)</f>
        <v>0</v>
      </c>
      <c r="AS75" s="15"/>
      <c r="AT75" s="6" t="str">
        <f ca="1">IFERROR(__xludf.DUMMYFUNCTION("SWITCH(IF(A75=""Practice"",AN75,FILTER('Items by Team'!E$2:E3410,'Items by Team'!C$2:C3410=D75,B75='Items by Team'!B$2:B3410)),""None"",""No"",""Parked"",""P"",""ShallowCage"",""Sc"",""DeepCage"",""Dc"",""No"",""No"",""P"",""P"",""Sc"",""Sc"",""Dc"",""Dc"&amp;""")"),"P")</f>
        <v>P</v>
      </c>
      <c r="AU75" s="6" t="str">
        <f ca="1">IFERROR(__xludf.DUMMYFUNCTION("SWITCH(IF(A75 = ""Practice"", H75, FILTER('Items by Team'!D$2:D3410,'Items by Team'!C$2:C3410 = D75,'Items by Team'!B$2:B3410 = B75)), ""Yes"", ""TRUE"", ""No"", ""FALSE"",TRUE, ""TRUE"", FALSE, ""FALSE"")"),"FALSE")</f>
        <v>FALSE</v>
      </c>
      <c r="AV75" s="6" t="str">
        <f t="shared" ca="1" si="0"/>
        <v/>
      </c>
      <c r="AW75" s="6">
        <f t="shared" ca="1" si="1"/>
        <v>0</v>
      </c>
      <c r="AX75" s="6">
        <f t="shared" ca="1" si="2"/>
        <v>0</v>
      </c>
      <c r="AY75" s="6">
        <f t="shared" ca="1" si="3"/>
        <v>0</v>
      </c>
      <c r="AZ75" s="9" t="str">
        <f t="shared" ca="1" si="4"/>
        <v/>
      </c>
      <c r="BA75" s="6">
        <f t="shared" ca="1" si="5"/>
        <v>0</v>
      </c>
      <c r="BB75" s="6">
        <f t="shared" ca="1" si="6"/>
        <v>0</v>
      </c>
      <c r="BC75" s="9" t="str">
        <f t="shared" ca="1" si="7"/>
        <v/>
      </c>
      <c r="BD75" s="6">
        <f t="shared" ca="1" si="8"/>
        <v>2</v>
      </c>
      <c r="BE75" s="6">
        <f t="shared" ca="1" si="9"/>
        <v>3</v>
      </c>
      <c r="BF75" s="9">
        <f t="shared" ca="1" si="10"/>
        <v>0.66666666666666663</v>
      </c>
      <c r="BG75" s="6">
        <f t="shared" ca="1" si="11"/>
        <v>5</v>
      </c>
      <c r="BH75" s="6">
        <f t="shared" ca="1" si="12"/>
        <v>5</v>
      </c>
      <c r="BI75" s="9">
        <f t="shared" ca="1" si="13"/>
        <v>1</v>
      </c>
      <c r="BJ75" s="6">
        <f t="shared" ca="1" si="14"/>
        <v>0</v>
      </c>
      <c r="BK75" s="6">
        <f t="shared" ca="1" si="15"/>
        <v>0</v>
      </c>
      <c r="BL75" s="6">
        <f t="shared" ca="1" si="16"/>
        <v>0</v>
      </c>
      <c r="BM75" s="6">
        <f t="shared" ca="1" si="17"/>
        <v>0</v>
      </c>
      <c r="BN75" s="6">
        <f t="shared" ca="1" si="18"/>
        <v>1</v>
      </c>
      <c r="BP75" s="6">
        <f t="shared" ca="1" si="19"/>
        <v>0</v>
      </c>
      <c r="BQ75" s="6" t="b">
        <f ca="1">IFERROR(__xludf.DUMMYFUNCTION("IF(AND(ISERROR(FILTER('Items by Team'!D$2:D3410,'Items by Team'!C$2:C3410 = D75,'Items by Team'!B$2:B3410 = B75)),NOT(A75=""Practice"")),TRUE,FALSE)"),FALSE)</f>
        <v>0</v>
      </c>
      <c r="BR75" s="6" t="e">
        <f t="shared" ca="1" si="20"/>
        <v>#VALUE!</v>
      </c>
    </row>
    <row r="76" spans="1:70">
      <c r="A76" s="6" t="str">
        <f ca="1">IFERROR(__xludf.DUMMYFUNCTION("""COMPUTED_VALUE"""),"Practice")</f>
        <v>Practice</v>
      </c>
      <c r="B76" s="6">
        <f ca="1">IFERROR(__xludf.DUMMYFUNCTION("""COMPUTED_VALUE"""),14)</f>
        <v>14</v>
      </c>
      <c r="C76" s="6" t="str">
        <f ca="1">IFERROR(__xludf.DUMMYFUNCTION("""COMPUTED_VALUE"""),"R1")</f>
        <v>R1</v>
      </c>
      <c r="D76" s="6">
        <f ca="1">IFERROR(__xludf.DUMMYFUNCTION("""COMPUTED_VALUE"""),5996)</f>
        <v>5996</v>
      </c>
      <c r="E76" s="6" t="b">
        <f ca="1">IFERROR(__xludf.DUMMYFUNCTION("""COMPUTED_VALUE"""),TRUE)</f>
        <v>1</v>
      </c>
      <c r="F76" s="6" t="str">
        <f ca="1">IFERROR(__xludf.DUMMYFUNCTION("""COMPUTED_VALUE"""),"Blue Barge")</f>
        <v>Blue Barge</v>
      </c>
      <c r="G76" s="6" t="b">
        <f ca="1">IFERROR(__xludf.DUMMYFUNCTION("""COMPUTED_VALUE"""),FALSE)</f>
        <v>0</v>
      </c>
      <c r="H76" s="6" t="b">
        <f ca="1">IFERROR(__xludf.DUMMYFUNCTION("""COMPUTED_VALUE"""),FALSE)</f>
        <v>0</v>
      </c>
      <c r="I76" s="6">
        <f ca="1">IFERROR(__xludf.DUMMYFUNCTION("""COMPUTED_VALUE"""),0)</f>
        <v>0</v>
      </c>
      <c r="J76" s="6">
        <f ca="1">IFERROR(__xludf.DUMMYFUNCTION("""COMPUTED_VALUE"""),0)</f>
        <v>0</v>
      </c>
      <c r="K76" s="6">
        <f ca="1">IFERROR(__xludf.DUMMYFUNCTION("""COMPUTED_VALUE"""),0)</f>
        <v>0</v>
      </c>
      <c r="L76" s="6">
        <f ca="1">IFERROR(__xludf.DUMMYFUNCTION("""COMPUTED_VALUE"""),0)</f>
        <v>0</v>
      </c>
      <c r="M76" s="6">
        <f ca="1">IFERROR(__xludf.DUMMYFUNCTION("""COMPUTED_VALUE"""),0)</f>
        <v>0</v>
      </c>
      <c r="N76" s="6">
        <f ca="1">IFERROR(__xludf.DUMMYFUNCTION("""COMPUTED_VALUE"""),0)</f>
        <v>0</v>
      </c>
      <c r="O76" s="6">
        <f ca="1">IFERROR(__xludf.DUMMYFUNCTION("""COMPUTED_VALUE"""),0)</f>
        <v>0</v>
      </c>
      <c r="P76" s="6">
        <f ca="1">IFERROR(__xludf.DUMMYFUNCTION("""COMPUTED_VALUE"""),0)</f>
        <v>0</v>
      </c>
      <c r="R76" s="6">
        <f ca="1">IFERROR(__xludf.DUMMYFUNCTION("""COMPUTED_VALUE"""),0)</f>
        <v>0</v>
      </c>
      <c r="S76" s="6">
        <f ca="1">IFERROR(__xludf.DUMMYFUNCTION("""COMPUTED_VALUE"""),0)</f>
        <v>0</v>
      </c>
      <c r="T76" s="6">
        <f ca="1">IFERROR(__xludf.DUMMYFUNCTION("""COMPUTED_VALUE"""),0)</f>
        <v>0</v>
      </c>
      <c r="U76" s="6">
        <f ca="1">IFERROR(__xludf.DUMMYFUNCTION("""COMPUTED_VALUE"""),0)</f>
        <v>0</v>
      </c>
      <c r="V76" s="6">
        <f ca="1">IFERROR(__xludf.DUMMYFUNCTION("""COMPUTED_VALUE"""),0)</f>
        <v>0</v>
      </c>
      <c r="W76" s="6">
        <f ca="1">IFERROR(__xludf.DUMMYFUNCTION("""COMPUTED_VALUE"""),0)</f>
        <v>0</v>
      </c>
      <c r="X76" s="6">
        <f ca="1">IFERROR(__xludf.DUMMYFUNCTION("""COMPUTED_VALUE"""),0)</f>
        <v>0</v>
      </c>
      <c r="Y76" s="6">
        <f ca="1">IFERROR(__xludf.DUMMYFUNCTION("""COMPUTED_VALUE"""),0)</f>
        <v>0</v>
      </c>
      <c r="Z76" s="6">
        <f ca="1">IFERROR(__xludf.DUMMYFUNCTION("""COMPUTED_VALUE"""),0)</f>
        <v>0</v>
      </c>
      <c r="AA76" s="6">
        <f ca="1">IFERROR(__xludf.DUMMYFUNCTION("""COMPUTED_VALUE"""),0)</f>
        <v>0</v>
      </c>
      <c r="AB76" s="6" t="b">
        <f ca="1">IFERROR(__xludf.DUMMYFUNCTION("""COMPUTED_VALUE"""),FALSE)</f>
        <v>0</v>
      </c>
      <c r="AD76" s="6" t="b">
        <f ca="1">IFERROR(__xludf.DUMMYFUNCTION("""COMPUTED_VALUE"""),FALSE)</f>
        <v>0</v>
      </c>
      <c r="AE76" s="6">
        <f ca="1">IFERROR(__xludf.DUMMYFUNCTION("""COMPUTED_VALUE"""),0)</f>
        <v>0</v>
      </c>
      <c r="AF76" s="6">
        <f ca="1">IFERROR(__xludf.DUMMYFUNCTION("""COMPUTED_VALUE"""),0)</f>
        <v>0</v>
      </c>
      <c r="AG76" s="6">
        <f ca="1">IFERROR(__xludf.DUMMYFUNCTION("""COMPUTED_VALUE"""),0)</f>
        <v>0</v>
      </c>
      <c r="AH76" s="6">
        <f ca="1">IFERROR(__xludf.DUMMYFUNCTION("""COMPUTED_VALUE"""),0)</f>
        <v>0</v>
      </c>
      <c r="AI76" s="6">
        <f ca="1">IFERROR(__xludf.DUMMYFUNCTION("""COMPUTED_VALUE"""),0)</f>
        <v>0</v>
      </c>
      <c r="AK76" s="6" t="str">
        <f ca="1">IFERROR(__xludf.DUMMYFUNCTION("""COMPUTED_VALUE"""),"No")</f>
        <v>No</v>
      </c>
      <c r="AL76" s="6">
        <f ca="1">IFERROR(__xludf.DUMMYFUNCTION("""COMPUTED_VALUE"""),0)</f>
        <v>0</v>
      </c>
      <c r="AM76" s="6" t="b">
        <f ca="1">IFERROR(__xludf.DUMMYFUNCTION("""COMPUTED_VALUE"""),FALSE)</f>
        <v>0</v>
      </c>
      <c r="AN76" s="6" t="str">
        <f ca="1">IFERROR(__xludf.DUMMYFUNCTION("""COMPUTED_VALUE"""),"No")</f>
        <v>No</v>
      </c>
      <c r="AO76" s="6"/>
      <c r="AP76" s="6" t="str">
        <f ca="1">IFERROR(__xludf.DUMMYFUNCTION("""COMPUTED_VALUE"""),"x")</f>
        <v>x</v>
      </c>
      <c r="AQ76" s="6" t="b">
        <f ca="1">IFERROR(__xludf.DUMMYFUNCTION("""COMPUTED_VALUE"""),FALSE)</f>
        <v>0</v>
      </c>
      <c r="AR76" s="6" t="b">
        <f ca="1">IFERROR(__xludf.DUMMYFUNCTION("""COMPUTED_VALUE"""),FALSE)</f>
        <v>0</v>
      </c>
      <c r="AS76" s="15"/>
      <c r="AT76" s="6" t="str">
        <f ca="1">IFERROR(__xludf.DUMMYFUNCTION("SWITCH(IF(A76=""Practice"",AN76,FILTER('Items by Team'!E$2:E3410,'Items by Team'!C$2:C3410=D76,B76='Items by Team'!B$2:B3410)),""None"",""No"",""Parked"",""P"",""ShallowCage"",""Sc"",""DeepCage"",""Dc"",""No"",""No"",""P"",""P"",""Sc"",""Sc"",""Dc"",""Dc"&amp;""")"),"No")</f>
        <v>No</v>
      </c>
      <c r="AU76" s="6" t="str">
        <f ca="1">IFERROR(__xludf.DUMMYFUNCTION("SWITCH(IF(A76 = ""Practice"", H76, FILTER('Items by Team'!D$2:D3410,'Items by Team'!C$2:C3410 = D76,'Items by Team'!B$2:B3410 = B76)), ""Yes"", ""TRUE"", ""No"", ""FALSE"",TRUE, ""TRUE"", FALSE, ""FALSE"")"),"FALSE")</f>
        <v>FALSE</v>
      </c>
      <c r="AV76" s="6" t="str">
        <f t="shared" ca="1" si="0"/>
        <v/>
      </c>
      <c r="AW76" s="6">
        <f t="shared" ca="1" si="1"/>
        <v>0</v>
      </c>
      <c r="AX76" s="6">
        <f t="shared" ca="1" si="2"/>
        <v>0</v>
      </c>
      <c r="AY76" s="6">
        <f t="shared" ca="1" si="3"/>
        <v>0</v>
      </c>
      <c r="AZ76" s="9" t="str">
        <f t="shared" ca="1" si="4"/>
        <v/>
      </c>
      <c r="BA76" s="6">
        <f t="shared" ca="1" si="5"/>
        <v>0</v>
      </c>
      <c r="BB76" s="6">
        <f t="shared" ca="1" si="6"/>
        <v>0</v>
      </c>
      <c r="BC76" s="9" t="str">
        <f t="shared" ca="1" si="7"/>
        <v/>
      </c>
      <c r="BD76" s="6">
        <f t="shared" ca="1" si="8"/>
        <v>0</v>
      </c>
      <c r="BE76" s="6">
        <f t="shared" ca="1" si="9"/>
        <v>0</v>
      </c>
      <c r="BF76" s="9" t="str">
        <f t="shared" ca="1" si="10"/>
        <v/>
      </c>
      <c r="BG76" s="6">
        <f t="shared" ca="1" si="11"/>
        <v>0</v>
      </c>
      <c r="BH76" s="6">
        <f t="shared" ca="1" si="12"/>
        <v>0</v>
      </c>
      <c r="BI76" s="9" t="str">
        <f t="shared" ca="1" si="13"/>
        <v/>
      </c>
      <c r="BJ76" s="6">
        <f t="shared" ca="1" si="14"/>
        <v>0</v>
      </c>
      <c r="BK76" s="6">
        <f t="shared" ca="1" si="15"/>
        <v>0</v>
      </c>
      <c r="BL76" s="6">
        <f t="shared" ca="1" si="16"/>
        <v>0</v>
      </c>
      <c r="BM76" s="6">
        <f t="shared" ca="1" si="17"/>
        <v>0</v>
      </c>
      <c r="BN76" s="6">
        <f t="shared" ca="1" si="18"/>
        <v>0</v>
      </c>
      <c r="BP76" s="6">
        <f t="shared" ca="1" si="19"/>
        <v>0</v>
      </c>
      <c r="BQ76" s="6" t="b">
        <f ca="1">IFERROR(__xludf.DUMMYFUNCTION("IF(AND(ISERROR(FILTER('Items by Team'!D$2:D3410,'Items by Team'!C$2:C3410 = D76,'Items by Team'!B$2:B3410 = B76)),NOT(A76=""Practice"")),TRUE,FALSE)"),FALSE)</f>
        <v>0</v>
      </c>
      <c r="BR76" s="6" t="e">
        <f t="shared" ca="1" si="20"/>
        <v>#VALUE!</v>
      </c>
    </row>
    <row r="77" spans="1:70">
      <c r="A77" s="6" t="str">
        <f ca="1">IFERROR(__xludf.DUMMYFUNCTION("""COMPUTED_VALUE"""),"Practice")</f>
        <v>Practice</v>
      </c>
      <c r="B77" s="6">
        <f ca="1">IFERROR(__xludf.DUMMYFUNCTION("""COMPUTED_VALUE"""),14)</f>
        <v>14</v>
      </c>
      <c r="C77" s="6" t="str">
        <f ca="1">IFERROR(__xludf.DUMMYFUNCTION("""COMPUTED_VALUE"""),"B3")</f>
        <v>B3</v>
      </c>
      <c r="D77" s="6">
        <f ca="1">IFERROR(__xludf.DUMMYFUNCTION("""COMPUTED_VALUE"""),2264)</f>
        <v>2264</v>
      </c>
      <c r="E77" s="6" t="b">
        <f ca="1">IFERROR(__xludf.DUMMYFUNCTION("""COMPUTED_VALUE"""),FALSE)</f>
        <v>0</v>
      </c>
      <c r="F77" s="6"/>
      <c r="G77" s="6" t="b">
        <f ca="1">IFERROR(__xludf.DUMMYFUNCTION("""COMPUTED_VALUE"""),TRUE)</f>
        <v>1</v>
      </c>
      <c r="H77" s="6" t="b">
        <f ca="1">IFERROR(__xludf.DUMMYFUNCTION("""COMPUTED_VALUE"""),FALSE)</f>
        <v>0</v>
      </c>
      <c r="I77" s="6">
        <f ca="1">IFERROR(__xludf.DUMMYFUNCTION("""COMPUTED_VALUE"""),0)</f>
        <v>0</v>
      </c>
      <c r="J77" s="6">
        <f ca="1">IFERROR(__xludf.DUMMYFUNCTION("""COMPUTED_VALUE"""),0)</f>
        <v>0</v>
      </c>
      <c r="K77" s="6">
        <f ca="1">IFERROR(__xludf.DUMMYFUNCTION("""COMPUTED_VALUE"""),0)</f>
        <v>0</v>
      </c>
      <c r="L77" s="6">
        <f ca="1">IFERROR(__xludf.DUMMYFUNCTION("""COMPUTED_VALUE"""),0)</f>
        <v>0</v>
      </c>
      <c r="M77" s="6">
        <f ca="1">IFERROR(__xludf.DUMMYFUNCTION("""COMPUTED_VALUE"""),0)</f>
        <v>0</v>
      </c>
      <c r="N77" s="6">
        <f ca="1">IFERROR(__xludf.DUMMYFUNCTION("""COMPUTED_VALUE"""),0)</f>
        <v>0</v>
      </c>
      <c r="O77" s="6">
        <f ca="1">IFERROR(__xludf.DUMMYFUNCTION("""COMPUTED_VALUE"""),0)</f>
        <v>0</v>
      </c>
      <c r="P77" s="6">
        <f ca="1">IFERROR(__xludf.DUMMYFUNCTION("""COMPUTED_VALUE"""),0)</f>
        <v>0</v>
      </c>
      <c r="R77" s="6">
        <f ca="1">IFERROR(__xludf.DUMMYFUNCTION("""COMPUTED_VALUE"""),0)</f>
        <v>0</v>
      </c>
      <c r="S77" s="6">
        <f ca="1">IFERROR(__xludf.DUMMYFUNCTION("""COMPUTED_VALUE"""),0)</f>
        <v>0</v>
      </c>
      <c r="T77" s="6">
        <f ca="1">IFERROR(__xludf.DUMMYFUNCTION("""COMPUTED_VALUE"""),0)</f>
        <v>0</v>
      </c>
      <c r="U77" s="6">
        <f ca="1">IFERROR(__xludf.DUMMYFUNCTION("""COMPUTED_VALUE"""),0)</f>
        <v>0</v>
      </c>
      <c r="V77" s="6">
        <f ca="1">IFERROR(__xludf.DUMMYFUNCTION("""COMPUTED_VALUE"""),0)</f>
        <v>0</v>
      </c>
      <c r="W77" s="6">
        <f ca="1">IFERROR(__xludf.DUMMYFUNCTION("""COMPUTED_VALUE"""),0)</f>
        <v>0</v>
      </c>
      <c r="X77" s="6">
        <f ca="1">IFERROR(__xludf.DUMMYFUNCTION("""COMPUTED_VALUE"""),0)</f>
        <v>0</v>
      </c>
      <c r="Y77" s="6">
        <f ca="1">IFERROR(__xludf.DUMMYFUNCTION("""COMPUTED_VALUE"""),0)</f>
        <v>0</v>
      </c>
      <c r="Z77" s="6">
        <f ca="1">IFERROR(__xludf.DUMMYFUNCTION("""COMPUTED_VALUE"""),0)</f>
        <v>0</v>
      </c>
      <c r="AA77" s="6">
        <f ca="1">IFERROR(__xludf.DUMMYFUNCTION("""COMPUTED_VALUE"""),0)</f>
        <v>0</v>
      </c>
      <c r="AB77" s="6" t="b">
        <f ca="1">IFERROR(__xludf.DUMMYFUNCTION("""COMPUTED_VALUE"""),FALSE)</f>
        <v>0</v>
      </c>
      <c r="AD77" s="6" t="b">
        <f ca="1">IFERROR(__xludf.DUMMYFUNCTION("""COMPUTED_VALUE"""),FALSE)</f>
        <v>0</v>
      </c>
      <c r="AE77" s="6">
        <f ca="1">IFERROR(__xludf.DUMMYFUNCTION("""COMPUTED_VALUE"""),0)</f>
        <v>0</v>
      </c>
      <c r="AF77" s="6">
        <f ca="1">IFERROR(__xludf.DUMMYFUNCTION("""COMPUTED_VALUE"""),0)</f>
        <v>0</v>
      </c>
      <c r="AG77" s="6">
        <f ca="1">IFERROR(__xludf.DUMMYFUNCTION("""COMPUTED_VALUE"""),0)</f>
        <v>0</v>
      </c>
      <c r="AH77" s="6">
        <f ca="1">IFERROR(__xludf.DUMMYFUNCTION("""COMPUTED_VALUE"""),0)</f>
        <v>0</v>
      </c>
      <c r="AI77" s="6">
        <f ca="1">IFERROR(__xludf.DUMMYFUNCTION("""COMPUTED_VALUE"""),0)</f>
        <v>0</v>
      </c>
      <c r="AK77" s="6" t="str">
        <f ca="1">IFERROR(__xludf.DUMMYFUNCTION("""COMPUTED_VALUE"""),"No")</f>
        <v>No</v>
      </c>
      <c r="AL77" s="6">
        <f ca="1">IFERROR(__xludf.DUMMYFUNCTION("""COMPUTED_VALUE"""),0)</f>
        <v>0</v>
      </c>
      <c r="AM77" s="6" t="b">
        <f ca="1">IFERROR(__xludf.DUMMYFUNCTION("""COMPUTED_VALUE"""),FALSE)</f>
        <v>0</v>
      </c>
      <c r="AN77" s="6" t="str">
        <f ca="1">IFERROR(__xludf.DUMMYFUNCTION("""COMPUTED_VALUE"""),"No")</f>
        <v>No</v>
      </c>
      <c r="AO77" s="6"/>
      <c r="AP77" s="6" t="str">
        <f ca="1">IFERROR(__xludf.DUMMYFUNCTION("""COMPUTED_VALUE"""),"x")</f>
        <v>x</v>
      </c>
      <c r="AQ77" s="6" t="b">
        <f ca="1">IFERROR(__xludf.DUMMYFUNCTION("""COMPUTED_VALUE"""),FALSE)</f>
        <v>0</v>
      </c>
      <c r="AR77" s="6" t="b">
        <f ca="1">IFERROR(__xludf.DUMMYFUNCTION("""COMPUTED_VALUE"""),FALSE)</f>
        <v>0</v>
      </c>
      <c r="AS77" s="15"/>
      <c r="AT77" s="6" t="str">
        <f ca="1">IFERROR(__xludf.DUMMYFUNCTION("SWITCH(IF(A77=""Practice"",AN77,FILTER('Items by Team'!E$2:E3410,'Items by Team'!C$2:C3410=D77,B77='Items by Team'!B$2:B3410)),""None"",""No"",""Parked"",""P"",""ShallowCage"",""Sc"",""DeepCage"",""Dc"",""No"",""No"",""P"",""P"",""Sc"",""Sc"",""Dc"",""Dc"&amp;""")"),"No")</f>
        <v>No</v>
      </c>
      <c r="AU77" s="6" t="str">
        <f ca="1">IFERROR(__xludf.DUMMYFUNCTION("SWITCH(IF(A77 = ""Practice"", H77, FILTER('Items by Team'!D$2:D3410,'Items by Team'!C$2:C3410 = D77,'Items by Team'!B$2:B3410 = B77)), ""Yes"", ""TRUE"", ""No"", ""FALSE"",TRUE, ""TRUE"", FALSE, ""FALSE"")"),"FALSE")</f>
        <v>FALSE</v>
      </c>
      <c r="AV77" s="6" t="str">
        <f t="shared" ca="1" si="0"/>
        <v/>
      </c>
      <c r="AW77" s="6">
        <f t="shared" ca="1" si="1"/>
        <v>0</v>
      </c>
      <c r="AX77" s="6">
        <f t="shared" ca="1" si="2"/>
        <v>0</v>
      </c>
      <c r="AY77" s="6">
        <f t="shared" ca="1" si="3"/>
        <v>0</v>
      </c>
      <c r="AZ77" s="9" t="str">
        <f t="shared" ca="1" si="4"/>
        <v/>
      </c>
      <c r="BA77" s="6">
        <f t="shared" ca="1" si="5"/>
        <v>0</v>
      </c>
      <c r="BB77" s="6">
        <f t="shared" ca="1" si="6"/>
        <v>0</v>
      </c>
      <c r="BC77" s="9" t="str">
        <f t="shared" ca="1" si="7"/>
        <v/>
      </c>
      <c r="BD77" s="6">
        <f t="shared" ca="1" si="8"/>
        <v>0</v>
      </c>
      <c r="BE77" s="6">
        <f t="shared" ca="1" si="9"/>
        <v>0</v>
      </c>
      <c r="BF77" s="9" t="str">
        <f t="shared" ca="1" si="10"/>
        <v/>
      </c>
      <c r="BG77" s="6">
        <f t="shared" ca="1" si="11"/>
        <v>0</v>
      </c>
      <c r="BH77" s="6">
        <f t="shared" ca="1" si="12"/>
        <v>0</v>
      </c>
      <c r="BI77" s="9" t="str">
        <f t="shared" ca="1" si="13"/>
        <v/>
      </c>
      <c r="BJ77" s="6">
        <f t="shared" ca="1" si="14"/>
        <v>0</v>
      </c>
      <c r="BK77" s="6">
        <f t="shared" ca="1" si="15"/>
        <v>0</v>
      </c>
      <c r="BL77" s="6">
        <f t="shared" ca="1" si="16"/>
        <v>0</v>
      </c>
      <c r="BM77" s="6">
        <f t="shared" ca="1" si="17"/>
        <v>0</v>
      </c>
      <c r="BN77" s="6">
        <f t="shared" ca="1" si="18"/>
        <v>0</v>
      </c>
      <c r="BP77" s="6">
        <f t="shared" ca="1" si="19"/>
        <v>0</v>
      </c>
      <c r="BQ77" s="6" t="b">
        <f ca="1">IFERROR(__xludf.DUMMYFUNCTION("IF(AND(ISERROR(FILTER('Items by Team'!D$2:D3410,'Items by Team'!C$2:C3410 = D77,'Items by Team'!B$2:B3410 = B77)),NOT(A77=""Practice"")),TRUE,FALSE)"),FALSE)</f>
        <v>0</v>
      </c>
      <c r="BR77" s="6" t="e">
        <f t="shared" ca="1" si="20"/>
        <v>#VALUE!</v>
      </c>
    </row>
    <row r="78" spans="1:70">
      <c r="A78" s="6" t="str">
        <f ca="1">IFERROR(__xludf.DUMMYFUNCTION("""COMPUTED_VALUE"""),"Practice")</f>
        <v>Practice</v>
      </c>
      <c r="B78" s="6">
        <f ca="1">IFERROR(__xludf.DUMMYFUNCTION("""COMPUTED_VALUE"""),14)</f>
        <v>14</v>
      </c>
      <c r="C78" s="6" t="str">
        <f ca="1">IFERROR(__xludf.DUMMYFUNCTION("""COMPUTED_VALUE"""),"R2")</f>
        <v>R2</v>
      </c>
      <c r="D78" s="6">
        <f ca="1">IFERROR(__xludf.DUMMYFUNCTION("""COMPUTED_VALUE"""),2450)</f>
        <v>2450</v>
      </c>
      <c r="E78" s="6" t="b">
        <f ca="1">IFERROR(__xludf.DUMMYFUNCTION("""COMPUTED_VALUE"""),FALSE)</f>
        <v>0</v>
      </c>
      <c r="F78" s="6" t="str">
        <f ca="1">IFERROR(__xludf.DUMMYFUNCTION("""COMPUTED_VALUE"""),"Red Barge")</f>
        <v>Red Barge</v>
      </c>
      <c r="G78" s="6" t="b">
        <f ca="1">IFERROR(__xludf.DUMMYFUNCTION("""COMPUTED_VALUE"""),TRUE)</f>
        <v>1</v>
      </c>
      <c r="H78" s="6" t="b">
        <f ca="1">IFERROR(__xludf.DUMMYFUNCTION("""COMPUTED_VALUE"""),TRUE)</f>
        <v>1</v>
      </c>
      <c r="I78" s="6">
        <f ca="1">IFERROR(__xludf.DUMMYFUNCTION("""COMPUTED_VALUE"""),0)</f>
        <v>0</v>
      </c>
      <c r="J78" s="6">
        <f ca="1">IFERROR(__xludf.DUMMYFUNCTION("""COMPUTED_VALUE"""),0)</f>
        <v>0</v>
      </c>
      <c r="K78" s="6">
        <f ca="1">IFERROR(__xludf.DUMMYFUNCTION("""COMPUTED_VALUE"""),0)</f>
        <v>0</v>
      </c>
      <c r="L78" s="6">
        <f ca="1">IFERROR(__xludf.DUMMYFUNCTION("""COMPUTED_VALUE"""),0)</f>
        <v>0</v>
      </c>
      <c r="M78" s="6">
        <f ca="1">IFERROR(__xludf.DUMMYFUNCTION("""COMPUTED_VALUE"""),0)</f>
        <v>0</v>
      </c>
      <c r="N78" s="6">
        <f ca="1">IFERROR(__xludf.DUMMYFUNCTION("""COMPUTED_VALUE"""),0)</f>
        <v>0</v>
      </c>
      <c r="O78" s="6">
        <f ca="1">IFERROR(__xludf.DUMMYFUNCTION("""COMPUTED_VALUE"""),0)</f>
        <v>0</v>
      </c>
      <c r="P78" s="6">
        <f ca="1">IFERROR(__xludf.DUMMYFUNCTION("""COMPUTED_VALUE"""),0)</f>
        <v>0</v>
      </c>
      <c r="R78" s="6">
        <f ca="1">IFERROR(__xludf.DUMMYFUNCTION("""COMPUTED_VALUE"""),0)</f>
        <v>0</v>
      </c>
      <c r="S78" s="6">
        <f ca="1">IFERROR(__xludf.DUMMYFUNCTION("""COMPUTED_VALUE"""),0)</f>
        <v>0</v>
      </c>
      <c r="T78" s="6">
        <f ca="1">IFERROR(__xludf.DUMMYFUNCTION("""COMPUTED_VALUE"""),0)</f>
        <v>0</v>
      </c>
      <c r="U78" s="6">
        <f ca="1">IFERROR(__xludf.DUMMYFUNCTION("""COMPUTED_VALUE"""),0)</f>
        <v>0</v>
      </c>
      <c r="V78" s="6">
        <f ca="1">IFERROR(__xludf.DUMMYFUNCTION("""COMPUTED_VALUE"""),0)</f>
        <v>0</v>
      </c>
      <c r="W78" s="6">
        <f ca="1">IFERROR(__xludf.DUMMYFUNCTION("""COMPUTED_VALUE"""),0)</f>
        <v>0</v>
      </c>
      <c r="X78" s="6">
        <f ca="1">IFERROR(__xludf.DUMMYFUNCTION("""COMPUTED_VALUE"""),0)</f>
        <v>0</v>
      </c>
      <c r="Y78" s="6">
        <f ca="1">IFERROR(__xludf.DUMMYFUNCTION("""COMPUTED_VALUE"""),0)</f>
        <v>0</v>
      </c>
      <c r="Z78" s="6">
        <f ca="1">IFERROR(__xludf.DUMMYFUNCTION("""COMPUTED_VALUE"""),3)</f>
        <v>3</v>
      </c>
      <c r="AA78" s="6">
        <f ca="1">IFERROR(__xludf.DUMMYFUNCTION("""COMPUTED_VALUE"""),0)</f>
        <v>0</v>
      </c>
      <c r="AB78" s="6" t="b">
        <f ca="1">IFERROR(__xludf.DUMMYFUNCTION("""COMPUTED_VALUE"""),TRUE)</f>
        <v>1</v>
      </c>
      <c r="AD78" s="6" t="b">
        <f ca="1">IFERROR(__xludf.DUMMYFUNCTION("""COMPUTED_VALUE"""),FALSE)</f>
        <v>0</v>
      </c>
      <c r="AE78" s="6">
        <f ca="1">IFERROR(__xludf.DUMMYFUNCTION("""COMPUTED_VALUE"""),0)</f>
        <v>0</v>
      </c>
      <c r="AF78" s="6">
        <f ca="1">IFERROR(__xludf.DUMMYFUNCTION("""COMPUTED_VALUE"""),0)</f>
        <v>0</v>
      </c>
      <c r="AG78" s="6">
        <f ca="1">IFERROR(__xludf.DUMMYFUNCTION("""COMPUTED_VALUE"""),1)</f>
        <v>1</v>
      </c>
      <c r="AH78" s="6">
        <f ca="1">IFERROR(__xludf.DUMMYFUNCTION("""COMPUTED_VALUE"""),0)</f>
        <v>0</v>
      </c>
      <c r="AI78" s="6">
        <f ca="1">IFERROR(__xludf.DUMMYFUNCTION("""COMPUTED_VALUE"""),1)</f>
        <v>1</v>
      </c>
      <c r="AK78" s="6" t="str">
        <f ca="1">IFERROR(__xludf.DUMMYFUNCTION("""COMPUTED_VALUE"""),"Sc")</f>
        <v>Sc</v>
      </c>
      <c r="AL78" s="6">
        <f ca="1">IFERROR(__xludf.DUMMYFUNCTION("""COMPUTED_VALUE"""),0)</f>
        <v>0</v>
      </c>
      <c r="AM78" s="6" t="b">
        <f ca="1">IFERROR(__xludf.DUMMYFUNCTION("""COMPUTED_VALUE"""),FALSE)</f>
        <v>0</v>
      </c>
      <c r="AN78" s="6" t="str">
        <f ca="1">IFERROR(__xludf.DUMMYFUNCTION("""COMPUTED_VALUE"""),"P")</f>
        <v>P</v>
      </c>
      <c r="AO78" s="6" t="str">
        <f ca="1">IFERROR(__xludf.DUMMYFUNCTION("""COMPUTED_VALUE"""),"tried to climb")</f>
        <v>tried to climb</v>
      </c>
      <c r="AP78" s="6" t="str">
        <f ca="1">IFERROR(__xludf.DUMMYFUNCTION("""COMPUTED_VALUE"""),"2")</f>
        <v>2</v>
      </c>
      <c r="AQ78" s="6" t="b">
        <f ca="1">IFERROR(__xludf.DUMMYFUNCTION("""COMPUTED_VALUE"""),FALSE)</f>
        <v>0</v>
      </c>
      <c r="AR78" s="6" t="b">
        <f ca="1">IFERROR(__xludf.DUMMYFUNCTION("""COMPUTED_VALUE"""),FALSE)</f>
        <v>0</v>
      </c>
      <c r="AS78" s="15"/>
      <c r="AT78" s="6" t="str">
        <f ca="1">IFERROR(__xludf.DUMMYFUNCTION("SWITCH(IF(A78=""Practice"",AN78,FILTER('Items by Team'!E$2:E3410,'Items by Team'!C$2:C3410=D78,B78='Items by Team'!B$2:B3410)),""None"",""No"",""Parked"",""P"",""ShallowCage"",""Sc"",""DeepCage"",""Dc"",""No"",""No"",""P"",""P"",""Sc"",""Sc"",""Dc"",""Dc"&amp;""")"),"P")</f>
        <v>P</v>
      </c>
      <c r="AU78" s="6" t="str">
        <f ca="1">IFERROR(__xludf.DUMMYFUNCTION("SWITCH(IF(A78 = ""Practice"", H78, FILTER('Items by Team'!D$2:D3410,'Items by Team'!C$2:C3410 = D78,'Items by Team'!B$2:B3410 = B78)), ""Yes"", ""TRUE"", ""No"", ""FALSE"",TRUE, ""TRUE"", FALSE, ""FALSE"")"),"TRUE")</f>
        <v>TRUE</v>
      </c>
      <c r="AV78" s="6">
        <f t="shared" ca="1" si="0"/>
        <v>2</v>
      </c>
      <c r="AW78" s="6">
        <f t="shared" ca="1" si="1"/>
        <v>1</v>
      </c>
      <c r="AX78" s="6">
        <f t="shared" ca="1" si="2"/>
        <v>0</v>
      </c>
      <c r="AY78" s="6">
        <f t="shared" ca="1" si="3"/>
        <v>0</v>
      </c>
      <c r="AZ78" s="9" t="str">
        <f t="shared" ca="1" si="4"/>
        <v/>
      </c>
      <c r="BA78" s="6">
        <f t="shared" ca="1" si="5"/>
        <v>0</v>
      </c>
      <c r="BB78" s="6">
        <f t="shared" ca="1" si="6"/>
        <v>0</v>
      </c>
      <c r="BC78" s="9" t="str">
        <f t="shared" ca="1" si="7"/>
        <v/>
      </c>
      <c r="BD78" s="6">
        <f t="shared" ca="1" si="8"/>
        <v>0</v>
      </c>
      <c r="BE78" s="6">
        <f t="shared" ca="1" si="9"/>
        <v>0</v>
      </c>
      <c r="BF78" s="9" t="str">
        <f t="shared" ca="1" si="10"/>
        <v/>
      </c>
      <c r="BG78" s="6">
        <f t="shared" ca="1" si="11"/>
        <v>1</v>
      </c>
      <c r="BH78" s="6">
        <f t="shared" ca="1" si="12"/>
        <v>2</v>
      </c>
      <c r="BI78" s="9">
        <f t="shared" ca="1" si="13"/>
        <v>0.5</v>
      </c>
      <c r="BJ78" s="6">
        <f t="shared" ca="1" si="14"/>
        <v>0</v>
      </c>
      <c r="BK78" s="6">
        <f t="shared" ca="1" si="15"/>
        <v>0</v>
      </c>
      <c r="BL78" s="6">
        <f t="shared" ca="1" si="16"/>
        <v>0</v>
      </c>
      <c r="BM78" s="6">
        <f t="shared" ca="1" si="17"/>
        <v>0</v>
      </c>
      <c r="BN78" s="6">
        <f t="shared" ca="1" si="18"/>
        <v>1</v>
      </c>
      <c r="BP78" s="6">
        <f t="shared" ca="1" si="19"/>
        <v>0</v>
      </c>
      <c r="BQ78" s="6" t="b">
        <f ca="1">IFERROR(__xludf.DUMMYFUNCTION("IF(AND(ISERROR(FILTER('Items by Team'!D$2:D3410,'Items by Team'!C$2:C3410 = D78,'Items by Team'!B$2:B3410 = B78)),NOT(A78=""Practice"")),TRUE,FALSE)"),FALSE)</f>
        <v>0</v>
      </c>
      <c r="BR78" s="6">
        <f t="shared" ca="1" si="20"/>
        <v>2</v>
      </c>
    </row>
    <row r="79" spans="1:70">
      <c r="A79" s="6" t="str">
        <f ca="1">IFERROR(__xludf.DUMMYFUNCTION("""COMPUTED_VALUE"""),"Practice")</f>
        <v>Practice</v>
      </c>
      <c r="B79" s="6">
        <f ca="1">IFERROR(__xludf.DUMMYFUNCTION("""COMPUTED_VALUE"""),14)</f>
        <v>14</v>
      </c>
      <c r="C79" s="6" t="str">
        <f ca="1">IFERROR(__xludf.DUMMYFUNCTION("""COMPUTED_VALUE"""),"R3")</f>
        <v>R3</v>
      </c>
      <c r="D79" s="6">
        <f ca="1">IFERROR(__xludf.DUMMYFUNCTION("""COMPUTED_VALUE"""),2491)</f>
        <v>2491</v>
      </c>
      <c r="E79" s="6" t="b">
        <f ca="1">IFERROR(__xludf.DUMMYFUNCTION("""COMPUTED_VALUE"""),FALSE)</f>
        <v>0</v>
      </c>
      <c r="F79" s="6" t="str">
        <f ca="1">IFERROR(__xludf.DUMMYFUNCTION("""COMPUTED_VALUE"""),"Blue Barge")</f>
        <v>Blue Barge</v>
      </c>
      <c r="G79" s="6" t="b">
        <f ca="1">IFERROR(__xludf.DUMMYFUNCTION("""COMPUTED_VALUE"""),TRUE)</f>
        <v>1</v>
      </c>
      <c r="H79" s="6" t="b">
        <f ca="1">IFERROR(__xludf.DUMMYFUNCTION("""COMPUTED_VALUE"""),TRUE)</f>
        <v>1</v>
      </c>
      <c r="I79" s="6">
        <f ca="1">IFERROR(__xludf.DUMMYFUNCTION("""COMPUTED_VALUE"""),0)</f>
        <v>0</v>
      </c>
      <c r="J79" s="6">
        <f ca="1">IFERROR(__xludf.DUMMYFUNCTION("""COMPUTED_VALUE"""),0)</f>
        <v>0</v>
      </c>
      <c r="K79" s="6">
        <f ca="1">IFERROR(__xludf.DUMMYFUNCTION("""COMPUTED_VALUE"""),0)</f>
        <v>0</v>
      </c>
      <c r="L79" s="6">
        <f ca="1">IFERROR(__xludf.DUMMYFUNCTION("""COMPUTED_VALUE"""),0)</f>
        <v>0</v>
      </c>
      <c r="M79" s="6">
        <f ca="1">IFERROR(__xludf.DUMMYFUNCTION("""COMPUTED_VALUE"""),0)</f>
        <v>0</v>
      </c>
      <c r="N79" s="6">
        <f ca="1">IFERROR(__xludf.DUMMYFUNCTION("""COMPUTED_VALUE"""),0)</f>
        <v>0</v>
      </c>
      <c r="O79" s="6">
        <f ca="1">IFERROR(__xludf.DUMMYFUNCTION("""COMPUTED_VALUE"""),0)</f>
        <v>0</v>
      </c>
      <c r="P79" s="6">
        <f ca="1">IFERROR(__xludf.DUMMYFUNCTION("""COMPUTED_VALUE"""),0)</f>
        <v>0</v>
      </c>
      <c r="R79" s="6">
        <f ca="1">IFERROR(__xludf.DUMMYFUNCTION("""COMPUTED_VALUE"""),0)</f>
        <v>0</v>
      </c>
      <c r="S79" s="6">
        <f ca="1">IFERROR(__xludf.DUMMYFUNCTION("""COMPUTED_VALUE"""),0)</f>
        <v>0</v>
      </c>
      <c r="T79" s="6">
        <f ca="1">IFERROR(__xludf.DUMMYFUNCTION("""COMPUTED_VALUE"""),0)</f>
        <v>0</v>
      </c>
      <c r="U79" s="6">
        <f ca="1">IFERROR(__xludf.DUMMYFUNCTION("""COMPUTED_VALUE"""),0)</f>
        <v>0</v>
      </c>
      <c r="V79" s="6">
        <f ca="1">IFERROR(__xludf.DUMMYFUNCTION("""COMPUTED_VALUE"""),0)</f>
        <v>0</v>
      </c>
      <c r="W79" s="6">
        <f ca="1">IFERROR(__xludf.DUMMYFUNCTION("""COMPUTED_VALUE"""),0)</f>
        <v>0</v>
      </c>
      <c r="X79" s="6">
        <f ca="1">IFERROR(__xludf.DUMMYFUNCTION("""COMPUTED_VALUE"""),1)</f>
        <v>1</v>
      </c>
      <c r="Y79" s="6">
        <f ca="1">IFERROR(__xludf.DUMMYFUNCTION("""COMPUTED_VALUE"""),0)</f>
        <v>0</v>
      </c>
      <c r="Z79" s="6">
        <f ca="1">IFERROR(__xludf.DUMMYFUNCTION("""COMPUTED_VALUE"""),1)</f>
        <v>1</v>
      </c>
      <c r="AA79" s="6">
        <f ca="1">IFERROR(__xludf.DUMMYFUNCTION("""COMPUTED_VALUE"""),0)</f>
        <v>0</v>
      </c>
      <c r="AB79" s="6" t="b">
        <f ca="1">IFERROR(__xludf.DUMMYFUNCTION("""COMPUTED_VALUE"""),FALSE)</f>
        <v>0</v>
      </c>
      <c r="AD79" s="6" t="b">
        <f ca="1">IFERROR(__xludf.DUMMYFUNCTION("""COMPUTED_VALUE"""),FALSE)</f>
        <v>0</v>
      </c>
      <c r="AE79" s="6">
        <f ca="1">IFERROR(__xludf.DUMMYFUNCTION("""COMPUTED_VALUE"""),2)</f>
        <v>2</v>
      </c>
      <c r="AF79" s="6">
        <f ca="1">IFERROR(__xludf.DUMMYFUNCTION("""COMPUTED_VALUE"""),2)</f>
        <v>2</v>
      </c>
      <c r="AG79" s="6">
        <f ca="1">IFERROR(__xludf.DUMMYFUNCTION("""COMPUTED_VALUE"""),1)</f>
        <v>1</v>
      </c>
      <c r="AH79" s="6">
        <f ca="1">IFERROR(__xludf.DUMMYFUNCTION("""COMPUTED_VALUE"""),0)</f>
        <v>0</v>
      </c>
      <c r="AI79" s="6">
        <f ca="1">IFERROR(__xludf.DUMMYFUNCTION("""COMPUTED_VALUE"""),7)</f>
        <v>7</v>
      </c>
      <c r="AK79" s="6" t="str">
        <f ca="1">IFERROR(__xludf.DUMMYFUNCTION("""COMPUTED_VALUE"""),"Dc")</f>
        <v>Dc</v>
      </c>
      <c r="AL79" s="6">
        <f ca="1">IFERROR(__xludf.DUMMYFUNCTION("""COMPUTED_VALUE"""),0)</f>
        <v>0</v>
      </c>
      <c r="AM79" s="6" t="b">
        <f ca="1">IFERROR(__xludf.DUMMYFUNCTION("""COMPUTED_VALUE"""),FALSE)</f>
        <v>0</v>
      </c>
      <c r="AN79" s="6" t="str">
        <f ca="1">IFERROR(__xludf.DUMMYFUNCTION("""COMPUTED_VALUE"""),"Sc")</f>
        <v>Sc</v>
      </c>
      <c r="AO79" s="6"/>
      <c r="AP79" s="6" t="str">
        <f ca="1">IFERROR(__xludf.DUMMYFUNCTION("""COMPUTED_VALUE"""),"x")</f>
        <v>x</v>
      </c>
      <c r="AQ79" s="6" t="b">
        <f ca="1">IFERROR(__xludf.DUMMYFUNCTION("""COMPUTED_VALUE"""),FALSE)</f>
        <v>0</v>
      </c>
      <c r="AR79" s="6" t="b">
        <f ca="1">IFERROR(__xludf.DUMMYFUNCTION("""COMPUTED_VALUE"""),FALSE)</f>
        <v>0</v>
      </c>
      <c r="AS79" s="15"/>
      <c r="AT79" s="6" t="str">
        <f ca="1">IFERROR(__xludf.DUMMYFUNCTION("SWITCH(IF(A79=""Practice"",AN79,FILTER('Items by Team'!E$2:E3410,'Items by Team'!C$2:C3410=D79,B79='Items by Team'!B$2:B3410)),""None"",""No"",""Parked"",""P"",""ShallowCage"",""Sc"",""DeepCage"",""Dc"",""No"",""No"",""P"",""P"",""Sc"",""Sc"",""Dc"",""Dc"&amp;""")"),"Sc")</f>
        <v>Sc</v>
      </c>
      <c r="AU79" s="6" t="str">
        <f ca="1">IFERROR(__xludf.DUMMYFUNCTION("SWITCH(IF(A79 = ""Practice"", H79, FILTER('Items by Team'!D$2:D3410,'Items by Team'!C$2:C3410 = D79,'Items by Team'!B$2:B3410 = B79)), ""Yes"", ""TRUE"", ""No"", ""FALSE"",TRUE, ""TRUE"", FALSE, ""FALSE"")"),"TRUE")</f>
        <v>TRUE</v>
      </c>
      <c r="AV79" s="6" t="str">
        <f t="shared" ca="1" si="0"/>
        <v/>
      </c>
      <c r="AW79" s="6">
        <f t="shared" ca="1" si="1"/>
        <v>1</v>
      </c>
      <c r="AX79" s="6">
        <f t="shared" ca="1" si="2"/>
        <v>0</v>
      </c>
      <c r="AY79" s="6">
        <f t="shared" ca="1" si="3"/>
        <v>0</v>
      </c>
      <c r="AZ79" s="9" t="str">
        <f t="shared" ca="1" si="4"/>
        <v/>
      </c>
      <c r="BA79" s="6">
        <f t="shared" ca="1" si="5"/>
        <v>0</v>
      </c>
      <c r="BB79" s="6">
        <f t="shared" ca="1" si="6"/>
        <v>0</v>
      </c>
      <c r="BC79" s="9" t="str">
        <f t="shared" ca="1" si="7"/>
        <v/>
      </c>
      <c r="BD79" s="6">
        <f t="shared" ca="1" si="8"/>
        <v>1</v>
      </c>
      <c r="BE79" s="6">
        <f t="shared" ca="1" si="9"/>
        <v>1</v>
      </c>
      <c r="BF79" s="9">
        <f t="shared" ca="1" si="10"/>
        <v>1</v>
      </c>
      <c r="BG79" s="6">
        <f t="shared" ca="1" si="11"/>
        <v>5</v>
      </c>
      <c r="BH79" s="6">
        <f t="shared" ca="1" si="12"/>
        <v>12</v>
      </c>
      <c r="BI79" s="9">
        <f t="shared" ca="1" si="13"/>
        <v>0.41666666666666669</v>
      </c>
      <c r="BJ79" s="6">
        <f t="shared" ca="1" si="14"/>
        <v>0</v>
      </c>
      <c r="BK79" s="6">
        <f t="shared" ca="1" si="15"/>
        <v>0</v>
      </c>
      <c r="BL79" s="6">
        <f t="shared" ca="1" si="16"/>
        <v>0</v>
      </c>
      <c r="BM79" s="6">
        <f t="shared" ca="1" si="17"/>
        <v>0</v>
      </c>
      <c r="BN79" s="6">
        <f t="shared" ca="1" si="18"/>
        <v>0</v>
      </c>
      <c r="BP79" s="6">
        <f t="shared" ca="1" si="19"/>
        <v>0</v>
      </c>
      <c r="BQ79" s="6" t="b">
        <f ca="1">IFERROR(__xludf.DUMMYFUNCTION("IF(AND(ISERROR(FILTER('Items by Team'!D$2:D3410,'Items by Team'!C$2:C3410 = D79,'Items by Team'!B$2:B3410 = B79)),NOT(A79=""Practice"")),TRUE,FALSE)"),FALSE)</f>
        <v>0</v>
      </c>
      <c r="BR79" s="6" t="e">
        <f t="shared" ca="1" si="20"/>
        <v>#VALUE!</v>
      </c>
    </row>
    <row r="80" spans="1:70">
      <c r="A80" s="6" t="str">
        <f ca="1">IFERROR(__xludf.DUMMYFUNCTION("""COMPUTED_VALUE"""),"Practice")</f>
        <v>Practice</v>
      </c>
      <c r="B80" s="6">
        <f ca="1">IFERROR(__xludf.DUMMYFUNCTION("""COMPUTED_VALUE"""),15)</f>
        <v>15</v>
      </c>
      <c r="C80" s="6" t="str">
        <f ca="1">IFERROR(__xludf.DUMMYFUNCTION("""COMPUTED_VALUE"""),"B2")</f>
        <v>B2</v>
      </c>
      <c r="D80" s="6">
        <f ca="1">IFERROR(__xludf.DUMMYFUNCTION("""COMPUTED_VALUE"""),3018)</f>
        <v>3018</v>
      </c>
      <c r="E80" s="6" t="b">
        <f ca="1">IFERROR(__xludf.DUMMYFUNCTION("""COMPUTED_VALUE"""),FALSE)</f>
        <v>0</v>
      </c>
      <c r="F80" s="6" t="str">
        <f ca="1">IFERROR(__xludf.DUMMYFUNCTION("""COMPUTED_VALUE"""),"Red Barge")</f>
        <v>Red Barge</v>
      </c>
      <c r="G80" s="6" t="b">
        <f ca="1">IFERROR(__xludf.DUMMYFUNCTION("""COMPUTED_VALUE"""),TRUE)</f>
        <v>1</v>
      </c>
      <c r="H80" s="6" t="b">
        <f ca="1">IFERROR(__xludf.DUMMYFUNCTION("""COMPUTED_VALUE"""),FALSE)</f>
        <v>0</v>
      </c>
      <c r="I80" s="6">
        <f ca="1">IFERROR(__xludf.DUMMYFUNCTION("""COMPUTED_VALUE"""),0)</f>
        <v>0</v>
      </c>
      <c r="J80" s="6">
        <f ca="1">IFERROR(__xludf.DUMMYFUNCTION("""COMPUTED_VALUE"""),0)</f>
        <v>0</v>
      </c>
      <c r="K80" s="6">
        <f ca="1">IFERROR(__xludf.DUMMYFUNCTION("""COMPUTED_VALUE"""),0)</f>
        <v>0</v>
      </c>
      <c r="L80" s="6">
        <f ca="1">IFERROR(__xludf.DUMMYFUNCTION("""COMPUTED_VALUE"""),0)</f>
        <v>0</v>
      </c>
      <c r="M80" s="6">
        <f ca="1">IFERROR(__xludf.DUMMYFUNCTION("""COMPUTED_VALUE"""),0)</f>
        <v>0</v>
      </c>
      <c r="N80" s="6">
        <f ca="1">IFERROR(__xludf.DUMMYFUNCTION("""COMPUTED_VALUE"""),0)</f>
        <v>0</v>
      </c>
      <c r="O80" s="6">
        <f ca="1">IFERROR(__xludf.DUMMYFUNCTION("""COMPUTED_VALUE"""),0)</f>
        <v>0</v>
      </c>
      <c r="P80" s="6">
        <f ca="1">IFERROR(__xludf.DUMMYFUNCTION("""COMPUTED_VALUE"""),0)</f>
        <v>0</v>
      </c>
      <c r="R80" s="6">
        <f ca="1">IFERROR(__xludf.DUMMYFUNCTION("""COMPUTED_VALUE"""),0)</f>
        <v>0</v>
      </c>
      <c r="S80" s="6">
        <f ca="1">IFERROR(__xludf.DUMMYFUNCTION("""COMPUTED_VALUE"""),0)</f>
        <v>0</v>
      </c>
      <c r="T80" s="6">
        <f ca="1">IFERROR(__xludf.DUMMYFUNCTION("""COMPUTED_VALUE"""),0)</f>
        <v>0</v>
      </c>
      <c r="U80" s="6">
        <f ca="1">IFERROR(__xludf.DUMMYFUNCTION("""COMPUTED_VALUE"""),0)</f>
        <v>0</v>
      </c>
      <c r="V80" s="6">
        <f ca="1">IFERROR(__xludf.DUMMYFUNCTION("""COMPUTED_VALUE"""),0)</f>
        <v>0</v>
      </c>
      <c r="W80" s="6">
        <f ca="1">IFERROR(__xludf.DUMMYFUNCTION("""COMPUTED_VALUE"""),0)</f>
        <v>0</v>
      </c>
      <c r="X80" s="6">
        <f ca="1">IFERROR(__xludf.DUMMYFUNCTION("""COMPUTED_VALUE"""),0)</f>
        <v>0</v>
      </c>
      <c r="Y80" s="6">
        <f ca="1">IFERROR(__xludf.DUMMYFUNCTION("""COMPUTED_VALUE"""),0)</f>
        <v>0</v>
      </c>
      <c r="Z80" s="6">
        <f ca="1">IFERROR(__xludf.DUMMYFUNCTION("""COMPUTED_VALUE"""),0)</f>
        <v>0</v>
      </c>
      <c r="AA80" s="6">
        <f ca="1">IFERROR(__xludf.DUMMYFUNCTION("""COMPUTED_VALUE"""),0)</f>
        <v>0</v>
      </c>
      <c r="AB80" s="6" t="b">
        <f ca="1">IFERROR(__xludf.DUMMYFUNCTION("""COMPUTED_VALUE"""),TRUE)</f>
        <v>1</v>
      </c>
      <c r="AD80" s="6" t="b">
        <f ca="1">IFERROR(__xludf.DUMMYFUNCTION("""COMPUTED_VALUE"""),FALSE)</f>
        <v>0</v>
      </c>
      <c r="AE80" s="6">
        <f ca="1">IFERROR(__xludf.DUMMYFUNCTION("""COMPUTED_VALUE"""),4)</f>
        <v>4</v>
      </c>
      <c r="AF80" s="6">
        <f ca="1">IFERROR(__xludf.DUMMYFUNCTION("""COMPUTED_VALUE"""),0)</f>
        <v>0</v>
      </c>
      <c r="AG80" s="6">
        <f ca="1">IFERROR(__xludf.DUMMYFUNCTION("""COMPUTED_VALUE"""),0)</f>
        <v>0</v>
      </c>
      <c r="AH80" s="6">
        <f ca="1">IFERROR(__xludf.DUMMYFUNCTION("""COMPUTED_VALUE"""),0)</f>
        <v>0</v>
      </c>
      <c r="AI80" s="6">
        <f ca="1">IFERROR(__xludf.DUMMYFUNCTION("""COMPUTED_VALUE"""),0)</f>
        <v>0</v>
      </c>
      <c r="AK80" s="6" t="str">
        <f ca="1">IFERROR(__xludf.DUMMYFUNCTION("""COMPUTED_VALUE"""),"P")</f>
        <v>P</v>
      </c>
      <c r="AL80" s="6">
        <f ca="1">IFERROR(__xludf.DUMMYFUNCTION("""COMPUTED_VALUE"""),0)</f>
        <v>0</v>
      </c>
      <c r="AM80" s="6" t="b">
        <f ca="1">IFERROR(__xludf.DUMMYFUNCTION("""COMPUTED_VALUE"""),FALSE)</f>
        <v>0</v>
      </c>
      <c r="AN80" s="6" t="str">
        <f ca="1">IFERROR(__xludf.DUMMYFUNCTION("""COMPUTED_VALUE"""),"P")</f>
        <v>P</v>
      </c>
      <c r="AO80" s="6"/>
      <c r="AP80" s="6" t="str">
        <f ca="1">IFERROR(__xludf.DUMMYFUNCTION("""COMPUTED_VALUE"""),"x")</f>
        <v>x</v>
      </c>
      <c r="AQ80" s="6" t="b">
        <f ca="1">IFERROR(__xludf.DUMMYFUNCTION("""COMPUTED_VALUE"""),FALSE)</f>
        <v>0</v>
      </c>
      <c r="AR80" s="6" t="b">
        <f ca="1">IFERROR(__xludf.DUMMYFUNCTION("""COMPUTED_VALUE"""),FALSE)</f>
        <v>0</v>
      </c>
      <c r="AS80" s="15"/>
      <c r="AT80" s="6" t="str">
        <f ca="1">IFERROR(__xludf.DUMMYFUNCTION("SWITCH(IF(A80=""Practice"",AN80,FILTER('Items by Team'!E$2:E3410,'Items by Team'!C$2:C3410=D80,B80='Items by Team'!B$2:B3410)),""None"",""No"",""Parked"",""P"",""ShallowCage"",""Sc"",""DeepCage"",""Dc"",""No"",""No"",""P"",""P"",""Sc"",""Sc"",""Dc"",""Dc"&amp;""")"),"P")</f>
        <v>P</v>
      </c>
      <c r="AU80" s="6" t="str">
        <f ca="1">IFERROR(__xludf.DUMMYFUNCTION("SWITCH(IF(A80 = ""Practice"", H80, FILTER('Items by Team'!D$2:D3410,'Items by Team'!C$2:C3410 = D80,'Items by Team'!B$2:B3410 = B80)), ""Yes"", ""TRUE"", ""No"", ""FALSE"",TRUE, ""TRUE"", FALSE, ""FALSE"")"),"FALSE")</f>
        <v>FALSE</v>
      </c>
      <c r="AV80" s="6" t="str">
        <f t="shared" ca="1" si="0"/>
        <v/>
      </c>
      <c r="AW80" s="6">
        <f t="shared" ca="1" si="1"/>
        <v>0</v>
      </c>
      <c r="AX80" s="6">
        <f t="shared" ca="1" si="2"/>
        <v>0</v>
      </c>
      <c r="AY80" s="6">
        <f t="shared" ca="1" si="3"/>
        <v>0</v>
      </c>
      <c r="AZ80" s="9" t="str">
        <f t="shared" ca="1" si="4"/>
        <v/>
      </c>
      <c r="BA80" s="6">
        <f t="shared" ca="1" si="5"/>
        <v>0</v>
      </c>
      <c r="BB80" s="6">
        <f t="shared" ca="1" si="6"/>
        <v>0</v>
      </c>
      <c r="BC80" s="9" t="str">
        <f t="shared" ca="1" si="7"/>
        <v/>
      </c>
      <c r="BD80" s="6">
        <f t="shared" ca="1" si="8"/>
        <v>0</v>
      </c>
      <c r="BE80" s="6">
        <f t="shared" ca="1" si="9"/>
        <v>0</v>
      </c>
      <c r="BF80" s="9" t="str">
        <f t="shared" ca="1" si="10"/>
        <v/>
      </c>
      <c r="BG80" s="6">
        <f t="shared" ca="1" si="11"/>
        <v>4</v>
      </c>
      <c r="BH80" s="6">
        <f t="shared" ca="1" si="12"/>
        <v>4</v>
      </c>
      <c r="BI80" s="9">
        <f t="shared" ca="1" si="13"/>
        <v>1</v>
      </c>
      <c r="BJ80" s="6">
        <f t="shared" ca="1" si="14"/>
        <v>0</v>
      </c>
      <c r="BK80" s="6">
        <f t="shared" ca="1" si="15"/>
        <v>0</v>
      </c>
      <c r="BL80" s="6">
        <f t="shared" ca="1" si="16"/>
        <v>0</v>
      </c>
      <c r="BM80" s="6">
        <f t="shared" ca="1" si="17"/>
        <v>0</v>
      </c>
      <c r="BN80" s="6">
        <f t="shared" ca="1" si="18"/>
        <v>1</v>
      </c>
      <c r="BP80" s="6">
        <f t="shared" ca="1" si="19"/>
        <v>0</v>
      </c>
      <c r="BQ80" s="6" t="b">
        <f ca="1">IFERROR(__xludf.DUMMYFUNCTION("IF(AND(ISERROR(FILTER('Items by Team'!D$2:D3410,'Items by Team'!C$2:C3410 = D80,'Items by Team'!B$2:B3410 = B80)),NOT(A80=""Practice"")),TRUE,FALSE)"),FALSE)</f>
        <v>0</v>
      </c>
      <c r="BR80" s="6" t="e">
        <f t="shared" ca="1" si="20"/>
        <v>#VALUE!</v>
      </c>
    </row>
    <row r="81" spans="1:70">
      <c r="A81" s="6" t="str">
        <f ca="1">IFERROR(__xludf.DUMMYFUNCTION("""COMPUTED_VALUE"""),"Practice")</f>
        <v>Practice</v>
      </c>
      <c r="B81" s="6">
        <f ca="1">IFERROR(__xludf.DUMMYFUNCTION("""COMPUTED_VALUE"""),15)</f>
        <v>15</v>
      </c>
      <c r="C81" s="6" t="str">
        <f ca="1">IFERROR(__xludf.DUMMYFUNCTION("""COMPUTED_VALUE"""),"B1")</f>
        <v>B1</v>
      </c>
      <c r="D81" s="6">
        <f ca="1">IFERROR(__xludf.DUMMYFUNCTION("""COMPUTED_VALUE"""),2855)</f>
        <v>2855</v>
      </c>
      <c r="E81" s="6" t="b">
        <f ca="1">IFERROR(__xludf.DUMMYFUNCTION("""COMPUTED_VALUE"""),FALSE)</f>
        <v>0</v>
      </c>
      <c r="F81" s="6" t="str">
        <f ca="1">IFERROR(__xludf.DUMMYFUNCTION("""COMPUTED_VALUE"""),"Red Barge")</f>
        <v>Red Barge</v>
      </c>
      <c r="G81" s="6" t="b">
        <f ca="1">IFERROR(__xludf.DUMMYFUNCTION("""COMPUTED_VALUE"""),TRUE)</f>
        <v>1</v>
      </c>
      <c r="H81" s="6" t="b">
        <f ca="1">IFERROR(__xludf.DUMMYFUNCTION("""COMPUTED_VALUE"""),TRUE)</f>
        <v>1</v>
      </c>
      <c r="I81" s="6">
        <f ca="1">IFERROR(__xludf.DUMMYFUNCTION("""COMPUTED_VALUE"""),0)</f>
        <v>0</v>
      </c>
      <c r="J81" s="6">
        <f ca="1">IFERROR(__xludf.DUMMYFUNCTION("""COMPUTED_VALUE"""),0)</f>
        <v>0</v>
      </c>
      <c r="K81" s="6">
        <f ca="1">IFERROR(__xludf.DUMMYFUNCTION("""COMPUTED_VALUE"""),0)</f>
        <v>0</v>
      </c>
      <c r="L81" s="6">
        <f ca="1">IFERROR(__xludf.DUMMYFUNCTION("""COMPUTED_VALUE"""),0)</f>
        <v>0</v>
      </c>
      <c r="M81" s="6">
        <f ca="1">IFERROR(__xludf.DUMMYFUNCTION("""COMPUTED_VALUE"""),0)</f>
        <v>0</v>
      </c>
      <c r="N81" s="6">
        <f ca="1">IFERROR(__xludf.DUMMYFUNCTION("""COMPUTED_VALUE"""),0)</f>
        <v>0</v>
      </c>
      <c r="O81" s="6">
        <f ca="1">IFERROR(__xludf.DUMMYFUNCTION("""COMPUTED_VALUE"""),0)</f>
        <v>0</v>
      </c>
      <c r="P81" s="6">
        <f ca="1">IFERROR(__xludf.DUMMYFUNCTION("""COMPUTED_VALUE"""),1)</f>
        <v>1</v>
      </c>
      <c r="R81" s="6">
        <f ca="1">IFERROR(__xludf.DUMMYFUNCTION("""COMPUTED_VALUE"""),0)</f>
        <v>0</v>
      </c>
      <c r="S81" s="6">
        <f ca="1">IFERROR(__xludf.DUMMYFUNCTION("""COMPUTED_VALUE"""),0)</f>
        <v>0</v>
      </c>
      <c r="T81" s="6">
        <f ca="1">IFERROR(__xludf.DUMMYFUNCTION("""COMPUTED_VALUE"""),0)</f>
        <v>0</v>
      </c>
      <c r="U81" s="6">
        <f ca="1">IFERROR(__xludf.DUMMYFUNCTION("""COMPUTED_VALUE"""),0)</f>
        <v>0</v>
      </c>
      <c r="V81" s="6">
        <f ca="1">IFERROR(__xludf.DUMMYFUNCTION("""COMPUTED_VALUE"""),0)</f>
        <v>0</v>
      </c>
      <c r="W81" s="6">
        <f ca="1">IFERROR(__xludf.DUMMYFUNCTION("""COMPUTED_VALUE"""),0)</f>
        <v>0</v>
      </c>
      <c r="X81" s="6">
        <f ca="1">IFERROR(__xludf.DUMMYFUNCTION("""COMPUTED_VALUE"""),0)</f>
        <v>0</v>
      </c>
      <c r="Y81" s="6">
        <f ca="1">IFERROR(__xludf.DUMMYFUNCTION("""COMPUTED_VALUE"""),0)</f>
        <v>0</v>
      </c>
      <c r="Z81" s="6">
        <f ca="1">IFERROR(__xludf.DUMMYFUNCTION("""COMPUTED_VALUE"""),0)</f>
        <v>0</v>
      </c>
      <c r="AA81" s="6">
        <f ca="1">IFERROR(__xludf.DUMMYFUNCTION("""COMPUTED_VALUE"""),1)</f>
        <v>1</v>
      </c>
      <c r="AB81" s="6" t="b">
        <f ca="1">IFERROR(__xludf.DUMMYFUNCTION("""COMPUTED_VALUE"""),TRUE)</f>
        <v>1</v>
      </c>
      <c r="AD81" s="6" t="b">
        <f ca="1">IFERROR(__xludf.DUMMYFUNCTION("""COMPUTED_VALUE"""),FALSE)</f>
        <v>0</v>
      </c>
      <c r="AE81" s="6">
        <f ca="1">IFERROR(__xludf.DUMMYFUNCTION("""COMPUTED_VALUE"""),2)</f>
        <v>2</v>
      </c>
      <c r="AF81" s="6">
        <f ca="1">IFERROR(__xludf.DUMMYFUNCTION("""COMPUTED_VALUE"""),2)</f>
        <v>2</v>
      </c>
      <c r="AG81" s="6">
        <f ca="1">IFERROR(__xludf.DUMMYFUNCTION("""COMPUTED_VALUE"""),0)</f>
        <v>0</v>
      </c>
      <c r="AH81" s="6">
        <f ca="1">IFERROR(__xludf.DUMMYFUNCTION("""COMPUTED_VALUE"""),0)</f>
        <v>0</v>
      </c>
      <c r="AI81" s="6">
        <f ca="1">IFERROR(__xludf.DUMMYFUNCTION("""COMPUTED_VALUE"""),2)</f>
        <v>2</v>
      </c>
      <c r="AK81" s="6" t="str">
        <f ca="1">IFERROR(__xludf.DUMMYFUNCTION("""COMPUTED_VALUE"""),"Dc")</f>
        <v>Dc</v>
      </c>
      <c r="AL81" s="6">
        <f ca="1">IFERROR(__xludf.DUMMYFUNCTION("""COMPUTED_VALUE"""),0)</f>
        <v>0</v>
      </c>
      <c r="AM81" s="6" t="b">
        <f ca="1">IFERROR(__xludf.DUMMYFUNCTION("""COMPUTED_VALUE"""),FALSE)</f>
        <v>0</v>
      </c>
      <c r="AN81" s="6" t="str">
        <f ca="1">IFERROR(__xludf.DUMMYFUNCTION("""COMPUTED_VALUE"""),"No")</f>
        <v>No</v>
      </c>
      <c r="AO81" s="6" t="str">
        <f ca="1">IFERROR(__xludf.DUMMYFUNCTION("""COMPUTED_VALUE"""),"Did not get a hold of cage")</f>
        <v>Did not get a hold of cage</v>
      </c>
      <c r="AP81" s="6" t="str">
        <f ca="1">IFERROR(__xludf.DUMMYFUNCTION("""COMPUTED_VALUE"""),"x")</f>
        <v>x</v>
      </c>
      <c r="AQ81" s="6" t="b">
        <f ca="1">IFERROR(__xludf.DUMMYFUNCTION("""COMPUTED_VALUE"""),FALSE)</f>
        <v>0</v>
      </c>
      <c r="AR81" s="6" t="b">
        <f ca="1">IFERROR(__xludf.DUMMYFUNCTION("""COMPUTED_VALUE"""),FALSE)</f>
        <v>0</v>
      </c>
      <c r="AS81" s="15"/>
      <c r="AT81" s="6" t="str">
        <f ca="1">IFERROR(__xludf.DUMMYFUNCTION("SWITCH(IF(A81=""Practice"",AN81,FILTER('Items by Team'!E$2:E3410,'Items by Team'!C$2:C3410=D81,B81='Items by Team'!B$2:B3410)),""None"",""No"",""Parked"",""P"",""ShallowCage"",""Sc"",""DeepCage"",""Dc"",""No"",""No"",""P"",""P"",""Sc"",""Sc"",""Dc"",""Dc"&amp;""")"),"No")</f>
        <v>No</v>
      </c>
      <c r="AU81" s="6" t="str">
        <f ca="1">IFERROR(__xludf.DUMMYFUNCTION("SWITCH(IF(A81 = ""Practice"", H81, FILTER('Items by Team'!D$2:D3410,'Items by Team'!C$2:C3410 = D81,'Items by Team'!B$2:B3410 = B81)), ""Yes"", ""TRUE"", ""No"", ""FALSE"",TRUE, ""TRUE"", FALSE, ""FALSE"")"),"TRUE")</f>
        <v>TRUE</v>
      </c>
      <c r="AV81" s="6" t="str">
        <f t="shared" ca="1" si="0"/>
        <v/>
      </c>
      <c r="AW81" s="6">
        <f t="shared" ca="1" si="1"/>
        <v>1</v>
      </c>
      <c r="AX81" s="6">
        <f t="shared" ca="1" si="2"/>
        <v>0</v>
      </c>
      <c r="AY81" s="6">
        <f t="shared" ca="1" si="3"/>
        <v>1</v>
      </c>
      <c r="AZ81" s="9">
        <f t="shared" ca="1" si="4"/>
        <v>0</v>
      </c>
      <c r="BA81" s="6">
        <f t="shared" ca="1" si="5"/>
        <v>0</v>
      </c>
      <c r="BB81" s="6">
        <f t="shared" ca="1" si="6"/>
        <v>0</v>
      </c>
      <c r="BC81" s="9" t="str">
        <f t="shared" ca="1" si="7"/>
        <v/>
      </c>
      <c r="BD81" s="6">
        <f t="shared" ca="1" si="8"/>
        <v>0</v>
      </c>
      <c r="BE81" s="6">
        <f t="shared" ca="1" si="9"/>
        <v>0</v>
      </c>
      <c r="BF81" s="9" t="str">
        <f t="shared" ca="1" si="10"/>
        <v/>
      </c>
      <c r="BG81" s="6">
        <f t="shared" ca="1" si="11"/>
        <v>4</v>
      </c>
      <c r="BH81" s="6">
        <f t="shared" ca="1" si="12"/>
        <v>6</v>
      </c>
      <c r="BI81" s="9">
        <f t="shared" ca="1" si="13"/>
        <v>0.66666666666666663</v>
      </c>
      <c r="BJ81" s="6">
        <f t="shared" ca="1" si="14"/>
        <v>0</v>
      </c>
      <c r="BK81" s="6">
        <f t="shared" ca="1" si="15"/>
        <v>0</v>
      </c>
      <c r="BL81" s="6">
        <f t="shared" ca="1" si="16"/>
        <v>0</v>
      </c>
      <c r="BM81" s="6">
        <f t="shared" ca="1" si="17"/>
        <v>0</v>
      </c>
      <c r="BN81" s="6">
        <f t="shared" ca="1" si="18"/>
        <v>1</v>
      </c>
      <c r="BP81" s="6">
        <f t="shared" ca="1" si="19"/>
        <v>0</v>
      </c>
      <c r="BQ81" s="6" t="b">
        <f ca="1">IFERROR(__xludf.DUMMYFUNCTION("IF(AND(ISERROR(FILTER('Items by Team'!D$2:D3410,'Items by Team'!C$2:C3410 = D81,'Items by Team'!B$2:B3410 = B81)),NOT(A81=""Practice"")),TRUE,FALSE)"),FALSE)</f>
        <v>0</v>
      </c>
      <c r="BR81" s="6" t="e">
        <f t="shared" ca="1" si="20"/>
        <v>#VALUE!</v>
      </c>
    </row>
    <row r="82" spans="1:70">
      <c r="A82" s="6" t="str">
        <f ca="1">IFERROR(__xludf.DUMMYFUNCTION("""COMPUTED_VALUE"""),"Practice")</f>
        <v>Practice</v>
      </c>
      <c r="B82" s="6">
        <f ca="1">IFERROR(__xludf.DUMMYFUNCTION("""COMPUTED_VALUE"""),15)</f>
        <v>15</v>
      </c>
      <c r="C82" s="6" t="str">
        <f ca="1">IFERROR(__xludf.DUMMYFUNCTION("""COMPUTED_VALUE"""),"R2")</f>
        <v>R2</v>
      </c>
      <c r="D82" s="6">
        <f ca="1">IFERROR(__xludf.DUMMYFUNCTION("""COMPUTED_VALUE"""),6217)</f>
        <v>6217</v>
      </c>
      <c r="E82" s="6" t="b">
        <f ca="1">IFERROR(__xludf.DUMMYFUNCTION("""COMPUTED_VALUE"""),FALSE)</f>
        <v>0</v>
      </c>
      <c r="F82" s="6" t="str">
        <f ca="1">IFERROR(__xludf.DUMMYFUNCTION("""COMPUTED_VALUE"""),"Blue Barge")</f>
        <v>Blue Barge</v>
      </c>
      <c r="G82" s="6" t="b">
        <f ca="1">IFERROR(__xludf.DUMMYFUNCTION("""COMPUTED_VALUE"""),TRUE)</f>
        <v>1</v>
      </c>
      <c r="H82" s="6" t="b">
        <f ca="1">IFERROR(__xludf.DUMMYFUNCTION("""COMPUTED_VALUE"""),FALSE)</f>
        <v>0</v>
      </c>
      <c r="I82" s="6">
        <f ca="1">IFERROR(__xludf.DUMMYFUNCTION("""COMPUTED_VALUE"""),0)</f>
        <v>0</v>
      </c>
      <c r="J82" s="6">
        <f ca="1">IFERROR(__xludf.DUMMYFUNCTION("""COMPUTED_VALUE"""),0)</f>
        <v>0</v>
      </c>
      <c r="K82" s="6">
        <f ca="1">IFERROR(__xludf.DUMMYFUNCTION("""COMPUTED_VALUE"""),0)</f>
        <v>0</v>
      </c>
      <c r="L82" s="6">
        <f ca="1">IFERROR(__xludf.DUMMYFUNCTION("""COMPUTED_VALUE"""),1)</f>
        <v>1</v>
      </c>
      <c r="M82" s="6">
        <f ca="1">IFERROR(__xludf.DUMMYFUNCTION("""COMPUTED_VALUE"""),0)</f>
        <v>0</v>
      </c>
      <c r="N82" s="6">
        <f ca="1">IFERROR(__xludf.DUMMYFUNCTION("""COMPUTED_VALUE"""),0)</f>
        <v>0</v>
      </c>
      <c r="O82" s="6">
        <f ca="1">IFERROR(__xludf.DUMMYFUNCTION("""COMPUTED_VALUE"""),0)</f>
        <v>0</v>
      </c>
      <c r="P82" s="6">
        <f ca="1">IFERROR(__xludf.DUMMYFUNCTION("""COMPUTED_VALUE"""),0)</f>
        <v>0</v>
      </c>
      <c r="R82" s="6">
        <f ca="1">IFERROR(__xludf.DUMMYFUNCTION("""COMPUTED_VALUE"""),0)</f>
        <v>0</v>
      </c>
      <c r="S82" s="6">
        <f ca="1">IFERROR(__xludf.DUMMYFUNCTION("""COMPUTED_VALUE"""),0)</f>
        <v>0</v>
      </c>
      <c r="T82" s="6">
        <f ca="1">IFERROR(__xludf.DUMMYFUNCTION("""COMPUTED_VALUE"""),0)</f>
        <v>0</v>
      </c>
      <c r="U82" s="6">
        <f ca="1">IFERROR(__xludf.DUMMYFUNCTION("""COMPUTED_VALUE"""),0)</f>
        <v>0</v>
      </c>
      <c r="V82" s="6">
        <f ca="1">IFERROR(__xludf.DUMMYFUNCTION("""COMPUTED_VALUE"""),0)</f>
        <v>0</v>
      </c>
      <c r="W82" s="6">
        <f ca="1">IFERROR(__xludf.DUMMYFUNCTION("""COMPUTED_VALUE"""),0)</f>
        <v>0</v>
      </c>
      <c r="X82" s="6">
        <f ca="1">IFERROR(__xludf.DUMMYFUNCTION("""COMPUTED_VALUE"""),0)</f>
        <v>0</v>
      </c>
      <c r="Y82" s="6">
        <f ca="1">IFERROR(__xludf.DUMMYFUNCTION("""COMPUTED_VALUE"""),0)</f>
        <v>0</v>
      </c>
      <c r="Z82" s="6">
        <f ca="1">IFERROR(__xludf.DUMMYFUNCTION("""COMPUTED_VALUE"""),1)</f>
        <v>1</v>
      </c>
      <c r="AA82" s="6">
        <f ca="1">IFERROR(__xludf.DUMMYFUNCTION("""COMPUTED_VALUE"""),0)</f>
        <v>0</v>
      </c>
      <c r="AB82" s="6" t="b">
        <f ca="1">IFERROR(__xludf.DUMMYFUNCTION("""COMPUTED_VALUE"""),TRUE)</f>
        <v>1</v>
      </c>
      <c r="AD82" s="6" t="b">
        <f ca="1">IFERROR(__xludf.DUMMYFUNCTION("""COMPUTED_VALUE"""),FALSE)</f>
        <v>0</v>
      </c>
      <c r="AE82" s="6">
        <f ca="1">IFERROR(__xludf.DUMMYFUNCTION("""COMPUTED_VALUE"""),3)</f>
        <v>3</v>
      </c>
      <c r="AF82" s="6">
        <f ca="1">IFERROR(__xludf.DUMMYFUNCTION("""COMPUTED_VALUE"""),2)</f>
        <v>2</v>
      </c>
      <c r="AG82" s="6">
        <f ca="1">IFERROR(__xludf.DUMMYFUNCTION("""COMPUTED_VALUE"""),2)</f>
        <v>2</v>
      </c>
      <c r="AH82" s="6">
        <f ca="1">IFERROR(__xludf.DUMMYFUNCTION("""COMPUTED_VALUE"""),0)</f>
        <v>0</v>
      </c>
      <c r="AI82" s="6">
        <f ca="1">IFERROR(__xludf.DUMMYFUNCTION("""COMPUTED_VALUE"""),1)</f>
        <v>1</v>
      </c>
      <c r="AK82" s="6" t="str">
        <f ca="1">IFERROR(__xludf.DUMMYFUNCTION("""COMPUTED_VALUE"""),"P")</f>
        <v>P</v>
      </c>
      <c r="AL82" s="6">
        <f ca="1">IFERROR(__xludf.DUMMYFUNCTION("""COMPUTED_VALUE"""),0)</f>
        <v>0</v>
      </c>
      <c r="AM82" s="6" t="b">
        <f ca="1">IFERROR(__xludf.DUMMYFUNCTION("""COMPUTED_VALUE"""),TRUE)</f>
        <v>1</v>
      </c>
      <c r="AN82" s="6" t="str">
        <f ca="1">IFERROR(__xludf.DUMMYFUNCTION("""COMPUTED_VALUE"""),"P")</f>
        <v>P</v>
      </c>
      <c r="AO82" s="6" t="str">
        <f ca="1">IFERROR(__xludf.DUMMYFUNCTION("""COMPUTED_VALUE"""),"failed to deep climb, ")</f>
        <v xml:space="preserve">failed to deep climb, </v>
      </c>
      <c r="AP82" s="6" t="str">
        <f ca="1">IFERROR(__xludf.DUMMYFUNCTION("""COMPUTED_VALUE"""),"x")</f>
        <v>x</v>
      </c>
      <c r="AQ82" s="6" t="b">
        <f ca="1">IFERROR(__xludf.DUMMYFUNCTION("""COMPUTED_VALUE"""),FALSE)</f>
        <v>0</v>
      </c>
      <c r="AR82" s="6" t="b">
        <f ca="1">IFERROR(__xludf.DUMMYFUNCTION("""COMPUTED_VALUE"""),FALSE)</f>
        <v>0</v>
      </c>
      <c r="AS82" s="15"/>
      <c r="AT82" s="6" t="str">
        <f ca="1">IFERROR(__xludf.DUMMYFUNCTION("SWITCH(IF(A82=""Practice"",AN82,FILTER('Items by Team'!E$2:E3410,'Items by Team'!C$2:C3410=D82,B82='Items by Team'!B$2:B3410)),""None"",""No"",""Parked"",""P"",""ShallowCage"",""Sc"",""DeepCage"",""Dc"",""No"",""No"",""P"",""P"",""Sc"",""Sc"",""Dc"",""Dc"&amp;""")"),"P")</f>
        <v>P</v>
      </c>
      <c r="AU82" s="6" t="str">
        <f ca="1">IFERROR(__xludf.DUMMYFUNCTION("SWITCH(IF(A82 = ""Practice"", H82, FILTER('Items by Team'!D$2:D3410,'Items by Team'!C$2:C3410 = D82,'Items by Team'!B$2:B3410 = B82)), ""Yes"", ""TRUE"", ""No"", ""FALSE"",TRUE, ""TRUE"", FALSE, ""FALSE"")"),"FALSE")</f>
        <v>FALSE</v>
      </c>
      <c r="AV82" s="6" t="str">
        <f t="shared" ca="1" si="0"/>
        <v/>
      </c>
      <c r="AW82" s="6">
        <f t="shared" ca="1" si="1"/>
        <v>0</v>
      </c>
      <c r="AX82" s="6">
        <f t="shared" ca="1" si="2"/>
        <v>1</v>
      </c>
      <c r="AY82" s="6">
        <f t="shared" ca="1" si="3"/>
        <v>1</v>
      </c>
      <c r="AZ82" s="9">
        <f t="shared" ca="1" si="4"/>
        <v>1</v>
      </c>
      <c r="BA82" s="6">
        <f t="shared" ca="1" si="5"/>
        <v>0</v>
      </c>
      <c r="BB82" s="6">
        <f t="shared" ca="1" si="6"/>
        <v>0</v>
      </c>
      <c r="BC82" s="9" t="str">
        <f t="shared" ca="1" si="7"/>
        <v/>
      </c>
      <c r="BD82" s="6">
        <f t="shared" ca="1" si="8"/>
        <v>0</v>
      </c>
      <c r="BE82" s="6">
        <f t="shared" ca="1" si="9"/>
        <v>0</v>
      </c>
      <c r="BF82" s="9" t="str">
        <f t="shared" ca="1" si="10"/>
        <v/>
      </c>
      <c r="BG82" s="6">
        <f t="shared" ca="1" si="11"/>
        <v>7</v>
      </c>
      <c r="BH82" s="6">
        <f t="shared" ca="1" si="12"/>
        <v>8</v>
      </c>
      <c r="BI82" s="9">
        <f t="shared" ca="1" si="13"/>
        <v>0.875</v>
      </c>
      <c r="BJ82" s="6">
        <f t="shared" ca="1" si="14"/>
        <v>0</v>
      </c>
      <c r="BK82" s="6">
        <f t="shared" ca="1" si="15"/>
        <v>0</v>
      </c>
      <c r="BL82" s="6">
        <f t="shared" ca="1" si="16"/>
        <v>0</v>
      </c>
      <c r="BM82" s="6">
        <f t="shared" ca="1" si="17"/>
        <v>0</v>
      </c>
      <c r="BN82" s="6">
        <f t="shared" ca="1" si="18"/>
        <v>1</v>
      </c>
      <c r="BP82" s="6">
        <f t="shared" ca="1" si="19"/>
        <v>0</v>
      </c>
      <c r="BQ82" s="6" t="b">
        <f ca="1">IFERROR(__xludf.DUMMYFUNCTION("IF(AND(ISERROR(FILTER('Items by Team'!D$2:D3410,'Items by Team'!C$2:C3410 = D82,'Items by Team'!B$2:B3410 = B82)),NOT(A82=""Practice"")),TRUE,FALSE)"),FALSE)</f>
        <v>0</v>
      </c>
      <c r="BR82" s="6" t="e">
        <f t="shared" ca="1" si="20"/>
        <v>#VALUE!</v>
      </c>
    </row>
    <row r="83" spans="1:70">
      <c r="A83" s="6" t="str">
        <f ca="1">IFERROR(__xludf.DUMMYFUNCTION("""COMPUTED_VALUE"""),"Practice")</f>
        <v>Practice</v>
      </c>
      <c r="B83" s="6">
        <f ca="1">IFERROR(__xludf.DUMMYFUNCTION("""COMPUTED_VALUE"""),15)</f>
        <v>15</v>
      </c>
      <c r="C83" s="6" t="str">
        <f ca="1">IFERROR(__xludf.DUMMYFUNCTION("""COMPUTED_VALUE"""),"B3")</f>
        <v>B3</v>
      </c>
      <c r="D83" s="6">
        <f ca="1">IFERROR(__xludf.DUMMYFUNCTION("""COMPUTED_VALUE"""),5541)</f>
        <v>5541</v>
      </c>
      <c r="E83" s="6" t="b">
        <f ca="1">IFERROR(__xludf.DUMMYFUNCTION("""COMPUTED_VALUE"""),TRUE)</f>
        <v>1</v>
      </c>
      <c r="F83" s="6"/>
      <c r="G83" s="6" t="b">
        <f ca="1">IFERROR(__xludf.DUMMYFUNCTION("""COMPUTED_VALUE"""),TRUE)</f>
        <v>1</v>
      </c>
      <c r="H83" s="6" t="b">
        <f ca="1">IFERROR(__xludf.DUMMYFUNCTION("""COMPUTED_VALUE"""),FALSE)</f>
        <v>0</v>
      </c>
      <c r="I83" s="6">
        <f ca="1">IFERROR(__xludf.DUMMYFUNCTION("""COMPUTED_VALUE"""),0)</f>
        <v>0</v>
      </c>
      <c r="J83" s="6">
        <f ca="1">IFERROR(__xludf.DUMMYFUNCTION("""COMPUTED_VALUE"""),0)</f>
        <v>0</v>
      </c>
      <c r="K83" s="6">
        <f ca="1">IFERROR(__xludf.DUMMYFUNCTION("""COMPUTED_VALUE"""),0)</f>
        <v>0</v>
      </c>
      <c r="L83" s="6">
        <f ca="1">IFERROR(__xludf.DUMMYFUNCTION("""COMPUTED_VALUE"""),0)</f>
        <v>0</v>
      </c>
      <c r="M83" s="6">
        <f ca="1">IFERROR(__xludf.DUMMYFUNCTION("""COMPUTED_VALUE"""),0)</f>
        <v>0</v>
      </c>
      <c r="N83" s="6">
        <f ca="1">IFERROR(__xludf.DUMMYFUNCTION("""COMPUTED_VALUE"""),0)</f>
        <v>0</v>
      </c>
      <c r="O83" s="6">
        <f ca="1">IFERROR(__xludf.DUMMYFUNCTION("""COMPUTED_VALUE"""),0)</f>
        <v>0</v>
      </c>
      <c r="P83" s="6">
        <f ca="1">IFERROR(__xludf.DUMMYFUNCTION("""COMPUTED_VALUE"""),0)</f>
        <v>0</v>
      </c>
      <c r="R83" s="6">
        <f ca="1">IFERROR(__xludf.DUMMYFUNCTION("""COMPUTED_VALUE"""),0)</f>
        <v>0</v>
      </c>
      <c r="S83" s="6">
        <f ca="1">IFERROR(__xludf.DUMMYFUNCTION("""COMPUTED_VALUE"""),0)</f>
        <v>0</v>
      </c>
      <c r="T83" s="6">
        <f ca="1">IFERROR(__xludf.DUMMYFUNCTION("""COMPUTED_VALUE"""),0)</f>
        <v>0</v>
      </c>
      <c r="U83" s="6">
        <f ca="1">IFERROR(__xludf.DUMMYFUNCTION("""COMPUTED_VALUE"""),0)</f>
        <v>0</v>
      </c>
      <c r="V83" s="6">
        <f ca="1">IFERROR(__xludf.DUMMYFUNCTION("""COMPUTED_VALUE"""),0)</f>
        <v>0</v>
      </c>
      <c r="W83" s="6">
        <f ca="1">IFERROR(__xludf.DUMMYFUNCTION("""COMPUTED_VALUE"""),0)</f>
        <v>0</v>
      </c>
      <c r="X83" s="6">
        <f ca="1">IFERROR(__xludf.DUMMYFUNCTION("""COMPUTED_VALUE"""),0)</f>
        <v>0</v>
      </c>
      <c r="Y83" s="6">
        <f ca="1">IFERROR(__xludf.DUMMYFUNCTION("""COMPUTED_VALUE"""),0)</f>
        <v>0</v>
      </c>
      <c r="Z83" s="6">
        <f ca="1">IFERROR(__xludf.DUMMYFUNCTION("""COMPUTED_VALUE"""),0)</f>
        <v>0</v>
      </c>
      <c r="AA83" s="6">
        <f ca="1">IFERROR(__xludf.DUMMYFUNCTION("""COMPUTED_VALUE"""),0)</f>
        <v>0</v>
      </c>
      <c r="AB83" s="6" t="b">
        <f ca="1">IFERROR(__xludf.DUMMYFUNCTION("""COMPUTED_VALUE"""),FALSE)</f>
        <v>0</v>
      </c>
      <c r="AD83" s="6" t="b">
        <f ca="1">IFERROR(__xludf.DUMMYFUNCTION("""COMPUTED_VALUE"""),FALSE)</f>
        <v>0</v>
      </c>
      <c r="AE83" s="6">
        <f ca="1">IFERROR(__xludf.DUMMYFUNCTION("""COMPUTED_VALUE"""),0)</f>
        <v>0</v>
      </c>
      <c r="AF83" s="6">
        <f ca="1">IFERROR(__xludf.DUMMYFUNCTION("""COMPUTED_VALUE"""),0)</f>
        <v>0</v>
      </c>
      <c r="AG83" s="6">
        <f ca="1">IFERROR(__xludf.DUMMYFUNCTION("""COMPUTED_VALUE"""),0)</f>
        <v>0</v>
      </c>
      <c r="AH83" s="6">
        <f ca="1">IFERROR(__xludf.DUMMYFUNCTION("""COMPUTED_VALUE"""),0)</f>
        <v>0</v>
      </c>
      <c r="AI83" s="6">
        <f ca="1">IFERROR(__xludf.DUMMYFUNCTION("""COMPUTED_VALUE"""),0)</f>
        <v>0</v>
      </c>
      <c r="AK83" s="6" t="str">
        <f ca="1">IFERROR(__xludf.DUMMYFUNCTION("""COMPUTED_VALUE"""),"No")</f>
        <v>No</v>
      </c>
      <c r="AL83" s="6">
        <f ca="1">IFERROR(__xludf.DUMMYFUNCTION("""COMPUTED_VALUE"""),0)</f>
        <v>0</v>
      </c>
      <c r="AM83" s="6" t="b">
        <f ca="1">IFERROR(__xludf.DUMMYFUNCTION("""COMPUTED_VALUE"""),FALSE)</f>
        <v>0</v>
      </c>
      <c r="AN83" s="6" t="str">
        <f ca="1">IFERROR(__xludf.DUMMYFUNCTION("""COMPUTED_VALUE"""),"No")</f>
        <v>No</v>
      </c>
      <c r="AO83" s="6"/>
      <c r="AP83" s="6" t="str">
        <f ca="1">IFERROR(__xludf.DUMMYFUNCTION("""COMPUTED_VALUE"""),"x")</f>
        <v>x</v>
      </c>
      <c r="AQ83" s="6" t="b">
        <f ca="1">IFERROR(__xludf.DUMMYFUNCTION("""COMPUTED_VALUE"""),FALSE)</f>
        <v>0</v>
      </c>
      <c r="AR83" s="6" t="b">
        <f ca="1">IFERROR(__xludf.DUMMYFUNCTION("""COMPUTED_VALUE"""),FALSE)</f>
        <v>0</v>
      </c>
      <c r="AS83" s="15"/>
      <c r="AT83" s="6" t="str">
        <f ca="1">IFERROR(__xludf.DUMMYFUNCTION("SWITCH(IF(A83=""Practice"",AN83,FILTER('Items by Team'!E$2:E3410,'Items by Team'!C$2:C3410=D83,B83='Items by Team'!B$2:B3410)),""None"",""No"",""Parked"",""P"",""ShallowCage"",""Sc"",""DeepCage"",""Dc"",""No"",""No"",""P"",""P"",""Sc"",""Sc"",""Dc"",""Dc"&amp;""")"),"No")</f>
        <v>No</v>
      </c>
      <c r="AU83" s="6" t="str">
        <f ca="1">IFERROR(__xludf.DUMMYFUNCTION("SWITCH(IF(A83 = ""Practice"", H83, FILTER('Items by Team'!D$2:D3410,'Items by Team'!C$2:C3410 = D83,'Items by Team'!B$2:B3410 = B83)), ""Yes"", ""TRUE"", ""No"", ""FALSE"",TRUE, ""TRUE"", FALSE, ""FALSE"")"),"FALSE")</f>
        <v>FALSE</v>
      </c>
      <c r="AV83" s="6" t="str">
        <f t="shared" ca="1" si="0"/>
        <v/>
      </c>
      <c r="AW83" s="6">
        <f t="shared" ca="1" si="1"/>
        <v>0</v>
      </c>
      <c r="AX83" s="6">
        <f t="shared" ca="1" si="2"/>
        <v>0</v>
      </c>
      <c r="AY83" s="6">
        <f t="shared" ca="1" si="3"/>
        <v>0</v>
      </c>
      <c r="AZ83" s="9" t="str">
        <f t="shared" ca="1" si="4"/>
        <v/>
      </c>
      <c r="BA83" s="6">
        <f t="shared" ca="1" si="5"/>
        <v>0</v>
      </c>
      <c r="BB83" s="6">
        <f t="shared" ca="1" si="6"/>
        <v>0</v>
      </c>
      <c r="BC83" s="9" t="str">
        <f t="shared" ca="1" si="7"/>
        <v/>
      </c>
      <c r="BD83" s="6">
        <f t="shared" ca="1" si="8"/>
        <v>0</v>
      </c>
      <c r="BE83" s="6">
        <f t="shared" ca="1" si="9"/>
        <v>0</v>
      </c>
      <c r="BF83" s="9" t="str">
        <f t="shared" ca="1" si="10"/>
        <v/>
      </c>
      <c r="BG83" s="6">
        <f t="shared" ca="1" si="11"/>
        <v>0</v>
      </c>
      <c r="BH83" s="6">
        <f t="shared" ca="1" si="12"/>
        <v>0</v>
      </c>
      <c r="BI83" s="9" t="str">
        <f t="shared" ca="1" si="13"/>
        <v/>
      </c>
      <c r="BJ83" s="6">
        <f t="shared" ca="1" si="14"/>
        <v>0</v>
      </c>
      <c r="BK83" s="6">
        <f t="shared" ca="1" si="15"/>
        <v>0</v>
      </c>
      <c r="BL83" s="6">
        <f t="shared" ca="1" si="16"/>
        <v>0</v>
      </c>
      <c r="BM83" s="6">
        <f t="shared" ca="1" si="17"/>
        <v>0</v>
      </c>
      <c r="BN83" s="6">
        <f t="shared" ca="1" si="18"/>
        <v>0</v>
      </c>
      <c r="BP83" s="6">
        <f t="shared" ca="1" si="19"/>
        <v>0</v>
      </c>
      <c r="BQ83" s="6" t="b">
        <f ca="1">IFERROR(__xludf.DUMMYFUNCTION("IF(AND(ISERROR(FILTER('Items by Team'!D$2:D3410,'Items by Team'!C$2:C3410 = D83,'Items by Team'!B$2:B3410 = B83)),NOT(A83=""Practice"")),TRUE,FALSE)"),FALSE)</f>
        <v>0</v>
      </c>
      <c r="BR83" s="6" t="e">
        <f t="shared" ca="1" si="20"/>
        <v>#VALUE!</v>
      </c>
    </row>
    <row r="84" spans="1:70">
      <c r="A84" s="6" t="str">
        <f ca="1">IFERROR(__xludf.DUMMYFUNCTION("""COMPUTED_VALUE"""),"Practice")</f>
        <v>Practice</v>
      </c>
      <c r="B84" s="6">
        <f ca="1">IFERROR(__xludf.DUMMYFUNCTION("""COMPUTED_VALUE"""),15)</f>
        <v>15</v>
      </c>
      <c r="C84" s="6" t="str">
        <f ca="1">IFERROR(__xludf.DUMMYFUNCTION("""COMPUTED_VALUE"""),"R3")</f>
        <v>R3</v>
      </c>
      <c r="D84" s="6">
        <f ca="1">IFERROR(__xludf.DUMMYFUNCTION("""COMPUTED_VALUE"""),4663)</f>
        <v>4663</v>
      </c>
      <c r="E84" s="6" t="b">
        <f ca="1">IFERROR(__xludf.DUMMYFUNCTION("""COMPUTED_VALUE"""),FALSE)</f>
        <v>0</v>
      </c>
      <c r="F84" s="6" t="str">
        <f ca="1">IFERROR(__xludf.DUMMYFUNCTION("""COMPUTED_VALUE"""),"Middle")</f>
        <v>Middle</v>
      </c>
      <c r="G84" s="6" t="b">
        <f ca="1">IFERROR(__xludf.DUMMYFUNCTION("""COMPUTED_VALUE"""),TRUE)</f>
        <v>1</v>
      </c>
      <c r="H84" s="6" t="b">
        <f ca="1">IFERROR(__xludf.DUMMYFUNCTION("""COMPUTED_VALUE"""),TRUE)</f>
        <v>1</v>
      </c>
      <c r="I84" s="6">
        <f ca="1">IFERROR(__xludf.DUMMYFUNCTION("""COMPUTED_VALUE"""),0)</f>
        <v>0</v>
      </c>
      <c r="J84" s="6">
        <f ca="1">IFERROR(__xludf.DUMMYFUNCTION("""COMPUTED_VALUE"""),0)</f>
        <v>0</v>
      </c>
      <c r="K84" s="6">
        <f ca="1">IFERROR(__xludf.DUMMYFUNCTION("""COMPUTED_VALUE"""),0)</f>
        <v>0</v>
      </c>
      <c r="L84" s="6">
        <f ca="1">IFERROR(__xludf.DUMMYFUNCTION("""COMPUTED_VALUE"""),0)</f>
        <v>0</v>
      </c>
      <c r="M84" s="6">
        <f ca="1">IFERROR(__xludf.DUMMYFUNCTION("""COMPUTED_VALUE"""),0)</f>
        <v>0</v>
      </c>
      <c r="N84" s="6">
        <f ca="1">IFERROR(__xludf.DUMMYFUNCTION("""COMPUTED_VALUE"""),0)</f>
        <v>0</v>
      </c>
      <c r="O84" s="6">
        <f ca="1">IFERROR(__xludf.DUMMYFUNCTION("""COMPUTED_VALUE"""),1)</f>
        <v>1</v>
      </c>
      <c r="P84" s="6">
        <f ca="1">IFERROR(__xludf.DUMMYFUNCTION("""COMPUTED_VALUE"""),0)</f>
        <v>0</v>
      </c>
      <c r="R84" s="6">
        <f ca="1">IFERROR(__xludf.DUMMYFUNCTION("""COMPUTED_VALUE"""),0)</f>
        <v>0</v>
      </c>
      <c r="S84" s="6">
        <f ca="1">IFERROR(__xludf.DUMMYFUNCTION("""COMPUTED_VALUE"""),0)</f>
        <v>0</v>
      </c>
      <c r="T84" s="6">
        <f ca="1">IFERROR(__xludf.DUMMYFUNCTION("""COMPUTED_VALUE"""),0)</f>
        <v>0</v>
      </c>
      <c r="U84" s="6">
        <f ca="1">IFERROR(__xludf.DUMMYFUNCTION("""COMPUTED_VALUE"""),0)</f>
        <v>0</v>
      </c>
      <c r="V84" s="6">
        <f ca="1">IFERROR(__xludf.DUMMYFUNCTION("""COMPUTED_VALUE"""),0)</f>
        <v>0</v>
      </c>
      <c r="W84" s="6">
        <f ca="1">IFERROR(__xludf.DUMMYFUNCTION("""COMPUTED_VALUE"""),1)</f>
        <v>1</v>
      </c>
      <c r="X84" s="6">
        <f ca="1">IFERROR(__xludf.DUMMYFUNCTION("""COMPUTED_VALUE"""),3)</f>
        <v>3</v>
      </c>
      <c r="Y84" s="6">
        <f ca="1">IFERROR(__xludf.DUMMYFUNCTION("""COMPUTED_VALUE"""),0)</f>
        <v>0</v>
      </c>
      <c r="Z84" s="6">
        <f ca="1">IFERROR(__xludf.DUMMYFUNCTION("""COMPUTED_VALUE"""),3)</f>
        <v>3</v>
      </c>
      <c r="AA84" s="6">
        <f ca="1">IFERROR(__xludf.DUMMYFUNCTION("""COMPUTED_VALUE"""),0)</f>
        <v>0</v>
      </c>
      <c r="AB84" s="6" t="b">
        <f ca="1">IFERROR(__xludf.DUMMYFUNCTION("""COMPUTED_VALUE"""),TRUE)</f>
        <v>1</v>
      </c>
      <c r="AD84" s="6" t="b">
        <f ca="1">IFERROR(__xludf.DUMMYFUNCTION("""COMPUTED_VALUE"""),FALSE)</f>
        <v>0</v>
      </c>
      <c r="AE84" s="6">
        <f ca="1">IFERROR(__xludf.DUMMYFUNCTION("""COMPUTED_VALUE"""),1)</f>
        <v>1</v>
      </c>
      <c r="AF84" s="6">
        <f ca="1">IFERROR(__xludf.DUMMYFUNCTION("""COMPUTED_VALUE"""),0)</f>
        <v>0</v>
      </c>
      <c r="AG84" s="6">
        <f ca="1">IFERROR(__xludf.DUMMYFUNCTION("""COMPUTED_VALUE"""),0)</f>
        <v>0</v>
      </c>
      <c r="AH84" s="6">
        <f ca="1">IFERROR(__xludf.DUMMYFUNCTION("""COMPUTED_VALUE"""),0)</f>
        <v>0</v>
      </c>
      <c r="AI84" s="6">
        <f ca="1">IFERROR(__xludf.DUMMYFUNCTION("""COMPUTED_VALUE"""),0)</f>
        <v>0</v>
      </c>
      <c r="AK84" s="6" t="str">
        <f ca="1">IFERROR(__xludf.DUMMYFUNCTION("""COMPUTED_VALUE"""),"Sc")</f>
        <v>Sc</v>
      </c>
      <c r="AL84" s="6">
        <f ca="1">IFERROR(__xludf.DUMMYFUNCTION("""COMPUTED_VALUE"""),0)</f>
        <v>0</v>
      </c>
      <c r="AM84" s="6" t="b">
        <f ca="1">IFERROR(__xludf.DUMMYFUNCTION("""COMPUTED_VALUE"""),FALSE)</f>
        <v>0</v>
      </c>
      <c r="AN84" s="6" t="str">
        <f ca="1">IFERROR(__xludf.DUMMYFUNCTION("""COMPUTED_VALUE"""),"P")</f>
        <v>P</v>
      </c>
      <c r="AO84" s="6"/>
      <c r="AP84" s="6" t="str">
        <f ca="1">IFERROR(__xludf.DUMMYFUNCTION("""COMPUTED_VALUE"""),"x")</f>
        <v>x</v>
      </c>
      <c r="AQ84" s="6" t="b">
        <f ca="1">IFERROR(__xludf.DUMMYFUNCTION("""COMPUTED_VALUE"""),FALSE)</f>
        <v>0</v>
      </c>
      <c r="AR84" s="6" t="b">
        <f ca="1">IFERROR(__xludf.DUMMYFUNCTION("""COMPUTED_VALUE"""),FALSE)</f>
        <v>0</v>
      </c>
      <c r="AS84" s="15"/>
      <c r="AT84" s="6" t="str">
        <f ca="1">IFERROR(__xludf.DUMMYFUNCTION("SWITCH(IF(A84=""Practice"",AN84,FILTER('Items by Team'!E$2:E3410,'Items by Team'!C$2:C3410=D84,B84='Items by Team'!B$2:B3410)),""None"",""No"",""Parked"",""P"",""ShallowCage"",""Sc"",""DeepCage"",""Dc"",""No"",""No"",""P"",""P"",""Sc"",""Sc"",""Dc"",""Dc"&amp;""")"),"P")</f>
        <v>P</v>
      </c>
      <c r="AU84" s="6" t="str">
        <f ca="1">IFERROR(__xludf.DUMMYFUNCTION("SWITCH(IF(A84 = ""Practice"", H84, FILTER('Items by Team'!D$2:D3410,'Items by Team'!C$2:C3410 = D84,'Items by Team'!B$2:B3410 = B84)), ""Yes"", ""TRUE"", ""No"", ""FALSE"",TRUE, ""TRUE"", FALSE, ""FALSE"")"),"TRUE")</f>
        <v>TRUE</v>
      </c>
      <c r="AV84" s="6" t="str">
        <f t="shared" ca="1" si="0"/>
        <v/>
      </c>
      <c r="AW84" s="6">
        <f t="shared" ca="1" si="1"/>
        <v>1</v>
      </c>
      <c r="AX84" s="6">
        <f t="shared" ca="1" si="2"/>
        <v>1</v>
      </c>
      <c r="AY84" s="6">
        <f t="shared" ca="1" si="3"/>
        <v>1</v>
      </c>
      <c r="AZ84" s="9">
        <f t="shared" ca="1" si="4"/>
        <v>1</v>
      </c>
      <c r="BA84" s="6">
        <f t="shared" ca="1" si="5"/>
        <v>0</v>
      </c>
      <c r="BB84" s="6">
        <f t="shared" ca="1" si="6"/>
        <v>0</v>
      </c>
      <c r="BC84" s="9" t="str">
        <f t="shared" ca="1" si="7"/>
        <v/>
      </c>
      <c r="BD84" s="6">
        <f t="shared" ca="1" si="8"/>
        <v>3</v>
      </c>
      <c r="BE84" s="6">
        <f t="shared" ca="1" si="9"/>
        <v>3</v>
      </c>
      <c r="BF84" s="9">
        <f t="shared" ca="1" si="10"/>
        <v>1</v>
      </c>
      <c r="BG84" s="6">
        <f t="shared" ca="1" si="11"/>
        <v>1</v>
      </c>
      <c r="BH84" s="6">
        <f t="shared" ca="1" si="12"/>
        <v>1</v>
      </c>
      <c r="BI84" s="9">
        <f t="shared" ca="1" si="13"/>
        <v>1</v>
      </c>
      <c r="BJ84" s="6">
        <f t="shared" ca="1" si="14"/>
        <v>0</v>
      </c>
      <c r="BK84" s="6">
        <f t="shared" ca="1" si="15"/>
        <v>0</v>
      </c>
      <c r="BL84" s="6">
        <f t="shared" ca="1" si="16"/>
        <v>0</v>
      </c>
      <c r="BM84" s="6">
        <f t="shared" ca="1" si="17"/>
        <v>0</v>
      </c>
      <c r="BN84" s="6">
        <f t="shared" ca="1" si="18"/>
        <v>1</v>
      </c>
      <c r="BP84" s="6">
        <f t="shared" ca="1" si="19"/>
        <v>0</v>
      </c>
      <c r="BQ84" s="6" t="b">
        <f ca="1">IFERROR(__xludf.DUMMYFUNCTION("IF(AND(ISERROR(FILTER('Items by Team'!D$2:D3410,'Items by Team'!C$2:C3410 = D84,'Items by Team'!B$2:B3410 = B84)),NOT(A84=""Practice"")),TRUE,FALSE)"),FALSE)</f>
        <v>0</v>
      </c>
      <c r="BR84" s="6" t="e">
        <f t="shared" ca="1" si="20"/>
        <v>#VALUE!</v>
      </c>
    </row>
    <row r="85" spans="1:70">
      <c r="A85" s="6" t="str">
        <f ca="1">IFERROR(__xludf.DUMMYFUNCTION("""COMPUTED_VALUE"""),"Practice")</f>
        <v>Practice</v>
      </c>
      <c r="B85" s="6">
        <f ca="1">IFERROR(__xludf.DUMMYFUNCTION("""COMPUTED_VALUE"""),15)</f>
        <v>15</v>
      </c>
      <c r="C85" s="6" t="str">
        <f ca="1">IFERROR(__xludf.DUMMYFUNCTION("""COMPUTED_VALUE"""),"R1")</f>
        <v>R1</v>
      </c>
      <c r="D85" s="6">
        <f ca="1">IFERROR(__xludf.DUMMYFUNCTION("""COMPUTED_VALUE"""),5271)</f>
        <v>5271</v>
      </c>
      <c r="E85" s="6" t="b">
        <f ca="1">IFERROR(__xludf.DUMMYFUNCTION("""COMPUTED_VALUE"""),FALSE)</f>
        <v>0</v>
      </c>
      <c r="F85" s="6" t="str">
        <f ca="1">IFERROR(__xludf.DUMMYFUNCTION("""COMPUTED_VALUE"""),"Red Barge")</f>
        <v>Red Barge</v>
      </c>
      <c r="G85" s="6" t="b">
        <f ca="1">IFERROR(__xludf.DUMMYFUNCTION("""COMPUTED_VALUE"""),TRUE)</f>
        <v>1</v>
      </c>
      <c r="H85" s="6" t="b">
        <f ca="1">IFERROR(__xludf.DUMMYFUNCTION("""COMPUTED_VALUE"""),FALSE)</f>
        <v>0</v>
      </c>
      <c r="I85" s="6">
        <f ca="1">IFERROR(__xludf.DUMMYFUNCTION("""COMPUTED_VALUE"""),0)</f>
        <v>0</v>
      </c>
      <c r="J85" s="6">
        <f ca="1">IFERROR(__xludf.DUMMYFUNCTION("""COMPUTED_VALUE"""),0)</f>
        <v>0</v>
      </c>
      <c r="K85" s="6">
        <f ca="1">IFERROR(__xludf.DUMMYFUNCTION("""COMPUTED_VALUE"""),0)</f>
        <v>0</v>
      </c>
      <c r="L85" s="6">
        <f ca="1">IFERROR(__xludf.DUMMYFUNCTION("""COMPUTED_VALUE"""),0)</f>
        <v>0</v>
      </c>
      <c r="M85" s="6">
        <f ca="1">IFERROR(__xludf.DUMMYFUNCTION("""COMPUTED_VALUE"""),0)</f>
        <v>0</v>
      </c>
      <c r="N85" s="6">
        <f ca="1">IFERROR(__xludf.DUMMYFUNCTION("""COMPUTED_VALUE"""),0)</f>
        <v>0</v>
      </c>
      <c r="O85" s="6">
        <f ca="1">IFERROR(__xludf.DUMMYFUNCTION("""COMPUTED_VALUE"""),0)</f>
        <v>0</v>
      </c>
      <c r="P85" s="6">
        <f ca="1">IFERROR(__xludf.DUMMYFUNCTION("""COMPUTED_VALUE"""),0)</f>
        <v>0</v>
      </c>
      <c r="R85" s="6">
        <f ca="1">IFERROR(__xludf.DUMMYFUNCTION("""COMPUTED_VALUE"""),0)</f>
        <v>0</v>
      </c>
      <c r="S85" s="6">
        <f ca="1">IFERROR(__xludf.DUMMYFUNCTION("""COMPUTED_VALUE"""),0)</f>
        <v>0</v>
      </c>
      <c r="T85" s="6">
        <f ca="1">IFERROR(__xludf.DUMMYFUNCTION("""COMPUTED_VALUE"""),0)</f>
        <v>0</v>
      </c>
      <c r="U85" s="6">
        <f ca="1">IFERROR(__xludf.DUMMYFUNCTION("""COMPUTED_VALUE"""),0)</f>
        <v>0</v>
      </c>
      <c r="V85" s="6">
        <f ca="1">IFERROR(__xludf.DUMMYFUNCTION("""COMPUTED_VALUE"""),0)</f>
        <v>0</v>
      </c>
      <c r="W85" s="6">
        <f ca="1">IFERROR(__xludf.DUMMYFUNCTION("""COMPUTED_VALUE"""),0)</f>
        <v>0</v>
      </c>
      <c r="X85" s="6">
        <f ca="1">IFERROR(__xludf.DUMMYFUNCTION("""COMPUTED_VALUE"""),0)</f>
        <v>0</v>
      </c>
      <c r="Y85" s="6">
        <f ca="1">IFERROR(__xludf.DUMMYFUNCTION("""COMPUTED_VALUE"""),0)</f>
        <v>0</v>
      </c>
      <c r="Z85" s="6">
        <f ca="1">IFERROR(__xludf.DUMMYFUNCTION("""COMPUTED_VALUE"""),0)</f>
        <v>0</v>
      </c>
      <c r="AA85" s="6">
        <f ca="1">IFERROR(__xludf.DUMMYFUNCTION("""COMPUTED_VALUE"""),0)</f>
        <v>0</v>
      </c>
      <c r="AB85" s="6" t="b">
        <f ca="1">IFERROR(__xludf.DUMMYFUNCTION("""COMPUTED_VALUE"""),FALSE)</f>
        <v>0</v>
      </c>
      <c r="AD85" s="6" t="b">
        <f ca="1">IFERROR(__xludf.DUMMYFUNCTION("""COMPUTED_VALUE"""),FALSE)</f>
        <v>0</v>
      </c>
      <c r="AE85" s="6">
        <f ca="1">IFERROR(__xludf.DUMMYFUNCTION("""COMPUTED_VALUE"""),0)</f>
        <v>0</v>
      </c>
      <c r="AF85" s="6">
        <f ca="1">IFERROR(__xludf.DUMMYFUNCTION("""COMPUTED_VALUE"""),0)</f>
        <v>0</v>
      </c>
      <c r="AG85" s="6">
        <f ca="1">IFERROR(__xludf.DUMMYFUNCTION("""COMPUTED_VALUE"""),0)</f>
        <v>0</v>
      </c>
      <c r="AH85" s="6">
        <f ca="1">IFERROR(__xludf.DUMMYFUNCTION("""COMPUTED_VALUE"""),0)</f>
        <v>0</v>
      </c>
      <c r="AI85" s="6">
        <f ca="1">IFERROR(__xludf.DUMMYFUNCTION("""COMPUTED_VALUE"""),1)</f>
        <v>1</v>
      </c>
      <c r="AK85" s="6" t="str">
        <f ca="1">IFERROR(__xludf.DUMMYFUNCTION("""COMPUTED_VALUE"""),"P")</f>
        <v>P</v>
      </c>
      <c r="AL85" s="6">
        <f ca="1">IFERROR(__xludf.DUMMYFUNCTION("""COMPUTED_VALUE"""),0)</f>
        <v>0</v>
      </c>
      <c r="AM85" s="6" t="b">
        <f ca="1">IFERROR(__xludf.DUMMYFUNCTION("""COMPUTED_VALUE"""),FALSE)</f>
        <v>0</v>
      </c>
      <c r="AN85" s="6" t="str">
        <f ca="1">IFERROR(__xludf.DUMMYFUNCTION("""COMPUTED_VALUE"""),"P")</f>
        <v>P</v>
      </c>
      <c r="AO85" s="6" t="str">
        <f ca="1">IFERROR(__xludf.DUMMYFUNCTION("""COMPUTED_VALUE"""),"they might have attempted shallow climb but I don't think they did.")</f>
        <v>they might have attempted shallow climb but I don't think they did.</v>
      </c>
      <c r="AP85" s="6" t="str">
        <f ca="1">IFERROR(__xludf.DUMMYFUNCTION("""COMPUTED_VALUE"""),"x")</f>
        <v>x</v>
      </c>
      <c r="AQ85" s="6" t="b">
        <f ca="1">IFERROR(__xludf.DUMMYFUNCTION("""COMPUTED_VALUE"""),FALSE)</f>
        <v>0</v>
      </c>
      <c r="AR85" s="6" t="b">
        <f ca="1">IFERROR(__xludf.DUMMYFUNCTION("""COMPUTED_VALUE"""),FALSE)</f>
        <v>0</v>
      </c>
      <c r="AS85" s="15"/>
      <c r="AT85" s="6" t="str">
        <f ca="1">IFERROR(__xludf.DUMMYFUNCTION("SWITCH(IF(A85=""Practice"",AN85,FILTER('Items by Team'!E$2:E3410,'Items by Team'!C$2:C3410=D85,B85='Items by Team'!B$2:B3410)),""None"",""No"",""Parked"",""P"",""ShallowCage"",""Sc"",""DeepCage"",""Dc"",""No"",""No"",""P"",""P"",""Sc"",""Sc"",""Dc"",""Dc"&amp;""")"),"P")</f>
        <v>P</v>
      </c>
      <c r="AU85" s="6" t="str">
        <f ca="1">IFERROR(__xludf.DUMMYFUNCTION("SWITCH(IF(A85 = ""Practice"", H85, FILTER('Items by Team'!D$2:D3410,'Items by Team'!C$2:C3410 = D85,'Items by Team'!B$2:B3410 = B85)), ""Yes"", ""TRUE"", ""No"", ""FALSE"",TRUE, ""TRUE"", FALSE, ""FALSE"")"),"FALSE")</f>
        <v>FALSE</v>
      </c>
      <c r="AV85" s="6" t="str">
        <f t="shared" ca="1" si="0"/>
        <v/>
      </c>
      <c r="AW85" s="6">
        <f t="shared" ca="1" si="1"/>
        <v>0</v>
      </c>
      <c r="AX85" s="6">
        <f t="shared" ca="1" si="2"/>
        <v>0</v>
      </c>
      <c r="AY85" s="6">
        <f t="shared" ca="1" si="3"/>
        <v>0</v>
      </c>
      <c r="AZ85" s="9" t="str">
        <f t="shared" ca="1" si="4"/>
        <v/>
      </c>
      <c r="BA85" s="6">
        <f t="shared" ca="1" si="5"/>
        <v>0</v>
      </c>
      <c r="BB85" s="6">
        <f t="shared" ca="1" si="6"/>
        <v>0</v>
      </c>
      <c r="BC85" s="9" t="str">
        <f t="shared" ca="1" si="7"/>
        <v/>
      </c>
      <c r="BD85" s="6">
        <f t="shared" ca="1" si="8"/>
        <v>0</v>
      </c>
      <c r="BE85" s="6">
        <f t="shared" ca="1" si="9"/>
        <v>0</v>
      </c>
      <c r="BF85" s="9" t="str">
        <f t="shared" ca="1" si="10"/>
        <v/>
      </c>
      <c r="BG85" s="6">
        <f t="shared" ca="1" si="11"/>
        <v>0</v>
      </c>
      <c r="BH85" s="6">
        <f t="shared" ca="1" si="12"/>
        <v>1</v>
      </c>
      <c r="BI85" s="9">
        <f t="shared" ca="1" si="13"/>
        <v>0</v>
      </c>
      <c r="BJ85" s="6">
        <f t="shared" ca="1" si="14"/>
        <v>0</v>
      </c>
      <c r="BK85" s="6">
        <f t="shared" ca="1" si="15"/>
        <v>0</v>
      </c>
      <c r="BL85" s="6">
        <f t="shared" ca="1" si="16"/>
        <v>0</v>
      </c>
      <c r="BM85" s="6">
        <f t="shared" ca="1" si="17"/>
        <v>0</v>
      </c>
      <c r="BN85" s="6">
        <f t="shared" ca="1" si="18"/>
        <v>0</v>
      </c>
      <c r="BP85" s="6">
        <f t="shared" ca="1" si="19"/>
        <v>0</v>
      </c>
      <c r="BQ85" s="6" t="b">
        <f ca="1">IFERROR(__xludf.DUMMYFUNCTION("IF(AND(ISERROR(FILTER('Items by Team'!D$2:D3410,'Items by Team'!C$2:C3410 = D85,'Items by Team'!B$2:B3410 = B85)),NOT(A85=""Practice"")),TRUE,FALSE)"),FALSE)</f>
        <v>0</v>
      </c>
      <c r="BR85" s="6" t="e">
        <f t="shared" ca="1" si="20"/>
        <v>#VALUE!</v>
      </c>
    </row>
    <row r="86" spans="1:70">
      <c r="A86" s="6" t="str">
        <f ca="1">IFERROR(__xludf.DUMMYFUNCTION("""COMPUTED_VALUE"""),"Practice")</f>
        <v>Practice</v>
      </c>
      <c r="B86" s="6">
        <f ca="1">IFERROR(__xludf.DUMMYFUNCTION("""COMPUTED_VALUE"""),16)</f>
        <v>16</v>
      </c>
      <c r="C86" s="6" t="str">
        <f ca="1">IFERROR(__xludf.DUMMYFUNCTION("""COMPUTED_VALUE"""),"B2")</f>
        <v>B2</v>
      </c>
      <c r="D86" s="6">
        <f ca="1">IFERROR(__xludf.DUMMYFUNCTION("""COMPUTED_VALUE"""),3883)</f>
        <v>3883</v>
      </c>
      <c r="E86" s="6" t="b">
        <f ca="1">IFERROR(__xludf.DUMMYFUNCTION("""COMPUTED_VALUE"""),FALSE)</f>
        <v>0</v>
      </c>
      <c r="F86" s="6" t="str">
        <f ca="1">IFERROR(__xludf.DUMMYFUNCTION("""COMPUTED_VALUE"""),"Red Barge")</f>
        <v>Red Barge</v>
      </c>
      <c r="G86" s="6" t="b">
        <f ca="1">IFERROR(__xludf.DUMMYFUNCTION("""COMPUTED_VALUE"""),TRUE)</f>
        <v>1</v>
      </c>
      <c r="H86" s="6" t="b">
        <f ca="1">IFERROR(__xludf.DUMMYFUNCTION("""COMPUTED_VALUE"""),TRUE)</f>
        <v>1</v>
      </c>
      <c r="I86" s="6">
        <f ca="1">IFERROR(__xludf.DUMMYFUNCTION("""COMPUTED_VALUE"""),1)</f>
        <v>1</v>
      </c>
      <c r="J86" s="6">
        <f ca="1">IFERROR(__xludf.DUMMYFUNCTION("""COMPUTED_VALUE"""),0)</f>
        <v>0</v>
      </c>
      <c r="K86" s="6">
        <f ca="1">IFERROR(__xludf.DUMMYFUNCTION("""COMPUTED_VALUE"""),0)</f>
        <v>0</v>
      </c>
      <c r="L86" s="6">
        <f ca="1">IFERROR(__xludf.DUMMYFUNCTION("""COMPUTED_VALUE"""),2)</f>
        <v>2</v>
      </c>
      <c r="M86" s="6">
        <f ca="1">IFERROR(__xludf.DUMMYFUNCTION("""COMPUTED_VALUE"""),0)</f>
        <v>0</v>
      </c>
      <c r="N86" s="6">
        <f ca="1">IFERROR(__xludf.DUMMYFUNCTION("""COMPUTED_VALUE"""),0)</f>
        <v>0</v>
      </c>
      <c r="O86" s="6">
        <f ca="1">IFERROR(__xludf.DUMMYFUNCTION("""COMPUTED_VALUE"""),0)</f>
        <v>0</v>
      </c>
      <c r="P86" s="6">
        <f ca="1">IFERROR(__xludf.DUMMYFUNCTION("""COMPUTED_VALUE"""),0)</f>
        <v>0</v>
      </c>
      <c r="R86" s="6">
        <f ca="1">IFERROR(__xludf.DUMMYFUNCTION("""COMPUTED_VALUE"""),0)</f>
        <v>0</v>
      </c>
      <c r="S86" s="6">
        <f ca="1">IFERROR(__xludf.DUMMYFUNCTION("""COMPUTED_VALUE"""),0)</f>
        <v>0</v>
      </c>
      <c r="T86" s="6">
        <f ca="1">IFERROR(__xludf.DUMMYFUNCTION("""COMPUTED_VALUE"""),0)</f>
        <v>0</v>
      </c>
      <c r="U86" s="6">
        <f ca="1">IFERROR(__xludf.DUMMYFUNCTION("""COMPUTED_VALUE"""),1)</f>
        <v>1</v>
      </c>
      <c r="V86" s="6">
        <f ca="1">IFERROR(__xludf.DUMMYFUNCTION("""COMPUTED_VALUE"""),0)</f>
        <v>0</v>
      </c>
      <c r="W86" s="6">
        <f ca="1">IFERROR(__xludf.DUMMYFUNCTION("""COMPUTED_VALUE"""),0)</f>
        <v>0</v>
      </c>
      <c r="X86" s="6">
        <f ca="1">IFERROR(__xludf.DUMMYFUNCTION("""COMPUTED_VALUE"""),0)</f>
        <v>0</v>
      </c>
      <c r="Y86" s="6">
        <f ca="1">IFERROR(__xludf.DUMMYFUNCTION("""COMPUTED_VALUE"""),0)</f>
        <v>0</v>
      </c>
      <c r="Z86" s="6">
        <f ca="1">IFERROR(__xludf.DUMMYFUNCTION("""COMPUTED_VALUE"""),0)</f>
        <v>0</v>
      </c>
      <c r="AA86" s="6">
        <f ca="1">IFERROR(__xludf.DUMMYFUNCTION("""COMPUTED_VALUE"""),0)</f>
        <v>0</v>
      </c>
      <c r="AB86" s="6" t="b">
        <f ca="1">IFERROR(__xludf.DUMMYFUNCTION("""COMPUTED_VALUE"""),TRUE)</f>
        <v>1</v>
      </c>
      <c r="AD86" s="6" t="b">
        <f ca="1">IFERROR(__xludf.DUMMYFUNCTION("""COMPUTED_VALUE"""),FALSE)</f>
        <v>0</v>
      </c>
      <c r="AE86" s="6">
        <f ca="1">IFERROR(__xludf.DUMMYFUNCTION("""COMPUTED_VALUE"""),5)</f>
        <v>5</v>
      </c>
      <c r="AF86" s="6">
        <f ca="1">IFERROR(__xludf.DUMMYFUNCTION("""COMPUTED_VALUE"""),2)</f>
        <v>2</v>
      </c>
      <c r="AG86" s="6">
        <f ca="1">IFERROR(__xludf.DUMMYFUNCTION("""COMPUTED_VALUE"""),0)</f>
        <v>0</v>
      </c>
      <c r="AH86" s="6">
        <f ca="1">IFERROR(__xludf.DUMMYFUNCTION("""COMPUTED_VALUE"""),0)</f>
        <v>0</v>
      </c>
      <c r="AI86" s="6">
        <f ca="1">IFERROR(__xludf.DUMMYFUNCTION("""COMPUTED_VALUE"""),0)</f>
        <v>0</v>
      </c>
      <c r="AK86" s="6" t="str">
        <f ca="1">IFERROR(__xludf.DUMMYFUNCTION("""COMPUTED_VALUE"""),"Dc")</f>
        <v>Dc</v>
      </c>
      <c r="AL86" s="6">
        <f ca="1">IFERROR(__xludf.DUMMYFUNCTION("""COMPUTED_VALUE"""),0)</f>
        <v>0</v>
      </c>
      <c r="AM86" s="6" t="b">
        <f ca="1">IFERROR(__xludf.DUMMYFUNCTION("""COMPUTED_VALUE"""),FALSE)</f>
        <v>0</v>
      </c>
      <c r="AN86" s="6" t="str">
        <f ca="1">IFERROR(__xludf.DUMMYFUNCTION("""COMPUTED_VALUE"""),"Dc")</f>
        <v>Dc</v>
      </c>
      <c r="AO86" s="6"/>
      <c r="AP86" s="6" t="str">
        <f ca="1">IFERROR(__xludf.DUMMYFUNCTION("""COMPUTED_VALUE"""),"x")</f>
        <v>x</v>
      </c>
      <c r="AQ86" s="6" t="b">
        <f ca="1">IFERROR(__xludf.DUMMYFUNCTION("""COMPUTED_VALUE"""),FALSE)</f>
        <v>0</v>
      </c>
      <c r="AR86" s="6" t="b">
        <f ca="1">IFERROR(__xludf.DUMMYFUNCTION("""COMPUTED_VALUE"""),FALSE)</f>
        <v>0</v>
      </c>
      <c r="AS86" s="15"/>
      <c r="AT86" s="6" t="str">
        <f ca="1">IFERROR(__xludf.DUMMYFUNCTION("SWITCH(IF(A86=""Practice"",AN86,FILTER('Items by Team'!E$2:E3410,'Items by Team'!C$2:C3410=D86,B86='Items by Team'!B$2:B3410)),""None"",""No"",""Parked"",""P"",""ShallowCage"",""Sc"",""DeepCage"",""Dc"",""No"",""No"",""P"",""P"",""Sc"",""Sc"",""Dc"",""Dc"&amp;""")"),"Dc")</f>
        <v>Dc</v>
      </c>
      <c r="AU86" s="6" t="str">
        <f ca="1">IFERROR(__xludf.DUMMYFUNCTION("SWITCH(IF(A86 = ""Practice"", H86, FILTER('Items by Team'!D$2:D3410,'Items by Team'!C$2:C3410 = D86,'Items by Team'!B$2:B3410 = B86)), ""Yes"", ""TRUE"", ""No"", ""FALSE"",TRUE, ""TRUE"", FALSE, ""FALSE"")"),"TRUE")</f>
        <v>TRUE</v>
      </c>
      <c r="AV86" s="6" t="str">
        <f t="shared" ca="1" si="0"/>
        <v/>
      </c>
      <c r="AW86" s="6">
        <f t="shared" ca="1" si="1"/>
        <v>1</v>
      </c>
      <c r="AX86" s="6">
        <f t="shared" ca="1" si="2"/>
        <v>2</v>
      </c>
      <c r="AY86" s="6">
        <f t="shared" ca="1" si="3"/>
        <v>2</v>
      </c>
      <c r="AZ86" s="9">
        <f t="shared" ca="1" si="4"/>
        <v>1</v>
      </c>
      <c r="BA86" s="6">
        <f t="shared" ca="1" si="5"/>
        <v>0</v>
      </c>
      <c r="BB86" s="6">
        <f t="shared" ca="1" si="6"/>
        <v>1</v>
      </c>
      <c r="BC86" s="9">
        <f t="shared" ca="1" si="7"/>
        <v>0</v>
      </c>
      <c r="BD86" s="6">
        <f t="shared" ca="1" si="8"/>
        <v>0</v>
      </c>
      <c r="BE86" s="6">
        <f t="shared" ca="1" si="9"/>
        <v>0</v>
      </c>
      <c r="BF86" s="9" t="str">
        <f t="shared" ca="1" si="10"/>
        <v/>
      </c>
      <c r="BG86" s="6">
        <f t="shared" ca="1" si="11"/>
        <v>7</v>
      </c>
      <c r="BH86" s="6">
        <f t="shared" ca="1" si="12"/>
        <v>7</v>
      </c>
      <c r="BI86" s="9">
        <f t="shared" ca="1" si="13"/>
        <v>1</v>
      </c>
      <c r="BJ86" s="6">
        <f t="shared" ca="1" si="14"/>
        <v>0</v>
      </c>
      <c r="BK86" s="6">
        <f t="shared" ca="1" si="15"/>
        <v>1</v>
      </c>
      <c r="BL86" s="6">
        <f t="shared" ca="1" si="16"/>
        <v>0</v>
      </c>
      <c r="BM86" s="6">
        <f t="shared" ca="1" si="17"/>
        <v>0</v>
      </c>
      <c r="BN86" s="6">
        <f t="shared" ca="1" si="18"/>
        <v>1</v>
      </c>
      <c r="BP86" s="6">
        <f t="shared" ca="1" si="19"/>
        <v>0</v>
      </c>
      <c r="BQ86" s="6" t="b">
        <f ca="1">IFERROR(__xludf.DUMMYFUNCTION("IF(AND(ISERROR(FILTER('Items by Team'!D$2:D3410,'Items by Team'!C$2:C3410 = D86,'Items by Team'!B$2:B3410 = B86)),NOT(A86=""Practice"")),TRUE,FALSE)"),FALSE)</f>
        <v>0</v>
      </c>
      <c r="BR86" s="6" t="e">
        <f t="shared" ca="1" si="20"/>
        <v>#VALUE!</v>
      </c>
    </row>
    <row r="87" spans="1:70">
      <c r="A87" s="6" t="str">
        <f ca="1">IFERROR(__xludf.DUMMYFUNCTION("""COMPUTED_VALUE"""),"Practice")</f>
        <v>Practice</v>
      </c>
      <c r="B87" s="6">
        <f ca="1">IFERROR(__xludf.DUMMYFUNCTION("""COMPUTED_VALUE"""),16)</f>
        <v>16</v>
      </c>
      <c r="C87" s="6" t="str">
        <f ca="1">IFERROR(__xludf.DUMMYFUNCTION("""COMPUTED_VALUE"""),"B1")</f>
        <v>B1</v>
      </c>
      <c r="D87" s="6">
        <f ca="1">IFERROR(__xludf.DUMMYFUNCTION("""COMPUTED_VALUE"""),4225)</f>
        <v>4225</v>
      </c>
      <c r="E87" s="6" t="b">
        <f ca="1">IFERROR(__xludf.DUMMYFUNCTION("""COMPUTED_VALUE"""),FALSE)</f>
        <v>0</v>
      </c>
      <c r="F87" s="6" t="str">
        <f ca="1">IFERROR(__xludf.DUMMYFUNCTION("""COMPUTED_VALUE"""),"Middle")</f>
        <v>Middle</v>
      </c>
      <c r="G87" s="6" t="b">
        <f ca="1">IFERROR(__xludf.DUMMYFUNCTION("""COMPUTED_VALUE"""),TRUE)</f>
        <v>1</v>
      </c>
      <c r="H87" s="6" t="b">
        <f ca="1">IFERROR(__xludf.DUMMYFUNCTION("""COMPUTED_VALUE"""),TRUE)</f>
        <v>1</v>
      </c>
      <c r="I87" s="6">
        <f ca="1">IFERROR(__xludf.DUMMYFUNCTION("""COMPUTED_VALUE"""),0)</f>
        <v>0</v>
      </c>
      <c r="J87" s="6">
        <f ca="1">IFERROR(__xludf.DUMMYFUNCTION("""COMPUTED_VALUE"""),0)</f>
        <v>0</v>
      </c>
      <c r="K87" s="6">
        <f ca="1">IFERROR(__xludf.DUMMYFUNCTION("""COMPUTED_VALUE"""),0)</f>
        <v>0</v>
      </c>
      <c r="L87" s="6">
        <f ca="1">IFERROR(__xludf.DUMMYFUNCTION("""COMPUTED_VALUE"""),0)</f>
        <v>0</v>
      </c>
      <c r="M87" s="6">
        <f ca="1">IFERROR(__xludf.DUMMYFUNCTION("""COMPUTED_VALUE"""),0)</f>
        <v>0</v>
      </c>
      <c r="N87" s="6">
        <f ca="1">IFERROR(__xludf.DUMMYFUNCTION("""COMPUTED_VALUE"""),0)</f>
        <v>0</v>
      </c>
      <c r="O87" s="6">
        <f ca="1">IFERROR(__xludf.DUMMYFUNCTION("""COMPUTED_VALUE"""),0)</f>
        <v>0</v>
      </c>
      <c r="P87" s="6">
        <f ca="1">IFERROR(__xludf.DUMMYFUNCTION("""COMPUTED_VALUE"""),0)</f>
        <v>0</v>
      </c>
      <c r="R87" s="6">
        <f ca="1">IFERROR(__xludf.DUMMYFUNCTION("""COMPUTED_VALUE"""),0)</f>
        <v>0</v>
      </c>
      <c r="S87" s="6">
        <f ca="1">IFERROR(__xludf.DUMMYFUNCTION("""COMPUTED_VALUE"""),0)</f>
        <v>0</v>
      </c>
      <c r="T87" s="6">
        <f ca="1">IFERROR(__xludf.DUMMYFUNCTION("""COMPUTED_VALUE"""),0)</f>
        <v>0</v>
      </c>
      <c r="U87" s="6">
        <f ca="1">IFERROR(__xludf.DUMMYFUNCTION("""COMPUTED_VALUE"""),0)</f>
        <v>0</v>
      </c>
      <c r="V87" s="6">
        <f ca="1">IFERROR(__xludf.DUMMYFUNCTION("""COMPUTED_VALUE"""),0)</f>
        <v>0</v>
      </c>
      <c r="W87" s="6">
        <f ca="1">IFERROR(__xludf.DUMMYFUNCTION("""COMPUTED_VALUE"""),0)</f>
        <v>0</v>
      </c>
      <c r="X87" s="6">
        <f ca="1">IFERROR(__xludf.DUMMYFUNCTION("""COMPUTED_VALUE"""),0)</f>
        <v>0</v>
      </c>
      <c r="Y87" s="6">
        <f ca="1">IFERROR(__xludf.DUMMYFUNCTION("""COMPUTED_VALUE"""),0)</f>
        <v>0</v>
      </c>
      <c r="Z87" s="6">
        <f ca="1">IFERROR(__xludf.DUMMYFUNCTION("""COMPUTED_VALUE"""),0)</f>
        <v>0</v>
      </c>
      <c r="AA87" s="6">
        <f ca="1">IFERROR(__xludf.DUMMYFUNCTION("""COMPUTED_VALUE"""),0)</f>
        <v>0</v>
      </c>
      <c r="AB87" s="6" t="b">
        <f ca="1">IFERROR(__xludf.DUMMYFUNCTION("""COMPUTED_VALUE"""),TRUE)</f>
        <v>1</v>
      </c>
      <c r="AD87" s="6" t="b">
        <f ca="1">IFERROR(__xludf.DUMMYFUNCTION("""COMPUTED_VALUE"""),FALSE)</f>
        <v>0</v>
      </c>
      <c r="AE87" s="6">
        <f ca="1">IFERROR(__xludf.DUMMYFUNCTION("""COMPUTED_VALUE"""),0)</f>
        <v>0</v>
      </c>
      <c r="AF87" s="6">
        <f ca="1">IFERROR(__xludf.DUMMYFUNCTION("""COMPUTED_VALUE"""),0)</f>
        <v>0</v>
      </c>
      <c r="AG87" s="6">
        <f ca="1">IFERROR(__xludf.DUMMYFUNCTION("""COMPUTED_VALUE"""),0)</f>
        <v>0</v>
      </c>
      <c r="AH87" s="6">
        <f ca="1">IFERROR(__xludf.DUMMYFUNCTION("""COMPUTED_VALUE"""),2)</f>
        <v>2</v>
      </c>
      <c r="AI87" s="6">
        <f ca="1">IFERROR(__xludf.DUMMYFUNCTION("""COMPUTED_VALUE"""),4)</f>
        <v>4</v>
      </c>
      <c r="AK87" s="6" t="str">
        <f ca="1">IFERROR(__xludf.DUMMYFUNCTION("""COMPUTED_VALUE"""),"P")</f>
        <v>P</v>
      </c>
      <c r="AL87" s="6">
        <f ca="1">IFERROR(__xludf.DUMMYFUNCTION("""COMPUTED_VALUE"""),0)</f>
        <v>0</v>
      </c>
      <c r="AM87" s="6" t="b">
        <f ca="1">IFERROR(__xludf.DUMMYFUNCTION("""COMPUTED_VALUE"""),FALSE)</f>
        <v>0</v>
      </c>
      <c r="AN87" s="6" t="str">
        <f ca="1">IFERROR(__xludf.DUMMYFUNCTION("""COMPUTED_VALUE"""),"No")</f>
        <v>No</v>
      </c>
      <c r="AO87" s="6"/>
      <c r="AP87" s="6" t="str">
        <f ca="1">IFERROR(__xludf.DUMMYFUNCTION("""COMPUTED_VALUE"""),"x")</f>
        <v>x</v>
      </c>
      <c r="AQ87" s="6" t="b">
        <f ca="1">IFERROR(__xludf.DUMMYFUNCTION("""COMPUTED_VALUE"""),FALSE)</f>
        <v>0</v>
      </c>
      <c r="AR87" s="6" t="b">
        <f ca="1">IFERROR(__xludf.DUMMYFUNCTION("""COMPUTED_VALUE"""),FALSE)</f>
        <v>0</v>
      </c>
      <c r="AS87" s="15"/>
      <c r="AT87" s="6" t="str">
        <f ca="1">IFERROR(__xludf.DUMMYFUNCTION("SWITCH(IF(A87=""Practice"",AN87,FILTER('Items by Team'!E$2:E3410,'Items by Team'!C$2:C3410=D87,B87='Items by Team'!B$2:B3410)),""None"",""No"",""Parked"",""P"",""ShallowCage"",""Sc"",""DeepCage"",""Dc"",""No"",""No"",""P"",""P"",""Sc"",""Sc"",""Dc"",""Dc"&amp;""")"),"No")</f>
        <v>No</v>
      </c>
      <c r="AU87" s="6" t="str">
        <f ca="1">IFERROR(__xludf.DUMMYFUNCTION("SWITCH(IF(A87 = ""Practice"", H87, FILTER('Items by Team'!D$2:D3410,'Items by Team'!C$2:C3410 = D87,'Items by Team'!B$2:B3410 = B87)), ""Yes"", ""TRUE"", ""No"", ""FALSE"",TRUE, ""TRUE"", FALSE, ""FALSE"")"),"TRUE")</f>
        <v>TRUE</v>
      </c>
      <c r="AV87" s="6" t="str">
        <f t="shared" ca="1" si="0"/>
        <v/>
      </c>
      <c r="AW87" s="6">
        <f t="shared" ca="1" si="1"/>
        <v>1</v>
      </c>
      <c r="AX87" s="6">
        <f t="shared" ca="1" si="2"/>
        <v>0</v>
      </c>
      <c r="AY87" s="6">
        <f t="shared" ca="1" si="3"/>
        <v>0</v>
      </c>
      <c r="AZ87" s="9" t="str">
        <f t="shared" ca="1" si="4"/>
        <v/>
      </c>
      <c r="BA87" s="6">
        <f t="shared" ca="1" si="5"/>
        <v>0</v>
      </c>
      <c r="BB87" s="6">
        <f t="shared" ca="1" si="6"/>
        <v>0</v>
      </c>
      <c r="BC87" s="9" t="str">
        <f t="shared" ca="1" si="7"/>
        <v/>
      </c>
      <c r="BD87" s="6">
        <f t="shared" ca="1" si="8"/>
        <v>0</v>
      </c>
      <c r="BE87" s="6">
        <f t="shared" ca="1" si="9"/>
        <v>0</v>
      </c>
      <c r="BF87" s="9" t="str">
        <f t="shared" ca="1" si="10"/>
        <v/>
      </c>
      <c r="BG87" s="6">
        <f t="shared" ca="1" si="11"/>
        <v>2</v>
      </c>
      <c r="BH87" s="6">
        <f t="shared" ca="1" si="12"/>
        <v>6</v>
      </c>
      <c r="BI87" s="9">
        <f t="shared" ca="1" si="13"/>
        <v>0.33333333333333331</v>
      </c>
      <c r="BJ87" s="6">
        <f t="shared" ca="1" si="14"/>
        <v>0</v>
      </c>
      <c r="BK87" s="6">
        <f t="shared" ca="1" si="15"/>
        <v>0</v>
      </c>
      <c r="BL87" s="6">
        <f t="shared" ca="1" si="16"/>
        <v>0</v>
      </c>
      <c r="BM87" s="6">
        <f t="shared" ca="1" si="17"/>
        <v>0</v>
      </c>
      <c r="BN87" s="6">
        <f t="shared" ca="1" si="18"/>
        <v>1</v>
      </c>
      <c r="BP87" s="6">
        <f t="shared" ca="1" si="19"/>
        <v>0</v>
      </c>
      <c r="BQ87" s="6" t="b">
        <f ca="1">IFERROR(__xludf.DUMMYFUNCTION("IF(AND(ISERROR(FILTER('Items by Team'!D$2:D3410,'Items by Team'!C$2:C3410 = D87,'Items by Team'!B$2:B3410 = B87)),NOT(A87=""Practice"")),TRUE,FALSE)"),FALSE)</f>
        <v>0</v>
      </c>
      <c r="BR87" s="6" t="e">
        <f t="shared" ca="1" si="20"/>
        <v>#VALUE!</v>
      </c>
    </row>
    <row r="88" spans="1:70">
      <c r="A88" s="6" t="str">
        <f ca="1">IFERROR(__xludf.DUMMYFUNCTION("""COMPUTED_VALUE"""),"Practice")</f>
        <v>Practice</v>
      </c>
      <c r="B88" s="6">
        <f ca="1">IFERROR(__xludf.DUMMYFUNCTION("""COMPUTED_VALUE"""),16)</f>
        <v>16</v>
      </c>
      <c r="C88" s="6" t="str">
        <f ca="1">IFERROR(__xludf.DUMMYFUNCTION("""COMPUTED_VALUE"""),"R3")</f>
        <v>R3</v>
      </c>
      <c r="D88" s="6">
        <f ca="1">IFERROR(__xludf.DUMMYFUNCTION("""COMPUTED_VALUE"""),8234)</f>
        <v>8234</v>
      </c>
      <c r="E88" s="6" t="b">
        <f ca="1">IFERROR(__xludf.DUMMYFUNCTION("""COMPUTED_VALUE"""),FALSE)</f>
        <v>0</v>
      </c>
      <c r="F88" s="6" t="str">
        <f ca="1">IFERROR(__xludf.DUMMYFUNCTION("""COMPUTED_VALUE"""),"Blue Barge")</f>
        <v>Blue Barge</v>
      </c>
      <c r="G88" s="6" t="b">
        <f ca="1">IFERROR(__xludf.DUMMYFUNCTION("""COMPUTED_VALUE"""),TRUE)</f>
        <v>1</v>
      </c>
      <c r="H88" s="6" t="b">
        <f ca="1">IFERROR(__xludf.DUMMYFUNCTION("""COMPUTED_VALUE"""),TRUE)</f>
        <v>1</v>
      </c>
      <c r="I88" s="6">
        <f ca="1">IFERROR(__xludf.DUMMYFUNCTION("""COMPUTED_VALUE"""),0)</f>
        <v>0</v>
      </c>
      <c r="J88" s="6">
        <f ca="1">IFERROR(__xludf.DUMMYFUNCTION("""COMPUTED_VALUE"""),0)</f>
        <v>0</v>
      </c>
      <c r="K88" s="6">
        <f ca="1">IFERROR(__xludf.DUMMYFUNCTION("""COMPUTED_VALUE"""),0)</f>
        <v>0</v>
      </c>
      <c r="L88" s="6">
        <f ca="1">IFERROR(__xludf.DUMMYFUNCTION("""COMPUTED_VALUE"""),0)</f>
        <v>0</v>
      </c>
      <c r="M88" s="6">
        <f ca="1">IFERROR(__xludf.DUMMYFUNCTION("""COMPUTED_VALUE"""),0)</f>
        <v>0</v>
      </c>
      <c r="N88" s="6">
        <f ca="1">IFERROR(__xludf.DUMMYFUNCTION("""COMPUTED_VALUE"""),0)</f>
        <v>0</v>
      </c>
      <c r="O88" s="6">
        <f ca="1">IFERROR(__xludf.DUMMYFUNCTION("""COMPUTED_VALUE"""),0)</f>
        <v>0</v>
      </c>
      <c r="P88" s="6">
        <f ca="1">IFERROR(__xludf.DUMMYFUNCTION("""COMPUTED_VALUE"""),0)</f>
        <v>0</v>
      </c>
      <c r="R88" s="6">
        <f ca="1">IFERROR(__xludf.DUMMYFUNCTION("""COMPUTED_VALUE"""),0)</f>
        <v>0</v>
      </c>
      <c r="S88" s="6">
        <f ca="1">IFERROR(__xludf.DUMMYFUNCTION("""COMPUTED_VALUE"""),0)</f>
        <v>0</v>
      </c>
      <c r="T88" s="6">
        <f ca="1">IFERROR(__xludf.DUMMYFUNCTION("""COMPUTED_VALUE"""),0)</f>
        <v>0</v>
      </c>
      <c r="U88" s="6">
        <f ca="1">IFERROR(__xludf.DUMMYFUNCTION("""COMPUTED_VALUE"""),0)</f>
        <v>0</v>
      </c>
      <c r="V88" s="6">
        <f ca="1">IFERROR(__xludf.DUMMYFUNCTION("""COMPUTED_VALUE"""),0)</f>
        <v>0</v>
      </c>
      <c r="W88" s="6">
        <f ca="1">IFERROR(__xludf.DUMMYFUNCTION("""COMPUTED_VALUE"""),0)</f>
        <v>0</v>
      </c>
      <c r="X88" s="6">
        <f ca="1">IFERROR(__xludf.DUMMYFUNCTION("""COMPUTED_VALUE"""),0)</f>
        <v>0</v>
      </c>
      <c r="Y88" s="6">
        <f ca="1">IFERROR(__xludf.DUMMYFUNCTION("""COMPUTED_VALUE"""),0)</f>
        <v>0</v>
      </c>
      <c r="Z88" s="6">
        <f ca="1">IFERROR(__xludf.DUMMYFUNCTION("""COMPUTED_VALUE"""),0)</f>
        <v>0</v>
      </c>
      <c r="AA88" s="6">
        <f ca="1">IFERROR(__xludf.DUMMYFUNCTION("""COMPUTED_VALUE"""),0)</f>
        <v>0</v>
      </c>
      <c r="AB88" s="6" t="b">
        <f ca="1">IFERROR(__xludf.DUMMYFUNCTION("""COMPUTED_VALUE"""),FALSE)</f>
        <v>0</v>
      </c>
      <c r="AD88" s="6" t="b">
        <f ca="1">IFERROR(__xludf.DUMMYFUNCTION("""COMPUTED_VALUE"""),FALSE)</f>
        <v>0</v>
      </c>
      <c r="AE88" s="6">
        <f ca="1">IFERROR(__xludf.DUMMYFUNCTION("""COMPUTED_VALUE"""),0)</f>
        <v>0</v>
      </c>
      <c r="AF88" s="6">
        <f ca="1">IFERROR(__xludf.DUMMYFUNCTION("""COMPUTED_VALUE"""),0)</f>
        <v>0</v>
      </c>
      <c r="AG88" s="6">
        <f ca="1">IFERROR(__xludf.DUMMYFUNCTION("""COMPUTED_VALUE"""),0)</f>
        <v>0</v>
      </c>
      <c r="AH88" s="6">
        <f ca="1">IFERROR(__xludf.DUMMYFUNCTION("""COMPUTED_VALUE"""),0)</f>
        <v>0</v>
      </c>
      <c r="AI88" s="6">
        <f ca="1">IFERROR(__xludf.DUMMYFUNCTION("""COMPUTED_VALUE"""),0)</f>
        <v>0</v>
      </c>
      <c r="AK88" s="6" t="str">
        <f ca="1">IFERROR(__xludf.DUMMYFUNCTION("""COMPUTED_VALUE"""),"No")</f>
        <v>No</v>
      </c>
      <c r="AL88" s="6">
        <f ca="1">IFERROR(__xludf.DUMMYFUNCTION("""COMPUTED_VALUE"""),0)</f>
        <v>0</v>
      </c>
      <c r="AM88" s="6" t="b">
        <f ca="1">IFERROR(__xludf.DUMMYFUNCTION("""COMPUTED_VALUE"""),FALSE)</f>
        <v>0</v>
      </c>
      <c r="AN88" s="6" t="str">
        <f ca="1">IFERROR(__xludf.DUMMYFUNCTION("""COMPUTED_VALUE"""),"No")</f>
        <v>No</v>
      </c>
      <c r="AO88" s="6" t="str">
        <f ca="1">IFERROR(__xludf.DUMMYFUNCTION("""COMPUTED_VALUE"""),"Robot disabled midway through placing coral on the reef.")</f>
        <v>Robot disabled midway through placing coral on the reef.</v>
      </c>
      <c r="AP88" s="6" t="str">
        <f ca="1">IFERROR(__xludf.DUMMYFUNCTION("""COMPUTED_VALUE"""),"x")</f>
        <v>x</v>
      </c>
      <c r="AQ88" s="6" t="b">
        <f ca="1">IFERROR(__xludf.DUMMYFUNCTION("""COMPUTED_VALUE"""),FALSE)</f>
        <v>0</v>
      </c>
      <c r="AR88" s="6" t="b">
        <f ca="1">IFERROR(__xludf.DUMMYFUNCTION("""COMPUTED_VALUE"""),TRUE)</f>
        <v>1</v>
      </c>
      <c r="AS88" s="15"/>
      <c r="AT88" s="6" t="str">
        <f ca="1">IFERROR(__xludf.DUMMYFUNCTION("SWITCH(IF(A88=""Practice"",AN88,FILTER('Items by Team'!E$2:E3410,'Items by Team'!C$2:C3410=D88,B88='Items by Team'!B$2:B3410)),""None"",""No"",""Parked"",""P"",""ShallowCage"",""Sc"",""DeepCage"",""Dc"",""No"",""No"",""P"",""P"",""Sc"",""Sc"",""Dc"",""Dc"&amp;""")"),"No")</f>
        <v>No</v>
      </c>
      <c r="AU88" s="6" t="str">
        <f ca="1">IFERROR(__xludf.DUMMYFUNCTION("SWITCH(IF(A88 = ""Practice"", H88, FILTER('Items by Team'!D$2:D3410,'Items by Team'!C$2:C3410 = D88,'Items by Team'!B$2:B3410 = B88)), ""Yes"", ""TRUE"", ""No"", ""FALSE"",TRUE, ""TRUE"", FALSE, ""FALSE"")"),"TRUE")</f>
        <v>TRUE</v>
      </c>
      <c r="AV88" s="6" t="str">
        <f t="shared" ca="1" si="0"/>
        <v/>
      </c>
      <c r="AW88" s="6">
        <f t="shared" ca="1" si="1"/>
        <v>1</v>
      </c>
      <c r="AX88" s="6">
        <f t="shared" ca="1" si="2"/>
        <v>0</v>
      </c>
      <c r="AY88" s="6">
        <f t="shared" ca="1" si="3"/>
        <v>0</v>
      </c>
      <c r="AZ88" s="9" t="str">
        <f t="shared" ca="1" si="4"/>
        <v/>
      </c>
      <c r="BA88" s="6">
        <f t="shared" ca="1" si="5"/>
        <v>0</v>
      </c>
      <c r="BB88" s="6">
        <f t="shared" ca="1" si="6"/>
        <v>0</v>
      </c>
      <c r="BC88" s="9" t="str">
        <f t="shared" ca="1" si="7"/>
        <v/>
      </c>
      <c r="BD88" s="6">
        <f t="shared" ca="1" si="8"/>
        <v>0</v>
      </c>
      <c r="BE88" s="6">
        <f t="shared" ca="1" si="9"/>
        <v>0</v>
      </c>
      <c r="BF88" s="9" t="str">
        <f t="shared" ca="1" si="10"/>
        <v/>
      </c>
      <c r="BG88" s="6">
        <f t="shared" ca="1" si="11"/>
        <v>0</v>
      </c>
      <c r="BH88" s="6">
        <f t="shared" ca="1" si="12"/>
        <v>0</v>
      </c>
      <c r="BI88" s="9" t="str">
        <f t="shared" ca="1" si="13"/>
        <v/>
      </c>
      <c r="BJ88" s="6">
        <f t="shared" ca="1" si="14"/>
        <v>0</v>
      </c>
      <c r="BK88" s="6">
        <f t="shared" ca="1" si="15"/>
        <v>0</v>
      </c>
      <c r="BL88" s="6">
        <f t="shared" ca="1" si="16"/>
        <v>0</v>
      </c>
      <c r="BM88" s="6">
        <f t="shared" ca="1" si="17"/>
        <v>0</v>
      </c>
      <c r="BN88" s="6">
        <f t="shared" ca="1" si="18"/>
        <v>0</v>
      </c>
      <c r="BP88" s="6">
        <f t="shared" ca="1" si="19"/>
        <v>0</v>
      </c>
      <c r="BQ88" s="6" t="b">
        <f ca="1">IFERROR(__xludf.DUMMYFUNCTION("IF(AND(ISERROR(FILTER('Items by Team'!D$2:D3410,'Items by Team'!C$2:C3410 = D88,'Items by Team'!B$2:B3410 = B88)),NOT(A88=""Practice"")),TRUE,FALSE)"),FALSE)</f>
        <v>0</v>
      </c>
      <c r="BR88" s="6" t="e">
        <f t="shared" ca="1" si="20"/>
        <v>#VALUE!</v>
      </c>
    </row>
    <row r="89" spans="1:70">
      <c r="A89" s="6" t="str">
        <f ca="1">IFERROR(__xludf.DUMMYFUNCTION("""COMPUTED_VALUE"""),"Practice")</f>
        <v>Practice</v>
      </c>
      <c r="B89" s="6">
        <f ca="1">IFERROR(__xludf.DUMMYFUNCTION("""COMPUTED_VALUE"""),16)</f>
        <v>16</v>
      </c>
      <c r="C89" s="6" t="str">
        <f ca="1">IFERROR(__xludf.DUMMYFUNCTION("""COMPUTED_VALUE"""),"B3")</f>
        <v>B3</v>
      </c>
      <c r="D89" s="6">
        <f ca="1">IFERROR(__xludf.DUMMYFUNCTION("""COMPUTED_VALUE"""),3926)</f>
        <v>3926</v>
      </c>
      <c r="E89" s="6" t="b">
        <f ca="1">IFERROR(__xludf.DUMMYFUNCTION("""COMPUTED_VALUE"""),FALSE)</f>
        <v>0</v>
      </c>
      <c r="F89" s="6"/>
      <c r="G89" s="6" t="b">
        <f ca="1">IFERROR(__xludf.DUMMYFUNCTION("""COMPUTED_VALUE"""),TRUE)</f>
        <v>1</v>
      </c>
      <c r="H89" s="6" t="b">
        <f ca="1">IFERROR(__xludf.DUMMYFUNCTION("""COMPUTED_VALUE"""),FALSE)</f>
        <v>0</v>
      </c>
      <c r="I89" s="6">
        <f ca="1">IFERROR(__xludf.DUMMYFUNCTION("""COMPUTED_VALUE"""),0)</f>
        <v>0</v>
      </c>
      <c r="J89" s="6">
        <f ca="1">IFERROR(__xludf.DUMMYFUNCTION("""COMPUTED_VALUE"""),0)</f>
        <v>0</v>
      </c>
      <c r="K89" s="6">
        <f ca="1">IFERROR(__xludf.DUMMYFUNCTION("""COMPUTED_VALUE"""),0)</f>
        <v>0</v>
      </c>
      <c r="L89" s="6">
        <f ca="1">IFERROR(__xludf.DUMMYFUNCTION("""COMPUTED_VALUE"""),0)</f>
        <v>0</v>
      </c>
      <c r="M89" s="6">
        <f ca="1">IFERROR(__xludf.DUMMYFUNCTION("""COMPUTED_VALUE"""),0)</f>
        <v>0</v>
      </c>
      <c r="N89" s="6">
        <f ca="1">IFERROR(__xludf.DUMMYFUNCTION("""COMPUTED_VALUE"""),0)</f>
        <v>0</v>
      </c>
      <c r="O89" s="6">
        <f ca="1">IFERROR(__xludf.DUMMYFUNCTION("""COMPUTED_VALUE"""),0)</f>
        <v>0</v>
      </c>
      <c r="P89" s="6">
        <f ca="1">IFERROR(__xludf.DUMMYFUNCTION("""COMPUTED_VALUE"""),0)</f>
        <v>0</v>
      </c>
      <c r="R89" s="6">
        <f ca="1">IFERROR(__xludf.DUMMYFUNCTION("""COMPUTED_VALUE"""),0)</f>
        <v>0</v>
      </c>
      <c r="S89" s="6">
        <f ca="1">IFERROR(__xludf.DUMMYFUNCTION("""COMPUTED_VALUE"""),0)</f>
        <v>0</v>
      </c>
      <c r="T89" s="6">
        <f ca="1">IFERROR(__xludf.DUMMYFUNCTION("""COMPUTED_VALUE"""),0)</f>
        <v>0</v>
      </c>
      <c r="U89" s="6">
        <f ca="1">IFERROR(__xludf.DUMMYFUNCTION("""COMPUTED_VALUE"""),0)</f>
        <v>0</v>
      </c>
      <c r="V89" s="6">
        <f ca="1">IFERROR(__xludf.DUMMYFUNCTION("""COMPUTED_VALUE"""),0)</f>
        <v>0</v>
      </c>
      <c r="W89" s="6">
        <f ca="1">IFERROR(__xludf.DUMMYFUNCTION("""COMPUTED_VALUE"""),0)</f>
        <v>0</v>
      </c>
      <c r="X89" s="6">
        <f ca="1">IFERROR(__xludf.DUMMYFUNCTION("""COMPUTED_VALUE"""),0)</f>
        <v>0</v>
      </c>
      <c r="Y89" s="6">
        <f ca="1">IFERROR(__xludf.DUMMYFUNCTION("""COMPUTED_VALUE"""),0)</f>
        <v>0</v>
      </c>
      <c r="Z89" s="6">
        <f ca="1">IFERROR(__xludf.DUMMYFUNCTION("""COMPUTED_VALUE"""),0)</f>
        <v>0</v>
      </c>
      <c r="AA89" s="6">
        <f ca="1">IFERROR(__xludf.DUMMYFUNCTION("""COMPUTED_VALUE"""),0)</f>
        <v>0</v>
      </c>
      <c r="AB89" s="6" t="b">
        <f ca="1">IFERROR(__xludf.DUMMYFUNCTION("""COMPUTED_VALUE"""),FALSE)</f>
        <v>0</v>
      </c>
      <c r="AD89" s="6" t="b">
        <f ca="1">IFERROR(__xludf.DUMMYFUNCTION("""COMPUTED_VALUE"""),FALSE)</f>
        <v>0</v>
      </c>
      <c r="AE89" s="6">
        <f ca="1">IFERROR(__xludf.DUMMYFUNCTION("""COMPUTED_VALUE"""),3)</f>
        <v>3</v>
      </c>
      <c r="AF89" s="6">
        <f ca="1">IFERROR(__xludf.DUMMYFUNCTION("""COMPUTED_VALUE"""),0)</f>
        <v>0</v>
      </c>
      <c r="AG89" s="6">
        <f ca="1">IFERROR(__xludf.DUMMYFUNCTION("""COMPUTED_VALUE"""),2)</f>
        <v>2</v>
      </c>
      <c r="AH89" s="6">
        <f ca="1">IFERROR(__xludf.DUMMYFUNCTION("""COMPUTED_VALUE"""),0)</f>
        <v>0</v>
      </c>
      <c r="AI89" s="6">
        <f ca="1">IFERROR(__xludf.DUMMYFUNCTION("""COMPUTED_VALUE"""),0)</f>
        <v>0</v>
      </c>
      <c r="AK89" s="6" t="str">
        <f ca="1">IFERROR(__xludf.DUMMYFUNCTION("""COMPUTED_VALUE"""),"No")</f>
        <v>No</v>
      </c>
      <c r="AL89" s="6">
        <f ca="1">IFERROR(__xludf.DUMMYFUNCTION("""COMPUTED_VALUE"""),0)</f>
        <v>0</v>
      </c>
      <c r="AM89" s="6" t="b">
        <f ca="1">IFERROR(__xludf.DUMMYFUNCTION("""COMPUTED_VALUE"""),FALSE)</f>
        <v>0</v>
      </c>
      <c r="AN89" s="6" t="str">
        <f ca="1">IFERROR(__xludf.DUMMYFUNCTION("""COMPUTED_VALUE"""),"P")</f>
        <v>P</v>
      </c>
      <c r="AO89" s="6"/>
      <c r="AP89" s="6" t="str">
        <f ca="1">IFERROR(__xludf.DUMMYFUNCTION("""COMPUTED_VALUE"""),"x")</f>
        <v>x</v>
      </c>
      <c r="AQ89" s="6" t="b">
        <f ca="1">IFERROR(__xludf.DUMMYFUNCTION("""COMPUTED_VALUE"""),FALSE)</f>
        <v>0</v>
      </c>
      <c r="AR89" s="6" t="b">
        <f ca="1">IFERROR(__xludf.DUMMYFUNCTION("""COMPUTED_VALUE"""),FALSE)</f>
        <v>0</v>
      </c>
      <c r="AS89" s="15"/>
      <c r="AT89" s="6" t="str">
        <f ca="1">IFERROR(__xludf.DUMMYFUNCTION("SWITCH(IF(A89=""Practice"",AN89,FILTER('Items by Team'!E$2:E3410,'Items by Team'!C$2:C3410=D89,B89='Items by Team'!B$2:B3410)),""None"",""No"",""Parked"",""P"",""ShallowCage"",""Sc"",""DeepCage"",""Dc"",""No"",""No"",""P"",""P"",""Sc"",""Sc"",""Dc"",""Dc"&amp;""")"),"P")</f>
        <v>P</v>
      </c>
      <c r="AU89" s="6" t="str">
        <f ca="1">IFERROR(__xludf.DUMMYFUNCTION("SWITCH(IF(A89 = ""Practice"", H89, FILTER('Items by Team'!D$2:D3410,'Items by Team'!C$2:C3410 = D89,'Items by Team'!B$2:B3410 = B89)), ""Yes"", ""TRUE"", ""No"", ""FALSE"",TRUE, ""TRUE"", FALSE, ""FALSE"")"),"FALSE")</f>
        <v>FALSE</v>
      </c>
      <c r="AV89" s="6" t="str">
        <f t="shared" ca="1" si="0"/>
        <v/>
      </c>
      <c r="AW89" s="6">
        <f t="shared" ca="1" si="1"/>
        <v>0</v>
      </c>
      <c r="AX89" s="6">
        <f t="shared" ca="1" si="2"/>
        <v>0</v>
      </c>
      <c r="AY89" s="6">
        <f t="shared" ca="1" si="3"/>
        <v>0</v>
      </c>
      <c r="AZ89" s="9" t="str">
        <f t="shared" ca="1" si="4"/>
        <v/>
      </c>
      <c r="BA89" s="6">
        <f t="shared" ca="1" si="5"/>
        <v>0</v>
      </c>
      <c r="BB89" s="6">
        <f t="shared" ca="1" si="6"/>
        <v>0</v>
      </c>
      <c r="BC89" s="9" t="str">
        <f t="shared" ca="1" si="7"/>
        <v/>
      </c>
      <c r="BD89" s="6">
        <f t="shared" ca="1" si="8"/>
        <v>0</v>
      </c>
      <c r="BE89" s="6">
        <f t="shared" ca="1" si="9"/>
        <v>0</v>
      </c>
      <c r="BF89" s="9" t="str">
        <f t="shared" ca="1" si="10"/>
        <v/>
      </c>
      <c r="BG89" s="6">
        <f t="shared" ca="1" si="11"/>
        <v>5</v>
      </c>
      <c r="BH89" s="6">
        <f t="shared" ca="1" si="12"/>
        <v>5</v>
      </c>
      <c r="BI89" s="9">
        <f t="shared" ca="1" si="13"/>
        <v>1</v>
      </c>
      <c r="BJ89" s="6">
        <f t="shared" ca="1" si="14"/>
        <v>0</v>
      </c>
      <c r="BK89" s="6">
        <f t="shared" ca="1" si="15"/>
        <v>0</v>
      </c>
      <c r="BL89" s="6">
        <f t="shared" ca="1" si="16"/>
        <v>0</v>
      </c>
      <c r="BM89" s="6">
        <f t="shared" ca="1" si="17"/>
        <v>0</v>
      </c>
      <c r="BN89" s="6">
        <f t="shared" ca="1" si="18"/>
        <v>0</v>
      </c>
      <c r="BP89" s="6">
        <f t="shared" ca="1" si="19"/>
        <v>0</v>
      </c>
      <c r="BQ89" s="6" t="b">
        <f ca="1">IFERROR(__xludf.DUMMYFUNCTION("IF(AND(ISERROR(FILTER('Items by Team'!D$2:D3410,'Items by Team'!C$2:C3410 = D89,'Items by Team'!B$2:B3410 = B89)),NOT(A89=""Practice"")),TRUE,FALSE)"),FALSE)</f>
        <v>0</v>
      </c>
      <c r="BR89" s="6" t="e">
        <f t="shared" ca="1" si="20"/>
        <v>#VALUE!</v>
      </c>
    </row>
    <row r="90" spans="1:70">
      <c r="A90" s="6" t="str">
        <f ca="1">IFERROR(__xludf.DUMMYFUNCTION("""COMPUTED_VALUE"""),"Practice")</f>
        <v>Practice</v>
      </c>
      <c r="B90" s="6">
        <f ca="1">IFERROR(__xludf.DUMMYFUNCTION("""COMPUTED_VALUE"""),16)</f>
        <v>16</v>
      </c>
      <c r="C90" s="6" t="str">
        <f ca="1">IFERROR(__xludf.DUMMYFUNCTION("""COMPUTED_VALUE"""),"R1")</f>
        <v>R1</v>
      </c>
      <c r="D90" s="6">
        <f ca="1">IFERROR(__xludf.DUMMYFUNCTION("""COMPUTED_VALUE"""),2227)</f>
        <v>2227</v>
      </c>
      <c r="E90" s="6" t="b">
        <f ca="1">IFERROR(__xludf.DUMMYFUNCTION("""COMPUTED_VALUE"""),FALSE)</f>
        <v>0</v>
      </c>
      <c r="F90" s="6" t="str">
        <f ca="1">IFERROR(__xludf.DUMMYFUNCTION("""COMPUTED_VALUE"""),"Red Barge")</f>
        <v>Red Barge</v>
      </c>
      <c r="G90" s="6" t="b">
        <f ca="1">IFERROR(__xludf.DUMMYFUNCTION("""COMPUTED_VALUE"""),TRUE)</f>
        <v>1</v>
      </c>
      <c r="H90" s="6" t="b">
        <f ca="1">IFERROR(__xludf.DUMMYFUNCTION("""COMPUTED_VALUE"""),FALSE)</f>
        <v>0</v>
      </c>
      <c r="I90" s="6">
        <f ca="1">IFERROR(__xludf.DUMMYFUNCTION("""COMPUTED_VALUE"""),0)</f>
        <v>0</v>
      </c>
      <c r="J90" s="6">
        <f ca="1">IFERROR(__xludf.DUMMYFUNCTION("""COMPUTED_VALUE"""),0)</f>
        <v>0</v>
      </c>
      <c r="K90" s="6">
        <f ca="1">IFERROR(__xludf.DUMMYFUNCTION("""COMPUTED_VALUE"""),0)</f>
        <v>0</v>
      </c>
      <c r="L90" s="6">
        <f ca="1">IFERROR(__xludf.DUMMYFUNCTION("""COMPUTED_VALUE"""),0)</f>
        <v>0</v>
      </c>
      <c r="M90" s="6">
        <f ca="1">IFERROR(__xludf.DUMMYFUNCTION("""COMPUTED_VALUE"""),0)</f>
        <v>0</v>
      </c>
      <c r="N90" s="6">
        <f ca="1">IFERROR(__xludf.DUMMYFUNCTION("""COMPUTED_VALUE"""),0)</f>
        <v>0</v>
      </c>
      <c r="O90" s="6">
        <f ca="1">IFERROR(__xludf.DUMMYFUNCTION("""COMPUTED_VALUE"""),1)</f>
        <v>1</v>
      </c>
      <c r="P90" s="6">
        <f ca="1">IFERROR(__xludf.DUMMYFUNCTION("""COMPUTED_VALUE"""),0)</f>
        <v>0</v>
      </c>
      <c r="R90" s="6">
        <f ca="1">IFERROR(__xludf.DUMMYFUNCTION("""COMPUTED_VALUE"""),0)</f>
        <v>0</v>
      </c>
      <c r="S90" s="6">
        <f ca="1">IFERROR(__xludf.DUMMYFUNCTION("""COMPUTED_VALUE"""),0)</f>
        <v>0</v>
      </c>
      <c r="T90" s="6">
        <f ca="1">IFERROR(__xludf.DUMMYFUNCTION("""COMPUTED_VALUE"""),0)</f>
        <v>0</v>
      </c>
      <c r="U90" s="6">
        <f ca="1">IFERROR(__xludf.DUMMYFUNCTION("""COMPUTED_VALUE"""),0)</f>
        <v>0</v>
      </c>
      <c r="V90" s="6">
        <f ca="1">IFERROR(__xludf.DUMMYFUNCTION("""COMPUTED_VALUE"""),0)</f>
        <v>0</v>
      </c>
      <c r="W90" s="6">
        <f ca="1">IFERROR(__xludf.DUMMYFUNCTION("""COMPUTED_VALUE"""),0)</f>
        <v>0</v>
      </c>
      <c r="X90" s="6">
        <f ca="1">IFERROR(__xludf.DUMMYFUNCTION("""COMPUTED_VALUE"""),0)</f>
        <v>0</v>
      </c>
      <c r="Y90" s="6">
        <f ca="1">IFERROR(__xludf.DUMMYFUNCTION("""COMPUTED_VALUE"""),0)</f>
        <v>0</v>
      </c>
      <c r="Z90" s="6">
        <f ca="1">IFERROR(__xludf.DUMMYFUNCTION("""COMPUTED_VALUE"""),0)</f>
        <v>0</v>
      </c>
      <c r="AA90" s="6">
        <f ca="1">IFERROR(__xludf.DUMMYFUNCTION("""COMPUTED_VALUE"""),0)</f>
        <v>0</v>
      </c>
      <c r="AB90" s="6" t="b">
        <f ca="1">IFERROR(__xludf.DUMMYFUNCTION("""COMPUTED_VALUE"""),TRUE)</f>
        <v>1</v>
      </c>
      <c r="AD90" s="6" t="b">
        <f ca="1">IFERROR(__xludf.DUMMYFUNCTION("""COMPUTED_VALUE"""),FALSE)</f>
        <v>0</v>
      </c>
      <c r="AE90" s="6">
        <f ca="1">IFERROR(__xludf.DUMMYFUNCTION("""COMPUTED_VALUE"""),1)</f>
        <v>1</v>
      </c>
      <c r="AF90" s="6">
        <f ca="1">IFERROR(__xludf.DUMMYFUNCTION("""COMPUTED_VALUE"""),0)</f>
        <v>0</v>
      </c>
      <c r="AG90" s="6">
        <f ca="1">IFERROR(__xludf.DUMMYFUNCTION("""COMPUTED_VALUE"""),0)</f>
        <v>0</v>
      </c>
      <c r="AH90" s="6">
        <f ca="1">IFERROR(__xludf.DUMMYFUNCTION("""COMPUTED_VALUE"""),0)</f>
        <v>0</v>
      </c>
      <c r="AI90" s="6">
        <f ca="1">IFERROR(__xludf.DUMMYFUNCTION("""COMPUTED_VALUE"""),3)</f>
        <v>3</v>
      </c>
      <c r="AK90" s="6" t="str">
        <f ca="1">IFERROR(__xludf.DUMMYFUNCTION("""COMPUTED_VALUE"""),"Dc")</f>
        <v>Dc</v>
      </c>
      <c r="AL90" s="6">
        <f ca="1">IFERROR(__xludf.DUMMYFUNCTION("""COMPUTED_VALUE"""),0)</f>
        <v>0</v>
      </c>
      <c r="AM90" s="6" t="b">
        <f ca="1">IFERROR(__xludf.DUMMYFUNCTION("""COMPUTED_VALUE"""),FALSE)</f>
        <v>0</v>
      </c>
      <c r="AN90" s="6" t="str">
        <f ca="1">IFERROR(__xludf.DUMMYFUNCTION("""COMPUTED_VALUE"""),"P")</f>
        <v>P</v>
      </c>
      <c r="AO90" s="6" t="str">
        <f ca="1">IFERROR(__xludf.DUMMYFUNCTION("""COMPUTED_VALUE"""),"attemped deep climb, crossed center line, struggled")</f>
        <v>attemped deep climb, crossed center line, struggled</v>
      </c>
      <c r="AP90" s="6" t="str">
        <f ca="1">IFERROR(__xludf.DUMMYFUNCTION("""COMPUTED_VALUE"""),"x")</f>
        <v>x</v>
      </c>
      <c r="AQ90" s="6" t="b">
        <f ca="1">IFERROR(__xludf.DUMMYFUNCTION("""COMPUTED_VALUE"""),TRUE)</f>
        <v>1</v>
      </c>
      <c r="AR90" s="6" t="b">
        <f ca="1">IFERROR(__xludf.DUMMYFUNCTION("""COMPUTED_VALUE"""),FALSE)</f>
        <v>0</v>
      </c>
      <c r="AS90" s="15"/>
      <c r="AT90" s="6" t="str">
        <f ca="1">IFERROR(__xludf.DUMMYFUNCTION("SWITCH(IF(A90=""Practice"",AN90,FILTER('Items by Team'!E$2:E3410,'Items by Team'!C$2:C3410=D90,B90='Items by Team'!B$2:B3410)),""None"",""No"",""Parked"",""P"",""ShallowCage"",""Sc"",""DeepCage"",""Dc"",""No"",""No"",""P"",""P"",""Sc"",""Sc"",""Dc"",""Dc"&amp;""")"),"P")</f>
        <v>P</v>
      </c>
      <c r="AU90" s="6" t="str">
        <f ca="1">IFERROR(__xludf.DUMMYFUNCTION("SWITCH(IF(A90 = ""Practice"", H90, FILTER('Items by Team'!D$2:D3410,'Items by Team'!C$2:C3410 = D90,'Items by Team'!B$2:B3410 = B90)), ""Yes"", ""TRUE"", ""No"", ""FALSE"",TRUE, ""TRUE"", FALSE, ""FALSE"")"),"FALSE")</f>
        <v>FALSE</v>
      </c>
      <c r="AV90" s="6" t="str">
        <f t="shared" ca="1" si="0"/>
        <v/>
      </c>
      <c r="AW90" s="6">
        <f t="shared" ca="1" si="1"/>
        <v>0</v>
      </c>
      <c r="AX90" s="6">
        <f t="shared" ca="1" si="2"/>
        <v>1</v>
      </c>
      <c r="AY90" s="6">
        <f t="shared" ca="1" si="3"/>
        <v>1</v>
      </c>
      <c r="AZ90" s="9">
        <f t="shared" ca="1" si="4"/>
        <v>1</v>
      </c>
      <c r="BA90" s="6">
        <f t="shared" ca="1" si="5"/>
        <v>0</v>
      </c>
      <c r="BB90" s="6">
        <f t="shared" ca="1" si="6"/>
        <v>0</v>
      </c>
      <c r="BC90" s="9" t="str">
        <f t="shared" ca="1" si="7"/>
        <v/>
      </c>
      <c r="BD90" s="6">
        <f t="shared" ca="1" si="8"/>
        <v>0</v>
      </c>
      <c r="BE90" s="6">
        <f t="shared" ca="1" si="9"/>
        <v>0</v>
      </c>
      <c r="BF90" s="9" t="str">
        <f t="shared" ca="1" si="10"/>
        <v/>
      </c>
      <c r="BG90" s="6">
        <f t="shared" ca="1" si="11"/>
        <v>1</v>
      </c>
      <c r="BH90" s="6">
        <f t="shared" ca="1" si="12"/>
        <v>4</v>
      </c>
      <c r="BI90" s="9">
        <f t="shared" ca="1" si="13"/>
        <v>0.25</v>
      </c>
      <c r="BJ90" s="6">
        <f t="shared" ca="1" si="14"/>
        <v>1</v>
      </c>
      <c r="BK90" s="6">
        <f t="shared" ca="1" si="15"/>
        <v>0</v>
      </c>
      <c r="BL90" s="6">
        <f t="shared" ca="1" si="16"/>
        <v>0</v>
      </c>
      <c r="BM90" s="6">
        <f t="shared" ca="1" si="17"/>
        <v>0</v>
      </c>
      <c r="BN90" s="6">
        <f t="shared" ca="1" si="18"/>
        <v>1</v>
      </c>
      <c r="BP90" s="6">
        <f t="shared" ca="1" si="19"/>
        <v>0</v>
      </c>
      <c r="BQ90" s="6" t="b">
        <f ca="1">IFERROR(__xludf.DUMMYFUNCTION("IF(AND(ISERROR(FILTER('Items by Team'!D$2:D3410,'Items by Team'!C$2:C3410 = D90,'Items by Team'!B$2:B3410 = B90)),NOT(A90=""Practice"")),TRUE,FALSE)"),FALSE)</f>
        <v>0</v>
      </c>
      <c r="BR90" s="6" t="e">
        <f t="shared" ca="1" si="20"/>
        <v>#VALUE!</v>
      </c>
    </row>
    <row r="91" spans="1:70">
      <c r="A91" s="6" t="str">
        <f ca="1">IFERROR(__xludf.DUMMYFUNCTION("""COMPUTED_VALUE"""),"Practice")</f>
        <v>Practice</v>
      </c>
      <c r="B91" s="6">
        <f ca="1">IFERROR(__xludf.DUMMYFUNCTION("""COMPUTED_VALUE"""),16)</f>
        <v>16</v>
      </c>
      <c r="C91" s="6" t="str">
        <f ca="1">IFERROR(__xludf.DUMMYFUNCTION("""COMPUTED_VALUE"""),"R2")</f>
        <v>R2</v>
      </c>
      <c r="D91" s="6">
        <f ca="1">IFERROR(__xludf.DUMMYFUNCTION("""COMPUTED_VALUE"""),7850)</f>
        <v>7850</v>
      </c>
      <c r="E91" s="6" t="b">
        <f ca="1">IFERROR(__xludf.DUMMYFUNCTION("""COMPUTED_VALUE"""),FALSE)</f>
        <v>0</v>
      </c>
      <c r="F91" s="6" t="str">
        <f ca="1">IFERROR(__xludf.DUMMYFUNCTION("""COMPUTED_VALUE"""),"Middle")</f>
        <v>Middle</v>
      </c>
      <c r="G91" s="6" t="b">
        <f ca="1">IFERROR(__xludf.DUMMYFUNCTION("""COMPUTED_VALUE"""),FALSE)</f>
        <v>0</v>
      </c>
      <c r="H91" s="6" t="b">
        <f ca="1">IFERROR(__xludf.DUMMYFUNCTION("""COMPUTED_VALUE"""),TRUE)</f>
        <v>1</v>
      </c>
      <c r="I91" s="6">
        <f ca="1">IFERROR(__xludf.DUMMYFUNCTION("""COMPUTED_VALUE"""),0)</f>
        <v>0</v>
      </c>
      <c r="J91" s="6">
        <f ca="1">IFERROR(__xludf.DUMMYFUNCTION("""COMPUTED_VALUE"""),0)</f>
        <v>0</v>
      </c>
      <c r="K91" s="6">
        <f ca="1">IFERROR(__xludf.DUMMYFUNCTION("""COMPUTED_VALUE"""),0)</f>
        <v>0</v>
      </c>
      <c r="L91" s="6">
        <f ca="1">IFERROR(__xludf.DUMMYFUNCTION("""COMPUTED_VALUE"""),0)</f>
        <v>0</v>
      </c>
      <c r="M91" s="6">
        <f ca="1">IFERROR(__xludf.DUMMYFUNCTION("""COMPUTED_VALUE"""),0)</f>
        <v>0</v>
      </c>
      <c r="N91" s="6">
        <f ca="1">IFERROR(__xludf.DUMMYFUNCTION("""COMPUTED_VALUE"""),0)</f>
        <v>0</v>
      </c>
      <c r="O91" s="6">
        <f ca="1">IFERROR(__xludf.DUMMYFUNCTION("""COMPUTED_VALUE"""),0)</f>
        <v>0</v>
      </c>
      <c r="P91" s="6">
        <f ca="1">IFERROR(__xludf.DUMMYFUNCTION("""COMPUTED_VALUE"""),0)</f>
        <v>0</v>
      </c>
      <c r="R91" s="6">
        <f ca="1">IFERROR(__xludf.DUMMYFUNCTION("""COMPUTED_VALUE"""),0)</f>
        <v>0</v>
      </c>
      <c r="S91" s="6">
        <f ca="1">IFERROR(__xludf.DUMMYFUNCTION("""COMPUTED_VALUE"""),0)</f>
        <v>0</v>
      </c>
      <c r="T91" s="6">
        <f ca="1">IFERROR(__xludf.DUMMYFUNCTION("""COMPUTED_VALUE"""),0)</f>
        <v>0</v>
      </c>
      <c r="U91" s="6">
        <f ca="1">IFERROR(__xludf.DUMMYFUNCTION("""COMPUTED_VALUE"""),0)</f>
        <v>0</v>
      </c>
      <c r="V91" s="6">
        <f ca="1">IFERROR(__xludf.DUMMYFUNCTION("""COMPUTED_VALUE"""),0)</f>
        <v>0</v>
      </c>
      <c r="W91" s="6">
        <f ca="1">IFERROR(__xludf.DUMMYFUNCTION("""COMPUTED_VALUE"""),0)</f>
        <v>0</v>
      </c>
      <c r="X91" s="6">
        <f ca="1">IFERROR(__xludf.DUMMYFUNCTION("""COMPUTED_VALUE"""),0)</f>
        <v>0</v>
      </c>
      <c r="Y91" s="6">
        <f ca="1">IFERROR(__xludf.DUMMYFUNCTION("""COMPUTED_VALUE"""),0)</f>
        <v>0</v>
      </c>
      <c r="Z91" s="6">
        <f ca="1">IFERROR(__xludf.DUMMYFUNCTION("""COMPUTED_VALUE"""),2)</f>
        <v>2</v>
      </c>
      <c r="AA91" s="6">
        <f ca="1">IFERROR(__xludf.DUMMYFUNCTION("""COMPUTED_VALUE"""),0)</f>
        <v>0</v>
      </c>
      <c r="AB91" s="6" t="b">
        <f ca="1">IFERROR(__xludf.DUMMYFUNCTION("""COMPUTED_VALUE"""),FALSE)</f>
        <v>0</v>
      </c>
      <c r="AD91" s="6" t="b">
        <f ca="1">IFERROR(__xludf.DUMMYFUNCTION("""COMPUTED_VALUE"""),FALSE)</f>
        <v>0</v>
      </c>
      <c r="AE91" s="6">
        <f ca="1">IFERROR(__xludf.DUMMYFUNCTION("""COMPUTED_VALUE"""),0)</f>
        <v>0</v>
      </c>
      <c r="AF91" s="6">
        <f ca="1">IFERROR(__xludf.DUMMYFUNCTION("""COMPUTED_VALUE"""),0)</f>
        <v>0</v>
      </c>
      <c r="AG91" s="6">
        <f ca="1">IFERROR(__xludf.DUMMYFUNCTION("""COMPUTED_VALUE"""),0)</f>
        <v>0</v>
      </c>
      <c r="AH91" s="6">
        <f ca="1">IFERROR(__xludf.DUMMYFUNCTION("""COMPUTED_VALUE"""),0)</f>
        <v>0</v>
      </c>
      <c r="AI91" s="6">
        <f ca="1">IFERROR(__xludf.DUMMYFUNCTION("""COMPUTED_VALUE"""),0)</f>
        <v>0</v>
      </c>
      <c r="AK91" s="6" t="str">
        <f ca="1">IFERROR(__xludf.DUMMYFUNCTION("""COMPUTED_VALUE"""),"Dc")</f>
        <v>Dc</v>
      </c>
      <c r="AL91" s="6">
        <f ca="1">IFERROR(__xludf.DUMMYFUNCTION("""COMPUTED_VALUE"""),0)</f>
        <v>0</v>
      </c>
      <c r="AM91" s="6" t="b">
        <f ca="1">IFERROR(__xludf.DUMMYFUNCTION("""COMPUTED_VALUE"""),FALSE)</f>
        <v>0</v>
      </c>
      <c r="AN91" s="6" t="str">
        <f ca="1">IFERROR(__xludf.DUMMYFUNCTION("""COMPUTED_VALUE"""),"P")</f>
        <v>P</v>
      </c>
      <c r="AO91" s="6"/>
      <c r="AP91" s="6" t="str">
        <f ca="1">IFERROR(__xludf.DUMMYFUNCTION("""COMPUTED_VALUE"""),"x")</f>
        <v>x</v>
      </c>
      <c r="AQ91" s="6" t="b">
        <f ca="1">IFERROR(__xludf.DUMMYFUNCTION("""COMPUTED_VALUE"""),FALSE)</f>
        <v>0</v>
      </c>
      <c r="AR91" s="6" t="b">
        <f ca="1">IFERROR(__xludf.DUMMYFUNCTION("""COMPUTED_VALUE"""),FALSE)</f>
        <v>0</v>
      </c>
      <c r="AS91" s="15"/>
      <c r="AT91" s="6" t="str">
        <f ca="1">IFERROR(__xludf.DUMMYFUNCTION("SWITCH(IF(A91=""Practice"",AN91,FILTER('Items by Team'!E$2:E3410,'Items by Team'!C$2:C3410=D91,B91='Items by Team'!B$2:B3410)),""None"",""No"",""Parked"",""P"",""ShallowCage"",""Sc"",""DeepCage"",""Dc"",""No"",""No"",""P"",""P"",""Sc"",""Sc"",""Dc"",""Dc"&amp;""")"),"P")</f>
        <v>P</v>
      </c>
      <c r="AU91" s="6" t="str">
        <f ca="1">IFERROR(__xludf.DUMMYFUNCTION("SWITCH(IF(A91 = ""Practice"", H91, FILTER('Items by Team'!D$2:D3410,'Items by Team'!C$2:C3410 = D91,'Items by Team'!B$2:B3410 = B91)), ""Yes"", ""TRUE"", ""No"", ""FALSE"",TRUE, ""TRUE"", FALSE, ""FALSE"")"),"TRUE")</f>
        <v>TRUE</v>
      </c>
      <c r="AV91" s="6" t="str">
        <f t="shared" ca="1" si="0"/>
        <v/>
      </c>
      <c r="AW91" s="6">
        <f t="shared" ca="1" si="1"/>
        <v>1</v>
      </c>
      <c r="AX91" s="6">
        <f t="shared" ca="1" si="2"/>
        <v>0</v>
      </c>
      <c r="AY91" s="6">
        <f t="shared" ca="1" si="3"/>
        <v>0</v>
      </c>
      <c r="AZ91" s="9" t="str">
        <f t="shared" ca="1" si="4"/>
        <v/>
      </c>
      <c r="BA91" s="6">
        <f t="shared" ca="1" si="5"/>
        <v>0</v>
      </c>
      <c r="BB91" s="6">
        <f t="shared" ca="1" si="6"/>
        <v>0</v>
      </c>
      <c r="BC91" s="9" t="str">
        <f t="shared" ca="1" si="7"/>
        <v/>
      </c>
      <c r="BD91" s="6">
        <f t="shared" ca="1" si="8"/>
        <v>0</v>
      </c>
      <c r="BE91" s="6">
        <f t="shared" ca="1" si="9"/>
        <v>0</v>
      </c>
      <c r="BF91" s="9" t="str">
        <f t="shared" ca="1" si="10"/>
        <v/>
      </c>
      <c r="BG91" s="6">
        <f t="shared" ca="1" si="11"/>
        <v>0</v>
      </c>
      <c r="BH91" s="6">
        <f t="shared" ca="1" si="12"/>
        <v>0</v>
      </c>
      <c r="BI91" s="9" t="str">
        <f t="shared" ca="1" si="13"/>
        <v/>
      </c>
      <c r="BJ91" s="6">
        <f t="shared" ca="1" si="14"/>
        <v>0</v>
      </c>
      <c r="BK91" s="6">
        <f t="shared" ca="1" si="15"/>
        <v>0</v>
      </c>
      <c r="BL91" s="6">
        <f t="shared" ca="1" si="16"/>
        <v>0</v>
      </c>
      <c r="BM91" s="6">
        <f t="shared" ca="1" si="17"/>
        <v>0</v>
      </c>
      <c r="BN91" s="6">
        <f t="shared" ca="1" si="18"/>
        <v>0</v>
      </c>
      <c r="BP91" s="6">
        <f t="shared" ca="1" si="19"/>
        <v>0</v>
      </c>
      <c r="BQ91" s="6" t="b">
        <f ca="1">IFERROR(__xludf.DUMMYFUNCTION("IF(AND(ISERROR(FILTER('Items by Team'!D$2:D3410,'Items by Team'!C$2:C3410 = D91,'Items by Team'!B$2:B3410 = B91)),NOT(A91=""Practice"")),TRUE,FALSE)"),FALSE)</f>
        <v>0</v>
      </c>
      <c r="BR91" s="6" t="e">
        <f t="shared" ca="1" si="20"/>
        <v>#VALUE!</v>
      </c>
    </row>
    <row r="92" spans="1:70">
      <c r="A92" s="6" t="str">
        <f ca="1">IFERROR(__xludf.DUMMYFUNCTION("""COMPUTED_VALUE"""),"Practice")</f>
        <v>Practice</v>
      </c>
      <c r="B92" s="6">
        <f ca="1">IFERROR(__xludf.DUMMYFUNCTION("""COMPUTED_VALUE"""),17)</f>
        <v>17</v>
      </c>
      <c r="C92" s="6" t="str">
        <f ca="1">IFERROR(__xludf.DUMMYFUNCTION("""COMPUTED_VALUE"""),"B2")</f>
        <v>B2</v>
      </c>
      <c r="D92" s="6">
        <f ca="1">IFERROR(__xludf.DUMMYFUNCTION("""COMPUTED_VALUE"""),4778)</f>
        <v>4778</v>
      </c>
      <c r="E92" s="6" t="b">
        <f ca="1">IFERROR(__xludf.DUMMYFUNCTION("""COMPUTED_VALUE"""),FALSE)</f>
        <v>0</v>
      </c>
      <c r="F92" s="6" t="str">
        <f ca="1">IFERROR(__xludf.DUMMYFUNCTION("""COMPUTED_VALUE"""),"Middle")</f>
        <v>Middle</v>
      </c>
      <c r="G92" s="6" t="b">
        <f ca="1">IFERROR(__xludf.DUMMYFUNCTION("""COMPUTED_VALUE"""),TRUE)</f>
        <v>1</v>
      </c>
      <c r="H92" s="6" t="b">
        <f ca="1">IFERROR(__xludf.DUMMYFUNCTION("""COMPUTED_VALUE"""),FALSE)</f>
        <v>0</v>
      </c>
      <c r="I92" s="6">
        <f ca="1">IFERROR(__xludf.DUMMYFUNCTION("""COMPUTED_VALUE"""),0)</f>
        <v>0</v>
      </c>
      <c r="J92" s="6">
        <f ca="1">IFERROR(__xludf.DUMMYFUNCTION("""COMPUTED_VALUE"""),0)</f>
        <v>0</v>
      </c>
      <c r="K92" s="6">
        <f ca="1">IFERROR(__xludf.DUMMYFUNCTION("""COMPUTED_VALUE"""),0)</f>
        <v>0</v>
      </c>
      <c r="L92" s="6">
        <f ca="1">IFERROR(__xludf.DUMMYFUNCTION("""COMPUTED_VALUE"""),0)</f>
        <v>0</v>
      </c>
      <c r="M92" s="6">
        <f ca="1">IFERROR(__xludf.DUMMYFUNCTION("""COMPUTED_VALUE"""),0)</f>
        <v>0</v>
      </c>
      <c r="N92" s="6">
        <f ca="1">IFERROR(__xludf.DUMMYFUNCTION("""COMPUTED_VALUE"""),0)</f>
        <v>0</v>
      </c>
      <c r="O92" s="6">
        <f ca="1">IFERROR(__xludf.DUMMYFUNCTION("""COMPUTED_VALUE"""),0)</f>
        <v>0</v>
      </c>
      <c r="P92" s="6">
        <f ca="1">IFERROR(__xludf.DUMMYFUNCTION("""COMPUTED_VALUE"""),0)</f>
        <v>0</v>
      </c>
      <c r="R92" s="6">
        <f ca="1">IFERROR(__xludf.DUMMYFUNCTION("""COMPUTED_VALUE"""),0)</f>
        <v>0</v>
      </c>
      <c r="S92" s="6">
        <f ca="1">IFERROR(__xludf.DUMMYFUNCTION("""COMPUTED_VALUE"""),0)</f>
        <v>0</v>
      </c>
      <c r="T92" s="6">
        <f ca="1">IFERROR(__xludf.DUMMYFUNCTION("""COMPUTED_VALUE"""),1)</f>
        <v>1</v>
      </c>
      <c r="U92" s="6">
        <f ca="1">IFERROR(__xludf.DUMMYFUNCTION("""COMPUTED_VALUE"""),1)</f>
        <v>1</v>
      </c>
      <c r="V92" s="6">
        <f ca="1">IFERROR(__xludf.DUMMYFUNCTION("""COMPUTED_VALUE"""),0)</f>
        <v>0</v>
      </c>
      <c r="W92" s="6">
        <f ca="1">IFERROR(__xludf.DUMMYFUNCTION("""COMPUTED_VALUE"""),0)</f>
        <v>0</v>
      </c>
      <c r="X92" s="6">
        <f ca="1">IFERROR(__xludf.DUMMYFUNCTION("""COMPUTED_VALUE"""),1)</f>
        <v>1</v>
      </c>
      <c r="Y92" s="6">
        <f ca="1">IFERROR(__xludf.DUMMYFUNCTION("""COMPUTED_VALUE"""),2)</f>
        <v>2</v>
      </c>
      <c r="Z92" s="6">
        <f ca="1">IFERROR(__xludf.DUMMYFUNCTION("""COMPUTED_VALUE"""),3)</f>
        <v>3</v>
      </c>
      <c r="AA92" s="6">
        <f ca="1">IFERROR(__xludf.DUMMYFUNCTION("""COMPUTED_VALUE"""),0)</f>
        <v>0</v>
      </c>
      <c r="AB92" s="6" t="b">
        <f ca="1">IFERROR(__xludf.DUMMYFUNCTION("""COMPUTED_VALUE"""),TRUE)</f>
        <v>1</v>
      </c>
      <c r="AD92" s="6" t="b">
        <f ca="1">IFERROR(__xludf.DUMMYFUNCTION("""COMPUTED_VALUE"""),FALSE)</f>
        <v>0</v>
      </c>
      <c r="AE92" s="6">
        <f ca="1">IFERROR(__xludf.DUMMYFUNCTION("""COMPUTED_VALUE"""),1)</f>
        <v>1</v>
      </c>
      <c r="AF92" s="6">
        <f ca="1">IFERROR(__xludf.DUMMYFUNCTION("""COMPUTED_VALUE"""),5)</f>
        <v>5</v>
      </c>
      <c r="AG92" s="6">
        <f ca="1">IFERROR(__xludf.DUMMYFUNCTION("""COMPUTED_VALUE"""),1)</f>
        <v>1</v>
      </c>
      <c r="AH92" s="6">
        <f ca="1">IFERROR(__xludf.DUMMYFUNCTION("""COMPUTED_VALUE"""),0)</f>
        <v>0</v>
      </c>
      <c r="AI92" s="6">
        <f ca="1">IFERROR(__xludf.DUMMYFUNCTION("""COMPUTED_VALUE"""),1)</f>
        <v>1</v>
      </c>
      <c r="AK92" s="6" t="str">
        <f ca="1">IFERROR(__xludf.DUMMYFUNCTION("""COMPUTED_VALUE"""),"No")</f>
        <v>No</v>
      </c>
      <c r="AL92" s="6">
        <f ca="1">IFERROR(__xludf.DUMMYFUNCTION("""COMPUTED_VALUE"""),0)</f>
        <v>0</v>
      </c>
      <c r="AM92" s="6" t="b">
        <f ca="1">IFERROR(__xludf.DUMMYFUNCTION("""COMPUTED_VALUE"""),FALSE)</f>
        <v>0</v>
      </c>
      <c r="AN92" s="6" t="str">
        <f ca="1">IFERROR(__xludf.DUMMYFUNCTION("""COMPUTED_VALUE"""),"No")</f>
        <v>No</v>
      </c>
      <c r="AO92" s="6"/>
      <c r="AP92" s="6" t="str">
        <f ca="1">IFERROR(__xludf.DUMMYFUNCTION("""COMPUTED_VALUE"""),"x")</f>
        <v>x</v>
      </c>
      <c r="AQ92" s="6" t="b">
        <f ca="1">IFERROR(__xludf.DUMMYFUNCTION("""COMPUTED_VALUE"""),FALSE)</f>
        <v>0</v>
      </c>
      <c r="AR92" s="6" t="b">
        <f ca="1">IFERROR(__xludf.DUMMYFUNCTION("""COMPUTED_VALUE"""),FALSE)</f>
        <v>0</v>
      </c>
      <c r="AS92" s="15"/>
      <c r="AT92" s="6" t="str">
        <f ca="1">IFERROR(__xludf.DUMMYFUNCTION("SWITCH(IF(A92=""Practice"",AN92,FILTER('Items by Team'!E$2:E3410,'Items by Team'!C$2:C3410=D92,B92='Items by Team'!B$2:B3410)),""None"",""No"",""Parked"",""P"",""ShallowCage"",""Sc"",""DeepCage"",""Dc"",""No"",""No"",""P"",""P"",""Sc"",""Sc"",""Dc"",""Dc"&amp;""")"),"No")</f>
        <v>No</v>
      </c>
      <c r="AU92" s="6" t="str">
        <f ca="1">IFERROR(__xludf.DUMMYFUNCTION("SWITCH(IF(A92 = ""Practice"", H92, FILTER('Items by Team'!D$2:D3410,'Items by Team'!C$2:C3410 = D92,'Items by Team'!B$2:B3410 = B92)), ""Yes"", ""TRUE"", ""No"", ""FALSE"",TRUE, ""TRUE"", FALSE, ""FALSE"")"),"FALSE")</f>
        <v>FALSE</v>
      </c>
      <c r="AV92" s="6" t="str">
        <f t="shared" ca="1" si="0"/>
        <v/>
      </c>
      <c r="AW92" s="6">
        <f t="shared" ca="1" si="1"/>
        <v>0</v>
      </c>
      <c r="AX92" s="6">
        <f t="shared" ca="1" si="2"/>
        <v>0</v>
      </c>
      <c r="AY92" s="6">
        <f t="shared" ca="1" si="3"/>
        <v>0</v>
      </c>
      <c r="AZ92" s="9" t="str">
        <f t="shared" ca="1" si="4"/>
        <v/>
      </c>
      <c r="BA92" s="6">
        <f t="shared" ca="1" si="5"/>
        <v>1</v>
      </c>
      <c r="BB92" s="6">
        <f t="shared" ca="1" si="6"/>
        <v>2</v>
      </c>
      <c r="BC92" s="9">
        <f t="shared" ca="1" si="7"/>
        <v>0.5</v>
      </c>
      <c r="BD92" s="6">
        <f t="shared" ca="1" si="8"/>
        <v>1</v>
      </c>
      <c r="BE92" s="6">
        <f t="shared" ca="1" si="9"/>
        <v>3</v>
      </c>
      <c r="BF92" s="9">
        <f t="shared" ca="1" si="10"/>
        <v>0.33333333333333331</v>
      </c>
      <c r="BG92" s="6">
        <f t="shared" ca="1" si="11"/>
        <v>7</v>
      </c>
      <c r="BH92" s="6">
        <f t="shared" ca="1" si="12"/>
        <v>8</v>
      </c>
      <c r="BI92" s="9">
        <f t="shared" ca="1" si="13"/>
        <v>0.875</v>
      </c>
      <c r="BJ92" s="6">
        <f t="shared" ca="1" si="14"/>
        <v>0</v>
      </c>
      <c r="BK92" s="6">
        <f t="shared" ca="1" si="15"/>
        <v>0</v>
      </c>
      <c r="BL92" s="6">
        <f t="shared" ca="1" si="16"/>
        <v>0</v>
      </c>
      <c r="BM92" s="6">
        <f t="shared" ca="1" si="17"/>
        <v>0</v>
      </c>
      <c r="BN92" s="6">
        <f t="shared" ca="1" si="18"/>
        <v>1</v>
      </c>
      <c r="BP92" s="6">
        <f t="shared" ca="1" si="19"/>
        <v>0</v>
      </c>
      <c r="BQ92" s="6" t="b">
        <f ca="1">IFERROR(__xludf.DUMMYFUNCTION("IF(AND(ISERROR(FILTER('Items by Team'!D$2:D3410,'Items by Team'!C$2:C3410 = D92,'Items by Team'!B$2:B3410 = B92)),NOT(A92=""Practice"")),TRUE,FALSE)"),FALSE)</f>
        <v>0</v>
      </c>
      <c r="BR92" s="6" t="e">
        <f t="shared" ca="1" si="20"/>
        <v>#VALUE!</v>
      </c>
    </row>
    <row r="93" spans="1:70">
      <c r="A93" s="6" t="str">
        <f ca="1">IFERROR(__xludf.DUMMYFUNCTION("""COMPUTED_VALUE"""),"Practice")</f>
        <v>Practice</v>
      </c>
      <c r="B93" s="6">
        <f ca="1">IFERROR(__xludf.DUMMYFUNCTION("""COMPUTED_VALUE"""),17)</f>
        <v>17</v>
      </c>
      <c r="C93" s="6" t="str">
        <f ca="1">IFERROR(__xludf.DUMMYFUNCTION("""COMPUTED_VALUE"""),"R1")</f>
        <v>R1</v>
      </c>
      <c r="D93" s="6">
        <f ca="1">IFERROR(__xludf.DUMMYFUNCTION("""COMPUTED_VALUE"""),2823)</f>
        <v>2823</v>
      </c>
      <c r="E93" s="6" t="b">
        <f ca="1">IFERROR(__xludf.DUMMYFUNCTION("""COMPUTED_VALUE"""),FALSE)</f>
        <v>0</v>
      </c>
      <c r="F93" s="6" t="str">
        <f ca="1">IFERROR(__xludf.DUMMYFUNCTION("""COMPUTED_VALUE"""),"Red Barge")</f>
        <v>Red Barge</v>
      </c>
      <c r="G93" s="6" t="b">
        <f ca="1">IFERROR(__xludf.DUMMYFUNCTION("""COMPUTED_VALUE"""),TRUE)</f>
        <v>1</v>
      </c>
      <c r="H93" s="6" t="b">
        <f ca="1">IFERROR(__xludf.DUMMYFUNCTION("""COMPUTED_VALUE"""),TRUE)</f>
        <v>1</v>
      </c>
      <c r="I93" s="6">
        <f ca="1">IFERROR(__xludf.DUMMYFUNCTION("""COMPUTED_VALUE"""),1)</f>
        <v>1</v>
      </c>
      <c r="J93" s="6">
        <f ca="1">IFERROR(__xludf.DUMMYFUNCTION("""COMPUTED_VALUE"""),0)</f>
        <v>0</v>
      </c>
      <c r="K93" s="6">
        <f ca="1">IFERROR(__xludf.DUMMYFUNCTION("""COMPUTED_VALUE"""),0)</f>
        <v>0</v>
      </c>
      <c r="L93" s="6">
        <f ca="1">IFERROR(__xludf.DUMMYFUNCTION("""COMPUTED_VALUE"""),0)</f>
        <v>0</v>
      </c>
      <c r="M93" s="6">
        <f ca="1">IFERROR(__xludf.DUMMYFUNCTION("""COMPUTED_VALUE"""),0)</f>
        <v>0</v>
      </c>
      <c r="N93" s="6">
        <f ca="1">IFERROR(__xludf.DUMMYFUNCTION("""COMPUTED_VALUE"""),0)</f>
        <v>0</v>
      </c>
      <c r="O93" s="6">
        <f ca="1">IFERROR(__xludf.DUMMYFUNCTION("""COMPUTED_VALUE"""),0)</f>
        <v>0</v>
      </c>
      <c r="P93" s="6">
        <f ca="1">IFERROR(__xludf.DUMMYFUNCTION("""COMPUTED_VALUE"""),2)</f>
        <v>2</v>
      </c>
      <c r="R93" s="6">
        <f ca="1">IFERROR(__xludf.DUMMYFUNCTION("""COMPUTED_VALUE"""),0)</f>
        <v>0</v>
      </c>
      <c r="S93" s="6">
        <f ca="1">IFERROR(__xludf.DUMMYFUNCTION("""COMPUTED_VALUE"""),0)</f>
        <v>0</v>
      </c>
      <c r="T93" s="6">
        <f ca="1">IFERROR(__xludf.DUMMYFUNCTION("""COMPUTED_VALUE"""),0)</f>
        <v>0</v>
      </c>
      <c r="U93" s="6">
        <f ca="1">IFERROR(__xludf.DUMMYFUNCTION("""COMPUTED_VALUE"""),0)</f>
        <v>0</v>
      </c>
      <c r="V93" s="6">
        <f ca="1">IFERROR(__xludf.DUMMYFUNCTION("""COMPUTED_VALUE"""),0)</f>
        <v>0</v>
      </c>
      <c r="W93" s="6">
        <f ca="1">IFERROR(__xludf.DUMMYFUNCTION("""COMPUTED_VALUE"""),0)</f>
        <v>0</v>
      </c>
      <c r="X93" s="6">
        <f ca="1">IFERROR(__xludf.DUMMYFUNCTION("""COMPUTED_VALUE"""),0)</f>
        <v>0</v>
      </c>
      <c r="Y93" s="6">
        <f ca="1">IFERROR(__xludf.DUMMYFUNCTION("""COMPUTED_VALUE"""),0)</f>
        <v>0</v>
      </c>
      <c r="Z93" s="6">
        <f ca="1">IFERROR(__xludf.DUMMYFUNCTION("""COMPUTED_VALUE"""),0)</f>
        <v>0</v>
      </c>
      <c r="AA93" s="6">
        <f ca="1">IFERROR(__xludf.DUMMYFUNCTION("""COMPUTED_VALUE"""),0)</f>
        <v>0</v>
      </c>
      <c r="AB93" s="6" t="b">
        <f ca="1">IFERROR(__xludf.DUMMYFUNCTION("""COMPUTED_VALUE"""),TRUE)</f>
        <v>1</v>
      </c>
      <c r="AD93" s="6" t="b">
        <f ca="1">IFERROR(__xludf.DUMMYFUNCTION("""COMPUTED_VALUE"""),FALSE)</f>
        <v>0</v>
      </c>
      <c r="AE93" s="6">
        <f ca="1">IFERROR(__xludf.DUMMYFUNCTION("""COMPUTED_VALUE"""),3)</f>
        <v>3</v>
      </c>
      <c r="AF93" s="6">
        <f ca="1">IFERROR(__xludf.DUMMYFUNCTION("""COMPUTED_VALUE"""),0)</f>
        <v>0</v>
      </c>
      <c r="AG93" s="6">
        <f ca="1">IFERROR(__xludf.DUMMYFUNCTION("""COMPUTED_VALUE"""),0)</f>
        <v>0</v>
      </c>
      <c r="AH93" s="6">
        <f ca="1">IFERROR(__xludf.DUMMYFUNCTION("""COMPUTED_VALUE"""),0)</f>
        <v>0</v>
      </c>
      <c r="AI93" s="6">
        <f ca="1">IFERROR(__xludf.DUMMYFUNCTION("""COMPUTED_VALUE"""),5)</f>
        <v>5</v>
      </c>
      <c r="AK93" s="6" t="str">
        <f ca="1">IFERROR(__xludf.DUMMYFUNCTION("""COMPUTED_VALUE"""),"Dc")</f>
        <v>Dc</v>
      </c>
      <c r="AL93" s="6">
        <f ca="1">IFERROR(__xludf.DUMMYFUNCTION("""COMPUTED_VALUE"""),0)</f>
        <v>0</v>
      </c>
      <c r="AM93" s="6" t="b">
        <f ca="1">IFERROR(__xludf.DUMMYFUNCTION("""COMPUTED_VALUE"""),FALSE)</f>
        <v>0</v>
      </c>
      <c r="AN93" s="6" t="str">
        <f ca="1">IFERROR(__xludf.DUMMYFUNCTION("""COMPUTED_VALUE"""),"P")</f>
        <v>P</v>
      </c>
      <c r="AO93" s="6" t="str">
        <f ca="1">IFERROR(__xludf.DUMMYFUNCTION("""COMPUTED_VALUE"""),"attempted to deep climb, was close")</f>
        <v>attempted to deep climb, was close</v>
      </c>
      <c r="AP93" s="6" t="str">
        <f ca="1">IFERROR(__xludf.DUMMYFUNCTION("""COMPUTED_VALUE"""),"x")</f>
        <v>x</v>
      </c>
      <c r="AQ93" s="6" t="b">
        <f ca="1">IFERROR(__xludf.DUMMYFUNCTION("""COMPUTED_VALUE"""),FALSE)</f>
        <v>0</v>
      </c>
      <c r="AR93" s="6" t="b">
        <f ca="1">IFERROR(__xludf.DUMMYFUNCTION("""COMPUTED_VALUE"""),FALSE)</f>
        <v>0</v>
      </c>
      <c r="AS93" s="15"/>
      <c r="AT93" s="6" t="str">
        <f ca="1">IFERROR(__xludf.DUMMYFUNCTION("SWITCH(IF(A93=""Practice"",AN93,FILTER('Items by Team'!E$2:E3410,'Items by Team'!C$2:C3410=D93,B93='Items by Team'!B$2:B3410)),""None"",""No"",""Parked"",""P"",""ShallowCage"",""Sc"",""DeepCage"",""Dc"",""No"",""No"",""P"",""P"",""Sc"",""Sc"",""Dc"",""Dc"&amp;""")"),"P")</f>
        <v>P</v>
      </c>
      <c r="AU93" s="6" t="str">
        <f ca="1">IFERROR(__xludf.DUMMYFUNCTION("SWITCH(IF(A93 = ""Practice"", H93, FILTER('Items by Team'!D$2:D3410,'Items by Team'!C$2:C3410 = D93,'Items by Team'!B$2:B3410 = B93)), ""Yes"", ""TRUE"", ""No"", ""FALSE"",TRUE, ""TRUE"", FALSE, ""FALSE"")"),"TRUE")</f>
        <v>TRUE</v>
      </c>
      <c r="AV93" s="6" t="str">
        <f t="shared" ca="1" si="0"/>
        <v/>
      </c>
      <c r="AW93" s="6">
        <f t="shared" ca="1" si="1"/>
        <v>1</v>
      </c>
      <c r="AX93" s="6">
        <f t="shared" ca="1" si="2"/>
        <v>0</v>
      </c>
      <c r="AY93" s="6">
        <f t="shared" ca="1" si="3"/>
        <v>2</v>
      </c>
      <c r="AZ93" s="9">
        <f t="shared" ca="1" si="4"/>
        <v>0</v>
      </c>
      <c r="BA93" s="6">
        <f t="shared" ca="1" si="5"/>
        <v>0</v>
      </c>
      <c r="BB93" s="6">
        <f t="shared" ca="1" si="6"/>
        <v>0</v>
      </c>
      <c r="BC93" s="9" t="str">
        <f t="shared" ca="1" si="7"/>
        <v/>
      </c>
      <c r="BD93" s="6">
        <f t="shared" ca="1" si="8"/>
        <v>0</v>
      </c>
      <c r="BE93" s="6">
        <f t="shared" ca="1" si="9"/>
        <v>0</v>
      </c>
      <c r="BF93" s="9" t="str">
        <f t="shared" ca="1" si="10"/>
        <v/>
      </c>
      <c r="BG93" s="6">
        <f t="shared" ca="1" si="11"/>
        <v>3</v>
      </c>
      <c r="BH93" s="6">
        <f t="shared" ca="1" si="12"/>
        <v>8</v>
      </c>
      <c r="BI93" s="9">
        <f t="shared" ca="1" si="13"/>
        <v>0.375</v>
      </c>
      <c r="BJ93" s="6">
        <f t="shared" ca="1" si="14"/>
        <v>0</v>
      </c>
      <c r="BK93" s="6">
        <f t="shared" ca="1" si="15"/>
        <v>1</v>
      </c>
      <c r="BL93" s="6">
        <f t="shared" ca="1" si="16"/>
        <v>0</v>
      </c>
      <c r="BM93" s="6">
        <f t="shared" ca="1" si="17"/>
        <v>0</v>
      </c>
      <c r="BN93" s="6">
        <f t="shared" ca="1" si="18"/>
        <v>1</v>
      </c>
      <c r="BP93" s="6">
        <f t="shared" ca="1" si="19"/>
        <v>0</v>
      </c>
      <c r="BQ93" s="6" t="b">
        <f ca="1">IFERROR(__xludf.DUMMYFUNCTION("IF(AND(ISERROR(FILTER('Items by Team'!D$2:D3410,'Items by Team'!C$2:C3410 = D93,'Items by Team'!B$2:B3410 = B93)),NOT(A93=""Practice"")),TRUE,FALSE)"),FALSE)</f>
        <v>0</v>
      </c>
      <c r="BR93" s="6" t="e">
        <f t="shared" ca="1" si="20"/>
        <v>#VALUE!</v>
      </c>
    </row>
    <row r="94" spans="1:70">
      <c r="A94" s="6" t="str">
        <f ca="1">IFERROR(__xludf.DUMMYFUNCTION("""COMPUTED_VALUE"""),"Practice")</f>
        <v>Practice</v>
      </c>
      <c r="B94" s="6">
        <f ca="1">IFERROR(__xludf.DUMMYFUNCTION("""COMPUTED_VALUE"""),17)</f>
        <v>17</v>
      </c>
      <c r="C94" s="6" t="str">
        <f ca="1">IFERROR(__xludf.DUMMYFUNCTION("""COMPUTED_VALUE"""),"R2")</f>
        <v>R2</v>
      </c>
      <c r="D94" s="6">
        <f ca="1">IFERROR(__xludf.DUMMYFUNCTION("""COMPUTED_VALUE"""),3792)</f>
        <v>3792</v>
      </c>
      <c r="E94" s="6" t="b">
        <f ca="1">IFERROR(__xludf.DUMMYFUNCTION("""COMPUTED_VALUE"""),FALSE)</f>
        <v>0</v>
      </c>
      <c r="F94" s="6" t="str">
        <f ca="1">IFERROR(__xludf.DUMMYFUNCTION("""COMPUTED_VALUE"""),"Blue Barge")</f>
        <v>Blue Barge</v>
      </c>
      <c r="G94" s="6" t="b">
        <f ca="1">IFERROR(__xludf.DUMMYFUNCTION("""COMPUTED_VALUE"""),TRUE)</f>
        <v>1</v>
      </c>
      <c r="H94" s="6" t="b">
        <f ca="1">IFERROR(__xludf.DUMMYFUNCTION("""COMPUTED_VALUE"""),TRUE)</f>
        <v>1</v>
      </c>
      <c r="I94" s="6">
        <f ca="1">IFERROR(__xludf.DUMMYFUNCTION("""COMPUTED_VALUE"""),2)</f>
        <v>2</v>
      </c>
      <c r="J94" s="6">
        <f ca="1">IFERROR(__xludf.DUMMYFUNCTION("""COMPUTED_VALUE"""),0)</f>
        <v>0</v>
      </c>
      <c r="K94" s="6">
        <f ca="1">IFERROR(__xludf.DUMMYFUNCTION("""COMPUTED_VALUE"""),0)</f>
        <v>0</v>
      </c>
      <c r="L94" s="6">
        <f ca="1">IFERROR(__xludf.DUMMYFUNCTION("""COMPUTED_VALUE"""),0)</f>
        <v>0</v>
      </c>
      <c r="M94" s="6">
        <f ca="1">IFERROR(__xludf.DUMMYFUNCTION("""COMPUTED_VALUE"""),0)</f>
        <v>0</v>
      </c>
      <c r="N94" s="6">
        <f ca="1">IFERROR(__xludf.DUMMYFUNCTION("""COMPUTED_VALUE"""),0)</f>
        <v>0</v>
      </c>
      <c r="O94" s="6">
        <f ca="1">IFERROR(__xludf.DUMMYFUNCTION("""COMPUTED_VALUE"""),2)</f>
        <v>2</v>
      </c>
      <c r="P94" s="6">
        <f ca="1">IFERROR(__xludf.DUMMYFUNCTION("""COMPUTED_VALUE"""),0)</f>
        <v>0</v>
      </c>
      <c r="R94" s="6">
        <f ca="1">IFERROR(__xludf.DUMMYFUNCTION("""COMPUTED_VALUE"""),0)</f>
        <v>0</v>
      </c>
      <c r="S94" s="6">
        <f ca="1">IFERROR(__xludf.DUMMYFUNCTION("""COMPUTED_VALUE"""),0)</f>
        <v>0</v>
      </c>
      <c r="T94" s="6">
        <f ca="1">IFERROR(__xludf.DUMMYFUNCTION("""COMPUTED_VALUE"""),0)</f>
        <v>0</v>
      </c>
      <c r="U94" s="6">
        <f ca="1">IFERROR(__xludf.DUMMYFUNCTION("""COMPUTED_VALUE"""),0)</f>
        <v>0</v>
      </c>
      <c r="V94" s="6">
        <f ca="1">IFERROR(__xludf.DUMMYFUNCTION("""COMPUTED_VALUE"""),0)</f>
        <v>0</v>
      </c>
      <c r="W94" s="6">
        <f ca="1">IFERROR(__xludf.DUMMYFUNCTION("""COMPUTED_VALUE"""),6)</f>
        <v>6</v>
      </c>
      <c r="X94" s="6">
        <f ca="1">IFERROR(__xludf.DUMMYFUNCTION("""COMPUTED_VALUE"""),0)</f>
        <v>0</v>
      </c>
      <c r="Y94" s="6">
        <f ca="1">IFERROR(__xludf.DUMMYFUNCTION("""COMPUTED_VALUE"""),0)</f>
        <v>0</v>
      </c>
      <c r="Z94" s="6">
        <f ca="1">IFERROR(__xludf.DUMMYFUNCTION("""COMPUTED_VALUE"""),2)</f>
        <v>2</v>
      </c>
      <c r="AA94" s="6">
        <f ca="1">IFERROR(__xludf.DUMMYFUNCTION("""COMPUTED_VALUE"""),0)</f>
        <v>0</v>
      </c>
      <c r="AB94" s="6" t="b">
        <f ca="1">IFERROR(__xludf.DUMMYFUNCTION("""COMPUTED_VALUE"""),TRUE)</f>
        <v>1</v>
      </c>
      <c r="AD94" s="6" t="b">
        <f ca="1">IFERROR(__xludf.DUMMYFUNCTION("""COMPUTED_VALUE"""),FALSE)</f>
        <v>0</v>
      </c>
      <c r="AE94" s="6">
        <f ca="1">IFERROR(__xludf.DUMMYFUNCTION("""COMPUTED_VALUE"""),0)</f>
        <v>0</v>
      </c>
      <c r="AF94" s="6">
        <f ca="1">IFERROR(__xludf.DUMMYFUNCTION("""COMPUTED_VALUE"""),0)</f>
        <v>0</v>
      </c>
      <c r="AG94" s="6">
        <f ca="1">IFERROR(__xludf.DUMMYFUNCTION("""COMPUTED_VALUE"""),0)</f>
        <v>0</v>
      </c>
      <c r="AH94" s="6">
        <f ca="1">IFERROR(__xludf.DUMMYFUNCTION("""COMPUTED_VALUE"""),2)</f>
        <v>2</v>
      </c>
      <c r="AI94" s="6">
        <f ca="1">IFERROR(__xludf.DUMMYFUNCTION("""COMPUTED_VALUE"""),1)</f>
        <v>1</v>
      </c>
      <c r="AK94" s="6" t="str">
        <f ca="1">IFERROR(__xludf.DUMMYFUNCTION("""COMPUTED_VALUE"""),"Dc")</f>
        <v>Dc</v>
      </c>
      <c r="AL94" s="6">
        <f ca="1">IFERROR(__xludf.DUMMYFUNCTION("""COMPUTED_VALUE"""),0)</f>
        <v>0</v>
      </c>
      <c r="AM94" s="6" t="b">
        <f ca="1">IFERROR(__xludf.DUMMYFUNCTION("""COMPUTED_VALUE"""),FALSE)</f>
        <v>0</v>
      </c>
      <c r="AN94" s="6" t="str">
        <f ca="1">IFERROR(__xludf.DUMMYFUNCTION("""COMPUTED_VALUE"""),"P")</f>
        <v>P</v>
      </c>
      <c r="AO94" s="6" t="str">
        <f ca="1">IFERROR(__xludf.DUMMYFUNCTION("""COMPUTED_VALUE"""),"attempted climb, two wheels off the ground")</f>
        <v>attempted climb, two wheels off the ground</v>
      </c>
      <c r="AP94" s="6" t="str">
        <f ca="1">IFERROR(__xludf.DUMMYFUNCTION("""COMPUTED_VALUE"""),"x")</f>
        <v>x</v>
      </c>
      <c r="AQ94" s="6" t="b">
        <f ca="1">IFERROR(__xludf.DUMMYFUNCTION("""COMPUTED_VALUE"""),FALSE)</f>
        <v>0</v>
      </c>
      <c r="AR94" s="6" t="b">
        <f ca="1">IFERROR(__xludf.DUMMYFUNCTION("""COMPUTED_VALUE"""),FALSE)</f>
        <v>0</v>
      </c>
      <c r="AS94" s="15"/>
      <c r="AT94" s="6" t="str">
        <f ca="1">IFERROR(__xludf.DUMMYFUNCTION("SWITCH(IF(A94=""Practice"",AN94,FILTER('Items by Team'!E$2:E3410,'Items by Team'!C$2:C3410=D94,B94='Items by Team'!B$2:B3410)),""None"",""No"",""Parked"",""P"",""ShallowCage"",""Sc"",""DeepCage"",""Dc"",""No"",""No"",""P"",""P"",""Sc"",""Sc"",""Dc"",""Dc"&amp;""")"),"P")</f>
        <v>P</v>
      </c>
      <c r="AU94" s="6" t="str">
        <f ca="1">IFERROR(__xludf.DUMMYFUNCTION("SWITCH(IF(A94 = ""Practice"", H94, FILTER('Items by Team'!D$2:D3410,'Items by Team'!C$2:C3410 = D94,'Items by Team'!B$2:B3410 = B94)), ""Yes"", ""TRUE"", ""No"", ""FALSE"",TRUE, ""TRUE"", FALSE, ""FALSE"")"),"TRUE")</f>
        <v>TRUE</v>
      </c>
      <c r="AV94" s="6" t="str">
        <f t="shared" ca="1" si="0"/>
        <v/>
      </c>
      <c r="AW94" s="6">
        <f t="shared" ca="1" si="1"/>
        <v>1</v>
      </c>
      <c r="AX94" s="6">
        <f t="shared" ca="1" si="2"/>
        <v>2</v>
      </c>
      <c r="AY94" s="6">
        <f t="shared" ca="1" si="3"/>
        <v>2</v>
      </c>
      <c r="AZ94" s="9">
        <f t="shared" ca="1" si="4"/>
        <v>1</v>
      </c>
      <c r="BA94" s="6">
        <f t="shared" ca="1" si="5"/>
        <v>0</v>
      </c>
      <c r="BB94" s="6">
        <f t="shared" ca="1" si="6"/>
        <v>0</v>
      </c>
      <c r="BC94" s="9" t="str">
        <f t="shared" ca="1" si="7"/>
        <v/>
      </c>
      <c r="BD94" s="6">
        <f t="shared" ca="1" si="8"/>
        <v>0</v>
      </c>
      <c r="BE94" s="6">
        <f t="shared" ca="1" si="9"/>
        <v>0</v>
      </c>
      <c r="BF94" s="9" t="str">
        <f t="shared" ca="1" si="10"/>
        <v/>
      </c>
      <c r="BG94" s="6">
        <f t="shared" ca="1" si="11"/>
        <v>2</v>
      </c>
      <c r="BH94" s="6">
        <f t="shared" ca="1" si="12"/>
        <v>3</v>
      </c>
      <c r="BI94" s="9">
        <f t="shared" ca="1" si="13"/>
        <v>0.66666666666666663</v>
      </c>
      <c r="BJ94" s="6">
        <f t="shared" ca="1" si="14"/>
        <v>0</v>
      </c>
      <c r="BK94" s="6">
        <f t="shared" ca="1" si="15"/>
        <v>1</v>
      </c>
      <c r="BL94" s="6">
        <f t="shared" ca="1" si="16"/>
        <v>0</v>
      </c>
      <c r="BM94" s="6">
        <f t="shared" ca="1" si="17"/>
        <v>0</v>
      </c>
      <c r="BN94" s="6">
        <f t="shared" ca="1" si="18"/>
        <v>1</v>
      </c>
      <c r="BP94" s="6">
        <f t="shared" ca="1" si="19"/>
        <v>0</v>
      </c>
      <c r="BQ94" s="6" t="b">
        <f ca="1">IFERROR(__xludf.DUMMYFUNCTION("IF(AND(ISERROR(FILTER('Items by Team'!D$2:D3410,'Items by Team'!C$2:C3410 = D94,'Items by Team'!B$2:B3410 = B94)),NOT(A94=""Practice"")),TRUE,FALSE)"),FALSE)</f>
        <v>0</v>
      </c>
      <c r="BR94" s="6" t="e">
        <f t="shared" ca="1" si="20"/>
        <v>#VALUE!</v>
      </c>
    </row>
    <row r="95" spans="1:70">
      <c r="A95" s="6" t="str">
        <f ca="1">IFERROR(__xludf.DUMMYFUNCTION("""COMPUTED_VALUE"""),"Practice")</f>
        <v>Practice</v>
      </c>
      <c r="B95" s="6">
        <f ca="1">IFERROR(__xludf.DUMMYFUNCTION("""COMPUTED_VALUE"""),16)</f>
        <v>16</v>
      </c>
      <c r="C95" s="6" t="str">
        <f ca="1">IFERROR(__xludf.DUMMYFUNCTION("""COMPUTED_VALUE"""),"B3")</f>
        <v>B3</v>
      </c>
      <c r="D95" s="6">
        <f ca="1">IFERROR(__xludf.DUMMYFUNCTION("""COMPUTED_VALUE"""),4778)</f>
        <v>4778</v>
      </c>
      <c r="E95" s="6" t="b">
        <f ca="1">IFERROR(__xludf.DUMMYFUNCTION("""COMPUTED_VALUE"""),FALSE)</f>
        <v>0</v>
      </c>
      <c r="F95" s="6"/>
      <c r="G95" s="6" t="b">
        <f ca="1">IFERROR(__xludf.DUMMYFUNCTION("""COMPUTED_VALUE"""),TRUE)</f>
        <v>1</v>
      </c>
      <c r="H95" s="6" t="b">
        <f ca="1">IFERROR(__xludf.DUMMYFUNCTION("""COMPUTED_VALUE"""),FALSE)</f>
        <v>0</v>
      </c>
      <c r="I95" s="6">
        <f ca="1">IFERROR(__xludf.DUMMYFUNCTION("""COMPUTED_VALUE"""),0)</f>
        <v>0</v>
      </c>
      <c r="J95" s="6">
        <f ca="1">IFERROR(__xludf.DUMMYFUNCTION("""COMPUTED_VALUE"""),0)</f>
        <v>0</v>
      </c>
      <c r="K95" s="6">
        <f ca="1">IFERROR(__xludf.DUMMYFUNCTION("""COMPUTED_VALUE"""),0)</f>
        <v>0</v>
      </c>
      <c r="L95" s="6">
        <f ca="1">IFERROR(__xludf.DUMMYFUNCTION("""COMPUTED_VALUE"""),0)</f>
        <v>0</v>
      </c>
      <c r="M95" s="6">
        <f ca="1">IFERROR(__xludf.DUMMYFUNCTION("""COMPUTED_VALUE"""),0)</f>
        <v>0</v>
      </c>
      <c r="N95" s="6">
        <f ca="1">IFERROR(__xludf.DUMMYFUNCTION("""COMPUTED_VALUE"""),0)</f>
        <v>0</v>
      </c>
      <c r="O95" s="6">
        <f ca="1">IFERROR(__xludf.DUMMYFUNCTION("""COMPUTED_VALUE"""),0)</f>
        <v>0</v>
      </c>
      <c r="P95" s="6">
        <f ca="1">IFERROR(__xludf.DUMMYFUNCTION("""COMPUTED_VALUE"""),0)</f>
        <v>0</v>
      </c>
      <c r="R95" s="6">
        <f ca="1">IFERROR(__xludf.DUMMYFUNCTION("""COMPUTED_VALUE"""),0)</f>
        <v>0</v>
      </c>
      <c r="S95" s="6">
        <f ca="1">IFERROR(__xludf.DUMMYFUNCTION("""COMPUTED_VALUE"""),0)</f>
        <v>0</v>
      </c>
      <c r="T95" s="6">
        <f ca="1">IFERROR(__xludf.DUMMYFUNCTION("""COMPUTED_VALUE"""),0)</f>
        <v>0</v>
      </c>
      <c r="U95" s="6">
        <f ca="1">IFERROR(__xludf.DUMMYFUNCTION("""COMPUTED_VALUE"""),0)</f>
        <v>0</v>
      </c>
      <c r="V95" s="6">
        <f ca="1">IFERROR(__xludf.DUMMYFUNCTION("""COMPUTED_VALUE"""),0)</f>
        <v>0</v>
      </c>
      <c r="W95" s="6">
        <f ca="1">IFERROR(__xludf.DUMMYFUNCTION("""COMPUTED_VALUE"""),0)</f>
        <v>0</v>
      </c>
      <c r="X95" s="6">
        <f ca="1">IFERROR(__xludf.DUMMYFUNCTION("""COMPUTED_VALUE"""),2)</f>
        <v>2</v>
      </c>
      <c r="Y95" s="6">
        <f ca="1">IFERROR(__xludf.DUMMYFUNCTION("""COMPUTED_VALUE"""),0)</f>
        <v>0</v>
      </c>
      <c r="Z95" s="6">
        <f ca="1">IFERROR(__xludf.DUMMYFUNCTION("""COMPUTED_VALUE"""),0)</f>
        <v>0</v>
      </c>
      <c r="AA95" s="6">
        <f ca="1">IFERROR(__xludf.DUMMYFUNCTION("""COMPUTED_VALUE"""),0)</f>
        <v>0</v>
      </c>
      <c r="AB95" s="6" t="b">
        <f ca="1">IFERROR(__xludf.DUMMYFUNCTION("""COMPUTED_VALUE"""),FALSE)</f>
        <v>0</v>
      </c>
      <c r="AD95" s="6" t="b">
        <f ca="1">IFERROR(__xludf.DUMMYFUNCTION("""COMPUTED_VALUE"""),FALSE)</f>
        <v>0</v>
      </c>
      <c r="AE95" s="6">
        <f ca="1">IFERROR(__xludf.DUMMYFUNCTION("""COMPUTED_VALUE"""),1)</f>
        <v>1</v>
      </c>
      <c r="AF95" s="6">
        <f ca="1">IFERROR(__xludf.DUMMYFUNCTION("""COMPUTED_VALUE"""),2)</f>
        <v>2</v>
      </c>
      <c r="AG95" s="6">
        <f ca="1">IFERROR(__xludf.DUMMYFUNCTION("""COMPUTED_VALUE"""),2)</f>
        <v>2</v>
      </c>
      <c r="AH95" s="6">
        <f ca="1">IFERROR(__xludf.DUMMYFUNCTION("""COMPUTED_VALUE"""),0)</f>
        <v>0</v>
      </c>
      <c r="AI95" s="6">
        <f ca="1">IFERROR(__xludf.DUMMYFUNCTION("""COMPUTED_VALUE"""),0)</f>
        <v>0</v>
      </c>
      <c r="AK95" s="6" t="str">
        <f ca="1">IFERROR(__xludf.DUMMYFUNCTION("""COMPUTED_VALUE"""),"P")</f>
        <v>P</v>
      </c>
      <c r="AL95" s="6">
        <f ca="1">IFERROR(__xludf.DUMMYFUNCTION("""COMPUTED_VALUE"""),0)</f>
        <v>0</v>
      </c>
      <c r="AM95" s="6" t="b">
        <f ca="1">IFERROR(__xludf.DUMMYFUNCTION("""COMPUTED_VALUE"""),FALSE)</f>
        <v>0</v>
      </c>
      <c r="AN95" s="6" t="str">
        <f ca="1">IFERROR(__xludf.DUMMYFUNCTION("""COMPUTED_VALUE"""),"No")</f>
        <v>No</v>
      </c>
      <c r="AO95" s="6"/>
      <c r="AP95" s="6" t="str">
        <f ca="1">IFERROR(__xludf.DUMMYFUNCTION("""COMPUTED_VALUE"""),"x")</f>
        <v>x</v>
      </c>
      <c r="AQ95" s="6" t="b">
        <f ca="1">IFERROR(__xludf.DUMMYFUNCTION("""COMPUTED_VALUE"""),FALSE)</f>
        <v>0</v>
      </c>
      <c r="AR95" s="6" t="b">
        <f ca="1">IFERROR(__xludf.DUMMYFUNCTION("""COMPUTED_VALUE"""),FALSE)</f>
        <v>0</v>
      </c>
      <c r="AS95" s="15"/>
      <c r="AT95" s="6" t="str">
        <f ca="1">IFERROR(__xludf.DUMMYFUNCTION("SWITCH(IF(A95=""Practice"",AN95,FILTER('Items by Team'!E$2:E3410,'Items by Team'!C$2:C3410=D95,B95='Items by Team'!B$2:B3410)),""None"",""No"",""Parked"",""P"",""ShallowCage"",""Sc"",""DeepCage"",""Dc"",""No"",""No"",""P"",""P"",""Sc"",""Sc"",""Dc"",""Dc"&amp;""")"),"No")</f>
        <v>No</v>
      </c>
      <c r="AU95" s="6" t="str">
        <f ca="1">IFERROR(__xludf.DUMMYFUNCTION("SWITCH(IF(A95 = ""Practice"", H95, FILTER('Items by Team'!D$2:D3410,'Items by Team'!C$2:C3410 = D95,'Items by Team'!B$2:B3410 = B95)), ""Yes"", ""TRUE"", ""No"", ""FALSE"",TRUE, ""TRUE"", FALSE, ""FALSE"")"),"FALSE")</f>
        <v>FALSE</v>
      </c>
      <c r="AV95" s="6" t="str">
        <f t="shared" ca="1" si="0"/>
        <v/>
      </c>
      <c r="AW95" s="6">
        <f t="shared" ca="1" si="1"/>
        <v>0</v>
      </c>
      <c r="AX95" s="6">
        <f t="shared" ca="1" si="2"/>
        <v>0</v>
      </c>
      <c r="AY95" s="6">
        <f t="shared" ca="1" si="3"/>
        <v>0</v>
      </c>
      <c r="AZ95" s="9" t="str">
        <f t="shared" ca="1" si="4"/>
        <v/>
      </c>
      <c r="BA95" s="6">
        <f t="shared" ca="1" si="5"/>
        <v>0</v>
      </c>
      <c r="BB95" s="6">
        <f t="shared" ca="1" si="6"/>
        <v>0</v>
      </c>
      <c r="BC95" s="9" t="str">
        <f t="shared" ca="1" si="7"/>
        <v/>
      </c>
      <c r="BD95" s="6">
        <f t="shared" ca="1" si="8"/>
        <v>2</v>
      </c>
      <c r="BE95" s="6">
        <f t="shared" ca="1" si="9"/>
        <v>2</v>
      </c>
      <c r="BF95" s="9">
        <f t="shared" ca="1" si="10"/>
        <v>1</v>
      </c>
      <c r="BG95" s="6">
        <f t="shared" ca="1" si="11"/>
        <v>5</v>
      </c>
      <c r="BH95" s="6">
        <f t="shared" ca="1" si="12"/>
        <v>5</v>
      </c>
      <c r="BI95" s="9">
        <f t="shared" ca="1" si="13"/>
        <v>1</v>
      </c>
      <c r="BJ95" s="6">
        <f t="shared" ca="1" si="14"/>
        <v>0</v>
      </c>
      <c r="BK95" s="6">
        <f t="shared" ca="1" si="15"/>
        <v>0</v>
      </c>
      <c r="BL95" s="6">
        <f t="shared" ca="1" si="16"/>
        <v>0</v>
      </c>
      <c r="BM95" s="6">
        <f t="shared" ca="1" si="17"/>
        <v>0</v>
      </c>
      <c r="BN95" s="6">
        <f t="shared" ca="1" si="18"/>
        <v>0</v>
      </c>
      <c r="BP95" s="6">
        <f t="shared" ca="1" si="19"/>
        <v>0</v>
      </c>
      <c r="BQ95" s="6" t="b">
        <f ca="1">IFERROR(__xludf.DUMMYFUNCTION("IF(AND(ISERROR(FILTER('Items by Team'!D$2:D3410,'Items by Team'!C$2:C3410 = D95,'Items by Team'!B$2:B3410 = B95)),NOT(A95=""Practice"")),TRUE,FALSE)"),FALSE)</f>
        <v>0</v>
      </c>
      <c r="BR95" s="6" t="e">
        <f t="shared" ca="1" si="20"/>
        <v>#VALUE!</v>
      </c>
    </row>
    <row r="96" spans="1:70">
      <c r="A96" s="6" t="str">
        <f ca="1">IFERROR(__xludf.DUMMYFUNCTION("""COMPUTED_VALUE"""),"Practice")</f>
        <v>Practice</v>
      </c>
      <c r="B96" s="6">
        <f ca="1">IFERROR(__xludf.DUMMYFUNCTION("""COMPUTED_VALUE"""),17)</f>
        <v>17</v>
      </c>
      <c r="C96" s="6" t="str">
        <f ca="1">IFERROR(__xludf.DUMMYFUNCTION("""COMPUTED_VALUE"""),"B1")</f>
        <v>B1</v>
      </c>
      <c r="D96" s="6">
        <f ca="1">IFERROR(__xludf.DUMMYFUNCTION("""COMPUTED_VALUE"""),7068)</f>
        <v>7068</v>
      </c>
      <c r="E96" s="6" t="b">
        <f ca="1">IFERROR(__xludf.DUMMYFUNCTION("""COMPUTED_VALUE"""),TRUE)</f>
        <v>1</v>
      </c>
      <c r="F96" s="6" t="str">
        <f ca="1">IFERROR(__xludf.DUMMYFUNCTION("""COMPUTED_VALUE"""),"Red Barge")</f>
        <v>Red Barge</v>
      </c>
      <c r="G96" s="6" t="b">
        <f ca="1">IFERROR(__xludf.DUMMYFUNCTION("""COMPUTED_VALUE"""),TRUE)</f>
        <v>1</v>
      </c>
      <c r="H96" s="6" t="b">
        <f ca="1">IFERROR(__xludf.DUMMYFUNCTION("""COMPUTED_VALUE"""),FALSE)</f>
        <v>0</v>
      </c>
      <c r="I96" s="6">
        <f ca="1">IFERROR(__xludf.DUMMYFUNCTION("""COMPUTED_VALUE"""),0)</f>
        <v>0</v>
      </c>
      <c r="J96" s="6">
        <f ca="1">IFERROR(__xludf.DUMMYFUNCTION("""COMPUTED_VALUE"""),0)</f>
        <v>0</v>
      </c>
      <c r="K96" s="6">
        <f ca="1">IFERROR(__xludf.DUMMYFUNCTION("""COMPUTED_VALUE"""),0)</f>
        <v>0</v>
      </c>
      <c r="L96" s="6">
        <f ca="1">IFERROR(__xludf.DUMMYFUNCTION("""COMPUTED_VALUE"""),0)</f>
        <v>0</v>
      </c>
      <c r="M96" s="6">
        <f ca="1">IFERROR(__xludf.DUMMYFUNCTION("""COMPUTED_VALUE"""),0)</f>
        <v>0</v>
      </c>
      <c r="N96" s="6">
        <f ca="1">IFERROR(__xludf.DUMMYFUNCTION("""COMPUTED_VALUE"""),0)</f>
        <v>0</v>
      </c>
      <c r="O96" s="6">
        <f ca="1">IFERROR(__xludf.DUMMYFUNCTION("""COMPUTED_VALUE"""),0)</f>
        <v>0</v>
      </c>
      <c r="P96" s="6">
        <f ca="1">IFERROR(__xludf.DUMMYFUNCTION("""COMPUTED_VALUE"""),0)</f>
        <v>0</v>
      </c>
      <c r="R96" s="6">
        <f ca="1">IFERROR(__xludf.DUMMYFUNCTION("""COMPUTED_VALUE"""),0)</f>
        <v>0</v>
      </c>
      <c r="S96" s="6">
        <f ca="1">IFERROR(__xludf.DUMMYFUNCTION("""COMPUTED_VALUE"""),0)</f>
        <v>0</v>
      </c>
      <c r="T96" s="6">
        <f ca="1">IFERROR(__xludf.DUMMYFUNCTION("""COMPUTED_VALUE"""),0)</f>
        <v>0</v>
      </c>
      <c r="U96" s="6">
        <f ca="1">IFERROR(__xludf.DUMMYFUNCTION("""COMPUTED_VALUE"""),0)</f>
        <v>0</v>
      </c>
      <c r="V96" s="6">
        <f ca="1">IFERROR(__xludf.DUMMYFUNCTION("""COMPUTED_VALUE"""),0)</f>
        <v>0</v>
      </c>
      <c r="W96" s="6">
        <f ca="1">IFERROR(__xludf.DUMMYFUNCTION("""COMPUTED_VALUE"""),0)</f>
        <v>0</v>
      </c>
      <c r="X96" s="6">
        <f ca="1">IFERROR(__xludf.DUMMYFUNCTION("""COMPUTED_VALUE"""),0)</f>
        <v>0</v>
      </c>
      <c r="Y96" s="6">
        <f ca="1">IFERROR(__xludf.DUMMYFUNCTION("""COMPUTED_VALUE"""),0)</f>
        <v>0</v>
      </c>
      <c r="Z96" s="6">
        <f ca="1">IFERROR(__xludf.DUMMYFUNCTION("""COMPUTED_VALUE"""),0)</f>
        <v>0</v>
      </c>
      <c r="AA96" s="6">
        <f ca="1">IFERROR(__xludf.DUMMYFUNCTION("""COMPUTED_VALUE"""),0)</f>
        <v>0</v>
      </c>
      <c r="AB96" s="6" t="b">
        <f ca="1">IFERROR(__xludf.DUMMYFUNCTION("""COMPUTED_VALUE"""),FALSE)</f>
        <v>0</v>
      </c>
      <c r="AD96" s="6" t="b">
        <f ca="1">IFERROR(__xludf.DUMMYFUNCTION("""COMPUTED_VALUE"""),FALSE)</f>
        <v>0</v>
      </c>
      <c r="AE96" s="6">
        <f ca="1">IFERROR(__xludf.DUMMYFUNCTION("""COMPUTED_VALUE"""),0)</f>
        <v>0</v>
      </c>
      <c r="AF96" s="6">
        <f ca="1">IFERROR(__xludf.DUMMYFUNCTION("""COMPUTED_VALUE"""),0)</f>
        <v>0</v>
      </c>
      <c r="AG96" s="6">
        <f ca="1">IFERROR(__xludf.DUMMYFUNCTION("""COMPUTED_VALUE"""),0)</f>
        <v>0</v>
      </c>
      <c r="AH96" s="6">
        <f ca="1">IFERROR(__xludf.DUMMYFUNCTION("""COMPUTED_VALUE"""),0)</f>
        <v>0</v>
      </c>
      <c r="AI96" s="6">
        <f ca="1">IFERROR(__xludf.DUMMYFUNCTION("""COMPUTED_VALUE"""),0)</f>
        <v>0</v>
      </c>
      <c r="AK96" s="6" t="str">
        <f ca="1">IFERROR(__xludf.DUMMYFUNCTION("""COMPUTED_VALUE"""),"No")</f>
        <v>No</v>
      </c>
      <c r="AL96" s="6">
        <f ca="1">IFERROR(__xludf.DUMMYFUNCTION("""COMPUTED_VALUE"""),0)</f>
        <v>0</v>
      </c>
      <c r="AM96" s="6" t="b">
        <f ca="1">IFERROR(__xludf.DUMMYFUNCTION("""COMPUTED_VALUE"""),FALSE)</f>
        <v>0</v>
      </c>
      <c r="AN96" s="6" t="str">
        <f ca="1">IFERROR(__xludf.DUMMYFUNCTION("""COMPUTED_VALUE"""),"No")</f>
        <v>No</v>
      </c>
      <c r="AO96" s="6" t="str">
        <f ca="1">IFERROR(__xludf.DUMMYFUNCTION("""COMPUTED_VALUE"""),"they might have attempted shallow climb but I don't think they did.")</f>
        <v>they might have attempted shallow climb but I don't think they did.</v>
      </c>
      <c r="AP96" s="6" t="str">
        <f ca="1">IFERROR(__xludf.DUMMYFUNCTION("""COMPUTED_VALUE"""),"x")</f>
        <v>x</v>
      </c>
      <c r="AQ96" s="6" t="b">
        <f ca="1">IFERROR(__xludf.DUMMYFUNCTION("""COMPUTED_VALUE"""),FALSE)</f>
        <v>0</v>
      </c>
      <c r="AR96" s="6" t="b">
        <f ca="1">IFERROR(__xludf.DUMMYFUNCTION("""COMPUTED_VALUE"""),FALSE)</f>
        <v>0</v>
      </c>
      <c r="AS96" s="15"/>
      <c r="AT96" s="6" t="str">
        <f ca="1">IFERROR(__xludf.DUMMYFUNCTION("SWITCH(IF(A96=""Practice"",AN96,FILTER('Items by Team'!E$2:E3410,'Items by Team'!C$2:C3410=D96,B96='Items by Team'!B$2:B3410)),""None"",""No"",""Parked"",""P"",""ShallowCage"",""Sc"",""DeepCage"",""Dc"",""No"",""No"",""P"",""P"",""Sc"",""Sc"",""Dc"",""Dc"&amp;""")"),"No")</f>
        <v>No</v>
      </c>
      <c r="AU96" s="6" t="str">
        <f ca="1">IFERROR(__xludf.DUMMYFUNCTION("SWITCH(IF(A96 = ""Practice"", H96, FILTER('Items by Team'!D$2:D3410,'Items by Team'!C$2:C3410 = D96,'Items by Team'!B$2:B3410 = B96)), ""Yes"", ""TRUE"", ""No"", ""FALSE"",TRUE, ""TRUE"", FALSE, ""FALSE"")"),"FALSE")</f>
        <v>FALSE</v>
      </c>
      <c r="AV96" s="6" t="str">
        <f t="shared" ca="1" si="0"/>
        <v/>
      </c>
      <c r="AW96" s="6">
        <f t="shared" ca="1" si="1"/>
        <v>0</v>
      </c>
      <c r="AX96" s="6">
        <f t="shared" ca="1" si="2"/>
        <v>0</v>
      </c>
      <c r="AY96" s="6">
        <f t="shared" ca="1" si="3"/>
        <v>0</v>
      </c>
      <c r="AZ96" s="9" t="str">
        <f t="shared" ca="1" si="4"/>
        <v/>
      </c>
      <c r="BA96" s="6">
        <f t="shared" ca="1" si="5"/>
        <v>0</v>
      </c>
      <c r="BB96" s="6">
        <f t="shared" ca="1" si="6"/>
        <v>0</v>
      </c>
      <c r="BC96" s="9" t="str">
        <f t="shared" ca="1" si="7"/>
        <v/>
      </c>
      <c r="BD96" s="6">
        <f t="shared" ca="1" si="8"/>
        <v>0</v>
      </c>
      <c r="BE96" s="6">
        <f t="shared" ca="1" si="9"/>
        <v>0</v>
      </c>
      <c r="BF96" s="9" t="str">
        <f t="shared" ca="1" si="10"/>
        <v/>
      </c>
      <c r="BG96" s="6">
        <f t="shared" ca="1" si="11"/>
        <v>0</v>
      </c>
      <c r="BH96" s="6">
        <f t="shared" ca="1" si="12"/>
        <v>0</v>
      </c>
      <c r="BI96" s="9" t="str">
        <f t="shared" ca="1" si="13"/>
        <v/>
      </c>
      <c r="BJ96" s="6">
        <f t="shared" ca="1" si="14"/>
        <v>0</v>
      </c>
      <c r="BK96" s="6">
        <f t="shared" ca="1" si="15"/>
        <v>0</v>
      </c>
      <c r="BL96" s="6">
        <f t="shared" ca="1" si="16"/>
        <v>0</v>
      </c>
      <c r="BM96" s="6">
        <f t="shared" ca="1" si="17"/>
        <v>0</v>
      </c>
      <c r="BN96" s="6">
        <f t="shared" ca="1" si="18"/>
        <v>0</v>
      </c>
      <c r="BP96" s="6">
        <f t="shared" ca="1" si="19"/>
        <v>0</v>
      </c>
      <c r="BQ96" s="6" t="b">
        <f ca="1">IFERROR(__xludf.DUMMYFUNCTION("IF(AND(ISERROR(FILTER('Items by Team'!D$2:D3410,'Items by Team'!C$2:C3410 = D96,'Items by Team'!B$2:B3410 = B96)),NOT(A96=""Practice"")),TRUE,FALSE)"),FALSE)</f>
        <v>0</v>
      </c>
      <c r="BR96" s="6" t="e">
        <f t="shared" ca="1" si="20"/>
        <v>#VALUE!</v>
      </c>
    </row>
    <row r="97" spans="1:70">
      <c r="A97" s="6" t="str">
        <f ca="1">IFERROR(__xludf.DUMMYFUNCTION("""COMPUTED_VALUE"""),"Practice")</f>
        <v>Practice</v>
      </c>
      <c r="B97" s="6">
        <f ca="1">IFERROR(__xludf.DUMMYFUNCTION("""COMPUTED_VALUE"""),18)</f>
        <v>18</v>
      </c>
      <c r="C97" s="6" t="str">
        <f ca="1">IFERROR(__xludf.DUMMYFUNCTION("""COMPUTED_VALUE"""),"B2")</f>
        <v>B2</v>
      </c>
      <c r="D97" s="6">
        <f ca="1">IFERROR(__xludf.DUMMYFUNCTION("""COMPUTED_VALUE"""),2502)</f>
        <v>2502</v>
      </c>
      <c r="E97" s="6" t="b">
        <f ca="1">IFERROR(__xludf.DUMMYFUNCTION("""COMPUTED_VALUE"""),FALSE)</f>
        <v>0</v>
      </c>
      <c r="F97" s="6" t="str">
        <f ca="1">IFERROR(__xludf.DUMMYFUNCTION("""COMPUTED_VALUE"""),"Middle")</f>
        <v>Middle</v>
      </c>
      <c r="G97" s="6" t="b">
        <f ca="1">IFERROR(__xludf.DUMMYFUNCTION("""COMPUTED_VALUE"""),TRUE)</f>
        <v>1</v>
      </c>
      <c r="H97" s="6" t="b">
        <f ca="1">IFERROR(__xludf.DUMMYFUNCTION("""COMPUTED_VALUE"""),FALSE)</f>
        <v>0</v>
      </c>
      <c r="I97" s="6">
        <f ca="1">IFERROR(__xludf.DUMMYFUNCTION("""COMPUTED_VALUE"""),0)</f>
        <v>0</v>
      </c>
      <c r="J97" s="6">
        <f ca="1">IFERROR(__xludf.DUMMYFUNCTION("""COMPUTED_VALUE"""),0)</f>
        <v>0</v>
      </c>
      <c r="K97" s="6">
        <f ca="1">IFERROR(__xludf.DUMMYFUNCTION("""COMPUTED_VALUE"""),0)</f>
        <v>0</v>
      </c>
      <c r="L97" s="6">
        <f ca="1">IFERROR(__xludf.DUMMYFUNCTION("""COMPUTED_VALUE"""),0)</f>
        <v>0</v>
      </c>
      <c r="M97" s="6">
        <f ca="1">IFERROR(__xludf.DUMMYFUNCTION("""COMPUTED_VALUE"""),0)</f>
        <v>0</v>
      </c>
      <c r="N97" s="6">
        <f ca="1">IFERROR(__xludf.DUMMYFUNCTION("""COMPUTED_VALUE"""),0)</f>
        <v>0</v>
      </c>
      <c r="O97" s="6">
        <f ca="1">IFERROR(__xludf.DUMMYFUNCTION("""COMPUTED_VALUE"""),0)</f>
        <v>0</v>
      </c>
      <c r="P97" s="6">
        <f ca="1">IFERROR(__xludf.DUMMYFUNCTION("""COMPUTED_VALUE"""),1)</f>
        <v>1</v>
      </c>
      <c r="R97" s="6">
        <f ca="1">IFERROR(__xludf.DUMMYFUNCTION("""COMPUTED_VALUE"""),0)</f>
        <v>0</v>
      </c>
      <c r="S97" s="6">
        <f ca="1">IFERROR(__xludf.DUMMYFUNCTION("""COMPUTED_VALUE"""),0)</f>
        <v>0</v>
      </c>
      <c r="T97" s="6">
        <f ca="1">IFERROR(__xludf.DUMMYFUNCTION("""COMPUTED_VALUE"""),0)</f>
        <v>0</v>
      </c>
      <c r="U97" s="6">
        <f ca="1">IFERROR(__xludf.DUMMYFUNCTION("""COMPUTED_VALUE"""),0)</f>
        <v>0</v>
      </c>
      <c r="V97" s="6">
        <f ca="1">IFERROR(__xludf.DUMMYFUNCTION("""COMPUTED_VALUE"""),0)</f>
        <v>0</v>
      </c>
      <c r="W97" s="6">
        <f ca="1">IFERROR(__xludf.DUMMYFUNCTION("""COMPUTED_VALUE"""),0)</f>
        <v>0</v>
      </c>
      <c r="X97" s="6">
        <f ca="1">IFERROR(__xludf.DUMMYFUNCTION("""COMPUTED_VALUE"""),0)</f>
        <v>0</v>
      </c>
      <c r="Y97" s="6">
        <f ca="1">IFERROR(__xludf.DUMMYFUNCTION("""COMPUTED_VALUE"""),0)</f>
        <v>0</v>
      </c>
      <c r="Z97" s="6">
        <f ca="1">IFERROR(__xludf.DUMMYFUNCTION("""COMPUTED_VALUE"""),0)</f>
        <v>0</v>
      </c>
      <c r="AA97" s="6">
        <f ca="1">IFERROR(__xludf.DUMMYFUNCTION("""COMPUTED_VALUE"""),0)</f>
        <v>0</v>
      </c>
      <c r="AB97" s="6" t="b">
        <f ca="1">IFERROR(__xludf.DUMMYFUNCTION("""COMPUTED_VALUE"""),FALSE)</f>
        <v>0</v>
      </c>
      <c r="AD97" s="6" t="b">
        <f ca="1">IFERROR(__xludf.DUMMYFUNCTION("""COMPUTED_VALUE"""),FALSE)</f>
        <v>0</v>
      </c>
      <c r="AE97" s="6">
        <f ca="1">IFERROR(__xludf.DUMMYFUNCTION("""COMPUTED_VALUE"""),5)</f>
        <v>5</v>
      </c>
      <c r="AF97" s="6">
        <f ca="1">IFERROR(__xludf.DUMMYFUNCTION("""COMPUTED_VALUE"""),2)</f>
        <v>2</v>
      </c>
      <c r="AG97" s="6">
        <f ca="1">IFERROR(__xludf.DUMMYFUNCTION("""COMPUTED_VALUE"""),0)</f>
        <v>0</v>
      </c>
      <c r="AH97" s="6">
        <f ca="1">IFERROR(__xludf.DUMMYFUNCTION("""COMPUTED_VALUE"""),0)</f>
        <v>0</v>
      </c>
      <c r="AI97" s="6">
        <f ca="1">IFERROR(__xludf.DUMMYFUNCTION("""COMPUTED_VALUE"""),3)</f>
        <v>3</v>
      </c>
      <c r="AK97" s="6" t="str">
        <f ca="1">IFERROR(__xludf.DUMMYFUNCTION("""COMPUTED_VALUE"""),"Dc")</f>
        <v>Dc</v>
      </c>
      <c r="AL97" s="6">
        <f ca="1">IFERROR(__xludf.DUMMYFUNCTION("""COMPUTED_VALUE"""),0)</f>
        <v>0</v>
      </c>
      <c r="AM97" s="6" t="b">
        <f ca="1">IFERROR(__xludf.DUMMYFUNCTION("""COMPUTED_VALUE"""),FALSE)</f>
        <v>0</v>
      </c>
      <c r="AN97" s="6" t="str">
        <f ca="1">IFERROR(__xludf.DUMMYFUNCTION("""COMPUTED_VALUE"""),"P")</f>
        <v>P</v>
      </c>
      <c r="AO97" s="6"/>
      <c r="AP97" s="6" t="str">
        <f ca="1">IFERROR(__xludf.DUMMYFUNCTION("""COMPUTED_VALUE"""),"2")</f>
        <v>2</v>
      </c>
      <c r="AQ97" s="6" t="b">
        <f ca="1">IFERROR(__xludf.DUMMYFUNCTION("""COMPUTED_VALUE"""),FALSE)</f>
        <v>0</v>
      </c>
      <c r="AR97" s="6" t="b">
        <f ca="1">IFERROR(__xludf.DUMMYFUNCTION("""COMPUTED_VALUE"""),FALSE)</f>
        <v>0</v>
      </c>
      <c r="AS97" s="15"/>
      <c r="AT97" s="6" t="str">
        <f ca="1">IFERROR(__xludf.DUMMYFUNCTION("SWITCH(IF(A97=""Practice"",AN97,FILTER('Items by Team'!E$2:E3410,'Items by Team'!C$2:C3410=D97,B97='Items by Team'!B$2:B3410)),""None"",""No"",""Parked"",""P"",""ShallowCage"",""Sc"",""DeepCage"",""Dc"",""No"",""No"",""P"",""P"",""Sc"",""Sc"",""Dc"",""Dc"&amp;""")"),"P")</f>
        <v>P</v>
      </c>
      <c r="AU97" s="6" t="str">
        <f ca="1">IFERROR(__xludf.DUMMYFUNCTION("SWITCH(IF(A97 = ""Practice"", H97, FILTER('Items by Team'!D$2:D3410,'Items by Team'!C$2:C3410 = D97,'Items by Team'!B$2:B3410 = B97)), ""Yes"", ""TRUE"", ""No"", ""FALSE"",TRUE, ""TRUE"", FALSE, ""FALSE"")"),"FALSE")</f>
        <v>FALSE</v>
      </c>
      <c r="AV97" s="6">
        <f t="shared" ca="1" si="0"/>
        <v>2</v>
      </c>
      <c r="AW97" s="6">
        <f t="shared" ca="1" si="1"/>
        <v>0</v>
      </c>
      <c r="AX97" s="6">
        <f t="shared" ca="1" si="2"/>
        <v>0</v>
      </c>
      <c r="AY97" s="6">
        <f t="shared" ca="1" si="3"/>
        <v>1</v>
      </c>
      <c r="AZ97" s="9">
        <f t="shared" ca="1" si="4"/>
        <v>0</v>
      </c>
      <c r="BA97" s="6">
        <f t="shared" ca="1" si="5"/>
        <v>0</v>
      </c>
      <c r="BB97" s="6">
        <f t="shared" ca="1" si="6"/>
        <v>0</v>
      </c>
      <c r="BC97" s="9" t="str">
        <f t="shared" ca="1" si="7"/>
        <v/>
      </c>
      <c r="BD97" s="6">
        <f t="shared" ca="1" si="8"/>
        <v>0</v>
      </c>
      <c r="BE97" s="6">
        <f t="shared" ca="1" si="9"/>
        <v>0</v>
      </c>
      <c r="BF97" s="9" t="str">
        <f t="shared" ca="1" si="10"/>
        <v/>
      </c>
      <c r="BG97" s="6">
        <f t="shared" ca="1" si="11"/>
        <v>7</v>
      </c>
      <c r="BH97" s="6">
        <f t="shared" ca="1" si="12"/>
        <v>10</v>
      </c>
      <c r="BI97" s="9">
        <f t="shared" ca="1" si="13"/>
        <v>0.7</v>
      </c>
      <c r="BJ97" s="6">
        <f t="shared" ca="1" si="14"/>
        <v>0</v>
      </c>
      <c r="BK97" s="6">
        <f t="shared" ca="1" si="15"/>
        <v>0</v>
      </c>
      <c r="BL97" s="6">
        <f t="shared" ca="1" si="16"/>
        <v>0</v>
      </c>
      <c r="BM97" s="6">
        <f t="shared" ca="1" si="17"/>
        <v>0</v>
      </c>
      <c r="BN97" s="6">
        <f t="shared" ca="1" si="18"/>
        <v>0</v>
      </c>
      <c r="BP97" s="6">
        <f t="shared" ca="1" si="19"/>
        <v>0</v>
      </c>
      <c r="BQ97" s="6" t="b">
        <f ca="1">IFERROR(__xludf.DUMMYFUNCTION("IF(AND(ISERROR(FILTER('Items by Team'!D$2:D3410,'Items by Team'!C$2:C3410 = D97,'Items by Team'!B$2:B3410 = B97)),NOT(A97=""Practice"")),TRUE,FALSE)"),FALSE)</f>
        <v>0</v>
      </c>
      <c r="BR97" s="6">
        <f t="shared" ca="1" si="20"/>
        <v>2</v>
      </c>
    </row>
    <row r="98" spans="1:70">
      <c r="A98" s="6" t="str">
        <f ca="1">IFERROR(__xludf.DUMMYFUNCTION("""COMPUTED_VALUE"""),"Practice")</f>
        <v>Practice</v>
      </c>
      <c r="B98" s="6">
        <f ca="1">IFERROR(__xludf.DUMMYFUNCTION("""COMPUTED_VALUE"""),18)</f>
        <v>18</v>
      </c>
      <c r="C98" s="6" t="str">
        <f ca="1">IFERROR(__xludf.DUMMYFUNCTION("""COMPUTED_VALUE"""),"B1")</f>
        <v>B1</v>
      </c>
      <c r="D98" s="6">
        <f ca="1">IFERROR(__xludf.DUMMYFUNCTION("""COMPUTED_VALUE"""),2472)</f>
        <v>2472</v>
      </c>
      <c r="E98" s="6" t="b">
        <f ca="1">IFERROR(__xludf.DUMMYFUNCTION("""COMPUTED_VALUE"""),FALSE)</f>
        <v>0</v>
      </c>
      <c r="F98" s="6" t="str">
        <f ca="1">IFERROR(__xludf.DUMMYFUNCTION("""COMPUTED_VALUE"""),"Blue Barge")</f>
        <v>Blue Barge</v>
      </c>
      <c r="G98" s="6" t="b">
        <f ca="1">IFERROR(__xludf.DUMMYFUNCTION("""COMPUTED_VALUE"""),TRUE)</f>
        <v>1</v>
      </c>
      <c r="H98" s="6" t="b">
        <f ca="1">IFERROR(__xludf.DUMMYFUNCTION("""COMPUTED_VALUE"""),TRUE)</f>
        <v>1</v>
      </c>
      <c r="I98" s="6">
        <f ca="1">IFERROR(__xludf.DUMMYFUNCTION("""COMPUTED_VALUE"""),0)</f>
        <v>0</v>
      </c>
      <c r="J98" s="6">
        <f ca="1">IFERROR(__xludf.DUMMYFUNCTION("""COMPUTED_VALUE"""),0)</f>
        <v>0</v>
      </c>
      <c r="K98" s="6">
        <f ca="1">IFERROR(__xludf.DUMMYFUNCTION("""COMPUTED_VALUE"""),0)</f>
        <v>0</v>
      </c>
      <c r="L98" s="6">
        <f ca="1">IFERROR(__xludf.DUMMYFUNCTION("""COMPUTED_VALUE"""),1)</f>
        <v>1</v>
      </c>
      <c r="M98" s="6">
        <f ca="1">IFERROR(__xludf.DUMMYFUNCTION("""COMPUTED_VALUE"""),0)</f>
        <v>0</v>
      </c>
      <c r="N98" s="6">
        <f ca="1">IFERROR(__xludf.DUMMYFUNCTION("""COMPUTED_VALUE"""),0)</f>
        <v>0</v>
      </c>
      <c r="O98" s="6">
        <f ca="1">IFERROR(__xludf.DUMMYFUNCTION("""COMPUTED_VALUE"""),0)</f>
        <v>0</v>
      </c>
      <c r="P98" s="6">
        <f ca="1">IFERROR(__xludf.DUMMYFUNCTION("""COMPUTED_VALUE"""),0)</f>
        <v>0</v>
      </c>
      <c r="R98" s="6">
        <f ca="1">IFERROR(__xludf.DUMMYFUNCTION("""COMPUTED_VALUE"""),0)</f>
        <v>0</v>
      </c>
      <c r="S98" s="6">
        <f ca="1">IFERROR(__xludf.DUMMYFUNCTION("""COMPUTED_VALUE"""),0)</f>
        <v>0</v>
      </c>
      <c r="T98" s="6">
        <f ca="1">IFERROR(__xludf.DUMMYFUNCTION("""COMPUTED_VALUE"""),0)</f>
        <v>0</v>
      </c>
      <c r="U98" s="6">
        <f ca="1">IFERROR(__xludf.DUMMYFUNCTION("""COMPUTED_VALUE"""),0)</f>
        <v>0</v>
      </c>
      <c r="V98" s="6">
        <f ca="1">IFERROR(__xludf.DUMMYFUNCTION("""COMPUTED_VALUE"""),0)</f>
        <v>0</v>
      </c>
      <c r="W98" s="6">
        <f ca="1">IFERROR(__xludf.DUMMYFUNCTION("""COMPUTED_VALUE"""),1)</f>
        <v>1</v>
      </c>
      <c r="X98" s="6">
        <f ca="1">IFERROR(__xludf.DUMMYFUNCTION("""COMPUTED_VALUE"""),0)</f>
        <v>0</v>
      </c>
      <c r="Y98" s="6">
        <f ca="1">IFERROR(__xludf.DUMMYFUNCTION("""COMPUTED_VALUE"""),0)</f>
        <v>0</v>
      </c>
      <c r="Z98" s="6">
        <f ca="1">IFERROR(__xludf.DUMMYFUNCTION("""COMPUTED_VALUE"""),0)</f>
        <v>0</v>
      </c>
      <c r="AA98" s="6">
        <f ca="1">IFERROR(__xludf.DUMMYFUNCTION("""COMPUTED_VALUE"""),0)</f>
        <v>0</v>
      </c>
      <c r="AB98" s="6" t="b">
        <f ca="1">IFERROR(__xludf.DUMMYFUNCTION("""COMPUTED_VALUE"""),TRUE)</f>
        <v>1</v>
      </c>
      <c r="AD98" s="6" t="b">
        <f ca="1">IFERROR(__xludf.DUMMYFUNCTION("""COMPUTED_VALUE"""),FALSE)</f>
        <v>0</v>
      </c>
      <c r="AE98" s="6">
        <f ca="1">IFERROR(__xludf.DUMMYFUNCTION("""COMPUTED_VALUE"""),6)</f>
        <v>6</v>
      </c>
      <c r="AF98" s="6">
        <f ca="1">IFERROR(__xludf.DUMMYFUNCTION("""COMPUTED_VALUE"""),5)</f>
        <v>5</v>
      </c>
      <c r="AG98" s="6">
        <f ca="1">IFERROR(__xludf.DUMMYFUNCTION("""COMPUTED_VALUE"""),2)</f>
        <v>2</v>
      </c>
      <c r="AH98" s="6">
        <f ca="1">IFERROR(__xludf.DUMMYFUNCTION("""COMPUTED_VALUE"""),0)</f>
        <v>0</v>
      </c>
      <c r="AI98" s="6">
        <f ca="1">IFERROR(__xludf.DUMMYFUNCTION("""COMPUTED_VALUE"""),2)</f>
        <v>2</v>
      </c>
      <c r="AK98" s="6" t="str">
        <f ca="1">IFERROR(__xludf.DUMMYFUNCTION("""COMPUTED_VALUE"""),"P")</f>
        <v>P</v>
      </c>
      <c r="AL98" s="6">
        <f ca="1">IFERROR(__xludf.DUMMYFUNCTION("""COMPUTED_VALUE"""),0)</f>
        <v>0</v>
      </c>
      <c r="AM98" s="6" t="b">
        <f ca="1">IFERROR(__xludf.DUMMYFUNCTION("""COMPUTED_VALUE"""),FALSE)</f>
        <v>0</v>
      </c>
      <c r="AN98" s="6" t="str">
        <f ca="1">IFERROR(__xludf.DUMMYFUNCTION("""COMPUTED_VALUE"""),"P")</f>
        <v>P</v>
      </c>
      <c r="AO98" s="6"/>
      <c r="AP98" s="6" t="str">
        <f ca="1">IFERROR(__xludf.DUMMYFUNCTION("""COMPUTED_VALUE"""),"x")</f>
        <v>x</v>
      </c>
      <c r="AQ98" s="6" t="b">
        <f ca="1">IFERROR(__xludf.DUMMYFUNCTION("""COMPUTED_VALUE"""),FALSE)</f>
        <v>0</v>
      </c>
      <c r="AR98" s="6" t="b">
        <f ca="1">IFERROR(__xludf.DUMMYFUNCTION("""COMPUTED_VALUE"""),FALSE)</f>
        <v>0</v>
      </c>
      <c r="AS98" s="15"/>
      <c r="AT98" s="6" t="str">
        <f ca="1">IFERROR(__xludf.DUMMYFUNCTION("SWITCH(IF(A98=""Practice"",AN98,FILTER('Items by Team'!E$2:E3410,'Items by Team'!C$2:C3410=D98,B98='Items by Team'!B$2:B3410)),""None"",""No"",""Parked"",""P"",""ShallowCage"",""Sc"",""DeepCage"",""Dc"",""No"",""No"",""P"",""P"",""Sc"",""Sc"",""Dc"",""Dc"&amp;""")"),"P")</f>
        <v>P</v>
      </c>
      <c r="AU98" s="6" t="str">
        <f ca="1">IFERROR(__xludf.DUMMYFUNCTION("SWITCH(IF(A98 = ""Practice"", H98, FILTER('Items by Team'!D$2:D3410,'Items by Team'!C$2:C3410 = D98,'Items by Team'!B$2:B3410 = B98)), ""Yes"", ""TRUE"", ""No"", ""FALSE"",TRUE, ""TRUE"", FALSE, ""FALSE"")"),"TRUE")</f>
        <v>TRUE</v>
      </c>
      <c r="AV98" s="6" t="str">
        <f t="shared" ca="1" si="0"/>
        <v/>
      </c>
      <c r="AW98" s="6">
        <f t="shared" ca="1" si="1"/>
        <v>1</v>
      </c>
      <c r="AX98" s="6">
        <f t="shared" ca="1" si="2"/>
        <v>1</v>
      </c>
      <c r="AY98" s="6">
        <f t="shared" ca="1" si="3"/>
        <v>1</v>
      </c>
      <c r="AZ98" s="9">
        <f t="shared" ca="1" si="4"/>
        <v>1</v>
      </c>
      <c r="BA98" s="6">
        <f t="shared" ca="1" si="5"/>
        <v>0</v>
      </c>
      <c r="BB98" s="6">
        <f t="shared" ca="1" si="6"/>
        <v>0</v>
      </c>
      <c r="BC98" s="9" t="str">
        <f t="shared" ca="1" si="7"/>
        <v/>
      </c>
      <c r="BD98" s="6">
        <f t="shared" ca="1" si="8"/>
        <v>0</v>
      </c>
      <c r="BE98" s="6">
        <f t="shared" ca="1" si="9"/>
        <v>0</v>
      </c>
      <c r="BF98" s="9" t="str">
        <f t="shared" ca="1" si="10"/>
        <v/>
      </c>
      <c r="BG98" s="6">
        <f t="shared" ca="1" si="11"/>
        <v>13</v>
      </c>
      <c r="BH98" s="6">
        <f t="shared" ca="1" si="12"/>
        <v>15</v>
      </c>
      <c r="BI98" s="9">
        <f t="shared" ca="1" si="13"/>
        <v>0.8666666666666667</v>
      </c>
      <c r="BJ98" s="6">
        <f t="shared" ca="1" si="14"/>
        <v>0</v>
      </c>
      <c r="BK98" s="6">
        <f t="shared" ca="1" si="15"/>
        <v>0</v>
      </c>
      <c r="BL98" s="6">
        <f t="shared" ca="1" si="16"/>
        <v>0</v>
      </c>
      <c r="BM98" s="6">
        <f t="shared" ca="1" si="17"/>
        <v>0</v>
      </c>
      <c r="BN98" s="6">
        <f t="shared" ca="1" si="18"/>
        <v>1</v>
      </c>
      <c r="BP98" s="6">
        <f t="shared" ca="1" si="19"/>
        <v>0</v>
      </c>
      <c r="BQ98" s="6" t="b">
        <f ca="1">IFERROR(__xludf.DUMMYFUNCTION("IF(AND(ISERROR(FILTER('Items by Team'!D$2:D3410,'Items by Team'!C$2:C3410 = D98,'Items by Team'!B$2:B3410 = B98)),NOT(A98=""Practice"")),TRUE,FALSE)"),FALSE)</f>
        <v>0</v>
      </c>
      <c r="BR98" s="6" t="e">
        <f t="shared" ca="1" si="20"/>
        <v>#VALUE!</v>
      </c>
    </row>
    <row r="99" spans="1:70">
      <c r="A99" s="6" t="str">
        <f ca="1">IFERROR(__xludf.DUMMYFUNCTION("""COMPUTED_VALUE"""),"Practice")</f>
        <v>Practice</v>
      </c>
      <c r="B99" s="6">
        <f ca="1">IFERROR(__xludf.DUMMYFUNCTION("""COMPUTED_VALUE"""),18)</f>
        <v>18</v>
      </c>
      <c r="C99" s="6" t="str">
        <f ca="1">IFERROR(__xludf.DUMMYFUNCTION("""COMPUTED_VALUE"""),"R1")</f>
        <v>R1</v>
      </c>
      <c r="D99" s="6">
        <f ca="1">IFERROR(__xludf.DUMMYFUNCTION("""COMPUTED_VALUE"""),5464)</f>
        <v>5464</v>
      </c>
      <c r="E99" s="6" t="b">
        <f ca="1">IFERROR(__xludf.DUMMYFUNCTION("""COMPUTED_VALUE"""),FALSE)</f>
        <v>0</v>
      </c>
      <c r="F99" s="6" t="str">
        <f ca="1">IFERROR(__xludf.DUMMYFUNCTION("""COMPUTED_VALUE"""),"Middle")</f>
        <v>Middle</v>
      </c>
      <c r="G99" s="6" t="b">
        <f ca="1">IFERROR(__xludf.DUMMYFUNCTION("""COMPUTED_VALUE"""),TRUE)</f>
        <v>1</v>
      </c>
      <c r="H99" s="6" t="b">
        <f ca="1">IFERROR(__xludf.DUMMYFUNCTION("""COMPUTED_VALUE"""),TRUE)</f>
        <v>1</v>
      </c>
      <c r="I99" s="6">
        <f ca="1">IFERROR(__xludf.DUMMYFUNCTION("""COMPUTED_VALUE"""),1)</f>
        <v>1</v>
      </c>
      <c r="J99" s="6">
        <f ca="1">IFERROR(__xludf.DUMMYFUNCTION("""COMPUTED_VALUE"""),0)</f>
        <v>0</v>
      </c>
      <c r="K99" s="6">
        <f ca="1">IFERROR(__xludf.DUMMYFUNCTION("""COMPUTED_VALUE"""),0)</f>
        <v>0</v>
      </c>
      <c r="L99" s="6">
        <f ca="1">IFERROR(__xludf.DUMMYFUNCTION("""COMPUTED_VALUE"""),0)</f>
        <v>0</v>
      </c>
      <c r="M99" s="6">
        <f ca="1">IFERROR(__xludf.DUMMYFUNCTION("""COMPUTED_VALUE"""),0)</f>
        <v>0</v>
      </c>
      <c r="N99" s="6">
        <f ca="1">IFERROR(__xludf.DUMMYFUNCTION("""COMPUTED_VALUE"""),0)</f>
        <v>0</v>
      </c>
      <c r="O99" s="6">
        <f ca="1">IFERROR(__xludf.DUMMYFUNCTION("""COMPUTED_VALUE"""),0)</f>
        <v>0</v>
      </c>
      <c r="P99" s="6">
        <f ca="1">IFERROR(__xludf.DUMMYFUNCTION("""COMPUTED_VALUE"""),2)</f>
        <v>2</v>
      </c>
      <c r="R99" s="6">
        <f ca="1">IFERROR(__xludf.DUMMYFUNCTION("""COMPUTED_VALUE"""),0)</f>
        <v>0</v>
      </c>
      <c r="S99" s="6">
        <f ca="1">IFERROR(__xludf.DUMMYFUNCTION("""COMPUTED_VALUE"""),0)</f>
        <v>0</v>
      </c>
      <c r="T99" s="6">
        <f ca="1">IFERROR(__xludf.DUMMYFUNCTION("""COMPUTED_VALUE"""),0)</f>
        <v>0</v>
      </c>
      <c r="U99" s="6">
        <f ca="1">IFERROR(__xludf.DUMMYFUNCTION("""COMPUTED_VALUE"""),0)</f>
        <v>0</v>
      </c>
      <c r="V99" s="6">
        <f ca="1">IFERROR(__xludf.DUMMYFUNCTION("""COMPUTED_VALUE"""),0)</f>
        <v>0</v>
      </c>
      <c r="W99" s="6">
        <f ca="1">IFERROR(__xludf.DUMMYFUNCTION("""COMPUTED_VALUE"""),0)</f>
        <v>0</v>
      </c>
      <c r="X99" s="6">
        <f ca="1">IFERROR(__xludf.DUMMYFUNCTION("""COMPUTED_VALUE"""),0)</f>
        <v>0</v>
      </c>
      <c r="Y99" s="6">
        <f ca="1">IFERROR(__xludf.DUMMYFUNCTION("""COMPUTED_VALUE"""),0)</f>
        <v>0</v>
      </c>
      <c r="Z99" s="6">
        <f ca="1">IFERROR(__xludf.DUMMYFUNCTION("""COMPUTED_VALUE"""),0)</f>
        <v>0</v>
      </c>
      <c r="AA99" s="6">
        <f ca="1">IFERROR(__xludf.DUMMYFUNCTION("""COMPUTED_VALUE"""),0)</f>
        <v>0</v>
      </c>
      <c r="AB99" s="6" t="b">
        <f ca="1">IFERROR(__xludf.DUMMYFUNCTION("""COMPUTED_VALUE"""),TRUE)</f>
        <v>1</v>
      </c>
      <c r="AD99" s="6" t="b">
        <f ca="1">IFERROR(__xludf.DUMMYFUNCTION("""COMPUTED_VALUE"""),FALSE)</f>
        <v>0</v>
      </c>
      <c r="AE99" s="6">
        <f ca="1">IFERROR(__xludf.DUMMYFUNCTION("""COMPUTED_VALUE"""),2)</f>
        <v>2</v>
      </c>
      <c r="AF99" s="6">
        <f ca="1">IFERROR(__xludf.DUMMYFUNCTION("""COMPUTED_VALUE"""),0)</f>
        <v>0</v>
      </c>
      <c r="AG99" s="6">
        <f ca="1">IFERROR(__xludf.DUMMYFUNCTION("""COMPUTED_VALUE"""),0)</f>
        <v>0</v>
      </c>
      <c r="AH99" s="6">
        <f ca="1">IFERROR(__xludf.DUMMYFUNCTION("""COMPUTED_VALUE"""),0)</f>
        <v>0</v>
      </c>
      <c r="AI99" s="6">
        <f ca="1">IFERROR(__xludf.DUMMYFUNCTION("""COMPUTED_VALUE"""),3)</f>
        <v>3</v>
      </c>
      <c r="AK99" s="6" t="str">
        <f ca="1">IFERROR(__xludf.DUMMYFUNCTION("""COMPUTED_VALUE"""),"Dc")</f>
        <v>Dc</v>
      </c>
      <c r="AL99" s="6">
        <f ca="1">IFERROR(__xludf.DUMMYFUNCTION("""COMPUTED_VALUE"""),0)</f>
        <v>0</v>
      </c>
      <c r="AM99" s="6" t="b">
        <f ca="1">IFERROR(__xludf.DUMMYFUNCTION("""COMPUTED_VALUE"""),FALSE)</f>
        <v>0</v>
      </c>
      <c r="AN99" s="6" t="str">
        <f ca="1">IFERROR(__xludf.DUMMYFUNCTION("""COMPUTED_VALUE"""),"Dc")</f>
        <v>Dc</v>
      </c>
      <c r="AO99" s="6" t="str">
        <f ca="1">IFERROR(__xludf.DUMMYFUNCTION("""COMPUTED_VALUE"""),"climbed early because some plastic ramp part of their robot was hanging off")</f>
        <v>climbed early because some plastic ramp part of their robot was hanging off</v>
      </c>
      <c r="AP99" s="6" t="str">
        <f ca="1">IFERROR(__xludf.DUMMYFUNCTION("""COMPUTED_VALUE"""),"x")</f>
        <v>x</v>
      </c>
      <c r="AQ99" s="6" t="b">
        <f ca="1">IFERROR(__xludf.DUMMYFUNCTION("""COMPUTED_VALUE"""),FALSE)</f>
        <v>0</v>
      </c>
      <c r="AR99" s="6" t="b">
        <f ca="1">IFERROR(__xludf.DUMMYFUNCTION("""COMPUTED_VALUE"""),FALSE)</f>
        <v>0</v>
      </c>
      <c r="AS99" s="15"/>
      <c r="AT99" s="6" t="str">
        <f ca="1">IFERROR(__xludf.DUMMYFUNCTION("SWITCH(IF(A99=""Practice"",AN99,FILTER('Items by Team'!E$2:E3410,'Items by Team'!C$2:C3410=D99,B99='Items by Team'!B$2:B3410)),""None"",""No"",""Parked"",""P"",""ShallowCage"",""Sc"",""DeepCage"",""Dc"",""No"",""No"",""P"",""P"",""Sc"",""Sc"",""Dc"",""Dc"&amp;""")"),"Dc")</f>
        <v>Dc</v>
      </c>
      <c r="AU99" s="6" t="str">
        <f ca="1">IFERROR(__xludf.DUMMYFUNCTION("SWITCH(IF(A99 = ""Practice"", H99, FILTER('Items by Team'!D$2:D3410,'Items by Team'!C$2:C3410 = D99,'Items by Team'!B$2:B3410 = B99)), ""Yes"", ""TRUE"", ""No"", ""FALSE"",TRUE, ""TRUE"", FALSE, ""FALSE"")"),"TRUE")</f>
        <v>TRUE</v>
      </c>
      <c r="AV99" s="6" t="str">
        <f t="shared" ca="1" si="0"/>
        <v/>
      </c>
      <c r="AW99" s="6">
        <f t="shared" ca="1" si="1"/>
        <v>1</v>
      </c>
      <c r="AX99" s="6">
        <f t="shared" ca="1" si="2"/>
        <v>0</v>
      </c>
      <c r="AY99" s="6">
        <f t="shared" ca="1" si="3"/>
        <v>2</v>
      </c>
      <c r="AZ99" s="9">
        <f t="shared" ca="1" si="4"/>
        <v>0</v>
      </c>
      <c r="BA99" s="6">
        <f t="shared" ca="1" si="5"/>
        <v>0</v>
      </c>
      <c r="BB99" s="6">
        <f t="shared" ca="1" si="6"/>
        <v>0</v>
      </c>
      <c r="BC99" s="9" t="str">
        <f t="shared" ca="1" si="7"/>
        <v/>
      </c>
      <c r="BD99" s="6">
        <f t="shared" ca="1" si="8"/>
        <v>0</v>
      </c>
      <c r="BE99" s="6">
        <f t="shared" ca="1" si="9"/>
        <v>0</v>
      </c>
      <c r="BF99" s="9" t="str">
        <f t="shared" ca="1" si="10"/>
        <v/>
      </c>
      <c r="BG99" s="6">
        <f t="shared" ca="1" si="11"/>
        <v>2</v>
      </c>
      <c r="BH99" s="6">
        <f t="shared" ca="1" si="12"/>
        <v>5</v>
      </c>
      <c r="BI99" s="9">
        <f t="shared" ca="1" si="13"/>
        <v>0.4</v>
      </c>
      <c r="BJ99" s="6">
        <f t="shared" ca="1" si="14"/>
        <v>0</v>
      </c>
      <c r="BK99" s="6">
        <f t="shared" ca="1" si="15"/>
        <v>1</v>
      </c>
      <c r="BL99" s="6">
        <f t="shared" ca="1" si="16"/>
        <v>0</v>
      </c>
      <c r="BM99" s="6">
        <f t="shared" ca="1" si="17"/>
        <v>0</v>
      </c>
      <c r="BN99" s="6">
        <f t="shared" ca="1" si="18"/>
        <v>1</v>
      </c>
      <c r="BP99" s="6">
        <f t="shared" ca="1" si="19"/>
        <v>0</v>
      </c>
      <c r="BQ99" s="6" t="b">
        <f ca="1">IFERROR(__xludf.DUMMYFUNCTION("IF(AND(ISERROR(FILTER('Items by Team'!D$2:D3410,'Items by Team'!C$2:C3410 = D99,'Items by Team'!B$2:B3410 = B99)),NOT(A99=""Practice"")),TRUE,FALSE)"),FALSE)</f>
        <v>0</v>
      </c>
      <c r="BR99" s="6" t="e">
        <f t="shared" ca="1" si="20"/>
        <v>#VALUE!</v>
      </c>
    </row>
    <row r="100" spans="1:70">
      <c r="A100" s="6" t="str">
        <f ca="1">IFERROR(__xludf.DUMMYFUNCTION("""COMPUTED_VALUE"""),"Practice")</f>
        <v>Practice</v>
      </c>
      <c r="B100" s="6">
        <f ca="1">IFERROR(__xludf.DUMMYFUNCTION("""COMPUTED_VALUE"""),18)</f>
        <v>18</v>
      </c>
      <c r="C100" s="6" t="str">
        <f ca="1">IFERROR(__xludf.DUMMYFUNCTION("""COMPUTED_VALUE"""),"R2")</f>
        <v>R2</v>
      </c>
      <c r="D100" s="6">
        <f ca="1">IFERROR(__xludf.DUMMYFUNCTION("""COMPUTED_VALUE"""),2538)</f>
        <v>2538</v>
      </c>
      <c r="E100" s="6" t="b">
        <f ca="1">IFERROR(__xludf.DUMMYFUNCTION("""COMPUTED_VALUE"""),TRUE)</f>
        <v>1</v>
      </c>
      <c r="F100" s="6"/>
      <c r="G100" s="6" t="b">
        <f ca="1">IFERROR(__xludf.DUMMYFUNCTION("""COMPUTED_VALUE"""),TRUE)</f>
        <v>1</v>
      </c>
      <c r="H100" s="6" t="b">
        <f ca="1">IFERROR(__xludf.DUMMYFUNCTION("""COMPUTED_VALUE"""),FALSE)</f>
        <v>0</v>
      </c>
      <c r="I100" s="6">
        <f ca="1">IFERROR(__xludf.DUMMYFUNCTION("""COMPUTED_VALUE"""),0)</f>
        <v>0</v>
      </c>
      <c r="J100" s="6">
        <f ca="1">IFERROR(__xludf.DUMMYFUNCTION("""COMPUTED_VALUE"""),0)</f>
        <v>0</v>
      </c>
      <c r="K100" s="6">
        <f ca="1">IFERROR(__xludf.DUMMYFUNCTION("""COMPUTED_VALUE"""),0)</f>
        <v>0</v>
      </c>
      <c r="L100" s="6">
        <f ca="1">IFERROR(__xludf.DUMMYFUNCTION("""COMPUTED_VALUE"""),0)</f>
        <v>0</v>
      </c>
      <c r="M100" s="6">
        <f ca="1">IFERROR(__xludf.DUMMYFUNCTION("""COMPUTED_VALUE"""),0)</f>
        <v>0</v>
      </c>
      <c r="N100" s="6">
        <f ca="1">IFERROR(__xludf.DUMMYFUNCTION("""COMPUTED_VALUE"""),0)</f>
        <v>0</v>
      </c>
      <c r="O100" s="6">
        <f ca="1">IFERROR(__xludf.DUMMYFUNCTION("""COMPUTED_VALUE"""),0)</f>
        <v>0</v>
      </c>
      <c r="P100" s="6">
        <f ca="1">IFERROR(__xludf.DUMMYFUNCTION("""COMPUTED_VALUE"""),0)</f>
        <v>0</v>
      </c>
      <c r="R100" s="6">
        <f ca="1">IFERROR(__xludf.DUMMYFUNCTION("""COMPUTED_VALUE"""),0)</f>
        <v>0</v>
      </c>
      <c r="S100" s="6">
        <f ca="1">IFERROR(__xludf.DUMMYFUNCTION("""COMPUTED_VALUE"""),0)</f>
        <v>0</v>
      </c>
      <c r="T100" s="6">
        <f ca="1">IFERROR(__xludf.DUMMYFUNCTION("""COMPUTED_VALUE"""),0)</f>
        <v>0</v>
      </c>
      <c r="U100" s="6">
        <f ca="1">IFERROR(__xludf.DUMMYFUNCTION("""COMPUTED_VALUE"""),0)</f>
        <v>0</v>
      </c>
      <c r="V100" s="6">
        <f ca="1">IFERROR(__xludf.DUMMYFUNCTION("""COMPUTED_VALUE"""),0)</f>
        <v>0</v>
      </c>
      <c r="W100" s="6">
        <f ca="1">IFERROR(__xludf.DUMMYFUNCTION("""COMPUTED_VALUE"""),0)</f>
        <v>0</v>
      </c>
      <c r="X100" s="6">
        <f ca="1">IFERROR(__xludf.DUMMYFUNCTION("""COMPUTED_VALUE"""),0)</f>
        <v>0</v>
      </c>
      <c r="Y100" s="6">
        <f ca="1">IFERROR(__xludf.DUMMYFUNCTION("""COMPUTED_VALUE"""),0)</f>
        <v>0</v>
      </c>
      <c r="Z100" s="6">
        <f ca="1">IFERROR(__xludf.DUMMYFUNCTION("""COMPUTED_VALUE"""),0)</f>
        <v>0</v>
      </c>
      <c r="AA100" s="6">
        <f ca="1">IFERROR(__xludf.DUMMYFUNCTION("""COMPUTED_VALUE"""),0)</f>
        <v>0</v>
      </c>
      <c r="AB100" s="6" t="b">
        <f ca="1">IFERROR(__xludf.DUMMYFUNCTION("""COMPUTED_VALUE"""),FALSE)</f>
        <v>0</v>
      </c>
      <c r="AD100" s="6" t="b">
        <f ca="1">IFERROR(__xludf.DUMMYFUNCTION("""COMPUTED_VALUE"""),FALSE)</f>
        <v>0</v>
      </c>
      <c r="AE100" s="6">
        <f ca="1">IFERROR(__xludf.DUMMYFUNCTION("""COMPUTED_VALUE"""),0)</f>
        <v>0</v>
      </c>
      <c r="AF100" s="6">
        <f ca="1">IFERROR(__xludf.DUMMYFUNCTION("""COMPUTED_VALUE"""),0)</f>
        <v>0</v>
      </c>
      <c r="AG100" s="6">
        <f ca="1">IFERROR(__xludf.DUMMYFUNCTION("""COMPUTED_VALUE"""),0)</f>
        <v>0</v>
      </c>
      <c r="AH100" s="6">
        <f ca="1">IFERROR(__xludf.DUMMYFUNCTION("""COMPUTED_VALUE"""),0)</f>
        <v>0</v>
      </c>
      <c r="AI100" s="6">
        <f ca="1">IFERROR(__xludf.DUMMYFUNCTION("""COMPUTED_VALUE"""),0)</f>
        <v>0</v>
      </c>
      <c r="AK100" s="6" t="str">
        <f ca="1">IFERROR(__xludf.DUMMYFUNCTION("""COMPUTED_VALUE"""),"No")</f>
        <v>No</v>
      </c>
      <c r="AL100" s="6">
        <f ca="1">IFERROR(__xludf.DUMMYFUNCTION("""COMPUTED_VALUE"""),0)</f>
        <v>0</v>
      </c>
      <c r="AM100" s="6" t="b">
        <f ca="1">IFERROR(__xludf.DUMMYFUNCTION("""COMPUTED_VALUE"""),FALSE)</f>
        <v>0</v>
      </c>
      <c r="AN100" s="6" t="str">
        <f ca="1">IFERROR(__xludf.DUMMYFUNCTION("""COMPUTED_VALUE"""),"No")</f>
        <v>No</v>
      </c>
      <c r="AO100" s="6"/>
      <c r="AP100" s="6" t="str">
        <f ca="1">IFERROR(__xludf.DUMMYFUNCTION("""COMPUTED_VALUE"""),"x")</f>
        <v>x</v>
      </c>
      <c r="AQ100" s="6" t="b">
        <f ca="1">IFERROR(__xludf.DUMMYFUNCTION("""COMPUTED_VALUE"""),FALSE)</f>
        <v>0</v>
      </c>
      <c r="AR100" s="6" t="b">
        <f ca="1">IFERROR(__xludf.DUMMYFUNCTION("""COMPUTED_VALUE"""),FALSE)</f>
        <v>0</v>
      </c>
      <c r="AS100" s="15"/>
      <c r="AT100" s="6" t="str">
        <f ca="1">IFERROR(__xludf.DUMMYFUNCTION("SWITCH(IF(A100=""Practice"",AN100,FILTER('Items by Team'!E$2:E3410,'Items by Team'!C$2:C3410=D100,B100='Items by Team'!B$2:B3410)),""None"",""No"",""Parked"",""P"",""ShallowCage"",""Sc"",""DeepCage"",""Dc"",""No"",""No"",""P"",""P"",""Sc"",""Sc"",""Dc"","&amp;"""Dc"")"),"No")</f>
        <v>No</v>
      </c>
      <c r="AU100" s="6" t="str">
        <f ca="1">IFERROR(__xludf.DUMMYFUNCTION("SWITCH(IF(A100 = ""Practice"", H100, FILTER('Items by Team'!D$2:D3410,'Items by Team'!C$2:C3410 = D100,'Items by Team'!B$2:B3410 = B100)), ""Yes"", ""TRUE"", ""No"", ""FALSE"",TRUE, ""TRUE"", FALSE, ""FALSE"")"),"FALSE")</f>
        <v>FALSE</v>
      </c>
      <c r="AV100" s="6" t="str">
        <f t="shared" ca="1" si="0"/>
        <v/>
      </c>
      <c r="AW100" s="6">
        <f t="shared" ca="1" si="1"/>
        <v>0</v>
      </c>
      <c r="AX100" s="6">
        <f t="shared" ca="1" si="2"/>
        <v>0</v>
      </c>
      <c r="AY100" s="6">
        <f t="shared" ca="1" si="3"/>
        <v>0</v>
      </c>
      <c r="AZ100" s="9" t="str">
        <f t="shared" ca="1" si="4"/>
        <v/>
      </c>
      <c r="BA100" s="6">
        <f t="shared" ca="1" si="5"/>
        <v>0</v>
      </c>
      <c r="BB100" s="6">
        <f t="shared" ca="1" si="6"/>
        <v>0</v>
      </c>
      <c r="BC100" s="9" t="str">
        <f t="shared" ca="1" si="7"/>
        <v/>
      </c>
      <c r="BD100" s="6">
        <f t="shared" ca="1" si="8"/>
        <v>0</v>
      </c>
      <c r="BE100" s="6">
        <f t="shared" ca="1" si="9"/>
        <v>0</v>
      </c>
      <c r="BF100" s="9" t="str">
        <f t="shared" ca="1" si="10"/>
        <v/>
      </c>
      <c r="BG100" s="6">
        <f t="shared" ca="1" si="11"/>
        <v>0</v>
      </c>
      <c r="BH100" s="6">
        <f t="shared" ca="1" si="12"/>
        <v>0</v>
      </c>
      <c r="BI100" s="9" t="str">
        <f t="shared" ca="1" si="13"/>
        <v/>
      </c>
      <c r="BJ100" s="6">
        <f t="shared" ca="1" si="14"/>
        <v>0</v>
      </c>
      <c r="BK100" s="6">
        <f t="shared" ca="1" si="15"/>
        <v>0</v>
      </c>
      <c r="BL100" s="6">
        <f t="shared" ca="1" si="16"/>
        <v>0</v>
      </c>
      <c r="BM100" s="6">
        <f t="shared" ca="1" si="17"/>
        <v>0</v>
      </c>
      <c r="BN100" s="6">
        <f t="shared" ca="1" si="18"/>
        <v>0</v>
      </c>
      <c r="BP100" s="6">
        <f t="shared" ca="1" si="19"/>
        <v>0</v>
      </c>
      <c r="BQ100" s="6" t="b">
        <f ca="1">IFERROR(__xludf.DUMMYFUNCTION("IF(AND(ISERROR(FILTER('Items by Team'!D$2:D3410,'Items by Team'!C$2:C3410 = D100,'Items by Team'!B$2:B3410 = B100)),NOT(A100=""Practice"")),TRUE,FALSE)"),FALSE)</f>
        <v>0</v>
      </c>
      <c r="BR100" s="6" t="e">
        <f t="shared" ca="1" si="20"/>
        <v>#VALUE!</v>
      </c>
    </row>
    <row r="101" spans="1:70">
      <c r="A101" s="6" t="str">
        <f ca="1">IFERROR(__xludf.DUMMYFUNCTION("""COMPUTED_VALUE"""),"Practice")</f>
        <v>Practice</v>
      </c>
      <c r="B101" s="6">
        <f ca="1">IFERROR(__xludf.DUMMYFUNCTION("""COMPUTED_VALUE"""),18)</f>
        <v>18</v>
      </c>
      <c r="C101" s="6" t="str">
        <f ca="1">IFERROR(__xludf.DUMMYFUNCTION("""COMPUTED_VALUE"""),"R3")</f>
        <v>R3</v>
      </c>
      <c r="D101" s="6">
        <f ca="1">IFERROR(__xludf.DUMMYFUNCTION("""COMPUTED_VALUE"""),3297)</f>
        <v>3297</v>
      </c>
      <c r="E101" s="6" t="b">
        <f ca="1">IFERROR(__xludf.DUMMYFUNCTION("""COMPUTED_VALUE"""),FALSE)</f>
        <v>0</v>
      </c>
      <c r="F101" s="6" t="str">
        <f ca="1">IFERROR(__xludf.DUMMYFUNCTION("""COMPUTED_VALUE"""),"Red Barge")</f>
        <v>Red Barge</v>
      </c>
      <c r="G101" s="6" t="b">
        <f ca="1">IFERROR(__xludf.DUMMYFUNCTION("""COMPUTED_VALUE"""),TRUE)</f>
        <v>1</v>
      </c>
      <c r="H101" s="6" t="b">
        <f ca="1">IFERROR(__xludf.DUMMYFUNCTION("""COMPUTED_VALUE"""),FALSE)</f>
        <v>0</v>
      </c>
      <c r="I101" s="6">
        <f ca="1">IFERROR(__xludf.DUMMYFUNCTION("""COMPUTED_VALUE"""),0)</f>
        <v>0</v>
      </c>
      <c r="J101" s="6">
        <f ca="1">IFERROR(__xludf.DUMMYFUNCTION("""COMPUTED_VALUE"""),0)</f>
        <v>0</v>
      </c>
      <c r="K101" s="6">
        <f ca="1">IFERROR(__xludf.DUMMYFUNCTION("""COMPUTED_VALUE"""),0)</f>
        <v>0</v>
      </c>
      <c r="L101" s="6">
        <f ca="1">IFERROR(__xludf.DUMMYFUNCTION("""COMPUTED_VALUE"""),1)</f>
        <v>1</v>
      </c>
      <c r="M101" s="6">
        <f ca="1">IFERROR(__xludf.DUMMYFUNCTION("""COMPUTED_VALUE"""),0)</f>
        <v>0</v>
      </c>
      <c r="N101" s="6">
        <f ca="1">IFERROR(__xludf.DUMMYFUNCTION("""COMPUTED_VALUE"""),0)</f>
        <v>0</v>
      </c>
      <c r="O101" s="6">
        <f ca="1">IFERROR(__xludf.DUMMYFUNCTION("""COMPUTED_VALUE"""),0)</f>
        <v>0</v>
      </c>
      <c r="P101" s="6">
        <f ca="1">IFERROR(__xludf.DUMMYFUNCTION("""COMPUTED_VALUE"""),0)</f>
        <v>0</v>
      </c>
      <c r="R101" s="6">
        <f ca="1">IFERROR(__xludf.DUMMYFUNCTION("""COMPUTED_VALUE"""),0)</f>
        <v>0</v>
      </c>
      <c r="S101" s="6">
        <f ca="1">IFERROR(__xludf.DUMMYFUNCTION("""COMPUTED_VALUE"""),0)</f>
        <v>0</v>
      </c>
      <c r="T101" s="6">
        <f ca="1">IFERROR(__xludf.DUMMYFUNCTION("""COMPUTED_VALUE"""),0)</f>
        <v>0</v>
      </c>
      <c r="U101" s="6">
        <f ca="1">IFERROR(__xludf.DUMMYFUNCTION("""COMPUTED_VALUE"""),0)</f>
        <v>0</v>
      </c>
      <c r="V101" s="6">
        <f ca="1">IFERROR(__xludf.DUMMYFUNCTION("""COMPUTED_VALUE"""),0)</f>
        <v>0</v>
      </c>
      <c r="W101" s="6">
        <f ca="1">IFERROR(__xludf.DUMMYFUNCTION("""COMPUTED_VALUE"""),0)</f>
        <v>0</v>
      </c>
      <c r="X101" s="6">
        <f ca="1">IFERROR(__xludf.DUMMYFUNCTION("""COMPUTED_VALUE"""),1)</f>
        <v>1</v>
      </c>
      <c r="Y101" s="6">
        <f ca="1">IFERROR(__xludf.DUMMYFUNCTION("""COMPUTED_VALUE"""),1)</f>
        <v>1</v>
      </c>
      <c r="Z101" s="6">
        <f ca="1">IFERROR(__xludf.DUMMYFUNCTION("""COMPUTED_VALUE"""),0)</f>
        <v>0</v>
      </c>
      <c r="AA101" s="6">
        <f ca="1">IFERROR(__xludf.DUMMYFUNCTION("""COMPUTED_VALUE"""),0)</f>
        <v>0</v>
      </c>
      <c r="AB101" s="6" t="b">
        <f ca="1">IFERROR(__xludf.DUMMYFUNCTION("""COMPUTED_VALUE"""),FALSE)</f>
        <v>0</v>
      </c>
      <c r="AD101" s="6" t="b">
        <f ca="1">IFERROR(__xludf.DUMMYFUNCTION("""COMPUTED_VALUE"""),TRUE)</f>
        <v>1</v>
      </c>
      <c r="AE101" s="6">
        <f ca="1">IFERROR(__xludf.DUMMYFUNCTION("""COMPUTED_VALUE"""),6)</f>
        <v>6</v>
      </c>
      <c r="AF101" s="6">
        <f ca="1">IFERROR(__xludf.DUMMYFUNCTION("""COMPUTED_VALUE"""),0)</f>
        <v>0</v>
      </c>
      <c r="AG101" s="6">
        <f ca="1">IFERROR(__xludf.DUMMYFUNCTION("""COMPUTED_VALUE"""),0)</f>
        <v>0</v>
      </c>
      <c r="AH101" s="6">
        <f ca="1">IFERROR(__xludf.DUMMYFUNCTION("""COMPUTED_VALUE"""),0)</f>
        <v>0</v>
      </c>
      <c r="AI101" s="6">
        <f ca="1">IFERROR(__xludf.DUMMYFUNCTION("""COMPUTED_VALUE"""),1)</f>
        <v>1</v>
      </c>
      <c r="AK101" s="6" t="str">
        <f ca="1">IFERROR(__xludf.DUMMYFUNCTION("""COMPUTED_VALUE"""),"P")</f>
        <v>P</v>
      </c>
      <c r="AL101" s="6">
        <f ca="1">IFERROR(__xludf.DUMMYFUNCTION("""COMPUTED_VALUE"""),0)</f>
        <v>0</v>
      </c>
      <c r="AM101" s="6" t="b">
        <f ca="1">IFERROR(__xludf.DUMMYFUNCTION("""COMPUTED_VALUE"""),FALSE)</f>
        <v>0</v>
      </c>
      <c r="AN101" s="6" t="str">
        <f ca="1">IFERROR(__xludf.DUMMYFUNCTION("""COMPUTED_VALUE"""),"P")</f>
        <v>P</v>
      </c>
      <c r="AO101" s="6" t="str">
        <f ca="1">IFERROR(__xludf.DUMMYFUNCTION("""COMPUTED_VALUE"""),"Scored an algae in the net with 20 seconds left and then parked within the last 5 seconds")</f>
        <v>Scored an algae in the net with 20 seconds left and then parked within the last 5 seconds</v>
      </c>
      <c r="AP101" s="6" t="str">
        <f ca="1">IFERROR(__xludf.DUMMYFUNCTION("""COMPUTED_VALUE"""),"x")</f>
        <v>x</v>
      </c>
      <c r="AQ101" s="6" t="b">
        <f ca="1">IFERROR(__xludf.DUMMYFUNCTION("""COMPUTED_VALUE"""),FALSE)</f>
        <v>0</v>
      </c>
      <c r="AR101" s="6" t="b">
        <f ca="1">IFERROR(__xludf.DUMMYFUNCTION("""COMPUTED_VALUE"""),FALSE)</f>
        <v>0</v>
      </c>
      <c r="AS101" s="15"/>
      <c r="AT101" s="6" t="str">
        <f ca="1">IFERROR(__xludf.DUMMYFUNCTION("SWITCH(IF(A101=""Practice"",AN101,FILTER('Items by Team'!E$2:E3410,'Items by Team'!C$2:C3410=D101,B101='Items by Team'!B$2:B3410)),""None"",""No"",""Parked"",""P"",""ShallowCage"",""Sc"",""DeepCage"",""Dc"",""No"",""No"",""P"",""P"",""Sc"",""Sc"",""Dc"","&amp;"""Dc"")"),"P")</f>
        <v>P</v>
      </c>
      <c r="AU101" s="6" t="str">
        <f ca="1">IFERROR(__xludf.DUMMYFUNCTION("SWITCH(IF(A101 = ""Practice"", H101, FILTER('Items by Team'!D$2:D3410,'Items by Team'!C$2:C3410 = D101,'Items by Team'!B$2:B3410 = B101)), ""Yes"", ""TRUE"", ""No"", ""FALSE"",TRUE, ""TRUE"", FALSE, ""FALSE"")"),"FALSE")</f>
        <v>FALSE</v>
      </c>
      <c r="AV101" s="6" t="str">
        <f t="shared" ca="1" si="0"/>
        <v/>
      </c>
      <c r="AW101" s="6">
        <f t="shared" ca="1" si="1"/>
        <v>0</v>
      </c>
      <c r="AX101" s="6">
        <f t="shared" ca="1" si="2"/>
        <v>1</v>
      </c>
      <c r="AY101" s="6">
        <f t="shared" ca="1" si="3"/>
        <v>1</v>
      </c>
      <c r="AZ101" s="9">
        <f t="shared" ca="1" si="4"/>
        <v>1</v>
      </c>
      <c r="BA101" s="6">
        <f t="shared" ca="1" si="5"/>
        <v>0</v>
      </c>
      <c r="BB101" s="6">
        <f t="shared" ca="1" si="6"/>
        <v>0</v>
      </c>
      <c r="BC101" s="9" t="str">
        <f t="shared" ca="1" si="7"/>
        <v/>
      </c>
      <c r="BD101" s="6">
        <f t="shared" ca="1" si="8"/>
        <v>1</v>
      </c>
      <c r="BE101" s="6">
        <f t="shared" ca="1" si="9"/>
        <v>2</v>
      </c>
      <c r="BF101" s="9">
        <f t="shared" ca="1" si="10"/>
        <v>0.5</v>
      </c>
      <c r="BG101" s="6">
        <f t="shared" ca="1" si="11"/>
        <v>6</v>
      </c>
      <c r="BH101" s="6">
        <f t="shared" ca="1" si="12"/>
        <v>7</v>
      </c>
      <c r="BI101" s="9">
        <f t="shared" ca="1" si="13"/>
        <v>0.8571428571428571</v>
      </c>
      <c r="BJ101" s="6">
        <f t="shared" ca="1" si="14"/>
        <v>0</v>
      </c>
      <c r="BK101" s="6">
        <f t="shared" ca="1" si="15"/>
        <v>0</v>
      </c>
      <c r="BL101" s="6">
        <f t="shared" ca="1" si="16"/>
        <v>0</v>
      </c>
      <c r="BM101" s="6">
        <f t="shared" ca="1" si="17"/>
        <v>0</v>
      </c>
      <c r="BN101" s="6">
        <f t="shared" ca="1" si="18"/>
        <v>0</v>
      </c>
      <c r="BP101" s="6">
        <f t="shared" ca="1" si="19"/>
        <v>1</v>
      </c>
      <c r="BQ101" s="6" t="b">
        <f ca="1">IFERROR(__xludf.DUMMYFUNCTION("IF(AND(ISERROR(FILTER('Items by Team'!D$2:D3410,'Items by Team'!C$2:C3410 = D101,'Items by Team'!B$2:B3410 = B101)),NOT(A101=""Practice"")),TRUE,FALSE)"),FALSE)</f>
        <v>0</v>
      </c>
      <c r="BR101" s="6" t="e">
        <f t="shared" ca="1" si="20"/>
        <v>#VALUE!</v>
      </c>
    </row>
    <row r="102" spans="1:70">
      <c r="A102" s="6" t="str">
        <f ca="1">IFERROR(__xludf.DUMMYFUNCTION("""COMPUTED_VALUE"""),"Practice")</f>
        <v>Practice</v>
      </c>
      <c r="B102" s="6">
        <f ca="1">IFERROR(__xludf.DUMMYFUNCTION("""COMPUTED_VALUE"""),18)</f>
        <v>18</v>
      </c>
      <c r="C102" s="6" t="str">
        <f ca="1">IFERROR(__xludf.DUMMYFUNCTION("""COMPUTED_VALUE"""),"B3")</f>
        <v>B3</v>
      </c>
      <c r="D102" s="6">
        <f ca="1">IFERROR(__xludf.DUMMYFUNCTION("""COMPUTED_VALUE"""),6045)</f>
        <v>6045</v>
      </c>
      <c r="E102" s="6" t="b">
        <f ca="1">IFERROR(__xludf.DUMMYFUNCTION("""COMPUTED_VALUE"""),TRUE)</f>
        <v>1</v>
      </c>
      <c r="F102" s="6"/>
      <c r="G102" s="6" t="b">
        <f ca="1">IFERROR(__xludf.DUMMYFUNCTION("""COMPUTED_VALUE"""),TRUE)</f>
        <v>1</v>
      </c>
      <c r="H102" s="6" t="b">
        <f ca="1">IFERROR(__xludf.DUMMYFUNCTION("""COMPUTED_VALUE"""),FALSE)</f>
        <v>0</v>
      </c>
      <c r="I102" s="6">
        <f ca="1">IFERROR(__xludf.DUMMYFUNCTION("""COMPUTED_VALUE"""),0)</f>
        <v>0</v>
      </c>
      <c r="J102" s="6">
        <f ca="1">IFERROR(__xludf.DUMMYFUNCTION("""COMPUTED_VALUE"""),0)</f>
        <v>0</v>
      </c>
      <c r="K102" s="6">
        <f ca="1">IFERROR(__xludf.DUMMYFUNCTION("""COMPUTED_VALUE"""),0)</f>
        <v>0</v>
      </c>
      <c r="L102" s="6">
        <f ca="1">IFERROR(__xludf.DUMMYFUNCTION("""COMPUTED_VALUE"""),0)</f>
        <v>0</v>
      </c>
      <c r="M102" s="6">
        <f ca="1">IFERROR(__xludf.DUMMYFUNCTION("""COMPUTED_VALUE"""),0)</f>
        <v>0</v>
      </c>
      <c r="N102" s="6">
        <f ca="1">IFERROR(__xludf.DUMMYFUNCTION("""COMPUTED_VALUE"""),0)</f>
        <v>0</v>
      </c>
      <c r="O102" s="6">
        <f ca="1">IFERROR(__xludf.DUMMYFUNCTION("""COMPUTED_VALUE"""),0)</f>
        <v>0</v>
      </c>
      <c r="P102" s="6">
        <f ca="1">IFERROR(__xludf.DUMMYFUNCTION("""COMPUTED_VALUE"""),0)</f>
        <v>0</v>
      </c>
      <c r="R102" s="6">
        <f ca="1">IFERROR(__xludf.DUMMYFUNCTION("""COMPUTED_VALUE"""),0)</f>
        <v>0</v>
      </c>
      <c r="S102" s="6">
        <f ca="1">IFERROR(__xludf.DUMMYFUNCTION("""COMPUTED_VALUE"""),0)</f>
        <v>0</v>
      </c>
      <c r="T102" s="6">
        <f ca="1">IFERROR(__xludf.DUMMYFUNCTION("""COMPUTED_VALUE"""),0)</f>
        <v>0</v>
      </c>
      <c r="U102" s="6">
        <f ca="1">IFERROR(__xludf.DUMMYFUNCTION("""COMPUTED_VALUE"""),0)</f>
        <v>0</v>
      </c>
      <c r="V102" s="6">
        <f ca="1">IFERROR(__xludf.DUMMYFUNCTION("""COMPUTED_VALUE"""),0)</f>
        <v>0</v>
      </c>
      <c r="W102" s="6">
        <f ca="1">IFERROR(__xludf.DUMMYFUNCTION("""COMPUTED_VALUE"""),0)</f>
        <v>0</v>
      </c>
      <c r="X102" s="6">
        <f ca="1">IFERROR(__xludf.DUMMYFUNCTION("""COMPUTED_VALUE"""),0)</f>
        <v>0</v>
      </c>
      <c r="Y102" s="6">
        <f ca="1">IFERROR(__xludf.DUMMYFUNCTION("""COMPUTED_VALUE"""),0)</f>
        <v>0</v>
      </c>
      <c r="Z102" s="6">
        <f ca="1">IFERROR(__xludf.DUMMYFUNCTION("""COMPUTED_VALUE"""),0)</f>
        <v>0</v>
      </c>
      <c r="AA102" s="6">
        <f ca="1">IFERROR(__xludf.DUMMYFUNCTION("""COMPUTED_VALUE"""),0)</f>
        <v>0</v>
      </c>
      <c r="AB102" s="6" t="b">
        <f ca="1">IFERROR(__xludf.DUMMYFUNCTION("""COMPUTED_VALUE"""),FALSE)</f>
        <v>0</v>
      </c>
      <c r="AD102" s="6" t="b">
        <f ca="1">IFERROR(__xludf.DUMMYFUNCTION("""COMPUTED_VALUE"""),FALSE)</f>
        <v>0</v>
      </c>
      <c r="AE102" s="6">
        <f ca="1">IFERROR(__xludf.DUMMYFUNCTION("""COMPUTED_VALUE"""),0)</f>
        <v>0</v>
      </c>
      <c r="AF102" s="6">
        <f ca="1">IFERROR(__xludf.DUMMYFUNCTION("""COMPUTED_VALUE"""),0)</f>
        <v>0</v>
      </c>
      <c r="AG102" s="6">
        <f ca="1">IFERROR(__xludf.DUMMYFUNCTION("""COMPUTED_VALUE"""),0)</f>
        <v>0</v>
      </c>
      <c r="AH102" s="6">
        <f ca="1">IFERROR(__xludf.DUMMYFUNCTION("""COMPUTED_VALUE"""),0)</f>
        <v>0</v>
      </c>
      <c r="AI102" s="6">
        <f ca="1">IFERROR(__xludf.DUMMYFUNCTION("""COMPUTED_VALUE"""),0)</f>
        <v>0</v>
      </c>
      <c r="AK102" s="6" t="str">
        <f ca="1">IFERROR(__xludf.DUMMYFUNCTION("""COMPUTED_VALUE"""),"No")</f>
        <v>No</v>
      </c>
      <c r="AL102" s="6">
        <f ca="1">IFERROR(__xludf.DUMMYFUNCTION("""COMPUTED_VALUE"""),0)</f>
        <v>0</v>
      </c>
      <c r="AM102" s="6" t="b">
        <f ca="1">IFERROR(__xludf.DUMMYFUNCTION("""COMPUTED_VALUE"""),FALSE)</f>
        <v>0</v>
      </c>
      <c r="AN102" s="6" t="str">
        <f ca="1">IFERROR(__xludf.DUMMYFUNCTION("""COMPUTED_VALUE"""),"P")</f>
        <v>P</v>
      </c>
      <c r="AO102" s="6"/>
      <c r="AP102" s="6" t="str">
        <f ca="1">IFERROR(__xludf.DUMMYFUNCTION("""COMPUTED_VALUE"""),"x")</f>
        <v>x</v>
      </c>
      <c r="AQ102" s="6" t="b">
        <f ca="1">IFERROR(__xludf.DUMMYFUNCTION("""COMPUTED_VALUE"""),FALSE)</f>
        <v>0</v>
      </c>
      <c r="AR102" s="6" t="b">
        <f ca="1">IFERROR(__xludf.DUMMYFUNCTION("""COMPUTED_VALUE"""),FALSE)</f>
        <v>0</v>
      </c>
      <c r="AS102" s="15"/>
      <c r="AT102" s="6" t="str">
        <f ca="1">IFERROR(__xludf.DUMMYFUNCTION("SWITCH(IF(A102=""Practice"",AN102,FILTER('Items by Team'!E$2:E3410,'Items by Team'!C$2:C3410=D102,B102='Items by Team'!B$2:B3410)),""None"",""No"",""Parked"",""P"",""ShallowCage"",""Sc"",""DeepCage"",""Dc"",""No"",""No"",""P"",""P"",""Sc"",""Sc"",""Dc"","&amp;"""Dc"")"),"P")</f>
        <v>P</v>
      </c>
      <c r="AU102" s="6" t="str">
        <f ca="1">IFERROR(__xludf.DUMMYFUNCTION("SWITCH(IF(A102 = ""Practice"", H102, FILTER('Items by Team'!D$2:D3410,'Items by Team'!C$2:C3410 = D102,'Items by Team'!B$2:B3410 = B102)), ""Yes"", ""TRUE"", ""No"", ""FALSE"",TRUE, ""TRUE"", FALSE, ""FALSE"")"),"FALSE")</f>
        <v>FALSE</v>
      </c>
      <c r="AV102" s="6" t="str">
        <f t="shared" ca="1" si="0"/>
        <v/>
      </c>
      <c r="AW102" s="6">
        <f t="shared" ca="1" si="1"/>
        <v>0</v>
      </c>
      <c r="AX102" s="6">
        <f t="shared" ca="1" si="2"/>
        <v>0</v>
      </c>
      <c r="AY102" s="6">
        <f t="shared" ca="1" si="3"/>
        <v>0</v>
      </c>
      <c r="AZ102" s="9" t="str">
        <f t="shared" ca="1" si="4"/>
        <v/>
      </c>
      <c r="BA102" s="6">
        <f t="shared" ca="1" si="5"/>
        <v>0</v>
      </c>
      <c r="BB102" s="6">
        <f t="shared" ca="1" si="6"/>
        <v>0</v>
      </c>
      <c r="BC102" s="9" t="str">
        <f t="shared" ca="1" si="7"/>
        <v/>
      </c>
      <c r="BD102" s="6">
        <f t="shared" ca="1" si="8"/>
        <v>0</v>
      </c>
      <c r="BE102" s="6">
        <f t="shared" ca="1" si="9"/>
        <v>0</v>
      </c>
      <c r="BF102" s="9" t="str">
        <f t="shared" ca="1" si="10"/>
        <v/>
      </c>
      <c r="BG102" s="6">
        <f t="shared" ca="1" si="11"/>
        <v>0</v>
      </c>
      <c r="BH102" s="6">
        <f t="shared" ca="1" si="12"/>
        <v>0</v>
      </c>
      <c r="BI102" s="9" t="str">
        <f t="shared" ca="1" si="13"/>
        <v/>
      </c>
      <c r="BJ102" s="6">
        <f t="shared" ca="1" si="14"/>
        <v>0</v>
      </c>
      <c r="BK102" s="6">
        <f t="shared" ca="1" si="15"/>
        <v>0</v>
      </c>
      <c r="BL102" s="6">
        <f t="shared" ca="1" si="16"/>
        <v>0</v>
      </c>
      <c r="BM102" s="6">
        <f t="shared" ca="1" si="17"/>
        <v>0</v>
      </c>
      <c r="BN102" s="6">
        <f t="shared" ca="1" si="18"/>
        <v>0</v>
      </c>
      <c r="BP102" s="6">
        <f t="shared" ca="1" si="19"/>
        <v>0</v>
      </c>
      <c r="BQ102" s="6" t="b">
        <f ca="1">IFERROR(__xludf.DUMMYFUNCTION("IF(AND(ISERROR(FILTER('Items by Team'!D$2:D3410,'Items by Team'!C$2:C3410 = D102,'Items by Team'!B$2:B3410 = B102)),NOT(A102=""Practice"")),TRUE,FALSE)"),FALSE)</f>
        <v>0</v>
      </c>
      <c r="BR102" s="6" t="e">
        <f t="shared" ca="1" si="20"/>
        <v>#VALUE!</v>
      </c>
    </row>
    <row r="103" spans="1:70">
      <c r="A103" s="6" t="str">
        <f ca="1">IFERROR(__xludf.DUMMYFUNCTION("""COMPUTED_VALUE"""),"Practice")</f>
        <v>Practice</v>
      </c>
      <c r="B103" s="6">
        <f ca="1">IFERROR(__xludf.DUMMYFUNCTION("""COMPUTED_VALUE"""),19)</f>
        <v>19</v>
      </c>
      <c r="C103" s="6" t="str">
        <f ca="1">IFERROR(__xludf.DUMMYFUNCTION("""COMPUTED_VALUE"""),"B1")</f>
        <v>B1</v>
      </c>
      <c r="D103" s="6">
        <f ca="1">IFERROR(__xludf.DUMMYFUNCTION("""COMPUTED_VALUE"""),2667)</f>
        <v>2667</v>
      </c>
      <c r="E103" s="6" t="b">
        <f ca="1">IFERROR(__xludf.DUMMYFUNCTION("""COMPUTED_VALUE"""),TRUE)</f>
        <v>1</v>
      </c>
      <c r="F103" s="6"/>
      <c r="G103" s="6" t="b">
        <f ca="1">IFERROR(__xludf.DUMMYFUNCTION("""COMPUTED_VALUE"""),TRUE)</f>
        <v>1</v>
      </c>
      <c r="H103" s="6" t="b">
        <f ca="1">IFERROR(__xludf.DUMMYFUNCTION("""COMPUTED_VALUE"""),FALSE)</f>
        <v>0</v>
      </c>
      <c r="I103" s="6">
        <f ca="1">IFERROR(__xludf.DUMMYFUNCTION("""COMPUTED_VALUE"""),0)</f>
        <v>0</v>
      </c>
      <c r="J103" s="6">
        <f ca="1">IFERROR(__xludf.DUMMYFUNCTION("""COMPUTED_VALUE"""),0)</f>
        <v>0</v>
      </c>
      <c r="K103" s="6">
        <f ca="1">IFERROR(__xludf.DUMMYFUNCTION("""COMPUTED_VALUE"""),0)</f>
        <v>0</v>
      </c>
      <c r="L103" s="6">
        <f ca="1">IFERROR(__xludf.DUMMYFUNCTION("""COMPUTED_VALUE"""),0)</f>
        <v>0</v>
      </c>
      <c r="M103" s="6">
        <f ca="1">IFERROR(__xludf.DUMMYFUNCTION("""COMPUTED_VALUE"""),0)</f>
        <v>0</v>
      </c>
      <c r="N103" s="6">
        <f ca="1">IFERROR(__xludf.DUMMYFUNCTION("""COMPUTED_VALUE"""),0)</f>
        <v>0</v>
      </c>
      <c r="O103" s="6">
        <f ca="1">IFERROR(__xludf.DUMMYFUNCTION("""COMPUTED_VALUE"""),0)</f>
        <v>0</v>
      </c>
      <c r="P103" s="6">
        <f ca="1">IFERROR(__xludf.DUMMYFUNCTION("""COMPUTED_VALUE"""),0)</f>
        <v>0</v>
      </c>
      <c r="R103" s="6">
        <f ca="1">IFERROR(__xludf.DUMMYFUNCTION("""COMPUTED_VALUE"""),0)</f>
        <v>0</v>
      </c>
      <c r="S103" s="6">
        <f ca="1">IFERROR(__xludf.DUMMYFUNCTION("""COMPUTED_VALUE"""),0)</f>
        <v>0</v>
      </c>
      <c r="T103" s="6">
        <f ca="1">IFERROR(__xludf.DUMMYFUNCTION("""COMPUTED_VALUE"""),0)</f>
        <v>0</v>
      </c>
      <c r="U103" s="6">
        <f ca="1">IFERROR(__xludf.DUMMYFUNCTION("""COMPUTED_VALUE"""),0)</f>
        <v>0</v>
      </c>
      <c r="V103" s="6">
        <f ca="1">IFERROR(__xludf.DUMMYFUNCTION("""COMPUTED_VALUE"""),0)</f>
        <v>0</v>
      </c>
      <c r="W103" s="6">
        <f ca="1">IFERROR(__xludf.DUMMYFUNCTION("""COMPUTED_VALUE"""),0)</f>
        <v>0</v>
      </c>
      <c r="X103" s="6">
        <f ca="1">IFERROR(__xludf.DUMMYFUNCTION("""COMPUTED_VALUE"""),0)</f>
        <v>0</v>
      </c>
      <c r="Y103" s="6">
        <f ca="1">IFERROR(__xludf.DUMMYFUNCTION("""COMPUTED_VALUE"""),0)</f>
        <v>0</v>
      </c>
      <c r="Z103" s="6">
        <f ca="1">IFERROR(__xludf.DUMMYFUNCTION("""COMPUTED_VALUE"""),0)</f>
        <v>0</v>
      </c>
      <c r="AA103" s="6">
        <f ca="1">IFERROR(__xludf.DUMMYFUNCTION("""COMPUTED_VALUE"""),0)</f>
        <v>0</v>
      </c>
      <c r="AB103" s="6" t="b">
        <f ca="1">IFERROR(__xludf.DUMMYFUNCTION("""COMPUTED_VALUE"""),FALSE)</f>
        <v>0</v>
      </c>
      <c r="AD103" s="6" t="b">
        <f ca="1">IFERROR(__xludf.DUMMYFUNCTION("""COMPUTED_VALUE"""),FALSE)</f>
        <v>0</v>
      </c>
      <c r="AE103" s="6">
        <f ca="1">IFERROR(__xludf.DUMMYFUNCTION("""COMPUTED_VALUE"""),0)</f>
        <v>0</v>
      </c>
      <c r="AF103" s="6">
        <f ca="1">IFERROR(__xludf.DUMMYFUNCTION("""COMPUTED_VALUE"""),0)</f>
        <v>0</v>
      </c>
      <c r="AG103" s="6">
        <f ca="1">IFERROR(__xludf.DUMMYFUNCTION("""COMPUTED_VALUE"""),0)</f>
        <v>0</v>
      </c>
      <c r="AH103" s="6">
        <f ca="1">IFERROR(__xludf.DUMMYFUNCTION("""COMPUTED_VALUE"""),0)</f>
        <v>0</v>
      </c>
      <c r="AI103" s="6">
        <f ca="1">IFERROR(__xludf.DUMMYFUNCTION("""COMPUTED_VALUE"""),0)</f>
        <v>0</v>
      </c>
      <c r="AK103" s="6" t="str">
        <f ca="1">IFERROR(__xludf.DUMMYFUNCTION("""COMPUTED_VALUE"""),"No")</f>
        <v>No</v>
      </c>
      <c r="AL103" s="6">
        <f ca="1">IFERROR(__xludf.DUMMYFUNCTION("""COMPUTED_VALUE"""),0)</f>
        <v>0</v>
      </c>
      <c r="AM103" s="6" t="b">
        <f ca="1">IFERROR(__xludf.DUMMYFUNCTION("""COMPUTED_VALUE"""),FALSE)</f>
        <v>0</v>
      </c>
      <c r="AN103" s="6" t="str">
        <f ca="1">IFERROR(__xludf.DUMMYFUNCTION("""COMPUTED_VALUE"""),"No")</f>
        <v>No</v>
      </c>
      <c r="AO103" s="6"/>
      <c r="AP103" s="6" t="str">
        <f ca="1">IFERROR(__xludf.DUMMYFUNCTION("""COMPUTED_VALUE"""),"x")</f>
        <v>x</v>
      </c>
      <c r="AQ103" s="6" t="b">
        <f ca="1">IFERROR(__xludf.DUMMYFUNCTION("""COMPUTED_VALUE"""),FALSE)</f>
        <v>0</v>
      </c>
      <c r="AR103" s="6" t="b">
        <f ca="1">IFERROR(__xludf.DUMMYFUNCTION("""COMPUTED_VALUE"""),FALSE)</f>
        <v>0</v>
      </c>
      <c r="AS103" s="15"/>
      <c r="AT103" s="6" t="str">
        <f ca="1">IFERROR(__xludf.DUMMYFUNCTION("SWITCH(IF(A103=""Practice"",AN103,FILTER('Items by Team'!E$2:E3410,'Items by Team'!C$2:C3410=D103,B103='Items by Team'!B$2:B3410)),""None"",""No"",""Parked"",""P"",""ShallowCage"",""Sc"",""DeepCage"",""Dc"",""No"",""No"",""P"",""P"",""Sc"",""Sc"",""Dc"","&amp;"""Dc"")"),"No")</f>
        <v>No</v>
      </c>
      <c r="AU103" s="6" t="str">
        <f ca="1">IFERROR(__xludf.DUMMYFUNCTION("SWITCH(IF(A103 = ""Practice"", H103, FILTER('Items by Team'!D$2:D3410,'Items by Team'!C$2:C3410 = D103,'Items by Team'!B$2:B3410 = B103)), ""Yes"", ""TRUE"", ""No"", ""FALSE"",TRUE, ""TRUE"", FALSE, ""FALSE"")"),"FALSE")</f>
        <v>FALSE</v>
      </c>
      <c r="AV103" s="6" t="str">
        <f t="shared" ca="1" si="0"/>
        <v/>
      </c>
      <c r="AW103" s="6">
        <f t="shared" ca="1" si="1"/>
        <v>0</v>
      </c>
      <c r="AX103" s="6">
        <f t="shared" ca="1" si="2"/>
        <v>0</v>
      </c>
      <c r="AY103" s="6">
        <f t="shared" ca="1" si="3"/>
        <v>0</v>
      </c>
      <c r="AZ103" s="9" t="str">
        <f t="shared" ca="1" si="4"/>
        <v/>
      </c>
      <c r="BA103" s="6">
        <f t="shared" ca="1" si="5"/>
        <v>0</v>
      </c>
      <c r="BB103" s="6">
        <f t="shared" ca="1" si="6"/>
        <v>0</v>
      </c>
      <c r="BC103" s="9" t="str">
        <f t="shared" ca="1" si="7"/>
        <v/>
      </c>
      <c r="BD103" s="6">
        <f t="shared" ca="1" si="8"/>
        <v>0</v>
      </c>
      <c r="BE103" s="6">
        <f t="shared" ca="1" si="9"/>
        <v>0</v>
      </c>
      <c r="BF103" s="9" t="str">
        <f t="shared" ca="1" si="10"/>
        <v/>
      </c>
      <c r="BG103" s="6">
        <f t="shared" ca="1" si="11"/>
        <v>0</v>
      </c>
      <c r="BH103" s="6">
        <f t="shared" ca="1" si="12"/>
        <v>0</v>
      </c>
      <c r="BI103" s="9" t="str">
        <f t="shared" ca="1" si="13"/>
        <v/>
      </c>
      <c r="BJ103" s="6">
        <f t="shared" ca="1" si="14"/>
        <v>0</v>
      </c>
      <c r="BK103" s="6">
        <f t="shared" ca="1" si="15"/>
        <v>0</v>
      </c>
      <c r="BL103" s="6">
        <f t="shared" ca="1" si="16"/>
        <v>0</v>
      </c>
      <c r="BM103" s="6">
        <f t="shared" ca="1" si="17"/>
        <v>0</v>
      </c>
      <c r="BN103" s="6">
        <f t="shared" ca="1" si="18"/>
        <v>0</v>
      </c>
      <c r="BP103" s="6">
        <f t="shared" ca="1" si="19"/>
        <v>0</v>
      </c>
      <c r="BQ103" s="6" t="b">
        <f ca="1">IFERROR(__xludf.DUMMYFUNCTION("IF(AND(ISERROR(FILTER('Items by Team'!D$2:D3410,'Items by Team'!C$2:C3410 = D103,'Items by Team'!B$2:B3410 = B103)),NOT(A103=""Practice"")),TRUE,FALSE)"),FALSE)</f>
        <v>0</v>
      </c>
      <c r="BR103" s="6" t="e">
        <f t="shared" ca="1" si="20"/>
        <v>#VALUE!</v>
      </c>
    </row>
    <row r="104" spans="1:70">
      <c r="A104" s="6" t="str">
        <f ca="1">IFERROR(__xludf.DUMMYFUNCTION("""COMPUTED_VALUE"""),"Practice")</f>
        <v>Practice</v>
      </c>
      <c r="B104" s="6">
        <f ca="1">IFERROR(__xludf.DUMMYFUNCTION("""COMPUTED_VALUE"""),19)</f>
        <v>19</v>
      </c>
      <c r="C104" s="6" t="str">
        <f ca="1">IFERROR(__xludf.DUMMYFUNCTION("""COMPUTED_VALUE"""),"R1")</f>
        <v>R1</v>
      </c>
      <c r="D104" s="6">
        <f ca="1">IFERROR(__xludf.DUMMYFUNCTION("""COMPUTED_VALUE"""),6909)</f>
        <v>6909</v>
      </c>
      <c r="E104" s="6" t="b">
        <f ca="1">IFERROR(__xludf.DUMMYFUNCTION("""COMPUTED_VALUE"""),FALSE)</f>
        <v>0</v>
      </c>
      <c r="F104" s="6" t="str">
        <f ca="1">IFERROR(__xludf.DUMMYFUNCTION("""COMPUTED_VALUE"""),"Middle")</f>
        <v>Middle</v>
      </c>
      <c r="G104" s="6" t="b">
        <f ca="1">IFERROR(__xludf.DUMMYFUNCTION("""COMPUTED_VALUE"""),TRUE)</f>
        <v>1</v>
      </c>
      <c r="H104" s="6" t="b">
        <f ca="1">IFERROR(__xludf.DUMMYFUNCTION("""COMPUTED_VALUE"""),TRUE)</f>
        <v>1</v>
      </c>
      <c r="I104" s="6">
        <f ca="1">IFERROR(__xludf.DUMMYFUNCTION("""COMPUTED_VALUE"""),0)</f>
        <v>0</v>
      </c>
      <c r="J104" s="6">
        <f ca="1">IFERROR(__xludf.DUMMYFUNCTION("""COMPUTED_VALUE"""),0)</f>
        <v>0</v>
      </c>
      <c r="K104" s="6">
        <f ca="1">IFERROR(__xludf.DUMMYFUNCTION("""COMPUTED_VALUE"""),0)</f>
        <v>0</v>
      </c>
      <c r="L104" s="6">
        <f ca="1">IFERROR(__xludf.DUMMYFUNCTION("""COMPUTED_VALUE"""),0)</f>
        <v>0</v>
      </c>
      <c r="M104" s="6">
        <f ca="1">IFERROR(__xludf.DUMMYFUNCTION("""COMPUTED_VALUE"""),0)</f>
        <v>0</v>
      </c>
      <c r="N104" s="6">
        <f ca="1">IFERROR(__xludf.DUMMYFUNCTION("""COMPUTED_VALUE"""),0)</f>
        <v>0</v>
      </c>
      <c r="O104" s="6">
        <f ca="1">IFERROR(__xludf.DUMMYFUNCTION("""COMPUTED_VALUE"""),0)</f>
        <v>0</v>
      </c>
      <c r="P104" s="6">
        <f ca="1">IFERROR(__xludf.DUMMYFUNCTION("""COMPUTED_VALUE"""),0)</f>
        <v>0</v>
      </c>
      <c r="R104" s="6">
        <f ca="1">IFERROR(__xludf.DUMMYFUNCTION("""COMPUTED_VALUE"""),0)</f>
        <v>0</v>
      </c>
      <c r="S104" s="6">
        <f ca="1">IFERROR(__xludf.DUMMYFUNCTION("""COMPUTED_VALUE"""),0)</f>
        <v>0</v>
      </c>
      <c r="T104" s="6">
        <f ca="1">IFERROR(__xludf.DUMMYFUNCTION("""COMPUTED_VALUE"""),0)</f>
        <v>0</v>
      </c>
      <c r="U104" s="6">
        <f ca="1">IFERROR(__xludf.DUMMYFUNCTION("""COMPUTED_VALUE"""),0)</f>
        <v>0</v>
      </c>
      <c r="V104" s="6">
        <f ca="1">IFERROR(__xludf.DUMMYFUNCTION("""COMPUTED_VALUE"""),0)</f>
        <v>0</v>
      </c>
      <c r="W104" s="6">
        <f ca="1">IFERROR(__xludf.DUMMYFUNCTION("""COMPUTED_VALUE"""),0)</f>
        <v>0</v>
      </c>
      <c r="X104" s="6">
        <f ca="1">IFERROR(__xludf.DUMMYFUNCTION("""COMPUTED_VALUE"""),0)</f>
        <v>0</v>
      </c>
      <c r="Y104" s="6">
        <f ca="1">IFERROR(__xludf.DUMMYFUNCTION("""COMPUTED_VALUE"""),0)</f>
        <v>0</v>
      </c>
      <c r="Z104" s="6">
        <f ca="1">IFERROR(__xludf.DUMMYFUNCTION("""COMPUTED_VALUE"""),0)</f>
        <v>0</v>
      </c>
      <c r="AA104" s="6">
        <f ca="1">IFERROR(__xludf.DUMMYFUNCTION("""COMPUTED_VALUE"""),0)</f>
        <v>0</v>
      </c>
      <c r="AB104" s="6" t="b">
        <f ca="1">IFERROR(__xludf.DUMMYFUNCTION("""COMPUTED_VALUE"""),FALSE)</f>
        <v>0</v>
      </c>
      <c r="AD104" s="6" t="b">
        <f ca="1">IFERROR(__xludf.DUMMYFUNCTION("""COMPUTED_VALUE"""),FALSE)</f>
        <v>0</v>
      </c>
      <c r="AE104" s="6">
        <f ca="1">IFERROR(__xludf.DUMMYFUNCTION("""COMPUTED_VALUE"""),0)</f>
        <v>0</v>
      </c>
      <c r="AF104" s="6">
        <f ca="1">IFERROR(__xludf.DUMMYFUNCTION("""COMPUTED_VALUE"""),0)</f>
        <v>0</v>
      </c>
      <c r="AG104" s="6">
        <f ca="1">IFERROR(__xludf.DUMMYFUNCTION("""COMPUTED_VALUE"""),0)</f>
        <v>0</v>
      </c>
      <c r="AH104" s="6">
        <f ca="1">IFERROR(__xludf.DUMMYFUNCTION("""COMPUTED_VALUE"""),0)</f>
        <v>0</v>
      </c>
      <c r="AI104" s="6">
        <f ca="1">IFERROR(__xludf.DUMMYFUNCTION("""COMPUTED_VALUE"""),0)</f>
        <v>0</v>
      </c>
      <c r="AK104" s="6" t="str">
        <f ca="1">IFERROR(__xludf.DUMMYFUNCTION("""COMPUTED_VALUE"""),"No")</f>
        <v>No</v>
      </c>
      <c r="AL104" s="6">
        <f ca="1">IFERROR(__xludf.DUMMYFUNCTION("""COMPUTED_VALUE"""),0)</f>
        <v>0</v>
      </c>
      <c r="AM104" s="6" t="b">
        <f ca="1">IFERROR(__xludf.DUMMYFUNCTION("""COMPUTED_VALUE"""),FALSE)</f>
        <v>0</v>
      </c>
      <c r="AN104" s="6" t="str">
        <f ca="1">IFERROR(__xludf.DUMMYFUNCTION("""COMPUTED_VALUE"""),"No")</f>
        <v>No</v>
      </c>
      <c r="AO104" s="6" t="str">
        <f ca="1">IFERROR(__xludf.DUMMYFUNCTION("""COMPUTED_VALUE"""),"struggle")</f>
        <v>struggle</v>
      </c>
      <c r="AP104" s="6" t="str">
        <f ca="1">IFERROR(__xludf.DUMMYFUNCTION("""COMPUTED_VALUE"""),"x")</f>
        <v>x</v>
      </c>
      <c r="AQ104" s="6" t="b">
        <f ca="1">IFERROR(__xludf.DUMMYFUNCTION("""COMPUTED_VALUE"""),FALSE)</f>
        <v>0</v>
      </c>
      <c r="AR104" s="6" t="b">
        <f ca="1">IFERROR(__xludf.DUMMYFUNCTION("""COMPUTED_VALUE"""),FALSE)</f>
        <v>0</v>
      </c>
      <c r="AS104" s="15"/>
      <c r="AT104" s="6" t="str">
        <f ca="1">IFERROR(__xludf.DUMMYFUNCTION("SWITCH(IF(A104=""Practice"",AN104,FILTER('Items by Team'!E$2:E3410,'Items by Team'!C$2:C3410=D104,B104='Items by Team'!B$2:B3410)),""None"",""No"",""Parked"",""P"",""ShallowCage"",""Sc"",""DeepCage"",""Dc"",""No"",""No"",""P"",""P"",""Sc"",""Sc"",""Dc"","&amp;"""Dc"")"),"No")</f>
        <v>No</v>
      </c>
      <c r="AU104" s="6" t="str">
        <f ca="1">IFERROR(__xludf.DUMMYFUNCTION("SWITCH(IF(A104 = ""Practice"", H104, FILTER('Items by Team'!D$2:D3410,'Items by Team'!C$2:C3410 = D104,'Items by Team'!B$2:B3410 = B104)), ""Yes"", ""TRUE"", ""No"", ""FALSE"",TRUE, ""TRUE"", FALSE, ""FALSE"")"),"TRUE")</f>
        <v>TRUE</v>
      </c>
      <c r="AV104" s="6" t="str">
        <f t="shared" ca="1" si="0"/>
        <v/>
      </c>
      <c r="AW104" s="6">
        <f t="shared" ca="1" si="1"/>
        <v>1</v>
      </c>
      <c r="AX104" s="6">
        <f t="shared" ca="1" si="2"/>
        <v>0</v>
      </c>
      <c r="AY104" s="6">
        <f t="shared" ca="1" si="3"/>
        <v>0</v>
      </c>
      <c r="AZ104" s="9" t="str">
        <f t="shared" ca="1" si="4"/>
        <v/>
      </c>
      <c r="BA104" s="6">
        <f t="shared" ca="1" si="5"/>
        <v>0</v>
      </c>
      <c r="BB104" s="6">
        <f t="shared" ca="1" si="6"/>
        <v>0</v>
      </c>
      <c r="BC104" s="9" t="str">
        <f t="shared" ca="1" si="7"/>
        <v/>
      </c>
      <c r="BD104" s="6">
        <f t="shared" ca="1" si="8"/>
        <v>0</v>
      </c>
      <c r="BE104" s="6">
        <f t="shared" ca="1" si="9"/>
        <v>0</v>
      </c>
      <c r="BF104" s="9" t="str">
        <f t="shared" ca="1" si="10"/>
        <v/>
      </c>
      <c r="BG104" s="6">
        <f t="shared" ca="1" si="11"/>
        <v>0</v>
      </c>
      <c r="BH104" s="6">
        <f t="shared" ca="1" si="12"/>
        <v>0</v>
      </c>
      <c r="BI104" s="9" t="str">
        <f t="shared" ca="1" si="13"/>
        <v/>
      </c>
      <c r="BJ104" s="6">
        <f t="shared" ca="1" si="14"/>
        <v>0</v>
      </c>
      <c r="BK104" s="6">
        <f t="shared" ca="1" si="15"/>
        <v>0</v>
      </c>
      <c r="BL104" s="6">
        <f t="shared" ca="1" si="16"/>
        <v>0</v>
      </c>
      <c r="BM104" s="6">
        <f t="shared" ca="1" si="17"/>
        <v>0</v>
      </c>
      <c r="BN104" s="6">
        <f t="shared" ca="1" si="18"/>
        <v>0</v>
      </c>
      <c r="BP104" s="6">
        <f t="shared" ca="1" si="19"/>
        <v>0</v>
      </c>
      <c r="BQ104" s="6" t="b">
        <f ca="1">IFERROR(__xludf.DUMMYFUNCTION("IF(AND(ISERROR(FILTER('Items by Team'!D$2:D3410,'Items by Team'!C$2:C3410 = D104,'Items by Team'!B$2:B3410 = B104)),NOT(A104=""Practice"")),TRUE,FALSE)"),FALSE)</f>
        <v>0</v>
      </c>
      <c r="BR104" s="6" t="e">
        <f t="shared" ca="1" si="20"/>
        <v>#VALUE!</v>
      </c>
    </row>
    <row r="105" spans="1:70">
      <c r="A105" s="6" t="str">
        <f ca="1">IFERROR(__xludf.DUMMYFUNCTION("""COMPUTED_VALUE"""),"Practice")</f>
        <v>Practice</v>
      </c>
      <c r="B105" s="6">
        <f ca="1">IFERROR(__xludf.DUMMYFUNCTION("""COMPUTED_VALUE"""),19)</f>
        <v>19</v>
      </c>
      <c r="C105" s="6" t="str">
        <f ca="1">IFERROR(__xludf.DUMMYFUNCTION("""COMPUTED_VALUE"""),"R3")</f>
        <v>R3</v>
      </c>
      <c r="D105" s="6">
        <f ca="1">IFERROR(__xludf.DUMMYFUNCTION("""COMPUTED_VALUE"""),2207)</f>
        <v>2207</v>
      </c>
      <c r="E105" s="6" t="b">
        <f ca="1">IFERROR(__xludf.DUMMYFUNCTION("""COMPUTED_VALUE"""),FALSE)</f>
        <v>0</v>
      </c>
      <c r="F105" s="6" t="str">
        <f ca="1">IFERROR(__xludf.DUMMYFUNCTION("""COMPUTED_VALUE"""),"Red Barge")</f>
        <v>Red Barge</v>
      </c>
      <c r="G105" s="6" t="b">
        <f ca="1">IFERROR(__xludf.DUMMYFUNCTION("""COMPUTED_VALUE"""),TRUE)</f>
        <v>1</v>
      </c>
      <c r="H105" s="6" t="b">
        <f ca="1">IFERROR(__xludf.DUMMYFUNCTION("""COMPUTED_VALUE"""),TRUE)</f>
        <v>1</v>
      </c>
      <c r="I105" s="6">
        <f ca="1">IFERROR(__xludf.DUMMYFUNCTION("""COMPUTED_VALUE"""),0)</f>
        <v>0</v>
      </c>
      <c r="J105" s="6">
        <f ca="1">IFERROR(__xludf.DUMMYFUNCTION("""COMPUTED_VALUE"""),0)</f>
        <v>0</v>
      </c>
      <c r="K105" s="6">
        <f ca="1">IFERROR(__xludf.DUMMYFUNCTION("""COMPUTED_VALUE"""),0)</f>
        <v>0</v>
      </c>
      <c r="L105" s="6">
        <f ca="1">IFERROR(__xludf.DUMMYFUNCTION("""COMPUTED_VALUE"""),0)</f>
        <v>0</v>
      </c>
      <c r="M105" s="6">
        <f ca="1">IFERROR(__xludf.DUMMYFUNCTION("""COMPUTED_VALUE"""),0)</f>
        <v>0</v>
      </c>
      <c r="N105" s="6">
        <f ca="1">IFERROR(__xludf.DUMMYFUNCTION("""COMPUTED_VALUE"""),0)</f>
        <v>0</v>
      </c>
      <c r="O105" s="6">
        <f ca="1">IFERROR(__xludf.DUMMYFUNCTION("""COMPUTED_VALUE"""),0)</f>
        <v>0</v>
      </c>
      <c r="P105" s="6">
        <f ca="1">IFERROR(__xludf.DUMMYFUNCTION("""COMPUTED_VALUE"""),0)</f>
        <v>0</v>
      </c>
      <c r="R105" s="6">
        <f ca="1">IFERROR(__xludf.DUMMYFUNCTION("""COMPUTED_VALUE"""),0)</f>
        <v>0</v>
      </c>
      <c r="S105" s="6">
        <f ca="1">IFERROR(__xludf.DUMMYFUNCTION("""COMPUTED_VALUE"""),0)</f>
        <v>0</v>
      </c>
      <c r="T105" s="6">
        <f ca="1">IFERROR(__xludf.DUMMYFUNCTION("""COMPUTED_VALUE"""),0)</f>
        <v>0</v>
      </c>
      <c r="U105" s="6">
        <f ca="1">IFERROR(__xludf.DUMMYFUNCTION("""COMPUTED_VALUE"""),0)</f>
        <v>0</v>
      </c>
      <c r="V105" s="6">
        <f ca="1">IFERROR(__xludf.DUMMYFUNCTION("""COMPUTED_VALUE"""),0)</f>
        <v>0</v>
      </c>
      <c r="W105" s="6">
        <f ca="1">IFERROR(__xludf.DUMMYFUNCTION("""COMPUTED_VALUE"""),1)</f>
        <v>1</v>
      </c>
      <c r="X105" s="6">
        <f ca="1">IFERROR(__xludf.DUMMYFUNCTION("""COMPUTED_VALUE"""),0)</f>
        <v>0</v>
      </c>
      <c r="Y105" s="6">
        <f ca="1">IFERROR(__xludf.DUMMYFUNCTION("""COMPUTED_VALUE"""),0)</f>
        <v>0</v>
      </c>
      <c r="Z105" s="6">
        <f ca="1">IFERROR(__xludf.DUMMYFUNCTION("""COMPUTED_VALUE"""),1)</f>
        <v>1</v>
      </c>
      <c r="AA105" s="6">
        <f ca="1">IFERROR(__xludf.DUMMYFUNCTION("""COMPUTED_VALUE"""),0)</f>
        <v>0</v>
      </c>
      <c r="AB105" s="6" t="b">
        <f ca="1">IFERROR(__xludf.DUMMYFUNCTION("""COMPUTED_VALUE"""),TRUE)</f>
        <v>1</v>
      </c>
      <c r="AD105" s="6" t="b">
        <f ca="1">IFERROR(__xludf.DUMMYFUNCTION("""COMPUTED_VALUE"""),FALSE)</f>
        <v>0</v>
      </c>
      <c r="AE105" s="6">
        <f ca="1">IFERROR(__xludf.DUMMYFUNCTION("""COMPUTED_VALUE"""),0)</f>
        <v>0</v>
      </c>
      <c r="AF105" s="6">
        <f ca="1">IFERROR(__xludf.DUMMYFUNCTION("""COMPUTED_VALUE"""),0)</f>
        <v>0</v>
      </c>
      <c r="AG105" s="6">
        <f ca="1">IFERROR(__xludf.DUMMYFUNCTION("""COMPUTED_VALUE"""),0)</f>
        <v>0</v>
      </c>
      <c r="AH105" s="6">
        <f ca="1">IFERROR(__xludf.DUMMYFUNCTION("""COMPUTED_VALUE"""),0)</f>
        <v>0</v>
      </c>
      <c r="AI105" s="6">
        <f ca="1">IFERROR(__xludf.DUMMYFUNCTION("""COMPUTED_VALUE"""),1)</f>
        <v>1</v>
      </c>
      <c r="AK105" s="6" t="str">
        <f ca="1">IFERROR(__xludf.DUMMYFUNCTION("""COMPUTED_VALUE"""),"P")</f>
        <v>P</v>
      </c>
      <c r="AL105" s="6">
        <f ca="1">IFERROR(__xludf.DUMMYFUNCTION("""COMPUTED_VALUE"""),0)</f>
        <v>0</v>
      </c>
      <c r="AM105" s="6" t="b">
        <f ca="1">IFERROR(__xludf.DUMMYFUNCTION("""COMPUTED_VALUE"""),FALSE)</f>
        <v>0</v>
      </c>
      <c r="AN105" s="6" t="str">
        <f ca="1">IFERROR(__xludf.DUMMYFUNCTION("""COMPUTED_VALUE"""),"P")</f>
        <v>P</v>
      </c>
      <c r="AO105" s="6"/>
      <c r="AP105" s="6" t="str">
        <f ca="1">IFERROR(__xludf.DUMMYFUNCTION("""COMPUTED_VALUE"""),"x")</f>
        <v>x</v>
      </c>
      <c r="AQ105" s="6" t="b">
        <f ca="1">IFERROR(__xludf.DUMMYFUNCTION("""COMPUTED_VALUE"""),FALSE)</f>
        <v>0</v>
      </c>
      <c r="AR105" s="6" t="b">
        <f ca="1">IFERROR(__xludf.DUMMYFUNCTION("""COMPUTED_VALUE"""),FALSE)</f>
        <v>0</v>
      </c>
      <c r="AS105" s="15"/>
      <c r="AT105" s="6" t="str">
        <f ca="1">IFERROR(__xludf.DUMMYFUNCTION("SWITCH(IF(A105=""Practice"",AN105,FILTER('Items by Team'!E$2:E3410,'Items by Team'!C$2:C3410=D105,B105='Items by Team'!B$2:B3410)),""None"",""No"",""Parked"",""P"",""ShallowCage"",""Sc"",""DeepCage"",""Dc"",""No"",""No"",""P"",""P"",""Sc"",""Sc"",""Dc"","&amp;"""Dc"")"),"P")</f>
        <v>P</v>
      </c>
      <c r="AU105" s="6" t="str">
        <f ca="1">IFERROR(__xludf.DUMMYFUNCTION("SWITCH(IF(A105 = ""Practice"", H105, FILTER('Items by Team'!D$2:D3410,'Items by Team'!C$2:C3410 = D105,'Items by Team'!B$2:B3410 = B105)), ""Yes"", ""TRUE"", ""No"", ""FALSE"",TRUE, ""TRUE"", FALSE, ""FALSE"")"),"TRUE")</f>
        <v>TRUE</v>
      </c>
      <c r="AV105" s="6" t="str">
        <f t="shared" ca="1" si="0"/>
        <v/>
      </c>
      <c r="AW105" s="6">
        <f t="shared" ca="1" si="1"/>
        <v>1</v>
      </c>
      <c r="AX105" s="6">
        <f t="shared" ca="1" si="2"/>
        <v>0</v>
      </c>
      <c r="AY105" s="6">
        <f t="shared" ca="1" si="3"/>
        <v>0</v>
      </c>
      <c r="AZ105" s="9" t="str">
        <f t="shared" ca="1" si="4"/>
        <v/>
      </c>
      <c r="BA105" s="6">
        <f t="shared" ca="1" si="5"/>
        <v>0</v>
      </c>
      <c r="BB105" s="6">
        <f t="shared" ca="1" si="6"/>
        <v>0</v>
      </c>
      <c r="BC105" s="9" t="str">
        <f t="shared" ca="1" si="7"/>
        <v/>
      </c>
      <c r="BD105" s="6">
        <f t="shared" ca="1" si="8"/>
        <v>0</v>
      </c>
      <c r="BE105" s="6">
        <f t="shared" ca="1" si="9"/>
        <v>0</v>
      </c>
      <c r="BF105" s="9" t="str">
        <f t="shared" ca="1" si="10"/>
        <v/>
      </c>
      <c r="BG105" s="6">
        <f t="shared" ca="1" si="11"/>
        <v>0</v>
      </c>
      <c r="BH105" s="6">
        <f t="shared" ca="1" si="12"/>
        <v>1</v>
      </c>
      <c r="BI105" s="9">
        <f t="shared" ca="1" si="13"/>
        <v>0</v>
      </c>
      <c r="BJ105" s="6">
        <f t="shared" ca="1" si="14"/>
        <v>0</v>
      </c>
      <c r="BK105" s="6">
        <f t="shared" ca="1" si="15"/>
        <v>0</v>
      </c>
      <c r="BL105" s="6">
        <f t="shared" ca="1" si="16"/>
        <v>0</v>
      </c>
      <c r="BM105" s="6">
        <f t="shared" ca="1" si="17"/>
        <v>0</v>
      </c>
      <c r="BN105" s="6">
        <f t="shared" ca="1" si="18"/>
        <v>1</v>
      </c>
      <c r="BP105" s="6">
        <f t="shared" ca="1" si="19"/>
        <v>0</v>
      </c>
      <c r="BQ105" s="6" t="b">
        <f ca="1">IFERROR(__xludf.DUMMYFUNCTION("IF(AND(ISERROR(FILTER('Items by Team'!D$2:D3410,'Items by Team'!C$2:C3410 = D105,'Items by Team'!B$2:B3410 = B105)),NOT(A105=""Practice"")),TRUE,FALSE)"),FALSE)</f>
        <v>0</v>
      </c>
      <c r="BR105" s="6" t="e">
        <f t="shared" ca="1" si="20"/>
        <v>#VALUE!</v>
      </c>
    </row>
    <row r="106" spans="1:70">
      <c r="A106" s="6" t="str">
        <f ca="1">IFERROR(__xludf.DUMMYFUNCTION("""COMPUTED_VALUE"""),"Practice")</f>
        <v>Practice</v>
      </c>
      <c r="B106" s="6">
        <f ca="1">IFERROR(__xludf.DUMMYFUNCTION("""COMPUTED_VALUE"""),19)</f>
        <v>19</v>
      </c>
      <c r="C106" s="6" t="str">
        <f ca="1">IFERROR(__xludf.DUMMYFUNCTION("""COMPUTED_VALUE"""),"R2")</f>
        <v>R2</v>
      </c>
      <c r="D106" s="6">
        <f ca="1">IFERROR(__xludf.DUMMYFUNCTION("""COMPUTED_VALUE"""),2847)</f>
        <v>2847</v>
      </c>
      <c r="E106" s="6" t="b">
        <f ca="1">IFERROR(__xludf.DUMMYFUNCTION("""COMPUTED_VALUE"""),FALSE)</f>
        <v>0</v>
      </c>
      <c r="F106" s="6" t="str">
        <f ca="1">IFERROR(__xludf.DUMMYFUNCTION("""COMPUTED_VALUE"""),"Blue Barge")</f>
        <v>Blue Barge</v>
      </c>
      <c r="G106" s="6" t="b">
        <f ca="1">IFERROR(__xludf.DUMMYFUNCTION("""COMPUTED_VALUE"""),TRUE)</f>
        <v>1</v>
      </c>
      <c r="H106" s="6" t="b">
        <f ca="1">IFERROR(__xludf.DUMMYFUNCTION("""COMPUTED_VALUE"""),FALSE)</f>
        <v>0</v>
      </c>
      <c r="I106" s="6">
        <f ca="1">IFERROR(__xludf.DUMMYFUNCTION("""COMPUTED_VALUE"""),1)</f>
        <v>1</v>
      </c>
      <c r="J106" s="6">
        <f ca="1">IFERROR(__xludf.DUMMYFUNCTION("""COMPUTED_VALUE"""),0)</f>
        <v>0</v>
      </c>
      <c r="K106" s="6">
        <f ca="1">IFERROR(__xludf.DUMMYFUNCTION("""COMPUTED_VALUE"""),0)</f>
        <v>0</v>
      </c>
      <c r="L106" s="6">
        <f ca="1">IFERROR(__xludf.DUMMYFUNCTION("""COMPUTED_VALUE"""),1)</f>
        <v>1</v>
      </c>
      <c r="M106" s="6">
        <f ca="1">IFERROR(__xludf.DUMMYFUNCTION("""COMPUTED_VALUE"""),0)</f>
        <v>0</v>
      </c>
      <c r="N106" s="6">
        <f ca="1">IFERROR(__xludf.DUMMYFUNCTION("""COMPUTED_VALUE"""),0)</f>
        <v>0</v>
      </c>
      <c r="O106" s="6">
        <f ca="1">IFERROR(__xludf.DUMMYFUNCTION("""COMPUTED_VALUE"""),0)</f>
        <v>0</v>
      </c>
      <c r="P106" s="6">
        <f ca="1">IFERROR(__xludf.DUMMYFUNCTION("""COMPUTED_VALUE"""),2)</f>
        <v>2</v>
      </c>
      <c r="R106" s="6">
        <f ca="1">IFERROR(__xludf.DUMMYFUNCTION("""COMPUTED_VALUE"""),0)</f>
        <v>0</v>
      </c>
      <c r="S106" s="6">
        <f ca="1">IFERROR(__xludf.DUMMYFUNCTION("""COMPUTED_VALUE"""),0)</f>
        <v>0</v>
      </c>
      <c r="T106" s="6">
        <f ca="1">IFERROR(__xludf.DUMMYFUNCTION("""COMPUTED_VALUE"""),0)</f>
        <v>0</v>
      </c>
      <c r="U106" s="6">
        <f ca="1">IFERROR(__xludf.DUMMYFUNCTION("""COMPUTED_VALUE"""),0)</f>
        <v>0</v>
      </c>
      <c r="V106" s="6">
        <f ca="1">IFERROR(__xludf.DUMMYFUNCTION("""COMPUTED_VALUE"""),0)</f>
        <v>0</v>
      </c>
      <c r="W106" s="6">
        <f ca="1">IFERROR(__xludf.DUMMYFUNCTION("""COMPUTED_VALUE"""),1)</f>
        <v>1</v>
      </c>
      <c r="X106" s="6">
        <f ca="1">IFERROR(__xludf.DUMMYFUNCTION("""COMPUTED_VALUE"""),0)</f>
        <v>0</v>
      </c>
      <c r="Y106" s="6">
        <f ca="1">IFERROR(__xludf.DUMMYFUNCTION("""COMPUTED_VALUE"""),0)</f>
        <v>0</v>
      </c>
      <c r="Z106" s="6">
        <f ca="1">IFERROR(__xludf.DUMMYFUNCTION("""COMPUTED_VALUE"""),1)</f>
        <v>1</v>
      </c>
      <c r="AA106" s="6">
        <f ca="1">IFERROR(__xludf.DUMMYFUNCTION("""COMPUTED_VALUE"""),0)</f>
        <v>0</v>
      </c>
      <c r="AB106" s="6" t="b">
        <f ca="1">IFERROR(__xludf.DUMMYFUNCTION("""COMPUTED_VALUE"""),TRUE)</f>
        <v>1</v>
      </c>
      <c r="AD106" s="6" t="b">
        <f ca="1">IFERROR(__xludf.DUMMYFUNCTION("""COMPUTED_VALUE"""),FALSE)</f>
        <v>0</v>
      </c>
      <c r="AE106" s="6">
        <f ca="1">IFERROR(__xludf.DUMMYFUNCTION("""COMPUTED_VALUE"""),5)</f>
        <v>5</v>
      </c>
      <c r="AF106" s="6">
        <f ca="1">IFERROR(__xludf.DUMMYFUNCTION("""COMPUTED_VALUE"""),0)</f>
        <v>0</v>
      </c>
      <c r="AG106" s="6">
        <f ca="1">IFERROR(__xludf.DUMMYFUNCTION("""COMPUTED_VALUE"""),0)</f>
        <v>0</v>
      </c>
      <c r="AH106" s="6">
        <f ca="1">IFERROR(__xludf.DUMMYFUNCTION("""COMPUTED_VALUE"""),2)</f>
        <v>2</v>
      </c>
      <c r="AI106" s="6">
        <f ca="1">IFERROR(__xludf.DUMMYFUNCTION("""COMPUTED_VALUE"""),3)</f>
        <v>3</v>
      </c>
      <c r="AK106" s="6" t="str">
        <f ca="1">IFERROR(__xludf.DUMMYFUNCTION("""COMPUTED_VALUE"""),"Dc")</f>
        <v>Dc</v>
      </c>
      <c r="AL106" s="6">
        <f ca="1">IFERROR(__xludf.DUMMYFUNCTION("""COMPUTED_VALUE"""),0)</f>
        <v>0</v>
      </c>
      <c r="AM106" s="6" t="b">
        <f ca="1">IFERROR(__xludf.DUMMYFUNCTION("""COMPUTED_VALUE"""),FALSE)</f>
        <v>0</v>
      </c>
      <c r="AN106" s="6" t="str">
        <f ca="1">IFERROR(__xludf.DUMMYFUNCTION("""COMPUTED_VALUE"""),"P")</f>
        <v>P</v>
      </c>
      <c r="AO106" s="6"/>
      <c r="AP106" s="6" t="str">
        <f ca="1">IFERROR(__xludf.DUMMYFUNCTION("""COMPUTED_VALUE"""),"x")</f>
        <v>x</v>
      </c>
      <c r="AQ106" s="6" t="b">
        <f ca="1">IFERROR(__xludf.DUMMYFUNCTION("""COMPUTED_VALUE"""),FALSE)</f>
        <v>0</v>
      </c>
      <c r="AR106" s="6" t="b">
        <f ca="1">IFERROR(__xludf.DUMMYFUNCTION("""COMPUTED_VALUE"""),FALSE)</f>
        <v>0</v>
      </c>
      <c r="AS106" s="15"/>
      <c r="AT106" s="6" t="str">
        <f ca="1">IFERROR(__xludf.DUMMYFUNCTION("SWITCH(IF(A106=""Practice"",AN106,FILTER('Items by Team'!E$2:E3410,'Items by Team'!C$2:C3410=D106,B106='Items by Team'!B$2:B3410)),""None"",""No"",""Parked"",""P"",""ShallowCage"",""Sc"",""DeepCage"",""Dc"",""No"",""No"",""P"",""P"",""Sc"",""Sc"",""Dc"","&amp;"""Dc"")"),"P")</f>
        <v>P</v>
      </c>
      <c r="AU106" s="6" t="str">
        <f ca="1">IFERROR(__xludf.DUMMYFUNCTION("SWITCH(IF(A106 = ""Practice"", H106, FILTER('Items by Team'!D$2:D3410,'Items by Team'!C$2:C3410 = D106,'Items by Team'!B$2:B3410 = B106)), ""Yes"", ""TRUE"", ""No"", ""FALSE"",TRUE, ""TRUE"", FALSE, ""FALSE"")"),"FALSE")</f>
        <v>FALSE</v>
      </c>
      <c r="AV106" s="6" t="str">
        <f t="shared" ca="1" si="0"/>
        <v/>
      </c>
      <c r="AW106" s="6">
        <f t="shared" ca="1" si="1"/>
        <v>0</v>
      </c>
      <c r="AX106" s="6">
        <f t="shared" ca="1" si="2"/>
        <v>1</v>
      </c>
      <c r="AY106" s="6">
        <f t="shared" ca="1" si="3"/>
        <v>3</v>
      </c>
      <c r="AZ106" s="9">
        <f t="shared" ca="1" si="4"/>
        <v>0.33333333333333331</v>
      </c>
      <c r="BA106" s="6">
        <f t="shared" ca="1" si="5"/>
        <v>0</v>
      </c>
      <c r="BB106" s="6">
        <f t="shared" ca="1" si="6"/>
        <v>0</v>
      </c>
      <c r="BC106" s="9" t="str">
        <f t="shared" ca="1" si="7"/>
        <v/>
      </c>
      <c r="BD106" s="6">
        <f t="shared" ca="1" si="8"/>
        <v>0</v>
      </c>
      <c r="BE106" s="6">
        <f t="shared" ca="1" si="9"/>
        <v>0</v>
      </c>
      <c r="BF106" s="9" t="str">
        <f t="shared" ca="1" si="10"/>
        <v/>
      </c>
      <c r="BG106" s="6">
        <f t="shared" ca="1" si="11"/>
        <v>7</v>
      </c>
      <c r="BH106" s="6">
        <f t="shared" ca="1" si="12"/>
        <v>10</v>
      </c>
      <c r="BI106" s="9">
        <f t="shared" ca="1" si="13"/>
        <v>0.7</v>
      </c>
      <c r="BJ106" s="6">
        <f t="shared" ca="1" si="14"/>
        <v>0</v>
      </c>
      <c r="BK106" s="6">
        <f t="shared" ca="1" si="15"/>
        <v>1</v>
      </c>
      <c r="BL106" s="6">
        <f t="shared" ca="1" si="16"/>
        <v>0</v>
      </c>
      <c r="BM106" s="6">
        <f t="shared" ca="1" si="17"/>
        <v>0</v>
      </c>
      <c r="BN106" s="6">
        <f t="shared" ca="1" si="18"/>
        <v>1</v>
      </c>
      <c r="BP106" s="6">
        <f t="shared" ca="1" si="19"/>
        <v>0</v>
      </c>
      <c r="BQ106" s="6" t="b">
        <f ca="1">IFERROR(__xludf.DUMMYFUNCTION("IF(AND(ISERROR(FILTER('Items by Team'!D$2:D3410,'Items by Team'!C$2:C3410 = D106,'Items by Team'!B$2:B3410 = B106)),NOT(A106=""Practice"")),TRUE,FALSE)"),FALSE)</f>
        <v>0</v>
      </c>
      <c r="BR106" s="6" t="e">
        <f t="shared" ca="1" si="20"/>
        <v>#VALUE!</v>
      </c>
    </row>
    <row r="107" spans="1:70">
      <c r="A107" s="6" t="str">
        <f ca="1">IFERROR(__xludf.DUMMYFUNCTION("""COMPUTED_VALUE"""),"Practice")</f>
        <v>Practice</v>
      </c>
      <c r="B107" s="6">
        <f ca="1">IFERROR(__xludf.DUMMYFUNCTION("""COMPUTED_VALUE"""),19)</f>
        <v>19</v>
      </c>
      <c r="C107" s="6" t="str">
        <f ca="1">IFERROR(__xludf.DUMMYFUNCTION("""COMPUTED_VALUE"""),"B3")</f>
        <v>B3</v>
      </c>
      <c r="D107" s="6">
        <f ca="1">IFERROR(__xludf.DUMMYFUNCTION("""COMPUTED_VALUE"""),6045)</f>
        <v>6045</v>
      </c>
      <c r="E107" s="6" t="b">
        <f ca="1">IFERROR(__xludf.DUMMYFUNCTION("""COMPUTED_VALUE"""),FALSE)</f>
        <v>0</v>
      </c>
      <c r="F107" s="6" t="str">
        <f ca="1">IFERROR(__xludf.DUMMYFUNCTION("""COMPUTED_VALUE"""),"Middle")</f>
        <v>Middle</v>
      </c>
      <c r="G107" s="6" t="b">
        <f ca="1">IFERROR(__xludf.DUMMYFUNCTION("""COMPUTED_VALUE"""),TRUE)</f>
        <v>1</v>
      </c>
      <c r="H107" s="6" t="b">
        <f ca="1">IFERROR(__xludf.DUMMYFUNCTION("""COMPUTED_VALUE"""),TRUE)</f>
        <v>1</v>
      </c>
      <c r="I107" s="6">
        <f ca="1">IFERROR(__xludf.DUMMYFUNCTION("""COMPUTED_VALUE"""),0)</f>
        <v>0</v>
      </c>
      <c r="J107" s="6">
        <f ca="1">IFERROR(__xludf.DUMMYFUNCTION("""COMPUTED_VALUE"""),0)</f>
        <v>0</v>
      </c>
      <c r="K107" s="6">
        <f ca="1">IFERROR(__xludf.DUMMYFUNCTION("""COMPUTED_VALUE"""),0)</f>
        <v>0</v>
      </c>
      <c r="L107" s="6">
        <f ca="1">IFERROR(__xludf.DUMMYFUNCTION("""COMPUTED_VALUE"""),0)</f>
        <v>0</v>
      </c>
      <c r="M107" s="6">
        <f ca="1">IFERROR(__xludf.DUMMYFUNCTION("""COMPUTED_VALUE"""),0)</f>
        <v>0</v>
      </c>
      <c r="N107" s="6">
        <f ca="1">IFERROR(__xludf.DUMMYFUNCTION("""COMPUTED_VALUE"""),0)</f>
        <v>0</v>
      </c>
      <c r="O107" s="6">
        <f ca="1">IFERROR(__xludf.DUMMYFUNCTION("""COMPUTED_VALUE"""),0)</f>
        <v>0</v>
      </c>
      <c r="P107" s="6">
        <f ca="1">IFERROR(__xludf.DUMMYFUNCTION("""COMPUTED_VALUE"""),0)</f>
        <v>0</v>
      </c>
      <c r="R107" s="6">
        <f ca="1">IFERROR(__xludf.DUMMYFUNCTION("""COMPUTED_VALUE"""),0)</f>
        <v>0</v>
      </c>
      <c r="S107" s="6">
        <f ca="1">IFERROR(__xludf.DUMMYFUNCTION("""COMPUTED_VALUE"""),0)</f>
        <v>0</v>
      </c>
      <c r="T107" s="6">
        <f ca="1">IFERROR(__xludf.DUMMYFUNCTION("""COMPUTED_VALUE"""),0)</f>
        <v>0</v>
      </c>
      <c r="U107" s="6">
        <f ca="1">IFERROR(__xludf.DUMMYFUNCTION("""COMPUTED_VALUE"""),0)</f>
        <v>0</v>
      </c>
      <c r="V107" s="6">
        <f ca="1">IFERROR(__xludf.DUMMYFUNCTION("""COMPUTED_VALUE"""),0)</f>
        <v>0</v>
      </c>
      <c r="W107" s="6">
        <f ca="1">IFERROR(__xludf.DUMMYFUNCTION("""COMPUTED_VALUE"""),2)</f>
        <v>2</v>
      </c>
      <c r="X107" s="6">
        <f ca="1">IFERROR(__xludf.DUMMYFUNCTION("""COMPUTED_VALUE"""),0)</f>
        <v>0</v>
      </c>
      <c r="Y107" s="6">
        <f ca="1">IFERROR(__xludf.DUMMYFUNCTION("""COMPUTED_VALUE"""),1)</f>
        <v>1</v>
      </c>
      <c r="Z107" s="6">
        <f ca="1">IFERROR(__xludf.DUMMYFUNCTION("""COMPUTED_VALUE"""),0)</f>
        <v>0</v>
      </c>
      <c r="AA107" s="6">
        <f ca="1">IFERROR(__xludf.DUMMYFUNCTION("""COMPUTED_VALUE"""),0)</f>
        <v>0</v>
      </c>
      <c r="AB107" s="6" t="b">
        <f ca="1">IFERROR(__xludf.DUMMYFUNCTION("""COMPUTED_VALUE"""),FALSE)</f>
        <v>0</v>
      </c>
      <c r="AD107" s="6" t="b">
        <f ca="1">IFERROR(__xludf.DUMMYFUNCTION("""COMPUTED_VALUE"""),FALSE)</f>
        <v>0</v>
      </c>
      <c r="AE107" s="6">
        <f ca="1">IFERROR(__xludf.DUMMYFUNCTION("""COMPUTED_VALUE"""),6)</f>
        <v>6</v>
      </c>
      <c r="AF107" s="6">
        <f ca="1">IFERROR(__xludf.DUMMYFUNCTION("""COMPUTED_VALUE"""),0)</f>
        <v>0</v>
      </c>
      <c r="AG107" s="6">
        <f ca="1">IFERROR(__xludf.DUMMYFUNCTION("""COMPUTED_VALUE"""),0)</f>
        <v>0</v>
      </c>
      <c r="AH107" s="6">
        <f ca="1">IFERROR(__xludf.DUMMYFUNCTION("""COMPUTED_VALUE"""),0)</f>
        <v>0</v>
      </c>
      <c r="AI107" s="6">
        <f ca="1">IFERROR(__xludf.DUMMYFUNCTION("""COMPUTED_VALUE"""),0)</f>
        <v>0</v>
      </c>
      <c r="AK107" s="6" t="str">
        <f ca="1">IFERROR(__xludf.DUMMYFUNCTION("""COMPUTED_VALUE"""),"No")</f>
        <v>No</v>
      </c>
      <c r="AL107" s="6">
        <f ca="1">IFERROR(__xludf.DUMMYFUNCTION("""COMPUTED_VALUE"""),0)</f>
        <v>0</v>
      </c>
      <c r="AM107" s="6" t="b">
        <f ca="1">IFERROR(__xludf.DUMMYFUNCTION("""COMPUTED_VALUE"""),FALSE)</f>
        <v>0</v>
      </c>
      <c r="AN107" s="6" t="str">
        <f ca="1">IFERROR(__xludf.DUMMYFUNCTION("""COMPUTED_VALUE"""),"P")</f>
        <v>P</v>
      </c>
      <c r="AO107" s="6"/>
      <c r="AP107" s="6" t="str">
        <f ca="1">IFERROR(__xludf.DUMMYFUNCTION("""COMPUTED_VALUE"""),"x")</f>
        <v>x</v>
      </c>
      <c r="AQ107" s="6" t="b">
        <f ca="1">IFERROR(__xludf.DUMMYFUNCTION("""COMPUTED_VALUE"""),FALSE)</f>
        <v>0</v>
      </c>
      <c r="AR107" s="6" t="b">
        <f ca="1">IFERROR(__xludf.DUMMYFUNCTION("""COMPUTED_VALUE"""),FALSE)</f>
        <v>0</v>
      </c>
      <c r="AS107" s="15"/>
      <c r="AT107" s="6" t="str">
        <f ca="1">IFERROR(__xludf.DUMMYFUNCTION("SWITCH(IF(A107=""Practice"",AN107,FILTER('Items by Team'!E$2:E3410,'Items by Team'!C$2:C3410=D107,B107='Items by Team'!B$2:B3410)),""None"",""No"",""Parked"",""P"",""ShallowCage"",""Sc"",""DeepCage"",""Dc"",""No"",""No"",""P"",""P"",""Sc"",""Sc"",""Dc"","&amp;"""Dc"")"),"P")</f>
        <v>P</v>
      </c>
      <c r="AU107" s="6" t="str">
        <f ca="1">IFERROR(__xludf.DUMMYFUNCTION("SWITCH(IF(A107 = ""Practice"", H107, FILTER('Items by Team'!D$2:D3410,'Items by Team'!C$2:C3410 = D107,'Items by Team'!B$2:B3410 = B107)), ""Yes"", ""TRUE"", ""No"", ""FALSE"",TRUE, ""TRUE"", FALSE, ""FALSE"")"),"TRUE")</f>
        <v>TRUE</v>
      </c>
      <c r="AV107" s="6" t="str">
        <f t="shared" ca="1" si="0"/>
        <v/>
      </c>
      <c r="AW107" s="6">
        <f t="shared" ca="1" si="1"/>
        <v>1</v>
      </c>
      <c r="AX107" s="6">
        <f t="shared" ca="1" si="2"/>
        <v>0</v>
      </c>
      <c r="AY107" s="6">
        <f t="shared" ca="1" si="3"/>
        <v>0</v>
      </c>
      <c r="AZ107" s="9" t="str">
        <f t="shared" ca="1" si="4"/>
        <v/>
      </c>
      <c r="BA107" s="6">
        <f t="shared" ca="1" si="5"/>
        <v>0</v>
      </c>
      <c r="BB107" s="6">
        <f t="shared" ca="1" si="6"/>
        <v>0</v>
      </c>
      <c r="BC107" s="9" t="str">
        <f t="shared" ca="1" si="7"/>
        <v/>
      </c>
      <c r="BD107" s="6">
        <f t="shared" ca="1" si="8"/>
        <v>0</v>
      </c>
      <c r="BE107" s="6">
        <f t="shared" ca="1" si="9"/>
        <v>1</v>
      </c>
      <c r="BF107" s="9">
        <f t="shared" ca="1" si="10"/>
        <v>0</v>
      </c>
      <c r="BG107" s="6">
        <f t="shared" ca="1" si="11"/>
        <v>6</v>
      </c>
      <c r="BH107" s="6">
        <f t="shared" ca="1" si="12"/>
        <v>6</v>
      </c>
      <c r="BI107" s="9">
        <f t="shared" ca="1" si="13"/>
        <v>1</v>
      </c>
      <c r="BJ107" s="6">
        <f t="shared" ca="1" si="14"/>
        <v>0</v>
      </c>
      <c r="BK107" s="6">
        <f t="shared" ca="1" si="15"/>
        <v>0</v>
      </c>
      <c r="BL107" s="6">
        <f t="shared" ca="1" si="16"/>
        <v>0</v>
      </c>
      <c r="BM107" s="6">
        <f t="shared" ca="1" si="17"/>
        <v>0</v>
      </c>
      <c r="BN107" s="6">
        <f t="shared" ca="1" si="18"/>
        <v>0</v>
      </c>
      <c r="BP107" s="6">
        <f t="shared" ca="1" si="19"/>
        <v>0</v>
      </c>
      <c r="BQ107" s="6" t="b">
        <f ca="1">IFERROR(__xludf.DUMMYFUNCTION("IF(AND(ISERROR(FILTER('Items by Team'!D$2:D3410,'Items by Team'!C$2:C3410 = D107,'Items by Team'!B$2:B3410 = B107)),NOT(A107=""Practice"")),TRUE,FALSE)"),FALSE)</f>
        <v>0</v>
      </c>
      <c r="BR107" s="6" t="e">
        <f t="shared" ca="1" si="20"/>
        <v>#VALUE!</v>
      </c>
    </row>
    <row r="108" spans="1:70">
      <c r="A108" s="6" t="str">
        <f ca="1">IFERROR(__xludf.DUMMYFUNCTION("""COMPUTED_VALUE"""),"Practice")</f>
        <v>Practice</v>
      </c>
      <c r="B108" s="6">
        <f ca="1">IFERROR(__xludf.DUMMYFUNCTION("""COMPUTED_VALUE"""),19)</f>
        <v>19</v>
      </c>
      <c r="C108" s="6" t="str">
        <f ca="1">IFERROR(__xludf.DUMMYFUNCTION("""COMPUTED_VALUE"""),"B2")</f>
        <v>B2</v>
      </c>
      <c r="D108" s="6">
        <f ca="1">IFERROR(__xludf.DUMMYFUNCTION("""COMPUTED_VALUE"""),3038)</f>
        <v>3038</v>
      </c>
      <c r="E108" s="6" t="b">
        <f ca="1">IFERROR(__xludf.DUMMYFUNCTION("""COMPUTED_VALUE"""),FALSE)</f>
        <v>0</v>
      </c>
      <c r="F108" s="6" t="str">
        <f ca="1">IFERROR(__xludf.DUMMYFUNCTION("""COMPUTED_VALUE"""),"Red Barge")</f>
        <v>Red Barge</v>
      </c>
      <c r="G108" s="6" t="b">
        <f ca="1">IFERROR(__xludf.DUMMYFUNCTION("""COMPUTED_VALUE"""),TRUE)</f>
        <v>1</v>
      </c>
      <c r="H108" s="6" t="b">
        <f ca="1">IFERROR(__xludf.DUMMYFUNCTION("""COMPUTED_VALUE"""),FALSE)</f>
        <v>0</v>
      </c>
      <c r="I108" s="6">
        <f ca="1">IFERROR(__xludf.DUMMYFUNCTION("""COMPUTED_VALUE"""),0)</f>
        <v>0</v>
      </c>
      <c r="J108" s="6">
        <f ca="1">IFERROR(__xludf.DUMMYFUNCTION("""COMPUTED_VALUE"""),0)</f>
        <v>0</v>
      </c>
      <c r="K108" s="6">
        <f ca="1">IFERROR(__xludf.DUMMYFUNCTION("""COMPUTED_VALUE"""),0)</f>
        <v>0</v>
      </c>
      <c r="L108" s="6">
        <f ca="1">IFERROR(__xludf.DUMMYFUNCTION("""COMPUTED_VALUE"""),0)</f>
        <v>0</v>
      </c>
      <c r="M108" s="6">
        <f ca="1">IFERROR(__xludf.DUMMYFUNCTION("""COMPUTED_VALUE"""),0)</f>
        <v>0</v>
      </c>
      <c r="N108" s="6">
        <f ca="1">IFERROR(__xludf.DUMMYFUNCTION("""COMPUTED_VALUE"""),0)</f>
        <v>0</v>
      </c>
      <c r="O108" s="6">
        <f ca="1">IFERROR(__xludf.DUMMYFUNCTION("""COMPUTED_VALUE"""),0)</f>
        <v>0</v>
      </c>
      <c r="P108" s="6">
        <f ca="1">IFERROR(__xludf.DUMMYFUNCTION("""COMPUTED_VALUE"""),0)</f>
        <v>0</v>
      </c>
      <c r="R108" s="6">
        <f ca="1">IFERROR(__xludf.DUMMYFUNCTION("""COMPUTED_VALUE"""),0)</f>
        <v>0</v>
      </c>
      <c r="S108" s="6">
        <f ca="1">IFERROR(__xludf.DUMMYFUNCTION("""COMPUTED_VALUE"""),0)</f>
        <v>0</v>
      </c>
      <c r="T108" s="6">
        <f ca="1">IFERROR(__xludf.DUMMYFUNCTION("""COMPUTED_VALUE"""),0)</f>
        <v>0</v>
      </c>
      <c r="U108" s="6">
        <f ca="1">IFERROR(__xludf.DUMMYFUNCTION("""COMPUTED_VALUE"""),0)</f>
        <v>0</v>
      </c>
      <c r="V108" s="6">
        <f ca="1">IFERROR(__xludf.DUMMYFUNCTION("""COMPUTED_VALUE"""),0)</f>
        <v>0</v>
      </c>
      <c r="W108" s="6">
        <f ca="1">IFERROR(__xludf.DUMMYFUNCTION("""COMPUTED_VALUE"""),0)</f>
        <v>0</v>
      </c>
      <c r="X108" s="6">
        <f ca="1">IFERROR(__xludf.DUMMYFUNCTION("""COMPUTED_VALUE"""),0)</f>
        <v>0</v>
      </c>
      <c r="Y108" s="6">
        <f ca="1">IFERROR(__xludf.DUMMYFUNCTION("""COMPUTED_VALUE"""),0)</f>
        <v>0</v>
      </c>
      <c r="Z108" s="6">
        <f ca="1">IFERROR(__xludf.DUMMYFUNCTION("""COMPUTED_VALUE"""),0)</f>
        <v>0</v>
      </c>
      <c r="AA108" s="6">
        <f ca="1">IFERROR(__xludf.DUMMYFUNCTION("""COMPUTED_VALUE"""),0)</f>
        <v>0</v>
      </c>
      <c r="AB108" s="6" t="b">
        <f ca="1">IFERROR(__xludf.DUMMYFUNCTION("""COMPUTED_VALUE"""),TRUE)</f>
        <v>1</v>
      </c>
      <c r="AD108" s="6" t="b">
        <f ca="1">IFERROR(__xludf.DUMMYFUNCTION("""COMPUTED_VALUE"""),FALSE)</f>
        <v>0</v>
      </c>
      <c r="AE108" s="6">
        <f ca="1">IFERROR(__xludf.DUMMYFUNCTION("""COMPUTED_VALUE"""),0)</f>
        <v>0</v>
      </c>
      <c r="AF108" s="6">
        <f ca="1">IFERROR(__xludf.DUMMYFUNCTION("""COMPUTED_VALUE"""),0)</f>
        <v>0</v>
      </c>
      <c r="AG108" s="6">
        <f ca="1">IFERROR(__xludf.DUMMYFUNCTION("""COMPUTED_VALUE"""),0)</f>
        <v>0</v>
      </c>
      <c r="AH108" s="6">
        <f ca="1">IFERROR(__xludf.DUMMYFUNCTION("""COMPUTED_VALUE"""),2)</f>
        <v>2</v>
      </c>
      <c r="AI108" s="6">
        <f ca="1">IFERROR(__xludf.DUMMYFUNCTION("""COMPUTED_VALUE"""),0)</f>
        <v>0</v>
      </c>
      <c r="AK108" s="6" t="str">
        <f ca="1">IFERROR(__xludf.DUMMYFUNCTION("""COMPUTED_VALUE"""),"Sc")</f>
        <v>Sc</v>
      </c>
      <c r="AL108" s="6">
        <f ca="1">IFERROR(__xludf.DUMMYFUNCTION("""COMPUTED_VALUE"""),0)</f>
        <v>0</v>
      </c>
      <c r="AM108" s="6" t="b">
        <f ca="1">IFERROR(__xludf.DUMMYFUNCTION("""COMPUTED_VALUE"""),FALSE)</f>
        <v>0</v>
      </c>
      <c r="AN108" s="6" t="str">
        <f ca="1">IFERROR(__xludf.DUMMYFUNCTION("""COMPUTED_VALUE"""),"P")</f>
        <v>P</v>
      </c>
      <c r="AO108" s="6"/>
      <c r="AP108" s="6" t="str">
        <f ca="1">IFERROR(__xludf.DUMMYFUNCTION("""COMPUTED_VALUE"""),"x")</f>
        <v>x</v>
      </c>
      <c r="AQ108" s="6" t="b">
        <f ca="1">IFERROR(__xludf.DUMMYFUNCTION("""COMPUTED_VALUE"""),TRUE)</f>
        <v>1</v>
      </c>
      <c r="AR108" s="6" t="b">
        <f ca="1">IFERROR(__xludf.DUMMYFUNCTION("""COMPUTED_VALUE"""),FALSE)</f>
        <v>0</v>
      </c>
      <c r="AS108" s="15"/>
      <c r="AT108" s="6" t="str">
        <f ca="1">IFERROR(__xludf.DUMMYFUNCTION("SWITCH(IF(A108=""Practice"",AN108,FILTER('Items by Team'!E$2:E3410,'Items by Team'!C$2:C3410=D108,B108='Items by Team'!B$2:B3410)),""None"",""No"",""Parked"",""P"",""ShallowCage"",""Sc"",""DeepCage"",""Dc"",""No"",""No"",""P"",""P"",""Sc"",""Sc"",""Dc"","&amp;"""Dc"")"),"P")</f>
        <v>P</v>
      </c>
      <c r="AU108" s="6" t="str">
        <f ca="1">IFERROR(__xludf.DUMMYFUNCTION("SWITCH(IF(A108 = ""Practice"", H108, FILTER('Items by Team'!D$2:D3410,'Items by Team'!C$2:C3410 = D108,'Items by Team'!B$2:B3410 = B108)), ""Yes"", ""TRUE"", ""No"", ""FALSE"",TRUE, ""TRUE"", FALSE, ""FALSE"")"),"FALSE")</f>
        <v>FALSE</v>
      </c>
      <c r="AV108" s="6" t="str">
        <f t="shared" ca="1" si="0"/>
        <v/>
      </c>
      <c r="AW108" s="6">
        <f t="shared" ca="1" si="1"/>
        <v>0</v>
      </c>
      <c r="AX108" s="6">
        <f t="shared" ca="1" si="2"/>
        <v>0</v>
      </c>
      <c r="AY108" s="6">
        <f t="shared" ca="1" si="3"/>
        <v>0</v>
      </c>
      <c r="AZ108" s="9" t="str">
        <f t="shared" ca="1" si="4"/>
        <v/>
      </c>
      <c r="BA108" s="6">
        <f t="shared" ca="1" si="5"/>
        <v>0</v>
      </c>
      <c r="BB108" s="6">
        <f t="shared" ca="1" si="6"/>
        <v>0</v>
      </c>
      <c r="BC108" s="9" t="str">
        <f t="shared" ca="1" si="7"/>
        <v/>
      </c>
      <c r="BD108" s="6">
        <f t="shared" ca="1" si="8"/>
        <v>0</v>
      </c>
      <c r="BE108" s="6">
        <f t="shared" ca="1" si="9"/>
        <v>0</v>
      </c>
      <c r="BF108" s="9" t="str">
        <f t="shared" ca="1" si="10"/>
        <v/>
      </c>
      <c r="BG108" s="6">
        <f t="shared" ca="1" si="11"/>
        <v>2</v>
      </c>
      <c r="BH108" s="6">
        <f t="shared" ca="1" si="12"/>
        <v>2</v>
      </c>
      <c r="BI108" s="9">
        <f t="shared" ca="1" si="13"/>
        <v>1</v>
      </c>
      <c r="BJ108" s="6">
        <f t="shared" ca="1" si="14"/>
        <v>1</v>
      </c>
      <c r="BK108" s="6">
        <f t="shared" ca="1" si="15"/>
        <v>0</v>
      </c>
      <c r="BL108" s="6">
        <f t="shared" ca="1" si="16"/>
        <v>0</v>
      </c>
      <c r="BM108" s="6">
        <f t="shared" ca="1" si="17"/>
        <v>0</v>
      </c>
      <c r="BN108" s="6">
        <f t="shared" ca="1" si="18"/>
        <v>1</v>
      </c>
      <c r="BP108" s="6">
        <f t="shared" ca="1" si="19"/>
        <v>0</v>
      </c>
      <c r="BQ108" s="6" t="b">
        <f ca="1">IFERROR(__xludf.DUMMYFUNCTION("IF(AND(ISERROR(FILTER('Items by Team'!D$2:D3410,'Items by Team'!C$2:C3410 = D108,'Items by Team'!B$2:B3410 = B108)),NOT(A108=""Practice"")),TRUE,FALSE)"),FALSE)</f>
        <v>0</v>
      </c>
      <c r="BR108" s="6" t="e">
        <f t="shared" ca="1" si="20"/>
        <v>#VALUE!</v>
      </c>
    </row>
    <row r="109" spans="1:70">
      <c r="A109" s="6" t="str">
        <f ca="1">IFERROR(__xludf.DUMMYFUNCTION("""COMPUTED_VALUE"""),"Practice")</f>
        <v>Practice</v>
      </c>
      <c r="B109" s="6">
        <f ca="1">IFERROR(__xludf.DUMMYFUNCTION("""COMPUTED_VALUE"""),20)</f>
        <v>20</v>
      </c>
      <c r="C109" s="6" t="str">
        <f ca="1">IFERROR(__xludf.DUMMYFUNCTION("""COMPUTED_VALUE"""),"B2")</f>
        <v>B2</v>
      </c>
      <c r="D109" s="6">
        <f ca="1">IFERROR(__xludf.DUMMYFUNCTION("""COMPUTED_VALUE"""),3082)</f>
        <v>3082</v>
      </c>
      <c r="E109" s="6" t="b">
        <f ca="1">IFERROR(__xludf.DUMMYFUNCTION("""COMPUTED_VALUE"""),FALSE)</f>
        <v>0</v>
      </c>
      <c r="F109" s="6" t="str">
        <f ca="1">IFERROR(__xludf.DUMMYFUNCTION("""COMPUTED_VALUE"""),"Middle")</f>
        <v>Middle</v>
      </c>
      <c r="G109" s="6" t="b">
        <f ca="1">IFERROR(__xludf.DUMMYFUNCTION("""COMPUTED_VALUE"""),TRUE)</f>
        <v>1</v>
      </c>
      <c r="H109" s="6" t="b">
        <f ca="1">IFERROR(__xludf.DUMMYFUNCTION("""COMPUTED_VALUE"""),FALSE)</f>
        <v>0</v>
      </c>
      <c r="I109" s="6">
        <f ca="1">IFERROR(__xludf.DUMMYFUNCTION("""COMPUTED_VALUE"""),0)</f>
        <v>0</v>
      </c>
      <c r="J109" s="6">
        <f ca="1">IFERROR(__xludf.DUMMYFUNCTION("""COMPUTED_VALUE"""),0)</f>
        <v>0</v>
      </c>
      <c r="K109" s="6">
        <f ca="1">IFERROR(__xludf.DUMMYFUNCTION("""COMPUTED_VALUE"""),0)</f>
        <v>0</v>
      </c>
      <c r="L109" s="6">
        <f ca="1">IFERROR(__xludf.DUMMYFUNCTION("""COMPUTED_VALUE"""),1)</f>
        <v>1</v>
      </c>
      <c r="M109" s="6">
        <f ca="1">IFERROR(__xludf.DUMMYFUNCTION("""COMPUTED_VALUE"""),0)</f>
        <v>0</v>
      </c>
      <c r="N109" s="6">
        <f ca="1">IFERROR(__xludf.DUMMYFUNCTION("""COMPUTED_VALUE"""),0)</f>
        <v>0</v>
      </c>
      <c r="O109" s="6">
        <f ca="1">IFERROR(__xludf.DUMMYFUNCTION("""COMPUTED_VALUE"""),0)</f>
        <v>0</v>
      </c>
      <c r="P109" s="6">
        <f ca="1">IFERROR(__xludf.DUMMYFUNCTION("""COMPUTED_VALUE"""),1)</f>
        <v>1</v>
      </c>
      <c r="R109" s="6">
        <f ca="1">IFERROR(__xludf.DUMMYFUNCTION("""COMPUTED_VALUE"""),0)</f>
        <v>0</v>
      </c>
      <c r="S109" s="6">
        <f ca="1">IFERROR(__xludf.DUMMYFUNCTION("""COMPUTED_VALUE"""),0)</f>
        <v>0</v>
      </c>
      <c r="T109" s="6">
        <f ca="1">IFERROR(__xludf.DUMMYFUNCTION("""COMPUTED_VALUE"""),0)</f>
        <v>0</v>
      </c>
      <c r="U109" s="6">
        <f ca="1">IFERROR(__xludf.DUMMYFUNCTION("""COMPUTED_VALUE"""),0)</f>
        <v>0</v>
      </c>
      <c r="V109" s="6">
        <f ca="1">IFERROR(__xludf.DUMMYFUNCTION("""COMPUTED_VALUE"""),0)</f>
        <v>0</v>
      </c>
      <c r="W109" s="6">
        <f ca="1">IFERROR(__xludf.DUMMYFUNCTION("""COMPUTED_VALUE"""),0)</f>
        <v>0</v>
      </c>
      <c r="X109" s="6">
        <f ca="1">IFERROR(__xludf.DUMMYFUNCTION("""COMPUTED_VALUE"""),0)</f>
        <v>0</v>
      </c>
      <c r="Y109" s="6">
        <f ca="1">IFERROR(__xludf.DUMMYFUNCTION("""COMPUTED_VALUE"""),0)</f>
        <v>0</v>
      </c>
      <c r="Z109" s="6">
        <f ca="1">IFERROR(__xludf.DUMMYFUNCTION("""COMPUTED_VALUE"""),0)</f>
        <v>0</v>
      </c>
      <c r="AA109" s="6">
        <f ca="1">IFERROR(__xludf.DUMMYFUNCTION("""COMPUTED_VALUE"""),2)</f>
        <v>2</v>
      </c>
      <c r="AB109" s="6" t="b">
        <f ca="1">IFERROR(__xludf.DUMMYFUNCTION("""COMPUTED_VALUE"""),TRUE)</f>
        <v>1</v>
      </c>
      <c r="AD109" s="6" t="b">
        <f ca="1">IFERROR(__xludf.DUMMYFUNCTION("""COMPUTED_VALUE"""),FALSE)</f>
        <v>0</v>
      </c>
      <c r="AE109" s="6">
        <f ca="1">IFERROR(__xludf.DUMMYFUNCTION("""COMPUTED_VALUE"""),3)</f>
        <v>3</v>
      </c>
      <c r="AF109" s="6">
        <f ca="1">IFERROR(__xludf.DUMMYFUNCTION("""COMPUTED_VALUE"""),4)</f>
        <v>4</v>
      </c>
      <c r="AG109" s="6">
        <f ca="1">IFERROR(__xludf.DUMMYFUNCTION("""COMPUTED_VALUE"""),3)</f>
        <v>3</v>
      </c>
      <c r="AH109" s="6">
        <f ca="1">IFERROR(__xludf.DUMMYFUNCTION("""COMPUTED_VALUE"""),1)</f>
        <v>1</v>
      </c>
      <c r="AI109" s="6">
        <f ca="1">IFERROR(__xludf.DUMMYFUNCTION("""COMPUTED_VALUE"""),2)</f>
        <v>2</v>
      </c>
      <c r="AK109" s="6" t="str">
        <f ca="1">IFERROR(__xludf.DUMMYFUNCTION("""COMPUTED_VALUE"""),"P")</f>
        <v>P</v>
      </c>
      <c r="AL109" s="6">
        <f ca="1">IFERROR(__xludf.DUMMYFUNCTION("""COMPUTED_VALUE"""),0)</f>
        <v>0</v>
      </c>
      <c r="AM109" s="6" t="b">
        <f ca="1">IFERROR(__xludf.DUMMYFUNCTION("""COMPUTED_VALUE"""),FALSE)</f>
        <v>0</v>
      </c>
      <c r="AN109" s="6" t="str">
        <f ca="1">IFERROR(__xludf.DUMMYFUNCTION("""COMPUTED_VALUE"""),"P")</f>
        <v>P</v>
      </c>
      <c r="AO109" s="6"/>
      <c r="AP109" s="6" t="str">
        <f ca="1">IFERROR(__xludf.DUMMYFUNCTION("""COMPUTED_VALUE"""),"x")</f>
        <v>x</v>
      </c>
      <c r="AQ109" s="6" t="b">
        <f ca="1">IFERROR(__xludf.DUMMYFUNCTION("""COMPUTED_VALUE"""),FALSE)</f>
        <v>0</v>
      </c>
      <c r="AR109" s="6" t="b">
        <f ca="1">IFERROR(__xludf.DUMMYFUNCTION("""COMPUTED_VALUE"""),FALSE)</f>
        <v>0</v>
      </c>
      <c r="AS109" s="15"/>
      <c r="AT109" s="6" t="str">
        <f ca="1">IFERROR(__xludf.DUMMYFUNCTION("SWITCH(IF(A109=""Practice"",AN109,FILTER('Items by Team'!E$2:E3410,'Items by Team'!C$2:C3410=D109,B109='Items by Team'!B$2:B3410)),""None"",""No"",""Parked"",""P"",""ShallowCage"",""Sc"",""DeepCage"",""Dc"",""No"",""No"",""P"",""P"",""Sc"",""Sc"",""Dc"","&amp;"""Dc"")"),"P")</f>
        <v>P</v>
      </c>
      <c r="AU109" s="6" t="str">
        <f ca="1">IFERROR(__xludf.DUMMYFUNCTION("SWITCH(IF(A109 = ""Practice"", H109, FILTER('Items by Team'!D$2:D3410,'Items by Team'!C$2:C3410 = D109,'Items by Team'!B$2:B3410 = B109)), ""Yes"", ""TRUE"", ""No"", ""FALSE"",TRUE, ""TRUE"", FALSE, ""FALSE"")"),"FALSE")</f>
        <v>FALSE</v>
      </c>
      <c r="AV109" s="6" t="str">
        <f t="shared" ca="1" si="0"/>
        <v/>
      </c>
      <c r="AW109" s="6">
        <f t="shared" ca="1" si="1"/>
        <v>0</v>
      </c>
      <c r="AX109" s="6">
        <f t="shared" ca="1" si="2"/>
        <v>1</v>
      </c>
      <c r="AY109" s="6">
        <f t="shared" ca="1" si="3"/>
        <v>2</v>
      </c>
      <c r="AZ109" s="9">
        <f t="shared" ca="1" si="4"/>
        <v>0.5</v>
      </c>
      <c r="BA109" s="6">
        <f t="shared" ca="1" si="5"/>
        <v>0</v>
      </c>
      <c r="BB109" s="6">
        <f t="shared" ca="1" si="6"/>
        <v>0</v>
      </c>
      <c r="BC109" s="9" t="str">
        <f t="shared" ca="1" si="7"/>
        <v/>
      </c>
      <c r="BD109" s="6">
        <f t="shared" ca="1" si="8"/>
        <v>0</v>
      </c>
      <c r="BE109" s="6">
        <f t="shared" ca="1" si="9"/>
        <v>0</v>
      </c>
      <c r="BF109" s="9" t="str">
        <f t="shared" ca="1" si="10"/>
        <v/>
      </c>
      <c r="BG109" s="6">
        <f t="shared" ca="1" si="11"/>
        <v>11</v>
      </c>
      <c r="BH109" s="6">
        <f t="shared" ca="1" si="12"/>
        <v>13</v>
      </c>
      <c r="BI109" s="9">
        <f t="shared" ca="1" si="13"/>
        <v>0.84615384615384615</v>
      </c>
      <c r="BJ109" s="6">
        <f t="shared" ca="1" si="14"/>
        <v>0</v>
      </c>
      <c r="BK109" s="6">
        <f t="shared" ca="1" si="15"/>
        <v>0</v>
      </c>
      <c r="BL109" s="6">
        <f t="shared" ca="1" si="16"/>
        <v>0</v>
      </c>
      <c r="BM109" s="6">
        <f t="shared" ca="1" si="17"/>
        <v>0</v>
      </c>
      <c r="BN109" s="6">
        <f t="shared" ca="1" si="18"/>
        <v>1</v>
      </c>
      <c r="BP109" s="6">
        <f t="shared" ca="1" si="19"/>
        <v>0</v>
      </c>
      <c r="BQ109" s="6" t="b">
        <f ca="1">IFERROR(__xludf.DUMMYFUNCTION("IF(AND(ISERROR(FILTER('Items by Team'!D$2:D3410,'Items by Team'!C$2:C3410 = D109,'Items by Team'!B$2:B3410 = B109)),NOT(A109=""Practice"")),TRUE,FALSE)"),FALSE)</f>
        <v>0</v>
      </c>
      <c r="BR109" s="6" t="e">
        <f t="shared" ca="1" si="20"/>
        <v>#VALUE!</v>
      </c>
    </row>
    <row r="110" spans="1:70">
      <c r="A110" s="6" t="str">
        <f ca="1">IFERROR(__xludf.DUMMYFUNCTION("""COMPUTED_VALUE"""),"Practice")</f>
        <v>Practice</v>
      </c>
      <c r="B110" s="6">
        <f ca="1">IFERROR(__xludf.DUMMYFUNCTION("""COMPUTED_VALUE"""),20)</f>
        <v>20</v>
      </c>
      <c r="C110" s="6" t="str">
        <f ca="1">IFERROR(__xludf.DUMMYFUNCTION("""COMPUTED_VALUE"""),"R3")</f>
        <v>R3</v>
      </c>
      <c r="D110" s="6">
        <f ca="1">IFERROR(__xludf.DUMMYFUNCTION("""COMPUTED_VALUE"""),2450)</f>
        <v>2450</v>
      </c>
      <c r="E110" s="6" t="b">
        <f ca="1">IFERROR(__xludf.DUMMYFUNCTION("""COMPUTED_VALUE"""),FALSE)</f>
        <v>0</v>
      </c>
      <c r="F110" s="6" t="str">
        <f ca="1">IFERROR(__xludf.DUMMYFUNCTION("""COMPUTED_VALUE"""),"Middle")</f>
        <v>Middle</v>
      </c>
      <c r="G110" s="6" t="b">
        <f ca="1">IFERROR(__xludf.DUMMYFUNCTION("""COMPUTED_VALUE"""),TRUE)</f>
        <v>1</v>
      </c>
      <c r="H110" s="6" t="b">
        <f ca="1">IFERROR(__xludf.DUMMYFUNCTION("""COMPUTED_VALUE"""),TRUE)</f>
        <v>1</v>
      </c>
      <c r="I110" s="6">
        <f ca="1">IFERROR(__xludf.DUMMYFUNCTION("""COMPUTED_VALUE"""),0)</f>
        <v>0</v>
      </c>
      <c r="J110" s="6">
        <f ca="1">IFERROR(__xludf.DUMMYFUNCTION("""COMPUTED_VALUE"""),0)</f>
        <v>0</v>
      </c>
      <c r="K110" s="6">
        <f ca="1">IFERROR(__xludf.DUMMYFUNCTION("""COMPUTED_VALUE"""),0)</f>
        <v>0</v>
      </c>
      <c r="L110" s="6">
        <f ca="1">IFERROR(__xludf.DUMMYFUNCTION("""COMPUTED_VALUE"""),0)</f>
        <v>0</v>
      </c>
      <c r="M110" s="6">
        <f ca="1">IFERROR(__xludf.DUMMYFUNCTION("""COMPUTED_VALUE"""),0)</f>
        <v>0</v>
      </c>
      <c r="N110" s="6">
        <f ca="1">IFERROR(__xludf.DUMMYFUNCTION("""COMPUTED_VALUE"""),0)</f>
        <v>0</v>
      </c>
      <c r="O110" s="6">
        <f ca="1">IFERROR(__xludf.DUMMYFUNCTION("""COMPUTED_VALUE"""),0)</f>
        <v>0</v>
      </c>
      <c r="P110" s="6">
        <f ca="1">IFERROR(__xludf.DUMMYFUNCTION("""COMPUTED_VALUE"""),0)</f>
        <v>0</v>
      </c>
      <c r="R110" s="6">
        <f ca="1">IFERROR(__xludf.DUMMYFUNCTION("""COMPUTED_VALUE"""),0)</f>
        <v>0</v>
      </c>
      <c r="S110" s="6">
        <f ca="1">IFERROR(__xludf.DUMMYFUNCTION("""COMPUTED_VALUE"""),0)</f>
        <v>0</v>
      </c>
      <c r="T110" s="6">
        <f ca="1">IFERROR(__xludf.DUMMYFUNCTION("""COMPUTED_VALUE"""),0)</f>
        <v>0</v>
      </c>
      <c r="U110" s="6">
        <f ca="1">IFERROR(__xludf.DUMMYFUNCTION("""COMPUTED_VALUE"""),0)</f>
        <v>0</v>
      </c>
      <c r="V110" s="6">
        <f ca="1">IFERROR(__xludf.DUMMYFUNCTION("""COMPUTED_VALUE"""),0)</f>
        <v>0</v>
      </c>
      <c r="W110" s="6">
        <f ca="1">IFERROR(__xludf.DUMMYFUNCTION("""COMPUTED_VALUE"""),0)</f>
        <v>0</v>
      </c>
      <c r="X110" s="6">
        <f ca="1">IFERROR(__xludf.DUMMYFUNCTION("""COMPUTED_VALUE"""),0)</f>
        <v>0</v>
      </c>
      <c r="Y110" s="6">
        <f ca="1">IFERROR(__xludf.DUMMYFUNCTION("""COMPUTED_VALUE"""),0)</f>
        <v>0</v>
      </c>
      <c r="Z110" s="6">
        <f ca="1">IFERROR(__xludf.DUMMYFUNCTION("""COMPUTED_VALUE"""),0)</f>
        <v>0</v>
      </c>
      <c r="AA110" s="6">
        <f ca="1">IFERROR(__xludf.DUMMYFUNCTION("""COMPUTED_VALUE"""),0)</f>
        <v>0</v>
      </c>
      <c r="AB110" s="6" t="b">
        <f ca="1">IFERROR(__xludf.DUMMYFUNCTION("""COMPUTED_VALUE"""),TRUE)</f>
        <v>1</v>
      </c>
      <c r="AD110" s="6" t="b">
        <f ca="1">IFERROR(__xludf.DUMMYFUNCTION("""COMPUTED_VALUE"""),FALSE)</f>
        <v>0</v>
      </c>
      <c r="AE110" s="6">
        <f ca="1">IFERROR(__xludf.DUMMYFUNCTION("""COMPUTED_VALUE"""),0)</f>
        <v>0</v>
      </c>
      <c r="AF110" s="6">
        <f ca="1">IFERROR(__xludf.DUMMYFUNCTION("""COMPUTED_VALUE"""),5)</f>
        <v>5</v>
      </c>
      <c r="AG110" s="6">
        <f ca="1">IFERROR(__xludf.DUMMYFUNCTION("""COMPUTED_VALUE"""),1)</f>
        <v>1</v>
      </c>
      <c r="AH110" s="6">
        <f ca="1">IFERROR(__xludf.DUMMYFUNCTION("""COMPUTED_VALUE"""),1)</f>
        <v>1</v>
      </c>
      <c r="AI110" s="6">
        <f ca="1">IFERROR(__xludf.DUMMYFUNCTION("""COMPUTED_VALUE"""),1)</f>
        <v>1</v>
      </c>
      <c r="AK110" s="6" t="str">
        <f ca="1">IFERROR(__xludf.DUMMYFUNCTION("""COMPUTED_VALUE"""),"P")</f>
        <v>P</v>
      </c>
      <c r="AL110" s="6">
        <f ca="1">IFERROR(__xludf.DUMMYFUNCTION("""COMPUTED_VALUE"""),0)</f>
        <v>0</v>
      </c>
      <c r="AM110" s="6" t="b">
        <f ca="1">IFERROR(__xludf.DUMMYFUNCTION("""COMPUTED_VALUE"""),FALSE)</f>
        <v>0</v>
      </c>
      <c r="AN110" s="6" t="str">
        <f ca="1">IFERROR(__xludf.DUMMYFUNCTION("""COMPUTED_VALUE"""),"No")</f>
        <v>No</v>
      </c>
      <c r="AO110" s="6" t="str">
        <f ca="1">IFERROR(__xludf.DUMMYFUNCTION("""COMPUTED_VALUE"""),"Auto moved but didn't do anything else")</f>
        <v>Auto moved but didn't do anything else</v>
      </c>
      <c r="AP110" s="6"/>
      <c r="AQ110" s="6" t="b">
        <f ca="1">IFERROR(__xludf.DUMMYFUNCTION("""COMPUTED_VALUE"""),FALSE)</f>
        <v>0</v>
      </c>
      <c r="AR110" s="6" t="b">
        <f ca="1">IFERROR(__xludf.DUMMYFUNCTION("""COMPUTED_VALUE"""),FALSE)</f>
        <v>0</v>
      </c>
      <c r="AS110" s="15"/>
      <c r="AT110" s="6" t="str">
        <f ca="1">IFERROR(__xludf.DUMMYFUNCTION("SWITCH(IF(A110=""Practice"",AN110,FILTER('Items by Team'!E$2:E3410,'Items by Team'!C$2:C3410=D110,B110='Items by Team'!B$2:B3410)),""None"",""No"",""Parked"",""P"",""ShallowCage"",""Sc"",""DeepCage"",""Dc"",""No"",""No"",""P"",""P"",""Sc"",""Sc"",""Dc"","&amp;"""Dc"")"),"No")</f>
        <v>No</v>
      </c>
      <c r="AU110" s="6" t="str">
        <f ca="1">IFERROR(__xludf.DUMMYFUNCTION("SWITCH(IF(A110 = ""Practice"", H110, FILTER('Items by Team'!D$2:D3410,'Items by Team'!C$2:C3410 = D110,'Items by Team'!B$2:B3410 = B110)), ""Yes"", ""TRUE"", ""No"", ""FALSE"",TRUE, ""TRUE"", FALSE, ""FALSE"")"),"TRUE")</f>
        <v>TRUE</v>
      </c>
      <c r="AV110" s="6">
        <f t="shared" si="0"/>
        <v>0</v>
      </c>
      <c r="AW110" s="6">
        <f t="shared" ca="1" si="1"/>
        <v>1</v>
      </c>
      <c r="AX110" s="6">
        <f t="shared" ca="1" si="2"/>
        <v>0</v>
      </c>
      <c r="AY110" s="6">
        <f t="shared" ca="1" si="3"/>
        <v>0</v>
      </c>
      <c r="AZ110" s="9" t="str">
        <f t="shared" ca="1" si="4"/>
        <v/>
      </c>
      <c r="BA110" s="6">
        <f t="shared" ca="1" si="5"/>
        <v>0</v>
      </c>
      <c r="BB110" s="6">
        <f t="shared" ca="1" si="6"/>
        <v>0</v>
      </c>
      <c r="BC110" s="9" t="str">
        <f t="shared" ca="1" si="7"/>
        <v/>
      </c>
      <c r="BD110" s="6">
        <f t="shared" ca="1" si="8"/>
        <v>0</v>
      </c>
      <c r="BE110" s="6">
        <f t="shared" ca="1" si="9"/>
        <v>0</v>
      </c>
      <c r="BF110" s="9" t="str">
        <f t="shared" ca="1" si="10"/>
        <v/>
      </c>
      <c r="BG110" s="6">
        <f t="shared" ca="1" si="11"/>
        <v>7</v>
      </c>
      <c r="BH110" s="6">
        <f t="shared" ca="1" si="12"/>
        <v>8</v>
      </c>
      <c r="BI110" s="9">
        <f t="shared" ca="1" si="13"/>
        <v>0.875</v>
      </c>
      <c r="BJ110" s="6">
        <f t="shared" ca="1" si="14"/>
        <v>0</v>
      </c>
      <c r="BK110" s="6">
        <f t="shared" ca="1" si="15"/>
        <v>0</v>
      </c>
      <c r="BL110" s="6">
        <f t="shared" ca="1" si="16"/>
        <v>0</v>
      </c>
      <c r="BM110" s="6">
        <f t="shared" ca="1" si="17"/>
        <v>0</v>
      </c>
      <c r="BN110" s="6">
        <f t="shared" ca="1" si="18"/>
        <v>1</v>
      </c>
      <c r="BP110" s="6">
        <f t="shared" ca="1" si="19"/>
        <v>0</v>
      </c>
      <c r="BQ110" s="6" t="b">
        <f ca="1">IFERROR(__xludf.DUMMYFUNCTION("IF(AND(ISERROR(FILTER('Items by Team'!D$2:D3410,'Items by Team'!C$2:C3410 = D110,'Items by Team'!B$2:B3410 = B110)),NOT(A110=""Practice"")),TRUE,FALSE)"),FALSE)</f>
        <v>0</v>
      </c>
      <c r="BR110" s="6">
        <f t="shared" ca="1" si="20"/>
        <v>0</v>
      </c>
    </row>
    <row r="111" spans="1:70">
      <c r="A111" s="6" t="str">
        <f ca="1">IFERROR(__xludf.DUMMYFUNCTION("""COMPUTED_VALUE"""),"Practice")</f>
        <v>Practice</v>
      </c>
      <c r="B111" s="6">
        <f ca="1">IFERROR(__xludf.DUMMYFUNCTION("""COMPUTED_VALUE"""),20)</f>
        <v>20</v>
      </c>
      <c r="C111" s="6" t="str">
        <f ca="1">IFERROR(__xludf.DUMMYFUNCTION("""COMPUTED_VALUE"""),"B3")</f>
        <v>B3</v>
      </c>
      <c r="D111" s="6">
        <f ca="1">IFERROR(__xludf.DUMMYFUNCTION("""COMPUTED_VALUE"""),6217)</f>
        <v>6217</v>
      </c>
      <c r="E111" s="6" t="b">
        <f ca="1">IFERROR(__xludf.DUMMYFUNCTION("""COMPUTED_VALUE"""),FALSE)</f>
        <v>0</v>
      </c>
      <c r="F111" s="6" t="str">
        <f ca="1">IFERROR(__xludf.DUMMYFUNCTION("""COMPUTED_VALUE"""),"Middle")</f>
        <v>Middle</v>
      </c>
      <c r="G111" s="6" t="b">
        <f ca="1">IFERROR(__xludf.DUMMYFUNCTION("""COMPUTED_VALUE"""),TRUE)</f>
        <v>1</v>
      </c>
      <c r="H111" s="6" t="b">
        <f ca="1">IFERROR(__xludf.DUMMYFUNCTION("""COMPUTED_VALUE"""),TRUE)</f>
        <v>1</v>
      </c>
      <c r="I111" s="6">
        <f ca="1">IFERROR(__xludf.DUMMYFUNCTION("""COMPUTED_VALUE"""),0)</f>
        <v>0</v>
      </c>
      <c r="J111" s="6">
        <f ca="1">IFERROR(__xludf.DUMMYFUNCTION("""COMPUTED_VALUE"""),0)</f>
        <v>0</v>
      </c>
      <c r="K111" s="6">
        <f ca="1">IFERROR(__xludf.DUMMYFUNCTION("""COMPUTED_VALUE"""),0)</f>
        <v>0</v>
      </c>
      <c r="L111" s="6">
        <f ca="1">IFERROR(__xludf.DUMMYFUNCTION("""COMPUTED_VALUE"""),0)</f>
        <v>0</v>
      </c>
      <c r="M111" s="6">
        <f ca="1">IFERROR(__xludf.DUMMYFUNCTION("""COMPUTED_VALUE"""),0)</f>
        <v>0</v>
      </c>
      <c r="N111" s="6">
        <f ca="1">IFERROR(__xludf.DUMMYFUNCTION("""COMPUTED_VALUE"""),0)</f>
        <v>0</v>
      </c>
      <c r="O111" s="6">
        <f ca="1">IFERROR(__xludf.DUMMYFUNCTION("""COMPUTED_VALUE"""),0)</f>
        <v>0</v>
      </c>
      <c r="P111" s="6">
        <f ca="1">IFERROR(__xludf.DUMMYFUNCTION("""COMPUTED_VALUE"""),0)</f>
        <v>0</v>
      </c>
      <c r="R111" s="6">
        <f ca="1">IFERROR(__xludf.DUMMYFUNCTION("""COMPUTED_VALUE"""),0)</f>
        <v>0</v>
      </c>
      <c r="S111" s="6">
        <f ca="1">IFERROR(__xludf.DUMMYFUNCTION("""COMPUTED_VALUE"""),0)</f>
        <v>0</v>
      </c>
      <c r="T111" s="6">
        <f ca="1">IFERROR(__xludf.DUMMYFUNCTION("""COMPUTED_VALUE"""),0)</f>
        <v>0</v>
      </c>
      <c r="U111" s="6">
        <f ca="1">IFERROR(__xludf.DUMMYFUNCTION("""COMPUTED_VALUE"""),0)</f>
        <v>0</v>
      </c>
      <c r="V111" s="6">
        <f ca="1">IFERROR(__xludf.DUMMYFUNCTION("""COMPUTED_VALUE"""),0)</f>
        <v>0</v>
      </c>
      <c r="W111" s="6">
        <f ca="1">IFERROR(__xludf.DUMMYFUNCTION("""COMPUTED_VALUE"""),0)</f>
        <v>0</v>
      </c>
      <c r="X111" s="6">
        <f ca="1">IFERROR(__xludf.DUMMYFUNCTION("""COMPUTED_VALUE"""),0)</f>
        <v>0</v>
      </c>
      <c r="Y111" s="6">
        <f ca="1">IFERROR(__xludf.DUMMYFUNCTION("""COMPUTED_VALUE"""),0)</f>
        <v>0</v>
      </c>
      <c r="Z111" s="6">
        <f ca="1">IFERROR(__xludf.DUMMYFUNCTION("""COMPUTED_VALUE"""),0)</f>
        <v>0</v>
      </c>
      <c r="AA111" s="6">
        <f ca="1">IFERROR(__xludf.DUMMYFUNCTION("""COMPUTED_VALUE"""),0)</f>
        <v>0</v>
      </c>
      <c r="AB111" s="6" t="b">
        <f ca="1">IFERROR(__xludf.DUMMYFUNCTION("""COMPUTED_VALUE"""),TRUE)</f>
        <v>1</v>
      </c>
      <c r="AD111" s="6" t="b">
        <f ca="1">IFERROR(__xludf.DUMMYFUNCTION("""COMPUTED_VALUE"""),FALSE)</f>
        <v>0</v>
      </c>
      <c r="AE111" s="6">
        <f ca="1">IFERROR(__xludf.DUMMYFUNCTION("""COMPUTED_VALUE"""),0)</f>
        <v>0</v>
      </c>
      <c r="AF111" s="6">
        <f ca="1">IFERROR(__xludf.DUMMYFUNCTION("""COMPUTED_VALUE"""),1)</f>
        <v>1</v>
      </c>
      <c r="AG111" s="6">
        <f ca="1">IFERROR(__xludf.DUMMYFUNCTION("""COMPUTED_VALUE"""),2)</f>
        <v>2</v>
      </c>
      <c r="AH111" s="6">
        <f ca="1">IFERROR(__xludf.DUMMYFUNCTION("""COMPUTED_VALUE"""),0)</f>
        <v>0</v>
      </c>
      <c r="AI111" s="6">
        <f ca="1">IFERROR(__xludf.DUMMYFUNCTION("""COMPUTED_VALUE"""),0)</f>
        <v>0</v>
      </c>
      <c r="AK111" s="6" t="str">
        <f ca="1">IFERROR(__xludf.DUMMYFUNCTION("""COMPUTED_VALUE"""),"No")</f>
        <v>No</v>
      </c>
      <c r="AL111" s="6">
        <f ca="1">IFERROR(__xludf.DUMMYFUNCTION("""COMPUTED_VALUE"""),0)</f>
        <v>0</v>
      </c>
      <c r="AM111" s="6" t="b">
        <f ca="1">IFERROR(__xludf.DUMMYFUNCTION("""COMPUTED_VALUE"""),FALSE)</f>
        <v>0</v>
      </c>
      <c r="AN111" s="6" t="str">
        <f ca="1">IFERROR(__xludf.DUMMYFUNCTION("""COMPUTED_VALUE"""),"P")</f>
        <v>P</v>
      </c>
      <c r="AO111" s="6"/>
      <c r="AP111" s="6"/>
      <c r="AQ111" s="6" t="b">
        <f ca="1">IFERROR(__xludf.DUMMYFUNCTION("""COMPUTED_VALUE"""),FALSE)</f>
        <v>0</v>
      </c>
      <c r="AR111" s="6" t="b">
        <f ca="1">IFERROR(__xludf.DUMMYFUNCTION("""COMPUTED_VALUE"""),FALSE)</f>
        <v>0</v>
      </c>
      <c r="AS111" s="15"/>
      <c r="AT111" s="6" t="str">
        <f ca="1">IFERROR(__xludf.DUMMYFUNCTION("SWITCH(IF(A111=""Practice"",AN111,FILTER('Items by Team'!E$2:E3410,'Items by Team'!C$2:C3410=D111,B111='Items by Team'!B$2:B3410)),""None"",""No"",""Parked"",""P"",""ShallowCage"",""Sc"",""DeepCage"",""Dc"",""No"",""No"",""P"",""P"",""Sc"",""Sc"",""Dc"","&amp;"""Dc"")"),"P")</f>
        <v>P</v>
      </c>
      <c r="AU111" s="6" t="str">
        <f ca="1">IFERROR(__xludf.DUMMYFUNCTION("SWITCH(IF(A111 = ""Practice"", H111, FILTER('Items by Team'!D$2:D3410,'Items by Team'!C$2:C3410 = D111,'Items by Team'!B$2:B3410 = B111)), ""Yes"", ""TRUE"", ""No"", ""FALSE"",TRUE, ""TRUE"", FALSE, ""FALSE"")"),"TRUE")</f>
        <v>TRUE</v>
      </c>
      <c r="AV111" s="6">
        <f t="shared" si="0"/>
        <v>0</v>
      </c>
      <c r="AW111" s="6">
        <f t="shared" ca="1" si="1"/>
        <v>1</v>
      </c>
      <c r="AX111" s="6">
        <f t="shared" ca="1" si="2"/>
        <v>0</v>
      </c>
      <c r="AY111" s="6">
        <f t="shared" ca="1" si="3"/>
        <v>0</v>
      </c>
      <c r="AZ111" s="9" t="str">
        <f t="shared" ca="1" si="4"/>
        <v/>
      </c>
      <c r="BA111" s="6">
        <f t="shared" ca="1" si="5"/>
        <v>0</v>
      </c>
      <c r="BB111" s="6">
        <f t="shared" ca="1" si="6"/>
        <v>0</v>
      </c>
      <c r="BC111" s="9" t="str">
        <f t="shared" ca="1" si="7"/>
        <v/>
      </c>
      <c r="BD111" s="6">
        <f t="shared" ca="1" si="8"/>
        <v>0</v>
      </c>
      <c r="BE111" s="6">
        <f t="shared" ca="1" si="9"/>
        <v>0</v>
      </c>
      <c r="BF111" s="9" t="str">
        <f t="shared" ca="1" si="10"/>
        <v/>
      </c>
      <c r="BG111" s="6">
        <f t="shared" ca="1" si="11"/>
        <v>3</v>
      </c>
      <c r="BH111" s="6">
        <f t="shared" ca="1" si="12"/>
        <v>3</v>
      </c>
      <c r="BI111" s="9">
        <f t="shared" ca="1" si="13"/>
        <v>1</v>
      </c>
      <c r="BJ111" s="6">
        <f t="shared" ca="1" si="14"/>
        <v>0</v>
      </c>
      <c r="BK111" s="6">
        <f t="shared" ca="1" si="15"/>
        <v>0</v>
      </c>
      <c r="BL111" s="6">
        <f t="shared" ca="1" si="16"/>
        <v>0</v>
      </c>
      <c r="BM111" s="6">
        <f t="shared" ca="1" si="17"/>
        <v>0</v>
      </c>
      <c r="BN111" s="6">
        <f t="shared" ca="1" si="18"/>
        <v>1</v>
      </c>
      <c r="BP111" s="6">
        <f t="shared" ca="1" si="19"/>
        <v>0</v>
      </c>
      <c r="BQ111" s="6" t="b">
        <f ca="1">IFERROR(__xludf.DUMMYFUNCTION("IF(AND(ISERROR(FILTER('Items by Team'!D$2:D3410,'Items by Team'!C$2:C3410 = D111,'Items by Team'!B$2:B3410 = B111)),NOT(A111=""Practice"")),TRUE,FALSE)"),FALSE)</f>
        <v>0</v>
      </c>
      <c r="BR111" s="6">
        <f t="shared" ca="1" si="20"/>
        <v>0</v>
      </c>
    </row>
    <row r="112" spans="1:70">
      <c r="A112" s="6" t="str">
        <f ca="1">IFERROR(__xludf.DUMMYFUNCTION("""COMPUTED_VALUE"""),"Practice")</f>
        <v>Practice</v>
      </c>
      <c r="B112" s="6">
        <f ca="1">IFERROR(__xludf.DUMMYFUNCTION("""COMPUTED_VALUE"""),20)</f>
        <v>20</v>
      </c>
      <c r="C112" s="6" t="str">
        <f ca="1">IFERROR(__xludf.DUMMYFUNCTION("""COMPUTED_VALUE"""),"R1")</f>
        <v>R1</v>
      </c>
      <c r="D112" s="6">
        <f ca="1">IFERROR(__xludf.DUMMYFUNCTION("""COMPUTED_VALUE"""),3454)</f>
        <v>3454</v>
      </c>
      <c r="E112" s="6" t="b">
        <f ca="1">IFERROR(__xludf.DUMMYFUNCTION("""COMPUTED_VALUE"""),FALSE)</f>
        <v>0</v>
      </c>
      <c r="F112" s="6" t="str">
        <f ca="1">IFERROR(__xludf.DUMMYFUNCTION("""COMPUTED_VALUE"""),"Red Barge")</f>
        <v>Red Barge</v>
      </c>
      <c r="G112" s="6" t="b">
        <f ca="1">IFERROR(__xludf.DUMMYFUNCTION("""COMPUTED_VALUE"""),TRUE)</f>
        <v>1</v>
      </c>
      <c r="H112" s="6" t="b">
        <f ca="1">IFERROR(__xludf.DUMMYFUNCTION("""COMPUTED_VALUE"""),TRUE)</f>
        <v>1</v>
      </c>
      <c r="I112" s="6">
        <f ca="1">IFERROR(__xludf.DUMMYFUNCTION("""COMPUTED_VALUE"""),0)</f>
        <v>0</v>
      </c>
      <c r="J112" s="6">
        <f ca="1">IFERROR(__xludf.DUMMYFUNCTION("""COMPUTED_VALUE"""),0)</f>
        <v>0</v>
      </c>
      <c r="K112" s="6">
        <f ca="1">IFERROR(__xludf.DUMMYFUNCTION("""COMPUTED_VALUE"""),0)</f>
        <v>0</v>
      </c>
      <c r="L112" s="6">
        <f ca="1">IFERROR(__xludf.DUMMYFUNCTION("""COMPUTED_VALUE"""),0)</f>
        <v>0</v>
      </c>
      <c r="M112" s="6">
        <f ca="1">IFERROR(__xludf.DUMMYFUNCTION("""COMPUTED_VALUE"""),0)</f>
        <v>0</v>
      </c>
      <c r="N112" s="6">
        <f ca="1">IFERROR(__xludf.DUMMYFUNCTION("""COMPUTED_VALUE"""),0)</f>
        <v>0</v>
      </c>
      <c r="O112" s="6">
        <f ca="1">IFERROR(__xludf.DUMMYFUNCTION("""COMPUTED_VALUE"""),0)</f>
        <v>0</v>
      </c>
      <c r="P112" s="6">
        <f ca="1">IFERROR(__xludf.DUMMYFUNCTION("""COMPUTED_VALUE"""),0)</f>
        <v>0</v>
      </c>
      <c r="R112" s="6">
        <f ca="1">IFERROR(__xludf.DUMMYFUNCTION("""COMPUTED_VALUE"""),0)</f>
        <v>0</v>
      </c>
      <c r="S112" s="6">
        <f ca="1">IFERROR(__xludf.DUMMYFUNCTION("""COMPUTED_VALUE"""),0)</f>
        <v>0</v>
      </c>
      <c r="T112" s="6">
        <f ca="1">IFERROR(__xludf.DUMMYFUNCTION("""COMPUTED_VALUE"""),0)</f>
        <v>0</v>
      </c>
      <c r="U112" s="6">
        <f ca="1">IFERROR(__xludf.DUMMYFUNCTION("""COMPUTED_VALUE"""),0)</f>
        <v>0</v>
      </c>
      <c r="V112" s="6">
        <f ca="1">IFERROR(__xludf.DUMMYFUNCTION("""COMPUTED_VALUE"""),0)</f>
        <v>0</v>
      </c>
      <c r="W112" s="6">
        <f ca="1">IFERROR(__xludf.DUMMYFUNCTION("""COMPUTED_VALUE"""),0)</f>
        <v>0</v>
      </c>
      <c r="X112" s="6">
        <f ca="1">IFERROR(__xludf.DUMMYFUNCTION("""COMPUTED_VALUE"""),0)</f>
        <v>0</v>
      </c>
      <c r="Y112" s="6">
        <f ca="1">IFERROR(__xludf.DUMMYFUNCTION("""COMPUTED_VALUE"""),0)</f>
        <v>0</v>
      </c>
      <c r="Z112" s="6">
        <f ca="1">IFERROR(__xludf.DUMMYFUNCTION("""COMPUTED_VALUE"""),0)</f>
        <v>0</v>
      </c>
      <c r="AA112" s="6">
        <f ca="1">IFERROR(__xludf.DUMMYFUNCTION("""COMPUTED_VALUE"""),0)</f>
        <v>0</v>
      </c>
      <c r="AB112" s="6" t="b">
        <f ca="1">IFERROR(__xludf.DUMMYFUNCTION("""COMPUTED_VALUE"""),TRUE)</f>
        <v>1</v>
      </c>
      <c r="AD112" s="6" t="b">
        <f ca="1">IFERROR(__xludf.DUMMYFUNCTION("""COMPUTED_VALUE"""),FALSE)</f>
        <v>0</v>
      </c>
      <c r="AE112" s="6">
        <f ca="1">IFERROR(__xludf.DUMMYFUNCTION("""COMPUTED_VALUE"""),0)</f>
        <v>0</v>
      </c>
      <c r="AF112" s="6">
        <f ca="1">IFERROR(__xludf.DUMMYFUNCTION("""COMPUTED_VALUE"""),0)</f>
        <v>0</v>
      </c>
      <c r="AG112" s="6">
        <f ca="1">IFERROR(__xludf.DUMMYFUNCTION("""COMPUTED_VALUE"""),0)</f>
        <v>0</v>
      </c>
      <c r="AH112" s="6">
        <f ca="1">IFERROR(__xludf.DUMMYFUNCTION("""COMPUTED_VALUE"""),1)</f>
        <v>1</v>
      </c>
      <c r="AI112" s="6">
        <f ca="1">IFERROR(__xludf.DUMMYFUNCTION("""COMPUTED_VALUE"""),2)</f>
        <v>2</v>
      </c>
      <c r="AK112" s="6" t="str">
        <f ca="1">IFERROR(__xludf.DUMMYFUNCTION("""COMPUTED_VALUE"""),"No")</f>
        <v>No</v>
      </c>
      <c r="AL112" s="6">
        <f ca="1">IFERROR(__xludf.DUMMYFUNCTION("""COMPUTED_VALUE"""),0)</f>
        <v>0</v>
      </c>
      <c r="AM112" s="6" t="b">
        <f ca="1">IFERROR(__xludf.DUMMYFUNCTION("""COMPUTED_VALUE"""),FALSE)</f>
        <v>0</v>
      </c>
      <c r="AN112" s="6" t="str">
        <f ca="1">IFERROR(__xludf.DUMMYFUNCTION("""COMPUTED_VALUE"""),"No")</f>
        <v>No</v>
      </c>
      <c r="AO112" s="6"/>
      <c r="AP112" s="6"/>
      <c r="AQ112" s="6" t="b">
        <f ca="1">IFERROR(__xludf.DUMMYFUNCTION("""COMPUTED_VALUE"""),FALSE)</f>
        <v>0</v>
      </c>
      <c r="AR112" s="6" t="b">
        <f ca="1">IFERROR(__xludf.DUMMYFUNCTION("""COMPUTED_VALUE"""),FALSE)</f>
        <v>0</v>
      </c>
      <c r="AS112" s="15"/>
      <c r="AT112" s="6" t="str">
        <f ca="1">IFERROR(__xludf.DUMMYFUNCTION("SWITCH(IF(A112=""Practice"",AN112,FILTER('Items by Team'!E$2:E3410,'Items by Team'!C$2:C3410=D112,B112='Items by Team'!B$2:B3410)),""None"",""No"",""Parked"",""P"",""ShallowCage"",""Sc"",""DeepCage"",""Dc"",""No"",""No"",""P"",""P"",""Sc"",""Sc"",""Dc"","&amp;"""Dc"")"),"No")</f>
        <v>No</v>
      </c>
      <c r="AU112" s="6" t="str">
        <f ca="1">IFERROR(__xludf.DUMMYFUNCTION("SWITCH(IF(A112 = ""Practice"", H112, FILTER('Items by Team'!D$2:D3410,'Items by Team'!C$2:C3410 = D112,'Items by Team'!B$2:B3410 = B112)), ""Yes"", ""TRUE"", ""No"", ""FALSE"",TRUE, ""TRUE"", FALSE, ""FALSE"")"),"TRUE")</f>
        <v>TRUE</v>
      </c>
      <c r="AV112" s="6">
        <f t="shared" si="0"/>
        <v>0</v>
      </c>
      <c r="AW112" s="6">
        <f t="shared" ca="1" si="1"/>
        <v>1</v>
      </c>
      <c r="AX112" s="6">
        <f t="shared" ca="1" si="2"/>
        <v>0</v>
      </c>
      <c r="AY112" s="6">
        <f t="shared" ca="1" si="3"/>
        <v>0</v>
      </c>
      <c r="AZ112" s="9" t="str">
        <f t="shared" ca="1" si="4"/>
        <v/>
      </c>
      <c r="BA112" s="6">
        <f t="shared" ca="1" si="5"/>
        <v>0</v>
      </c>
      <c r="BB112" s="6">
        <f t="shared" ca="1" si="6"/>
        <v>0</v>
      </c>
      <c r="BC112" s="9" t="str">
        <f t="shared" ca="1" si="7"/>
        <v/>
      </c>
      <c r="BD112" s="6">
        <f t="shared" ca="1" si="8"/>
        <v>0</v>
      </c>
      <c r="BE112" s="6">
        <f t="shared" ca="1" si="9"/>
        <v>0</v>
      </c>
      <c r="BF112" s="9" t="str">
        <f t="shared" ca="1" si="10"/>
        <v/>
      </c>
      <c r="BG112" s="6">
        <f t="shared" ca="1" si="11"/>
        <v>1</v>
      </c>
      <c r="BH112" s="6">
        <f t="shared" ca="1" si="12"/>
        <v>3</v>
      </c>
      <c r="BI112" s="9">
        <f t="shared" ca="1" si="13"/>
        <v>0.33333333333333331</v>
      </c>
      <c r="BJ112" s="6">
        <f t="shared" ca="1" si="14"/>
        <v>0</v>
      </c>
      <c r="BK112" s="6">
        <f t="shared" ca="1" si="15"/>
        <v>0</v>
      </c>
      <c r="BL112" s="6">
        <f t="shared" ca="1" si="16"/>
        <v>0</v>
      </c>
      <c r="BM112" s="6">
        <f t="shared" ca="1" si="17"/>
        <v>0</v>
      </c>
      <c r="BN112" s="6">
        <f t="shared" ca="1" si="18"/>
        <v>1</v>
      </c>
      <c r="BP112" s="6">
        <f t="shared" ca="1" si="19"/>
        <v>0</v>
      </c>
      <c r="BQ112" s="6" t="b">
        <f ca="1">IFERROR(__xludf.DUMMYFUNCTION("IF(AND(ISERROR(FILTER('Items by Team'!D$2:D3410,'Items by Team'!C$2:C3410 = D112,'Items by Team'!B$2:B3410 = B112)),NOT(A112=""Practice"")),TRUE,FALSE)"),FALSE)</f>
        <v>0</v>
      </c>
      <c r="BR112" s="6">
        <f t="shared" ca="1" si="20"/>
        <v>0</v>
      </c>
    </row>
    <row r="113" spans="1:70">
      <c r="A113" s="6" t="str">
        <f ca="1">IFERROR(__xludf.DUMMYFUNCTION("""COMPUTED_VALUE"""),"Practice")</f>
        <v>Practice</v>
      </c>
      <c r="B113" s="6">
        <f ca="1">IFERROR(__xludf.DUMMYFUNCTION("""COMPUTED_VALUE"""),20)</f>
        <v>20</v>
      </c>
      <c r="C113" s="6" t="str">
        <f ca="1">IFERROR(__xludf.DUMMYFUNCTION("""COMPUTED_VALUE"""),"B1")</f>
        <v>B1</v>
      </c>
      <c r="D113" s="6">
        <f ca="1">IFERROR(__xludf.DUMMYFUNCTION("""COMPUTED_VALUE"""),4174)</f>
        <v>4174</v>
      </c>
      <c r="E113" s="6" t="b">
        <f ca="1">IFERROR(__xludf.DUMMYFUNCTION("""COMPUTED_VALUE"""),FALSE)</f>
        <v>0</v>
      </c>
      <c r="F113" s="6" t="str">
        <f ca="1">IFERROR(__xludf.DUMMYFUNCTION("""COMPUTED_VALUE"""),"Blue Barge")</f>
        <v>Blue Barge</v>
      </c>
      <c r="G113" s="6" t="b">
        <f ca="1">IFERROR(__xludf.DUMMYFUNCTION("""COMPUTED_VALUE"""),TRUE)</f>
        <v>1</v>
      </c>
      <c r="H113" s="6" t="b">
        <f ca="1">IFERROR(__xludf.DUMMYFUNCTION("""COMPUTED_VALUE"""),TRUE)</f>
        <v>1</v>
      </c>
      <c r="I113" s="6">
        <f ca="1">IFERROR(__xludf.DUMMYFUNCTION("""COMPUTED_VALUE"""),0)</f>
        <v>0</v>
      </c>
      <c r="J113" s="6">
        <f ca="1">IFERROR(__xludf.DUMMYFUNCTION("""COMPUTED_VALUE"""),2)</f>
        <v>2</v>
      </c>
      <c r="K113" s="6">
        <f ca="1">IFERROR(__xludf.DUMMYFUNCTION("""COMPUTED_VALUE"""),0)</f>
        <v>0</v>
      </c>
      <c r="L113" s="6">
        <f ca="1">IFERROR(__xludf.DUMMYFUNCTION("""COMPUTED_VALUE"""),2)</f>
        <v>2</v>
      </c>
      <c r="M113" s="6">
        <f ca="1">IFERROR(__xludf.DUMMYFUNCTION("""COMPUTED_VALUE"""),0)</f>
        <v>0</v>
      </c>
      <c r="N113" s="6">
        <f ca="1">IFERROR(__xludf.DUMMYFUNCTION("""COMPUTED_VALUE"""),0)</f>
        <v>0</v>
      </c>
      <c r="O113" s="6">
        <f ca="1">IFERROR(__xludf.DUMMYFUNCTION("""COMPUTED_VALUE"""),0)</f>
        <v>0</v>
      </c>
      <c r="P113" s="6">
        <f ca="1">IFERROR(__xludf.DUMMYFUNCTION("""COMPUTED_VALUE"""),0)</f>
        <v>0</v>
      </c>
      <c r="R113" s="6">
        <f ca="1">IFERROR(__xludf.DUMMYFUNCTION("""COMPUTED_VALUE"""),0)</f>
        <v>0</v>
      </c>
      <c r="S113" s="6">
        <f ca="1">IFERROR(__xludf.DUMMYFUNCTION("""COMPUTED_VALUE"""),0)</f>
        <v>0</v>
      </c>
      <c r="T113" s="6">
        <f ca="1">IFERROR(__xludf.DUMMYFUNCTION("""COMPUTED_VALUE"""),0)</f>
        <v>0</v>
      </c>
      <c r="U113" s="6">
        <f ca="1">IFERROR(__xludf.DUMMYFUNCTION("""COMPUTED_VALUE"""),0)</f>
        <v>0</v>
      </c>
      <c r="V113" s="6">
        <f ca="1">IFERROR(__xludf.DUMMYFUNCTION("""COMPUTED_VALUE"""),0)</f>
        <v>0</v>
      </c>
      <c r="W113" s="6">
        <f ca="1">IFERROR(__xludf.DUMMYFUNCTION("""COMPUTED_VALUE"""),0)</f>
        <v>0</v>
      </c>
      <c r="X113" s="6">
        <f ca="1">IFERROR(__xludf.DUMMYFUNCTION("""COMPUTED_VALUE"""),0)</f>
        <v>0</v>
      </c>
      <c r="Y113" s="6">
        <f ca="1">IFERROR(__xludf.DUMMYFUNCTION("""COMPUTED_VALUE"""),0)</f>
        <v>0</v>
      </c>
      <c r="Z113" s="6">
        <f ca="1">IFERROR(__xludf.DUMMYFUNCTION("""COMPUTED_VALUE"""),0)</f>
        <v>0</v>
      </c>
      <c r="AA113" s="6">
        <f ca="1">IFERROR(__xludf.DUMMYFUNCTION("""COMPUTED_VALUE"""),3)</f>
        <v>3</v>
      </c>
      <c r="AB113" s="6" t="b">
        <f ca="1">IFERROR(__xludf.DUMMYFUNCTION("""COMPUTED_VALUE"""),TRUE)</f>
        <v>1</v>
      </c>
      <c r="AD113" s="6" t="b">
        <f ca="1">IFERROR(__xludf.DUMMYFUNCTION("""COMPUTED_VALUE"""),FALSE)</f>
        <v>0</v>
      </c>
      <c r="AE113" s="6">
        <f ca="1">IFERROR(__xludf.DUMMYFUNCTION("""COMPUTED_VALUE"""),5)</f>
        <v>5</v>
      </c>
      <c r="AF113" s="6">
        <f ca="1">IFERROR(__xludf.DUMMYFUNCTION("""COMPUTED_VALUE"""),3)</f>
        <v>3</v>
      </c>
      <c r="AG113" s="6">
        <f ca="1">IFERROR(__xludf.DUMMYFUNCTION("""COMPUTED_VALUE"""),0)</f>
        <v>0</v>
      </c>
      <c r="AH113" s="6">
        <f ca="1">IFERROR(__xludf.DUMMYFUNCTION("""COMPUTED_VALUE"""),0)</f>
        <v>0</v>
      </c>
      <c r="AI113" s="6">
        <f ca="1">IFERROR(__xludf.DUMMYFUNCTION("""COMPUTED_VALUE"""),1)</f>
        <v>1</v>
      </c>
      <c r="AK113" s="6" t="str">
        <f ca="1">IFERROR(__xludf.DUMMYFUNCTION("""COMPUTED_VALUE"""),"Dc")</f>
        <v>Dc</v>
      </c>
      <c r="AL113" s="6">
        <f ca="1">IFERROR(__xludf.DUMMYFUNCTION("""COMPUTED_VALUE"""),0)</f>
        <v>0</v>
      </c>
      <c r="AM113" s="6" t="b">
        <f ca="1">IFERROR(__xludf.DUMMYFUNCTION("""COMPUTED_VALUE"""),FALSE)</f>
        <v>0</v>
      </c>
      <c r="AN113" s="6" t="str">
        <f ca="1">IFERROR(__xludf.DUMMYFUNCTION("""COMPUTED_VALUE"""),"P")</f>
        <v>P</v>
      </c>
      <c r="AO113" s="6" t="str">
        <f ca="1">IFERROR(__xludf.DUMMYFUNCTION("""COMPUTED_VALUE"""),"Clamped onto cage, no actual climb happened")</f>
        <v>Clamped onto cage, no actual climb happened</v>
      </c>
      <c r="AP113" s="6"/>
      <c r="AQ113" s="6" t="b">
        <f ca="1">IFERROR(__xludf.DUMMYFUNCTION("""COMPUTED_VALUE"""),FALSE)</f>
        <v>0</v>
      </c>
      <c r="AR113" s="6" t="b">
        <f ca="1">IFERROR(__xludf.DUMMYFUNCTION("""COMPUTED_VALUE"""),FALSE)</f>
        <v>0</v>
      </c>
      <c r="AS113" s="15"/>
      <c r="AT113" s="6" t="str">
        <f ca="1">IFERROR(__xludf.DUMMYFUNCTION("SWITCH(IF(A113=""Practice"",AN113,FILTER('Items by Team'!E$2:E3410,'Items by Team'!C$2:C3410=D113,B113='Items by Team'!B$2:B3410)),""None"",""No"",""Parked"",""P"",""ShallowCage"",""Sc"",""DeepCage"",""Dc"",""No"",""No"",""P"",""P"",""Sc"",""Sc"",""Dc"","&amp;"""Dc"")"),"P")</f>
        <v>P</v>
      </c>
      <c r="AU113" s="6" t="str">
        <f ca="1">IFERROR(__xludf.DUMMYFUNCTION("SWITCH(IF(A113 = ""Practice"", H113, FILTER('Items by Team'!D$2:D3410,'Items by Team'!C$2:C3410 = D113,'Items by Team'!B$2:B3410 = B113)), ""Yes"", ""TRUE"", ""No"", ""FALSE"",TRUE, ""TRUE"", FALSE, ""FALSE"")"),"TRUE")</f>
        <v>TRUE</v>
      </c>
      <c r="AV113" s="6">
        <f t="shared" si="0"/>
        <v>0</v>
      </c>
      <c r="AW113" s="6">
        <f t="shared" ca="1" si="1"/>
        <v>1</v>
      </c>
      <c r="AX113" s="6">
        <f t="shared" ca="1" si="2"/>
        <v>2</v>
      </c>
      <c r="AY113" s="6">
        <f t="shared" ca="1" si="3"/>
        <v>2</v>
      </c>
      <c r="AZ113" s="9">
        <f t="shared" ca="1" si="4"/>
        <v>1</v>
      </c>
      <c r="BA113" s="6">
        <f t="shared" ca="1" si="5"/>
        <v>0</v>
      </c>
      <c r="BB113" s="6">
        <f t="shared" ca="1" si="6"/>
        <v>0</v>
      </c>
      <c r="BC113" s="9" t="str">
        <f t="shared" ca="1" si="7"/>
        <v/>
      </c>
      <c r="BD113" s="6">
        <f t="shared" ca="1" si="8"/>
        <v>0</v>
      </c>
      <c r="BE113" s="6">
        <f t="shared" ca="1" si="9"/>
        <v>0</v>
      </c>
      <c r="BF113" s="9" t="str">
        <f t="shared" ca="1" si="10"/>
        <v/>
      </c>
      <c r="BG113" s="6">
        <f t="shared" ca="1" si="11"/>
        <v>8</v>
      </c>
      <c r="BH113" s="6">
        <f t="shared" ca="1" si="12"/>
        <v>9</v>
      </c>
      <c r="BI113" s="9">
        <f t="shared" ca="1" si="13"/>
        <v>0.88888888888888884</v>
      </c>
      <c r="BJ113" s="6">
        <f t="shared" ca="1" si="14"/>
        <v>0</v>
      </c>
      <c r="BK113" s="6">
        <f t="shared" ca="1" si="15"/>
        <v>0</v>
      </c>
      <c r="BL113" s="6">
        <f t="shared" ca="1" si="16"/>
        <v>1</v>
      </c>
      <c r="BM113" s="6">
        <f t="shared" ca="1" si="17"/>
        <v>0</v>
      </c>
      <c r="BN113" s="6">
        <f t="shared" ca="1" si="18"/>
        <v>1</v>
      </c>
      <c r="BP113" s="6">
        <f t="shared" ca="1" si="19"/>
        <v>0</v>
      </c>
      <c r="BQ113" s="6" t="b">
        <f ca="1">IFERROR(__xludf.DUMMYFUNCTION("IF(AND(ISERROR(FILTER('Items by Team'!D$2:D3410,'Items by Team'!C$2:C3410 = D113,'Items by Team'!B$2:B3410 = B113)),NOT(A113=""Practice"")),TRUE,FALSE)"),FALSE)</f>
        <v>0</v>
      </c>
      <c r="BR113" s="6">
        <f t="shared" ca="1" si="20"/>
        <v>0</v>
      </c>
    </row>
    <row r="114" spans="1:70">
      <c r="A114" s="6" t="str">
        <f ca="1">IFERROR(__xludf.DUMMYFUNCTION("""COMPUTED_VALUE"""),"Practice")</f>
        <v>Practice</v>
      </c>
      <c r="B114" s="6">
        <f ca="1">IFERROR(__xludf.DUMMYFUNCTION("""COMPUTED_VALUE"""),20)</f>
        <v>20</v>
      </c>
      <c r="C114" s="6" t="str">
        <f ca="1">IFERROR(__xludf.DUMMYFUNCTION("""COMPUTED_VALUE"""),"R2")</f>
        <v>R2</v>
      </c>
      <c r="D114" s="6">
        <f ca="1">IFERROR(__xludf.DUMMYFUNCTION("""COMPUTED_VALUE"""),2450)</f>
        <v>2450</v>
      </c>
      <c r="E114" s="6" t="b">
        <f ca="1">IFERROR(__xludf.DUMMYFUNCTION("""COMPUTED_VALUE"""),FALSE)</f>
        <v>0</v>
      </c>
      <c r="F114" s="6" t="str">
        <f ca="1">IFERROR(__xludf.DUMMYFUNCTION("""COMPUTED_VALUE"""),"Middle")</f>
        <v>Middle</v>
      </c>
      <c r="G114" s="6" t="b">
        <f ca="1">IFERROR(__xludf.DUMMYFUNCTION("""COMPUTED_VALUE"""),TRUE)</f>
        <v>1</v>
      </c>
      <c r="H114" s="6" t="b">
        <f ca="1">IFERROR(__xludf.DUMMYFUNCTION("""COMPUTED_VALUE"""),FALSE)</f>
        <v>0</v>
      </c>
      <c r="I114" s="6">
        <f ca="1">IFERROR(__xludf.DUMMYFUNCTION("""COMPUTED_VALUE"""),0)</f>
        <v>0</v>
      </c>
      <c r="J114" s="6">
        <f ca="1">IFERROR(__xludf.DUMMYFUNCTION("""COMPUTED_VALUE"""),0)</f>
        <v>0</v>
      </c>
      <c r="K114" s="6">
        <f ca="1">IFERROR(__xludf.DUMMYFUNCTION("""COMPUTED_VALUE"""),0)</f>
        <v>0</v>
      </c>
      <c r="L114" s="6">
        <f ca="1">IFERROR(__xludf.DUMMYFUNCTION("""COMPUTED_VALUE"""),0)</f>
        <v>0</v>
      </c>
      <c r="M114" s="6">
        <f ca="1">IFERROR(__xludf.DUMMYFUNCTION("""COMPUTED_VALUE"""),0)</f>
        <v>0</v>
      </c>
      <c r="N114" s="6">
        <f ca="1">IFERROR(__xludf.DUMMYFUNCTION("""COMPUTED_VALUE"""),0)</f>
        <v>0</v>
      </c>
      <c r="O114" s="6">
        <f ca="1">IFERROR(__xludf.DUMMYFUNCTION("""COMPUTED_VALUE"""),0)</f>
        <v>0</v>
      </c>
      <c r="P114" s="6">
        <f ca="1">IFERROR(__xludf.DUMMYFUNCTION("""COMPUTED_VALUE"""),0)</f>
        <v>0</v>
      </c>
      <c r="R114" s="6">
        <f ca="1">IFERROR(__xludf.DUMMYFUNCTION("""COMPUTED_VALUE"""),0)</f>
        <v>0</v>
      </c>
      <c r="S114" s="6">
        <f ca="1">IFERROR(__xludf.DUMMYFUNCTION("""COMPUTED_VALUE"""),0)</f>
        <v>0</v>
      </c>
      <c r="T114" s="6">
        <f ca="1">IFERROR(__xludf.DUMMYFUNCTION("""COMPUTED_VALUE"""),0)</f>
        <v>0</v>
      </c>
      <c r="U114" s="6">
        <f ca="1">IFERROR(__xludf.DUMMYFUNCTION("""COMPUTED_VALUE"""),0)</f>
        <v>0</v>
      </c>
      <c r="V114" s="6">
        <f ca="1">IFERROR(__xludf.DUMMYFUNCTION("""COMPUTED_VALUE"""),0)</f>
        <v>0</v>
      </c>
      <c r="W114" s="6">
        <f ca="1">IFERROR(__xludf.DUMMYFUNCTION("""COMPUTED_VALUE"""),0)</f>
        <v>0</v>
      </c>
      <c r="X114" s="6">
        <f ca="1">IFERROR(__xludf.DUMMYFUNCTION("""COMPUTED_VALUE"""),0)</f>
        <v>0</v>
      </c>
      <c r="Y114" s="6">
        <f ca="1">IFERROR(__xludf.DUMMYFUNCTION("""COMPUTED_VALUE"""),0)</f>
        <v>0</v>
      </c>
      <c r="Z114" s="6">
        <f ca="1">IFERROR(__xludf.DUMMYFUNCTION("""COMPUTED_VALUE"""),2)</f>
        <v>2</v>
      </c>
      <c r="AA114" s="6">
        <f ca="1">IFERROR(__xludf.DUMMYFUNCTION("""COMPUTED_VALUE"""),0)</f>
        <v>0</v>
      </c>
      <c r="AB114" s="6" t="b">
        <f ca="1">IFERROR(__xludf.DUMMYFUNCTION("""COMPUTED_VALUE"""),TRUE)</f>
        <v>1</v>
      </c>
      <c r="AD114" s="6" t="b">
        <f ca="1">IFERROR(__xludf.DUMMYFUNCTION("""COMPUTED_VALUE"""),FALSE)</f>
        <v>0</v>
      </c>
      <c r="AE114" s="6">
        <f ca="1">IFERROR(__xludf.DUMMYFUNCTION("""COMPUTED_VALUE"""),0)</f>
        <v>0</v>
      </c>
      <c r="AF114" s="6">
        <f ca="1">IFERROR(__xludf.DUMMYFUNCTION("""COMPUTED_VALUE"""),3)</f>
        <v>3</v>
      </c>
      <c r="AG114" s="6">
        <f ca="1">IFERROR(__xludf.DUMMYFUNCTION("""COMPUTED_VALUE"""),2)</f>
        <v>2</v>
      </c>
      <c r="AH114" s="6">
        <f ca="1">IFERROR(__xludf.DUMMYFUNCTION("""COMPUTED_VALUE"""),1)</f>
        <v>1</v>
      </c>
      <c r="AI114" s="6">
        <f ca="1">IFERROR(__xludf.DUMMYFUNCTION("""COMPUTED_VALUE"""),1)</f>
        <v>1</v>
      </c>
      <c r="AK114" s="6" t="str">
        <f ca="1">IFERROR(__xludf.DUMMYFUNCTION("""COMPUTED_VALUE"""),"P")</f>
        <v>P</v>
      </c>
      <c r="AL114" s="6">
        <f ca="1">IFERROR(__xludf.DUMMYFUNCTION("""COMPUTED_VALUE"""),0)</f>
        <v>0</v>
      </c>
      <c r="AM114" s="6" t="b">
        <f ca="1">IFERROR(__xludf.DUMMYFUNCTION("""COMPUTED_VALUE"""),FALSE)</f>
        <v>0</v>
      </c>
      <c r="AN114" s="6" t="str">
        <f ca="1">IFERROR(__xludf.DUMMYFUNCTION("""COMPUTED_VALUE"""),"P")</f>
        <v>P</v>
      </c>
      <c r="AO114" s="6"/>
      <c r="AP114" s="6"/>
      <c r="AQ114" s="6" t="b">
        <f ca="1">IFERROR(__xludf.DUMMYFUNCTION("""COMPUTED_VALUE"""),FALSE)</f>
        <v>0</v>
      </c>
      <c r="AR114" s="6" t="b">
        <f ca="1">IFERROR(__xludf.DUMMYFUNCTION("""COMPUTED_VALUE"""),FALSE)</f>
        <v>0</v>
      </c>
      <c r="AS114" s="15"/>
      <c r="AT114" s="6" t="str">
        <f ca="1">IFERROR(__xludf.DUMMYFUNCTION("SWITCH(IF(A114=""Practice"",AN114,FILTER('Items by Team'!E$2:E3410,'Items by Team'!C$2:C3410=D114,B114='Items by Team'!B$2:B3410)),""None"",""No"",""Parked"",""P"",""ShallowCage"",""Sc"",""DeepCage"",""Dc"",""No"",""No"",""P"",""P"",""Sc"",""Sc"",""Dc"","&amp;"""Dc"")"),"P")</f>
        <v>P</v>
      </c>
      <c r="AU114" s="6" t="str">
        <f ca="1">IFERROR(__xludf.DUMMYFUNCTION("SWITCH(IF(A114 = ""Practice"", H114, FILTER('Items by Team'!D$2:D3410,'Items by Team'!C$2:C3410 = D114,'Items by Team'!B$2:B3410 = B114)), ""Yes"", ""TRUE"", ""No"", ""FALSE"",TRUE, ""TRUE"", FALSE, ""FALSE"")"),"FALSE")</f>
        <v>FALSE</v>
      </c>
      <c r="AV114" s="6">
        <f t="shared" si="0"/>
        <v>0</v>
      </c>
      <c r="AW114" s="6">
        <f t="shared" ca="1" si="1"/>
        <v>0</v>
      </c>
      <c r="AX114" s="6">
        <f t="shared" ca="1" si="2"/>
        <v>0</v>
      </c>
      <c r="AY114" s="6">
        <f t="shared" ca="1" si="3"/>
        <v>0</v>
      </c>
      <c r="AZ114" s="9" t="str">
        <f t="shared" ca="1" si="4"/>
        <v/>
      </c>
      <c r="BA114" s="6">
        <f t="shared" ca="1" si="5"/>
        <v>0</v>
      </c>
      <c r="BB114" s="6">
        <f t="shared" ca="1" si="6"/>
        <v>0</v>
      </c>
      <c r="BC114" s="9" t="str">
        <f t="shared" ca="1" si="7"/>
        <v/>
      </c>
      <c r="BD114" s="6">
        <f t="shared" ca="1" si="8"/>
        <v>0</v>
      </c>
      <c r="BE114" s="6">
        <f t="shared" ca="1" si="9"/>
        <v>0</v>
      </c>
      <c r="BF114" s="9" t="str">
        <f t="shared" ca="1" si="10"/>
        <v/>
      </c>
      <c r="BG114" s="6">
        <f t="shared" ca="1" si="11"/>
        <v>6</v>
      </c>
      <c r="BH114" s="6">
        <f t="shared" ca="1" si="12"/>
        <v>7</v>
      </c>
      <c r="BI114" s="9">
        <f t="shared" ca="1" si="13"/>
        <v>0.8571428571428571</v>
      </c>
      <c r="BJ114" s="6">
        <f t="shared" ca="1" si="14"/>
        <v>0</v>
      </c>
      <c r="BK114" s="6">
        <f t="shared" ca="1" si="15"/>
        <v>0</v>
      </c>
      <c r="BL114" s="6">
        <f t="shared" ca="1" si="16"/>
        <v>0</v>
      </c>
      <c r="BM114" s="6">
        <f t="shared" ca="1" si="17"/>
        <v>0</v>
      </c>
      <c r="BN114" s="6">
        <f t="shared" ca="1" si="18"/>
        <v>1</v>
      </c>
      <c r="BP114" s="6">
        <f t="shared" ca="1" si="19"/>
        <v>0</v>
      </c>
      <c r="BQ114" s="6" t="b">
        <f ca="1">IFERROR(__xludf.DUMMYFUNCTION("IF(AND(ISERROR(FILTER('Items by Team'!D$2:D3410,'Items by Team'!C$2:C3410 = D114,'Items by Team'!B$2:B3410 = B114)),NOT(A114=""Practice"")),TRUE,FALSE)"),FALSE)</f>
        <v>0</v>
      </c>
      <c r="BR114" s="6">
        <f t="shared" ca="1" si="20"/>
        <v>0</v>
      </c>
    </row>
    <row r="115" spans="1:70">
      <c r="A115" s="6" t="str">
        <f ca="1">IFERROR(__xludf.DUMMYFUNCTION("""COMPUTED_VALUE"""),"Practice")</f>
        <v>Practice</v>
      </c>
      <c r="B115" s="6">
        <f ca="1">IFERROR(__xludf.DUMMYFUNCTION("""COMPUTED_VALUE"""),21)</f>
        <v>21</v>
      </c>
      <c r="C115" s="6" t="str">
        <f ca="1">IFERROR(__xludf.DUMMYFUNCTION("""COMPUTED_VALUE"""),"B2")</f>
        <v>B2</v>
      </c>
      <c r="D115" s="6">
        <f ca="1">IFERROR(__xludf.DUMMYFUNCTION("""COMPUTED_VALUE"""),3891)</f>
        <v>3891</v>
      </c>
      <c r="E115" s="6" t="b">
        <f ca="1">IFERROR(__xludf.DUMMYFUNCTION("""COMPUTED_VALUE"""),FALSE)</f>
        <v>0</v>
      </c>
      <c r="F115" s="6" t="str">
        <f ca="1">IFERROR(__xludf.DUMMYFUNCTION("""COMPUTED_VALUE"""),"Blue Barge")</f>
        <v>Blue Barge</v>
      </c>
      <c r="G115" s="6" t="b">
        <f ca="1">IFERROR(__xludf.DUMMYFUNCTION("""COMPUTED_VALUE"""),TRUE)</f>
        <v>1</v>
      </c>
      <c r="H115" s="6" t="b">
        <f ca="1">IFERROR(__xludf.DUMMYFUNCTION("""COMPUTED_VALUE"""),TRUE)</f>
        <v>1</v>
      </c>
      <c r="I115" s="6">
        <f ca="1">IFERROR(__xludf.DUMMYFUNCTION("""COMPUTED_VALUE"""),0)</f>
        <v>0</v>
      </c>
      <c r="J115" s="6">
        <f ca="1">IFERROR(__xludf.DUMMYFUNCTION("""COMPUTED_VALUE"""),1)</f>
        <v>1</v>
      </c>
      <c r="K115" s="6">
        <f ca="1">IFERROR(__xludf.DUMMYFUNCTION("""COMPUTED_VALUE"""),0)</f>
        <v>0</v>
      </c>
      <c r="L115" s="6">
        <f ca="1">IFERROR(__xludf.DUMMYFUNCTION("""COMPUTED_VALUE"""),1)</f>
        <v>1</v>
      </c>
      <c r="M115" s="6">
        <f ca="1">IFERROR(__xludf.DUMMYFUNCTION("""COMPUTED_VALUE"""),0)</f>
        <v>0</v>
      </c>
      <c r="N115" s="6">
        <f ca="1">IFERROR(__xludf.DUMMYFUNCTION("""COMPUTED_VALUE"""),0)</f>
        <v>0</v>
      </c>
      <c r="O115" s="6">
        <f ca="1">IFERROR(__xludf.DUMMYFUNCTION("""COMPUTED_VALUE"""),0)</f>
        <v>0</v>
      </c>
      <c r="P115" s="6">
        <f ca="1">IFERROR(__xludf.DUMMYFUNCTION("""COMPUTED_VALUE"""),1)</f>
        <v>1</v>
      </c>
      <c r="R115" s="6">
        <f ca="1">IFERROR(__xludf.DUMMYFUNCTION("""COMPUTED_VALUE"""),0)</f>
        <v>0</v>
      </c>
      <c r="S115" s="6">
        <f ca="1">IFERROR(__xludf.DUMMYFUNCTION("""COMPUTED_VALUE"""),0)</f>
        <v>0</v>
      </c>
      <c r="T115" s="6">
        <f ca="1">IFERROR(__xludf.DUMMYFUNCTION("""COMPUTED_VALUE"""),0)</f>
        <v>0</v>
      </c>
      <c r="U115" s="6">
        <f ca="1">IFERROR(__xludf.DUMMYFUNCTION("""COMPUTED_VALUE"""),0)</f>
        <v>0</v>
      </c>
      <c r="V115" s="6">
        <f ca="1">IFERROR(__xludf.DUMMYFUNCTION("""COMPUTED_VALUE"""),0)</f>
        <v>0</v>
      </c>
      <c r="W115" s="6">
        <f ca="1">IFERROR(__xludf.DUMMYFUNCTION("""COMPUTED_VALUE"""),0)</f>
        <v>0</v>
      </c>
      <c r="X115" s="6">
        <f ca="1">IFERROR(__xludf.DUMMYFUNCTION("""COMPUTED_VALUE"""),0)</f>
        <v>0</v>
      </c>
      <c r="Y115" s="6">
        <f ca="1">IFERROR(__xludf.DUMMYFUNCTION("""COMPUTED_VALUE"""),0)</f>
        <v>0</v>
      </c>
      <c r="Z115" s="6">
        <f ca="1">IFERROR(__xludf.DUMMYFUNCTION("""COMPUTED_VALUE"""),0)</f>
        <v>0</v>
      </c>
      <c r="AA115" s="6">
        <f ca="1">IFERROR(__xludf.DUMMYFUNCTION("""COMPUTED_VALUE"""),0)</f>
        <v>0</v>
      </c>
      <c r="AB115" s="6" t="b">
        <f ca="1">IFERROR(__xludf.DUMMYFUNCTION("""COMPUTED_VALUE"""),TRUE)</f>
        <v>1</v>
      </c>
      <c r="AD115" s="6" t="b">
        <f ca="1">IFERROR(__xludf.DUMMYFUNCTION("""COMPUTED_VALUE"""),FALSE)</f>
        <v>0</v>
      </c>
      <c r="AE115" s="6">
        <f ca="1">IFERROR(__xludf.DUMMYFUNCTION("""COMPUTED_VALUE"""),2)</f>
        <v>2</v>
      </c>
      <c r="AF115" s="6">
        <f ca="1">IFERROR(__xludf.DUMMYFUNCTION("""COMPUTED_VALUE"""),5)</f>
        <v>5</v>
      </c>
      <c r="AG115" s="6">
        <f ca="1">IFERROR(__xludf.DUMMYFUNCTION("""COMPUTED_VALUE"""),2)</f>
        <v>2</v>
      </c>
      <c r="AH115" s="6">
        <f ca="1">IFERROR(__xludf.DUMMYFUNCTION("""COMPUTED_VALUE"""),0)</f>
        <v>0</v>
      </c>
      <c r="AI115" s="6">
        <f ca="1">IFERROR(__xludf.DUMMYFUNCTION("""COMPUTED_VALUE"""),2)</f>
        <v>2</v>
      </c>
      <c r="AK115" s="6" t="str">
        <f ca="1">IFERROR(__xludf.DUMMYFUNCTION("""COMPUTED_VALUE"""),"No")</f>
        <v>No</v>
      </c>
      <c r="AL115" s="6">
        <f ca="1">IFERROR(__xludf.DUMMYFUNCTION("""COMPUTED_VALUE"""),0)</f>
        <v>0</v>
      </c>
      <c r="AM115" s="6" t="b">
        <f ca="1">IFERROR(__xludf.DUMMYFUNCTION("""COMPUTED_VALUE"""),FALSE)</f>
        <v>0</v>
      </c>
      <c r="AN115" s="6" t="str">
        <f ca="1">IFERROR(__xludf.DUMMYFUNCTION("""COMPUTED_VALUE"""),"No")</f>
        <v>No</v>
      </c>
      <c r="AO115" s="6"/>
      <c r="AP115" s="6"/>
      <c r="AQ115" s="6" t="b">
        <f ca="1">IFERROR(__xludf.DUMMYFUNCTION("""COMPUTED_VALUE"""),FALSE)</f>
        <v>0</v>
      </c>
      <c r="AR115" s="6" t="b">
        <f ca="1">IFERROR(__xludf.DUMMYFUNCTION("""COMPUTED_VALUE"""),FALSE)</f>
        <v>0</v>
      </c>
      <c r="AS115" s="15"/>
      <c r="AT115" s="6" t="str">
        <f ca="1">IFERROR(__xludf.DUMMYFUNCTION("SWITCH(IF(A115=""Practice"",AN115,FILTER('Items by Team'!E$2:E3410,'Items by Team'!C$2:C3410=D115,B115='Items by Team'!B$2:B3410)),""None"",""No"",""Parked"",""P"",""ShallowCage"",""Sc"",""DeepCage"",""Dc"",""No"",""No"",""P"",""P"",""Sc"",""Sc"",""Dc"","&amp;"""Dc"")"),"No")</f>
        <v>No</v>
      </c>
      <c r="AU115" s="6" t="str">
        <f ca="1">IFERROR(__xludf.DUMMYFUNCTION("SWITCH(IF(A115 = ""Practice"", H115, FILTER('Items by Team'!D$2:D3410,'Items by Team'!C$2:C3410 = D115,'Items by Team'!B$2:B3410 = B115)), ""Yes"", ""TRUE"", ""No"", ""FALSE"",TRUE, ""TRUE"", FALSE, ""FALSE"")"),"TRUE")</f>
        <v>TRUE</v>
      </c>
      <c r="AV115" s="6">
        <f t="shared" si="0"/>
        <v>0</v>
      </c>
      <c r="AW115" s="6">
        <f t="shared" ca="1" si="1"/>
        <v>1</v>
      </c>
      <c r="AX115" s="6">
        <f t="shared" ca="1" si="2"/>
        <v>1</v>
      </c>
      <c r="AY115" s="6">
        <f t="shared" ca="1" si="3"/>
        <v>2</v>
      </c>
      <c r="AZ115" s="9">
        <f t="shared" ca="1" si="4"/>
        <v>0.5</v>
      </c>
      <c r="BA115" s="6">
        <f t="shared" ca="1" si="5"/>
        <v>0</v>
      </c>
      <c r="BB115" s="6">
        <f t="shared" ca="1" si="6"/>
        <v>0</v>
      </c>
      <c r="BC115" s="9" t="str">
        <f t="shared" ca="1" si="7"/>
        <v/>
      </c>
      <c r="BD115" s="6">
        <f t="shared" ca="1" si="8"/>
        <v>0</v>
      </c>
      <c r="BE115" s="6">
        <f t="shared" ca="1" si="9"/>
        <v>0</v>
      </c>
      <c r="BF115" s="9" t="str">
        <f t="shared" ca="1" si="10"/>
        <v/>
      </c>
      <c r="BG115" s="6">
        <f t="shared" ca="1" si="11"/>
        <v>9</v>
      </c>
      <c r="BH115" s="6">
        <f t="shared" ca="1" si="12"/>
        <v>11</v>
      </c>
      <c r="BI115" s="9">
        <f t="shared" ca="1" si="13"/>
        <v>0.81818181818181823</v>
      </c>
      <c r="BJ115" s="6">
        <f t="shared" ca="1" si="14"/>
        <v>0</v>
      </c>
      <c r="BK115" s="6">
        <f t="shared" ca="1" si="15"/>
        <v>0</v>
      </c>
      <c r="BL115" s="6">
        <f t="shared" ca="1" si="16"/>
        <v>1</v>
      </c>
      <c r="BM115" s="6">
        <f t="shared" ca="1" si="17"/>
        <v>0</v>
      </c>
      <c r="BN115" s="6">
        <f t="shared" ca="1" si="18"/>
        <v>1</v>
      </c>
      <c r="BP115" s="6">
        <f t="shared" ca="1" si="19"/>
        <v>0</v>
      </c>
      <c r="BQ115" s="6" t="b">
        <f ca="1">IFERROR(__xludf.DUMMYFUNCTION("IF(AND(ISERROR(FILTER('Items by Team'!D$2:D3410,'Items by Team'!C$2:C3410 = D115,'Items by Team'!B$2:B3410 = B115)),NOT(A115=""Practice"")),TRUE,FALSE)"),FALSE)</f>
        <v>0</v>
      </c>
      <c r="BR115" s="6">
        <f t="shared" ca="1" si="20"/>
        <v>0</v>
      </c>
    </row>
    <row r="116" spans="1:70">
      <c r="A116" s="6" t="str">
        <f ca="1">IFERROR(__xludf.DUMMYFUNCTION("""COMPUTED_VALUE"""),"Practice")</f>
        <v>Practice</v>
      </c>
      <c r="B116" s="6">
        <f ca="1">IFERROR(__xludf.DUMMYFUNCTION("""COMPUTED_VALUE"""),21)</f>
        <v>21</v>
      </c>
      <c r="C116" s="6" t="str">
        <f ca="1">IFERROR(__xludf.DUMMYFUNCTION("""COMPUTED_VALUE"""),"R2")</f>
        <v>R2</v>
      </c>
      <c r="D116" s="6">
        <f ca="1">IFERROR(__xludf.DUMMYFUNCTION("""COMPUTED_VALUE"""),7849)</f>
        <v>7849</v>
      </c>
      <c r="E116" s="6" t="b">
        <f ca="1">IFERROR(__xludf.DUMMYFUNCTION("""COMPUTED_VALUE"""),FALSE)</f>
        <v>0</v>
      </c>
      <c r="F116" s="6" t="str">
        <f ca="1">IFERROR(__xludf.DUMMYFUNCTION("""COMPUTED_VALUE"""),"Red Barge")</f>
        <v>Red Barge</v>
      </c>
      <c r="G116" s="6" t="b">
        <f ca="1">IFERROR(__xludf.DUMMYFUNCTION("""COMPUTED_VALUE"""),TRUE)</f>
        <v>1</v>
      </c>
      <c r="H116" s="6" t="b">
        <f ca="1">IFERROR(__xludf.DUMMYFUNCTION("""COMPUTED_VALUE"""),TRUE)</f>
        <v>1</v>
      </c>
      <c r="I116" s="6">
        <f ca="1">IFERROR(__xludf.DUMMYFUNCTION("""COMPUTED_VALUE"""),0)</f>
        <v>0</v>
      </c>
      <c r="J116" s="6">
        <f ca="1">IFERROR(__xludf.DUMMYFUNCTION("""COMPUTED_VALUE"""),0)</f>
        <v>0</v>
      </c>
      <c r="K116" s="6">
        <f ca="1">IFERROR(__xludf.DUMMYFUNCTION("""COMPUTED_VALUE"""),0)</f>
        <v>0</v>
      </c>
      <c r="L116" s="6">
        <f ca="1">IFERROR(__xludf.DUMMYFUNCTION("""COMPUTED_VALUE"""),0)</f>
        <v>0</v>
      </c>
      <c r="M116" s="6">
        <f ca="1">IFERROR(__xludf.DUMMYFUNCTION("""COMPUTED_VALUE"""),0)</f>
        <v>0</v>
      </c>
      <c r="N116" s="6">
        <f ca="1">IFERROR(__xludf.DUMMYFUNCTION("""COMPUTED_VALUE"""),0)</f>
        <v>0</v>
      </c>
      <c r="O116" s="6">
        <f ca="1">IFERROR(__xludf.DUMMYFUNCTION("""COMPUTED_VALUE"""),0)</f>
        <v>0</v>
      </c>
      <c r="P116" s="6">
        <f ca="1">IFERROR(__xludf.DUMMYFUNCTION("""COMPUTED_VALUE"""),1)</f>
        <v>1</v>
      </c>
      <c r="R116" s="6">
        <f ca="1">IFERROR(__xludf.DUMMYFUNCTION("""COMPUTED_VALUE"""),0)</f>
        <v>0</v>
      </c>
      <c r="S116" s="6">
        <f ca="1">IFERROR(__xludf.DUMMYFUNCTION("""COMPUTED_VALUE"""),0)</f>
        <v>0</v>
      </c>
      <c r="T116" s="6">
        <f ca="1">IFERROR(__xludf.DUMMYFUNCTION("""COMPUTED_VALUE"""),0)</f>
        <v>0</v>
      </c>
      <c r="U116" s="6">
        <f ca="1">IFERROR(__xludf.DUMMYFUNCTION("""COMPUTED_VALUE"""),0)</f>
        <v>0</v>
      </c>
      <c r="V116" s="6">
        <f ca="1">IFERROR(__xludf.DUMMYFUNCTION("""COMPUTED_VALUE"""),0)</f>
        <v>0</v>
      </c>
      <c r="W116" s="6">
        <f ca="1">IFERROR(__xludf.DUMMYFUNCTION("""COMPUTED_VALUE"""),0)</f>
        <v>0</v>
      </c>
      <c r="X116" s="6">
        <f ca="1">IFERROR(__xludf.DUMMYFUNCTION("""COMPUTED_VALUE"""),0)</f>
        <v>0</v>
      </c>
      <c r="Y116" s="6">
        <f ca="1">IFERROR(__xludf.DUMMYFUNCTION("""COMPUTED_VALUE"""),0)</f>
        <v>0</v>
      </c>
      <c r="Z116" s="6">
        <f ca="1">IFERROR(__xludf.DUMMYFUNCTION("""COMPUTED_VALUE"""),0)</f>
        <v>0</v>
      </c>
      <c r="AA116" s="6">
        <f ca="1">IFERROR(__xludf.DUMMYFUNCTION("""COMPUTED_VALUE"""),0)</f>
        <v>0</v>
      </c>
      <c r="AB116" s="6" t="b">
        <f ca="1">IFERROR(__xludf.DUMMYFUNCTION("""COMPUTED_VALUE"""),TRUE)</f>
        <v>1</v>
      </c>
      <c r="AD116" s="6" t="b">
        <f ca="1">IFERROR(__xludf.DUMMYFUNCTION("""COMPUTED_VALUE"""),FALSE)</f>
        <v>0</v>
      </c>
      <c r="AE116" s="6">
        <f ca="1">IFERROR(__xludf.DUMMYFUNCTION("""COMPUTED_VALUE"""),0)</f>
        <v>0</v>
      </c>
      <c r="AF116" s="6">
        <f ca="1">IFERROR(__xludf.DUMMYFUNCTION("""COMPUTED_VALUE"""),2)</f>
        <v>2</v>
      </c>
      <c r="AG116" s="6">
        <f ca="1">IFERROR(__xludf.DUMMYFUNCTION("""COMPUTED_VALUE"""),0)</f>
        <v>0</v>
      </c>
      <c r="AH116" s="6">
        <f ca="1">IFERROR(__xludf.DUMMYFUNCTION("""COMPUTED_VALUE"""),0)</f>
        <v>0</v>
      </c>
      <c r="AI116" s="6">
        <f ca="1">IFERROR(__xludf.DUMMYFUNCTION("""COMPUTED_VALUE"""),3)</f>
        <v>3</v>
      </c>
      <c r="AK116" s="6" t="str">
        <f ca="1">IFERROR(__xludf.DUMMYFUNCTION("""COMPUTED_VALUE"""),"No")</f>
        <v>No</v>
      </c>
      <c r="AL116" s="6">
        <f ca="1">IFERROR(__xludf.DUMMYFUNCTION("""COMPUTED_VALUE"""),0)</f>
        <v>0</v>
      </c>
      <c r="AM116" s="6" t="b">
        <f ca="1">IFERROR(__xludf.DUMMYFUNCTION("""COMPUTED_VALUE"""),FALSE)</f>
        <v>0</v>
      </c>
      <c r="AN116" s="6" t="str">
        <f ca="1">IFERROR(__xludf.DUMMYFUNCTION("""COMPUTED_VALUE"""),"No")</f>
        <v>No</v>
      </c>
      <c r="AO116" s="6"/>
      <c r="AP116" s="6"/>
      <c r="AQ116" s="6" t="b">
        <f ca="1">IFERROR(__xludf.DUMMYFUNCTION("""COMPUTED_VALUE"""),FALSE)</f>
        <v>0</v>
      </c>
      <c r="AR116" s="6" t="b">
        <f ca="1">IFERROR(__xludf.DUMMYFUNCTION("""COMPUTED_VALUE"""),FALSE)</f>
        <v>0</v>
      </c>
      <c r="AS116" s="15"/>
      <c r="AT116" s="6" t="str">
        <f ca="1">IFERROR(__xludf.DUMMYFUNCTION("SWITCH(IF(A116=""Practice"",AN116,FILTER('Items by Team'!E$2:E3410,'Items by Team'!C$2:C3410=D116,B116='Items by Team'!B$2:B3410)),""None"",""No"",""Parked"",""P"",""ShallowCage"",""Sc"",""DeepCage"",""Dc"",""No"",""No"",""P"",""P"",""Sc"",""Sc"",""Dc"","&amp;"""Dc"")"),"No")</f>
        <v>No</v>
      </c>
      <c r="AU116" s="6" t="str">
        <f ca="1">IFERROR(__xludf.DUMMYFUNCTION("SWITCH(IF(A116 = ""Practice"", H116, FILTER('Items by Team'!D$2:D3410,'Items by Team'!C$2:C3410 = D116,'Items by Team'!B$2:B3410 = B116)), ""Yes"", ""TRUE"", ""No"", ""FALSE"",TRUE, ""TRUE"", FALSE, ""FALSE"")"),"TRUE")</f>
        <v>TRUE</v>
      </c>
      <c r="AV116" s="6">
        <f t="shared" si="0"/>
        <v>0</v>
      </c>
      <c r="AW116" s="6">
        <f t="shared" ca="1" si="1"/>
        <v>1</v>
      </c>
      <c r="AX116" s="6">
        <f t="shared" ca="1" si="2"/>
        <v>0</v>
      </c>
      <c r="AY116" s="6">
        <f t="shared" ca="1" si="3"/>
        <v>1</v>
      </c>
      <c r="AZ116" s="9">
        <f t="shared" ca="1" si="4"/>
        <v>0</v>
      </c>
      <c r="BA116" s="6">
        <f t="shared" ca="1" si="5"/>
        <v>0</v>
      </c>
      <c r="BB116" s="6">
        <f t="shared" ca="1" si="6"/>
        <v>0</v>
      </c>
      <c r="BC116" s="9" t="str">
        <f t="shared" ca="1" si="7"/>
        <v/>
      </c>
      <c r="BD116" s="6">
        <f t="shared" ca="1" si="8"/>
        <v>0</v>
      </c>
      <c r="BE116" s="6">
        <f t="shared" ca="1" si="9"/>
        <v>0</v>
      </c>
      <c r="BF116" s="9" t="str">
        <f t="shared" ca="1" si="10"/>
        <v/>
      </c>
      <c r="BG116" s="6">
        <f t="shared" ca="1" si="11"/>
        <v>2</v>
      </c>
      <c r="BH116" s="6">
        <f t="shared" ca="1" si="12"/>
        <v>5</v>
      </c>
      <c r="BI116" s="9">
        <f t="shared" ca="1" si="13"/>
        <v>0.4</v>
      </c>
      <c r="BJ116" s="6">
        <f t="shared" ca="1" si="14"/>
        <v>0</v>
      </c>
      <c r="BK116" s="6">
        <f t="shared" ca="1" si="15"/>
        <v>0</v>
      </c>
      <c r="BL116" s="6">
        <f t="shared" ca="1" si="16"/>
        <v>0</v>
      </c>
      <c r="BM116" s="6">
        <f t="shared" ca="1" si="17"/>
        <v>0</v>
      </c>
      <c r="BN116" s="6">
        <f t="shared" ca="1" si="18"/>
        <v>1</v>
      </c>
      <c r="BP116" s="6">
        <f t="shared" ca="1" si="19"/>
        <v>0</v>
      </c>
      <c r="BQ116" s="6" t="b">
        <f ca="1">IFERROR(__xludf.DUMMYFUNCTION("IF(AND(ISERROR(FILTER('Items by Team'!D$2:D3410,'Items by Team'!C$2:C3410 = D116,'Items by Team'!B$2:B3410 = B116)),NOT(A116=""Practice"")),TRUE,FALSE)"),FALSE)</f>
        <v>0</v>
      </c>
      <c r="BR116" s="6">
        <f t="shared" ca="1" si="20"/>
        <v>0</v>
      </c>
    </row>
    <row r="117" spans="1:70">
      <c r="A117" s="6" t="str">
        <f ca="1">IFERROR(__xludf.DUMMYFUNCTION("""COMPUTED_VALUE"""),"Practice")</f>
        <v>Practice</v>
      </c>
      <c r="B117" s="6">
        <f ca="1">IFERROR(__xludf.DUMMYFUNCTION("""COMPUTED_VALUE"""),21)</f>
        <v>21</v>
      </c>
      <c r="C117" s="6" t="str">
        <f ca="1">IFERROR(__xludf.DUMMYFUNCTION("""COMPUTED_VALUE"""),"R2")</f>
        <v>R2</v>
      </c>
      <c r="D117" s="6">
        <f ca="1">IFERROR(__xludf.DUMMYFUNCTION("""COMPUTED_VALUE"""),7850)</f>
        <v>7850</v>
      </c>
      <c r="E117" s="6" t="b">
        <f ca="1">IFERROR(__xludf.DUMMYFUNCTION("""COMPUTED_VALUE"""),FALSE)</f>
        <v>0</v>
      </c>
      <c r="F117" s="6" t="str">
        <f ca="1">IFERROR(__xludf.DUMMYFUNCTION("""COMPUTED_VALUE"""),"Middle")</f>
        <v>Middle</v>
      </c>
      <c r="G117" s="6" t="b">
        <f ca="1">IFERROR(__xludf.DUMMYFUNCTION("""COMPUTED_VALUE"""),TRUE)</f>
        <v>1</v>
      </c>
      <c r="H117" s="6" t="b">
        <f ca="1">IFERROR(__xludf.DUMMYFUNCTION("""COMPUTED_VALUE"""),TRUE)</f>
        <v>1</v>
      </c>
      <c r="I117" s="6">
        <f ca="1">IFERROR(__xludf.DUMMYFUNCTION("""COMPUTED_VALUE"""),0)</f>
        <v>0</v>
      </c>
      <c r="J117" s="6">
        <f ca="1">IFERROR(__xludf.DUMMYFUNCTION("""COMPUTED_VALUE"""),0)</f>
        <v>0</v>
      </c>
      <c r="K117" s="6">
        <f ca="1">IFERROR(__xludf.DUMMYFUNCTION("""COMPUTED_VALUE"""),0)</f>
        <v>0</v>
      </c>
      <c r="L117" s="6">
        <f ca="1">IFERROR(__xludf.DUMMYFUNCTION("""COMPUTED_VALUE"""),0)</f>
        <v>0</v>
      </c>
      <c r="M117" s="6">
        <f ca="1">IFERROR(__xludf.DUMMYFUNCTION("""COMPUTED_VALUE"""),0)</f>
        <v>0</v>
      </c>
      <c r="N117" s="6">
        <f ca="1">IFERROR(__xludf.DUMMYFUNCTION("""COMPUTED_VALUE"""),0)</f>
        <v>0</v>
      </c>
      <c r="O117" s="6">
        <f ca="1">IFERROR(__xludf.DUMMYFUNCTION("""COMPUTED_VALUE"""),0)</f>
        <v>0</v>
      </c>
      <c r="P117" s="6">
        <f ca="1">IFERROR(__xludf.DUMMYFUNCTION("""COMPUTED_VALUE"""),0)</f>
        <v>0</v>
      </c>
      <c r="R117" s="6">
        <f ca="1">IFERROR(__xludf.DUMMYFUNCTION("""COMPUTED_VALUE"""),0)</f>
        <v>0</v>
      </c>
      <c r="S117" s="6">
        <f ca="1">IFERROR(__xludf.DUMMYFUNCTION("""COMPUTED_VALUE"""),0)</f>
        <v>0</v>
      </c>
      <c r="T117" s="6">
        <f ca="1">IFERROR(__xludf.DUMMYFUNCTION("""COMPUTED_VALUE"""),0)</f>
        <v>0</v>
      </c>
      <c r="U117" s="6">
        <f ca="1">IFERROR(__xludf.DUMMYFUNCTION("""COMPUTED_VALUE"""),0)</f>
        <v>0</v>
      </c>
      <c r="V117" s="6">
        <f ca="1">IFERROR(__xludf.DUMMYFUNCTION("""COMPUTED_VALUE"""),0)</f>
        <v>0</v>
      </c>
      <c r="W117" s="6">
        <f ca="1">IFERROR(__xludf.DUMMYFUNCTION("""COMPUTED_VALUE"""),0)</f>
        <v>0</v>
      </c>
      <c r="X117" s="6">
        <f ca="1">IFERROR(__xludf.DUMMYFUNCTION("""COMPUTED_VALUE"""),4)</f>
        <v>4</v>
      </c>
      <c r="Y117" s="6">
        <f ca="1">IFERROR(__xludf.DUMMYFUNCTION("""COMPUTED_VALUE"""),3)</f>
        <v>3</v>
      </c>
      <c r="Z117" s="6">
        <f ca="1">IFERROR(__xludf.DUMMYFUNCTION("""COMPUTED_VALUE"""),5)</f>
        <v>5</v>
      </c>
      <c r="AA117" s="6">
        <f ca="1">IFERROR(__xludf.DUMMYFUNCTION("""COMPUTED_VALUE"""),0)</f>
        <v>0</v>
      </c>
      <c r="AB117" s="6" t="b">
        <f ca="1">IFERROR(__xludf.DUMMYFUNCTION("""COMPUTED_VALUE"""),FALSE)</f>
        <v>0</v>
      </c>
      <c r="AD117" s="6" t="b">
        <f ca="1">IFERROR(__xludf.DUMMYFUNCTION("""COMPUTED_VALUE"""),FALSE)</f>
        <v>0</v>
      </c>
      <c r="AE117" s="6">
        <f ca="1">IFERROR(__xludf.DUMMYFUNCTION("""COMPUTED_VALUE"""),0)</f>
        <v>0</v>
      </c>
      <c r="AF117" s="6">
        <f ca="1">IFERROR(__xludf.DUMMYFUNCTION("""COMPUTED_VALUE"""),0)</f>
        <v>0</v>
      </c>
      <c r="AG117" s="6">
        <f ca="1">IFERROR(__xludf.DUMMYFUNCTION("""COMPUTED_VALUE"""),0)</f>
        <v>0</v>
      </c>
      <c r="AH117" s="6">
        <f ca="1">IFERROR(__xludf.DUMMYFUNCTION("""COMPUTED_VALUE"""),0)</f>
        <v>0</v>
      </c>
      <c r="AI117" s="6">
        <f ca="1">IFERROR(__xludf.DUMMYFUNCTION("""COMPUTED_VALUE"""),0)</f>
        <v>0</v>
      </c>
      <c r="AK117" s="6" t="str">
        <f ca="1">IFERROR(__xludf.DUMMYFUNCTION("""COMPUTED_VALUE"""),"No")</f>
        <v>No</v>
      </c>
      <c r="AL117" s="6">
        <f ca="1">IFERROR(__xludf.DUMMYFUNCTION("""COMPUTED_VALUE"""),0)</f>
        <v>0</v>
      </c>
      <c r="AM117" s="6" t="b">
        <f ca="1">IFERROR(__xludf.DUMMYFUNCTION("""COMPUTED_VALUE"""),FALSE)</f>
        <v>0</v>
      </c>
      <c r="AN117" s="6" t="str">
        <f ca="1">IFERROR(__xludf.DUMMYFUNCTION("""COMPUTED_VALUE"""),"No")</f>
        <v>No</v>
      </c>
      <c r="AO117" s="6" t="str">
        <f ca="1">IFERROR(__xludf.DUMMYFUNCTION("""COMPUTED_VALUE"""),"during endgame the robot got stuck on an algae ball ")</f>
        <v xml:space="preserve">during endgame the robot got stuck on an algae ball </v>
      </c>
      <c r="AP117" s="6"/>
      <c r="AQ117" s="6" t="b">
        <f ca="1">IFERROR(__xludf.DUMMYFUNCTION("""COMPUTED_VALUE"""),FALSE)</f>
        <v>0</v>
      </c>
      <c r="AR117" s="6" t="b">
        <f ca="1">IFERROR(__xludf.DUMMYFUNCTION("""COMPUTED_VALUE"""),FALSE)</f>
        <v>0</v>
      </c>
      <c r="AS117" s="15"/>
      <c r="AT117" s="6" t="str">
        <f ca="1">IFERROR(__xludf.DUMMYFUNCTION("SWITCH(IF(A117=""Practice"",AN117,FILTER('Items by Team'!E$2:E3410,'Items by Team'!C$2:C3410=D117,B117='Items by Team'!B$2:B3410)),""None"",""No"",""Parked"",""P"",""ShallowCage"",""Sc"",""DeepCage"",""Dc"",""No"",""No"",""P"",""P"",""Sc"",""Sc"",""Dc"","&amp;"""Dc"")"),"No")</f>
        <v>No</v>
      </c>
      <c r="AU117" s="6" t="str">
        <f ca="1">IFERROR(__xludf.DUMMYFUNCTION("SWITCH(IF(A117 = ""Practice"", H117, FILTER('Items by Team'!D$2:D3410,'Items by Team'!C$2:C3410 = D117,'Items by Team'!B$2:B3410 = B117)), ""Yes"", ""TRUE"", ""No"", ""FALSE"",TRUE, ""TRUE"", FALSE, ""FALSE"")"),"TRUE")</f>
        <v>TRUE</v>
      </c>
      <c r="AV117" s="6">
        <f t="shared" si="0"/>
        <v>0</v>
      </c>
      <c r="AW117" s="6">
        <f t="shared" ca="1" si="1"/>
        <v>1</v>
      </c>
      <c r="AX117" s="6">
        <f t="shared" ca="1" si="2"/>
        <v>0</v>
      </c>
      <c r="AY117" s="6">
        <f t="shared" ca="1" si="3"/>
        <v>0</v>
      </c>
      <c r="AZ117" s="9" t="str">
        <f t="shared" ca="1" si="4"/>
        <v/>
      </c>
      <c r="BA117" s="6">
        <f t="shared" ca="1" si="5"/>
        <v>0</v>
      </c>
      <c r="BB117" s="6">
        <f t="shared" ca="1" si="6"/>
        <v>0</v>
      </c>
      <c r="BC117" s="9" t="str">
        <f t="shared" ca="1" si="7"/>
        <v/>
      </c>
      <c r="BD117" s="6">
        <f t="shared" ca="1" si="8"/>
        <v>4</v>
      </c>
      <c r="BE117" s="6">
        <f t="shared" ca="1" si="9"/>
        <v>7</v>
      </c>
      <c r="BF117" s="9">
        <f t="shared" ca="1" si="10"/>
        <v>0.5714285714285714</v>
      </c>
      <c r="BG117" s="6">
        <f t="shared" ca="1" si="11"/>
        <v>0</v>
      </c>
      <c r="BH117" s="6">
        <f t="shared" ca="1" si="12"/>
        <v>0</v>
      </c>
      <c r="BI117" s="9" t="str">
        <f t="shared" ca="1" si="13"/>
        <v/>
      </c>
      <c r="BJ117" s="6">
        <f t="shared" ca="1" si="14"/>
        <v>0</v>
      </c>
      <c r="BK117" s="6">
        <f t="shared" ca="1" si="15"/>
        <v>0</v>
      </c>
      <c r="BL117" s="6">
        <f t="shared" ca="1" si="16"/>
        <v>0</v>
      </c>
      <c r="BM117" s="6">
        <f t="shared" ca="1" si="17"/>
        <v>0</v>
      </c>
      <c r="BN117" s="6">
        <f t="shared" ca="1" si="18"/>
        <v>0</v>
      </c>
      <c r="BP117" s="6">
        <f t="shared" ca="1" si="19"/>
        <v>0</v>
      </c>
      <c r="BQ117" s="6" t="b">
        <f ca="1">IFERROR(__xludf.DUMMYFUNCTION("IF(AND(ISERROR(FILTER('Items by Team'!D$2:D3410,'Items by Team'!C$2:C3410 = D117,'Items by Team'!B$2:B3410 = B117)),NOT(A117=""Practice"")),TRUE,FALSE)"),FALSE)</f>
        <v>0</v>
      </c>
      <c r="BR117" s="6">
        <f t="shared" ca="1" si="20"/>
        <v>0</v>
      </c>
    </row>
    <row r="118" spans="1:70">
      <c r="A118" s="6" t="str">
        <f ca="1">IFERROR(__xludf.DUMMYFUNCTION("""COMPUTED_VALUE"""),"Practice")</f>
        <v>Practice</v>
      </c>
      <c r="B118" s="6">
        <f ca="1">IFERROR(__xludf.DUMMYFUNCTION("""COMPUTED_VALUE"""),21)</f>
        <v>21</v>
      </c>
      <c r="C118" s="6" t="str">
        <f ca="1">IFERROR(__xludf.DUMMYFUNCTION("""COMPUTED_VALUE"""),"B1")</f>
        <v>B1</v>
      </c>
      <c r="D118" s="6">
        <f ca="1">IFERROR(__xludf.DUMMYFUNCTION("""COMPUTED_VALUE"""),4663)</f>
        <v>4663</v>
      </c>
      <c r="E118" s="6" t="b">
        <f ca="1">IFERROR(__xludf.DUMMYFUNCTION("""COMPUTED_VALUE"""),FALSE)</f>
        <v>0</v>
      </c>
      <c r="F118" s="6" t="str">
        <f ca="1">IFERROR(__xludf.DUMMYFUNCTION("""COMPUTED_VALUE"""),"Middle")</f>
        <v>Middle</v>
      </c>
      <c r="G118" s="6" t="b">
        <f ca="1">IFERROR(__xludf.DUMMYFUNCTION("""COMPUTED_VALUE"""),TRUE)</f>
        <v>1</v>
      </c>
      <c r="H118" s="6" t="b">
        <f ca="1">IFERROR(__xludf.DUMMYFUNCTION("""COMPUTED_VALUE"""),FALSE)</f>
        <v>0</v>
      </c>
      <c r="I118" s="6">
        <f ca="1">IFERROR(__xludf.DUMMYFUNCTION("""COMPUTED_VALUE"""),0)</f>
        <v>0</v>
      </c>
      <c r="J118" s="6">
        <f ca="1">IFERROR(__xludf.DUMMYFUNCTION("""COMPUTED_VALUE"""),0)</f>
        <v>0</v>
      </c>
      <c r="K118" s="6">
        <f ca="1">IFERROR(__xludf.DUMMYFUNCTION("""COMPUTED_VALUE"""),0)</f>
        <v>0</v>
      </c>
      <c r="L118" s="6">
        <f ca="1">IFERROR(__xludf.DUMMYFUNCTION("""COMPUTED_VALUE"""),0)</f>
        <v>0</v>
      </c>
      <c r="M118" s="6">
        <f ca="1">IFERROR(__xludf.DUMMYFUNCTION("""COMPUTED_VALUE"""),0)</f>
        <v>0</v>
      </c>
      <c r="N118" s="6">
        <f ca="1">IFERROR(__xludf.DUMMYFUNCTION("""COMPUTED_VALUE"""),0)</f>
        <v>0</v>
      </c>
      <c r="O118" s="6">
        <f ca="1">IFERROR(__xludf.DUMMYFUNCTION("""COMPUTED_VALUE"""),0)</f>
        <v>0</v>
      </c>
      <c r="P118" s="6">
        <f ca="1">IFERROR(__xludf.DUMMYFUNCTION("""COMPUTED_VALUE"""),0)</f>
        <v>0</v>
      </c>
      <c r="R118" s="6">
        <f ca="1">IFERROR(__xludf.DUMMYFUNCTION("""COMPUTED_VALUE"""),0)</f>
        <v>0</v>
      </c>
      <c r="S118" s="6">
        <f ca="1">IFERROR(__xludf.DUMMYFUNCTION("""COMPUTED_VALUE"""),0)</f>
        <v>0</v>
      </c>
      <c r="T118" s="6">
        <f ca="1">IFERROR(__xludf.DUMMYFUNCTION("""COMPUTED_VALUE"""),0)</f>
        <v>0</v>
      </c>
      <c r="U118" s="6">
        <f ca="1">IFERROR(__xludf.DUMMYFUNCTION("""COMPUTED_VALUE"""),0)</f>
        <v>0</v>
      </c>
      <c r="V118" s="6">
        <f ca="1">IFERROR(__xludf.DUMMYFUNCTION("""COMPUTED_VALUE"""),0)</f>
        <v>0</v>
      </c>
      <c r="W118" s="6">
        <f ca="1">IFERROR(__xludf.DUMMYFUNCTION("""COMPUTED_VALUE"""),0)</f>
        <v>0</v>
      </c>
      <c r="X118" s="6">
        <f ca="1">IFERROR(__xludf.DUMMYFUNCTION("""COMPUTED_VALUE"""),4)</f>
        <v>4</v>
      </c>
      <c r="Y118" s="6">
        <f ca="1">IFERROR(__xludf.DUMMYFUNCTION("""COMPUTED_VALUE"""),1)</f>
        <v>1</v>
      </c>
      <c r="Z118" s="6">
        <f ca="1">IFERROR(__xludf.DUMMYFUNCTION("""COMPUTED_VALUE"""),2)</f>
        <v>2</v>
      </c>
      <c r="AA118" s="6">
        <f ca="1">IFERROR(__xludf.DUMMYFUNCTION("""COMPUTED_VALUE"""),0)</f>
        <v>0</v>
      </c>
      <c r="AB118" s="6" t="b">
        <f ca="1">IFERROR(__xludf.DUMMYFUNCTION("""COMPUTED_VALUE"""),FALSE)</f>
        <v>0</v>
      </c>
      <c r="AD118" s="6" t="b">
        <f ca="1">IFERROR(__xludf.DUMMYFUNCTION("""COMPUTED_VALUE"""),TRUE)</f>
        <v>1</v>
      </c>
      <c r="AE118" s="6">
        <f ca="1">IFERROR(__xludf.DUMMYFUNCTION("""COMPUTED_VALUE"""),0)</f>
        <v>0</v>
      </c>
      <c r="AF118" s="6">
        <f ca="1">IFERROR(__xludf.DUMMYFUNCTION("""COMPUTED_VALUE"""),0)</f>
        <v>0</v>
      </c>
      <c r="AG118" s="6">
        <f ca="1">IFERROR(__xludf.DUMMYFUNCTION("""COMPUTED_VALUE"""),1)</f>
        <v>1</v>
      </c>
      <c r="AH118" s="6">
        <f ca="1">IFERROR(__xludf.DUMMYFUNCTION("""COMPUTED_VALUE"""),0)</f>
        <v>0</v>
      </c>
      <c r="AI118" s="6">
        <f ca="1">IFERROR(__xludf.DUMMYFUNCTION("""COMPUTED_VALUE"""),0)</f>
        <v>0</v>
      </c>
      <c r="AK118" s="6" t="str">
        <f ca="1">IFERROR(__xludf.DUMMYFUNCTION("""COMPUTED_VALUE"""),"Dc")</f>
        <v>Dc</v>
      </c>
      <c r="AL118" s="6">
        <f ca="1">IFERROR(__xludf.DUMMYFUNCTION("""COMPUTED_VALUE"""),0)</f>
        <v>0</v>
      </c>
      <c r="AM118" s="6" t="b">
        <f ca="1">IFERROR(__xludf.DUMMYFUNCTION("""COMPUTED_VALUE"""),FALSE)</f>
        <v>0</v>
      </c>
      <c r="AN118" s="6" t="str">
        <f ca="1">IFERROR(__xludf.DUMMYFUNCTION("""COMPUTED_VALUE"""),"P")</f>
        <v>P</v>
      </c>
      <c r="AO118" s="6" t="str">
        <f ca="1">IFERROR(__xludf.DUMMYFUNCTION("""COMPUTED_VALUE"""),"Grabbed cage, didn't climb, also went to cage before endgame start")</f>
        <v>Grabbed cage, didn't climb, also went to cage before endgame start</v>
      </c>
      <c r="AP118" s="6"/>
      <c r="AQ118" s="6" t="b">
        <f ca="1">IFERROR(__xludf.DUMMYFUNCTION("""COMPUTED_VALUE"""),FALSE)</f>
        <v>0</v>
      </c>
      <c r="AR118" s="6" t="b">
        <f ca="1">IFERROR(__xludf.DUMMYFUNCTION("""COMPUTED_VALUE"""),FALSE)</f>
        <v>0</v>
      </c>
      <c r="AS118" s="15"/>
      <c r="AT118" s="6" t="str">
        <f ca="1">IFERROR(__xludf.DUMMYFUNCTION("SWITCH(IF(A118=""Practice"",AN118,FILTER('Items by Team'!E$2:E3410,'Items by Team'!C$2:C3410=D118,B118='Items by Team'!B$2:B3410)),""None"",""No"",""Parked"",""P"",""ShallowCage"",""Sc"",""DeepCage"",""Dc"",""No"",""No"",""P"",""P"",""Sc"",""Sc"",""Dc"","&amp;"""Dc"")"),"P")</f>
        <v>P</v>
      </c>
      <c r="AU118" s="6" t="str">
        <f ca="1">IFERROR(__xludf.DUMMYFUNCTION("SWITCH(IF(A118 = ""Practice"", H118, FILTER('Items by Team'!D$2:D3410,'Items by Team'!C$2:C3410 = D118,'Items by Team'!B$2:B3410 = B118)), ""Yes"", ""TRUE"", ""No"", ""FALSE"",TRUE, ""TRUE"", FALSE, ""FALSE"")"),"FALSE")</f>
        <v>FALSE</v>
      </c>
      <c r="AV118" s="6">
        <f t="shared" si="0"/>
        <v>0</v>
      </c>
      <c r="AW118" s="6">
        <f t="shared" ca="1" si="1"/>
        <v>0</v>
      </c>
      <c r="AX118" s="6">
        <f t="shared" ca="1" si="2"/>
        <v>0</v>
      </c>
      <c r="AY118" s="6">
        <f t="shared" ca="1" si="3"/>
        <v>0</v>
      </c>
      <c r="AZ118" s="9" t="str">
        <f t="shared" ca="1" si="4"/>
        <v/>
      </c>
      <c r="BA118" s="6">
        <f t="shared" ca="1" si="5"/>
        <v>0</v>
      </c>
      <c r="BB118" s="6">
        <f t="shared" ca="1" si="6"/>
        <v>0</v>
      </c>
      <c r="BC118" s="9" t="str">
        <f t="shared" ca="1" si="7"/>
        <v/>
      </c>
      <c r="BD118" s="6">
        <f t="shared" ca="1" si="8"/>
        <v>4</v>
      </c>
      <c r="BE118" s="6">
        <f t="shared" ca="1" si="9"/>
        <v>5</v>
      </c>
      <c r="BF118" s="9">
        <f t="shared" ca="1" si="10"/>
        <v>0.8</v>
      </c>
      <c r="BG118" s="6">
        <f t="shared" ca="1" si="11"/>
        <v>1</v>
      </c>
      <c r="BH118" s="6">
        <f t="shared" ca="1" si="12"/>
        <v>1</v>
      </c>
      <c r="BI118" s="9">
        <f t="shared" ca="1" si="13"/>
        <v>1</v>
      </c>
      <c r="BJ118" s="6">
        <f t="shared" ca="1" si="14"/>
        <v>0</v>
      </c>
      <c r="BK118" s="6">
        <f t="shared" ca="1" si="15"/>
        <v>0</v>
      </c>
      <c r="BL118" s="6">
        <f t="shared" ca="1" si="16"/>
        <v>0</v>
      </c>
      <c r="BM118" s="6">
        <f t="shared" ca="1" si="17"/>
        <v>0</v>
      </c>
      <c r="BN118" s="6">
        <f t="shared" ca="1" si="18"/>
        <v>0</v>
      </c>
      <c r="BP118" s="6">
        <f t="shared" ca="1" si="19"/>
        <v>1</v>
      </c>
      <c r="BQ118" s="6" t="b">
        <f ca="1">IFERROR(__xludf.DUMMYFUNCTION("IF(AND(ISERROR(FILTER('Items by Team'!D$2:D3410,'Items by Team'!C$2:C3410 = D118,'Items by Team'!B$2:B3410 = B118)),NOT(A118=""Practice"")),TRUE,FALSE)"),FALSE)</f>
        <v>0</v>
      </c>
      <c r="BR118" s="6">
        <f t="shared" ca="1" si="20"/>
        <v>0</v>
      </c>
    </row>
    <row r="119" spans="1:70">
      <c r="A119" s="6" t="str">
        <f ca="1">IFERROR(__xludf.DUMMYFUNCTION("""COMPUTED_VALUE"""),"Practice")</f>
        <v>Practice</v>
      </c>
      <c r="B119" s="6">
        <f ca="1">IFERROR(__xludf.DUMMYFUNCTION("""COMPUTED_VALUE"""),21)</f>
        <v>21</v>
      </c>
      <c r="C119" s="6" t="str">
        <f ca="1">IFERROR(__xludf.DUMMYFUNCTION("""COMPUTED_VALUE"""),"R3")</f>
        <v>R3</v>
      </c>
      <c r="D119" s="6">
        <f ca="1">IFERROR(__xludf.DUMMYFUNCTION("""COMPUTED_VALUE"""),3297)</f>
        <v>3297</v>
      </c>
      <c r="E119" s="6" t="b">
        <f ca="1">IFERROR(__xludf.DUMMYFUNCTION("""COMPUTED_VALUE"""),FALSE)</f>
        <v>0</v>
      </c>
      <c r="F119" s="6" t="str">
        <f ca="1">IFERROR(__xludf.DUMMYFUNCTION("""COMPUTED_VALUE"""),"Blue Barge")</f>
        <v>Blue Barge</v>
      </c>
      <c r="G119" s="6" t="b">
        <f ca="1">IFERROR(__xludf.DUMMYFUNCTION("""COMPUTED_VALUE"""),TRUE)</f>
        <v>1</v>
      </c>
      <c r="H119" s="6" t="b">
        <f ca="1">IFERROR(__xludf.DUMMYFUNCTION("""COMPUTED_VALUE"""),TRUE)</f>
        <v>1</v>
      </c>
      <c r="I119" s="6">
        <f ca="1">IFERROR(__xludf.DUMMYFUNCTION("""COMPUTED_VALUE"""),0)</f>
        <v>0</v>
      </c>
      <c r="J119" s="6">
        <f ca="1">IFERROR(__xludf.DUMMYFUNCTION("""COMPUTED_VALUE"""),0)</f>
        <v>0</v>
      </c>
      <c r="K119" s="6">
        <f ca="1">IFERROR(__xludf.DUMMYFUNCTION("""COMPUTED_VALUE"""),1)</f>
        <v>1</v>
      </c>
      <c r="L119" s="6">
        <f ca="1">IFERROR(__xludf.DUMMYFUNCTION("""COMPUTED_VALUE"""),2)</f>
        <v>2</v>
      </c>
      <c r="M119" s="6">
        <f ca="1">IFERROR(__xludf.DUMMYFUNCTION("""COMPUTED_VALUE"""),0)</f>
        <v>0</v>
      </c>
      <c r="N119" s="6">
        <f ca="1">IFERROR(__xludf.DUMMYFUNCTION("""COMPUTED_VALUE"""),0)</f>
        <v>0</v>
      </c>
      <c r="O119" s="6">
        <f ca="1">IFERROR(__xludf.DUMMYFUNCTION("""COMPUTED_VALUE"""),0)</f>
        <v>0</v>
      </c>
      <c r="P119" s="6">
        <f ca="1">IFERROR(__xludf.DUMMYFUNCTION("""COMPUTED_VALUE"""),0)</f>
        <v>0</v>
      </c>
      <c r="R119" s="6">
        <f ca="1">IFERROR(__xludf.DUMMYFUNCTION("""COMPUTED_VALUE"""),0)</f>
        <v>0</v>
      </c>
      <c r="S119" s="6">
        <f ca="1">IFERROR(__xludf.DUMMYFUNCTION("""COMPUTED_VALUE"""),0)</f>
        <v>0</v>
      </c>
      <c r="T119" s="6">
        <f ca="1">IFERROR(__xludf.DUMMYFUNCTION("""COMPUTED_VALUE"""),0)</f>
        <v>0</v>
      </c>
      <c r="U119" s="6">
        <f ca="1">IFERROR(__xludf.DUMMYFUNCTION("""COMPUTED_VALUE"""),0)</f>
        <v>0</v>
      </c>
      <c r="V119" s="6">
        <f ca="1">IFERROR(__xludf.DUMMYFUNCTION("""COMPUTED_VALUE"""),0)</f>
        <v>0</v>
      </c>
      <c r="W119" s="6">
        <f ca="1">IFERROR(__xludf.DUMMYFUNCTION("""COMPUTED_VALUE"""),0)</f>
        <v>0</v>
      </c>
      <c r="X119" s="6">
        <f ca="1">IFERROR(__xludf.DUMMYFUNCTION("""COMPUTED_VALUE"""),0)</f>
        <v>0</v>
      </c>
      <c r="Y119" s="6">
        <f ca="1">IFERROR(__xludf.DUMMYFUNCTION("""COMPUTED_VALUE"""),0)</f>
        <v>0</v>
      </c>
      <c r="Z119" s="6">
        <f ca="1">IFERROR(__xludf.DUMMYFUNCTION("""COMPUTED_VALUE"""),0)</f>
        <v>0</v>
      </c>
      <c r="AA119" s="6">
        <f ca="1">IFERROR(__xludf.DUMMYFUNCTION("""COMPUTED_VALUE"""),0)</f>
        <v>0</v>
      </c>
      <c r="AB119" s="6" t="b">
        <f ca="1">IFERROR(__xludf.DUMMYFUNCTION("""COMPUTED_VALUE"""),FALSE)</f>
        <v>0</v>
      </c>
      <c r="AD119" s="6" t="b">
        <f ca="1">IFERROR(__xludf.DUMMYFUNCTION("""COMPUTED_VALUE"""),TRUE)</f>
        <v>1</v>
      </c>
      <c r="AE119" s="6">
        <f ca="1">IFERROR(__xludf.DUMMYFUNCTION("""COMPUTED_VALUE"""),4)</f>
        <v>4</v>
      </c>
      <c r="AF119" s="6">
        <f ca="1">IFERROR(__xludf.DUMMYFUNCTION("""COMPUTED_VALUE"""),0)</f>
        <v>0</v>
      </c>
      <c r="AG119" s="6">
        <f ca="1">IFERROR(__xludf.DUMMYFUNCTION("""COMPUTED_VALUE"""),0)</f>
        <v>0</v>
      </c>
      <c r="AH119" s="6">
        <f ca="1">IFERROR(__xludf.DUMMYFUNCTION("""COMPUTED_VALUE"""),0)</f>
        <v>0</v>
      </c>
      <c r="AI119" s="6">
        <f ca="1">IFERROR(__xludf.DUMMYFUNCTION("""COMPUTED_VALUE"""),3)</f>
        <v>3</v>
      </c>
      <c r="AK119" s="6" t="str">
        <f ca="1">IFERROR(__xludf.DUMMYFUNCTION("""COMPUTED_VALUE"""),"P")</f>
        <v>P</v>
      </c>
      <c r="AL119" s="6">
        <f ca="1">IFERROR(__xludf.DUMMYFUNCTION("""COMPUTED_VALUE"""),0)</f>
        <v>0</v>
      </c>
      <c r="AM119" s="6" t="b">
        <f ca="1">IFERROR(__xludf.DUMMYFUNCTION("""COMPUTED_VALUE"""),FALSE)</f>
        <v>0</v>
      </c>
      <c r="AN119" s="6" t="str">
        <f ca="1">IFERROR(__xludf.DUMMYFUNCTION("""COMPUTED_VALUE"""),"P")</f>
        <v>P</v>
      </c>
      <c r="AO119" s="6" t="str">
        <f ca="1">IFERROR(__xludf.DUMMYFUNCTION("""COMPUTED_VALUE"""),"Very fast park")</f>
        <v>Very fast park</v>
      </c>
      <c r="AP119" s="6"/>
      <c r="AQ119" s="6" t="b">
        <f ca="1">IFERROR(__xludf.DUMMYFUNCTION("""COMPUTED_VALUE"""),FALSE)</f>
        <v>0</v>
      </c>
      <c r="AR119" s="6" t="b">
        <f ca="1">IFERROR(__xludf.DUMMYFUNCTION("""COMPUTED_VALUE"""),FALSE)</f>
        <v>0</v>
      </c>
      <c r="AS119" s="15"/>
      <c r="AT119" s="6" t="str">
        <f ca="1">IFERROR(__xludf.DUMMYFUNCTION("SWITCH(IF(A119=""Practice"",AN119,FILTER('Items by Team'!E$2:E3410,'Items by Team'!C$2:C3410=D119,B119='Items by Team'!B$2:B3410)),""None"",""No"",""Parked"",""P"",""ShallowCage"",""Sc"",""DeepCage"",""Dc"",""No"",""No"",""P"",""P"",""Sc"",""Sc"",""Dc"","&amp;"""Dc"")"),"P")</f>
        <v>P</v>
      </c>
      <c r="AU119" s="6" t="str">
        <f ca="1">IFERROR(__xludf.DUMMYFUNCTION("SWITCH(IF(A119 = ""Practice"", H119, FILTER('Items by Team'!D$2:D3410,'Items by Team'!C$2:C3410 = D119,'Items by Team'!B$2:B3410 = B119)), ""Yes"", ""TRUE"", ""No"", ""FALSE"",TRUE, ""TRUE"", FALSE, ""FALSE"")"),"TRUE")</f>
        <v>TRUE</v>
      </c>
      <c r="AV119" s="6">
        <f t="shared" si="0"/>
        <v>0</v>
      </c>
      <c r="AW119" s="6">
        <f t="shared" ca="1" si="1"/>
        <v>1</v>
      </c>
      <c r="AX119" s="6">
        <f t="shared" ca="1" si="2"/>
        <v>2</v>
      </c>
      <c r="AY119" s="6">
        <f t="shared" ca="1" si="3"/>
        <v>2</v>
      </c>
      <c r="AZ119" s="9">
        <f t="shared" ca="1" si="4"/>
        <v>1</v>
      </c>
      <c r="BA119" s="6">
        <f t="shared" ca="1" si="5"/>
        <v>0</v>
      </c>
      <c r="BB119" s="6">
        <f t="shared" ca="1" si="6"/>
        <v>0</v>
      </c>
      <c r="BC119" s="9" t="str">
        <f t="shared" ca="1" si="7"/>
        <v/>
      </c>
      <c r="BD119" s="6">
        <f t="shared" ca="1" si="8"/>
        <v>0</v>
      </c>
      <c r="BE119" s="6">
        <f t="shared" ca="1" si="9"/>
        <v>0</v>
      </c>
      <c r="BF119" s="9" t="str">
        <f t="shared" ca="1" si="10"/>
        <v/>
      </c>
      <c r="BG119" s="6">
        <f t="shared" ca="1" si="11"/>
        <v>4</v>
      </c>
      <c r="BH119" s="6">
        <f t="shared" ca="1" si="12"/>
        <v>7</v>
      </c>
      <c r="BI119" s="9">
        <f t="shared" ca="1" si="13"/>
        <v>0.5714285714285714</v>
      </c>
      <c r="BJ119" s="6">
        <f t="shared" ca="1" si="14"/>
        <v>0</v>
      </c>
      <c r="BK119" s="6">
        <f t="shared" ca="1" si="15"/>
        <v>0</v>
      </c>
      <c r="BL119" s="6">
        <f t="shared" ca="1" si="16"/>
        <v>0</v>
      </c>
      <c r="BM119" s="6">
        <f t="shared" ca="1" si="17"/>
        <v>1</v>
      </c>
      <c r="BN119" s="6">
        <f t="shared" ca="1" si="18"/>
        <v>0</v>
      </c>
      <c r="BP119" s="6">
        <f t="shared" ca="1" si="19"/>
        <v>1</v>
      </c>
      <c r="BQ119" s="6" t="b">
        <f ca="1">IFERROR(__xludf.DUMMYFUNCTION("IF(AND(ISERROR(FILTER('Items by Team'!D$2:D3410,'Items by Team'!C$2:C3410 = D119,'Items by Team'!B$2:B3410 = B119)),NOT(A119=""Practice"")),TRUE,FALSE)"),FALSE)</f>
        <v>0</v>
      </c>
      <c r="BR119" s="6">
        <f t="shared" ca="1" si="20"/>
        <v>0</v>
      </c>
    </row>
    <row r="120" spans="1:70">
      <c r="A120" s="6" t="str">
        <f ca="1">IFERROR(__xludf.DUMMYFUNCTION("""COMPUTED_VALUE"""),"Practice")</f>
        <v>Practice</v>
      </c>
      <c r="B120" s="6">
        <f ca="1">IFERROR(__xludf.DUMMYFUNCTION("""COMPUTED_VALUE"""),21)</f>
        <v>21</v>
      </c>
      <c r="C120" s="6" t="str">
        <f ca="1">IFERROR(__xludf.DUMMYFUNCTION("""COMPUTED_VALUE"""),"B3")</f>
        <v>B3</v>
      </c>
      <c r="D120" s="6">
        <f ca="1">IFERROR(__xludf.DUMMYFUNCTION("""COMPUTED_VALUE"""),5996)</f>
        <v>5996</v>
      </c>
      <c r="E120" s="6" t="b">
        <f ca="1">IFERROR(__xludf.DUMMYFUNCTION("""COMPUTED_VALUE"""),TRUE)</f>
        <v>1</v>
      </c>
      <c r="F120" s="6"/>
      <c r="G120" s="6" t="b">
        <f ca="1">IFERROR(__xludf.DUMMYFUNCTION("""COMPUTED_VALUE"""),TRUE)</f>
        <v>1</v>
      </c>
      <c r="H120" s="6" t="b">
        <f ca="1">IFERROR(__xludf.DUMMYFUNCTION("""COMPUTED_VALUE"""),FALSE)</f>
        <v>0</v>
      </c>
      <c r="I120" s="6">
        <f ca="1">IFERROR(__xludf.DUMMYFUNCTION("""COMPUTED_VALUE"""),0)</f>
        <v>0</v>
      </c>
      <c r="J120" s="6">
        <f ca="1">IFERROR(__xludf.DUMMYFUNCTION("""COMPUTED_VALUE"""),0)</f>
        <v>0</v>
      </c>
      <c r="K120" s="6">
        <f ca="1">IFERROR(__xludf.DUMMYFUNCTION("""COMPUTED_VALUE"""),0)</f>
        <v>0</v>
      </c>
      <c r="L120" s="6">
        <f ca="1">IFERROR(__xludf.DUMMYFUNCTION("""COMPUTED_VALUE"""),0)</f>
        <v>0</v>
      </c>
      <c r="M120" s="6">
        <f ca="1">IFERROR(__xludf.DUMMYFUNCTION("""COMPUTED_VALUE"""),0)</f>
        <v>0</v>
      </c>
      <c r="N120" s="6">
        <f ca="1">IFERROR(__xludf.DUMMYFUNCTION("""COMPUTED_VALUE"""),0)</f>
        <v>0</v>
      </c>
      <c r="O120" s="6">
        <f ca="1">IFERROR(__xludf.DUMMYFUNCTION("""COMPUTED_VALUE"""),0)</f>
        <v>0</v>
      </c>
      <c r="P120" s="6">
        <f ca="1">IFERROR(__xludf.DUMMYFUNCTION("""COMPUTED_VALUE"""),0)</f>
        <v>0</v>
      </c>
      <c r="R120" s="6">
        <f ca="1">IFERROR(__xludf.DUMMYFUNCTION("""COMPUTED_VALUE"""),0)</f>
        <v>0</v>
      </c>
      <c r="S120" s="6">
        <f ca="1">IFERROR(__xludf.DUMMYFUNCTION("""COMPUTED_VALUE"""),0)</f>
        <v>0</v>
      </c>
      <c r="T120" s="6">
        <f ca="1">IFERROR(__xludf.DUMMYFUNCTION("""COMPUTED_VALUE"""),0)</f>
        <v>0</v>
      </c>
      <c r="U120" s="6">
        <f ca="1">IFERROR(__xludf.DUMMYFUNCTION("""COMPUTED_VALUE"""),0)</f>
        <v>0</v>
      </c>
      <c r="V120" s="6">
        <f ca="1">IFERROR(__xludf.DUMMYFUNCTION("""COMPUTED_VALUE"""),0)</f>
        <v>0</v>
      </c>
      <c r="W120" s="6">
        <f ca="1">IFERROR(__xludf.DUMMYFUNCTION("""COMPUTED_VALUE"""),0)</f>
        <v>0</v>
      </c>
      <c r="X120" s="6">
        <f ca="1">IFERROR(__xludf.DUMMYFUNCTION("""COMPUTED_VALUE"""),0)</f>
        <v>0</v>
      </c>
      <c r="Y120" s="6">
        <f ca="1">IFERROR(__xludf.DUMMYFUNCTION("""COMPUTED_VALUE"""),0)</f>
        <v>0</v>
      </c>
      <c r="Z120" s="6">
        <f ca="1">IFERROR(__xludf.DUMMYFUNCTION("""COMPUTED_VALUE"""),0)</f>
        <v>0</v>
      </c>
      <c r="AA120" s="6">
        <f ca="1">IFERROR(__xludf.DUMMYFUNCTION("""COMPUTED_VALUE"""),0)</f>
        <v>0</v>
      </c>
      <c r="AB120" s="6" t="b">
        <f ca="1">IFERROR(__xludf.DUMMYFUNCTION("""COMPUTED_VALUE"""),FALSE)</f>
        <v>0</v>
      </c>
      <c r="AD120" s="6" t="b">
        <f ca="1">IFERROR(__xludf.DUMMYFUNCTION("""COMPUTED_VALUE"""),FALSE)</f>
        <v>0</v>
      </c>
      <c r="AE120" s="6">
        <f ca="1">IFERROR(__xludf.DUMMYFUNCTION("""COMPUTED_VALUE"""),0)</f>
        <v>0</v>
      </c>
      <c r="AF120" s="6">
        <f ca="1">IFERROR(__xludf.DUMMYFUNCTION("""COMPUTED_VALUE"""),0)</f>
        <v>0</v>
      </c>
      <c r="AG120" s="6">
        <f ca="1">IFERROR(__xludf.DUMMYFUNCTION("""COMPUTED_VALUE"""),0)</f>
        <v>0</v>
      </c>
      <c r="AH120" s="6">
        <f ca="1">IFERROR(__xludf.DUMMYFUNCTION("""COMPUTED_VALUE"""),0)</f>
        <v>0</v>
      </c>
      <c r="AI120" s="6">
        <f ca="1">IFERROR(__xludf.DUMMYFUNCTION("""COMPUTED_VALUE"""),0)</f>
        <v>0</v>
      </c>
      <c r="AK120" s="6" t="str">
        <f ca="1">IFERROR(__xludf.DUMMYFUNCTION("""COMPUTED_VALUE"""),"No")</f>
        <v>No</v>
      </c>
      <c r="AL120" s="6">
        <f ca="1">IFERROR(__xludf.DUMMYFUNCTION("""COMPUTED_VALUE"""),0)</f>
        <v>0</v>
      </c>
      <c r="AM120" s="6" t="b">
        <f ca="1">IFERROR(__xludf.DUMMYFUNCTION("""COMPUTED_VALUE"""),FALSE)</f>
        <v>0</v>
      </c>
      <c r="AN120" s="6" t="str">
        <f ca="1">IFERROR(__xludf.DUMMYFUNCTION("""COMPUTED_VALUE"""),"No")</f>
        <v>No</v>
      </c>
      <c r="AO120" s="6"/>
      <c r="AP120" s="6"/>
      <c r="AQ120" s="6" t="b">
        <f ca="1">IFERROR(__xludf.DUMMYFUNCTION("""COMPUTED_VALUE"""),FALSE)</f>
        <v>0</v>
      </c>
      <c r="AR120" s="6" t="b">
        <f ca="1">IFERROR(__xludf.DUMMYFUNCTION("""COMPUTED_VALUE"""),FALSE)</f>
        <v>0</v>
      </c>
      <c r="AS120" s="15"/>
      <c r="AT120" s="6" t="str">
        <f ca="1">IFERROR(__xludf.DUMMYFUNCTION("SWITCH(IF(A120=""Practice"",AN120,FILTER('Items by Team'!E$2:E3410,'Items by Team'!C$2:C3410=D120,B120='Items by Team'!B$2:B3410)),""None"",""No"",""Parked"",""P"",""ShallowCage"",""Sc"",""DeepCage"",""Dc"",""No"",""No"",""P"",""P"",""Sc"",""Sc"",""Dc"","&amp;"""Dc"")"),"No")</f>
        <v>No</v>
      </c>
      <c r="AU120" s="6" t="str">
        <f ca="1">IFERROR(__xludf.DUMMYFUNCTION("SWITCH(IF(A120 = ""Practice"", H120, FILTER('Items by Team'!D$2:D3410,'Items by Team'!C$2:C3410 = D120,'Items by Team'!B$2:B3410 = B120)), ""Yes"", ""TRUE"", ""No"", ""FALSE"",TRUE, ""TRUE"", FALSE, ""FALSE"")"),"FALSE")</f>
        <v>FALSE</v>
      </c>
      <c r="AV120" s="6">
        <f t="shared" si="0"/>
        <v>0</v>
      </c>
      <c r="AW120" s="6">
        <f t="shared" ca="1" si="1"/>
        <v>0</v>
      </c>
      <c r="AX120" s="6">
        <f t="shared" ca="1" si="2"/>
        <v>0</v>
      </c>
      <c r="AY120" s="6">
        <f t="shared" ca="1" si="3"/>
        <v>0</v>
      </c>
      <c r="AZ120" s="9" t="str">
        <f t="shared" ca="1" si="4"/>
        <v/>
      </c>
      <c r="BA120" s="6">
        <f t="shared" ca="1" si="5"/>
        <v>0</v>
      </c>
      <c r="BB120" s="6">
        <f t="shared" ca="1" si="6"/>
        <v>0</v>
      </c>
      <c r="BC120" s="9" t="str">
        <f t="shared" ca="1" si="7"/>
        <v/>
      </c>
      <c r="BD120" s="6">
        <f t="shared" ca="1" si="8"/>
        <v>0</v>
      </c>
      <c r="BE120" s="6">
        <f t="shared" ca="1" si="9"/>
        <v>0</v>
      </c>
      <c r="BF120" s="9" t="str">
        <f t="shared" ca="1" si="10"/>
        <v/>
      </c>
      <c r="BG120" s="6">
        <f t="shared" ca="1" si="11"/>
        <v>0</v>
      </c>
      <c r="BH120" s="6">
        <f t="shared" ca="1" si="12"/>
        <v>0</v>
      </c>
      <c r="BI120" s="9" t="str">
        <f t="shared" ca="1" si="13"/>
        <v/>
      </c>
      <c r="BJ120" s="6">
        <f t="shared" ca="1" si="14"/>
        <v>0</v>
      </c>
      <c r="BK120" s="6">
        <f t="shared" ca="1" si="15"/>
        <v>0</v>
      </c>
      <c r="BL120" s="6">
        <f t="shared" ca="1" si="16"/>
        <v>0</v>
      </c>
      <c r="BM120" s="6">
        <f t="shared" ca="1" si="17"/>
        <v>0</v>
      </c>
      <c r="BN120" s="6">
        <f t="shared" ca="1" si="18"/>
        <v>0</v>
      </c>
      <c r="BP120" s="6">
        <f t="shared" ca="1" si="19"/>
        <v>0</v>
      </c>
      <c r="BQ120" s="6" t="b">
        <f ca="1">IFERROR(__xludf.DUMMYFUNCTION("IF(AND(ISERROR(FILTER('Items by Team'!D$2:D3410,'Items by Team'!C$2:C3410 = D120,'Items by Team'!B$2:B3410 = B120)),NOT(A120=""Practice"")),TRUE,FALSE)"),FALSE)</f>
        <v>0</v>
      </c>
      <c r="BR120" s="6">
        <f t="shared" ca="1" si="20"/>
        <v>0</v>
      </c>
    </row>
    <row r="121" spans="1:70">
      <c r="A121" s="6"/>
      <c r="B121" s="6"/>
      <c r="C121" s="6"/>
      <c r="D121" s="6"/>
      <c r="E121" s="6"/>
      <c r="F121" s="6"/>
      <c r="G121" s="6"/>
      <c r="H121" s="6"/>
      <c r="I121" s="6"/>
      <c r="J121" s="6"/>
      <c r="K121" s="6"/>
      <c r="L121" s="6"/>
      <c r="M121" s="6"/>
      <c r="N121" s="6"/>
      <c r="O121" s="6"/>
      <c r="P121" s="6"/>
      <c r="R121" s="6"/>
      <c r="S121" s="6"/>
      <c r="T121" s="6"/>
      <c r="U121" s="6"/>
      <c r="V121" s="6"/>
      <c r="W121" s="6"/>
      <c r="X121" s="6"/>
      <c r="Y121" s="6"/>
      <c r="Z121" s="6"/>
      <c r="AA121" s="6"/>
      <c r="AB121" s="6"/>
      <c r="AD121" s="6"/>
      <c r="AE121" s="6"/>
      <c r="AF121" s="6"/>
      <c r="AG121" s="6"/>
      <c r="AH121" s="6"/>
      <c r="AI121" s="6"/>
      <c r="AK121" s="6"/>
      <c r="AL121" s="6"/>
      <c r="AM121" s="6"/>
      <c r="AN121" s="6"/>
      <c r="AO121" s="6"/>
      <c r="AP121" s="6"/>
      <c r="AQ121" s="6"/>
      <c r="AR121" s="6"/>
      <c r="AS121" s="15"/>
      <c r="AT121" s="6" t="str">
        <f ca="1">IFERROR(__xludf.DUMMYFUNCTION("SWITCH(IF(A121=""Practice"",AN121,FILTER('Items by Team'!E$2:E3410,'Items by Team'!C$2:C3410=D121,B121='Items by Team'!B$2:B3410)),""None"",""No"",""Parked"",""P"",""ShallowCage"",""Sc"",""DeepCage"",""Dc"",""No"",""No"",""P"",""P"",""Sc"",""Sc"",""Dc"","&amp;"""Dc"")"),"#REF!")</f>
        <v>#REF!</v>
      </c>
      <c r="AU121" s="6" t="str">
        <f ca="1">IFERROR(__xludf.DUMMYFUNCTION("SWITCH(IF(A121 = ""Practice"", H121, FILTER('Items by Team'!D$2:D3410,'Items by Team'!C$2:C3410 = D121,'Items by Team'!B$2:B3410 = B121)), ""Yes"", ""TRUE"", ""No"", ""FALSE"",TRUE, ""TRUE"", FALSE, ""FALSE"")"),"#REF!")</f>
        <v>#REF!</v>
      </c>
      <c r="AV121" s="6">
        <f t="shared" si="0"/>
        <v>0</v>
      </c>
      <c r="AW121" s="6">
        <f t="shared" si="1"/>
        <v>0</v>
      </c>
      <c r="AX121" s="6">
        <f t="shared" si="2"/>
        <v>0</v>
      </c>
      <c r="AY121" s="6">
        <f t="shared" si="3"/>
        <v>0</v>
      </c>
      <c r="AZ121" s="9" t="str">
        <f t="shared" si="4"/>
        <v/>
      </c>
      <c r="BA121" s="6">
        <f t="shared" si="5"/>
        <v>0</v>
      </c>
      <c r="BB121" s="6">
        <f t="shared" si="6"/>
        <v>0</v>
      </c>
      <c r="BC121" s="9" t="str">
        <f t="shared" si="7"/>
        <v/>
      </c>
      <c r="BD121" s="6">
        <f t="shared" si="8"/>
        <v>0</v>
      </c>
      <c r="BE121" s="6">
        <f t="shared" si="9"/>
        <v>0</v>
      </c>
      <c r="BF121" s="9" t="str">
        <f t="shared" si="10"/>
        <v/>
      </c>
      <c r="BG121" s="6">
        <f t="shared" si="11"/>
        <v>0</v>
      </c>
      <c r="BH121" s="6">
        <f t="shared" si="12"/>
        <v>0</v>
      </c>
      <c r="BI121" s="9" t="str">
        <f t="shared" si="13"/>
        <v/>
      </c>
      <c r="BJ121" s="6">
        <f t="shared" si="14"/>
        <v>0</v>
      </c>
      <c r="BK121" s="6">
        <f t="shared" si="15"/>
        <v>0</v>
      </c>
      <c r="BL121" s="6">
        <f t="shared" si="16"/>
        <v>0</v>
      </c>
      <c r="BM121" s="6">
        <f t="shared" si="17"/>
        <v>0</v>
      </c>
      <c r="BN121" s="6">
        <f t="shared" si="18"/>
        <v>0</v>
      </c>
      <c r="BP121" s="6">
        <f t="shared" si="19"/>
        <v>0</v>
      </c>
      <c r="BQ121" s="6" t="b">
        <f ca="1">IFERROR(__xludf.DUMMYFUNCTION("IF(AND(ISERROR(FILTER('Items by Team'!D$2:D3410,'Items by Team'!C$2:C3410 = D121,'Items by Team'!B$2:B3410 = B121)),NOT(A121=""Practice"")),TRUE,FALSE)"),FALSE)</f>
        <v>0</v>
      </c>
      <c r="BR121" s="6">
        <f t="shared" ca="1" si="20"/>
        <v>0</v>
      </c>
    </row>
    <row r="122" spans="1:70">
      <c r="A122" s="6"/>
      <c r="B122" s="6"/>
      <c r="C122" s="6"/>
      <c r="D122" s="6"/>
      <c r="E122" s="6"/>
      <c r="F122" s="6"/>
      <c r="G122" s="6"/>
      <c r="H122" s="6"/>
      <c r="I122" s="6"/>
      <c r="J122" s="6"/>
      <c r="K122" s="6"/>
      <c r="L122" s="6"/>
      <c r="M122" s="6"/>
      <c r="N122" s="6"/>
      <c r="O122" s="6"/>
      <c r="P122" s="6"/>
      <c r="R122" s="6"/>
      <c r="S122" s="6"/>
      <c r="T122" s="6"/>
      <c r="U122" s="6"/>
      <c r="V122" s="6"/>
      <c r="W122" s="6"/>
      <c r="X122" s="6"/>
      <c r="Y122" s="6"/>
      <c r="Z122" s="6"/>
      <c r="AA122" s="6"/>
      <c r="AB122" s="6"/>
      <c r="AD122" s="6"/>
      <c r="AE122" s="6"/>
      <c r="AF122" s="6"/>
      <c r="AG122" s="6"/>
      <c r="AH122" s="6"/>
      <c r="AI122" s="6"/>
      <c r="AK122" s="6"/>
      <c r="AL122" s="6"/>
      <c r="AM122" s="6"/>
      <c r="AN122" s="6"/>
      <c r="AO122" s="6"/>
      <c r="AP122" s="6"/>
      <c r="AQ122" s="6"/>
      <c r="AR122" s="6"/>
      <c r="AS122" s="15"/>
      <c r="AT122" s="6" t="str">
        <f ca="1">IFERROR(__xludf.DUMMYFUNCTION("SWITCH(IF(A122=""Practice"",AN122,FILTER('Items by Team'!E$2:E3410,'Items by Team'!C$2:C3410=D122,B122='Items by Team'!B$2:B3410)),""None"",""No"",""Parked"",""P"",""ShallowCage"",""Sc"",""DeepCage"",""Dc"",""No"",""No"",""P"",""P"",""Sc"",""Sc"",""Dc"","&amp;"""Dc"")"),"#REF!")</f>
        <v>#REF!</v>
      </c>
      <c r="AU122" s="6" t="str">
        <f ca="1">IFERROR(__xludf.DUMMYFUNCTION("SWITCH(IF(A122 = ""Practice"", H122, FILTER('Items by Team'!D$2:D3410,'Items by Team'!C$2:C3410 = D122,'Items by Team'!B$2:B3410 = B122)), ""Yes"", ""TRUE"", ""No"", ""FALSE"",TRUE, ""TRUE"", FALSE, ""FALSE"")"),"#REF!")</f>
        <v>#REF!</v>
      </c>
      <c r="AV122" s="6">
        <f t="shared" si="0"/>
        <v>0</v>
      </c>
      <c r="AW122" s="6">
        <f t="shared" si="1"/>
        <v>0</v>
      </c>
      <c r="AX122" s="6">
        <f t="shared" si="2"/>
        <v>0</v>
      </c>
      <c r="AY122" s="6">
        <f t="shared" si="3"/>
        <v>0</v>
      </c>
      <c r="AZ122" s="9" t="str">
        <f t="shared" si="4"/>
        <v/>
      </c>
      <c r="BA122" s="6">
        <f t="shared" si="5"/>
        <v>0</v>
      </c>
      <c r="BB122" s="6">
        <f t="shared" si="6"/>
        <v>0</v>
      </c>
      <c r="BC122" s="9" t="str">
        <f t="shared" si="7"/>
        <v/>
      </c>
      <c r="BD122" s="6">
        <f t="shared" si="8"/>
        <v>0</v>
      </c>
      <c r="BE122" s="6">
        <f t="shared" si="9"/>
        <v>0</v>
      </c>
      <c r="BF122" s="9" t="str">
        <f t="shared" si="10"/>
        <v/>
      </c>
      <c r="BG122" s="6">
        <f t="shared" si="11"/>
        <v>0</v>
      </c>
      <c r="BH122" s="6">
        <f t="shared" si="12"/>
        <v>0</v>
      </c>
      <c r="BI122" s="9" t="str">
        <f t="shared" si="13"/>
        <v/>
      </c>
      <c r="BJ122" s="6">
        <f t="shared" si="14"/>
        <v>0</v>
      </c>
      <c r="BK122" s="6">
        <f t="shared" si="15"/>
        <v>0</v>
      </c>
      <c r="BL122" s="6">
        <f t="shared" si="16"/>
        <v>0</v>
      </c>
      <c r="BM122" s="6">
        <f t="shared" si="17"/>
        <v>0</v>
      </c>
      <c r="BN122" s="6">
        <f t="shared" si="18"/>
        <v>0</v>
      </c>
      <c r="BP122" s="6">
        <f t="shared" si="19"/>
        <v>0</v>
      </c>
      <c r="BQ122" s="6" t="b">
        <f ca="1">IFERROR(__xludf.DUMMYFUNCTION("IF(AND(ISERROR(FILTER('Items by Team'!D$2:D3410,'Items by Team'!C$2:C3410 = D122,'Items by Team'!B$2:B3410 = B122)),NOT(A122=""Practice"")),TRUE,FALSE)"),FALSE)</f>
        <v>0</v>
      </c>
      <c r="BR122" s="6">
        <f t="shared" ca="1" si="20"/>
        <v>0</v>
      </c>
    </row>
    <row r="123" spans="1:70">
      <c r="A123" s="6"/>
      <c r="B123" s="6"/>
      <c r="C123" s="6"/>
      <c r="D123" s="6"/>
      <c r="E123" s="6"/>
      <c r="F123" s="6"/>
      <c r="G123" s="6"/>
      <c r="H123" s="6"/>
      <c r="I123" s="6"/>
      <c r="J123" s="6"/>
      <c r="K123" s="6"/>
      <c r="L123" s="6"/>
      <c r="M123" s="6"/>
      <c r="N123" s="6"/>
      <c r="O123" s="6"/>
      <c r="P123" s="6"/>
      <c r="R123" s="6"/>
      <c r="S123" s="6"/>
      <c r="T123" s="6"/>
      <c r="U123" s="6"/>
      <c r="V123" s="6"/>
      <c r="W123" s="6"/>
      <c r="X123" s="6"/>
      <c r="Y123" s="6"/>
      <c r="Z123" s="6"/>
      <c r="AA123" s="6"/>
      <c r="AB123" s="6"/>
      <c r="AD123" s="6"/>
      <c r="AE123" s="6"/>
      <c r="AF123" s="6"/>
      <c r="AG123" s="6"/>
      <c r="AH123" s="6"/>
      <c r="AI123" s="6"/>
      <c r="AK123" s="6"/>
      <c r="AL123" s="6"/>
      <c r="AM123" s="6"/>
      <c r="AN123" s="6"/>
      <c r="AO123" s="6"/>
      <c r="AP123" s="6"/>
      <c r="AQ123" s="6"/>
      <c r="AR123" s="6"/>
      <c r="AS123" s="15"/>
      <c r="AT123" s="6" t="str">
        <f ca="1">IFERROR(__xludf.DUMMYFUNCTION("SWITCH(IF(A123=""Practice"",AN123,FILTER('Items by Team'!E$2:E3410,'Items by Team'!C$2:C3410=D123,B123='Items by Team'!B$2:B3410)),""None"",""No"",""Parked"",""P"",""ShallowCage"",""Sc"",""DeepCage"",""Dc"",""No"",""No"",""P"",""P"",""Sc"",""Sc"",""Dc"","&amp;"""Dc"")"),"#REF!")</f>
        <v>#REF!</v>
      </c>
      <c r="AU123" s="6" t="str">
        <f ca="1">IFERROR(__xludf.DUMMYFUNCTION("SWITCH(IF(A123 = ""Practice"", H123, FILTER('Items by Team'!D$2:D3410,'Items by Team'!C$2:C3410 = D123,'Items by Team'!B$2:B3410 = B123)), ""Yes"", ""TRUE"", ""No"", ""FALSE"",TRUE, ""TRUE"", FALSE, ""FALSE"")"),"#REF!")</f>
        <v>#REF!</v>
      </c>
      <c r="AV123" s="6">
        <f t="shared" si="0"/>
        <v>0</v>
      </c>
      <c r="AW123" s="6">
        <f t="shared" si="1"/>
        <v>0</v>
      </c>
      <c r="AX123" s="6">
        <f t="shared" si="2"/>
        <v>0</v>
      </c>
      <c r="AY123" s="6">
        <f t="shared" si="3"/>
        <v>0</v>
      </c>
      <c r="AZ123" s="9" t="str">
        <f t="shared" si="4"/>
        <v/>
      </c>
      <c r="BA123" s="6">
        <f t="shared" si="5"/>
        <v>0</v>
      </c>
      <c r="BB123" s="6">
        <f t="shared" si="6"/>
        <v>0</v>
      </c>
      <c r="BC123" s="9" t="str">
        <f t="shared" si="7"/>
        <v/>
      </c>
      <c r="BD123" s="6">
        <f t="shared" si="8"/>
        <v>0</v>
      </c>
      <c r="BE123" s="6">
        <f t="shared" si="9"/>
        <v>0</v>
      </c>
      <c r="BF123" s="9" t="str">
        <f t="shared" si="10"/>
        <v/>
      </c>
      <c r="BG123" s="6">
        <f t="shared" si="11"/>
        <v>0</v>
      </c>
      <c r="BH123" s="6">
        <f t="shared" si="12"/>
        <v>0</v>
      </c>
      <c r="BI123" s="9" t="str">
        <f t="shared" si="13"/>
        <v/>
      </c>
      <c r="BJ123" s="6">
        <f t="shared" si="14"/>
        <v>0</v>
      </c>
      <c r="BK123" s="6">
        <f t="shared" si="15"/>
        <v>0</v>
      </c>
      <c r="BL123" s="6">
        <f t="shared" si="16"/>
        <v>0</v>
      </c>
      <c r="BM123" s="6">
        <f t="shared" si="17"/>
        <v>0</v>
      </c>
      <c r="BN123" s="6">
        <f t="shared" si="18"/>
        <v>0</v>
      </c>
      <c r="BP123" s="6">
        <f t="shared" si="19"/>
        <v>0</v>
      </c>
      <c r="BQ123" s="6" t="b">
        <f ca="1">IFERROR(__xludf.DUMMYFUNCTION("IF(AND(ISERROR(FILTER('Items by Team'!D$2:D3410,'Items by Team'!C$2:C3410 = D123,'Items by Team'!B$2:B3410 = B123)),NOT(A123=""Practice"")),TRUE,FALSE)"),FALSE)</f>
        <v>0</v>
      </c>
      <c r="BR123" s="6">
        <f t="shared" ca="1" si="20"/>
        <v>0</v>
      </c>
    </row>
    <row r="124" spans="1:70">
      <c r="A124" s="6"/>
      <c r="B124" s="6"/>
      <c r="C124" s="6"/>
      <c r="D124" s="6"/>
      <c r="E124" s="6"/>
      <c r="F124" s="6"/>
      <c r="G124" s="6"/>
      <c r="H124" s="6"/>
      <c r="I124" s="6"/>
      <c r="J124" s="6"/>
      <c r="K124" s="6"/>
      <c r="L124" s="6"/>
      <c r="M124" s="6"/>
      <c r="N124" s="6"/>
      <c r="O124" s="6"/>
      <c r="P124" s="6"/>
      <c r="R124" s="6"/>
      <c r="S124" s="6"/>
      <c r="T124" s="6"/>
      <c r="U124" s="6"/>
      <c r="V124" s="6"/>
      <c r="W124" s="6"/>
      <c r="X124" s="6"/>
      <c r="Y124" s="6"/>
      <c r="Z124" s="6"/>
      <c r="AA124" s="6"/>
      <c r="AB124" s="6"/>
      <c r="AD124" s="6"/>
      <c r="AE124" s="6"/>
      <c r="AF124" s="6"/>
      <c r="AG124" s="6"/>
      <c r="AH124" s="6"/>
      <c r="AI124" s="6"/>
      <c r="AK124" s="6"/>
      <c r="AL124" s="6"/>
      <c r="AM124" s="6"/>
      <c r="AN124" s="6"/>
      <c r="AO124" s="6"/>
      <c r="AP124" s="6"/>
      <c r="AQ124" s="6"/>
      <c r="AR124" s="6"/>
      <c r="AS124" s="15"/>
      <c r="AT124" s="6" t="str">
        <f ca="1">IFERROR(__xludf.DUMMYFUNCTION("SWITCH(IF(A124=""Practice"",AN124,FILTER('Items by Team'!E$2:E3410,'Items by Team'!C$2:C3410=D124,B124='Items by Team'!B$2:B3410)),""None"",""No"",""Parked"",""P"",""ShallowCage"",""Sc"",""DeepCage"",""Dc"",""No"",""No"",""P"",""P"",""Sc"",""Sc"",""Dc"","&amp;"""Dc"")"),"#REF!")</f>
        <v>#REF!</v>
      </c>
      <c r="AU124" s="6" t="str">
        <f ca="1">IFERROR(__xludf.DUMMYFUNCTION("SWITCH(IF(A124 = ""Practice"", H124, FILTER('Items by Team'!D$2:D3410,'Items by Team'!C$2:C3410 = D124,'Items by Team'!B$2:B3410 = B124)), ""Yes"", ""TRUE"", ""No"", ""FALSE"",TRUE, ""TRUE"", FALSE, ""FALSE"")"),"#REF!")</f>
        <v>#REF!</v>
      </c>
      <c r="AV124" s="6">
        <f t="shared" si="0"/>
        <v>0</v>
      </c>
      <c r="AW124" s="6">
        <f t="shared" si="1"/>
        <v>0</v>
      </c>
      <c r="AX124" s="6">
        <f t="shared" si="2"/>
        <v>0</v>
      </c>
      <c r="AY124" s="6">
        <f t="shared" si="3"/>
        <v>0</v>
      </c>
      <c r="AZ124" s="9" t="str">
        <f t="shared" si="4"/>
        <v/>
      </c>
      <c r="BA124" s="6">
        <f t="shared" si="5"/>
        <v>0</v>
      </c>
      <c r="BB124" s="6">
        <f t="shared" si="6"/>
        <v>0</v>
      </c>
      <c r="BC124" s="9" t="str">
        <f t="shared" si="7"/>
        <v/>
      </c>
      <c r="BD124" s="6">
        <f t="shared" si="8"/>
        <v>0</v>
      </c>
      <c r="BE124" s="6">
        <f t="shared" si="9"/>
        <v>0</v>
      </c>
      <c r="BF124" s="9" t="str">
        <f t="shared" si="10"/>
        <v/>
      </c>
      <c r="BG124" s="6">
        <f t="shared" si="11"/>
        <v>0</v>
      </c>
      <c r="BH124" s="6">
        <f t="shared" si="12"/>
        <v>0</v>
      </c>
      <c r="BI124" s="9" t="str">
        <f t="shared" si="13"/>
        <v/>
      </c>
      <c r="BJ124" s="6">
        <f t="shared" si="14"/>
        <v>0</v>
      </c>
      <c r="BK124" s="6">
        <f t="shared" si="15"/>
        <v>0</v>
      </c>
      <c r="BL124" s="6">
        <f t="shared" si="16"/>
        <v>0</v>
      </c>
      <c r="BM124" s="6">
        <f t="shared" si="17"/>
        <v>0</v>
      </c>
      <c r="BN124" s="6">
        <f t="shared" si="18"/>
        <v>0</v>
      </c>
      <c r="BP124" s="6">
        <f t="shared" si="19"/>
        <v>0</v>
      </c>
      <c r="BQ124" s="6" t="b">
        <f ca="1">IFERROR(__xludf.DUMMYFUNCTION("IF(AND(ISERROR(FILTER('Items by Team'!D$2:D3410,'Items by Team'!C$2:C3410 = D124,'Items by Team'!B$2:B3410 = B124)),NOT(A124=""Practice"")),TRUE,FALSE)"),FALSE)</f>
        <v>0</v>
      </c>
      <c r="BR124" s="6">
        <f t="shared" ca="1" si="20"/>
        <v>0</v>
      </c>
    </row>
    <row r="125" spans="1:70">
      <c r="A125" s="6"/>
      <c r="B125" s="6"/>
      <c r="C125" s="6"/>
      <c r="D125" s="6"/>
      <c r="E125" s="6"/>
      <c r="F125" s="6"/>
      <c r="G125" s="6"/>
      <c r="H125" s="6"/>
      <c r="I125" s="6"/>
      <c r="J125" s="6"/>
      <c r="K125" s="6"/>
      <c r="L125" s="6"/>
      <c r="M125" s="6"/>
      <c r="N125" s="6"/>
      <c r="O125" s="6"/>
      <c r="P125" s="6"/>
      <c r="R125" s="6"/>
      <c r="S125" s="6"/>
      <c r="T125" s="6"/>
      <c r="U125" s="6"/>
      <c r="V125" s="6"/>
      <c r="W125" s="6"/>
      <c r="X125" s="6"/>
      <c r="Y125" s="6"/>
      <c r="Z125" s="6"/>
      <c r="AA125" s="6"/>
      <c r="AB125" s="6"/>
      <c r="AD125" s="6"/>
      <c r="AE125" s="6"/>
      <c r="AF125" s="6"/>
      <c r="AG125" s="6"/>
      <c r="AH125" s="6"/>
      <c r="AI125" s="6"/>
      <c r="AK125" s="6"/>
      <c r="AL125" s="6"/>
      <c r="AM125" s="6"/>
      <c r="AN125" s="6"/>
      <c r="AO125" s="6"/>
      <c r="AP125" s="6"/>
      <c r="AQ125" s="6"/>
      <c r="AR125" s="6"/>
      <c r="AS125" s="15"/>
      <c r="AT125" s="6" t="str">
        <f ca="1">IFERROR(__xludf.DUMMYFUNCTION("SWITCH(IF(A125=""Practice"",AN125,FILTER('Items by Team'!E$2:E3410,'Items by Team'!C$2:C3410=D125,B125='Items by Team'!B$2:B3410)),""None"",""No"",""Parked"",""P"",""ShallowCage"",""Sc"",""DeepCage"",""Dc"",""No"",""No"",""P"",""P"",""Sc"",""Sc"",""Dc"","&amp;"""Dc"")"),"#REF!")</f>
        <v>#REF!</v>
      </c>
      <c r="AU125" s="6" t="str">
        <f ca="1">IFERROR(__xludf.DUMMYFUNCTION("SWITCH(IF(A125 = ""Practice"", H125, FILTER('Items by Team'!D$2:D3410,'Items by Team'!C$2:C3410 = D125,'Items by Team'!B$2:B3410 = B125)), ""Yes"", ""TRUE"", ""No"", ""FALSE"",TRUE, ""TRUE"", FALSE, ""FALSE"")"),"#REF!")</f>
        <v>#REF!</v>
      </c>
      <c r="AV125" s="6">
        <f t="shared" si="0"/>
        <v>0</v>
      </c>
      <c r="AW125" s="6">
        <f t="shared" si="1"/>
        <v>0</v>
      </c>
      <c r="AX125" s="6">
        <f t="shared" si="2"/>
        <v>0</v>
      </c>
      <c r="AY125" s="6">
        <f t="shared" si="3"/>
        <v>0</v>
      </c>
      <c r="AZ125" s="9" t="str">
        <f t="shared" si="4"/>
        <v/>
      </c>
      <c r="BA125" s="6">
        <f t="shared" si="5"/>
        <v>0</v>
      </c>
      <c r="BB125" s="6">
        <f t="shared" si="6"/>
        <v>0</v>
      </c>
      <c r="BC125" s="9" t="str">
        <f t="shared" si="7"/>
        <v/>
      </c>
      <c r="BD125" s="6">
        <f t="shared" si="8"/>
        <v>0</v>
      </c>
      <c r="BE125" s="6">
        <f t="shared" si="9"/>
        <v>0</v>
      </c>
      <c r="BF125" s="9" t="str">
        <f t="shared" si="10"/>
        <v/>
      </c>
      <c r="BG125" s="6">
        <f t="shared" si="11"/>
        <v>0</v>
      </c>
      <c r="BH125" s="6">
        <f t="shared" si="12"/>
        <v>0</v>
      </c>
      <c r="BI125" s="9" t="str">
        <f t="shared" si="13"/>
        <v/>
      </c>
      <c r="BJ125" s="6">
        <f t="shared" si="14"/>
        <v>0</v>
      </c>
      <c r="BK125" s="6">
        <f t="shared" si="15"/>
        <v>0</v>
      </c>
      <c r="BL125" s="6">
        <f t="shared" si="16"/>
        <v>0</v>
      </c>
      <c r="BM125" s="6">
        <f t="shared" si="17"/>
        <v>0</v>
      </c>
      <c r="BN125" s="6">
        <f t="shared" si="18"/>
        <v>0</v>
      </c>
      <c r="BP125" s="6">
        <f t="shared" si="19"/>
        <v>0</v>
      </c>
      <c r="BQ125" s="6" t="b">
        <f ca="1">IFERROR(__xludf.DUMMYFUNCTION("IF(AND(ISERROR(FILTER('Items by Team'!D$2:D3410,'Items by Team'!C$2:C3410 = D125,'Items by Team'!B$2:B3410 = B125)),NOT(A125=""Practice"")),TRUE,FALSE)"),FALSE)</f>
        <v>0</v>
      </c>
      <c r="BR125" s="6">
        <f t="shared" ca="1" si="20"/>
        <v>0</v>
      </c>
    </row>
    <row r="126" spans="1:70">
      <c r="A126" s="6"/>
      <c r="B126" s="6"/>
      <c r="C126" s="6"/>
      <c r="D126" s="6"/>
      <c r="E126" s="6"/>
      <c r="F126" s="6"/>
      <c r="G126" s="6"/>
      <c r="H126" s="6"/>
      <c r="I126" s="6"/>
      <c r="J126" s="6"/>
      <c r="K126" s="6"/>
      <c r="L126" s="6"/>
      <c r="M126" s="6"/>
      <c r="N126" s="6"/>
      <c r="O126" s="6"/>
      <c r="P126" s="6"/>
      <c r="R126" s="6"/>
      <c r="S126" s="6"/>
      <c r="T126" s="6"/>
      <c r="U126" s="6"/>
      <c r="V126" s="6"/>
      <c r="W126" s="6"/>
      <c r="X126" s="6"/>
      <c r="Y126" s="6"/>
      <c r="Z126" s="6"/>
      <c r="AA126" s="6"/>
      <c r="AB126" s="6"/>
      <c r="AD126" s="6"/>
      <c r="AE126" s="6"/>
      <c r="AF126" s="6"/>
      <c r="AG126" s="6"/>
      <c r="AH126" s="6"/>
      <c r="AI126" s="6"/>
      <c r="AK126" s="6"/>
      <c r="AL126" s="6"/>
      <c r="AM126" s="6"/>
      <c r="AN126" s="6"/>
      <c r="AO126" s="6"/>
      <c r="AP126" s="6"/>
      <c r="AQ126" s="6"/>
      <c r="AR126" s="6"/>
      <c r="AS126" s="15"/>
      <c r="AT126" s="6" t="str">
        <f ca="1">IFERROR(__xludf.DUMMYFUNCTION("SWITCH(IF(A126=""Practice"",AN126,FILTER('Items by Team'!E$2:E3410,'Items by Team'!C$2:C3410=D126,B126='Items by Team'!B$2:B3410)),""None"",""No"",""Parked"",""P"",""ShallowCage"",""Sc"",""DeepCage"",""Dc"",""No"",""No"",""P"",""P"",""Sc"",""Sc"",""Dc"","&amp;"""Dc"")"),"#REF!")</f>
        <v>#REF!</v>
      </c>
      <c r="AU126" s="6" t="str">
        <f ca="1">IFERROR(__xludf.DUMMYFUNCTION("SWITCH(IF(A126 = ""Practice"", H126, FILTER('Items by Team'!D$2:D3410,'Items by Team'!C$2:C3410 = D126,'Items by Team'!B$2:B3410 = B126)), ""Yes"", ""TRUE"", ""No"", ""FALSE"",TRUE, ""TRUE"", FALSE, ""FALSE"")"),"#REF!")</f>
        <v>#REF!</v>
      </c>
      <c r="AV126" s="6">
        <f t="shared" si="0"/>
        <v>0</v>
      </c>
      <c r="AW126" s="6">
        <f t="shared" si="1"/>
        <v>0</v>
      </c>
      <c r="AX126" s="6">
        <f t="shared" si="2"/>
        <v>0</v>
      </c>
      <c r="AY126" s="6">
        <f t="shared" si="3"/>
        <v>0</v>
      </c>
      <c r="AZ126" s="9" t="str">
        <f t="shared" si="4"/>
        <v/>
      </c>
      <c r="BA126" s="6">
        <f t="shared" si="5"/>
        <v>0</v>
      </c>
      <c r="BB126" s="6">
        <f t="shared" si="6"/>
        <v>0</v>
      </c>
      <c r="BC126" s="9" t="str">
        <f t="shared" si="7"/>
        <v/>
      </c>
      <c r="BD126" s="6">
        <f t="shared" si="8"/>
        <v>0</v>
      </c>
      <c r="BE126" s="6">
        <f t="shared" si="9"/>
        <v>0</v>
      </c>
      <c r="BF126" s="9" t="str">
        <f t="shared" si="10"/>
        <v/>
      </c>
      <c r="BG126" s="6">
        <f t="shared" si="11"/>
        <v>0</v>
      </c>
      <c r="BH126" s="6">
        <f t="shared" si="12"/>
        <v>0</v>
      </c>
      <c r="BI126" s="9" t="str">
        <f t="shared" si="13"/>
        <v/>
      </c>
      <c r="BJ126" s="6">
        <f t="shared" si="14"/>
        <v>0</v>
      </c>
      <c r="BK126" s="6">
        <f t="shared" si="15"/>
        <v>0</v>
      </c>
      <c r="BL126" s="6">
        <f t="shared" si="16"/>
        <v>0</v>
      </c>
      <c r="BM126" s="6">
        <f t="shared" si="17"/>
        <v>0</v>
      </c>
      <c r="BN126" s="6">
        <f t="shared" si="18"/>
        <v>0</v>
      </c>
      <c r="BP126" s="6">
        <f t="shared" si="19"/>
        <v>0</v>
      </c>
      <c r="BQ126" s="6" t="b">
        <f ca="1">IFERROR(__xludf.DUMMYFUNCTION("IF(AND(ISERROR(FILTER('Items by Team'!D$2:D3410,'Items by Team'!C$2:C3410 = D126,'Items by Team'!B$2:B3410 = B126)),NOT(A126=""Practice"")),TRUE,FALSE)"),FALSE)</f>
        <v>0</v>
      </c>
      <c r="BR126" s="6">
        <f t="shared" ca="1" si="20"/>
        <v>0</v>
      </c>
    </row>
    <row r="127" spans="1:70">
      <c r="A127" s="6"/>
      <c r="B127" s="6"/>
      <c r="C127" s="6"/>
      <c r="D127" s="6"/>
      <c r="E127" s="6"/>
      <c r="F127" s="6"/>
      <c r="G127" s="6"/>
      <c r="H127" s="6"/>
      <c r="I127" s="6"/>
      <c r="J127" s="6"/>
      <c r="K127" s="6"/>
      <c r="L127" s="6"/>
      <c r="M127" s="6"/>
      <c r="N127" s="6"/>
      <c r="O127" s="6"/>
      <c r="P127" s="6"/>
      <c r="R127" s="6"/>
      <c r="S127" s="6"/>
      <c r="T127" s="6"/>
      <c r="U127" s="6"/>
      <c r="V127" s="6"/>
      <c r="W127" s="6"/>
      <c r="X127" s="6"/>
      <c r="Y127" s="6"/>
      <c r="Z127" s="6"/>
      <c r="AA127" s="6"/>
      <c r="AB127" s="6"/>
      <c r="AD127" s="6"/>
      <c r="AE127" s="6"/>
      <c r="AF127" s="6"/>
      <c r="AG127" s="6"/>
      <c r="AH127" s="6"/>
      <c r="AI127" s="6"/>
      <c r="AK127" s="6"/>
      <c r="AL127" s="6"/>
      <c r="AM127" s="6"/>
      <c r="AN127" s="6"/>
      <c r="AO127" s="6"/>
      <c r="AP127" s="6"/>
      <c r="AQ127" s="6"/>
      <c r="AR127" s="6"/>
      <c r="AS127" s="15"/>
      <c r="AT127" s="6" t="str">
        <f ca="1">IFERROR(__xludf.DUMMYFUNCTION("SWITCH(IF(A127=""Practice"",AN127,FILTER('Items by Team'!E$2:E3410,'Items by Team'!C$2:C3410=D127,B127='Items by Team'!B$2:B3410)),""None"",""No"",""Parked"",""P"",""ShallowCage"",""Sc"",""DeepCage"",""Dc"",""No"",""No"",""P"",""P"",""Sc"",""Sc"",""Dc"","&amp;"""Dc"")"),"#REF!")</f>
        <v>#REF!</v>
      </c>
      <c r="AU127" s="6" t="str">
        <f ca="1">IFERROR(__xludf.DUMMYFUNCTION("SWITCH(IF(A127 = ""Practice"", H127, FILTER('Items by Team'!D$2:D3410,'Items by Team'!C$2:C3410 = D127,'Items by Team'!B$2:B3410 = B127)), ""Yes"", ""TRUE"", ""No"", ""FALSE"",TRUE, ""TRUE"", FALSE, ""FALSE"")"),"#REF!")</f>
        <v>#REF!</v>
      </c>
      <c r="AV127" s="6">
        <f t="shared" si="0"/>
        <v>0</v>
      </c>
      <c r="AW127" s="6">
        <f t="shared" si="1"/>
        <v>0</v>
      </c>
      <c r="AX127" s="6">
        <f t="shared" si="2"/>
        <v>0</v>
      </c>
      <c r="AY127" s="6">
        <f t="shared" si="3"/>
        <v>0</v>
      </c>
      <c r="AZ127" s="9" t="str">
        <f t="shared" si="4"/>
        <v/>
      </c>
      <c r="BA127" s="6">
        <f t="shared" si="5"/>
        <v>0</v>
      </c>
      <c r="BB127" s="6">
        <f t="shared" si="6"/>
        <v>0</v>
      </c>
      <c r="BC127" s="9" t="str">
        <f t="shared" si="7"/>
        <v/>
      </c>
      <c r="BD127" s="6">
        <f t="shared" si="8"/>
        <v>0</v>
      </c>
      <c r="BE127" s="6">
        <f t="shared" si="9"/>
        <v>0</v>
      </c>
      <c r="BF127" s="9" t="str">
        <f t="shared" si="10"/>
        <v/>
      </c>
      <c r="BG127" s="6">
        <f t="shared" si="11"/>
        <v>0</v>
      </c>
      <c r="BH127" s="6">
        <f t="shared" si="12"/>
        <v>0</v>
      </c>
      <c r="BI127" s="9" t="str">
        <f t="shared" si="13"/>
        <v/>
      </c>
      <c r="BJ127" s="6">
        <f t="shared" si="14"/>
        <v>0</v>
      </c>
      <c r="BK127" s="6">
        <f t="shared" si="15"/>
        <v>0</v>
      </c>
      <c r="BL127" s="6">
        <f t="shared" si="16"/>
        <v>0</v>
      </c>
      <c r="BM127" s="6">
        <f t="shared" si="17"/>
        <v>0</v>
      </c>
      <c r="BN127" s="6">
        <f t="shared" si="18"/>
        <v>0</v>
      </c>
      <c r="BP127" s="6">
        <f t="shared" si="19"/>
        <v>0</v>
      </c>
      <c r="BQ127" s="6" t="b">
        <f ca="1">IFERROR(__xludf.DUMMYFUNCTION("IF(AND(ISERROR(FILTER('Items by Team'!D$2:D3410,'Items by Team'!C$2:C3410 = D127,'Items by Team'!B$2:B3410 = B127)),NOT(A127=""Practice"")),TRUE,FALSE)"),FALSE)</f>
        <v>0</v>
      </c>
      <c r="BR127" s="6">
        <f t="shared" ca="1" si="20"/>
        <v>0</v>
      </c>
    </row>
    <row r="128" spans="1:70">
      <c r="A128" s="6"/>
      <c r="B128" s="6"/>
      <c r="C128" s="6"/>
      <c r="D128" s="6"/>
      <c r="E128" s="6"/>
      <c r="F128" s="6"/>
      <c r="G128" s="6"/>
      <c r="H128" s="6"/>
      <c r="I128" s="6"/>
      <c r="J128" s="6"/>
      <c r="K128" s="6"/>
      <c r="L128" s="6"/>
      <c r="M128" s="6"/>
      <c r="N128" s="6"/>
      <c r="O128" s="6"/>
      <c r="P128" s="6"/>
      <c r="R128" s="6"/>
      <c r="S128" s="6"/>
      <c r="T128" s="6"/>
      <c r="U128" s="6"/>
      <c r="V128" s="6"/>
      <c r="W128" s="6"/>
      <c r="X128" s="6"/>
      <c r="Y128" s="6"/>
      <c r="Z128" s="6"/>
      <c r="AA128" s="6"/>
      <c r="AB128" s="6"/>
      <c r="AD128" s="6"/>
      <c r="AE128" s="6"/>
      <c r="AF128" s="6"/>
      <c r="AG128" s="6"/>
      <c r="AH128" s="6"/>
      <c r="AI128" s="6"/>
      <c r="AK128" s="6"/>
      <c r="AL128" s="6"/>
      <c r="AM128" s="6"/>
      <c r="AN128" s="6"/>
      <c r="AO128" s="6"/>
      <c r="AP128" s="6"/>
      <c r="AQ128" s="6"/>
      <c r="AR128" s="6"/>
      <c r="AS128" s="15"/>
      <c r="AT128" s="6" t="str">
        <f ca="1">IFERROR(__xludf.DUMMYFUNCTION("SWITCH(IF(A128=""Practice"",AN128,FILTER('Items by Team'!E$2:E3410,'Items by Team'!C$2:C3410=D128,B128='Items by Team'!B$2:B3410)),""None"",""No"",""Parked"",""P"",""ShallowCage"",""Sc"",""DeepCage"",""Dc"",""No"",""No"",""P"",""P"",""Sc"",""Sc"",""Dc"","&amp;"""Dc"")"),"#REF!")</f>
        <v>#REF!</v>
      </c>
      <c r="AU128" s="6" t="str">
        <f ca="1">IFERROR(__xludf.DUMMYFUNCTION("SWITCH(IF(A128 = ""Practice"", H128, FILTER('Items by Team'!D$2:D3410,'Items by Team'!C$2:C3410 = D128,'Items by Team'!B$2:B3410 = B128)), ""Yes"", ""TRUE"", ""No"", ""FALSE"",TRUE, ""TRUE"", FALSE, ""FALSE"")"),"#REF!")</f>
        <v>#REF!</v>
      </c>
      <c r="AV128" s="6">
        <f t="shared" si="0"/>
        <v>0</v>
      </c>
      <c r="AW128" s="6">
        <f t="shared" si="1"/>
        <v>0</v>
      </c>
      <c r="AX128" s="6">
        <f t="shared" si="2"/>
        <v>0</v>
      </c>
      <c r="AY128" s="6">
        <f t="shared" si="3"/>
        <v>0</v>
      </c>
      <c r="AZ128" s="9" t="str">
        <f t="shared" si="4"/>
        <v/>
      </c>
      <c r="BA128" s="6">
        <f t="shared" si="5"/>
        <v>0</v>
      </c>
      <c r="BB128" s="6">
        <f t="shared" si="6"/>
        <v>0</v>
      </c>
      <c r="BC128" s="9" t="str">
        <f t="shared" si="7"/>
        <v/>
      </c>
      <c r="BD128" s="6">
        <f t="shared" si="8"/>
        <v>0</v>
      </c>
      <c r="BE128" s="6">
        <f t="shared" si="9"/>
        <v>0</v>
      </c>
      <c r="BF128" s="9" t="str">
        <f t="shared" si="10"/>
        <v/>
      </c>
      <c r="BG128" s="6">
        <f t="shared" si="11"/>
        <v>0</v>
      </c>
      <c r="BH128" s="6">
        <f t="shared" si="12"/>
        <v>0</v>
      </c>
      <c r="BI128" s="9" t="str">
        <f t="shared" si="13"/>
        <v/>
      </c>
      <c r="BJ128" s="6">
        <f t="shared" si="14"/>
        <v>0</v>
      </c>
      <c r="BK128" s="6">
        <f t="shared" si="15"/>
        <v>0</v>
      </c>
      <c r="BL128" s="6">
        <f t="shared" si="16"/>
        <v>0</v>
      </c>
      <c r="BM128" s="6">
        <f t="shared" si="17"/>
        <v>0</v>
      </c>
      <c r="BN128" s="6">
        <f t="shared" si="18"/>
        <v>0</v>
      </c>
      <c r="BP128" s="6">
        <f t="shared" si="19"/>
        <v>0</v>
      </c>
      <c r="BQ128" s="6" t="b">
        <f ca="1">IFERROR(__xludf.DUMMYFUNCTION("IF(AND(ISERROR(FILTER('Items by Team'!D$2:D3410,'Items by Team'!C$2:C3410 = D128,'Items by Team'!B$2:B3410 = B128)),NOT(A128=""Practice"")),TRUE,FALSE)"),FALSE)</f>
        <v>0</v>
      </c>
      <c r="BR128" s="6">
        <f t="shared" ca="1" si="20"/>
        <v>0</v>
      </c>
    </row>
    <row r="129" spans="1:70">
      <c r="A129" s="6"/>
      <c r="B129" s="6"/>
      <c r="C129" s="6"/>
      <c r="D129" s="6"/>
      <c r="E129" s="6"/>
      <c r="F129" s="6"/>
      <c r="G129" s="6"/>
      <c r="H129" s="6"/>
      <c r="I129" s="6"/>
      <c r="J129" s="6"/>
      <c r="K129" s="6"/>
      <c r="L129" s="6"/>
      <c r="M129" s="6"/>
      <c r="N129" s="6"/>
      <c r="O129" s="6"/>
      <c r="P129" s="6"/>
      <c r="R129" s="6"/>
      <c r="S129" s="6"/>
      <c r="T129" s="6"/>
      <c r="U129" s="6"/>
      <c r="V129" s="6"/>
      <c r="W129" s="6"/>
      <c r="X129" s="6"/>
      <c r="Y129" s="6"/>
      <c r="Z129" s="6"/>
      <c r="AA129" s="6"/>
      <c r="AB129" s="6"/>
      <c r="AD129" s="6"/>
      <c r="AE129" s="6"/>
      <c r="AF129" s="6"/>
      <c r="AG129" s="6"/>
      <c r="AH129" s="6"/>
      <c r="AI129" s="6"/>
      <c r="AK129" s="6"/>
      <c r="AL129" s="6"/>
      <c r="AM129" s="6"/>
      <c r="AN129" s="6"/>
      <c r="AO129" s="6"/>
      <c r="AP129" s="6"/>
      <c r="AQ129" s="6"/>
      <c r="AR129" s="6"/>
      <c r="AS129" s="15"/>
      <c r="AT129" s="6" t="str">
        <f ca="1">IFERROR(__xludf.DUMMYFUNCTION("SWITCH(IF(A129=""Practice"",AN129,FILTER('Items by Team'!E$2:E3410,'Items by Team'!C$2:C3410=D129,B129='Items by Team'!B$2:B3410)),""None"",""No"",""Parked"",""P"",""ShallowCage"",""Sc"",""DeepCage"",""Dc"",""No"",""No"",""P"",""P"",""Sc"",""Sc"",""Dc"","&amp;"""Dc"")"),"#REF!")</f>
        <v>#REF!</v>
      </c>
      <c r="AU129" s="6" t="str">
        <f ca="1">IFERROR(__xludf.DUMMYFUNCTION("SWITCH(IF(A129 = ""Practice"", H129, FILTER('Items by Team'!D$2:D3410,'Items by Team'!C$2:C3410 = D129,'Items by Team'!B$2:B3410 = B129)), ""Yes"", ""TRUE"", ""No"", ""FALSE"",TRUE, ""TRUE"", FALSE, ""FALSE"")"),"#REF!")</f>
        <v>#REF!</v>
      </c>
      <c r="AV129" s="6">
        <f t="shared" si="0"/>
        <v>0</v>
      </c>
      <c r="AW129" s="6">
        <f t="shared" si="1"/>
        <v>0</v>
      </c>
      <c r="AX129" s="6">
        <f t="shared" si="2"/>
        <v>0</v>
      </c>
      <c r="AY129" s="6">
        <f t="shared" si="3"/>
        <v>0</v>
      </c>
      <c r="AZ129" s="9" t="str">
        <f t="shared" si="4"/>
        <v/>
      </c>
      <c r="BA129" s="6">
        <f t="shared" si="5"/>
        <v>0</v>
      </c>
      <c r="BB129" s="6">
        <f t="shared" si="6"/>
        <v>0</v>
      </c>
      <c r="BC129" s="9" t="str">
        <f t="shared" si="7"/>
        <v/>
      </c>
      <c r="BD129" s="6">
        <f t="shared" si="8"/>
        <v>0</v>
      </c>
      <c r="BE129" s="6">
        <f t="shared" si="9"/>
        <v>0</v>
      </c>
      <c r="BF129" s="9" t="str">
        <f t="shared" si="10"/>
        <v/>
      </c>
      <c r="BG129" s="6">
        <f t="shared" si="11"/>
        <v>0</v>
      </c>
      <c r="BH129" s="6">
        <f t="shared" si="12"/>
        <v>0</v>
      </c>
      <c r="BI129" s="9" t="str">
        <f t="shared" si="13"/>
        <v/>
      </c>
      <c r="BJ129" s="6">
        <f t="shared" si="14"/>
        <v>0</v>
      </c>
      <c r="BK129" s="6">
        <f t="shared" si="15"/>
        <v>0</v>
      </c>
      <c r="BL129" s="6">
        <f t="shared" si="16"/>
        <v>0</v>
      </c>
      <c r="BM129" s="6">
        <f t="shared" si="17"/>
        <v>0</v>
      </c>
      <c r="BN129" s="6">
        <f t="shared" si="18"/>
        <v>0</v>
      </c>
      <c r="BP129" s="6">
        <f t="shared" si="19"/>
        <v>0</v>
      </c>
      <c r="BQ129" s="6" t="b">
        <f ca="1">IFERROR(__xludf.DUMMYFUNCTION("IF(AND(ISERROR(FILTER('Items by Team'!D$2:D3410,'Items by Team'!C$2:C3410 = D129,'Items by Team'!B$2:B3410 = B129)),NOT(A129=""Practice"")),TRUE,FALSE)"),FALSE)</f>
        <v>0</v>
      </c>
      <c r="BR129" s="6">
        <f t="shared" ca="1" si="20"/>
        <v>0</v>
      </c>
    </row>
    <row r="130" spans="1:70">
      <c r="A130" s="6"/>
      <c r="B130" s="6"/>
      <c r="C130" s="6"/>
      <c r="D130" s="6"/>
      <c r="E130" s="6"/>
      <c r="F130" s="6"/>
      <c r="G130" s="6"/>
      <c r="H130" s="6"/>
      <c r="I130" s="6"/>
      <c r="J130" s="6"/>
      <c r="K130" s="6"/>
      <c r="L130" s="6"/>
      <c r="M130" s="6"/>
      <c r="N130" s="6"/>
      <c r="O130" s="6"/>
      <c r="P130" s="6"/>
      <c r="R130" s="6"/>
      <c r="S130" s="6"/>
      <c r="T130" s="6"/>
      <c r="U130" s="6"/>
      <c r="V130" s="6"/>
      <c r="W130" s="6"/>
      <c r="X130" s="6"/>
      <c r="Y130" s="6"/>
      <c r="Z130" s="6"/>
      <c r="AA130" s="6"/>
      <c r="AB130" s="6"/>
      <c r="AD130" s="6"/>
      <c r="AE130" s="6"/>
      <c r="AF130" s="6"/>
      <c r="AG130" s="6"/>
      <c r="AH130" s="6"/>
      <c r="AI130" s="6"/>
      <c r="AK130" s="6"/>
      <c r="AL130" s="6"/>
      <c r="AM130" s="6"/>
      <c r="AN130" s="6"/>
      <c r="AO130" s="6"/>
      <c r="AP130" s="6"/>
      <c r="AQ130" s="6"/>
      <c r="AR130" s="6"/>
      <c r="AS130" s="15"/>
      <c r="AT130" s="6" t="str">
        <f ca="1">IFERROR(__xludf.DUMMYFUNCTION("SWITCH(IF(A130=""Practice"",AN130,FILTER('Items by Team'!E$2:E3410,'Items by Team'!C$2:C3410=D130,B130='Items by Team'!B$2:B3410)),""None"",""No"",""Parked"",""P"",""ShallowCage"",""Sc"",""DeepCage"",""Dc"",""No"",""No"",""P"",""P"",""Sc"",""Sc"",""Dc"","&amp;"""Dc"")"),"#REF!")</f>
        <v>#REF!</v>
      </c>
      <c r="AU130" s="6" t="str">
        <f ca="1">IFERROR(__xludf.DUMMYFUNCTION("SWITCH(IF(A130 = ""Practice"", H130, FILTER('Items by Team'!D$2:D3410,'Items by Team'!C$2:C3410 = D130,'Items by Team'!B$2:B3410 = B130)), ""Yes"", ""TRUE"", ""No"", ""FALSE"",TRUE, ""TRUE"", FALSE, ""FALSE"")"),"#REF!")</f>
        <v>#REF!</v>
      </c>
      <c r="AV130" s="6">
        <f t="shared" si="0"/>
        <v>0</v>
      </c>
      <c r="AW130" s="6">
        <f t="shared" si="1"/>
        <v>0</v>
      </c>
      <c r="AX130" s="6">
        <f t="shared" si="2"/>
        <v>0</v>
      </c>
      <c r="AY130" s="6">
        <f t="shared" si="3"/>
        <v>0</v>
      </c>
      <c r="AZ130" s="9" t="str">
        <f t="shared" si="4"/>
        <v/>
      </c>
      <c r="BA130" s="6">
        <f t="shared" si="5"/>
        <v>0</v>
      </c>
      <c r="BB130" s="6">
        <f t="shared" si="6"/>
        <v>0</v>
      </c>
      <c r="BC130" s="9" t="str">
        <f t="shared" si="7"/>
        <v/>
      </c>
      <c r="BD130" s="6">
        <f t="shared" si="8"/>
        <v>0</v>
      </c>
      <c r="BE130" s="6">
        <f t="shared" si="9"/>
        <v>0</v>
      </c>
      <c r="BF130" s="9" t="str">
        <f t="shared" si="10"/>
        <v/>
      </c>
      <c r="BG130" s="6">
        <f t="shared" si="11"/>
        <v>0</v>
      </c>
      <c r="BH130" s="6">
        <f t="shared" si="12"/>
        <v>0</v>
      </c>
      <c r="BI130" s="9" t="str">
        <f t="shared" si="13"/>
        <v/>
      </c>
      <c r="BJ130" s="6">
        <f t="shared" si="14"/>
        <v>0</v>
      </c>
      <c r="BK130" s="6">
        <f t="shared" si="15"/>
        <v>0</v>
      </c>
      <c r="BL130" s="6">
        <f t="shared" si="16"/>
        <v>0</v>
      </c>
      <c r="BM130" s="6">
        <f t="shared" si="17"/>
        <v>0</v>
      </c>
      <c r="BN130" s="6">
        <f t="shared" si="18"/>
        <v>0</v>
      </c>
      <c r="BP130" s="6">
        <f t="shared" si="19"/>
        <v>0</v>
      </c>
      <c r="BQ130" s="6" t="b">
        <f ca="1">IFERROR(__xludf.DUMMYFUNCTION("IF(AND(ISERROR(FILTER('Items by Team'!D$2:D3410,'Items by Team'!C$2:C3410 = D130,'Items by Team'!B$2:B3410 = B130)),NOT(A130=""Practice"")),TRUE,FALSE)"),FALSE)</f>
        <v>0</v>
      </c>
      <c r="BR130" s="6">
        <f t="shared" ca="1" si="20"/>
        <v>0</v>
      </c>
    </row>
    <row r="131" spans="1:70">
      <c r="A131" s="6"/>
      <c r="B131" s="6"/>
      <c r="C131" s="6"/>
      <c r="D131" s="6"/>
      <c r="E131" s="6"/>
      <c r="F131" s="6"/>
      <c r="G131" s="6"/>
      <c r="H131" s="6"/>
      <c r="I131" s="6"/>
      <c r="J131" s="6"/>
      <c r="K131" s="6"/>
      <c r="L131" s="6"/>
      <c r="M131" s="6"/>
      <c r="N131" s="6"/>
      <c r="O131" s="6"/>
      <c r="P131" s="6"/>
      <c r="R131" s="6"/>
      <c r="S131" s="6"/>
      <c r="T131" s="6"/>
      <c r="U131" s="6"/>
      <c r="V131" s="6"/>
      <c r="W131" s="6"/>
      <c r="X131" s="6"/>
      <c r="Y131" s="6"/>
      <c r="Z131" s="6"/>
      <c r="AA131" s="6"/>
      <c r="AB131" s="6"/>
      <c r="AD131" s="6"/>
      <c r="AE131" s="6"/>
      <c r="AF131" s="6"/>
      <c r="AG131" s="6"/>
      <c r="AH131" s="6"/>
      <c r="AI131" s="6"/>
      <c r="AK131" s="6"/>
      <c r="AL131" s="6"/>
      <c r="AM131" s="6"/>
      <c r="AN131" s="6"/>
      <c r="AO131" s="6"/>
      <c r="AP131" s="6"/>
      <c r="AQ131" s="6"/>
      <c r="AR131" s="6"/>
      <c r="AS131" s="15"/>
      <c r="AT131" s="6" t="str">
        <f ca="1">IFERROR(__xludf.DUMMYFUNCTION("SWITCH(IF(A131=""Practice"",AN131,FILTER('Items by Team'!E$2:E3410,'Items by Team'!C$2:C3410=D131,B131='Items by Team'!B$2:B3410)),""None"",""No"",""Parked"",""P"",""ShallowCage"",""Sc"",""DeepCage"",""Dc"",""No"",""No"",""P"",""P"",""Sc"",""Sc"",""Dc"","&amp;"""Dc"")"),"#REF!")</f>
        <v>#REF!</v>
      </c>
      <c r="AU131" s="6" t="str">
        <f ca="1">IFERROR(__xludf.DUMMYFUNCTION("SWITCH(IF(A131 = ""Practice"", H131, FILTER('Items by Team'!D$2:D3410,'Items by Team'!C$2:C3410 = D131,'Items by Team'!B$2:B3410 = B131)), ""Yes"", ""TRUE"", ""No"", ""FALSE"",TRUE, ""TRUE"", FALSE, ""FALSE"")"),"#REF!")</f>
        <v>#REF!</v>
      </c>
      <c r="AV131" s="6">
        <f t="shared" si="0"/>
        <v>0</v>
      </c>
      <c r="AW131" s="6">
        <f t="shared" si="1"/>
        <v>0</v>
      </c>
      <c r="AX131" s="6">
        <f t="shared" si="2"/>
        <v>0</v>
      </c>
      <c r="AY131" s="6">
        <f t="shared" si="3"/>
        <v>0</v>
      </c>
      <c r="AZ131" s="9" t="str">
        <f t="shared" si="4"/>
        <v/>
      </c>
      <c r="BA131" s="6">
        <f t="shared" si="5"/>
        <v>0</v>
      </c>
      <c r="BB131" s="6">
        <f t="shared" si="6"/>
        <v>0</v>
      </c>
      <c r="BC131" s="9" t="str">
        <f t="shared" si="7"/>
        <v/>
      </c>
      <c r="BD131" s="6">
        <f t="shared" si="8"/>
        <v>0</v>
      </c>
      <c r="BE131" s="6">
        <f t="shared" si="9"/>
        <v>0</v>
      </c>
      <c r="BF131" s="9" t="str">
        <f t="shared" si="10"/>
        <v/>
      </c>
      <c r="BG131" s="6">
        <f t="shared" si="11"/>
        <v>0</v>
      </c>
      <c r="BH131" s="6">
        <f t="shared" si="12"/>
        <v>0</v>
      </c>
      <c r="BI131" s="9" t="str">
        <f t="shared" si="13"/>
        <v/>
      </c>
      <c r="BJ131" s="6">
        <f t="shared" si="14"/>
        <v>0</v>
      </c>
      <c r="BK131" s="6">
        <f t="shared" si="15"/>
        <v>0</v>
      </c>
      <c r="BL131" s="6">
        <f t="shared" si="16"/>
        <v>0</v>
      </c>
      <c r="BM131" s="6">
        <f t="shared" si="17"/>
        <v>0</v>
      </c>
      <c r="BN131" s="6">
        <f t="shared" si="18"/>
        <v>0</v>
      </c>
      <c r="BP131" s="6">
        <f t="shared" si="19"/>
        <v>0</v>
      </c>
      <c r="BQ131" s="6" t="b">
        <f ca="1">IFERROR(__xludf.DUMMYFUNCTION("IF(AND(ISERROR(FILTER('Items by Team'!D$2:D3410,'Items by Team'!C$2:C3410 = D131,'Items by Team'!B$2:B3410 = B131)),NOT(A131=""Practice"")),TRUE,FALSE)"),FALSE)</f>
        <v>0</v>
      </c>
      <c r="BR131" s="6">
        <f t="shared" ca="1" si="20"/>
        <v>0</v>
      </c>
    </row>
    <row r="132" spans="1:70">
      <c r="A132" s="6"/>
      <c r="B132" s="6"/>
      <c r="C132" s="6"/>
      <c r="D132" s="6"/>
      <c r="E132" s="6"/>
      <c r="F132" s="6"/>
      <c r="G132" s="6"/>
      <c r="H132" s="6"/>
      <c r="I132" s="6"/>
      <c r="J132" s="6"/>
      <c r="K132" s="6"/>
      <c r="L132" s="6"/>
      <c r="M132" s="6"/>
      <c r="N132" s="6"/>
      <c r="O132" s="6"/>
      <c r="P132" s="6"/>
      <c r="R132" s="6"/>
      <c r="S132" s="6"/>
      <c r="T132" s="6"/>
      <c r="U132" s="6"/>
      <c r="V132" s="6"/>
      <c r="W132" s="6"/>
      <c r="X132" s="6"/>
      <c r="Y132" s="6"/>
      <c r="Z132" s="6"/>
      <c r="AA132" s="6"/>
      <c r="AB132" s="6"/>
      <c r="AD132" s="6"/>
      <c r="AE132" s="6"/>
      <c r="AF132" s="6"/>
      <c r="AG132" s="6"/>
      <c r="AH132" s="6"/>
      <c r="AI132" s="6"/>
      <c r="AK132" s="6"/>
      <c r="AL132" s="6"/>
      <c r="AM132" s="6"/>
      <c r="AN132" s="6"/>
      <c r="AO132" s="6"/>
      <c r="AP132" s="6"/>
      <c r="AQ132" s="6"/>
      <c r="AR132" s="6"/>
      <c r="AS132" s="15"/>
      <c r="AT132" s="6" t="str">
        <f ca="1">IFERROR(__xludf.DUMMYFUNCTION("SWITCH(IF(A132=""Practice"",AN132,FILTER('Items by Team'!E$2:E3410,'Items by Team'!C$2:C3410=D132,B132='Items by Team'!B$2:B3410)),""None"",""No"",""Parked"",""P"",""ShallowCage"",""Sc"",""DeepCage"",""Dc"",""No"",""No"",""P"",""P"",""Sc"",""Sc"",""Dc"","&amp;"""Dc"")"),"#REF!")</f>
        <v>#REF!</v>
      </c>
      <c r="AU132" s="6" t="str">
        <f ca="1">IFERROR(__xludf.DUMMYFUNCTION("SWITCH(IF(A132 = ""Practice"", H132, FILTER('Items by Team'!D$2:D3410,'Items by Team'!C$2:C3410 = D132,'Items by Team'!B$2:B3410 = B132)), ""Yes"", ""TRUE"", ""No"", ""FALSE"",TRUE, ""TRUE"", FALSE, ""FALSE"")"),"#REF!")</f>
        <v>#REF!</v>
      </c>
      <c r="AV132" s="6">
        <f t="shared" si="0"/>
        <v>0</v>
      </c>
      <c r="AW132" s="6">
        <f t="shared" si="1"/>
        <v>0</v>
      </c>
      <c r="AX132" s="6">
        <f t="shared" si="2"/>
        <v>0</v>
      </c>
      <c r="AY132" s="6">
        <f t="shared" si="3"/>
        <v>0</v>
      </c>
      <c r="AZ132" s="9" t="str">
        <f t="shared" si="4"/>
        <v/>
      </c>
      <c r="BA132" s="6">
        <f t="shared" si="5"/>
        <v>0</v>
      </c>
      <c r="BB132" s="6">
        <f t="shared" si="6"/>
        <v>0</v>
      </c>
      <c r="BC132" s="9" t="str">
        <f t="shared" si="7"/>
        <v/>
      </c>
      <c r="BD132" s="6">
        <f t="shared" si="8"/>
        <v>0</v>
      </c>
      <c r="BE132" s="6">
        <f t="shared" si="9"/>
        <v>0</v>
      </c>
      <c r="BF132" s="9" t="str">
        <f t="shared" si="10"/>
        <v/>
      </c>
      <c r="BG132" s="6">
        <f t="shared" si="11"/>
        <v>0</v>
      </c>
      <c r="BH132" s="6">
        <f t="shared" si="12"/>
        <v>0</v>
      </c>
      <c r="BI132" s="9" t="str">
        <f t="shared" si="13"/>
        <v/>
      </c>
      <c r="BJ132" s="6">
        <f t="shared" si="14"/>
        <v>0</v>
      </c>
      <c r="BK132" s="6">
        <f t="shared" si="15"/>
        <v>0</v>
      </c>
      <c r="BL132" s="6">
        <f t="shared" si="16"/>
        <v>0</v>
      </c>
      <c r="BM132" s="6">
        <f t="shared" si="17"/>
        <v>0</v>
      </c>
      <c r="BN132" s="6">
        <f t="shared" si="18"/>
        <v>0</v>
      </c>
      <c r="BP132" s="6">
        <f t="shared" si="19"/>
        <v>0</v>
      </c>
      <c r="BQ132" s="6" t="b">
        <f ca="1">IFERROR(__xludf.DUMMYFUNCTION("IF(AND(ISERROR(FILTER('Items by Team'!D$2:D3410,'Items by Team'!C$2:C3410 = D132,'Items by Team'!B$2:B3410 = B132)),NOT(A132=""Practice"")),TRUE,FALSE)"),FALSE)</f>
        <v>0</v>
      </c>
      <c r="BR132" s="6">
        <f t="shared" ca="1" si="20"/>
        <v>0</v>
      </c>
    </row>
    <row r="133" spans="1:70">
      <c r="A133" s="6"/>
      <c r="B133" s="6"/>
      <c r="C133" s="6"/>
      <c r="D133" s="6"/>
      <c r="E133" s="6"/>
      <c r="F133" s="6"/>
      <c r="G133" s="6"/>
      <c r="H133" s="6"/>
      <c r="I133" s="6"/>
      <c r="J133" s="6"/>
      <c r="K133" s="6"/>
      <c r="L133" s="6"/>
      <c r="M133" s="6"/>
      <c r="N133" s="6"/>
      <c r="O133" s="6"/>
      <c r="P133" s="6"/>
      <c r="R133" s="6"/>
      <c r="S133" s="6"/>
      <c r="T133" s="6"/>
      <c r="U133" s="6"/>
      <c r="V133" s="6"/>
      <c r="W133" s="6"/>
      <c r="X133" s="6"/>
      <c r="Y133" s="6"/>
      <c r="Z133" s="6"/>
      <c r="AA133" s="6"/>
      <c r="AB133" s="6"/>
      <c r="AD133" s="6"/>
      <c r="AE133" s="6"/>
      <c r="AF133" s="6"/>
      <c r="AG133" s="6"/>
      <c r="AH133" s="6"/>
      <c r="AI133" s="6"/>
      <c r="AK133" s="6"/>
      <c r="AL133" s="6"/>
      <c r="AM133" s="6"/>
      <c r="AN133" s="6"/>
      <c r="AO133" s="6"/>
      <c r="AP133" s="6"/>
      <c r="AQ133" s="6"/>
      <c r="AR133" s="6"/>
      <c r="AS133" s="15"/>
      <c r="AT133" s="6" t="str">
        <f ca="1">IFERROR(__xludf.DUMMYFUNCTION("SWITCH(IF(A133=""Practice"",AN133,FILTER('Items by Team'!E$2:E3410,'Items by Team'!C$2:C3410=D133,B133='Items by Team'!B$2:B3410)),""None"",""No"",""Parked"",""P"",""ShallowCage"",""Sc"",""DeepCage"",""Dc"",""No"",""No"",""P"",""P"",""Sc"",""Sc"",""Dc"","&amp;"""Dc"")"),"#REF!")</f>
        <v>#REF!</v>
      </c>
      <c r="AU133" s="6" t="str">
        <f ca="1">IFERROR(__xludf.DUMMYFUNCTION("SWITCH(IF(A133 = ""Practice"", H133, FILTER('Items by Team'!D$2:D3410,'Items by Team'!C$2:C3410 = D133,'Items by Team'!B$2:B3410 = B133)), ""Yes"", ""TRUE"", ""No"", ""FALSE"",TRUE, ""TRUE"", FALSE, ""FALSE"")"),"#REF!")</f>
        <v>#REF!</v>
      </c>
      <c r="AV133" s="6">
        <f t="shared" si="0"/>
        <v>0</v>
      </c>
      <c r="AW133" s="6">
        <f t="shared" si="1"/>
        <v>0</v>
      </c>
      <c r="AX133" s="6">
        <f t="shared" si="2"/>
        <v>0</v>
      </c>
      <c r="AY133" s="6">
        <f t="shared" si="3"/>
        <v>0</v>
      </c>
      <c r="AZ133" s="9" t="str">
        <f t="shared" si="4"/>
        <v/>
      </c>
      <c r="BA133" s="6">
        <f t="shared" si="5"/>
        <v>0</v>
      </c>
      <c r="BB133" s="6">
        <f t="shared" si="6"/>
        <v>0</v>
      </c>
      <c r="BC133" s="9" t="str">
        <f t="shared" si="7"/>
        <v/>
      </c>
      <c r="BD133" s="6">
        <f t="shared" si="8"/>
        <v>0</v>
      </c>
      <c r="BE133" s="6">
        <f t="shared" si="9"/>
        <v>0</v>
      </c>
      <c r="BF133" s="9" t="str">
        <f t="shared" si="10"/>
        <v/>
      </c>
      <c r="BG133" s="6">
        <f t="shared" si="11"/>
        <v>0</v>
      </c>
      <c r="BH133" s="6">
        <f t="shared" si="12"/>
        <v>0</v>
      </c>
      <c r="BI133" s="9" t="str">
        <f t="shared" si="13"/>
        <v/>
      </c>
      <c r="BJ133" s="6">
        <f t="shared" si="14"/>
        <v>0</v>
      </c>
      <c r="BK133" s="6">
        <f t="shared" si="15"/>
        <v>0</v>
      </c>
      <c r="BL133" s="6">
        <f t="shared" si="16"/>
        <v>0</v>
      </c>
      <c r="BM133" s="6">
        <f t="shared" si="17"/>
        <v>0</v>
      </c>
      <c r="BN133" s="6">
        <f t="shared" si="18"/>
        <v>0</v>
      </c>
      <c r="BP133" s="6">
        <f t="shared" si="19"/>
        <v>0</v>
      </c>
      <c r="BQ133" s="6" t="b">
        <f ca="1">IFERROR(__xludf.DUMMYFUNCTION("IF(AND(ISERROR(FILTER('Items by Team'!D$2:D3410,'Items by Team'!C$2:C3410 = D133,'Items by Team'!B$2:B3410 = B133)),NOT(A133=""Practice"")),TRUE,FALSE)"),FALSE)</f>
        <v>0</v>
      </c>
      <c r="BR133" s="6">
        <f t="shared" ca="1" si="20"/>
        <v>0</v>
      </c>
    </row>
    <row r="134" spans="1:70">
      <c r="A134" s="6"/>
      <c r="B134" s="6"/>
      <c r="C134" s="6"/>
      <c r="D134" s="6"/>
      <c r="E134" s="6"/>
      <c r="F134" s="6"/>
      <c r="G134" s="6"/>
      <c r="H134" s="6"/>
      <c r="I134" s="6"/>
      <c r="J134" s="6"/>
      <c r="K134" s="6"/>
      <c r="L134" s="6"/>
      <c r="M134" s="6"/>
      <c r="N134" s="6"/>
      <c r="O134" s="6"/>
      <c r="P134" s="6"/>
      <c r="R134" s="6"/>
      <c r="S134" s="6"/>
      <c r="T134" s="6"/>
      <c r="U134" s="6"/>
      <c r="V134" s="6"/>
      <c r="W134" s="6"/>
      <c r="X134" s="6"/>
      <c r="Y134" s="6"/>
      <c r="Z134" s="6"/>
      <c r="AA134" s="6"/>
      <c r="AB134" s="6"/>
      <c r="AD134" s="6"/>
      <c r="AE134" s="6"/>
      <c r="AF134" s="6"/>
      <c r="AG134" s="6"/>
      <c r="AH134" s="6"/>
      <c r="AI134" s="6"/>
      <c r="AK134" s="6"/>
      <c r="AL134" s="6"/>
      <c r="AM134" s="6"/>
      <c r="AN134" s="6"/>
      <c r="AO134" s="6"/>
      <c r="AP134" s="6"/>
      <c r="AQ134" s="6"/>
      <c r="AR134" s="6"/>
      <c r="AS134" s="15"/>
      <c r="AT134" s="6" t="str">
        <f ca="1">IFERROR(__xludf.DUMMYFUNCTION("SWITCH(IF(A134=""Practice"",AN134,FILTER('Items by Team'!E$2:E3410,'Items by Team'!C$2:C3410=D134,B134='Items by Team'!B$2:B3410)),""None"",""No"",""Parked"",""P"",""ShallowCage"",""Sc"",""DeepCage"",""Dc"",""No"",""No"",""P"",""P"",""Sc"",""Sc"",""Dc"","&amp;"""Dc"")"),"#REF!")</f>
        <v>#REF!</v>
      </c>
      <c r="AU134" s="6" t="str">
        <f ca="1">IFERROR(__xludf.DUMMYFUNCTION("SWITCH(IF(A134 = ""Practice"", H134, FILTER('Items by Team'!D$2:D3410,'Items by Team'!C$2:C3410 = D134,'Items by Team'!B$2:B3410 = B134)), ""Yes"", ""TRUE"", ""No"", ""FALSE"",TRUE, ""TRUE"", FALSE, ""FALSE"")"),"#REF!")</f>
        <v>#REF!</v>
      </c>
      <c r="AV134" s="6">
        <f t="shared" si="0"/>
        <v>0</v>
      </c>
      <c r="AW134" s="6">
        <f t="shared" si="1"/>
        <v>0</v>
      </c>
      <c r="AX134" s="6">
        <f t="shared" si="2"/>
        <v>0</v>
      </c>
      <c r="AY134" s="6">
        <f t="shared" si="3"/>
        <v>0</v>
      </c>
      <c r="AZ134" s="9" t="str">
        <f t="shared" si="4"/>
        <v/>
      </c>
      <c r="BA134" s="6">
        <f t="shared" si="5"/>
        <v>0</v>
      </c>
      <c r="BB134" s="6">
        <f t="shared" si="6"/>
        <v>0</v>
      </c>
      <c r="BC134" s="9" t="str">
        <f t="shared" si="7"/>
        <v/>
      </c>
      <c r="BD134" s="6">
        <f t="shared" si="8"/>
        <v>0</v>
      </c>
      <c r="BE134" s="6">
        <f t="shared" si="9"/>
        <v>0</v>
      </c>
      <c r="BF134" s="9" t="str">
        <f t="shared" si="10"/>
        <v/>
      </c>
      <c r="BG134" s="6">
        <f t="shared" si="11"/>
        <v>0</v>
      </c>
      <c r="BH134" s="6">
        <f t="shared" si="12"/>
        <v>0</v>
      </c>
      <c r="BI134" s="9" t="str">
        <f t="shared" si="13"/>
        <v/>
      </c>
      <c r="BJ134" s="6">
        <f t="shared" si="14"/>
        <v>0</v>
      </c>
      <c r="BK134" s="6">
        <f t="shared" si="15"/>
        <v>0</v>
      </c>
      <c r="BL134" s="6">
        <f t="shared" si="16"/>
        <v>0</v>
      </c>
      <c r="BM134" s="6">
        <f t="shared" si="17"/>
        <v>0</v>
      </c>
      <c r="BN134" s="6">
        <f t="shared" si="18"/>
        <v>0</v>
      </c>
      <c r="BP134" s="6">
        <f t="shared" si="19"/>
        <v>0</v>
      </c>
      <c r="BQ134" s="6" t="b">
        <f ca="1">IFERROR(__xludf.DUMMYFUNCTION("IF(AND(ISERROR(FILTER('Items by Team'!D$2:D3410,'Items by Team'!C$2:C3410 = D134,'Items by Team'!B$2:B3410 = B134)),NOT(A134=""Practice"")),TRUE,FALSE)"),FALSE)</f>
        <v>0</v>
      </c>
      <c r="BR134" s="6">
        <f t="shared" ca="1" si="20"/>
        <v>0</v>
      </c>
    </row>
    <row r="135" spans="1:70">
      <c r="A135" s="6"/>
      <c r="B135" s="6"/>
      <c r="C135" s="6"/>
      <c r="D135" s="6"/>
      <c r="E135" s="6"/>
      <c r="F135" s="6"/>
      <c r="G135" s="6"/>
      <c r="H135" s="6"/>
      <c r="I135" s="6"/>
      <c r="J135" s="6"/>
      <c r="K135" s="6"/>
      <c r="L135" s="6"/>
      <c r="M135" s="6"/>
      <c r="N135" s="6"/>
      <c r="O135" s="6"/>
      <c r="P135" s="6"/>
      <c r="R135" s="6"/>
      <c r="S135" s="6"/>
      <c r="T135" s="6"/>
      <c r="U135" s="6"/>
      <c r="V135" s="6"/>
      <c r="W135" s="6"/>
      <c r="X135" s="6"/>
      <c r="Y135" s="6"/>
      <c r="Z135" s="6"/>
      <c r="AA135" s="6"/>
      <c r="AB135" s="6"/>
      <c r="AD135" s="6"/>
      <c r="AE135" s="6"/>
      <c r="AF135" s="6"/>
      <c r="AG135" s="6"/>
      <c r="AH135" s="6"/>
      <c r="AI135" s="6"/>
      <c r="AK135" s="6"/>
      <c r="AL135" s="6"/>
      <c r="AM135" s="6"/>
      <c r="AN135" s="6"/>
      <c r="AO135" s="6"/>
      <c r="AP135" s="6"/>
      <c r="AQ135" s="6"/>
      <c r="AR135" s="6"/>
      <c r="AS135" s="15"/>
      <c r="AT135" s="6" t="str">
        <f ca="1">IFERROR(__xludf.DUMMYFUNCTION("SWITCH(IF(A135=""Practice"",AN135,FILTER('Items by Team'!E$2:E3410,'Items by Team'!C$2:C3410=D135,B135='Items by Team'!B$2:B3410)),""None"",""No"",""Parked"",""P"",""ShallowCage"",""Sc"",""DeepCage"",""Dc"",""No"",""No"",""P"",""P"",""Sc"",""Sc"",""Dc"","&amp;"""Dc"")"),"#REF!")</f>
        <v>#REF!</v>
      </c>
      <c r="AU135" s="6" t="str">
        <f ca="1">IFERROR(__xludf.DUMMYFUNCTION("SWITCH(IF(A135 = ""Practice"", H135, FILTER('Items by Team'!D$2:D3410,'Items by Team'!C$2:C3410 = D135,'Items by Team'!B$2:B3410 = B135)), ""Yes"", ""TRUE"", ""No"", ""FALSE"",TRUE, ""TRUE"", FALSE, ""FALSE"")"),"#REF!")</f>
        <v>#REF!</v>
      </c>
      <c r="AV135" s="6">
        <f t="shared" si="0"/>
        <v>0</v>
      </c>
      <c r="AW135" s="6">
        <f t="shared" si="1"/>
        <v>0</v>
      </c>
      <c r="AX135" s="6">
        <f t="shared" si="2"/>
        <v>0</v>
      </c>
      <c r="AY135" s="6">
        <f t="shared" si="3"/>
        <v>0</v>
      </c>
      <c r="AZ135" s="9" t="str">
        <f t="shared" si="4"/>
        <v/>
      </c>
      <c r="BA135" s="6">
        <f t="shared" si="5"/>
        <v>0</v>
      </c>
      <c r="BB135" s="6">
        <f t="shared" si="6"/>
        <v>0</v>
      </c>
      <c r="BC135" s="9" t="str">
        <f t="shared" si="7"/>
        <v/>
      </c>
      <c r="BD135" s="6">
        <f t="shared" si="8"/>
        <v>0</v>
      </c>
      <c r="BE135" s="6">
        <f t="shared" si="9"/>
        <v>0</v>
      </c>
      <c r="BF135" s="9" t="str">
        <f t="shared" si="10"/>
        <v/>
      </c>
      <c r="BG135" s="6">
        <f t="shared" si="11"/>
        <v>0</v>
      </c>
      <c r="BH135" s="6">
        <f t="shared" si="12"/>
        <v>0</v>
      </c>
      <c r="BI135" s="9" t="str">
        <f t="shared" si="13"/>
        <v/>
      </c>
      <c r="BJ135" s="6">
        <f t="shared" si="14"/>
        <v>0</v>
      </c>
      <c r="BK135" s="6">
        <f t="shared" si="15"/>
        <v>0</v>
      </c>
      <c r="BL135" s="6">
        <f t="shared" si="16"/>
        <v>0</v>
      </c>
      <c r="BM135" s="6">
        <f t="shared" si="17"/>
        <v>0</v>
      </c>
      <c r="BN135" s="6">
        <f t="shared" si="18"/>
        <v>0</v>
      </c>
      <c r="BP135" s="6">
        <f t="shared" si="19"/>
        <v>0</v>
      </c>
      <c r="BQ135" s="6" t="b">
        <f ca="1">IFERROR(__xludf.DUMMYFUNCTION("IF(AND(ISERROR(FILTER('Items by Team'!D$2:D3410,'Items by Team'!C$2:C3410 = D135,'Items by Team'!B$2:B3410 = B135)),NOT(A135=""Practice"")),TRUE,FALSE)"),FALSE)</f>
        <v>0</v>
      </c>
      <c r="BR135" s="6">
        <f t="shared" ca="1" si="20"/>
        <v>0</v>
      </c>
    </row>
    <row r="136" spans="1:70">
      <c r="A136" s="6"/>
      <c r="B136" s="6"/>
      <c r="C136" s="6"/>
      <c r="D136" s="6"/>
      <c r="E136" s="6"/>
      <c r="F136" s="6"/>
      <c r="G136" s="6"/>
      <c r="H136" s="6"/>
      <c r="I136" s="6"/>
      <c r="J136" s="6"/>
      <c r="K136" s="6"/>
      <c r="L136" s="6"/>
      <c r="M136" s="6"/>
      <c r="N136" s="6"/>
      <c r="O136" s="6"/>
      <c r="P136" s="6"/>
      <c r="R136" s="6"/>
      <c r="S136" s="6"/>
      <c r="T136" s="6"/>
      <c r="U136" s="6"/>
      <c r="V136" s="6"/>
      <c r="W136" s="6"/>
      <c r="X136" s="6"/>
      <c r="Y136" s="6"/>
      <c r="Z136" s="6"/>
      <c r="AA136" s="6"/>
      <c r="AB136" s="6"/>
      <c r="AD136" s="6"/>
      <c r="AE136" s="6"/>
      <c r="AF136" s="6"/>
      <c r="AG136" s="6"/>
      <c r="AH136" s="6"/>
      <c r="AI136" s="6"/>
      <c r="AK136" s="6"/>
      <c r="AL136" s="6"/>
      <c r="AM136" s="6"/>
      <c r="AN136" s="6"/>
      <c r="AO136" s="6"/>
      <c r="AP136" s="6"/>
      <c r="AQ136" s="6"/>
      <c r="AR136" s="6"/>
      <c r="AS136" s="15"/>
      <c r="AT136" s="6" t="str">
        <f ca="1">IFERROR(__xludf.DUMMYFUNCTION("SWITCH(IF(A136=""Practice"",AN136,FILTER('Items by Team'!E$2:E3410,'Items by Team'!C$2:C3410=D136,B136='Items by Team'!B$2:B3410)),""None"",""No"",""Parked"",""P"",""ShallowCage"",""Sc"",""DeepCage"",""Dc"",""No"",""No"",""P"",""P"",""Sc"",""Sc"",""Dc"","&amp;"""Dc"")"),"#REF!")</f>
        <v>#REF!</v>
      </c>
      <c r="AU136" s="6" t="str">
        <f ca="1">IFERROR(__xludf.DUMMYFUNCTION("SWITCH(IF(A136 = ""Practice"", H136, FILTER('Items by Team'!D$2:D3410,'Items by Team'!C$2:C3410 = D136,'Items by Team'!B$2:B3410 = B136)), ""Yes"", ""TRUE"", ""No"", ""FALSE"",TRUE, ""TRUE"", FALSE, ""FALSE"")"),"#REF!")</f>
        <v>#REF!</v>
      </c>
      <c r="AV136" s="6">
        <f t="shared" si="0"/>
        <v>0</v>
      </c>
      <c r="AW136" s="6">
        <f t="shared" si="1"/>
        <v>0</v>
      </c>
      <c r="AX136" s="6">
        <f t="shared" si="2"/>
        <v>0</v>
      </c>
      <c r="AY136" s="6">
        <f t="shared" si="3"/>
        <v>0</v>
      </c>
      <c r="AZ136" s="9" t="str">
        <f t="shared" si="4"/>
        <v/>
      </c>
      <c r="BA136" s="6">
        <f t="shared" si="5"/>
        <v>0</v>
      </c>
      <c r="BB136" s="6">
        <f t="shared" si="6"/>
        <v>0</v>
      </c>
      <c r="BC136" s="9" t="str">
        <f t="shared" si="7"/>
        <v/>
      </c>
      <c r="BD136" s="6">
        <f t="shared" si="8"/>
        <v>0</v>
      </c>
      <c r="BE136" s="6">
        <f t="shared" si="9"/>
        <v>0</v>
      </c>
      <c r="BF136" s="9" t="str">
        <f t="shared" si="10"/>
        <v/>
      </c>
      <c r="BG136" s="6">
        <f t="shared" si="11"/>
        <v>0</v>
      </c>
      <c r="BH136" s="6">
        <f t="shared" si="12"/>
        <v>0</v>
      </c>
      <c r="BI136" s="9" t="str">
        <f t="shared" si="13"/>
        <v/>
      </c>
      <c r="BJ136" s="6">
        <f t="shared" si="14"/>
        <v>0</v>
      </c>
      <c r="BK136" s="6">
        <f t="shared" si="15"/>
        <v>0</v>
      </c>
      <c r="BL136" s="6">
        <f t="shared" si="16"/>
        <v>0</v>
      </c>
      <c r="BM136" s="6">
        <f t="shared" si="17"/>
        <v>0</v>
      </c>
      <c r="BN136" s="6">
        <f t="shared" si="18"/>
        <v>0</v>
      </c>
      <c r="BP136" s="6">
        <f t="shared" si="19"/>
        <v>0</v>
      </c>
      <c r="BQ136" s="6" t="b">
        <f ca="1">IFERROR(__xludf.DUMMYFUNCTION("IF(AND(ISERROR(FILTER('Items by Team'!D$2:D3410,'Items by Team'!C$2:C3410 = D136,'Items by Team'!B$2:B3410 = B136)),NOT(A136=""Practice"")),TRUE,FALSE)"),FALSE)</f>
        <v>0</v>
      </c>
      <c r="BR136" s="6">
        <f t="shared" ca="1" si="20"/>
        <v>0</v>
      </c>
    </row>
    <row r="137" spans="1:70">
      <c r="A137" s="6"/>
      <c r="B137" s="6"/>
      <c r="C137" s="6"/>
      <c r="D137" s="6"/>
      <c r="E137" s="6"/>
      <c r="F137" s="6"/>
      <c r="G137" s="6"/>
      <c r="H137" s="6"/>
      <c r="I137" s="6"/>
      <c r="J137" s="6"/>
      <c r="K137" s="6"/>
      <c r="L137" s="6"/>
      <c r="M137" s="6"/>
      <c r="N137" s="6"/>
      <c r="O137" s="6"/>
      <c r="P137" s="6"/>
      <c r="R137" s="6"/>
      <c r="S137" s="6"/>
      <c r="T137" s="6"/>
      <c r="U137" s="6"/>
      <c r="V137" s="6"/>
      <c r="W137" s="6"/>
      <c r="X137" s="6"/>
      <c r="Y137" s="6"/>
      <c r="Z137" s="6"/>
      <c r="AA137" s="6"/>
      <c r="AB137" s="6"/>
      <c r="AD137" s="6"/>
      <c r="AE137" s="6"/>
      <c r="AF137" s="6"/>
      <c r="AG137" s="6"/>
      <c r="AH137" s="6"/>
      <c r="AI137" s="6"/>
      <c r="AK137" s="6"/>
      <c r="AL137" s="6"/>
      <c r="AM137" s="6"/>
      <c r="AN137" s="6"/>
      <c r="AO137" s="6"/>
      <c r="AP137" s="6"/>
      <c r="AQ137" s="6"/>
      <c r="AR137" s="6"/>
      <c r="AS137" s="15"/>
      <c r="AT137" s="6" t="str">
        <f ca="1">IFERROR(__xludf.DUMMYFUNCTION("SWITCH(IF(A137=""Practice"",AN137,FILTER('Items by Team'!E$2:E3410,'Items by Team'!C$2:C3410=D137,B137='Items by Team'!B$2:B3410)),""None"",""No"",""Parked"",""P"",""ShallowCage"",""Sc"",""DeepCage"",""Dc"",""No"",""No"",""P"",""P"",""Sc"",""Sc"",""Dc"","&amp;"""Dc"")"),"#REF!")</f>
        <v>#REF!</v>
      </c>
      <c r="AU137" s="6" t="str">
        <f ca="1">IFERROR(__xludf.DUMMYFUNCTION("SWITCH(IF(A137 = ""Practice"", H137, FILTER('Items by Team'!D$2:D3410,'Items by Team'!C$2:C3410 = D137,'Items by Team'!B$2:B3410 = B137)), ""Yes"", ""TRUE"", ""No"", ""FALSE"",TRUE, ""TRUE"", FALSE, ""FALSE"")"),"#REF!")</f>
        <v>#REF!</v>
      </c>
      <c r="AV137" s="6">
        <f t="shared" si="0"/>
        <v>0</v>
      </c>
      <c r="AW137" s="6">
        <f t="shared" si="1"/>
        <v>0</v>
      </c>
      <c r="AX137" s="6">
        <f t="shared" si="2"/>
        <v>0</v>
      </c>
      <c r="AY137" s="6">
        <f t="shared" si="3"/>
        <v>0</v>
      </c>
      <c r="AZ137" s="9" t="str">
        <f t="shared" si="4"/>
        <v/>
      </c>
      <c r="BA137" s="6">
        <f t="shared" si="5"/>
        <v>0</v>
      </c>
      <c r="BB137" s="6">
        <f t="shared" si="6"/>
        <v>0</v>
      </c>
      <c r="BC137" s="9" t="str">
        <f t="shared" si="7"/>
        <v/>
      </c>
      <c r="BD137" s="6">
        <f t="shared" si="8"/>
        <v>0</v>
      </c>
      <c r="BE137" s="6">
        <f t="shared" si="9"/>
        <v>0</v>
      </c>
      <c r="BF137" s="9" t="str">
        <f t="shared" si="10"/>
        <v/>
      </c>
      <c r="BG137" s="6">
        <f t="shared" si="11"/>
        <v>0</v>
      </c>
      <c r="BH137" s="6">
        <f t="shared" si="12"/>
        <v>0</v>
      </c>
      <c r="BI137" s="9" t="str">
        <f t="shared" si="13"/>
        <v/>
      </c>
      <c r="BJ137" s="6">
        <f t="shared" si="14"/>
        <v>0</v>
      </c>
      <c r="BK137" s="6">
        <f t="shared" si="15"/>
        <v>0</v>
      </c>
      <c r="BL137" s="6">
        <f t="shared" si="16"/>
        <v>0</v>
      </c>
      <c r="BM137" s="6">
        <f t="shared" si="17"/>
        <v>0</v>
      </c>
      <c r="BN137" s="6">
        <f t="shared" si="18"/>
        <v>0</v>
      </c>
      <c r="BP137" s="6">
        <f t="shared" si="19"/>
        <v>0</v>
      </c>
      <c r="BQ137" s="6" t="b">
        <f ca="1">IFERROR(__xludf.DUMMYFUNCTION("IF(AND(ISERROR(FILTER('Items by Team'!D$2:D3410,'Items by Team'!C$2:C3410 = D137,'Items by Team'!B$2:B3410 = B137)),NOT(A137=""Practice"")),TRUE,FALSE)"),FALSE)</f>
        <v>0</v>
      </c>
      <c r="BR137" s="6">
        <f t="shared" ca="1" si="20"/>
        <v>0</v>
      </c>
    </row>
    <row r="138" spans="1:70">
      <c r="A138" s="6"/>
      <c r="B138" s="6"/>
      <c r="C138" s="6"/>
      <c r="D138" s="6"/>
      <c r="E138" s="6"/>
      <c r="F138" s="6"/>
      <c r="G138" s="6"/>
      <c r="H138" s="6"/>
      <c r="I138" s="6"/>
      <c r="J138" s="6"/>
      <c r="K138" s="6"/>
      <c r="L138" s="6"/>
      <c r="M138" s="6"/>
      <c r="N138" s="6"/>
      <c r="O138" s="6"/>
      <c r="P138" s="6"/>
      <c r="R138" s="6"/>
      <c r="S138" s="6"/>
      <c r="T138" s="6"/>
      <c r="U138" s="6"/>
      <c r="V138" s="6"/>
      <c r="W138" s="6"/>
      <c r="X138" s="6"/>
      <c r="Y138" s="6"/>
      <c r="Z138" s="6"/>
      <c r="AA138" s="6"/>
      <c r="AB138" s="6"/>
      <c r="AD138" s="6"/>
      <c r="AE138" s="6"/>
      <c r="AF138" s="6"/>
      <c r="AG138" s="6"/>
      <c r="AH138" s="6"/>
      <c r="AI138" s="6"/>
      <c r="AK138" s="6"/>
      <c r="AL138" s="6"/>
      <c r="AM138" s="6"/>
      <c r="AN138" s="6"/>
      <c r="AO138" s="6"/>
      <c r="AP138" s="6"/>
      <c r="AQ138" s="6"/>
      <c r="AR138" s="6"/>
      <c r="AS138" s="15"/>
      <c r="AT138" s="6" t="str">
        <f ca="1">IFERROR(__xludf.DUMMYFUNCTION("SWITCH(IF(A138=""Practice"",AN138,FILTER('Items by Team'!E$2:E3410,'Items by Team'!C$2:C3410=D138,B138='Items by Team'!B$2:B3410)),""None"",""No"",""Parked"",""P"",""ShallowCage"",""Sc"",""DeepCage"",""Dc"",""No"",""No"",""P"",""P"",""Sc"",""Sc"",""Dc"","&amp;"""Dc"")"),"#REF!")</f>
        <v>#REF!</v>
      </c>
      <c r="AU138" s="6" t="str">
        <f ca="1">IFERROR(__xludf.DUMMYFUNCTION("SWITCH(IF(A138 = ""Practice"", H138, FILTER('Items by Team'!D$2:D3410,'Items by Team'!C$2:C3410 = D138,'Items by Team'!B$2:B3410 = B138)), ""Yes"", ""TRUE"", ""No"", ""FALSE"",TRUE, ""TRUE"", FALSE, ""FALSE"")"),"#REF!")</f>
        <v>#REF!</v>
      </c>
      <c r="AV138" s="6">
        <f t="shared" si="0"/>
        <v>0</v>
      </c>
      <c r="AW138" s="6">
        <f t="shared" si="1"/>
        <v>0</v>
      </c>
      <c r="AX138" s="6">
        <f t="shared" si="2"/>
        <v>0</v>
      </c>
      <c r="AY138" s="6">
        <f t="shared" si="3"/>
        <v>0</v>
      </c>
      <c r="AZ138" s="9" t="str">
        <f t="shared" si="4"/>
        <v/>
      </c>
      <c r="BA138" s="6">
        <f t="shared" si="5"/>
        <v>0</v>
      </c>
      <c r="BB138" s="6">
        <f t="shared" si="6"/>
        <v>0</v>
      </c>
      <c r="BC138" s="9" t="str">
        <f t="shared" si="7"/>
        <v/>
      </c>
      <c r="BD138" s="6">
        <f t="shared" si="8"/>
        <v>0</v>
      </c>
      <c r="BE138" s="6">
        <f t="shared" si="9"/>
        <v>0</v>
      </c>
      <c r="BF138" s="9" t="str">
        <f t="shared" si="10"/>
        <v/>
      </c>
      <c r="BG138" s="6">
        <f t="shared" si="11"/>
        <v>0</v>
      </c>
      <c r="BH138" s="6">
        <f t="shared" si="12"/>
        <v>0</v>
      </c>
      <c r="BI138" s="9" t="str">
        <f t="shared" si="13"/>
        <v/>
      </c>
      <c r="BJ138" s="6">
        <f t="shared" si="14"/>
        <v>0</v>
      </c>
      <c r="BK138" s="6">
        <f t="shared" si="15"/>
        <v>0</v>
      </c>
      <c r="BL138" s="6">
        <f t="shared" si="16"/>
        <v>0</v>
      </c>
      <c r="BM138" s="6">
        <f t="shared" si="17"/>
        <v>0</v>
      </c>
      <c r="BN138" s="6">
        <f t="shared" si="18"/>
        <v>0</v>
      </c>
      <c r="BP138" s="6">
        <f t="shared" si="19"/>
        <v>0</v>
      </c>
      <c r="BQ138" s="6" t="b">
        <f ca="1">IFERROR(__xludf.DUMMYFUNCTION("IF(AND(ISERROR(FILTER('Items by Team'!D$2:D3410,'Items by Team'!C$2:C3410 = D138,'Items by Team'!B$2:B3410 = B138)),NOT(A138=""Practice"")),TRUE,FALSE)"),FALSE)</f>
        <v>0</v>
      </c>
      <c r="BR138" s="6">
        <f t="shared" ca="1" si="20"/>
        <v>0</v>
      </c>
    </row>
    <row r="139" spans="1:70">
      <c r="A139" s="6"/>
      <c r="B139" s="6"/>
      <c r="C139" s="6"/>
      <c r="D139" s="6"/>
      <c r="E139" s="6"/>
      <c r="F139" s="6"/>
      <c r="G139" s="6"/>
      <c r="H139" s="6"/>
      <c r="I139" s="6"/>
      <c r="J139" s="6"/>
      <c r="K139" s="6"/>
      <c r="L139" s="6"/>
      <c r="M139" s="6"/>
      <c r="N139" s="6"/>
      <c r="O139" s="6"/>
      <c r="P139" s="6"/>
      <c r="R139" s="6"/>
      <c r="S139" s="6"/>
      <c r="T139" s="6"/>
      <c r="U139" s="6"/>
      <c r="V139" s="6"/>
      <c r="W139" s="6"/>
      <c r="X139" s="6"/>
      <c r="Y139" s="6"/>
      <c r="Z139" s="6"/>
      <c r="AA139" s="6"/>
      <c r="AB139" s="6"/>
      <c r="AD139" s="6"/>
      <c r="AE139" s="6"/>
      <c r="AF139" s="6"/>
      <c r="AG139" s="6"/>
      <c r="AH139" s="6"/>
      <c r="AI139" s="6"/>
      <c r="AK139" s="6"/>
      <c r="AL139" s="6"/>
      <c r="AM139" s="6"/>
      <c r="AN139" s="6"/>
      <c r="AO139" s="6"/>
      <c r="AP139" s="6"/>
      <c r="AQ139" s="6"/>
      <c r="AR139" s="6"/>
      <c r="AS139" s="15"/>
      <c r="AT139" s="6" t="str">
        <f ca="1">IFERROR(__xludf.DUMMYFUNCTION("SWITCH(IF(A139=""Practice"",AN139,FILTER('Items by Team'!E$2:E3410,'Items by Team'!C$2:C3410=D139,B139='Items by Team'!B$2:B3410)),""None"",""No"",""Parked"",""P"",""ShallowCage"",""Sc"",""DeepCage"",""Dc"",""No"",""No"",""P"",""P"",""Sc"",""Sc"",""Dc"","&amp;"""Dc"")"),"#REF!")</f>
        <v>#REF!</v>
      </c>
      <c r="AU139" s="6" t="str">
        <f ca="1">IFERROR(__xludf.DUMMYFUNCTION("SWITCH(IF(A139 = ""Practice"", H139, FILTER('Items by Team'!D$2:D3410,'Items by Team'!C$2:C3410 = D139,'Items by Team'!B$2:B3410 = B139)), ""Yes"", ""TRUE"", ""No"", ""FALSE"",TRUE, ""TRUE"", FALSE, ""FALSE"")"),"#REF!")</f>
        <v>#REF!</v>
      </c>
      <c r="AV139" s="6">
        <f t="shared" si="0"/>
        <v>0</v>
      </c>
      <c r="AW139" s="6">
        <f t="shared" si="1"/>
        <v>0</v>
      </c>
      <c r="AX139" s="6">
        <f t="shared" si="2"/>
        <v>0</v>
      </c>
      <c r="AY139" s="6">
        <f t="shared" si="3"/>
        <v>0</v>
      </c>
      <c r="AZ139" s="9" t="str">
        <f t="shared" si="4"/>
        <v/>
      </c>
      <c r="BA139" s="6">
        <f t="shared" si="5"/>
        <v>0</v>
      </c>
      <c r="BB139" s="6">
        <f t="shared" si="6"/>
        <v>0</v>
      </c>
      <c r="BC139" s="9" t="str">
        <f t="shared" si="7"/>
        <v/>
      </c>
      <c r="BD139" s="6">
        <f t="shared" si="8"/>
        <v>0</v>
      </c>
      <c r="BE139" s="6">
        <f t="shared" si="9"/>
        <v>0</v>
      </c>
      <c r="BF139" s="9" t="str">
        <f t="shared" si="10"/>
        <v/>
      </c>
      <c r="BG139" s="6">
        <f t="shared" si="11"/>
        <v>0</v>
      </c>
      <c r="BH139" s="6">
        <f t="shared" si="12"/>
        <v>0</v>
      </c>
      <c r="BI139" s="9" t="str">
        <f t="shared" si="13"/>
        <v/>
      </c>
      <c r="BJ139" s="6">
        <f t="shared" si="14"/>
        <v>0</v>
      </c>
      <c r="BK139" s="6">
        <f t="shared" si="15"/>
        <v>0</v>
      </c>
      <c r="BL139" s="6">
        <f t="shared" si="16"/>
        <v>0</v>
      </c>
      <c r="BM139" s="6">
        <f t="shared" si="17"/>
        <v>0</v>
      </c>
      <c r="BN139" s="6">
        <f t="shared" si="18"/>
        <v>0</v>
      </c>
      <c r="BP139" s="6">
        <f t="shared" si="19"/>
        <v>0</v>
      </c>
      <c r="BQ139" s="6" t="b">
        <f ca="1">IFERROR(__xludf.DUMMYFUNCTION("IF(AND(ISERROR(FILTER('Items by Team'!D$2:D3410,'Items by Team'!C$2:C3410 = D139,'Items by Team'!B$2:B3410 = B139)),NOT(A139=""Practice"")),TRUE,FALSE)"),FALSE)</f>
        <v>0</v>
      </c>
      <c r="BR139" s="6">
        <f t="shared" ca="1" si="20"/>
        <v>0</v>
      </c>
    </row>
    <row r="140" spans="1:70">
      <c r="A140" s="6"/>
      <c r="B140" s="6"/>
      <c r="C140" s="6"/>
      <c r="D140" s="6"/>
      <c r="E140" s="6"/>
      <c r="F140" s="6"/>
      <c r="G140" s="6"/>
      <c r="H140" s="6"/>
      <c r="I140" s="6"/>
      <c r="J140" s="6"/>
      <c r="K140" s="6"/>
      <c r="L140" s="6"/>
      <c r="M140" s="6"/>
      <c r="N140" s="6"/>
      <c r="O140" s="6"/>
      <c r="P140" s="6"/>
      <c r="R140" s="6"/>
      <c r="S140" s="6"/>
      <c r="T140" s="6"/>
      <c r="U140" s="6"/>
      <c r="V140" s="6"/>
      <c r="W140" s="6"/>
      <c r="X140" s="6"/>
      <c r="Y140" s="6"/>
      <c r="Z140" s="6"/>
      <c r="AA140" s="6"/>
      <c r="AB140" s="6"/>
      <c r="AD140" s="6"/>
      <c r="AE140" s="6"/>
      <c r="AF140" s="6"/>
      <c r="AG140" s="6"/>
      <c r="AH140" s="6"/>
      <c r="AI140" s="6"/>
      <c r="AK140" s="6"/>
      <c r="AL140" s="6"/>
      <c r="AM140" s="6"/>
      <c r="AN140" s="6"/>
      <c r="AO140" s="6"/>
      <c r="AP140" s="6"/>
      <c r="AQ140" s="6"/>
      <c r="AR140" s="6"/>
      <c r="AS140" s="15"/>
      <c r="AT140" s="6" t="str">
        <f ca="1">IFERROR(__xludf.DUMMYFUNCTION("SWITCH(IF(A140=""Practice"",AN140,FILTER('Items by Team'!E$2:E3410,'Items by Team'!C$2:C3410=D140,B140='Items by Team'!B$2:B3410)),""None"",""No"",""Parked"",""P"",""ShallowCage"",""Sc"",""DeepCage"",""Dc"",""No"",""No"",""P"",""P"",""Sc"",""Sc"",""Dc"","&amp;"""Dc"")"),"#REF!")</f>
        <v>#REF!</v>
      </c>
      <c r="AU140" s="6" t="str">
        <f ca="1">IFERROR(__xludf.DUMMYFUNCTION("SWITCH(IF(A140 = ""Practice"", H140, FILTER('Items by Team'!D$2:D3410,'Items by Team'!C$2:C3410 = D140,'Items by Team'!B$2:B3410 = B140)), ""Yes"", ""TRUE"", ""No"", ""FALSE"",TRUE, ""TRUE"", FALSE, ""FALSE"")"),"#REF!")</f>
        <v>#REF!</v>
      </c>
      <c r="AV140" s="6">
        <f t="shared" si="0"/>
        <v>0</v>
      </c>
      <c r="AW140" s="6">
        <f t="shared" si="1"/>
        <v>0</v>
      </c>
      <c r="AX140" s="6">
        <f t="shared" si="2"/>
        <v>0</v>
      </c>
      <c r="AY140" s="6">
        <f t="shared" si="3"/>
        <v>0</v>
      </c>
      <c r="AZ140" s="9" t="str">
        <f t="shared" si="4"/>
        <v/>
      </c>
      <c r="BA140" s="6">
        <f t="shared" si="5"/>
        <v>0</v>
      </c>
      <c r="BB140" s="6">
        <f t="shared" si="6"/>
        <v>0</v>
      </c>
      <c r="BC140" s="9" t="str">
        <f t="shared" si="7"/>
        <v/>
      </c>
      <c r="BD140" s="6">
        <f t="shared" si="8"/>
        <v>0</v>
      </c>
      <c r="BE140" s="6">
        <f t="shared" si="9"/>
        <v>0</v>
      </c>
      <c r="BF140" s="9" t="str">
        <f t="shared" si="10"/>
        <v/>
      </c>
      <c r="BG140" s="6">
        <f t="shared" si="11"/>
        <v>0</v>
      </c>
      <c r="BH140" s="6">
        <f t="shared" si="12"/>
        <v>0</v>
      </c>
      <c r="BI140" s="9" t="str">
        <f t="shared" si="13"/>
        <v/>
      </c>
      <c r="BJ140" s="6">
        <f t="shared" si="14"/>
        <v>0</v>
      </c>
      <c r="BK140" s="6">
        <f t="shared" si="15"/>
        <v>0</v>
      </c>
      <c r="BL140" s="6">
        <f t="shared" si="16"/>
        <v>0</v>
      </c>
      <c r="BM140" s="6">
        <f t="shared" si="17"/>
        <v>0</v>
      </c>
      <c r="BN140" s="6">
        <f t="shared" si="18"/>
        <v>0</v>
      </c>
      <c r="BP140" s="6">
        <f t="shared" si="19"/>
        <v>0</v>
      </c>
      <c r="BQ140" s="6" t="b">
        <f ca="1">IFERROR(__xludf.DUMMYFUNCTION("IF(AND(ISERROR(FILTER('Items by Team'!D$2:D3410,'Items by Team'!C$2:C3410 = D140,'Items by Team'!B$2:B3410 = B140)),NOT(A140=""Practice"")),TRUE,FALSE)"),FALSE)</f>
        <v>0</v>
      </c>
      <c r="BR140" s="6">
        <f t="shared" ca="1" si="20"/>
        <v>0</v>
      </c>
    </row>
    <row r="141" spans="1:70">
      <c r="A141" s="6"/>
      <c r="B141" s="6"/>
      <c r="C141" s="6"/>
      <c r="D141" s="6"/>
      <c r="E141" s="6"/>
      <c r="F141" s="6"/>
      <c r="G141" s="6"/>
      <c r="H141" s="6"/>
      <c r="I141" s="6"/>
      <c r="J141" s="6"/>
      <c r="K141" s="6"/>
      <c r="L141" s="6"/>
      <c r="M141" s="6"/>
      <c r="N141" s="6"/>
      <c r="O141" s="6"/>
      <c r="P141" s="6"/>
      <c r="R141" s="6"/>
      <c r="S141" s="6"/>
      <c r="T141" s="6"/>
      <c r="U141" s="6"/>
      <c r="V141" s="6"/>
      <c r="W141" s="6"/>
      <c r="X141" s="6"/>
      <c r="Y141" s="6"/>
      <c r="Z141" s="6"/>
      <c r="AA141" s="6"/>
      <c r="AB141" s="6"/>
      <c r="AD141" s="6"/>
      <c r="AE141" s="6"/>
      <c r="AF141" s="6"/>
      <c r="AG141" s="6"/>
      <c r="AH141" s="6"/>
      <c r="AI141" s="6"/>
      <c r="AK141" s="6"/>
      <c r="AL141" s="6"/>
      <c r="AM141" s="6"/>
      <c r="AN141" s="6"/>
      <c r="AO141" s="6"/>
      <c r="AP141" s="6"/>
      <c r="AQ141" s="6"/>
      <c r="AR141" s="6"/>
      <c r="AS141" s="15"/>
      <c r="AT141" s="6" t="str">
        <f ca="1">IFERROR(__xludf.DUMMYFUNCTION("SWITCH(IF(A141=""Practice"",AN141,FILTER('Items by Team'!E$2:E3410,'Items by Team'!C$2:C3410=D141,B141='Items by Team'!B$2:B3410)),""None"",""No"",""Parked"",""P"",""ShallowCage"",""Sc"",""DeepCage"",""Dc"",""No"",""No"",""P"",""P"",""Sc"",""Sc"",""Dc"","&amp;"""Dc"")"),"#REF!")</f>
        <v>#REF!</v>
      </c>
      <c r="AU141" s="6" t="str">
        <f ca="1">IFERROR(__xludf.DUMMYFUNCTION("SWITCH(IF(A141 = ""Practice"", H141, FILTER('Items by Team'!D$2:D3410,'Items by Team'!C$2:C3410 = D141,'Items by Team'!B$2:B3410 = B141)), ""Yes"", ""TRUE"", ""No"", ""FALSE"",TRUE, ""TRUE"", FALSE, ""FALSE"")"),"#REF!")</f>
        <v>#REF!</v>
      </c>
      <c r="AV141" s="6">
        <f t="shared" si="0"/>
        <v>0</v>
      </c>
      <c r="AW141" s="6">
        <f t="shared" si="1"/>
        <v>0</v>
      </c>
      <c r="AX141" s="6">
        <f t="shared" si="2"/>
        <v>0</v>
      </c>
      <c r="AY141" s="6">
        <f t="shared" si="3"/>
        <v>0</v>
      </c>
      <c r="AZ141" s="9" t="str">
        <f t="shared" si="4"/>
        <v/>
      </c>
      <c r="BA141" s="6">
        <f t="shared" si="5"/>
        <v>0</v>
      </c>
      <c r="BB141" s="6">
        <f t="shared" si="6"/>
        <v>0</v>
      </c>
      <c r="BC141" s="9" t="str">
        <f t="shared" si="7"/>
        <v/>
      </c>
      <c r="BD141" s="6">
        <f t="shared" si="8"/>
        <v>0</v>
      </c>
      <c r="BE141" s="6">
        <f t="shared" si="9"/>
        <v>0</v>
      </c>
      <c r="BF141" s="9" t="str">
        <f t="shared" si="10"/>
        <v/>
      </c>
      <c r="BG141" s="6">
        <f t="shared" si="11"/>
        <v>0</v>
      </c>
      <c r="BH141" s="6">
        <f t="shared" si="12"/>
        <v>0</v>
      </c>
      <c r="BI141" s="9" t="str">
        <f t="shared" si="13"/>
        <v/>
      </c>
      <c r="BJ141" s="6">
        <f t="shared" si="14"/>
        <v>0</v>
      </c>
      <c r="BK141" s="6">
        <f t="shared" si="15"/>
        <v>0</v>
      </c>
      <c r="BL141" s="6">
        <f t="shared" si="16"/>
        <v>0</v>
      </c>
      <c r="BM141" s="6">
        <f t="shared" si="17"/>
        <v>0</v>
      </c>
      <c r="BN141" s="6">
        <f t="shared" si="18"/>
        <v>0</v>
      </c>
      <c r="BP141" s="6">
        <f t="shared" si="19"/>
        <v>0</v>
      </c>
      <c r="BQ141" s="6" t="b">
        <f ca="1">IFERROR(__xludf.DUMMYFUNCTION("IF(AND(ISERROR(FILTER('Items by Team'!D$2:D3410,'Items by Team'!C$2:C3410 = D141,'Items by Team'!B$2:B3410 = B141)),NOT(A141=""Practice"")),TRUE,FALSE)"),FALSE)</f>
        <v>0</v>
      </c>
      <c r="BR141" s="6">
        <f t="shared" ca="1" si="20"/>
        <v>0</v>
      </c>
    </row>
    <row r="142" spans="1:70">
      <c r="A142" s="6"/>
      <c r="B142" s="6"/>
      <c r="C142" s="6"/>
      <c r="D142" s="6"/>
      <c r="E142" s="6"/>
      <c r="F142" s="6"/>
      <c r="G142" s="6"/>
      <c r="H142" s="6"/>
      <c r="I142" s="6"/>
      <c r="J142" s="6"/>
      <c r="K142" s="6"/>
      <c r="L142" s="6"/>
      <c r="M142" s="6"/>
      <c r="N142" s="6"/>
      <c r="O142" s="6"/>
      <c r="P142" s="6"/>
      <c r="R142" s="6"/>
      <c r="S142" s="6"/>
      <c r="T142" s="6"/>
      <c r="U142" s="6"/>
      <c r="V142" s="6"/>
      <c r="W142" s="6"/>
      <c r="X142" s="6"/>
      <c r="Y142" s="6"/>
      <c r="Z142" s="6"/>
      <c r="AA142" s="6"/>
      <c r="AB142" s="6"/>
      <c r="AD142" s="6"/>
      <c r="AE142" s="6"/>
      <c r="AF142" s="6"/>
      <c r="AG142" s="6"/>
      <c r="AH142" s="6"/>
      <c r="AI142" s="6"/>
      <c r="AK142" s="6"/>
      <c r="AL142" s="6"/>
      <c r="AM142" s="6"/>
      <c r="AN142" s="6"/>
      <c r="AO142" s="6"/>
      <c r="AP142" s="6"/>
      <c r="AQ142" s="6"/>
      <c r="AR142" s="6"/>
      <c r="AS142" s="15"/>
      <c r="AT142" s="6" t="str">
        <f ca="1">IFERROR(__xludf.DUMMYFUNCTION("SWITCH(IF(A142=""Practice"",AN142,FILTER('Items by Team'!E$2:E3410,'Items by Team'!C$2:C3410=D142,B142='Items by Team'!B$2:B3410)),""None"",""No"",""Parked"",""P"",""ShallowCage"",""Sc"",""DeepCage"",""Dc"",""No"",""No"",""P"",""P"",""Sc"",""Sc"",""Dc"","&amp;"""Dc"")"),"#REF!")</f>
        <v>#REF!</v>
      </c>
      <c r="AU142" s="6" t="str">
        <f ca="1">IFERROR(__xludf.DUMMYFUNCTION("SWITCH(IF(A142 = ""Practice"", H142, FILTER('Items by Team'!D$2:D3410,'Items by Team'!C$2:C3410 = D142,'Items by Team'!B$2:B3410 = B142)), ""Yes"", ""TRUE"", ""No"", ""FALSE"",TRUE, ""TRUE"", FALSE, ""FALSE"")"),"#REF!")</f>
        <v>#REF!</v>
      </c>
      <c r="AV142" s="6">
        <f t="shared" si="0"/>
        <v>0</v>
      </c>
      <c r="AW142" s="6">
        <f t="shared" si="1"/>
        <v>0</v>
      </c>
      <c r="AX142" s="6">
        <f t="shared" si="2"/>
        <v>0</v>
      </c>
      <c r="AY142" s="6">
        <f t="shared" si="3"/>
        <v>0</v>
      </c>
      <c r="AZ142" s="9" t="str">
        <f t="shared" si="4"/>
        <v/>
      </c>
      <c r="BA142" s="6">
        <f t="shared" si="5"/>
        <v>0</v>
      </c>
      <c r="BB142" s="6">
        <f t="shared" si="6"/>
        <v>0</v>
      </c>
      <c r="BC142" s="9" t="str">
        <f t="shared" si="7"/>
        <v/>
      </c>
      <c r="BD142" s="6">
        <f t="shared" si="8"/>
        <v>0</v>
      </c>
      <c r="BE142" s="6">
        <f t="shared" si="9"/>
        <v>0</v>
      </c>
      <c r="BF142" s="9" t="str">
        <f t="shared" si="10"/>
        <v/>
      </c>
      <c r="BG142" s="6">
        <f t="shared" si="11"/>
        <v>0</v>
      </c>
      <c r="BH142" s="6">
        <f t="shared" si="12"/>
        <v>0</v>
      </c>
      <c r="BI142" s="9" t="str">
        <f t="shared" si="13"/>
        <v/>
      </c>
      <c r="BJ142" s="6">
        <f t="shared" si="14"/>
        <v>0</v>
      </c>
      <c r="BK142" s="6">
        <f t="shared" si="15"/>
        <v>0</v>
      </c>
      <c r="BL142" s="6">
        <f t="shared" si="16"/>
        <v>0</v>
      </c>
      <c r="BM142" s="6">
        <f t="shared" si="17"/>
        <v>0</v>
      </c>
      <c r="BN142" s="6">
        <f t="shared" si="18"/>
        <v>0</v>
      </c>
      <c r="BP142" s="6">
        <f t="shared" si="19"/>
        <v>0</v>
      </c>
      <c r="BQ142" s="6" t="b">
        <f ca="1">IFERROR(__xludf.DUMMYFUNCTION("IF(AND(ISERROR(FILTER('Items by Team'!D$2:D3410,'Items by Team'!C$2:C3410 = D142,'Items by Team'!B$2:B3410 = B142)),NOT(A142=""Practice"")),TRUE,FALSE)"),FALSE)</f>
        <v>0</v>
      </c>
      <c r="BR142" s="6">
        <f t="shared" ca="1" si="20"/>
        <v>0</v>
      </c>
    </row>
    <row r="143" spans="1:70">
      <c r="A143" s="6"/>
      <c r="B143" s="6"/>
      <c r="C143" s="6"/>
      <c r="D143" s="6"/>
      <c r="E143" s="6"/>
      <c r="F143" s="6"/>
      <c r="G143" s="6"/>
      <c r="H143" s="6"/>
      <c r="I143" s="6"/>
      <c r="J143" s="6"/>
      <c r="K143" s="6"/>
      <c r="L143" s="6"/>
      <c r="M143" s="6"/>
      <c r="N143" s="6"/>
      <c r="O143" s="6"/>
      <c r="P143" s="6"/>
      <c r="R143" s="6"/>
      <c r="S143" s="6"/>
      <c r="T143" s="6"/>
      <c r="U143" s="6"/>
      <c r="V143" s="6"/>
      <c r="W143" s="6"/>
      <c r="X143" s="6"/>
      <c r="Y143" s="6"/>
      <c r="Z143" s="6"/>
      <c r="AA143" s="6"/>
      <c r="AB143" s="6"/>
      <c r="AD143" s="6"/>
      <c r="AE143" s="6"/>
      <c r="AF143" s="6"/>
      <c r="AG143" s="6"/>
      <c r="AH143" s="6"/>
      <c r="AI143" s="6"/>
      <c r="AK143" s="6"/>
      <c r="AL143" s="6"/>
      <c r="AM143" s="6"/>
      <c r="AN143" s="6"/>
      <c r="AO143" s="6"/>
      <c r="AP143" s="6"/>
      <c r="AQ143" s="6"/>
      <c r="AR143" s="6"/>
      <c r="AS143" s="15"/>
      <c r="AT143" s="6" t="str">
        <f ca="1">IFERROR(__xludf.DUMMYFUNCTION("SWITCH(IF(A143=""Practice"",AN143,FILTER('Items by Team'!E$2:E3410,'Items by Team'!C$2:C3410=D143,B143='Items by Team'!B$2:B3410)),""None"",""No"",""Parked"",""P"",""ShallowCage"",""Sc"",""DeepCage"",""Dc"",""No"",""No"",""P"",""P"",""Sc"",""Sc"",""Dc"","&amp;"""Dc"")"),"#REF!")</f>
        <v>#REF!</v>
      </c>
      <c r="AU143" s="6" t="str">
        <f ca="1">IFERROR(__xludf.DUMMYFUNCTION("SWITCH(IF(A143 = ""Practice"", H143, FILTER('Items by Team'!D$2:D3410,'Items by Team'!C$2:C3410 = D143,'Items by Team'!B$2:B3410 = B143)), ""Yes"", ""TRUE"", ""No"", ""FALSE"",TRUE, ""TRUE"", FALSE, ""FALSE"")"),"#REF!")</f>
        <v>#REF!</v>
      </c>
      <c r="AV143" s="6">
        <f t="shared" si="0"/>
        <v>0</v>
      </c>
      <c r="AW143" s="6">
        <f t="shared" si="1"/>
        <v>0</v>
      </c>
      <c r="AX143" s="6">
        <f t="shared" si="2"/>
        <v>0</v>
      </c>
      <c r="AY143" s="6">
        <f t="shared" si="3"/>
        <v>0</v>
      </c>
      <c r="AZ143" s="9" t="str">
        <f t="shared" si="4"/>
        <v/>
      </c>
      <c r="BA143" s="6">
        <f t="shared" si="5"/>
        <v>0</v>
      </c>
      <c r="BB143" s="6">
        <f t="shared" si="6"/>
        <v>0</v>
      </c>
      <c r="BC143" s="9" t="str">
        <f t="shared" si="7"/>
        <v/>
      </c>
      <c r="BD143" s="6">
        <f t="shared" si="8"/>
        <v>0</v>
      </c>
      <c r="BE143" s="6">
        <f t="shared" si="9"/>
        <v>0</v>
      </c>
      <c r="BF143" s="9" t="str">
        <f t="shared" si="10"/>
        <v/>
      </c>
      <c r="BG143" s="6">
        <f t="shared" si="11"/>
        <v>0</v>
      </c>
      <c r="BH143" s="6">
        <f t="shared" si="12"/>
        <v>0</v>
      </c>
      <c r="BI143" s="9" t="str">
        <f t="shared" si="13"/>
        <v/>
      </c>
      <c r="BJ143" s="6">
        <f t="shared" si="14"/>
        <v>0</v>
      </c>
      <c r="BK143" s="6">
        <f t="shared" si="15"/>
        <v>0</v>
      </c>
      <c r="BL143" s="6">
        <f t="shared" si="16"/>
        <v>0</v>
      </c>
      <c r="BM143" s="6">
        <f t="shared" si="17"/>
        <v>0</v>
      </c>
      <c r="BN143" s="6">
        <f t="shared" si="18"/>
        <v>0</v>
      </c>
      <c r="BP143" s="6">
        <f t="shared" si="19"/>
        <v>0</v>
      </c>
      <c r="BQ143" s="6" t="b">
        <f ca="1">IFERROR(__xludf.DUMMYFUNCTION("IF(AND(ISERROR(FILTER('Items by Team'!D$2:D3410,'Items by Team'!C$2:C3410 = D143,'Items by Team'!B$2:B3410 = B143)),NOT(A143=""Practice"")),TRUE,FALSE)"),FALSE)</f>
        <v>0</v>
      </c>
      <c r="BR143" s="6">
        <f t="shared" ca="1" si="20"/>
        <v>0</v>
      </c>
    </row>
    <row r="144" spans="1:70">
      <c r="A144" s="6"/>
      <c r="B144" s="6"/>
      <c r="C144" s="6"/>
      <c r="D144" s="6"/>
      <c r="E144" s="6"/>
      <c r="F144" s="6"/>
      <c r="G144" s="6"/>
      <c r="H144" s="6"/>
      <c r="I144" s="6"/>
      <c r="J144" s="6"/>
      <c r="K144" s="6"/>
      <c r="L144" s="6"/>
      <c r="M144" s="6"/>
      <c r="N144" s="6"/>
      <c r="O144" s="6"/>
      <c r="P144" s="6"/>
      <c r="R144" s="6"/>
      <c r="S144" s="6"/>
      <c r="T144" s="6"/>
      <c r="U144" s="6"/>
      <c r="V144" s="6"/>
      <c r="W144" s="6"/>
      <c r="X144" s="6"/>
      <c r="Y144" s="6"/>
      <c r="Z144" s="6"/>
      <c r="AA144" s="6"/>
      <c r="AB144" s="6"/>
      <c r="AD144" s="6"/>
      <c r="AE144" s="6"/>
      <c r="AF144" s="6"/>
      <c r="AG144" s="6"/>
      <c r="AH144" s="6"/>
      <c r="AI144" s="6"/>
      <c r="AK144" s="6"/>
      <c r="AL144" s="6"/>
      <c r="AM144" s="6"/>
      <c r="AN144" s="6"/>
      <c r="AO144" s="6"/>
      <c r="AP144" s="6"/>
      <c r="AQ144" s="6"/>
      <c r="AR144" s="6"/>
      <c r="AS144" s="15"/>
      <c r="AT144" s="6" t="str">
        <f ca="1">IFERROR(__xludf.DUMMYFUNCTION("SWITCH(IF(A144=""Practice"",AN144,FILTER('Items by Team'!E$2:E3410,'Items by Team'!C$2:C3410=D144,B144='Items by Team'!B$2:B3410)),""None"",""No"",""Parked"",""P"",""ShallowCage"",""Sc"",""DeepCage"",""Dc"",""No"",""No"",""P"",""P"",""Sc"",""Sc"",""Dc"","&amp;"""Dc"")"),"#REF!")</f>
        <v>#REF!</v>
      </c>
      <c r="AU144" s="6" t="str">
        <f ca="1">IFERROR(__xludf.DUMMYFUNCTION("SWITCH(IF(A144 = ""Practice"", H144, FILTER('Items by Team'!D$2:D3410,'Items by Team'!C$2:C3410 = D144,'Items by Team'!B$2:B3410 = B144)), ""Yes"", ""TRUE"", ""No"", ""FALSE"",TRUE, ""TRUE"", FALSE, ""FALSE"")"),"#REF!")</f>
        <v>#REF!</v>
      </c>
      <c r="AV144" s="6">
        <f t="shared" si="0"/>
        <v>0</v>
      </c>
      <c r="AW144" s="6">
        <f t="shared" si="1"/>
        <v>0</v>
      </c>
      <c r="AX144" s="6">
        <f t="shared" si="2"/>
        <v>0</v>
      </c>
      <c r="AY144" s="6">
        <f t="shared" si="3"/>
        <v>0</v>
      </c>
      <c r="AZ144" s="9" t="str">
        <f t="shared" si="4"/>
        <v/>
      </c>
      <c r="BA144" s="6">
        <f t="shared" si="5"/>
        <v>0</v>
      </c>
      <c r="BB144" s="6">
        <f t="shared" si="6"/>
        <v>0</v>
      </c>
      <c r="BC144" s="9" t="str">
        <f t="shared" si="7"/>
        <v/>
      </c>
      <c r="BD144" s="6">
        <f t="shared" si="8"/>
        <v>0</v>
      </c>
      <c r="BE144" s="6">
        <f t="shared" si="9"/>
        <v>0</v>
      </c>
      <c r="BF144" s="9" t="str">
        <f t="shared" si="10"/>
        <v/>
      </c>
      <c r="BG144" s="6">
        <f t="shared" si="11"/>
        <v>0</v>
      </c>
      <c r="BH144" s="6">
        <f t="shared" si="12"/>
        <v>0</v>
      </c>
      <c r="BI144" s="9" t="str">
        <f t="shared" si="13"/>
        <v/>
      </c>
      <c r="BJ144" s="6">
        <f t="shared" si="14"/>
        <v>0</v>
      </c>
      <c r="BK144" s="6">
        <f t="shared" si="15"/>
        <v>0</v>
      </c>
      <c r="BL144" s="6">
        <f t="shared" si="16"/>
        <v>0</v>
      </c>
      <c r="BM144" s="6">
        <f t="shared" si="17"/>
        <v>0</v>
      </c>
      <c r="BN144" s="6">
        <f t="shared" si="18"/>
        <v>0</v>
      </c>
      <c r="BP144" s="6">
        <f t="shared" si="19"/>
        <v>0</v>
      </c>
      <c r="BQ144" s="6" t="b">
        <f ca="1">IFERROR(__xludf.DUMMYFUNCTION("IF(AND(ISERROR(FILTER('Items by Team'!D$2:D3410,'Items by Team'!C$2:C3410 = D144,'Items by Team'!B$2:B3410 = B144)),NOT(A144=""Practice"")),TRUE,FALSE)"),FALSE)</f>
        <v>0</v>
      </c>
      <c r="BR144" s="6">
        <f t="shared" ca="1" si="20"/>
        <v>0</v>
      </c>
    </row>
    <row r="145" spans="1:70">
      <c r="A145" s="6"/>
      <c r="B145" s="6"/>
      <c r="C145" s="6"/>
      <c r="D145" s="6"/>
      <c r="E145" s="6"/>
      <c r="F145" s="6"/>
      <c r="G145" s="6"/>
      <c r="H145" s="6"/>
      <c r="I145" s="6"/>
      <c r="J145" s="6"/>
      <c r="K145" s="6"/>
      <c r="L145" s="6"/>
      <c r="M145" s="6"/>
      <c r="N145" s="6"/>
      <c r="O145" s="6"/>
      <c r="P145" s="6"/>
      <c r="R145" s="6"/>
      <c r="S145" s="6"/>
      <c r="T145" s="6"/>
      <c r="U145" s="6"/>
      <c r="V145" s="6"/>
      <c r="W145" s="6"/>
      <c r="X145" s="6"/>
      <c r="Y145" s="6"/>
      <c r="Z145" s="6"/>
      <c r="AA145" s="6"/>
      <c r="AB145" s="6"/>
      <c r="AD145" s="6"/>
      <c r="AE145" s="6"/>
      <c r="AF145" s="6"/>
      <c r="AG145" s="6"/>
      <c r="AH145" s="6"/>
      <c r="AI145" s="6"/>
      <c r="AK145" s="6"/>
      <c r="AL145" s="6"/>
      <c r="AM145" s="6"/>
      <c r="AN145" s="6"/>
      <c r="AO145" s="6"/>
      <c r="AP145" s="6"/>
      <c r="AQ145" s="6"/>
      <c r="AR145" s="6"/>
      <c r="AS145" s="15"/>
      <c r="AT145" s="6" t="str">
        <f ca="1">IFERROR(__xludf.DUMMYFUNCTION("SWITCH(IF(A145=""Practice"",AN145,FILTER('Items by Team'!E$2:E3410,'Items by Team'!C$2:C3410=D145,B145='Items by Team'!B$2:B3410)),""None"",""No"",""Parked"",""P"",""ShallowCage"",""Sc"",""DeepCage"",""Dc"",""No"",""No"",""P"",""P"",""Sc"",""Sc"",""Dc"","&amp;"""Dc"")"),"#REF!")</f>
        <v>#REF!</v>
      </c>
      <c r="AU145" s="6" t="str">
        <f ca="1">IFERROR(__xludf.DUMMYFUNCTION("SWITCH(IF(A145 = ""Practice"", H145, FILTER('Items by Team'!D$2:D3410,'Items by Team'!C$2:C3410 = D145,'Items by Team'!B$2:B3410 = B145)), ""Yes"", ""TRUE"", ""No"", ""FALSE"",TRUE, ""TRUE"", FALSE, ""FALSE"")"),"#REF!")</f>
        <v>#REF!</v>
      </c>
      <c r="AV145" s="6">
        <f t="shared" si="0"/>
        <v>0</v>
      </c>
      <c r="AW145" s="6">
        <f t="shared" si="1"/>
        <v>0</v>
      </c>
      <c r="AX145" s="6">
        <f t="shared" si="2"/>
        <v>0</v>
      </c>
      <c r="AY145" s="6">
        <f t="shared" si="3"/>
        <v>0</v>
      </c>
      <c r="AZ145" s="9" t="str">
        <f t="shared" si="4"/>
        <v/>
      </c>
      <c r="BA145" s="6">
        <f t="shared" si="5"/>
        <v>0</v>
      </c>
      <c r="BB145" s="6">
        <f t="shared" si="6"/>
        <v>0</v>
      </c>
      <c r="BC145" s="9" t="str">
        <f t="shared" si="7"/>
        <v/>
      </c>
      <c r="BD145" s="6">
        <f t="shared" si="8"/>
        <v>0</v>
      </c>
      <c r="BE145" s="6">
        <f t="shared" si="9"/>
        <v>0</v>
      </c>
      <c r="BF145" s="9" t="str">
        <f t="shared" si="10"/>
        <v/>
      </c>
      <c r="BG145" s="6">
        <f t="shared" si="11"/>
        <v>0</v>
      </c>
      <c r="BH145" s="6">
        <f t="shared" si="12"/>
        <v>0</v>
      </c>
      <c r="BI145" s="9" t="str">
        <f t="shared" si="13"/>
        <v/>
      </c>
      <c r="BJ145" s="6">
        <f t="shared" si="14"/>
        <v>0</v>
      </c>
      <c r="BK145" s="6">
        <f t="shared" si="15"/>
        <v>0</v>
      </c>
      <c r="BL145" s="6">
        <f t="shared" si="16"/>
        <v>0</v>
      </c>
      <c r="BM145" s="6">
        <f t="shared" si="17"/>
        <v>0</v>
      </c>
      <c r="BN145" s="6">
        <f t="shared" si="18"/>
        <v>0</v>
      </c>
      <c r="BP145" s="6">
        <f t="shared" si="19"/>
        <v>0</v>
      </c>
      <c r="BQ145" s="6" t="b">
        <f ca="1">IFERROR(__xludf.DUMMYFUNCTION("IF(AND(ISERROR(FILTER('Items by Team'!D$2:D3410,'Items by Team'!C$2:C3410 = D145,'Items by Team'!B$2:B3410 = B145)),NOT(A145=""Practice"")),TRUE,FALSE)"),FALSE)</f>
        <v>0</v>
      </c>
      <c r="BR145" s="6">
        <f t="shared" ca="1" si="20"/>
        <v>0</v>
      </c>
    </row>
    <row r="146" spans="1:70">
      <c r="A146" s="6"/>
      <c r="B146" s="6"/>
      <c r="C146" s="6"/>
      <c r="D146" s="6"/>
      <c r="E146" s="6"/>
      <c r="F146" s="6"/>
      <c r="G146" s="6"/>
      <c r="H146" s="6"/>
      <c r="I146" s="6"/>
      <c r="J146" s="6"/>
      <c r="K146" s="6"/>
      <c r="L146" s="6"/>
      <c r="M146" s="6"/>
      <c r="N146" s="6"/>
      <c r="O146" s="6"/>
      <c r="P146" s="6"/>
      <c r="R146" s="6"/>
      <c r="S146" s="6"/>
      <c r="T146" s="6"/>
      <c r="U146" s="6"/>
      <c r="V146" s="6"/>
      <c r="W146" s="6"/>
      <c r="X146" s="6"/>
      <c r="Y146" s="6"/>
      <c r="Z146" s="6"/>
      <c r="AA146" s="6"/>
      <c r="AB146" s="6"/>
      <c r="AD146" s="6"/>
      <c r="AE146" s="6"/>
      <c r="AF146" s="6"/>
      <c r="AG146" s="6"/>
      <c r="AH146" s="6"/>
      <c r="AI146" s="6"/>
      <c r="AK146" s="6"/>
      <c r="AL146" s="6"/>
      <c r="AM146" s="6"/>
      <c r="AN146" s="6"/>
      <c r="AO146" s="6"/>
      <c r="AP146" s="6"/>
      <c r="AQ146" s="6"/>
      <c r="AR146" s="6"/>
      <c r="AS146" s="15"/>
      <c r="AT146" s="6" t="str">
        <f ca="1">IFERROR(__xludf.DUMMYFUNCTION("SWITCH(IF(A146=""Practice"",AN146,FILTER('Items by Team'!E$2:E3410,'Items by Team'!C$2:C3410=D146,B146='Items by Team'!B$2:B3410)),""None"",""No"",""Parked"",""P"",""ShallowCage"",""Sc"",""DeepCage"",""Dc"",""No"",""No"",""P"",""P"",""Sc"",""Sc"",""Dc"","&amp;"""Dc"")"),"#REF!")</f>
        <v>#REF!</v>
      </c>
      <c r="AU146" s="6" t="str">
        <f ca="1">IFERROR(__xludf.DUMMYFUNCTION("SWITCH(IF(A146 = ""Practice"", H146, FILTER('Items by Team'!D$2:D3410,'Items by Team'!C$2:C3410 = D146,'Items by Team'!B$2:B3410 = B146)), ""Yes"", ""TRUE"", ""No"", ""FALSE"",TRUE, ""TRUE"", FALSE, ""FALSE"")"),"#REF!")</f>
        <v>#REF!</v>
      </c>
      <c r="AV146" s="6">
        <f t="shared" si="0"/>
        <v>0</v>
      </c>
      <c r="AW146" s="6">
        <f t="shared" si="1"/>
        <v>0</v>
      </c>
      <c r="AX146" s="6">
        <f t="shared" si="2"/>
        <v>0</v>
      </c>
      <c r="AY146" s="6">
        <f t="shared" si="3"/>
        <v>0</v>
      </c>
      <c r="AZ146" s="9" t="str">
        <f t="shared" si="4"/>
        <v/>
      </c>
      <c r="BA146" s="6">
        <f t="shared" si="5"/>
        <v>0</v>
      </c>
      <c r="BB146" s="6">
        <f t="shared" si="6"/>
        <v>0</v>
      </c>
      <c r="BC146" s="9" t="str">
        <f t="shared" si="7"/>
        <v/>
      </c>
      <c r="BD146" s="6">
        <f t="shared" si="8"/>
        <v>0</v>
      </c>
      <c r="BE146" s="6">
        <f t="shared" si="9"/>
        <v>0</v>
      </c>
      <c r="BF146" s="9" t="str">
        <f t="shared" si="10"/>
        <v/>
      </c>
      <c r="BG146" s="6">
        <f t="shared" si="11"/>
        <v>0</v>
      </c>
      <c r="BH146" s="6">
        <f t="shared" si="12"/>
        <v>0</v>
      </c>
      <c r="BI146" s="9" t="str">
        <f t="shared" si="13"/>
        <v/>
      </c>
      <c r="BJ146" s="6">
        <f t="shared" si="14"/>
        <v>0</v>
      </c>
      <c r="BK146" s="6">
        <f t="shared" si="15"/>
        <v>0</v>
      </c>
      <c r="BL146" s="6">
        <f t="shared" si="16"/>
        <v>0</v>
      </c>
      <c r="BM146" s="6">
        <f t="shared" si="17"/>
        <v>0</v>
      </c>
      <c r="BN146" s="6">
        <f t="shared" si="18"/>
        <v>0</v>
      </c>
      <c r="BP146" s="6">
        <f t="shared" si="19"/>
        <v>0</v>
      </c>
      <c r="BQ146" s="6" t="b">
        <f ca="1">IFERROR(__xludf.DUMMYFUNCTION("IF(AND(ISERROR(FILTER('Items by Team'!D$2:D3410,'Items by Team'!C$2:C3410 = D146,'Items by Team'!B$2:B3410 = B146)),NOT(A146=""Practice"")),TRUE,FALSE)"),FALSE)</f>
        <v>0</v>
      </c>
      <c r="BR146" s="6">
        <f t="shared" ca="1" si="20"/>
        <v>0</v>
      </c>
    </row>
    <row r="147" spans="1:70">
      <c r="A147" s="6"/>
      <c r="B147" s="6"/>
      <c r="C147" s="6"/>
      <c r="D147" s="6"/>
      <c r="E147" s="6"/>
      <c r="F147" s="6"/>
      <c r="G147" s="6"/>
      <c r="H147" s="6"/>
      <c r="I147" s="6"/>
      <c r="J147" s="6"/>
      <c r="K147" s="6"/>
      <c r="L147" s="6"/>
      <c r="M147" s="6"/>
      <c r="N147" s="6"/>
      <c r="O147" s="6"/>
      <c r="P147" s="6"/>
      <c r="R147" s="6"/>
      <c r="S147" s="6"/>
      <c r="T147" s="6"/>
      <c r="U147" s="6"/>
      <c r="V147" s="6"/>
      <c r="W147" s="6"/>
      <c r="X147" s="6"/>
      <c r="Y147" s="6"/>
      <c r="Z147" s="6"/>
      <c r="AA147" s="6"/>
      <c r="AB147" s="6"/>
      <c r="AD147" s="6"/>
      <c r="AE147" s="6"/>
      <c r="AF147" s="6"/>
      <c r="AG147" s="6"/>
      <c r="AH147" s="6"/>
      <c r="AI147" s="6"/>
      <c r="AK147" s="6"/>
      <c r="AL147" s="6"/>
      <c r="AM147" s="6"/>
      <c r="AN147" s="6"/>
      <c r="AO147" s="6"/>
      <c r="AP147" s="6"/>
      <c r="AQ147" s="6"/>
      <c r="AR147" s="6"/>
      <c r="AS147" s="15"/>
      <c r="AT147" s="6" t="str">
        <f ca="1">IFERROR(__xludf.DUMMYFUNCTION("SWITCH(IF(A147=""Practice"",AN147,FILTER('Items by Team'!E$2:E3410,'Items by Team'!C$2:C3410=D147,B147='Items by Team'!B$2:B3410)),""None"",""No"",""Parked"",""P"",""ShallowCage"",""Sc"",""DeepCage"",""Dc"",""No"",""No"",""P"",""P"",""Sc"",""Sc"",""Dc"","&amp;"""Dc"")"),"#REF!")</f>
        <v>#REF!</v>
      </c>
      <c r="AU147" s="6" t="str">
        <f ca="1">IFERROR(__xludf.DUMMYFUNCTION("SWITCH(IF(A147 = ""Practice"", H147, FILTER('Items by Team'!D$2:D3410,'Items by Team'!C$2:C3410 = D147,'Items by Team'!B$2:B3410 = B147)), ""Yes"", ""TRUE"", ""No"", ""FALSE"",TRUE, ""TRUE"", FALSE, ""FALSE"")"),"#REF!")</f>
        <v>#REF!</v>
      </c>
      <c r="AV147" s="6">
        <f t="shared" si="0"/>
        <v>0</v>
      </c>
      <c r="AW147" s="6">
        <f t="shared" si="1"/>
        <v>0</v>
      </c>
      <c r="AX147" s="6">
        <f t="shared" si="2"/>
        <v>0</v>
      </c>
      <c r="AY147" s="6">
        <f t="shared" si="3"/>
        <v>0</v>
      </c>
      <c r="AZ147" s="9" t="str">
        <f t="shared" si="4"/>
        <v/>
      </c>
      <c r="BA147" s="6">
        <f t="shared" si="5"/>
        <v>0</v>
      </c>
      <c r="BB147" s="6">
        <f t="shared" si="6"/>
        <v>0</v>
      </c>
      <c r="BC147" s="9" t="str">
        <f t="shared" si="7"/>
        <v/>
      </c>
      <c r="BD147" s="6">
        <f t="shared" si="8"/>
        <v>0</v>
      </c>
      <c r="BE147" s="6">
        <f t="shared" si="9"/>
        <v>0</v>
      </c>
      <c r="BF147" s="9" t="str">
        <f t="shared" si="10"/>
        <v/>
      </c>
      <c r="BG147" s="6">
        <f t="shared" si="11"/>
        <v>0</v>
      </c>
      <c r="BH147" s="6">
        <f t="shared" si="12"/>
        <v>0</v>
      </c>
      <c r="BI147" s="9" t="str">
        <f t="shared" si="13"/>
        <v/>
      </c>
      <c r="BJ147" s="6">
        <f t="shared" si="14"/>
        <v>0</v>
      </c>
      <c r="BK147" s="6">
        <f t="shared" si="15"/>
        <v>0</v>
      </c>
      <c r="BL147" s="6">
        <f t="shared" si="16"/>
        <v>0</v>
      </c>
      <c r="BM147" s="6">
        <f t="shared" si="17"/>
        <v>0</v>
      </c>
      <c r="BN147" s="6">
        <f t="shared" si="18"/>
        <v>0</v>
      </c>
      <c r="BP147" s="6">
        <f t="shared" si="19"/>
        <v>0</v>
      </c>
      <c r="BQ147" s="6" t="b">
        <f ca="1">IFERROR(__xludf.DUMMYFUNCTION("IF(AND(ISERROR(FILTER('Items by Team'!D$2:D3410,'Items by Team'!C$2:C3410 = D147,'Items by Team'!B$2:B3410 = B147)),NOT(A147=""Practice"")),TRUE,FALSE)"),FALSE)</f>
        <v>0</v>
      </c>
      <c r="BR147" s="6">
        <f t="shared" ca="1" si="20"/>
        <v>0</v>
      </c>
    </row>
    <row r="148" spans="1:70">
      <c r="A148" s="6"/>
      <c r="B148" s="6"/>
      <c r="C148" s="6"/>
      <c r="D148" s="6"/>
      <c r="E148" s="6"/>
      <c r="F148" s="6"/>
      <c r="G148" s="6"/>
      <c r="H148" s="6"/>
      <c r="I148" s="6"/>
      <c r="J148" s="6"/>
      <c r="K148" s="6"/>
      <c r="L148" s="6"/>
      <c r="M148" s="6"/>
      <c r="N148" s="6"/>
      <c r="O148" s="6"/>
      <c r="P148" s="6"/>
      <c r="R148" s="6"/>
      <c r="S148" s="6"/>
      <c r="T148" s="6"/>
      <c r="U148" s="6"/>
      <c r="V148" s="6"/>
      <c r="W148" s="6"/>
      <c r="X148" s="6"/>
      <c r="Y148" s="6"/>
      <c r="Z148" s="6"/>
      <c r="AA148" s="6"/>
      <c r="AB148" s="6"/>
      <c r="AD148" s="6"/>
      <c r="AE148" s="6"/>
      <c r="AF148" s="6"/>
      <c r="AG148" s="6"/>
      <c r="AH148" s="6"/>
      <c r="AI148" s="6"/>
      <c r="AK148" s="6"/>
      <c r="AL148" s="6"/>
      <c r="AM148" s="6"/>
      <c r="AN148" s="6"/>
      <c r="AO148" s="6"/>
      <c r="AP148" s="6"/>
      <c r="AQ148" s="6"/>
      <c r="AR148" s="6"/>
      <c r="AS148" s="15"/>
      <c r="AT148" s="6" t="str">
        <f ca="1">IFERROR(__xludf.DUMMYFUNCTION("SWITCH(IF(A148=""Practice"",AN148,FILTER('Items by Team'!E$2:E3410,'Items by Team'!C$2:C3410=D148,B148='Items by Team'!B$2:B3410)),""None"",""No"",""Parked"",""P"",""ShallowCage"",""Sc"",""DeepCage"",""Dc"",""No"",""No"",""P"",""P"",""Sc"",""Sc"",""Dc"","&amp;"""Dc"")"),"#REF!")</f>
        <v>#REF!</v>
      </c>
      <c r="AU148" s="6" t="str">
        <f ca="1">IFERROR(__xludf.DUMMYFUNCTION("SWITCH(IF(A148 = ""Practice"", H148, FILTER('Items by Team'!D$2:D3410,'Items by Team'!C$2:C3410 = D148,'Items by Team'!B$2:B3410 = B148)), ""Yes"", ""TRUE"", ""No"", ""FALSE"",TRUE, ""TRUE"", FALSE, ""FALSE"")"),"#REF!")</f>
        <v>#REF!</v>
      </c>
      <c r="AV148" s="6">
        <f t="shared" si="0"/>
        <v>0</v>
      </c>
      <c r="AW148" s="6">
        <f t="shared" si="1"/>
        <v>0</v>
      </c>
      <c r="AX148" s="6">
        <f t="shared" si="2"/>
        <v>0</v>
      </c>
      <c r="AY148" s="6">
        <f t="shared" si="3"/>
        <v>0</v>
      </c>
      <c r="AZ148" s="9" t="str">
        <f t="shared" si="4"/>
        <v/>
      </c>
      <c r="BA148" s="6">
        <f t="shared" si="5"/>
        <v>0</v>
      </c>
      <c r="BB148" s="6">
        <f t="shared" si="6"/>
        <v>0</v>
      </c>
      <c r="BC148" s="9" t="str">
        <f t="shared" si="7"/>
        <v/>
      </c>
      <c r="BD148" s="6">
        <f t="shared" si="8"/>
        <v>0</v>
      </c>
      <c r="BE148" s="6">
        <f t="shared" si="9"/>
        <v>0</v>
      </c>
      <c r="BF148" s="9" t="str">
        <f t="shared" si="10"/>
        <v/>
      </c>
      <c r="BG148" s="6">
        <f t="shared" si="11"/>
        <v>0</v>
      </c>
      <c r="BH148" s="6">
        <f t="shared" si="12"/>
        <v>0</v>
      </c>
      <c r="BI148" s="9" t="str">
        <f t="shared" si="13"/>
        <v/>
      </c>
      <c r="BJ148" s="6">
        <f t="shared" si="14"/>
        <v>0</v>
      </c>
      <c r="BK148" s="6">
        <f t="shared" si="15"/>
        <v>0</v>
      </c>
      <c r="BL148" s="6">
        <f t="shared" si="16"/>
        <v>0</v>
      </c>
      <c r="BM148" s="6">
        <f t="shared" si="17"/>
        <v>0</v>
      </c>
      <c r="BN148" s="6">
        <f t="shared" si="18"/>
        <v>0</v>
      </c>
      <c r="BP148" s="6">
        <f t="shared" si="19"/>
        <v>0</v>
      </c>
      <c r="BQ148" s="6" t="b">
        <f ca="1">IFERROR(__xludf.DUMMYFUNCTION("IF(AND(ISERROR(FILTER('Items by Team'!D$2:D3410,'Items by Team'!C$2:C3410 = D148,'Items by Team'!B$2:B3410 = B148)),NOT(A148=""Practice"")),TRUE,FALSE)"),FALSE)</f>
        <v>0</v>
      </c>
      <c r="BR148" s="6">
        <f t="shared" ca="1" si="20"/>
        <v>0</v>
      </c>
    </row>
    <row r="149" spans="1:70">
      <c r="A149" s="6"/>
      <c r="B149" s="6"/>
      <c r="C149" s="6"/>
      <c r="D149" s="6"/>
      <c r="E149" s="6"/>
      <c r="F149" s="6"/>
      <c r="G149" s="6"/>
      <c r="H149" s="6"/>
      <c r="I149" s="6"/>
      <c r="J149" s="6"/>
      <c r="K149" s="6"/>
      <c r="L149" s="6"/>
      <c r="M149" s="6"/>
      <c r="N149" s="6"/>
      <c r="O149" s="6"/>
      <c r="P149" s="6"/>
      <c r="R149" s="6"/>
      <c r="S149" s="6"/>
      <c r="T149" s="6"/>
      <c r="U149" s="6"/>
      <c r="V149" s="6"/>
      <c r="W149" s="6"/>
      <c r="X149" s="6"/>
      <c r="Y149" s="6"/>
      <c r="Z149" s="6"/>
      <c r="AA149" s="6"/>
      <c r="AB149" s="6"/>
      <c r="AD149" s="6"/>
      <c r="AE149" s="6"/>
      <c r="AF149" s="6"/>
      <c r="AG149" s="6"/>
      <c r="AH149" s="6"/>
      <c r="AI149" s="6"/>
      <c r="AK149" s="6"/>
      <c r="AL149" s="6"/>
      <c r="AM149" s="6"/>
      <c r="AN149" s="6"/>
      <c r="AO149" s="6"/>
      <c r="AP149" s="6"/>
      <c r="AQ149" s="6"/>
      <c r="AR149" s="6"/>
      <c r="AS149" s="15"/>
      <c r="AT149" s="6" t="str">
        <f ca="1">IFERROR(__xludf.DUMMYFUNCTION("SWITCH(IF(A149=""Practice"",AN149,FILTER('Items by Team'!E$2:E3410,'Items by Team'!C$2:C3410=D149,B149='Items by Team'!B$2:B3410)),""None"",""No"",""Parked"",""P"",""ShallowCage"",""Sc"",""DeepCage"",""Dc"",""No"",""No"",""P"",""P"",""Sc"",""Sc"",""Dc"","&amp;"""Dc"")"),"#REF!")</f>
        <v>#REF!</v>
      </c>
      <c r="AU149" s="6" t="str">
        <f ca="1">IFERROR(__xludf.DUMMYFUNCTION("SWITCH(IF(A149 = ""Practice"", H149, FILTER('Items by Team'!D$2:D3410,'Items by Team'!C$2:C3410 = D149,'Items by Team'!B$2:B3410 = B149)), ""Yes"", ""TRUE"", ""No"", ""FALSE"",TRUE, ""TRUE"", FALSE, ""FALSE"")"),"#REF!")</f>
        <v>#REF!</v>
      </c>
      <c r="AV149" s="6">
        <f t="shared" si="0"/>
        <v>0</v>
      </c>
      <c r="AW149" s="6">
        <f t="shared" si="1"/>
        <v>0</v>
      </c>
      <c r="AX149" s="6">
        <f t="shared" si="2"/>
        <v>0</v>
      </c>
      <c r="AY149" s="6">
        <f t="shared" si="3"/>
        <v>0</v>
      </c>
      <c r="AZ149" s="9" t="str">
        <f t="shared" si="4"/>
        <v/>
      </c>
      <c r="BA149" s="6">
        <f t="shared" si="5"/>
        <v>0</v>
      </c>
      <c r="BB149" s="6">
        <f t="shared" si="6"/>
        <v>0</v>
      </c>
      <c r="BC149" s="9" t="str">
        <f t="shared" si="7"/>
        <v/>
      </c>
      <c r="BD149" s="6">
        <f t="shared" si="8"/>
        <v>0</v>
      </c>
      <c r="BE149" s="6">
        <f t="shared" si="9"/>
        <v>0</v>
      </c>
      <c r="BF149" s="9" t="str">
        <f t="shared" si="10"/>
        <v/>
      </c>
      <c r="BG149" s="6">
        <f t="shared" si="11"/>
        <v>0</v>
      </c>
      <c r="BH149" s="6">
        <f t="shared" si="12"/>
        <v>0</v>
      </c>
      <c r="BI149" s="9" t="str">
        <f t="shared" si="13"/>
        <v/>
      </c>
      <c r="BJ149" s="6">
        <f t="shared" si="14"/>
        <v>0</v>
      </c>
      <c r="BK149" s="6">
        <f t="shared" si="15"/>
        <v>0</v>
      </c>
      <c r="BL149" s="6">
        <f t="shared" si="16"/>
        <v>0</v>
      </c>
      <c r="BM149" s="6">
        <f t="shared" si="17"/>
        <v>0</v>
      </c>
      <c r="BN149" s="6">
        <f t="shared" si="18"/>
        <v>0</v>
      </c>
      <c r="BP149" s="6">
        <f t="shared" si="19"/>
        <v>0</v>
      </c>
      <c r="BQ149" s="6" t="b">
        <f ca="1">IFERROR(__xludf.DUMMYFUNCTION("IF(AND(ISERROR(FILTER('Items by Team'!D$2:D3410,'Items by Team'!C$2:C3410 = D149,'Items by Team'!B$2:B3410 = B149)),NOT(A149=""Practice"")),TRUE,FALSE)"),FALSE)</f>
        <v>0</v>
      </c>
      <c r="BR149" s="6">
        <f t="shared" ca="1" si="20"/>
        <v>0</v>
      </c>
    </row>
    <row r="150" spans="1:70">
      <c r="A150" s="6"/>
      <c r="B150" s="6"/>
      <c r="C150" s="6"/>
      <c r="D150" s="6"/>
      <c r="E150" s="6"/>
      <c r="F150" s="6"/>
      <c r="G150" s="6"/>
      <c r="H150" s="6"/>
      <c r="I150" s="6"/>
      <c r="J150" s="6"/>
      <c r="K150" s="6"/>
      <c r="L150" s="6"/>
      <c r="M150" s="6"/>
      <c r="N150" s="6"/>
      <c r="O150" s="6"/>
      <c r="P150" s="6"/>
      <c r="R150" s="6"/>
      <c r="S150" s="6"/>
      <c r="T150" s="6"/>
      <c r="U150" s="6"/>
      <c r="V150" s="6"/>
      <c r="W150" s="6"/>
      <c r="X150" s="6"/>
      <c r="Y150" s="6"/>
      <c r="Z150" s="6"/>
      <c r="AA150" s="6"/>
      <c r="AB150" s="6"/>
      <c r="AD150" s="6"/>
      <c r="AE150" s="6"/>
      <c r="AF150" s="6"/>
      <c r="AG150" s="6"/>
      <c r="AH150" s="6"/>
      <c r="AI150" s="6"/>
      <c r="AK150" s="6"/>
      <c r="AL150" s="6"/>
      <c r="AM150" s="6"/>
      <c r="AN150" s="6"/>
      <c r="AO150" s="6"/>
      <c r="AP150" s="6"/>
      <c r="AQ150" s="6"/>
      <c r="AR150" s="6"/>
      <c r="AS150" s="15"/>
      <c r="AT150" s="6" t="str">
        <f ca="1">IFERROR(__xludf.DUMMYFUNCTION("SWITCH(IF(A150=""Practice"",AN150,FILTER('Items by Team'!E$2:E3410,'Items by Team'!C$2:C3410=D150,B150='Items by Team'!B$2:B3410)),""None"",""No"",""Parked"",""P"",""ShallowCage"",""Sc"",""DeepCage"",""Dc"",""No"",""No"",""P"",""P"",""Sc"",""Sc"",""Dc"","&amp;"""Dc"")"),"#REF!")</f>
        <v>#REF!</v>
      </c>
      <c r="AU150" s="6" t="str">
        <f ca="1">IFERROR(__xludf.DUMMYFUNCTION("SWITCH(IF(A150 = ""Practice"", H150, FILTER('Items by Team'!D$2:D3410,'Items by Team'!C$2:C3410 = D150,'Items by Team'!B$2:B3410 = B150)), ""Yes"", ""TRUE"", ""No"", ""FALSE"",TRUE, ""TRUE"", FALSE, ""FALSE"")"),"#REF!")</f>
        <v>#REF!</v>
      </c>
      <c r="AV150" s="6">
        <f t="shared" si="0"/>
        <v>0</v>
      </c>
      <c r="AW150" s="6">
        <f t="shared" si="1"/>
        <v>0</v>
      </c>
      <c r="AX150" s="6">
        <f t="shared" si="2"/>
        <v>0</v>
      </c>
      <c r="AY150" s="6">
        <f t="shared" si="3"/>
        <v>0</v>
      </c>
      <c r="AZ150" s="9" t="str">
        <f t="shared" si="4"/>
        <v/>
      </c>
      <c r="BA150" s="6">
        <f t="shared" si="5"/>
        <v>0</v>
      </c>
      <c r="BB150" s="6">
        <f t="shared" si="6"/>
        <v>0</v>
      </c>
      <c r="BC150" s="9" t="str">
        <f t="shared" si="7"/>
        <v/>
      </c>
      <c r="BD150" s="6">
        <f t="shared" si="8"/>
        <v>0</v>
      </c>
      <c r="BE150" s="6">
        <f t="shared" si="9"/>
        <v>0</v>
      </c>
      <c r="BF150" s="9" t="str">
        <f t="shared" si="10"/>
        <v/>
      </c>
      <c r="BG150" s="6">
        <f t="shared" si="11"/>
        <v>0</v>
      </c>
      <c r="BH150" s="6">
        <f t="shared" si="12"/>
        <v>0</v>
      </c>
      <c r="BI150" s="9" t="str">
        <f t="shared" si="13"/>
        <v/>
      </c>
      <c r="BJ150" s="6">
        <f t="shared" si="14"/>
        <v>0</v>
      </c>
      <c r="BK150" s="6">
        <f t="shared" si="15"/>
        <v>0</v>
      </c>
      <c r="BL150" s="6">
        <f t="shared" si="16"/>
        <v>0</v>
      </c>
      <c r="BM150" s="6">
        <f t="shared" si="17"/>
        <v>0</v>
      </c>
      <c r="BN150" s="6">
        <f t="shared" si="18"/>
        <v>0</v>
      </c>
      <c r="BP150" s="6">
        <f t="shared" si="19"/>
        <v>0</v>
      </c>
      <c r="BQ150" s="6" t="b">
        <f ca="1">IFERROR(__xludf.DUMMYFUNCTION("IF(AND(ISERROR(FILTER('Items by Team'!D$2:D3410,'Items by Team'!C$2:C3410 = D150,'Items by Team'!B$2:B3410 = B150)),NOT(A150=""Practice"")),TRUE,FALSE)"),FALSE)</f>
        <v>0</v>
      </c>
      <c r="BR150" s="6">
        <f t="shared" ca="1" si="20"/>
        <v>0</v>
      </c>
    </row>
    <row r="151" spans="1:70">
      <c r="A151" s="6"/>
      <c r="B151" s="6"/>
      <c r="C151" s="6"/>
      <c r="D151" s="6"/>
      <c r="E151" s="6"/>
      <c r="F151" s="6"/>
      <c r="G151" s="6"/>
      <c r="H151" s="6"/>
      <c r="I151" s="6"/>
      <c r="J151" s="6"/>
      <c r="K151" s="6"/>
      <c r="L151" s="6"/>
      <c r="M151" s="6"/>
      <c r="N151" s="6"/>
      <c r="O151" s="6"/>
      <c r="P151" s="6"/>
      <c r="R151" s="6"/>
      <c r="S151" s="6"/>
      <c r="T151" s="6"/>
      <c r="U151" s="6"/>
      <c r="V151" s="6"/>
      <c r="W151" s="6"/>
      <c r="X151" s="6"/>
      <c r="Y151" s="6"/>
      <c r="Z151" s="6"/>
      <c r="AA151" s="6"/>
      <c r="AB151" s="6"/>
      <c r="AD151" s="6"/>
      <c r="AE151" s="6"/>
      <c r="AF151" s="6"/>
      <c r="AG151" s="6"/>
      <c r="AH151" s="6"/>
      <c r="AI151" s="6"/>
      <c r="AK151" s="6"/>
      <c r="AL151" s="6"/>
      <c r="AM151" s="6"/>
      <c r="AN151" s="6"/>
      <c r="AO151" s="6"/>
      <c r="AP151" s="6"/>
      <c r="AQ151" s="6"/>
      <c r="AR151" s="6"/>
      <c r="AS151" s="15"/>
      <c r="AT151" s="6" t="str">
        <f ca="1">IFERROR(__xludf.DUMMYFUNCTION("SWITCH(IF(A151=""Practice"",AN151,FILTER('Items by Team'!E$2:E3410,'Items by Team'!C$2:C3410=D151,B151='Items by Team'!B$2:B3410)),""None"",""No"",""Parked"",""P"",""ShallowCage"",""Sc"",""DeepCage"",""Dc"",""No"",""No"",""P"",""P"",""Sc"",""Sc"",""Dc"","&amp;"""Dc"")"),"#REF!")</f>
        <v>#REF!</v>
      </c>
      <c r="AU151" s="6" t="str">
        <f ca="1">IFERROR(__xludf.DUMMYFUNCTION("SWITCH(IF(A151 = ""Practice"", H151, FILTER('Items by Team'!D$2:D3410,'Items by Team'!C$2:C3410 = D151,'Items by Team'!B$2:B3410 = B151)), ""Yes"", ""TRUE"", ""No"", ""FALSE"",TRUE, ""TRUE"", FALSE, ""FALSE"")"),"#REF!")</f>
        <v>#REF!</v>
      </c>
      <c r="AV151" s="6">
        <f t="shared" si="0"/>
        <v>0</v>
      </c>
      <c r="AW151" s="6">
        <f t="shared" si="1"/>
        <v>0</v>
      </c>
      <c r="AX151" s="6">
        <f t="shared" si="2"/>
        <v>0</v>
      </c>
      <c r="AY151" s="6">
        <f t="shared" si="3"/>
        <v>0</v>
      </c>
      <c r="AZ151" s="9" t="str">
        <f t="shared" si="4"/>
        <v/>
      </c>
      <c r="BA151" s="6">
        <f t="shared" si="5"/>
        <v>0</v>
      </c>
      <c r="BB151" s="6">
        <f t="shared" si="6"/>
        <v>0</v>
      </c>
      <c r="BC151" s="9" t="str">
        <f t="shared" si="7"/>
        <v/>
      </c>
      <c r="BD151" s="6">
        <f t="shared" si="8"/>
        <v>0</v>
      </c>
      <c r="BE151" s="6">
        <f t="shared" si="9"/>
        <v>0</v>
      </c>
      <c r="BF151" s="9" t="str">
        <f t="shared" si="10"/>
        <v/>
      </c>
      <c r="BG151" s="6">
        <f t="shared" si="11"/>
        <v>0</v>
      </c>
      <c r="BH151" s="6">
        <f t="shared" si="12"/>
        <v>0</v>
      </c>
      <c r="BI151" s="9" t="str">
        <f t="shared" si="13"/>
        <v/>
      </c>
      <c r="BJ151" s="6">
        <f t="shared" si="14"/>
        <v>0</v>
      </c>
      <c r="BK151" s="6">
        <f t="shared" si="15"/>
        <v>0</v>
      </c>
      <c r="BL151" s="6">
        <f t="shared" si="16"/>
        <v>0</v>
      </c>
      <c r="BM151" s="6">
        <f t="shared" si="17"/>
        <v>0</v>
      </c>
      <c r="BN151" s="6">
        <f t="shared" si="18"/>
        <v>0</v>
      </c>
      <c r="BP151" s="6">
        <f t="shared" si="19"/>
        <v>0</v>
      </c>
      <c r="BQ151" s="6" t="b">
        <f ca="1">IFERROR(__xludf.DUMMYFUNCTION("IF(AND(ISERROR(FILTER('Items by Team'!D$2:D3410,'Items by Team'!C$2:C3410 = D151,'Items by Team'!B$2:B3410 = B151)),NOT(A151=""Practice"")),TRUE,FALSE)"),FALSE)</f>
        <v>0</v>
      </c>
      <c r="BR151" s="6">
        <f t="shared" ca="1" si="20"/>
        <v>0</v>
      </c>
    </row>
    <row r="152" spans="1:70">
      <c r="A152" s="6"/>
      <c r="B152" s="6"/>
      <c r="C152" s="6"/>
      <c r="D152" s="6"/>
      <c r="E152" s="6"/>
      <c r="F152" s="6"/>
      <c r="G152" s="6"/>
      <c r="H152" s="6"/>
      <c r="I152" s="6"/>
      <c r="J152" s="6"/>
      <c r="K152" s="6"/>
      <c r="L152" s="6"/>
      <c r="M152" s="6"/>
      <c r="N152" s="6"/>
      <c r="O152" s="6"/>
      <c r="P152" s="6"/>
      <c r="R152" s="6"/>
      <c r="S152" s="6"/>
      <c r="T152" s="6"/>
      <c r="U152" s="6"/>
      <c r="V152" s="6"/>
      <c r="W152" s="6"/>
      <c r="X152" s="6"/>
      <c r="Y152" s="6"/>
      <c r="Z152" s="6"/>
      <c r="AA152" s="6"/>
      <c r="AB152" s="6"/>
      <c r="AD152" s="6"/>
      <c r="AE152" s="6"/>
      <c r="AF152" s="6"/>
      <c r="AG152" s="6"/>
      <c r="AH152" s="6"/>
      <c r="AI152" s="6"/>
      <c r="AK152" s="6"/>
      <c r="AL152" s="6"/>
      <c r="AM152" s="6"/>
      <c r="AN152" s="6"/>
      <c r="AO152" s="6"/>
      <c r="AP152" s="6"/>
      <c r="AQ152" s="6"/>
      <c r="AR152" s="6"/>
      <c r="AS152" s="15"/>
      <c r="AT152" s="6" t="str">
        <f ca="1">IFERROR(__xludf.DUMMYFUNCTION("SWITCH(IF(A152=""Practice"",AN152,FILTER('Items by Team'!E$2:E3410,'Items by Team'!C$2:C3410=D152,B152='Items by Team'!B$2:B3410)),""None"",""No"",""Parked"",""P"",""ShallowCage"",""Sc"",""DeepCage"",""Dc"",""No"",""No"",""P"",""P"",""Sc"",""Sc"",""Dc"","&amp;"""Dc"")"),"#REF!")</f>
        <v>#REF!</v>
      </c>
      <c r="AU152" s="6" t="str">
        <f ca="1">IFERROR(__xludf.DUMMYFUNCTION("SWITCH(IF(A152 = ""Practice"", H152, FILTER('Items by Team'!D$2:D3410,'Items by Team'!C$2:C3410 = D152,'Items by Team'!B$2:B3410 = B152)), ""Yes"", ""TRUE"", ""No"", ""FALSE"",TRUE, ""TRUE"", FALSE, ""FALSE"")"),"#REF!")</f>
        <v>#REF!</v>
      </c>
      <c r="AV152" s="6">
        <f t="shared" si="0"/>
        <v>0</v>
      </c>
      <c r="AW152" s="6">
        <f t="shared" si="1"/>
        <v>0</v>
      </c>
      <c r="AX152" s="6">
        <f t="shared" si="2"/>
        <v>0</v>
      </c>
      <c r="AY152" s="6">
        <f t="shared" si="3"/>
        <v>0</v>
      </c>
      <c r="AZ152" s="9" t="str">
        <f t="shared" si="4"/>
        <v/>
      </c>
      <c r="BA152" s="6">
        <f t="shared" si="5"/>
        <v>0</v>
      </c>
      <c r="BB152" s="6">
        <f t="shared" si="6"/>
        <v>0</v>
      </c>
      <c r="BC152" s="9" t="str">
        <f t="shared" si="7"/>
        <v/>
      </c>
      <c r="BD152" s="6">
        <f t="shared" si="8"/>
        <v>0</v>
      </c>
      <c r="BE152" s="6">
        <f t="shared" si="9"/>
        <v>0</v>
      </c>
      <c r="BF152" s="9" t="str">
        <f t="shared" si="10"/>
        <v/>
      </c>
      <c r="BG152" s="6">
        <f t="shared" si="11"/>
        <v>0</v>
      </c>
      <c r="BH152" s="6">
        <f t="shared" si="12"/>
        <v>0</v>
      </c>
      <c r="BI152" s="9" t="str">
        <f t="shared" si="13"/>
        <v/>
      </c>
      <c r="BJ152" s="6">
        <f t="shared" si="14"/>
        <v>0</v>
      </c>
      <c r="BK152" s="6">
        <f t="shared" si="15"/>
        <v>0</v>
      </c>
      <c r="BL152" s="6">
        <f t="shared" si="16"/>
        <v>0</v>
      </c>
      <c r="BM152" s="6">
        <f t="shared" si="17"/>
        <v>0</v>
      </c>
      <c r="BN152" s="6">
        <f t="shared" si="18"/>
        <v>0</v>
      </c>
      <c r="BP152" s="6">
        <f t="shared" si="19"/>
        <v>0</v>
      </c>
      <c r="BQ152" s="6" t="b">
        <f ca="1">IFERROR(__xludf.DUMMYFUNCTION("IF(AND(ISERROR(FILTER('Items by Team'!D$2:D3410,'Items by Team'!C$2:C3410 = D152,'Items by Team'!B$2:B3410 = B152)),NOT(A152=""Practice"")),TRUE,FALSE)"),FALSE)</f>
        <v>0</v>
      </c>
      <c r="BR152" s="6">
        <f t="shared" ca="1" si="20"/>
        <v>0</v>
      </c>
    </row>
    <row r="153" spans="1:70">
      <c r="A153" s="6"/>
      <c r="B153" s="6"/>
      <c r="C153" s="6"/>
      <c r="D153" s="6"/>
      <c r="E153" s="6"/>
      <c r="F153" s="6"/>
      <c r="G153" s="6"/>
      <c r="H153" s="6"/>
      <c r="I153" s="6"/>
      <c r="J153" s="6"/>
      <c r="K153" s="6"/>
      <c r="L153" s="6"/>
      <c r="M153" s="6"/>
      <c r="N153" s="6"/>
      <c r="O153" s="6"/>
      <c r="P153" s="6"/>
      <c r="R153" s="6"/>
      <c r="S153" s="6"/>
      <c r="T153" s="6"/>
      <c r="U153" s="6"/>
      <c r="V153" s="6"/>
      <c r="W153" s="6"/>
      <c r="X153" s="6"/>
      <c r="Y153" s="6"/>
      <c r="Z153" s="6"/>
      <c r="AA153" s="6"/>
      <c r="AB153" s="6"/>
      <c r="AD153" s="6"/>
      <c r="AE153" s="6"/>
      <c r="AF153" s="6"/>
      <c r="AG153" s="6"/>
      <c r="AH153" s="6"/>
      <c r="AI153" s="6"/>
      <c r="AK153" s="6"/>
      <c r="AL153" s="6"/>
      <c r="AM153" s="6"/>
      <c r="AN153" s="6"/>
      <c r="AO153" s="6"/>
      <c r="AP153" s="6"/>
      <c r="AQ153" s="6"/>
      <c r="AR153" s="6"/>
      <c r="AS153" s="15"/>
      <c r="AT153" s="6" t="str">
        <f ca="1">IFERROR(__xludf.DUMMYFUNCTION("SWITCH(IF(A153=""Practice"",AN153,FILTER('Items by Team'!E$2:E3410,'Items by Team'!C$2:C3410=D153,B153='Items by Team'!B$2:B3410)),""None"",""No"",""Parked"",""P"",""ShallowCage"",""Sc"",""DeepCage"",""Dc"",""No"",""No"",""P"",""P"",""Sc"",""Sc"",""Dc"","&amp;"""Dc"")"),"#REF!")</f>
        <v>#REF!</v>
      </c>
      <c r="AU153" s="6" t="str">
        <f ca="1">IFERROR(__xludf.DUMMYFUNCTION("SWITCH(IF(A153 = ""Practice"", H153, FILTER('Items by Team'!D$2:D3410,'Items by Team'!C$2:C3410 = D153,'Items by Team'!B$2:B3410 = B153)), ""Yes"", ""TRUE"", ""No"", ""FALSE"",TRUE, ""TRUE"", FALSE, ""FALSE"")"),"#REF!")</f>
        <v>#REF!</v>
      </c>
      <c r="AV153" s="6">
        <f t="shared" si="0"/>
        <v>0</v>
      </c>
      <c r="AW153" s="6">
        <f t="shared" si="1"/>
        <v>0</v>
      </c>
      <c r="AX153" s="6">
        <f t="shared" si="2"/>
        <v>0</v>
      </c>
      <c r="AY153" s="6">
        <f t="shared" si="3"/>
        <v>0</v>
      </c>
      <c r="AZ153" s="9" t="str">
        <f t="shared" si="4"/>
        <v/>
      </c>
      <c r="BA153" s="6">
        <f t="shared" si="5"/>
        <v>0</v>
      </c>
      <c r="BB153" s="6">
        <f t="shared" si="6"/>
        <v>0</v>
      </c>
      <c r="BC153" s="9" t="str">
        <f t="shared" si="7"/>
        <v/>
      </c>
      <c r="BD153" s="6">
        <f t="shared" si="8"/>
        <v>0</v>
      </c>
      <c r="BE153" s="6">
        <f t="shared" si="9"/>
        <v>0</v>
      </c>
      <c r="BF153" s="9" t="str">
        <f t="shared" si="10"/>
        <v/>
      </c>
      <c r="BG153" s="6">
        <f t="shared" si="11"/>
        <v>0</v>
      </c>
      <c r="BH153" s="6">
        <f t="shared" si="12"/>
        <v>0</v>
      </c>
      <c r="BI153" s="9" t="str">
        <f t="shared" si="13"/>
        <v/>
      </c>
      <c r="BJ153" s="6">
        <f t="shared" si="14"/>
        <v>0</v>
      </c>
      <c r="BK153" s="6">
        <f t="shared" si="15"/>
        <v>0</v>
      </c>
      <c r="BL153" s="6">
        <f t="shared" si="16"/>
        <v>0</v>
      </c>
      <c r="BM153" s="6">
        <f t="shared" si="17"/>
        <v>0</v>
      </c>
      <c r="BN153" s="6">
        <f t="shared" si="18"/>
        <v>0</v>
      </c>
      <c r="BP153" s="6">
        <f t="shared" si="19"/>
        <v>0</v>
      </c>
      <c r="BQ153" s="6" t="b">
        <f ca="1">IFERROR(__xludf.DUMMYFUNCTION("IF(AND(ISERROR(FILTER('Items by Team'!D$2:D3410,'Items by Team'!C$2:C3410 = D153,'Items by Team'!B$2:B3410 = B153)),NOT(A153=""Practice"")),TRUE,FALSE)"),FALSE)</f>
        <v>0</v>
      </c>
      <c r="BR153" s="6">
        <f t="shared" ca="1" si="20"/>
        <v>0</v>
      </c>
    </row>
    <row r="154" spans="1:70">
      <c r="A154" s="6"/>
      <c r="B154" s="6"/>
      <c r="C154" s="6"/>
      <c r="D154" s="6"/>
      <c r="E154" s="6"/>
      <c r="F154" s="6"/>
      <c r="G154" s="6"/>
      <c r="H154" s="6"/>
      <c r="I154" s="6"/>
      <c r="J154" s="6"/>
      <c r="K154" s="6"/>
      <c r="L154" s="6"/>
      <c r="M154" s="6"/>
      <c r="N154" s="6"/>
      <c r="O154" s="6"/>
      <c r="P154" s="6"/>
      <c r="R154" s="6"/>
      <c r="S154" s="6"/>
      <c r="T154" s="6"/>
      <c r="U154" s="6"/>
      <c r="V154" s="6"/>
      <c r="W154" s="6"/>
      <c r="X154" s="6"/>
      <c r="Y154" s="6"/>
      <c r="Z154" s="6"/>
      <c r="AA154" s="6"/>
      <c r="AB154" s="6"/>
      <c r="AD154" s="6"/>
      <c r="AE154" s="6"/>
      <c r="AF154" s="6"/>
      <c r="AG154" s="6"/>
      <c r="AH154" s="6"/>
      <c r="AI154" s="6"/>
      <c r="AK154" s="6"/>
      <c r="AL154" s="6"/>
      <c r="AM154" s="6"/>
      <c r="AN154" s="6"/>
      <c r="AO154" s="6"/>
      <c r="AP154" s="6"/>
      <c r="AQ154" s="6"/>
      <c r="AR154" s="6"/>
      <c r="AS154" s="15"/>
      <c r="AT154" s="6" t="str">
        <f ca="1">IFERROR(__xludf.DUMMYFUNCTION("SWITCH(IF(A154=""Practice"",AN154,FILTER('Items by Team'!E$2:E3410,'Items by Team'!C$2:C3410=D154,B154='Items by Team'!B$2:B3410)),""None"",""No"",""Parked"",""P"",""ShallowCage"",""Sc"",""DeepCage"",""Dc"",""No"",""No"",""P"",""P"",""Sc"",""Sc"",""Dc"","&amp;"""Dc"")"),"#REF!")</f>
        <v>#REF!</v>
      </c>
      <c r="AU154" s="6" t="str">
        <f ca="1">IFERROR(__xludf.DUMMYFUNCTION("SWITCH(IF(A154 = ""Practice"", H154, FILTER('Items by Team'!D$2:D3410,'Items by Team'!C$2:C3410 = D154,'Items by Team'!B$2:B3410 = B154)), ""Yes"", ""TRUE"", ""No"", ""FALSE"",TRUE, ""TRUE"", FALSE, ""FALSE"")"),"#REF!")</f>
        <v>#REF!</v>
      </c>
      <c r="AV154" s="6">
        <f t="shared" si="0"/>
        <v>0</v>
      </c>
      <c r="AW154" s="6">
        <f t="shared" si="1"/>
        <v>0</v>
      </c>
      <c r="AX154" s="6">
        <f t="shared" si="2"/>
        <v>0</v>
      </c>
      <c r="AY154" s="6">
        <f t="shared" si="3"/>
        <v>0</v>
      </c>
      <c r="AZ154" s="9" t="str">
        <f t="shared" si="4"/>
        <v/>
      </c>
      <c r="BA154" s="6">
        <f t="shared" si="5"/>
        <v>0</v>
      </c>
      <c r="BB154" s="6">
        <f t="shared" si="6"/>
        <v>0</v>
      </c>
      <c r="BC154" s="9" t="str">
        <f t="shared" si="7"/>
        <v/>
      </c>
      <c r="BD154" s="6">
        <f t="shared" si="8"/>
        <v>0</v>
      </c>
      <c r="BE154" s="6">
        <f t="shared" si="9"/>
        <v>0</v>
      </c>
      <c r="BF154" s="9" t="str">
        <f t="shared" si="10"/>
        <v/>
      </c>
      <c r="BG154" s="6">
        <f t="shared" si="11"/>
        <v>0</v>
      </c>
      <c r="BH154" s="6">
        <f t="shared" si="12"/>
        <v>0</v>
      </c>
      <c r="BI154" s="9" t="str">
        <f t="shared" si="13"/>
        <v/>
      </c>
      <c r="BJ154" s="6">
        <f t="shared" si="14"/>
        <v>0</v>
      </c>
      <c r="BK154" s="6">
        <f t="shared" si="15"/>
        <v>0</v>
      </c>
      <c r="BL154" s="6">
        <f t="shared" si="16"/>
        <v>0</v>
      </c>
      <c r="BM154" s="6">
        <f t="shared" si="17"/>
        <v>0</v>
      </c>
      <c r="BN154" s="6">
        <f t="shared" si="18"/>
        <v>0</v>
      </c>
      <c r="BP154" s="6">
        <f t="shared" si="19"/>
        <v>0</v>
      </c>
      <c r="BQ154" s="6" t="b">
        <f ca="1">IFERROR(__xludf.DUMMYFUNCTION("IF(AND(ISERROR(FILTER('Items by Team'!D$2:D3410,'Items by Team'!C$2:C3410 = D154,'Items by Team'!B$2:B3410 = B154)),NOT(A154=""Practice"")),TRUE,FALSE)"),FALSE)</f>
        <v>0</v>
      </c>
      <c r="BR154" s="6">
        <f t="shared" ca="1" si="20"/>
        <v>0</v>
      </c>
    </row>
    <row r="155" spans="1:70">
      <c r="A155" s="6"/>
      <c r="B155" s="6"/>
      <c r="C155" s="6"/>
      <c r="D155" s="6"/>
      <c r="E155" s="6"/>
      <c r="F155" s="6"/>
      <c r="G155" s="6"/>
      <c r="H155" s="6"/>
      <c r="I155" s="6"/>
      <c r="J155" s="6"/>
      <c r="K155" s="6"/>
      <c r="L155" s="6"/>
      <c r="M155" s="6"/>
      <c r="N155" s="6"/>
      <c r="O155" s="6"/>
      <c r="P155" s="6"/>
      <c r="R155" s="6"/>
      <c r="S155" s="6"/>
      <c r="T155" s="6"/>
      <c r="U155" s="6"/>
      <c r="V155" s="6"/>
      <c r="W155" s="6"/>
      <c r="X155" s="6"/>
      <c r="Y155" s="6"/>
      <c r="Z155" s="6"/>
      <c r="AA155" s="6"/>
      <c r="AB155" s="6"/>
      <c r="AD155" s="6"/>
      <c r="AE155" s="6"/>
      <c r="AF155" s="6"/>
      <c r="AG155" s="6"/>
      <c r="AH155" s="6"/>
      <c r="AI155" s="6"/>
      <c r="AK155" s="6"/>
      <c r="AL155" s="6"/>
      <c r="AM155" s="6"/>
      <c r="AN155" s="6"/>
      <c r="AO155" s="6"/>
      <c r="AP155" s="6"/>
      <c r="AQ155" s="6"/>
      <c r="AR155" s="6"/>
      <c r="AS155" s="15"/>
      <c r="AT155" s="6" t="str">
        <f ca="1">IFERROR(__xludf.DUMMYFUNCTION("SWITCH(IF(A155=""Practice"",AN155,FILTER('Items by Team'!E$2:E3410,'Items by Team'!C$2:C3410=D155,B155='Items by Team'!B$2:B3410)),""None"",""No"",""Parked"",""P"",""ShallowCage"",""Sc"",""DeepCage"",""Dc"",""No"",""No"",""P"",""P"",""Sc"",""Sc"",""Dc"","&amp;"""Dc"")"),"#REF!")</f>
        <v>#REF!</v>
      </c>
      <c r="AU155" s="6" t="str">
        <f ca="1">IFERROR(__xludf.DUMMYFUNCTION("SWITCH(IF(A155 = ""Practice"", H155, FILTER('Items by Team'!D$2:D3410,'Items by Team'!C$2:C3410 = D155,'Items by Team'!B$2:B3410 = B155)), ""Yes"", ""TRUE"", ""No"", ""FALSE"",TRUE, ""TRUE"", FALSE, ""FALSE"")"),"#REF!")</f>
        <v>#REF!</v>
      </c>
      <c r="AV155" s="6">
        <f t="shared" si="0"/>
        <v>0</v>
      </c>
      <c r="AW155" s="6">
        <f t="shared" si="1"/>
        <v>0</v>
      </c>
      <c r="AX155" s="6">
        <f t="shared" si="2"/>
        <v>0</v>
      </c>
      <c r="AY155" s="6">
        <f t="shared" si="3"/>
        <v>0</v>
      </c>
      <c r="AZ155" s="9" t="str">
        <f t="shared" si="4"/>
        <v/>
      </c>
      <c r="BA155" s="6">
        <f t="shared" si="5"/>
        <v>0</v>
      </c>
      <c r="BB155" s="6">
        <f t="shared" si="6"/>
        <v>0</v>
      </c>
      <c r="BC155" s="9" t="str">
        <f t="shared" si="7"/>
        <v/>
      </c>
      <c r="BD155" s="6">
        <f t="shared" si="8"/>
        <v>0</v>
      </c>
      <c r="BE155" s="6">
        <f t="shared" si="9"/>
        <v>0</v>
      </c>
      <c r="BF155" s="9" t="str">
        <f t="shared" si="10"/>
        <v/>
      </c>
      <c r="BG155" s="6">
        <f t="shared" si="11"/>
        <v>0</v>
      </c>
      <c r="BH155" s="6">
        <f t="shared" si="12"/>
        <v>0</v>
      </c>
      <c r="BI155" s="9" t="str">
        <f t="shared" si="13"/>
        <v/>
      </c>
      <c r="BJ155" s="6">
        <f t="shared" si="14"/>
        <v>0</v>
      </c>
      <c r="BK155" s="6">
        <f t="shared" si="15"/>
        <v>0</v>
      </c>
      <c r="BL155" s="6">
        <f t="shared" si="16"/>
        <v>0</v>
      </c>
      <c r="BM155" s="6">
        <f t="shared" si="17"/>
        <v>0</v>
      </c>
      <c r="BN155" s="6">
        <f t="shared" si="18"/>
        <v>0</v>
      </c>
      <c r="BP155" s="6">
        <f t="shared" si="19"/>
        <v>0</v>
      </c>
      <c r="BQ155" s="6" t="b">
        <f ca="1">IFERROR(__xludf.DUMMYFUNCTION("IF(AND(ISERROR(FILTER('Items by Team'!D$2:D3410,'Items by Team'!C$2:C3410 = D155,'Items by Team'!B$2:B3410 = B155)),NOT(A155=""Practice"")),TRUE,FALSE)"),FALSE)</f>
        <v>0</v>
      </c>
      <c r="BR155" s="6">
        <f t="shared" ca="1" si="20"/>
        <v>0</v>
      </c>
    </row>
    <row r="156" spans="1:70">
      <c r="A156" s="6"/>
      <c r="B156" s="6"/>
      <c r="C156" s="6"/>
      <c r="D156" s="6"/>
      <c r="E156" s="6"/>
      <c r="F156" s="6"/>
      <c r="G156" s="6"/>
      <c r="H156" s="6"/>
      <c r="I156" s="6"/>
      <c r="J156" s="6"/>
      <c r="K156" s="6"/>
      <c r="L156" s="6"/>
      <c r="M156" s="6"/>
      <c r="N156" s="6"/>
      <c r="O156" s="6"/>
      <c r="P156" s="6"/>
      <c r="R156" s="6"/>
      <c r="S156" s="6"/>
      <c r="T156" s="6"/>
      <c r="U156" s="6"/>
      <c r="V156" s="6"/>
      <c r="W156" s="6"/>
      <c r="X156" s="6"/>
      <c r="Y156" s="6"/>
      <c r="Z156" s="6"/>
      <c r="AA156" s="6"/>
      <c r="AB156" s="6"/>
      <c r="AD156" s="6"/>
      <c r="AE156" s="6"/>
      <c r="AF156" s="6"/>
      <c r="AG156" s="6"/>
      <c r="AH156" s="6"/>
      <c r="AI156" s="6"/>
      <c r="AK156" s="6"/>
      <c r="AL156" s="6"/>
      <c r="AM156" s="6"/>
      <c r="AN156" s="6"/>
      <c r="AO156" s="6"/>
      <c r="AP156" s="6"/>
      <c r="AQ156" s="6"/>
      <c r="AR156" s="6"/>
      <c r="AS156" s="15"/>
      <c r="AT156" s="6" t="str">
        <f ca="1">IFERROR(__xludf.DUMMYFUNCTION("SWITCH(IF(A156=""Practice"",AN156,FILTER('Items by Team'!E$2:E3410,'Items by Team'!C$2:C3410=D156,B156='Items by Team'!B$2:B3410)),""None"",""No"",""Parked"",""P"",""ShallowCage"",""Sc"",""DeepCage"",""Dc"",""No"",""No"",""P"",""P"",""Sc"",""Sc"",""Dc"","&amp;"""Dc"")"),"#REF!")</f>
        <v>#REF!</v>
      </c>
      <c r="AU156" s="6" t="str">
        <f ca="1">IFERROR(__xludf.DUMMYFUNCTION("SWITCH(IF(A156 = ""Practice"", H156, FILTER('Items by Team'!D$2:D3410,'Items by Team'!C$2:C3410 = D156,'Items by Team'!B$2:B3410 = B156)), ""Yes"", ""TRUE"", ""No"", ""FALSE"",TRUE, ""TRUE"", FALSE, ""FALSE"")"),"#REF!")</f>
        <v>#REF!</v>
      </c>
      <c r="AV156" s="6">
        <f t="shared" si="0"/>
        <v>0</v>
      </c>
      <c r="AW156" s="6">
        <f t="shared" si="1"/>
        <v>0</v>
      </c>
      <c r="AX156" s="6">
        <f t="shared" si="2"/>
        <v>0</v>
      </c>
      <c r="AY156" s="6">
        <f t="shared" si="3"/>
        <v>0</v>
      </c>
      <c r="AZ156" s="9" t="str">
        <f t="shared" si="4"/>
        <v/>
      </c>
      <c r="BA156" s="6">
        <f t="shared" si="5"/>
        <v>0</v>
      </c>
      <c r="BB156" s="6">
        <f t="shared" si="6"/>
        <v>0</v>
      </c>
      <c r="BC156" s="9" t="str">
        <f t="shared" si="7"/>
        <v/>
      </c>
      <c r="BD156" s="6">
        <f t="shared" si="8"/>
        <v>0</v>
      </c>
      <c r="BE156" s="6">
        <f t="shared" si="9"/>
        <v>0</v>
      </c>
      <c r="BF156" s="9" t="str">
        <f t="shared" si="10"/>
        <v/>
      </c>
      <c r="BG156" s="6">
        <f t="shared" si="11"/>
        <v>0</v>
      </c>
      <c r="BH156" s="6">
        <f t="shared" si="12"/>
        <v>0</v>
      </c>
      <c r="BI156" s="9" t="str">
        <f t="shared" si="13"/>
        <v/>
      </c>
      <c r="BJ156" s="6">
        <f t="shared" si="14"/>
        <v>0</v>
      </c>
      <c r="BK156" s="6">
        <f t="shared" si="15"/>
        <v>0</v>
      </c>
      <c r="BL156" s="6">
        <f t="shared" si="16"/>
        <v>0</v>
      </c>
      <c r="BM156" s="6">
        <f t="shared" si="17"/>
        <v>0</v>
      </c>
      <c r="BN156" s="6">
        <f t="shared" si="18"/>
        <v>0</v>
      </c>
      <c r="BP156" s="6">
        <f t="shared" si="19"/>
        <v>0</v>
      </c>
      <c r="BQ156" s="6" t="b">
        <f ca="1">IFERROR(__xludf.DUMMYFUNCTION("IF(AND(ISERROR(FILTER('Items by Team'!D$2:D3410,'Items by Team'!C$2:C3410 = D156,'Items by Team'!B$2:B3410 = B156)),NOT(A156=""Practice"")),TRUE,FALSE)"),FALSE)</f>
        <v>0</v>
      </c>
      <c r="BR156" s="6">
        <f t="shared" ca="1" si="20"/>
        <v>0</v>
      </c>
    </row>
    <row r="157" spans="1:70">
      <c r="A157" s="6"/>
      <c r="B157" s="6"/>
      <c r="C157" s="6"/>
      <c r="D157" s="6"/>
      <c r="E157" s="6"/>
      <c r="F157" s="6"/>
      <c r="G157" s="6"/>
      <c r="H157" s="6"/>
      <c r="I157" s="6"/>
      <c r="J157" s="6"/>
      <c r="K157" s="6"/>
      <c r="L157" s="6"/>
      <c r="M157" s="6"/>
      <c r="N157" s="6"/>
      <c r="O157" s="6"/>
      <c r="P157" s="6"/>
      <c r="R157" s="6"/>
      <c r="S157" s="6"/>
      <c r="T157" s="6"/>
      <c r="U157" s="6"/>
      <c r="V157" s="6"/>
      <c r="W157" s="6"/>
      <c r="X157" s="6"/>
      <c r="Y157" s="6"/>
      <c r="Z157" s="6"/>
      <c r="AA157" s="6"/>
      <c r="AB157" s="6"/>
      <c r="AD157" s="6"/>
      <c r="AE157" s="6"/>
      <c r="AF157" s="6"/>
      <c r="AG157" s="6"/>
      <c r="AH157" s="6"/>
      <c r="AI157" s="6"/>
      <c r="AK157" s="6"/>
      <c r="AL157" s="6"/>
      <c r="AM157" s="6"/>
      <c r="AN157" s="6"/>
      <c r="AO157" s="6"/>
      <c r="AP157" s="6"/>
      <c r="AQ157" s="6"/>
      <c r="AR157" s="6"/>
      <c r="AS157" s="15"/>
      <c r="AT157" s="6" t="str">
        <f ca="1">IFERROR(__xludf.DUMMYFUNCTION("SWITCH(IF(A157=""Practice"",AN157,FILTER('Items by Team'!E$2:E3410,'Items by Team'!C$2:C3410=D157,B157='Items by Team'!B$2:B3410)),""None"",""No"",""Parked"",""P"",""ShallowCage"",""Sc"",""DeepCage"",""Dc"",""No"",""No"",""P"",""P"",""Sc"",""Sc"",""Dc"","&amp;"""Dc"")"),"#REF!")</f>
        <v>#REF!</v>
      </c>
      <c r="AU157" s="6" t="str">
        <f ca="1">IFERROR(__xludf.DUMMYFUNCTION("SWITCH(IF(A157 = ""Practice"", H157, FILTER('Items by Team'!D$2:D3410,'Items by Team'!C$2:C3410 = D157,'Items by Team'!B$2:B3410 = B157)), ""Yes"", ""TRUE"", ""No"", ""FALSE"",TRUE, ""TRUE"", FALSE, ""FALSE"")"),"#REF!")</f>
        <v>#REF!</v>
      </c>
      <c r="AV157" s="6">
        <f t="shared" si="0"/>
        <v>0</v>
      </c>
      <c r="AW157" s="6">
        <f t="shared" si="1"/>
        <v>0</v>
      </c>
      <c r="AX157" s="6">
        <f t="shared" si="2"/>
        <v>0</v>
      </c>
      <c r="AY157" s="6">
        <f t="shared" si="3"/>
        <v>0</v>
      </c>
      <c r="AZ157" s="9" t="str">
        <f t="shared" si="4"/>
        <v/>
      </c>
      <c r="BA157" s="6">
        <f t="shared" si="5"/>
        <v>0</v>
      </c>
      <c r="BB157" s="6">
        <f t="shared" si="6"/>
        <v>0</v>
      </c>
      <c r="BC157" s="9" t="str">
        <f t="shared" si="7"/>
        <v/>
      </c>
      <c r="BD157" s="6">
        <f t="shared" si="8"/>
        <v>0</v>
      </c>
      <c r="BE157" s="6">
        <f t="shared" si="9"/>
        <v>0</v>
      </c>
      <c r="BF157" s="9" t="str">
        <f t="shared" si="10"/>
        <v/>
      </c>
      <c r="BG157" s="6">
        <f t="shared" si="11"/>
        <v>0</v>
      </c>
      <c r="BH157" s="6">
        <f t="shared" si="12"/>
        <v>0</v>
      </c>
      <c r="BI157" s="9" t="str">
        <f t="shared" si="13"/>
        <v/>
      </c>
      <c r="BJ157" s="6">
        <f t="shared" si="14"/>
        <v>0</v>
      </c>
      <c r="BK157" s="6">
        <f t="shared" si="15"/>
        <v>0</v>
      </c>
      <c r="BL157" s="6">
        <f t="shared" si="16"/>
        <v>0</v>
      </c>
      <c r="BM157" s="6">
        <f t="shared" si="17"/>
        <v>0</v>
      </c>
      <c r="BN157" s="6">
        <f t="shared" si="18"/>
        <v>0</v>
      </c>
      <c r="BP157" s="6">
        <f t="shared" si="19"/>
        <v>0</v>
      </c>
      <c r="BQ157" s="6" t="b">
        <f ca="1">IFERROR(__xludf.DUMMYFUNCTION("IF(AND(ISERROR(FILTER('Items by Team'!D$2:D3410,'Items by Team'!C$2:C3410 = D157,'Items by Team'!B$2:B3410 = B157)),NOT(A157=""Practice"")),TRUE,FALSE)"),FALSE)</f>
        <v>0</v>
      </c>
      <c r="BR157" s="6">
        <f t="shared" ca="1" si="20"/>
        <v>0</v>
      </c>
    </row>
    <row r="158" spans="1:70">
      <c r="A158" s="6"/>
      <c r="B158" s="6"/>
      <c r="C158" s="6"/>
      <c r="D158" s="6"/>
      <c r="E158" s="6"/>
      <c r="F158" s="6"/>
      <c r="G158" s="6"/>
      <c r="H158" s="6"/>
      <c r="I158" s="6"/>
      <c r="J158" s="6"/>
      <c r="K158" s="6"/>
      <c r="L158" s="6"/>
      <c r="M158" s="6"/>
      <c r="N158" s="6"/>
      <c r="O158" s="6"/>
      <c r="P158" s="6"/>
      <c r="R158" s="6"/>
      <c r="S158" s="6"/>
      <c r="T158" s="6"/>
      <c r="U158" s="6"/>
      <c r="V158" s="6"/>
      <c r="W158" s="6"/>
      <c r="X158" s="6"/>
      <c r="Y158" s="6"/>
      <c r="Z158" s="6"/>
      <c r="AA158" s="6"/>
      <c r="AB158" s="6"/>
      <c r="AD158" s="6"/>
      <c r="AE158" s="6"/>
      <c r="AF158" s="6"/>
      <c r="AG158" s="6"/>
      <c r="AH158" s="6"/>
      <c r="AI158" s="6"/>
      <c r="AK158" s="6"/>
      <c r="AL158" s="6"/>
      <c r="AM158" s="6"/>
      <c r="AN158" s="6"/>
      <c r="AO158" s="6"/>
      <c r="AP158" s="6"/>
      <c r="AQ158" s="6"/>
      <c r="AR158" s="6"/>
      <c r="AS158" s="15"/>
      <c r="AT158" s="6" t="str">
        <f ca="1">IFERROR(__xludf.DUMMYFUNCTION("SWITCH(IF(A158=""Practice"",AN158,FILTER('Items by Team'!E$2:E3410,'Items by Team'!C$2:C3410=D158,B158='Items by Team'!B$2:B3410)),""None"",""No"",""Parked"",""P"",""ShallowCage"",""Sc"",""DeepCage"",""Dc"",""No"",""No"",""P"",""P"",""Sc"",""Sc"",""Dc"","&amp;"""Dc"")"),"#REF!")</f>
        <v>#REF!</v>
      </c>
      <c r="AU158" s="6" t="str">
        <f ca="1">IFERROR(__xludf.DUMMYFUNCTION("SWITCH(IF(A158 = ""Practice"", H158, FILTER('Items by Team'!D$2:D3410,'Items by Team'!C$2:C3410 = D158,'Items by Team'!B$2:B3410 = B158)), ""Yes"", ""TRUE"", ""No"", ""FALSE"",TRUE, ""TRUE"", FALSE, ""FALSE"")"),"#REF!")</f>
        <v>#REF!</v>
      </c>
      <c r="AV158" s="6">
        <f t="shared" si="0"/>
        <v>0</v>
      </c>
      <c r="AW158" s="6">
        <f t="shared" si="1"/>
        <v>0</v>
      </c>
      <c r="AX158" s="6">
        <f t="shared" si="2"/>
        <v>0</v>
      </c>
      <c r="AY158" s="6">
        <f t="shared" si="3"/>
        <v>0</v>
      </c>
      <c r="AZ158" s="9" t="str">
        <f t="shared" si="4"/>
        <v/>
      </c>
      <c r="BA158" s="6">
        <f t="shared" si="5"/>
        <v>0</v>
      </c>
      <c r="BB158" s="6">
        <f t="shared" si="6"/>
        <v>0</v>
      </c>
      <c r="BC158" s="9" t="str">
        <f t="shared" si="7"/>
        <v/>
      </c>
      <c r="BD158" s="6">
        <f t="shared" si="8"/>
        <v>0</v>
      </c>
      <c r="BE158" s="6">
        <f t="shared" si="9"/>
        <v>0</v>
      </c>
      <c r="BF158" s="9" t="str">
        <f t="shared" si="10"/>
        <v/>
      </c>
      <c r="BG158" s="6">
        <f t="shared" si="11"/>
        <v>0</v>
      </c>
      <c r="BH158" s="6">
        <f t="shared" si="12"/>
        <v>0</v>
      </c>
      <c r="BI158" s="9" t="str">
        <f t="shared" si="13"/>
        <v/>
      </c>
      <c r="BJ158" s="6">
        <f t="shared" si="14"/>
        <v>0</v>
      </c>
      <c r="BK158" s="6">
        <f t="shared" si="15"/>
        <v>0</v>
      </c>
      <c r="BL158" s="6">
        <f t="shared" si="16"/>
        <v>0</v>
      </c>
      <c r="BM158" s="6">
        <f t="shared" si="17"/>
        <v>0</v>
      </c>
      <c r="BN158" s="6">
        <f t="shared" si="18"/>
        <v>0</v>
      </c>
      <c r="BP158" s="6">
        <f t="shared" si="19"/>
        <v>0</v>
      </c>
      <c r="BQ158" s="6" t="b">
        <f ca="1">IFERROR(__xludf.DUMMYFUNCTION("IF(AND(ISERROR(FILTER('Items by Team'!D$2:D3410,'Items by Team'!C$2:C3410 = D158,'Items by Team'!B$2:B3410 = B158)),NOT(A158=""Practice"")),TRUE,FALSE)"),FALSE)</f>
        <v>0</v>
      </c>
      <c r="BR158" s="6">
        <f t="shared" ca="1" si="20"/>
        <v>0</v>
      </c>
    </row>
    <row r="159" spans="1:70">
      <c r="A159" s="6"/>
      <c r="B159" s="6"/>
      <c r="C159" s="6"/>
      <c r="D159" s="6"/>
      <c r="E159" s="6"/>
      <c r="F159" s="6"/>
      <c r="G159" s="6"/>
      <c r="H159" s="6"/>
      <c r="I159" s="6"/>
      <c r="J159" s="6"/>
      <c r="K159" s="6"/>
      <c r="L159" s="6"/>
      <c r="M159" s="6"/>
      <c r="N159" s="6"/>
      <c r="O159" s="6"/>
      <c r="P159" s="6"/>
      <c r="R159" s="6"/>
      <c r="S159" s="6"/>
      <c r="T159" s="6"/>
      <c r="U159" s="6"/>
      <c r="V159" s="6"/>
      <c r="W159" s="6"/>
      <c r="X159" s="6"/>
      <c r="Y159" s="6"/>
      <c r="Z159" s="6"/>
      <c r="AA159" s="6"/>
      <c r="AB159" s="6"/>
      <c r="AD159" s="6"/>
      <c r="AE159" s="6"/>
      <c r="AF159" s="6"/>
      <c r="AG159" s="6"/>
      <c r="AH159" s="6"/>
      <c r="AI159" s="6"/>
      <c r="AK159" s="6"/>
      <c r="AL159" s="6"/>
      <c r="AM159" s="6"/>
      <c r="AN159" s="6"/>
      <c r="AO159" s="6"/>
      <c r="AP159" s="6"/>
      <c r="AQ159" s="6"/>
      <c r="AR159" s="6"/>
      <c r="AS159" s="15"/>
      <c r="AT159" s="6" t="str">
        <f ca="1">IFERROR(__xludf.DUMMYFUNCTION("SWITCH(IF(A159=""Practice"",AN159,FILTER('Items by Team'!E$2:E3410,'Items by Team'!C$2:C3410=D159,B159='Items by Team'!B$2:B3410)),""None"",""No"",""Parked"",""P"",""ShallowCage"",""Sc"",""DeepCage"",""Dc"",""No"",""No"",""P"",""P"",""Sc"",""Sc"",""Dc"","&amp;"""Dc"")"),"#REF!")</f>
        <v>#REF!</v>
      </c>
      <c r="AU159" s="6" t="str">
        <f ca="1">IFERROR(__xludf.DUMMYFUNCTION("SWITCH(IF(A159 = ""Practice"", H159, FILTER('Items by Team'!D$2:D3410,'Items by Team'!C$2:C3410 = D159,'Items by Team'!B$2:B3410 = B159)), ""Yes"", ""TRUE"", ""No"", ""FALSE"",TRUE, ""TRUE"", FALSE, ""FALSE"")"),"#REF!")</f>
        <v>#REF!</v>
      </c>
      <c r="AV159" s="6">
        <f t="shared" si="0"/>
        <v>0</v>
      </c>
      <c r="AW159" s="6">
        <f t="shared" si="1"/>
        <v>0</v>
      </c>
      <c r="AX159" s="6">
        <f t="shared" si="2"/>
        <v>0</v>
      </c>
      <c r="AY159" s="6">
        <f t="shared" si="3"/>
        <v>0</v>
      </c>
      <c r="AZ159" s="9" t="str">
        <f t="shared" si="4"/>
        <v/>
      </c>
      <c r="BA159" s="6">
        <f t="shared" si="5"/>
        <v>0</v>
      </c>
      <c r="BB159" s="6">
        <f t="shared" si="6"/>
        <v>0</v>
      </c>
      <c r="BC159" s="9" t="str">
        <f t="shared" si="7"/>
        <v/>
      </c>
      <c r="BD159" s="6">
        <f t="shared" si="8"/>
        <v>0</v>
      </c>
      <c r="BE159" s="6">
        <f t="shared" si="9"/>
        <v>0</v>
      </c>
      <c r="BF159" s="9" t="str">
        <f t="shared" si="10"/>
        <v/>
      </c>
      <c r="BG159" s="6">
        <f t="shared" si="11"/>
        <v>0</v>
      </c>
      <c r="BH159" s="6">
        <f t="shared" si="12"/>
        <v>0</v>
      </c>
      <c r="BI159" s="9" t="str">
        <f t="shared" si="13"/>
        <v/>
      </c>
      <c r="BJ159" s="6">
        <f t="shared" si="14"/>
        <v>0</v>
      </c>
      <c r="BK159" s="6">
        <f t="shared" si="15"/>
        <v>0</v>
      </c>
      <c r="BL159" s="6">
        <f t="shared" si="16"/>
        <v>0</v>
      </c>
      <c r="BM159" s="6">
        <f t="shared" si="17"/>
        <v>0</v>
      </c>
      <c r="BN159" s="6">
        <f t="shared" si="18"/>
        <v>0</v>
      </c>
      <c r="BP159" s="6">
        <f t="shared" si="19"/>
        <v>0</v>
      </c>
      <c r="BQ159" s="6" t="b">
        <f ca="1">IFERROR(__xludf.DUMMYFUNCTION("IF(AND(ISERROR(FILTER('Items by Team'!D$2:D3410,'Items by Team'!C$2:C3410 = D159,'Items by Team'!B$2:B3410 = B159)),NOT(A159=""Practice"")),TRUE,FALSE)"),FALSE)</f>
        <v>0</v>
      </c>
      <c r="BR159" s="6">
        <f t="shared" ca="1" si="20"/>
        <v>0</v>
      </c>
    </row>
    <row r="160" spans="1:70">
      <c r="A160" s="6"/>
      <c r="B160" s="6"/>
      <c r="C160" s="6"/>
      <c r="D160" s="6"/>
      <c r="E160" s="6"/>
      <c r="F160" s="6"/>
      <c r="G160" s="6"/>
      <c r="H160" s="6"/>
      <c r="I160" s="6"/>
      <c r="J160" s="6"/>
      <c r="K160" s="6"/>
      <c r="L160" s="6"/>
      <c r="M160" s="6"/>
      <c r="N160" s="6"/>
      <c r="O160" s="6"/>
      <c r="P160" s="6"/>
      <c r="R160" s="6"/>
      <c r="S160" s="6"/>
      <c r="T160" s="6"/>
      <c r="U160" s="6"/>
      <c r="V160" s="6"/>
      <c r="W160" s="6"/>
      <c r="X160" s="6"/>
      <c r="Y160" s="6"/>
      <c r="Z160" s="6"/>
      <c r="AA160" s="6"/>
      <c r="AB160" s="6"/>
      <c r="AD160" s="6"/>
      <c r="AE160" s="6"/>
      <c r="AF160" s="6"/>
      <c r="AG160" s="6"/>
      <c r="AH160" s="6"/>
      <c r="AI160" s="6"/>
      <c r="AK160" s="6"/>
      <c r="AL160" s="6"/>
      <c r="AM160" s="6"/>
      <c r="AN160" s="6"/>
      <c r="AO160" s="6"/>
      <c r="AP160" s="6"/>
      <c r="AQ160" s="6"/>
      <c r="AR160" s="6"/>
      <c r="AS160" s="15"/>
      <c r="AT160" s="6" t="str">
        <f ca="1">IFERROR(__xludf.DUMMYFUNCTION("SWITCH(IF(A160=""Practice"",AN160,FILTER('Items by Team'!E$2:E3410,'Items by Team'!C$2:C3410=D160,B160='Items by Team'!B$2:B3410)),""None"",""No"",""Parked"",""P"",""ShallowCage"",""Sc"",""DeepCage"",""Dc"",""No"",""No"",""P"",""P"",""Sc"",""Sc"",""Dc"","&amp;"""Dc"")"),"#REF!")</f>
        <v>#REF!</v>
      </c>
      <c r="AU160" s="6" t="str">
        <f ca="1">IFERROR(__xludf.DUMMYFUNCTION("SWITCH(IF(A160 = ""Practice"", H160, FILTER('Items by Team'!D$2:D3410,'Items by Team'!C$2:C3410 = D160,'Items by Team'!B$2:B3410 = B160)), ""Yes"", ""TRUE"", ""No"", ""FALSE"",TRUE, ""TRUE"", FALSE, ""FALSE"")"),"#REF!")</f>
        <v>#REF!</v>
      </c>
      <c r="AV160" s="6">
        <f t="shared" si="0"/>
        <v>0</v>
      </c>
      <c r="AW160" s="6">
        <f t="shared" si="1"/>
        <v>0</v>
      </c>
      <c r="AX160" s="6">
        <f t="shared" si="2"/>
        <v>0</v>
      </c>
      <c r="AY160" s="6">
        <f t="shared" si="3"/>
        <v>0</v>
      </c>
      <c r="AZ160" s="9" t="str">
        <f t="shared" si="4"/>
        <v/>
      </c>
      <c r="BA160" s="6">
        <f t="shared" si="5"/>
        <v>0</v>
      </c>
      <c r="BB160" s="6">
        <f t="shared" si="6"/>
        <v>0</v>
      </c>
      <c r="BC160" s="9" t="str">
        <f t="shared" si="7"/>
        <v/>
      </c>
      <c r="BD160" s="6">
        <f t="shared" si="8"/>
        <v>0</v>
      </c>
      <c r="BE160" s="6">
        <f t="shared" si="9"/>
        <v>0</v>
      </c>
      <c r="BF160" s="9" t="str">
        <f t="shared" si="10"/>
        <v/>
      </c>
      <c r="BG160" s="6">
        <f t="shared" si="11"/>
        <v>0</v>
      </c>
      <c r="BH160" s="6">
        <f t="shared" si="12"/>
        <v>0</v>
      </c>
      <c r="BI160" s="9" t="str">
        <f t="shared" si="13"/>
        <v/>
      </c>
      <c r="BJ160" s="6">
        <f t="shared" si="14"/>
        <v>0</v>
      </c>
      <c r="BK160" s="6">
        <f t="shared" si="15"/>
        <v>0</v>
      </c>
      <c r="BL160" s="6">
        <f t="shared" si="16"/>
        <v>0</v>
      </c>
      <c r="BM160" s="6">
        <f t="shared" si="17"/>
        <v>0</v>
      </c>
      <c r="BN160" s="6">
        <f t="shared" si="18"/>
        <v>0</v>
      </c>
      <c r="BP160" s="6">
        <f t="shared" si="19"/>
        <v>0</v>
      </c>
      <c r="BQ160" s="6" t="b">
        <f ca="1">IFERROR(__xludf.DUMMYFUNCTION("IF(AND(ISERROR(FILTER('Items by Team'!D$2:D3410,'Items by Team'!C$2:C3410 = D160,'Items by Team'!B$2:B3410 = B160)),NOT(A160=""Practice"")),TRUE,FALSE)"),FALSE)</f>
        <v>0</v>
      </c>
      <c r="BR160" s="6">
        <f t="shared" ca="1" si="20"/>
        <v>0</v>
      </c>
    </row>
    <row r="161" spans="1:70">
      <c r="A161" s="6"/>
      <c r="B161" s="6"/>
      <c r="C161" s="6"/>
      <c r="D161" s="6"/>
      <c r="E161" s="6"/>
      <c r="F161" s="6"/>
      <c r="G161" s="6"/>
      <c r="H161" s="6"/>
      <c r="I161" s="6"/>
      <c r="J161" s="6"/>
      <c r="K161" s="6"/>
      <c r="L161" s="6"/>
      <c r="M161" s="6"/>
      <c r="N161" s="6"/>
      <c r="O161" s="6"/>
      <c r="P161" s="6"/>
      <c r="R161" s="6"/>
      <c r="S161" s="6"/>
      <c r="T161" s="6"/>
      <c r="U161" s="6"/>
      <c r="V161" s="6"/>
      <c r="W161" s="6"/>
      <c r="X161" s="6"/>
      <c r="Y161" s="6"/>
      <c r="Z161" s="6"/>
      <c r="AA161" s="6"/>
      <c r="AB161" s="6"/>
      <c r="AD161" s="6"/>
      <c r="AE161" s="6"/>
      <c r="AF161" s="6"/>
      <c r="AG161" s="6"/>
      <c r="AH161" s="6"/>
      <c r="AI161" s="6"/>
      <c r="AK161" s="6"/>
      <c r="AL161" s="6"/>
      <c r="AM161" s="6"/>
      <c r="AN161" s="6"/>
      <c r="AO161" s="6"/>
      <c r="AP161" s="6"/>
      <c r="AQ161" s="6"/>
      <c r="AR161" s="6"/>
      <c r="AS161" s="15"/>
      <c r="AT161" s="6" t="str">
        <f ca="1">IFERROR(__xludf.DUMMYFUNCTION("SWITCH(IF(A161=""Practice"",AN161,FILTER('Items by Team'!E$2:E3410,'Items by Team'!C$2:C3410=D161,B161='Items by Team'!B$2:B3410)),""None"",""No"",""Parked"",""P"",""ShallowCage"",""Sc"",""DeepCage"",""Dc"",""No"",""No"",""P"",""P"",""Sc"",""Sc"",""Dc"","&amp;"""Dc"")"),"#REF!")</f>
        <v>#REF!</v>
      </c>
      <c r="AU161" s="6" t="str">
        <f ca="1">IFERROR(__xludf.DUMMYFUNCTION("SWITCH(IF(A161 = ""Practice"", H161, FILTER('Items by Team'!D$2:D3410,'Items by Team'!C$2:C3410 = D161,'Items by Team'!B$2:B3410 = B161)), ""Yes"", ""TRUE"", ""No"", ""FALSE"",TRUE, ""TRUE"", FALSE, ""FALSE"")"),"#REF!")</f>
        <v>#REF!</v>
      </c>
      <c r="AV161" s="6">
        <f t="shared" si="0"/>
        <v>0</v>
      </c>
      <c r="AW161" s="6">
        <f t="shared" si="1"/>
        <v>0</v>
      </c>
      <c r="AX161" s="6">
        <f t="shared" si="2"/>
        <v>0</v>
      </c>
      <c r="AY161" s="6">
        <f t="shared" si="3"/>
        <v>0</v>
      </c>
      <c r="AZ161" s="9" t="str">
        <f t="shared" si="4"/>
        <v/>
      </c>
      <c r="BA161" s="6">
        <f t="shared" si="5"/>
        <v>0</v>
      </c>
      <c r="BB161" s="6">
        <f t="shared" si="6"/>
        <v>0</v>
      </c>
      <c r="BC161" s="9" t="str">
        <f t="shared" si="7"/>
        <v/>
      </c>
      <c r="BD161" s="6">
        <f t="shared" si="8"/>
        <v>0</v>
      </c>
      <c r="BE161" s="6">
        <f t="shared" si="9"/>
        <v>0</v>
      </c>
      <c r="BF161" s="9" t="str">
        <f t="shared" si="10"/>
        <v/>
      </c>
      <c r="BG161" s="6">
        <f t="shared" si="11"/>
        <v>0</v>
      </c>
      <c r="BH161" s="6">
        <f t="shared" si="12"/>
        <v>0</v>
      </c>
      <c r="BI161" s="9" t="str">
        <f t="shared" si="13"/>
        <v/>
      </c>
      <c r="BJ161" s="6">
        <f t="shared" si="14"/>
        <v>0</v>
      </c>
      <c r="BK161" s="6">
        <f t="shared" si="15"/>
        <v>0</v>
      </c>
      <c r="BL161" s="6">
        <f t="shared" si="16"/>
        <v>0</v>
      </c>
      <c r="BM161" s="6">
        <f t="shared" si="17"/>
        <v>0</v>
      </c>
      <c r="BN161" s="6">
        <f t="shared" si="18"/>
        <v>0</v>
      </c>
      <c r="BP161" s="6">
        <f t="shared" si="19"/>
        <v>0</v>
      </c>
      <c r="BQ161" s="6" t="b">
        <f ca="1">IFERROR(__xludf.DUMMYFUNCTION("IF(AND(ISERROR(FILTER('Items by Team'!D$2:D3410,'Items by Team'!C$2:C3410 = D161,'Items by Team'!B$2:B3410 = B161)),NOT(A161=""Practice"")),TRUE,FALSE)"),FALSE)</f>
        <v>0</v>
      </c>
      <c r="BR161" s="6">
        <f t="shared" ca="1" si="20"/>
        <v>0</v>
      </c>
    </row>
    <row r="162" spans="1:70">
      <c r="A162" s="6"/>
      <c r="B162" s="6"/>
      <c r="C162" s="6"/>
      <c r="D162" s="6"/>
      <c r="E162" s="6"/>
      <c r="F162" s="6"/>
      <c r="G162" s="6"/>
      <c r="H162" s="6"/>
      <c r="I162" s="6"/>
      <c r="J162" s="6"/>
      <c r="K162" s="6"/>
      <c r="L162" s="6"/>
      <c r="M162" s="6"/>
      <c r="N162" s="6"/>
      <c r="O162" s="6"/>
      <c r="P162" s="6"/>
      <c r="R162" s="6"/>
      <c r="S162" s="6"/>
      <c r="T162" s="6"/>
      <c r="U162" s="6"/>
      <c r="V162" s="6"/>
      <c r="W162" s="6"/>
      <c r="X162" s="6"/>
      <c r="Y162" s="6"/>
      <c r="Z162" s="6"/>
      <c r="AA162" s="6"/>
      <c r="AB162" s="6"/>
      <c r="AD162" s="6"/>
      <c r="AE162" s="6"/>
      <c r="AF162" s="6"/>
      <c r="AG162" s="6"/>
      <c r="AH162" s="6"/>
      <c r="AI162" s="6"/>
      <c r="AK162" s="6"/>
      <c r="AL162" s="6"/>
      <c r="AM162" s="6"/>
      <c r="AN162" s="6"/>
      <c r="AO162" s="6"/>
      <c r="AP162" s="6"/>
      <c r="AQ162" s="6"/>
      <c r="AR162" s="6"/>
      <c r="AS162" s="15"/>
      <c r="AT162" s="6" t="str">
        <f ca="1">IFERROR(__xludf.DUMMYFUNCTION("SWITCH(IF(A162=""Practice"",AN162,FILTER('Items by Team'!E$2:E3410,'Items by Team'!C$2:C3410=D162,B162='Items by Team'!B$2:B3410)),""None"",""No"",""Parked"",""P"",""ShallowCage"",""Sc"",""DeepCage"",""Dc"",""No"",""No"",""P"",""P"",""Sc"",""Sc"",""Dc"","&amp;"""Dc"")"),"#REF!")</f>
        <v>#REF!</v>
      </c>
      <c r="AU162" s="6" t="str">
        <f ca="1">IFERROR(__xludf.DUMMYFUNCTION("SWITCH(IF(A162 = ""Practice"", H162, FILTER('Items by Team'!D$2:D3410,'Items by Team'!C$2:C3410 = D162,'Items by Team'!B$2:B3410 = B162)), ""Yes"", ""TRUE"", ""No"", ""FALSE"",TRUE, ""TRUE"", FALSE, ""FALSE"")"),"#REF!")</f>
        <v>#REF!</v>
      </c>
      <c r="AV162" s="6">
        <f t="shared" si="0"/>
        <v>0</v>
      </c>
      <c r="AW162" s="6">
        <f t="shared" si="1"/>
        <v>0</v>
      </c>
      <c r="AX162" s="6">
        <f t="shared" si="2"/>
        <v>0</v>
      </c>
      <c r="AY162" s="6">
        <f t="shared" si="3"/>
        <v>0</v>
      </c>
      <c r="AZ162" s="9" t="str">
        <f t="shared" si="4"/>
        <v/>
      </c>
      <c r="BA162" s="6">
        <f t="shared" si="5"/>
        <v>0</v>
      </c>
      <c r="BB162" s="6">
        <f t="shared" si="6"/>
        <v>0</v>
      </c>
      <c r="BC162" s="9" t="str">
        <f t="shared" si="7"/>
        <v/>
      </c>
      <c r="BD162" s="6">
        <f t="shared" si="8"/>
        <v>0</v>
      </c>
      <c r="BE162" s="6">
        <f t="shared" si="9"/>
        <v>0</v>
      </c>
      <c r="BF162" s="9" t="str">
        <f t="shared" si="10"/>
        <v/>
      </c>
      <c r="BG162" s="6">
        <f t="shared" si="11"/>
        <v>0</v>
      </c>
      <c r="BH162" s="6">
        <f t="shared" si="12"/>
        <v>0</v>
      </c>
      <c r="BI162" s="9" t="str">
        <f t="shared" si="13"/>
        <v/>
      </c>
      <c r="BJ162" s="6">
        <f t="shared" si="14"/>
        <v>0</v>
      </c>
      <c r="BK162" s="6">
        <f t="shared" si="15"/>
        <v>0</v>
      </c>
      <c r="BL162" s="6">
        <f t="shared" si="16"/>
        <v>0</v>
      </c>
      <c r="BM162" s="6">
        <f t="shared" si="17"/>
        <v>0</v>
      </c>
      <c r="BN162" s="6">
        <f t="shared" si="18"/>
        <v>0</v>
      </c>
      <c r="BP162" s="6">
        <f t="shared" si="19"/>
        <v>0</v>
      </c>
      <c r="BQ162" s="6" t="b">
        <f ca="1">IFERROR(__xludf.DUMMYFUNCTION("IF(AND(ISERROR(FILTER('Items by Team'!D$2:D3410,'Items by Team'!C$2:C3410 = D162,'Items by Team'!B$2:B3410 = B162)),NOT(A162=""Practice"")),TRUE,FALSE)"),FALSE)</f>
        <v>0</v>
      </c>
      <c r="BR162" s="6">
        <f t="shared" ca="1" si="20"/>
        <v>0</v>
      </c>
    </row>
    <row r="163" spans="1:70">
      <c r="A163" s="6"/>
      <c r="B163" s="6"/>
      <c r="C163" s="6"/>
      <c r="D163" s="6"/>
      <c r="E163" s="6"/>
      <c r="F163" s="6"/>
      <c r="G163" s="6"/>
      <c r="H163" s="6"/>
      <c r="I163" s="6"/>
      <c r="J163" s="6"/>
      <c r="K163" s="6"/>
      <c r="L163" s="6"/>
      <c r="M163" s="6"/>
      <c r="N163" s="6"/>
      <c r="O163" s="6"/>
      <c r="P163" s="6"/>
      <c r="R163" s="6"/>
      <c r="S163" s="6"/>
      <c r="T163" s="6"/>
      <c r="U163" s="6"/>
      <c r="V163" s="6"/>
      <c r="W163" s="6"/>
      <c r="X163" s="6"/>
      <c r="Y163" s="6"/>
      <c r="Z163" s="6"/>
      <c r="AA163" s="6"/>
      <c r="AB163" s="6"/>
      <c r="AD163" s="6"/>
      <c r="AE163" s="6"/>
      <c r="AF163" s="6"/>
      <c r="AG163" s="6"/>
      <c r="AH163" s="6"/>
      <c r="AI163" s="6"/>
      <c r="AK163" s="6"/>
      <c r="AL163" s="6"/>
      <c r="AM163" s="6"/>
      <c r="AN163" s="6"/>
      <c r="AO163" s="6"/>
      <c r="AP163" s="6"/>
      <c r="AQ163" s="6"/>
      <c r="AR163" s="6"/>
      <c r="AS163" s="15"/>
      <c r="AT163" s="6" t="str">
        <f ca="1">IFERROR(__xludf.DUMMYFUNCTION("SWITCH(IF(A163=""Practice"",AN163,FILTER('Items by Team'!E$2:E3410,'Items by Team'!C$2:C3410=D163,B163='Items by Team'!B$2:B3410)),""None"",""No"",""Parked"",""P"",""ShallowCage"",""Sc"",""DeepCage"",""Dc"",""No"",""No"",""P"",""P"",""Sc"",""Sc"",""Dc"","&amp;"""Dc"")"),"#REF!")</f>
        <v>#REF!</v>
      </c>
      <c r="AU163" s="6" t="str">
        <f ca="1">IFERROR(__xludf.DUMMYFUNCTION("SWITCH(IF(A163 = ""Practice"", H163, FILTER('Items by Team'!D$2:D3410,'Items by Team'!C$2:C3410 = D163,'Items by Team'!B$2:B3410 = B163)), ""Yes"", ""TRUE"", ""No"", ""FALSE"",TRUE, ""TRUE"", FALSE, ""FALSE"")"),"#REF!")</f>
        <v>#REF!</v>
      </c>
      <c r="AV163" s="6">
        <f t="shared" si="0"/>
        <v>0</v>
      </c>
      <c r="AW163" s="6">
        <f t="shared" si="1"/>
        <v>0</v>
      </c>
      <c r="AX163" s="6">
        <f t="shared" si="2"/>
        <v>0</v>
      </c>
      <c r="AY163" s="6">
        <f t="shared" si="3"/>
        <v>0</v>
      </c>
      <c r="AZ163" s="9" t="str">
        <f t="shared" si="4"/>
        <v/>
      </c>
      <c r="BA163" s="6">
        <f t="shared" si="5"/>
        <v>0</v>
      </c>
      <c r="BB163" s="6">
        <f t="shared" si="6"/>
        <v>0</v>
      </c>
      <c r="BC163" s="9" t="str">
        <f t="shared" si="7"/>
        <v/>
      </c>
      <c r="BD163" s="6">
        <f t="shared" si="8"/>
        <v>0</v>
      </c>
      <c r="BE163" s="6">
        <f t="shared" si="9"/>
        <v>0</v>
      </c>
      <c r="BF163" s="9" t="str">
        <f t="shared" si="10"/>
        <v/>
      </c>
      <c r="BG163" s="6">
        <f t="shared" si="11"/>
        <v>0</v>
      </c>
      <c r="BH163" s="6">
        <f t="shared" si="12"/>
        <v>0</v>
      </c>
      <c r="BI163" s="9" t="str">
        <f t="shared" si="13"/>
        <v/>
      </c>
      <c r="BJ163" s="6">
        <f t="shared" si="14"/>
        <v>0</v>
      </c>
      <c r="BK163" s="6">
        <f t="shared" si="15"/>
        <v>0</v>
      </c>
      <c r="BL163" s="6">
        <f t="shared" si="16"/>
        <v>0</v>
      </c>
      <c r="BM163" s="6">
        <f t="shared" si="17"/>
        <v>0</v>
      </c>
      <c r="BN163" s="6">
        <f t="shared" si="18"/>
        <v>0</v>
      </c>
      <c r="BP163" s="6">
        <f t="shared" si="19"/>
        <v>0</v>
      </c>
      <c r="BQ163" s="6" t="b">
        <f ca="1">IFERROR(__xludf.DUMMYFUNCTION("IF(AND(ISERROR(FILTER('Items by Team'!D$2:D3410,'Items by Team'!C$2:C3410 = D163,'Items by Team'!B$2:B3410 = B163)),NOT(A163=""Practice"")),TRUE,FALSE)"),FALSE)</f>
        <v>0</v>
      </c>
      <c r="BR163" s="6">
        <f t="shared" ca="1" si="20"/>
        <v>0</v>
      </c>
    </row>
    <row r="164" spans="1:70">
      <c r="A164" s="6"/>
      <c r="B164" s="6"/>
      <c r="C164" s="6"/>
      <c r="D164" s="6"/>
      <c r="E164" s="6"/>
      <c r="F164" s="6"/>
      <c r="G164" s="6"/>
      <c r="H164" s="6"/>
      <c r="I164" s="6"/>
      <c r="J164" s="6"/>
      <c r="K164" s="6"/>
      <c r="L164" s="6"/>
      <c r="M164" s="6"/>
      <c r="N164" s="6"/>
      <c r="O164" s="6"/>
      <c r="P164" s="6"/>
      <c r="R164" s="6"/>
      <c r="S164" s="6"/>
      <c r="T164" s="6"/>
      <c r="U164" s="6"/>
      <c r="V164" s="6"/>
      <c r="W164" s="6"/>
      <c r="X164" s="6"/>
      <c r="Y164" s="6"/>
      <c r="Z164" s="6"/>
      <c r="AA164" s="6"/>
      <c r="AB164" s="6"/>
      <c r="AD164" s="6"/>
      <c r="AE164" s="6"/>
      <c r="AF164" s="6"/>
      <c r="AG164" s="6"/>
      <c r="AH164" s="6"/>
      <c r="AI164" s="6"/>
      <c r="AK164" s="6"/>
      <c r="AL164" s="6"/>
      <c r="AM164" s="6"/>
      <c r="AN164" s="6"/>
      <c r="AO164" s="6"/>
      <c r="AP164" s="6"/>
      <c r="AQ164" s="6"/>
      <c r="AR164" s="6"/>
      <c r="AS164" s="15"/>
      <c r="AT164" s="6" t="str">
        <f ca="1">IFERROR(__xludf.DUMMYFUNCTION("SWITCH(IF(A164=""Practice"",AN164,FILTER('Items by Team'!E$2:E3410,'Items by Team'!C$2:C3410=D164,B164='Items by Team'!B$2:B3410)),""None"",""No"",""Parked"",""P"",""ShallowCage"",""Sc"",""DeepCage"",""Dc"",""No"",""No"",""P"",""P"",""Sc"",""Sc"",""Dc"","&amp;"""Dc"")"),"#REF!")</f>
        <v>#REF!</v>
      </c>
      <c r="AU164" s="6" t="str">
        <f ca="1">IFERROR(__xludf.DUMMYFUNCTION("SWITCH(IF(A164 = ""Practice"", H164, FILTER('Items by Team'!D$2:D3410,'Items by Team'!C$2:C3410 = D164,'Items by Team'!B$2:B3410 = B164)), ""Yes"", ""TRUE"", ""No"", ""FALSE"",TRUE, ""TRUE"", FALSE, ""FALSE"")"),"#REF!")</f>
        <v>#REF!</v>
      </c>
      <c r="AV164" s="6">
        <f t="shared" si="0"/>
        <v>0</v>
      </c>
      <c r="AW164" s="6">
        <f t="shared" si="1"/>
        <v>0</v>
      </c>
      <c r="AX164" s="6">
        <f t="shared" si="2"/>
        <v>0</v>
      </c>
      <c r="AY164" s="6">
        <f t="shared" si="3"/>
        <v>0</v>
      </c>
      <c r="AZ164" s="9" t="str">
        <f t="shared" si="4"/>
        <v/>
      </c>
      <c r="BA164" s="6">
        <f t="shared" si="5"/>
        <v>0</v>
      </c>
      <c r="BB164" s="6">
        <f t="shared" si="6"/>
        <v>0</v>
      </c>
      <c r="BC164" s="9" t="str">
        <f t="shared" si="7"/>
        <v/>
      </c>
      <c r="BD164" s="6">
        <f t="shared" si="8"/>
        <v>0</v>
      </c>
      <c r="BE164" s="6">
        <f t="shared" si="9"/>
        <v>0</v>
      </c>
      <c r="BF164" s="9" t="str">
        <f t="shared" si="10"/>
        <v/>
      </c>
      <c r="BG164" s="6">
        <f t="shared" si="11"/>
        <v>0</v>
      </c>
      <c r="BH164" s="6">
        <f t="shared" si="12"/>
        <v>0</v>
      </c>
      <c r="BI164" s="9" t="str">
        <f t="shared" si="13"/>
        <v/>
      </c>
      <c r="BJ164" s="6">
        <f t="shared" si="14"/>
        <v>0</v>
      </c>
      <c r="BK164" s="6">
        <f t="shared" si="15"/>
        <v>0</v>
      </c>
      <c r="BL164" s="6">
        <f t="shared" si="16"/>
        <v>0</v>
      </c>
      <c r="BM164" s="6">
        <f t="shared" si="17"/>
        <v>0</v>
      </c>
      <c r="BN164" s="6">
        <f t="shared" si="18"/>
        <v>0</v>
      </c>
      <c r="BP164" s="6">
        <f t="shared" si="19"/>
        <v>0</v>
      </c>
      <c r="BQ164" s="6" t="b">
        <f ca="1">IFERROR(__xludf.DUMMYFUNCTION("IF(AND(ISERROR(FILTER('Items by Team'!D$2:D3410,'Items by Team'!C$2:C3410 = D164,'Items by Team'!B$2:B3410 = B164)),NOT(A164=""Practice"")),TRUE,FALSE)"),FALSE)</f>
        <v>0</v>
      </c>
      <c r="BR164" s="6">
        <f t="shared" ca="1" si="20"/>
        <v>0</v>
      </c>
    </row>
    <row r="165" spans="1:70">
      <c r="A165" s="6"/>
      <c r="B165" s="6"/>
      <c r="C165" s="6"/>
      <c r="D165" s="6"/>
      <c r="E165" s="6"/>
      <c r="F165" s="6"/>
      <c r="G165" s="6"/>
      <c r="H165" s="6"/>
      <c r="I165" s="6"/>
      <c r="J165" s="6"/>
      <c r="K165" s="6"/>
      <c r="L165" s="6"/>
      <c r="M165" s="6"/>
      <c r="N165" s="6"/>
      <c r="O165" s="6"/>
      <c r="P165" s="6"/>
      <c r="R165" s="6"/>
      <c r="S165" s="6"/>
      <c r="T165" s="6"/>
      <c r="U165" s="6"/>
      <c r="V165" s="6"/>
      <c r="W165" s="6"/>
      <c r="X165" s="6"/>
      <c r="Y165" s="6"/>
      <c r="Z165" s="6"/>
      <c r="AA165" s="6"/>
      <c r="AB165" s="6"/>
      <c r="AD165" s="6"/>
      <c r="AE165" s="6"/>
      <c r="AF165" s="6"/>
      <c r="AG165" s="6"/>
      <c r="AH165" s="6"/>
      <c r="AI165" s="6"/>
      <c r="AK165" s="6"/>
      <c r="AL165" s="6"/>
      <c r="AM165" s="6"/>
      <c r="AN165" s="6"/>
      <c r="AO165" s="6"/>
      <c r="AP165" s="6"/>
      <c r="AQ165" s="6"/>
      <c r="AR165" s="6"/>
      <c r="AS165" s="15"/>
      <c r="AT165" s="6" t="str">
        <f ca="1">IFERROR(__xludf.DUMMYFUNCTION("SWITCH(IF(A165=""Practice"",AN165,FILTER('Items by Team'!E$2:E3410,'Items by Team'!C$2:C3410=D165,B165='Items by Team'!B$2:B3410)),""None"",""No"",""Parked"",""P"",""ShallowCage"",""Sc"",""DeepCage"",""Dc"",""No"",""No"",""P"",""P"",""Sc"",""Sc"",""Dc"","&amp;"""Dc"")"),"#REF!")</f>
        <v>#REF!</v>
      </c>
      <c r="AU165" s="6" t="str">
        <f ca="1">IFERROR(__xludf.DUMMYFUNCTION("SWITCH(IF(A165 = ""Practice"", H165, FILTER('Items by Team'!D$2:D3410,'Items by Team'!C$2:C3410 = D165,'Items by Team'!B$2:B3410 = B165)), ""Yes"", ""TRUE"", ""No"", ""FALSE"",TRUE, ""TRUE"", FALSE, ""FALSE"")"),"#REF!")</f>
        <v>#REF!</v>
      </c>
      <c r="AV165" s="6">
        <f t="shared" si="0"/>
        <v>0</v>
      </c>
      <c r="AW165" s="6">
        <f t="shared" si="1"/>
        <v>0</v>
      </c>
      <c r="AX165" s="6">
        <f t="shared" si="2"/>
        <v>0</v>
      </c>
      <c r="AY165" s="6">
        <f t="shared" si="3"/>
        <v>0</v>
      </c>
      <c r="AZ165" s="9" t="str">
        <f t="shared" si="4"/>
        <v/>
      </c>
      <c r="BA165" s="6">
        <f t="shared" si="5"/>
        <v>0</v>
      </c>
      <c r="BB165" s="6">
        <f t="shared" si="6"/>
        <v>0</v>
      </c>
      <c r="BC165" s="9" t="str">
        <f t="shared" si="7"/>
        <v/>
      </c>
      <c r="BD165" s="6">
        <f t="shared" si="8"/>
        <v>0</v>
      </c>
      <c r="BE165" s="6">
        <f t="shared" si="9"/>
        <v>0</v>
      </c>
      <c r="BF165" s="9" t="str">
        <f t="shared" si="10"/>
        <v/>
      </c>
      <c r="BG165" s="6">
        <f t="shared" si="11"/>
        <v>0</v>
      </c>
      <c r="BH165" s="6">
        <f t="shared" si="12"/>
        <v>0</v>
      </c>
      <c r="BI165" s="9" t="str">
        <f t="shared" si="13"/>
        <v/>
      </c>
      <c r="BJ165" s="6">
        <f t="shared" si="14"/>
        <v>0</v>
      </c>
      <c r="BK165" s="6">
        <f t="shared" si="15"/>
        <v>0</v>
      </c>
      <c r="BL165" s="6">
        <f t="shared" si="16"/>
        <v>0</v>
      </c>
      <c r="BM165" s="6">
        <f t="shared" si="17"/>
        <v>0</v>
      </c>
      <c r="BN165" s="6">
        <f t="shared" si="18"/>
        <v>0</v>
      </c>
      <c r="BP165" s="6">
        <f t="shared" si="19"/>
        <v>0</v>
      </c>
      <c r="BQ165" s="6" t="b">
        <f ca="1">IFERROR(__xludf.DUMMYFUNCTION("IF(AND(ISERROR(FILTER('Items by Team'!D$2:D3410,'Items by Team'!C$2:C3410 = D165,'Items by Team'!B$2:B3410 = B165)),NOT(A165=""Practice"")),TRUE,FALSE)"),FALSE)</f>
        <v>0</v>
      </c>
      <c r="BR165" s="6">
        <f t="shared" ca="1" si="20"/>
        <v>0</v>
      </c>
    </row>
    <row r="166" spans="1:70">
      <c r="A166" s="6"/>
      <c r="B166" s="6"/>
      <c r="C166" s="6"/>
      <c r="D166" s="6"/>
      <c r="E166" s="6"/>
      <c r="F166" s="6"/>
      <c r="G166" s="6"/>
      <c r="H166" s="6"/>
      <c r="I166" s="6"/>
      <c r="J166" s="6"/>
      <c r="K166" s="6"/>
      <c r="L166" s="6"/>
      <c r="M166" s="6"/>
      <c r="N166" s="6"/>
      <c r="O166" s="6"/>
      <c r="P166" s="6"/>
      <c r="R166" s="6"/>
      <c r="S166" s="6"/>
      <c r="T166" s="6"/>
      <c r="U166" s="6"/>
      <c r="V166" s="6"/>
      <c r="W166" s="6"/>
      <c r="X166" s="6"/>
      <c r="Y166" s="6"/>
      <c r="Z166" s="6"/>
      <c r="AA166" s="6"/>
      <c r="AB166" s="6"/>
      <c r="AD166" s="6"/>
      <c r="AE166" s="6"/>
      <c r="AF166" s="6"/>
      <c r="AG166" s="6"/>
      <c r="AH166" s="6"/>
      <c r="AI166" s="6"/>
      <c r="AK166" s="6"/>
      <c r="AL166" s="6"/>
      <c r="AM166" s="6"/>
      <c r="AN166" s="6"/>
      <c r="AO166" s="6"/>
      <c r="AP166" s="6"/>
      <c r="AQ166" s="6"/>
      <c r="AR166" s="6"/>
      <c r="AS166" s="15"/>
      <c r="AT166" s="6" t="str">
        <f ca="1">IFERROR(__xludf.DUMMYFUNCTION("SWITCH(IF(A166=""Practice"",AN166,FILTER('Items by Team'!E$2:E3410,'Items by Team'!C$2:C3410=D166,B166='Items by Team'!B$2:B3410)),""None"",""No"",""Parked"",""P"",""ShallowCage"",""Sc"",""DeepCage"",""Dc"",""No"",""No"",""P"",""P"",""Sc"",""Sc"",""Dc"","&amp;"""Dc"")"),"#REF!")</f>
        <v>#REF!</v>
      </c>
      <c r="AU166" s="6" t="str">
        <f ca="1">IFERROR(__xludf.DUMMYFUNCTION("SWITCH(IF(A166 = ""Practice"", H166, FILTER('Items by Team'!D$2:D3410,'Items by Team'!C$2:C3410 = D166,'Items by Team'!B$2:B3410 = B166)), ""Yes"", ""TRUE"", ""No"", ""FALSE"",TRUE, ""TRUE"", FALSE, ""FALSE"")"),"#REF!")</f>
        <v>#REF!</v>
      </c>
      <c r="AV166" s="6">
        <f t="shared" si="0"/>
        <v>0</v>
      </c>
      <c r="AW166" s="6">
        <f t="shared" si="1"/>
        <v>0</v>
      </c>
      <c r="AX166" s="6">
        <f t="shared" si="2"/>
        <v>0</v>
      </c>
      <c r="AY166" s="6">
        <f t="shared" si="3"/>
        <v>0</v>
      </c>
      <c r="AZ166" s="9" t="str">
        <f t="shared" si="4"/>
        <v/>
      </c>
      <c r="BA166" s="6">
        <f t="shared" si="5"/>
        <v>0</v>
      </c>
      <c r="BB166" s="6">
        <f t="shared" si="6"/>
        <v>0</v>
      </c>
      <c r="BC166" s="9" t="str">
        <f t="shared" si="7"/>
        <v/>
      </c>
      <c r="BD166" s="6">
        <f t="shared" si="8"/>
        <v>0</v>
      </c>
      <c r="BE166" s="6">
        <f t="shared" si="9"/>
        <v>0</v>
      </c>
      <c r="BF166" s="9" t="str">
        <f t="shared" si="10"/>
        <v/>
      </c>
      <c r="BG166" s="6">
        <f t="shared" si="11"/>
        <v>0</v>
      </c>
      <c r="BH166" s="6">
        <f t="shared" si="12"/>
        <v>0</v>
      </c>
      <c r="BI166" s="9" t="str">
        <f t="shared" si="13"/>
        <v/>
      </c>
      <c r="BJ166" s="6">
        <f t="shared" si="14"/>
        <v>0</v>
      </c>
      <c r="BK166" s="6">
        <f t="shared" si="15"/>
        <v>0</v>
      </c>
      <c r="BL166" s="6">
        <f t="shared" si="16"/>
        <v>0</v>
      </c>
      <c r="BM166" s="6">
        <f t="shared" si="17"/>
        <v>0</v>
      </c>
      <c r="BN166" s="6">
        <f t="shared" si="18"/>
        <v>0</v>
      </c>
      <c r="BP166" s="6">
        <f t="shared" si="19"/>
        <v>0</v>
      </c>
      <c r="BQ166" s="6" t="b">
        <f ca="1">IFERROR(__xludf.DUMMYFUNCTION("IF(AND(ISERROR(FILTER('Items by Team'!D$2:D3410,'Items by Team'!C$2:C3410 = D166,'Items by Team'!B$2:B3410 = B166)),NOT(A166=""Practice"")),TRUE,FALSE)"),FALSE)</f>
        <v>0</v>
      </c>
      <c r="BR166" s="6">
        <f t="shared" ca="1" si="20"/>
        <v>0</v>
      </c>
    </row>
    <row r="167" spans="1:70">
      <c r="A167" s="6"/>
      <c r="B167" s="6"/>
      <c r="C167" s="6"/>
      <c r="D167" s="6"/>
      <c r="E167" s="6"/>
      <c r="F167" s="6"/>
      <c r="G167" s="6"/>
      <c r="H167" s="6"/>
      <c r="I167" s="6"/>
      <c r="J167" s="6"/>
      <c r="K167" s="6"/>
      <c r="L167" s="6"/>
      <c r="M167" s="6"/>
      <c r="N167" s="6"/>
      <c r="O167" s="6"/>
      <c r="P167" s="6"/>
      <c r="R167" s="6"/>
      <c r="S167" s="6"/>
      <c r="T167" s="6"/>
      <c r="U167" s="6"/>
      <c r="V167" s="6"/>
      <c r="W167" s="6"/>
      <c r="X167" s="6"/>
      <c r="Y167" s="6"/>
      <c r="Z167" s="6"/>
      <c r="AA167" s="6"/>
      <c r="AB167" s="6"/>
      <c r="AD167" s="6"/>
      <c r="AE167" s="6"/>
      <c r="AF167" s="6"/>
      <c r="AG167" s="6"/>
      <c r="AH167" s="6"/>
      <c r="AI167" s="6"/>
      <c r="AK167" s="6"/>
      <c r="AL167" s="6"/>
      <c r="AM167" s="6"/>
      <c r="AN167" s="6"/>
      <c r="AO167" s="6"/>
      <c r="AP167" s="6"/>
      <c r="AQ167" s="6"/>
      <c r="AR167" s="6"/>
      <c r="AS167" s="15"/>
      <c r="AT167" s="6" t="str">
        <f ca="1">IFERROR(__xludf.DUMMYFUNCTION("SWITCH(IF(A167=""Practice"",AN167,FILTER('Items by Team'!E$2:E3410,'Items by Team'!C$2:C3410=D167,B167='Items by Team'!B$2:B3410)),""None"",""No"",""Parked"",""P"",""ShallowCage"",""Sc"",""DeepCage"",""Dc"",""No"",""No"",""P"",""P"",""Sc"",""Sc"",""Dc"","&amp;"""Dc"")"),"#REF!")</f>
        <v>#REF!</v>
      </c>
      <c r="AU167" s="6" t="str">
        <f ca="1">IFERROR(__xludf.DUMMYFUNCTION("SWITCH(IF(A167 = ""Practice"", H167, FILTER('Items by Team'!D$2:D3410,'Items by Team'!C$2:C3410 = D167,'Items by Team'!B$2:B3410 = B167)), ""Yes"", ""TRUE"", ""No"", ""FALSE"",TRUE, ""TRUE"", FALSE, ""FALSE"")"),"#REF!")</f>
        <v>#REF!</v>
      </c>
      <c r="AV167" s="6">
        <f t="shared" si="0"/>
        <v>0</v>
      </c>
      <c r="AW167" s="6">
        <f t="shared" si="1"/>
        <v>0</v>
      </c>
      <c r="AX167" s="6">
        <f t="shared" si="2"/>
        <v>0</v>
      </c>
      <c r="AY167" s="6">
        <f t="shared" si="3"/>
        <v>0</v>
      </c>
      <c r="AZ167" s="9" t="str">
        <f t="shared" si="4"/>
        <v/>
      </c>
      <c r="BA167" s="6">
        <f t="shared" si="5"/>
        <v>0</v>
      </c>
      <c r="BB167" s="6">
        <f t="shared" si="6"/>
        <v>0</v>
      </c>
      <c r="BC167" s="9" t="str">
        <f t="shared" si="7"/>
        <v/>
      </c>
      <c r="BD167" s="6">
        <f t="shared" si="8"/>
        <v>0</v>
      </c>
      <c r="BE167" s="6">
        <f t="shared" si="9"/>
        <v>0</v>
      </c>
      <c r="BF167" s="9" t="str">
        <f t="shared" si="10"/>
        <v/>
      </c>
      <c r="BG167" s="6">
        <f t="shared" si="11"/>
        <v>0</v>
      </c>
      <c r="BH167" s="6">
        <f t="shared" si="12"/>
        <v>0</v>
      </c>
      <c r="BI167" s="9" t="str">
        <f t="shared" si="13"/>
        <v/>
      </c>
      <c r="BJ167" s="6">
        <f t="shared" si="14"/>
        <v>0</v>
      </c>
      <c r="BK167" s="6">
        <f t="shared" si="15"/>
        <v>0</v>
      </c>
      <c r="BL167" s="6">
        <f t="shared" si="16"/>
        <v>0</v>
      </c>
      <c r="BM167" s="6">
        <f t="shared" si="17"/>
        <v>0</v>
      </c>
      <c r="BN167" s="6">
        <f t="shared" si="18"/>
        <v>0</v>
      </c>
      <c r="BP167" s="6">
        <f t="shared" si="19"/>
        <v>0</v>
      </c>
      <c r="BQ167" s="6" t="b">
        <f ca="1">IFERROR(__xludf.DUMMYFUNCTION("IF(AND(ISERROR(FILTER('Items by Team'!D$2:D3410,'Items by Team'!C$2:C3410 = D167,'Items by Team'!B$2:B3410 = B167)),NOT(A167=""Practice"")),TRUE,FALSE)"),FALSE)</f>
        <v>0</v>
      </c>
      <c r="BR167" s="6">
        <f t="shared" ca="1" si="20"/>
        <v>0</v>
      </c>
    </row>
    <row r="168" spans="1:70">
      <c r="A168" s="6"/>
      <c r="B168" s="6"/>
      <c r="C168" s="6"/>
      <c r="D168" s="6"/>
      <c r="E168" s="6"/>
      <c r="F168" s="6"/>
      <c r="G168" s="6"/>
      <c r="H168" s="6"/>
      <c r="I168" s="6"/>
      <c r="J168" s="6"/>
      <c r="K168" s="6"/>
      <c r="L168" s="6"/>
      <c r="M168" s="6"/>
      <c r="N168" s="6"/>
      <c r="O168" s="6"/>
      <c r="P168" s="6"/>
      <c r="R168" s="6"/>
      <c r="S168" s="6"/>
      <c r="T168" s="6"/>
      <c r="U168" s="6"/>
      <c r="V168" s="6"/>
      <c r="W168" s="6"/>
      <c r="X168" s="6"/>
      <c r="Y168" s="6"/>
      <c r="Z168" s="6"/>
      <c r="AA168" s="6"/>
      <c r="AB168" s="6"/>
      <c r="AD168" s="6"/>
      <c r="AE168" s="6"/>
      <c r="AF168" s="6"/>
      <c r="AG168" s="6"/>
      <c r="AH168" s="6"/>
      <c r="AI168" s="6"/>
      <c r="AK168" s="6"/>
      <c r="AL168" s="6"/>
      <c r="AM168" s="6"/>
      <c r="AN168" s="6"/>
      <c r="AO168" s="6"/>
      <c r="AP168" s="6"/>
      <c r="AQ168" s="6"/>
      <c r="AR168" s="6"/>
      <c r="AS168" s="15"/>
      <c r="AT168" s="6" t="str">
        <f ca="1">IFERROR(__xludf.DUMMYFUNCTION("SWITCH(IF(A168=""Practice"",AN168,FILTER('Items by Team'!E$2:E3410,'Items by Team'!C$2:C3410=D168,B168='Items by Team'!B$2:B3410)),""None"",""No"",""Parked"",""P"",""ShallowCage"",""Sc"",""DeepCage"",""Dc"",""No"",""No"",""P"",""P"",""Sc"",""Sc"",""Dc"","&amp;"""Dc"")"),"#REF!")</f>
        <v>#REF!</v>
      </c>
      <c r="AU168" s="6" t="str">
        <f ca="1">IFERROR(__xludf.DUMMYFUNCTION("SWITCH(IF(A168 = ""Practice"", H168, FILTER('Items by Team'!D$2:D3410,'Items by Team'!C$2:C3410 = D168,'Items by Team'!B$2:B3410 = B168)), ""Yes"", ""TRUE"", ""No"", ""FALSE"",TRUE, ""TRUE"", FALSE, ""FALSE"")"),"#REF!")</f>
        <v>#REF!</v>
      </c>
      <c r="AV168" s="6">
        <f t="shared" si="0"/>
        <v>0</v>
      </c>
      <c r="AW168" s="6">
        <f t="shared" si="1"/>
        <v>0</v>
      </c>
      <c r="AX168" s="6">
        <f t="shared" si="2"/>
        <v>0</v>
      </c>
      <c r="AY168" s="6">
        <f t="shared" si="3"/>
        <v>0</v>
      </c>
      <c r="AZ168" s="9" t="str">
        <f t="shared" si="4"/>
        <v/>
      </c>
      <c r="BA168" s="6">
        <f t="shared" si="5"/>
        <v>0</v>
      </c>
      <c r="BB168" s="6">
        <f t="shared" si="6"/>
        <v>0</v>
      </c>
      <c r="BC168" s="9" t="str">
        <f t="shared" si="7"/>
        <v/>
      </c>
      <c r="BD168" s="6">
        <f t="shared" si="8"/>
        <v>0</v>
      </c>
      <c r="BE168" s="6">
        <f t="shared" si="9"/>
        <v>0</v>
      </c>
      <c r="BF168" s="9" t="str">
        <f t="shared" si="10"/>
        <v/>
      </c>
      <c r="BG168" s="6">
        <f t="shared" si="11"/>
        <v>0</v>
      </c>
      <c r="BH168" s="6">
        <f t="shared" si="12"/>
        <v>0</v>
      </c>
      <c r="BI168" s="9" t="str">
        <f t="shared" si="13"/>
        <v/>
      </c>
      <c r="BJ168" s="6">
        <f t="shared" si="14"/>
        <v>0</v>
      </c>
      <c r="BK168" s="6">
        <f t="shared" si="15"/>
        <v>0</v>
      </c>
      <c r="BL168" s="6">
        <f t="shared" si="16"/>
        <v>0</v>
      </c>
      <c r="BM168" s="6">
        <f t="shared" si="17"/>
        <v>0</v>
      </c>
      <c r="BN168" s="6">
        <f t="shared" si="18"/>
        <v>0</v>
      </c>
      <c r="BP168" s="6">
        <f t="shared" si="19"/>
        <v>0</v>
      </c>
      <c r="BQ168" s="6" t="b">
        <f ca="1">IFERROR(__xludf.DUMMYFUNCTION("IF(AND(ISERROR(FILTER('Items by Team'!D$2:D3410,'Items by Team'!C$2:C3410 = D168,'Items by Team'!B$2:B3410 = B168)),NOT(A168=""Practice"")),TRUE,FALSE)"),FALSE)</f>
        <v>0</v>
      </c>
      <c r="BR168" s="6">
        <f t="shared" ca="1" si="20"/>
        <v>0</v>
      </c>
    </row>
    <row r="169" spans="1:70">
      <c r="A169" s="6"/>
      <c r="B169" s="6"/>
      <c r="C169" s="6"/>
      <c r="D169" s="6"/>
      <c r="E169" s="6"/>
      <c r="F169" s="6"/>
      <c r="G169" s="6"/>
      <c r="H169" s="6"/>
      <c r="I169" s="6"/>
      <c r="J169" s="6"/>
      <c r="K169" s="6"/>
      <c r="L169" s="6"/>
      <c r="M169" s="6"/>
      <c r="N169" s="6"/>
      <c r="O169" s="6"/>
      <c r="P169" s="6"/>
      <c r="R169" s="6"/>
      <c r="S169" s="6"/>
      <c r="T169" s="6"/>
      <c r="U169" s="6"/>
      <c r="V169" s="6"/>
      <c r="W169" s="6"/>
      <c r="X169" s="6"/>
      <c r="Y169" s="6"/>
      <c r="Z169" s="6"/>
      <c r="AA169" s="6"/>
      <c r="AB169" s="6"/>
      <c r="AD169" s="6"/>
      <c r="AE169" s="6"/>
      <c r="AF169" s="6"/>
      <c r="AG169" s="6"/>
      <c r="AH169" s="6"/>
      <c r="AI169" s="6"/>
      <c r="AK169" s="6"/>
      <c r="AL169" s="6"/>
      <c r="AM169" s="6"/>
      <c r="AN169" s="6"/>
      <c r="AO169" s="6"/>
      <c r="AP169" s="6"/>
      <c r="AQ169" s="6"/>
      <c r="AR169" s="6"/>
      <c r="AS169" s="15"/>
      <c r="AT169" s="6" t="str">
        <f ca="1">IFERROR(__xludf.DUMMYFUNCTION("SWITCH(IF(A169=""Practice"",AN169,FILTER('Items by Team'!E$2:E3410,'Items by Team'!C$2:C3410=D169,B169='Items by Team'!B$2:B3410)),""None"",""No"",""Parked"",""P"",""ShallowCage"",""Sc"",""DeepCage"",""Dc"",""No"",""No"",""P"",""P"",""Sc"",""Sc"",""Dc"","&amp;"""Dc"")"),"#REF!")</f>
        <v>#REF!</v>
      </c>
      <c r="AU169" s="6" t="str">
        <f ca="1">IFERROR(__xludf.DUMMYFUNCTION("SWITCH(IF(A169 = ""Practice"", H169, FILTER('Items by Team'!D$2:D3410,'Items by Team'!C$2:C3410 = D169,'Items by Team'!B$2:B3410 = B169)), ""Yes"", ""TRUE"", ""No"", ""FALSE"",TRUE, ""TRUE"", FALSE, ""FALSE"")"),"#REF!")</f>
        <v>#REF!</v>
      </c>
      <c r="AV169" s="6">
        <f t="shared" si="0"/>
        <v>0</v>
      </c>
      <c r="AW169" s="6">
        <f t="shared" si="1"/>
        <v>0</v>
      </c>
      <c r="AX169" s="6">
        <f t="shared" si="2"/>
        <v>0</v>
      </c>
      <c r="AY169" s="6">
        <f t="shared" si="3"/>
        <v>0</v>
      </c>
      <c r="AZ169" s="9" t="str">
        <f t="shared" si="4"/>
        <v/>
      </c>
      <c r="BA169" s="6">
        <f t="shared" si="5"/>
        <v>0</v>
      </c>
      <c r="BB169" s="6">
        <f t="shared" si="6"/>
        <v>0</v>
      </c>
      <c r="BC169" s="9" t="str">
        <f t="shared" si="7"/>
        <v/>
      </c>
      <c r="BD169" s="6">
        <f t="shared" si="8"/>
        <v>0</v>
      </c>
      <c r="BE169" s="6">
        <f t="shared" si="9"/>
        <v>0</v>
      </c>
      <c r="BF169" s="9" t="str">
        <f t="shared" si="10"/>
        <v/>
      </c>
      <c r="BG169" s="6">
        <f t="shared" si="11"/>
        <v>0</v>
      </c>
      <c r="BH169" s="6">
        <f t="shared" si="12"/>
        <v>0</v>
      </c>
      <c r="BI169" s="9" t="str">
        <f t="shared" si="13"/>
        <v/>
      </c>
      <c r="BJ169" s="6">
        <f t="shared" si="14"/>
        <v>0</v>
      </c>
      <c r="BK169" s="6">
        <f t="shared" si="15"/>
        <v>0</v>
      </c>
      <c r="BL169" s="6">
        <f t="shared" si="16"/>
        <v>0</v>
      </c>
      <c r="BM169" s="6">
        <f t="shared" si="17"/>
        <v>0</v>
      </c>
      <c r="BN169" s="6">
        <f t="shared" si="18"/>
        <v>0</v>
      </c>
      <c r="BP169" s="6">
        <f t="shared" si="19"/>
        <v>0</v>
      </c>
      <c r="BQ169" s="6" t="b">
        <f ca="1">IFERROR(__xludf.DUMMYFUNCTION("IF(AND(ISERROR(FILTER('Items by Team'!D$2:D3410,'Items by Team'!C$2:C3410 = D169,'Items by Team'!B$2:B3410 = B169)),NOT(A169=""Practice"")),TRUE,FALSE)"),FALSE)</f>
        <v>0</v>
      </c>
      <c r="BR169" s="6">
        <f t="shared" ca="1" si="20"/>
        <v>0</v>
      </c>
    </row>
    <row r="170" spans="1:70">
      <c r="A170" s="6"/>
      <c r="B170" s="6"/>
      <c r="C170" s="6"/>
      <c r="D170" s="6"/>
      <c r="E170" s="6"/>
      <c r="F170" s="6"/>
      <c r="G170" s="6"/>
      <c r="H170" s="6"/>
      <c r="I170" s="6"/>
      <c r="J170" s="6"/>
      <c r="K170" s="6"/>
      <c r="L170" s="6"/>
      <c r="M170" s="6"/>
      <c r="N170" s="6"/>
      <c r="O170" s="6"/>
      <c r="P170" s="6"/>
      <c r="R170" s="6"/>
      <c r="S170" s="6"/>
      <c r="T170" s="6"/>
      <c r="U170" s="6"/>
      <c r="V170" s="6"/>
      <c r="W170" s="6"/>
      <c r="X170" s="6"/>
      <c r="Y170" s="6"/>
      <c r="Z170" s="6"/>
      <c r="AA170" s="6"/>
      <c r="AB170" s="6"/>
      <c r="AD170" s="6"/>
      <c r="AE170" s="6"/>
      <c r="AF170" s="6"/>
      <c r="AG170" s="6"/>
      <c r="AH170" s="6"/>
      <c r="AI170" s="6"/>
      <c r="AK170" s="6"/>
      <c r="AL170" s="6"/>
      <c r="AM170" s="6"/>
      <c r="AN170" s="6"/>
      <c r="AO170" s="6"/>
      <c r="AP170" s="6"/>
      <c r="AQ170" s="6"/>
      <c r="AR170" s="6"/>
      <c r="AS170" s="15"/>
      <c r="AT170" s="6" t="str">
        <f ca="1">IFERROR(__xludf.DUMMYFUNCTION("SWITCH(IF(A170=""Practice"",AN170,FILTER('Items by Team'!E$2:E3410,'Items by Team'!C$2:C3410=D170,B170='Items by Team'!B$2:B3410)),""None"",""No"",""Parked"",""P"",""ShallowCage"",""Sc"",""DeepCage"",""Dc"",""No"",""No"",""P"",""P"",""Sc"",""Sc"",""Dc"","&amp;"""Dc"")"),"#REF!")</f>
        <v>#REF!</v>
      </c>
      <c r="AU170" s="6" t="str">
        <f ca="1">IFERROR(__xludf.DUMMYFUNCTION("SWITCH(IF(A170 = ""Practice"", H170, FILTER('Items by Team'!D$2:D3410,'Items by Team'!C$2:C3410 = D170,'Items by Team'!B$2:B3410 = B170)), ""Yes"", ""TRUE"", ""No"", ""FALSE"",TRUE, ""TRUE"", FALSE, ""FALSE"")"),"#REF!")</f>
        <v>#REF!</v>
      </c>
      <c r="AV170" s="6">
        <f t="shared" si="0"/>
        <v>0</v>
      </c>
      <c r="AW170" s="6">
        <f t="shared" si="1"/>
        <v>0</v>
      </c>
      <c r="AX170" s="6">
        <f t="shared" si="2"/>
        <v>0</v>
      </c>
      <c r="AY170" s="6">
        <f t="shared" si="3"/>
        <v>0</v>
      </c>
      <c r="AZ170" s="9" t="str">
        <f t="shared" si="4"/>
        <v/>
      </c>
      <c r="BA170" s="6">
        <f t="shared" si="5"/>
        <v>0</v>
      </c>
      <c r="BB170" s="6">
        <f t="shared" si="6"/>
        <v>0</v>
      </c>
      <c r="BC170" s="9" t="str">
        <f t="shared" si="7"/>
        <v/>
      </c>
      <c r="BD170" s="6">
        <f t="shared" si="8"/>
        <v>0</v>
      </c>
      <c r="BE170" s="6">
        <f t="shared" si="9"/>
        <v>0</v>
      </c>
      <c r="BF170" s="9" t="str">
        <f t="shared" si="10"/>
        <v/>
      </c>
      <c r="BG170" s="6">
        <f t="shared" si="11"/>
        <v>0</v>
      </c>
      <c r="BH170" s="6">
        <f t="shared" si="12"/>
        <v>0</v>
      </c>
      <c r="BI170" s="9" t="str">
        <f t="shared" si="13"/>
        <v/>
      </c>
      <c r="BJ170" s="6">
        <f t="shared" si="14"/>
        <v>0</v>
      </c>
      <c r="BK170" s="6">
        <f t="shared" si="15"/>
        <v>0</v>
      </c>
      <c r="BL170" s="6">
        <f t="shared" si="16"/>
        <v>0</v>
      </c>
      <c r="BM170" s="6">
        <f t="shared" si="17"/>
        <v>0</v>
      </c>
      <c r="BN170" s="6">
        <f t="shared" si="18"/>
        <v>0</v>
      </c>
      <c r="BP170" s="6">
        <f t="shared" si="19"/>
        <v>0</v>
      </c>
      <c r="BQ170" s="6" t="b">
        <f ca="1">IFERROR(__xludf.DUMMYFUNCTION("IF(AND(ISERROR(FILTER('Items by Team'!D$2:D3410,'Items by Team'!C$2:C3410 = D170,'Items by Team'!B$2:B3410 = B170)),NOT(A170=""Practice"")),TRUE,FALSE)"),FALSE)</f>
        <v>0</v>
      </c>
      <c r="BR170" s="6">
        <f t="shared" ca="1" si="20"/>
        <v>0</v>
      </c>
    </row>
    <row r="171" spans="1:70">
      <c r="A171" s="6"/>
      <c r="B171" s="6"/>
      <c r="C171" s="6"/>
      <c r="D171" s="6"/>
      <c r="E171" s="6"/>
      <c r="F171" s="6"/>
      <c r="G171" s="6"/>
      <c r="H171" s="6"/>
      <c r="I171" s="6"/>
      <c r="J171" s="6"/>
      <c r="K171" s="6"/>
      <c r="L171" s="6"/>
      <c r="M171" s="6"/>
      <c r="N171" s="6"/>
      <c r="O171" s="6"/>
      <c r="P171" s="6"/>
      <c r="R171" s="6"/>
      <c r="S171" s="6"/>
      <c r="T171" s="6"/>
      <c r="U171" s="6"/>
      <c r="V171" s="6"/>
      <c r="W171" s="6"/>
      <c r="X171" s="6"/>
      <c r="Y171" s="6"/>
      <c r="Z171" s="6"/>
      <c r="AA171" s="6"/>
      <c r="AB171" s="6"/>
      <c r="AD171" s="6"/>
      <c r="AE171" s="6"/>
      <c r="AF171" s="6"/>
      <c r="AG171" s="6"/>
      <c r="AH171" s="6"/>
      <c r="AI171" s="6"/>
      <c r="AK171" s="6"/>
      <c r="AL171" s="6"/>
      <c r="AM171" s="6"/>
      <c r="AN171" s="6"/>
      <c r="AO171" s="6"/>
      <c r="AP171" s="6"/>
      <c r="AQ171" s="6"/>
      <c r="AR171" s="6"/>
      <c r="AS171" s="15"/>
      <c r="AT171" s="6" t="str">
        <f ca="1">IFERROR(__xludf.DUMMYFUNCTION("SWITCH(IF(A171=""Practice"",AN171,FILTER('Items by Team'!E$2:E3410,'Items by Team'!C$2:C3410=D171,B171='Items by Team'!B$2:B3410)),""None"",""No"",""Parked"",""P"",""ShallowCage"",""Sc"",""DeepCage"",""Dc"",""No"",""No"",""P"",""P"",""Sc"",""Sc"",""Dc"","&amp;"""Dc"")"),"#REF!")</f>
        <v>#REF!</v>
      </c>
      <c r="AU171" s="6" t="str">
        <f ca="1">IFERROR(__xludf.DUMMYFUNCTION("SWITCH(IF(A171 = ""Practice"", H171, FILTER('Items by Team'!D$2:D3410,'Items by Team'!C$2:C3410 = D171,'Items by Team'!B$2:B3410 = B171)), ""Yes"", ""TRUE"", ""No"", ""FALSE"",TRUE, ""TRUE"", FALSE, ""FALSE"")"),"#REF!")</f>
        <v>#REF!</v>
      </c>
      <c r="AV171" s="6">
        <f t="shared" si="0"/>
        <v>0</v>
      </c>
      <c r="AW171" s="6">
        <f t="shared" si="1"/>
        <v>0</v>
      </c>
      <c r="AX171" s="6">
        <f t="shared" si="2"/>
        <v>0</v>
      </c>
      <c r="AY171" s="6">
        <f t="shared" si="3"/>
        <v>0</v>
      </c>
      <c r="AZ171" s="9" t="str">
        <f t="shared" si="4"/>
        <v/>
      </c>
      <c r="BA171" s="6">
        <f t="shared" si="5"/>
        <v>0</v>
      </c>
      <c r="BB171" s="6">
        <f t="shared" si="6"/>
        <v>0</v>
      </c>
      <c r="BC171" s="9" t="str">
        <f t="shared" si="7"/>
        <v/>
      </c>
      <c r="BD171" s="6">
        <f t="shared" si="8"/>
        <v>0</v>
      </c>
      <c r="BE171" s="6">
        <f t="shared" si="9"/>
        <v>0</v>
      </c>
      <c r="BF171" s="9" t="str">
        <f t="shared" si="10"/>
        <v/>
      </c>
      <c r="BG171" s="6">
        <f t="shared" si="11"/>
        <v>0</v>
      </c>
      <c r="BH171" s="6">
        <f t="shared" si="12"/>
        <v>0</v>
      </c>
      <c r="BI171" s="9" t="str">
        <f t="shared" si="13"/>
        <v/>
      </c>
      <c r="BJ171" s="6">
        <f t="shared" si="14"/>
        <v>0</v>
      </c>
      <c r="BK171" s="6">
        <f t="shared" si="15"/>
        <v>0</v>
      </c>
      <c r="BL171" s="6">
        <f t="shared" si="16"/>
        <v>0</v>
      </c>
      <c r="BM171" s="6">
        <f t="shared" si="17"/>
        <v>0</v>
      </c>
      <c r="BN171" s="6">
        <f t="shared" si="18"/>
        <v>0</v>
      </c>
      <c r="BP171" s="6">
        <f t="shared" si="19"/>
        <v>0</v>
      </c>
      <c r="BQ171" s="6" t="b">
        <f ca="1">IFERROR(__xludf.DUMMYFUNCTION("IF(AND(ISERROR(FILTER('Items by Team'!D$2:D3410,'Items by Team'!C$2:C3410 = D171,'Items by Team'!B$2:B3410 = B171)),NOT(A171=""Practice"")),TRUE,FALSE)"),FALSE)</f>
        <v>0</v>
      </c>
      <c r="BR171" s="6">
        <f t="shared" ca="1" si="20"/>
        <v>0</v>
      </c>
    </row>
    <row r="172" spans="1:70">
      <c r="A172" s="6"/>
      <c r="B172" s="6"/>
      <c r="C172" s="6"/>
      <c r="D172" s="6"/>
      <c r="E172" s="6"/>
      <c r="F172" s="6"/>
      <c r="G172" s="6"/>
      <c r="H172" s="6"/>
      <c r="I172" s="6"/>
      <c r="J172" s="6"/>
      <c r="K172" s="6"/>
      <c r="L172" s="6"/>
      <c r="M172" s="6"/>
      <c r="N172" s="6"/>
      <c r="O172" s="6"/>
      <c r="P172" s="6"/>
      <c r="R172" s="6"/>
      <c r="S172" s="6"/>
      <c r="T172" s="6"/>
      <c r="U172" s="6"/>
      <c r="V172" s="6"/>
      <c r="W172" s="6"/>
      <c r="X172" s="6"/>
      <c r="Y172" s="6"/>
      <c r="Z172" s="6"/>
      <c r="AA172" s="6"/>
      <c r="AB172" s="6"/>
      <c r="AD172" s="6"/>
      <c r="AE172" s="6"/>
      <c r="AF172" s="6"/>
      <c r="AG172" s="6"/>
      <c r="AH172" s="6"/>
      <c r="AI172" s="6"/>
      <c r="AK172" s="6"/>
      <c r="AL172" s="6"/>
      <c r="AM172" s="6"/>
      <c r="AN172" s="6"/>
      <c r="AO172" s="6"/>
      <c r="AP172" s="6"/>
      <c r="AQ172" s="6"/>
      <c r="AR172" s="6"/>
      <c r="AS172" s="15"/>
      <c r="AT172" s="6" t="str">
        <f ca="1">IFERROR(__xludf.DUMMYFUNCTION("SWITCH(IF(A172=""Practice"",AN172,FILTER('Items by Team'!E$2:E3410,'Items by Team'!C$2:C3410=D172,B172='Items by Team'!B$2:B3410)),""None"",""No"",""Parked"",""P"",""ShallowCage"",""Sc"",""DeepCage"",""Dc"",""No"",""No"",""P"",""P"",""Sc"",""Sc"",""Dc"","&amp;"""Dc"")"),"#REF!")</f>
        <v>#REF!</v>
      </c>
      <c r="AU172" s="6" t="str">
        <f ca="1">IFERROR(__xludf.DUMMYFUNCTION("SWITCH(IF(A172 = ""Practice"", H172, FILTER('Items by Team'!D$2:D3410,'Items by Team'!C$2:C3410 = D172,'Items by Team'!B$2:B3410 = B172)), ""Yes"", ""TRUE"", ""No"", ""FALSE"",TRUE, ""TRUE"", FALSE, ""FALSE"")"),"#REF!")</f>
        <v>#REF!</v>
      </c>
      <c r="AV172" s="6">
        <f t="shared" si="0"/>
        <v>0</v>
      </c>
      <c r="AW172" s="6">
        <f t="shared" si="1"/>
        <v>0</v>
      </c>
      <c r="AX172" s="6">
        <f t="shared" si="2"/>
        <v>0</v>
      </c>
      <c r="AY172" s="6">
        <f t="shared" si="3"/>
        <v>0</v>
      </c>
      <c r="AZ172" s="9" t="str">
        <f t="shared" si="4"/>
        <v/>
      </c>
      <c r="BA172" s="6">
        <f t="shared" si="5"/>
        <v>0</v>
      </c>
      <c r="BB172" s="6">
        <f t="shared" si="6"/>
        <v>0</v>
      </c>
      <c r="BC172" s="9" t="str">
        <f t="shared" si="7"/>
        <v/>
      </c>
      <c r="BD172" s="6">
        <f t="shared" si="8"/>
        <v>0</v>
      </c>
      <c r="BE172" s="6">
        <f t="shared" si="9"/>
        <v>0</v>
      </c>
      <c r="BF172" s="9" t="str">
        <f t="shared" si="10"/>
        <v/>
      </c>
      <c r="BG172" s="6">
        <f t="shared" si="11"/>
        <v>0</v>
      </c>
      <c r="BH172" s="6">
        <f t="shared" si="12"/>
        <v>0</v>
      </c>
      <c r="BI172" s="9" t="str">
        <f t="shared" si="13"/>
        <v/>
      </c>
      <c r="BJ172" s="6">
        <f t="shared" si="14"/>
        <v>0</v>
      </c>
      <c r="BK172" s="6">
        <f t="shared" si="15"/>
        <v>0</v>
      </c>
      <c r="BL172" s="6">
        <f t="shared" si="16"/>
        <v>0</v>
      </c>
      <c r="BM172" s="6">
        <f t="shared" si="17"/>
        <v>0</v>
      </c>
      <c r="BN172" s="6">
        <f t="shared" si="18"/>
        <v>0</v>
      </c>
      <c r="BP172" s="6">
        <f t="shared" si="19"/>
        <v>0</v>
      </c>
      <c r="BQ172" s="6" t="b">
        <f ca="1">IFERROR(__xludf.DUMMYFUNCTION("IF(AND(ISERROR(FILTER('Items by Team'!D$2:D3410,'Items by Team'!C$2:C3410 = D172,'Items by Team'!B$2:B3410 = B172)),NOT(A172=""Practice"")),TRUE,FALSE)"),FALSE)</f>
        <v>0</v>
      </c>
      <c r="BR172" s="6">
        <f t="shared" ca="1" si="20"/>
        <v>0</v>
      </c>
    </row>
    <row r="173" spans="1:70">
      <c r="A173" s="6"/>
      <c r="B173" s="6"/>
      <c r="C173" s="6"/>
      <c r="D173" s="6"/>
      <c r="E173" s="6"/>
      <c r="F173" s="6"/>
      <c r="G173" s="6"/>
      <c r="H173" s="6"/>
      <c r="I173" s="6"/>
      <c r="J173" s="6"/>
      <c r="K173" s="6"/>
      <c r="L173" s="6"/>
      <c r="M173" s="6"/>
      <c r="N173" s="6"/>
      <c r="O173" s="6"/>
      <c r="P173" s="6"/>
      <c r="R173" s="6"/>
      <c r="S173" s="6"/>
      <c r="T173" s="6"/>
      <c r="U173" s="6"/>
      <c r="V173" s="6"/>
      <c r="W173" s="6"/>
      <c r="X173" s="6"/>
      <c r="Y173" s="6"/>
      <c r="Z173" s="6"/>
      <c r="AA173" s="6"/>
      <c r="AB173" s="6"/>
      <c r="AD173" s="6"/>
      <c r="AE173" s="6"/>
      <c r="AF173" s="6"/>
      <c r="AG173" s="6"/>
      <c r="AH173" s="6"/>
      <c r="AI173" s="6"/>
      <c r="AK173" s="6"/>
      <c r="AL173" s="6"/>
      <c r="AM173" s="6"/>
      <c r="AN173" s="6"/>
      <c r="AO173" s="6"/>
      <c r="AP173" s="6"/>
      <c r="AQ173" s="6"/>
      <c r="AR173" s="6"/>
      <c r="AS173" s="15"/>
      <c r="AT173" s="6" t="str">
        <f ca="1">IFERROR(__xludf.DUMMYFUNCTION("SWITCH(IF(A173=""Practice"",AN173,FILTER('Items by Team'!E$2:E3410,'Items by Team'!C$2:C3410=D173,B173='Items by Team'!B$2:B3410)),""None"",""No"",""Parked"",""P"",""ShallowCage"",""Sc"",""DeepCage"",""Dc"",""No"",""No"",""P"",""P"",""Sc"",""Sc"",""Dc"","&amp;"""Dc"")"),"#REF!")</f>
        <v>#REF!</v>
      </c>
      <c r="AU173" s="6" t="str">
        <f ca="1">IFERROR(__xludf.DUMMYFUNCTION("SWITCH(IF(A173 = ""Practice"", H173, FILTER('Items by Team'!D$2:D3410,'Items by Team'!C$2:C3410 = D173,'Items by Team'!B$2:B3410 = B173)), ""Yes"", ""TRUE"", ""No"", ""FALSE"",TRUE, ""TRUE"", FALSE, ""FALSE"")"),"#REF!")</f>
        <v>#REF!</v>
      </c>
      <c r="AV173" s="6">
        <f t="shared" si="0"/>
        <v>0</v>
      </c>
      <c r="AW173" s="6">
        <f t="shared" si="1"/>
        <v>0</v>
      </c>
      <c r="AX173" s="6">
        <f t="shared" si="2"/>
        <v>0</v>
      </c>
      <c r="AY173" s="6">
        <f t="shared" si="3"/>
        <v>0</v>
      </c>
      <c r="AZ173" s="9" t="str">
        <f t="shared" si="4"/>
        <v/>
      </c>
      <c r="BA173" s="6">
        <f t="shared" si="5"/>
        <v>0</v>
      </c>
      <c r="BB173" s="6">
        <f t="shared" si="6"/>
        <v>0</v>
      </c>
      <c r="BC173" s="9" t="str">
        <f t="shared" si="7"/>
        <v/>
      </c>
      <c r="BD173" s="6">
        <f t="shared" si="8"/>
        <v>0</v>
      </c>
      <c r="BE173" s="6">
        <f t="shared" si="9"/>
        <v>0</v>
      </c>
      <c r="BF173" s="9" t="str">
        <f t="shared" si="10"/>
        <v/>
      </c>
      <c r="BG173" s="6">
        <f t="shared" si="11"/>
        <v>0</v>
      </c>
      <c r="BH173" s="6">
        <f t="shared" si="12"/>
        <v>0</v>
      </c>
      <c r="BI173" s="9" t="str">
        <f t="shared" si="13"/>
        <v/>
      </c>
      <c r="BJ173" s="6">
        <f t="shared" si="14"/>
        <v>0</v>
      </c>
      <c r="BK173" s="6">
        <f t="shared" si="15"/>
        <v>0</v>
      </c>
      <c r="BL173" s="6">
        <f t="shared" si="16"/>
        <v>0</v>
      </c>
      <c r="BM173" s="6">
        <f t="shared" si="17"/>
        <v>0</v>
      </c>
      <c r="BN173" s="6">
        <f t="shared" si="18"/>
        <v>0</v>
      </c>
      <c r="BP173" s="6">
        <f t="shared" si="19"/>
        <v>0</v>
      </c>
      <c r="BQ173" s="6" t="b">
        <f ca="1">IFERROR(__xludf.DUMMYFUNCTION("IF(AND(ISERROR(FILTER('Items by Team'!D$2:D3410,'Items by Team'!C$2:C3410 = D173,'Items by Team'!B$2:B3410 = B173)),NOT(A173=""Practice"")),TRUE,FALSE)"),FALSE)</f>
        <v>0</v>
      </c>
      <c r="BR173" s="6">
        <f t="shared" ca="1" si="20"/>
        <v>0</v>
      </c>
    </row>
    <row r="174" spans="1:70">
      <c r="A174" s="6"/>
      <c r="B174" s="6"/>
      <c r="C174" s="6"/>
      <c r="D174" s="6"/>
      <c r="E174" s="6"/>
      <c r="F174" s="6"/>
      <c r="G174" s="6"/>
      <c r="H174" s="6"/>
      <c r="I174" s="6"/>
      <c r="J174" s="6"/>
      <c r="K174" s="6"/>
      <c r="L174" s="6"/>
      <c r="M174" s="6"/>
      <c r="N174" s="6"/>
      <c r="O174" s="6"/>
      <c r="P174" s="6"/>
      <c r="R174" s="6"/>
      <c r="S174" s="6"/>
      <c r="T174" s="6"/>
      <c r="U174" s="6"/>
      <c r="V174" s="6"/>
      <c r="W174" s="6"/>
      <c r="X174" s="6"/>
      <c r="Y174" s="6"/>
      <c r="Z174" s="6"/>
      <c r="AA174" s="6"/>
      <c r="AB174" s="6"/>
      <c r="AD174" s="6"/>
      <c r="AE174" s="6"/>
      <c r="AF174" s="6"/>
      <c r="AG174" s="6"/>
      <c r="AH174" s="6"/>
      <c r="AI174" s="6"/>
      <c r="AK174" s="6"/>
      <c r="AL174" s="6"/>
      <c r="AM174" s="6"/>
      <c r="AN174" s="6"/>
      <c r="AO174" s="6"/>
      <c r="AP174" s="6"/>
      <c r="AQ174" s="6"/>
      <c r="AR174" s="6"/>
      <c r="AS174" s="15"/>
      <c r="AT174" s="6" t="str">
        <f ca="1">IFERROR(__xludf.DUMMYFUNCTION("SWITCH(IF(A174=""Practice"",AN174,FILTER('Items by Team'!E$2:E3410,'Items by Team'!C$2:C3410=D174,B174='Items by Team'!B$2:B3410)),""None"",""No"",""Parked"",""P"",""ShallowCage"",""Sc"",""DeepCage"",""Dc"",""No"",""No"",""P"",""P"",""Sc"",""Sc"",""Dc"","&amp;"""Dc"")"),"#REF!")</f>
        <v>#REF!</v>
      </c>
      <c r="AU174" s="6" t="str">
        <f ca="1">IFERROR(__xludf.DUMMYFUNCTION("SWITCH(IF(A174 = ""Practice"", H174, FILTER('Items by Team'!D$2:D3410,'Items by Team'!C$2:C3410 = D174,'Items by Team'!B$2:B3410 = B174)), ""Yes"", ""TRUE"", ""No"", ""FALSE"",TRUE, ""TRUE"", FALSE, ""FALSE"")"),"#REF!")</f>
        <v>#REF!</v>
      </c>
      <c r="AV174" s="6">
        <f t="shared" si="0"/>
        <v>0</v>
      </c>
      <c r="AW174" s="6">
        <f t="shared" si="1"/>
        <v>0</v>
      </c>
      <c r="AX174" s="6">
        <f t="shared" si="2"/>
        <v>0</v>
      </c>
      <c r="AY174" s="6">
        <f t="shared" si="3"/>
        <v>0</v>
      </c>
      <c r="AZ174" s="9" t="str">
        <f t="shared" si="4"/>
        <v/>
      </c>
      <c r="BA174" s="6">
        <f t="shared" si="5"/>
        <v>0</v>
      </c>
      <c r="BB174" s="6">
        <f t="shared" si="6"/>
        <v>0</v>
      </c>
      <c r="BC174" s="9" t="str">
        <f t="shared" si="7"/>
        <v/>
      </c>
      <c r="BD174" s="6">
        <f t="shared" si="8"/>
        <v>0</v>
      </c>
      <c r="BE174" s="6">
        <f t="shared" si="9"/>
        <v>0</v>
      </c>
      <c r="BF174" s="9" t="str">
        <f t="shared" si="10"/>
        <v/>
      </c>
      <c r="BG174" s="6">
        <f t="shared" si="11"/>
        <v>0</v>
      </c>
      <c r="BH174" s="6">
        <f t="shared" si="12"/>
        <v>0</v>
      </c>
      <c r="BI174" s="9" t="str">
        <f t="shared" si="13"/>
        <v/>
      </c>
      <c r="BJ174" s="6">
        <f t="shared" si="14"/>
        <v>0</v>
      </c>
      <c r="BK174" s="6">
        <f t="shared" si="15"/>
        <v>0</v>
      </c>
      <c r="BL174" s="6">
        <f t="shared" si="16"/>
        <v>0</v>
      </c>
      <c r="BM174" s="6">
        <f t="shared" si="17"/>
        <v>0</v>
      </c>
      <c r="BN174" s="6">
        <f t="shared" si="18"/>
        <v>0</v>
      </c>
      <c r="BP174" s="6">
        <f t="shared" si="19"/>
        <v>0</v>
      </c>
      <c r="BQ174" s="6" t="b">
        <f ca="1">IFERROR(__xludf.DUMMYFUNCTION("IF(AND(ISERROR(FILTER('Items by Team'!D$2:D3410,'Items by Team'!C$2:C3410 = D174,'Items by Team'!B$2:B3410 = B174)),NOT(A174=""Practice"")),TRUE,FALSE)"),FALSE)</f>
        <v>0</v>
      </c>
      <c r="BR174" s="6">
        <f t="shared" ca="1" si="20"/>
        <v>0</v>
      </c>
    </row>
    <row r="175" spans="1:70">
      <c r="A175" s="6"/>
      <c r="B175" s="6"/>
      <c r="C175" s="6"/>
      <c r="D175" s="6"/>
      <c r="E175" s="6"/>
      <c r="F175" s="6"/>
      <c r="G175" s="6"/>
      <c r="H175" s="6"/>
      <c r="I175" s="6"/>
      <c r="J175" s="6"/>
      <c r="K175" s="6"/>
      <c r="L175" s="6"/>
      <c r="M175" s="6"/>
      <c r="N175" s="6"/>
      <c r="O175" s="6"/>
      <c r="P175" s="6"/>
      <c r="R175" s="6"/>
      <c r="S175" s="6"/>
      <c r="T175" s="6"/>
      <c r="U175" s="6"/>
      <c r="V175" s="6"/>
      <c r="W175" s="6"/>
      <c r="X175" s="6"/>
      <c r="Y175" s="6"/>
      <c r="Z175" s="6"/>
      <c r="AA175" s="6"/>
      <c r="AB175" s="6"/>
      <c r="AD175" s="6"/>
      <c r="AE175" s="6"/>
      <c r="AF175" s="6"/>
      <c r="AG175" s="6"/>
      <c r="AH175" s="6"/>
      <c r="AI175" s="6"/>
      <c r="AK175" s="6"/>
      <c r="AL175" s="6"/>
      <c r="AM175" s="6"/>
      <c r="AN175" s="6"/>
      <c r="AO175" s="6"/>
      <c r="AP175" s="6"/>
      <c r="AQ175" s="6"/>
      <c r="AR175" s="6"/>
      <c r="AS175" s="15"/>
      <c r="AT175" s="6" t="str">
        <f ca="1">IFERROR(__xludf.DUMMYFUNCTION("SWITCH(IF(A175=""Practice"",AN175,FILTER('Items by Team'!E$2:E3410,'Items by Team'!C$2:C3410=D175,B175='Items by Team'!B$2:B3410)),""None"",""No"",""Parked"",""P"",""ShallowCage"",""Sc"",""DeepCage"",""Dc"",""No"",""No"",""P"",""P"",""Sc"",""Sc"",""Dc"","&amp;"""Dc"")"),"#REF!")</f>
        <v>#REF!</v>
      </c>
      <c r="AU175" s="6" t="str">
        <f ca="1">IFERROR(__xludf.DUMMYFUNCTION("SWITCH(IF(A175 = ""Practice"", H175, FILTER('Items by Team'!D$2:D3410,'Items by Team'!C$2:C3410 = D175,'Items by Team'!B$2:B3410 = B175)), ""Yes"", ""TRUE"", ""No"", ""FALSE"",TRUE, ""TRUE"", FALSE, ""FALSE"")"),"#REF!")</f>
        <v>#REF!</v>
      </c>
      <c r="AV175" s="6">
        <f t="shared" si="0"/>
        <v>0</v>
      </c>
      <c r="AW175" s="6">
        <f t="shared" si="1"/>
        <v>0</v>
      </c>
      <c r="AX175" s="6">
        <f t="shared" si="2"/>
        <v>0</v>
      </c>
      <c r="AY175" s="6">
        <f t="shared" si="3"/>
        <v>0</v>
      </c>
      <c r="AZ175" s="9" t="str">
        <f t="shared" si="4"/>
        <v/>
      </c>
      <c r="BA175" s="6">
        <f t="shared" si="5"/>
        <v>0</v>
      </c>
      <c r="BB175" s="6">
        <f t="shared" si="6"/>
        <v>0</v>
      </c>
      <c r="BC175" s="9" t="str">
        <f t="shared" si="7"/>
        <v/>
      </c>
      <c r="BD175" s="6">
        <f t="shared" si="8"/>
        <v>0</v>
      </c>
      <c r="BE175" s="6">
        <f t="shared" si="9"/>
        <v>0</v>
      </c>
      <c r="BF175" s="9" t="str">
        <f t="shared" si="10"/>
        <v/>
      </c>
      <c r="BG175" s="6">
        <f t="shared" si="11"/>
        <v>0</v>
      </c>
      <c r="BH175" s="6">
        <f t="shared" si="12"/>
        <v>0</v>
      </c>
      <c r="BI175" s="9" t="str">
        <f t="shared" si="13"/>
        <v/>
      </c>
      <c r="BJ175" s="6">
        <f t="shared" si="14"/>
        <v>0</v>
      </c>
      <c r="BK175" s="6">
        <f t="shared" si="15"/>
        <v>0</v>
      </c>
      <c r="BL175" s="6">
        <f t="shared" si="16"/>
        <v>0</v>
      </c>
      <c r="BM175" s="6">
        <f t="shared" si="17"/>
        <v>0</v>
      </c>
      <c r="BN175" s="6">
        <f t="shared" si="18"/>
        <v>0</v>
      </c>
      <c r="BP175" s="6">
        <f t="shared" si="19"/>
        <v>0</v>
      </c>
      <c r="BQ175" s="6" t="b">
        <f ca="1">IFERROR(__xludf.DUMMYFUNCTION("IF(AND(ISERROR(FILTER('Items by Team'!D$2:D3410,'Items by Team'!C$2:C3410 = D175,'Items by Team'!B$2:B3410 = B175)),NOT(A175=""Practice"")),TRUE,FALSE)"),FALSE)</f>
        <v>0</v>
      </c>
      <c r="BR175" s="6">
        <f t="shared" ca="1" si="20"/>
        <v>0</v>
      </c>
    </row>
    <row r="176" spans="1:70">
      <c r="A176" s="6"/>
      <c r="B176" s="6"/>
      <c r="C176" s="6"/>
      <c r="D176" s="6"/>
      <c r="E176" s="6"/>
      <c r="F176" s="6"/>
      <c r="G176" s="6"/>
      <c r="H176" s="6"/>
      <c r="I176" s="6"/>
      <c r="J176" s="6"/>
      <c r="K176" s="6"/>
      <c r="L176" s="6"/>
      <c r="M176" s="6"/>
      <c r="N176" s="6"/>
      <c r="O176" s="6"/>
      <c r="P176" s="6"/>
      <c r="R176" s="6"/>
      <c r="S176" s="6"/>
      <c r="T176" s="6"/>
      <c r="U176" s="6"/>
      <c r="V176" s="6"/>
      <c r="W176" s="6"/>
      <c r="X176" s="6"/>
      <c r="Y176" s="6"/>
      <c r="Z176" s="6"/>
      <c r="AA176" s="6"/>
      <c r="AB176" s="6"/>
      <c r="AD176" s="6"/>
      <c r="AE176" s="6"/>
      <c r="AF176" s="6"/>
      <c r="AG176" s="6"/>
      <c r="AH176" s="6"/>
      <c r="AI176" s="6"/>
      <c r="AK176" s="6"/>
      <c r="AL176" s="6"/>
      <c r="AM176" s="6"/>
      <c r="AN176" s="6"/>
      <c r="AO176" s="6"/>
      <c r="AP176" s="6"/>
      <c r="AQ176" s="6"/>
      <c r="AR176" s="6"/>
      <c r="AS176" s="15"/>
      <c r="AT176" s="6" t="str">
        <f ca="1">IFERROR(__xludf.DUMMYFUNCTION("SWITCH(IF(A176=""Practice"",AN176,FILTER('Items by Team'!E$2:E3410,'Items by Team'!C$2:C3410=D176,B176='Items by Team'!B$2:B3410)),""None"",""No"",""Parked"",""P"",""ShallowCage"",""Sc"",""DeepCage"",""Dc"",""No"",""No"",""P"",""P"",""Sc"",""Sc"",""Dc"","&amp;"""Dc"")"),"#REF!")</f>
        <v>#REF!</v>
      </c>
      <c r="AU176" s="6" t="str">
        <f ca="1">IFERROR(__xludf.DUMMYFUNCTION("SWITCH(IF(A176 = ""Practice"", H176, FILTER('Items by Team'!D$2:D3410,'Items by Team'!C$2:C3410 = D176,'Items by Team'!B$2:B3410 = B176)), ""Yes"", ""TRUE"", ""No"", ""FALSE"",TRUE, ""TRUE"", FALSE, ""FALSE"")"),"#REF!")</f>
        <v>#REF!</v>
      </c>
      <c r="AV176" s="6">
        <f t="shared" si="0"/>
        <v>0</v>
      </c>
      <c r="AW176" s="6">
        <f t="shared" si="1"/>
        <v>0</v>
      </c>
      <c r="AX176" s="6">
        <f t="shared" si="2"/>
        <v>0</v>
      </c>
      <c r="AY176" s="6">
        <f t="shared" si="3"/>
        <v>0</v>
      </c>
      <c r="AZ176" s="9" t="str">
        <f t="shared" si="4"/>
        <v/>
      </c>
      <c r="BA176" s="6">
        <f t="shared" si="5"/>
        <v>0</v>
      </c>
      <c r="BB176" s="6">
        <f t="shared" si="6"/>
        <v>0</v>
      </c>
      <c r="BC176" s="9" t="str">
        <f t="shared" si="7"/>
        <v/>
      </c>
      <c r="BD176" s="6">
        <f t="shared" si="8"/>
        <v>0</v>
      </c>
      <c r="BE176" s="6">
        <f t="shared" si="9"/>
        <v>0</v>
      </c>
      <c r="BF176" s="9" t="str">
        <f t="shared" si="10"/>
        <v/>
      </c>
      <c r="BG176" s="6">
        <f t="shared" si="11"/>
        <v>0</v>
      </c>
      <c r="BH176" s="6">
        <f t="shared" si="12"/>
        <v>0</v>
      </c>
      <c r="BI176" s="9" t="str">
        <f t="shared" si="13"/>
        <v/>
      </c>
      <c r="BJ176" s="6">
        <f t="shared" si="14"/>
        <v>0</v>
      </c>
      <c r="BK176" s="6">
        <f t="shared" si="15"/>
        <v>0</v>
      </c>
      <c r="BL176" s="6">
        <f t="shared" si="16"/>
        <v>0</v>
      </c>
      <c r="BM176" s="6">
        <f t="shared" si="17"/>
        <v>0</v>
      </c>
      <c r="BN176" s="6">
        <f t="shared" si="18"/>
        <v>0</v>
      </c>
      <c r="BP176" s="6">
        <f t="shared" si="19"/>
        <v>0</v>
      </c>
      <c r="BQ176" s="6" t="b">
        <f ca="1">IFERROR(__xludf.DUMMYFUNCTION("IF(AND(ISERROR(FILTER('Items by Team'!D$2:D3410,'Items by Team'!C$2:C3410 = D176,'Items by Team'!B$2:B3410 = B176)),NOT(A176=""Practice"")),TRUE,FALSE)"),FALSE)</f>
        <v>0</v>
      </c>
      <c r="BR176" s="6">
        <f t="shared" ca="1" si="20"/>
        <v>0</v>
      </c>
    </row>
    <row r="177" spans="1:70">
      <c r="A177" s="6"/>
      <c r="B177" s="6"/>
      <c r="C177" s="6"/>
      <c r="D177" s="6"/>
      <c r="E177" s="6"/>
      <c r="F177" s="6"/>
      <c r="G177" s="6"/>
      <c r="H177" s="6"/>
      <c r="I177" s="6"/>
      <c r="J177" s="6"/>
      <c r="K177" s="6"/>
      <c r="L177" s="6"/>
      <c r="M177" s="6"/>
      <c r="N177" s="6"/>
      <c r="O177" s="6"/>
      <c r="P177" s="6"/>
      <c r="R177" s="6"/>
      <c r="S177" s="6"/>
      <c r="T177" s="6"/>
      <c r="U177" s="6"/>
      <c r="V177" s="6"/>
      <c r="W177" s="6"/>
      <c r="X177" s="6"/>
      <c r="Y177" s="6"/>
      <c r="Z177" s="6"/>
      <c r="AA177" s="6"/>
      <c r="AB177" s="6"/>
      <c r="AD177" s="6"/>
      <c r="AE177" s="6"/>
      <c r="AF177" s="6"/>
      <c r="AG177" s="6"/>
      <c r="AH177" s="6"/>
      <c r="AI177" s="6"/>
      <c r="AK177" s="6"/>
      <c r="AL177" s="6"/>
      <c r="AM177" s="6"/>
      <c r="AN177" s="6"/>
      <c r="AO177" s="6"/>
      <c r="AP177" s="6"/>
      <c r="AQ177" s="6"/>
      <c r="AR177" s="6"/>
      <c r="AS177" s="15"/>
      <c r="AT177" s="6" t="str">
        <f ca="1">IFERROR(__xludf.DUMMYFUNCTION("SWITCH(IF(A177=""Practice"",AN177,FILTER('Items by Team'!E$2:E3410,'Items by Team'!C$2:C3410=D177,B177='Items by Team'!B$2:B3410)),""None"",""No"",""Parked"",""P"",""ShallowCage"",""Sc"",""DeepCage"",""Dc"",""No"",""No"",""P"",""P"",""Sc"",""Sc"",""Dc"","&amp;"""Dc"")"),"#REF!")</f>
        <v>#REF!</v>
      </c>
      <c r="AU177" s="6" t="str">
        <f ca="1">IFERROR(__xludf.DUMMYFUNCTION("SWITCH(IF(A177 = ""Practice"", H177, FILTER('Items by Team'!D$2:D3410,'Items by Team'!C$2:C3410 = D177,'Items by Team'!B$2:B3410 = B177)), ""Yes"", ""TRUE"", ""No"", ""FALSE"",TRUE, ""TRUE"", FALSE, ""FALSE"")"),"#REF!")</f>
        <v>#REF!</v>
      </c>
      <c r="AV177" s="6">
        <f t="shared" si="0"/>
        <v>0</v>
      </c>
      <c r="AW177" s="6">
        <f t="shared" si="1"/>
        <v>0</v>
      </c>
      <c r="AX177" s="6">
        <f t="shared" si="2"/>
        <v>0</v>
      </c>
      <c r="AY177" s="6">
        <f t="shared" si="3"/>
        <v>0</v>
      </c>
      <c r="AZ177" s="9" t="str">
        <f t="shared" si="4"/>
        <v/>
      </c>
      <c r="BA177" s="6">
        <f t="shared" si="5"/>
        <v>0</v>
      </c>
      <c r="BB177" s="6">
        <f t="shared" si="6"/>
        <v>0</v>
      </c>
      <c r="BC177" s="9" t="str">
        <f t="shared" si="7"/>
        <v/>
      </c>
      <c r="BD177" s="6">
        <f t="shared" si="8"/>
        <v>0</v>
      </c>
      <c r="BE177" s="6">
        <f t="shared" si="9"/>
        <v>0</v>
      </c>
      <c r="BF177" s="9" t="str">
        <f t="shared" si="10"/>
        <v/>
      </c>
      <c r="BG177" s="6">
        <f t="shared" si="11"/>
        <v>0</v>
      </c>
      <c r="BH177" s="6">
        <f t="shared" si="12"/>
        <v>0</v>
      </c>
      <c r="BI177" s="9" t="str">
        <f t="shared" si="13"/>
        <v/>
      </c>
      <c r="BJ177" s="6">
        <f t="shared" si="14"/>
        <v>0</v>
      </c>
      <c r="BK177" s="6">
        <f t="shared" si="15"/>
        <v>0</v>
      </c>
      <c r="BL177" s="6">
        <f t="shared" si="16"/>
        <v>0</v>
      </c>
      <c r="BM177" s="6">
        <f t="shared" si="17"/>
        <v>0</v>
      </c>
      <c r="BN177" s="6">
        <f t="shared" si="18"/>
        <v>0</v>
      </c>
      <c r="BP177" s="6">
        <f t="shared" si="19"/>
        <v>0</v>
      </c>
      <c r="BQ177" s="6" t="b">
        <f ca="1">IFERROR(__xludf.DUMMYFUNCTION("IF(AND(ISERROR(FILTER('Items by Team'!D$2:D3410,'Items by Team'!C$2:C3410 = D177,'Items by Team'!B$2:B3410 = B177)),NOT(A177=""Practice"")),TRUE,FALSE)"),FALSE)</f>
        <v>0</v>
      </c>
      <c r="BR177" s="6">
        <f t="shared" ca="1" si="20"/>
        <v>0</v>
      </c>
    </row>
    <row r="178" spans="1:70">
      <c r="A178" s="6"/>
      <c r="B178" s="6"/>
      <c r="C178" s="6"/>
      <c r="D178" s="6"/>
      <c r="E178" s="6"/>
      <c r="F178" s="6"/>
      <c r="G178" s="6"/>
      <c r="H178" s="6"/>
      <c r="I178" s="6"/>
      <c r="J178" s="6"/>
      <c r="K178" s="6"/>
      <c r="L178" s="6"/>
      <c r="M178" s="6"/>
      <c r="N178" s="6"/>
      <c r="O178" s="6"/>
      <c r="P178" s="6"/>
      <c r="R178" s="6"/>
      <c r="S178" s="6"/>
      <c r="T178" s="6"/>
      <c r="U178" s="6"/>
      <c r="V178" s="6"/>
      <c r="W178" s="6"/>
      <c r="X178" s="6"/>
      <c r="Y178" s="6"/>
      <c r="Z178" s="6"/>
      <c r="AA178" s="6"/>
      <c r="AB178" s="6"/>
      <c r="AD178" s="6"/>
      <c r="AE178" s="6"/>
      <c r="AF178" s="6"/>
      <c r="AG178" s="6"/>
      <c r="AH178" s="6"/>
      <c r="AI178" s="6"/>
      <c r="AK178" s="6"/>
      <c r="AL178" s="6"/>
      <c r="AM178" s="6"/>
      <c r="AN178" s="6"/>
      <c r="AO178" s="6"/>
      <c r="AP178" s="6"/>
      <c r="AQ178" s="6"/>
      <c r="AR178" s="6"/>
      <c r="AS178" s="15"/>
      <c r="AT178" s="6" t="str">
        <f ca="1">IFERROR(__xludf.DUMMYFUNCTION("SWITCH(IF(A178=""Practice"",AN178,FILTER('Items by Team'!E$2:E3410,'Items by Team'!C$2:C3410=D178,B178='Items by Team'!B$2:B3410)),""None"",""No"",""Parked"",""P"",""ShallowCage"",""Sc"",""DeepCage"",""Dc"",""No"",""No"",""P"",""P"",""Sc"",""Sc"",""Dc"","&amp;"""Dc"")"),"#REF!")</f>
        <v>#REF!</v>
      </c>
      <c r="AU178" s="6" t="str">
        <f ca="1">IFERROR(__xludf.DUMMYFUNCTION("SWITCH(IF(A178 = ""Practice"", H178, FILTER('Items by Team'!D$2:D3410,'Items by Team'!C$2:C3410 = D178,'Items by Team'!B$2:B3410 = B178)), ""Yes"", ""TRUE"", ""No"", ""FALSE"",TRUE, ""TRUE"", FALSE, ""FALSE"")"),"#REF!")</f>
        <v>#REF!</v>
      </c>
      <c r="AV178" s="6">
        <f t="shared" si="0"/>
        <v>0</v>
      </c>
      <c r="AW178" s="6">
        <f t="shared" si="1"/>
        <v>0</v>
      </c>
      <c r="AX178" s="6">
        <f t="shared" si="2"/>
        <v>0</v>
      </c>
      <c r="AY178" s="6">
        <f t="shared" si="3"/>
        <v>0</v>
      </c>
      <c r="AZ178" s="9" t="str">
        <f t="shared" si="4"/>
        <v/>
      </c>
      <c r="BA178" s="6">
        <f t="shared" si="5"/>
        <v>0</v>
      </c>
      <c r="BB178" s="6">
        <f t="shared" si="6"/>
        <v>0</v>
      </c>
      <c r="BC178" s="9" t="str">
        <f t="shared" si="7"/>
        <v/>
      </c>
      <c r="BD178" s="6">
        <f t="shared" si="8"/>
        <v>0</v>
      </c>
      <c r="BE178" s="6">
        <f t="shared" si="9"/>
        <v>0</v>
      </c>
      <c r="BF178" s="9" t="str">
        <f t="shared" si="10"/>
        <v/>
      </c>
      <c r="BG178" s="6">
        <f t="shared" si="11"/>
        <v>0</v>
      </c>
      <c r="BH178" s="6">
        <f t="shared" si="12"/>
        <v>0</v>
      </c>
      <c r="BI178" s="9" t="str">
        <f t="shared" si="13"/>
        <v/>
      </c>
      <c r="BJ178" s="6">
        <f t="shared" si="14"/>
        <v>0</v>
      </c>
      <c r="BK178" s="6">
        <f t="shared" si="15"/>
        <v>0</v>
      </c>
      <c r="BL178" s="6">
        <f t="shared" si="16"/>
        <v>0</v>
      </c>
      <c r="BM178" s="6">
        <f t="shared" si="17"/>
        <v>0</v>
      </c>
      <c r="BN178" s="6">
        <f t="shared" si="18"/>
        <v>0</v>
      </c>
      <c r="BP178" s="6">
        <f t="shared" si="19"/>
        <v>0</v>
      </c>
      <c r="BQ178" s="6" t="b">
        <f ca="1">IFERROR(__xludf.DUMMYFUNCTION("IF(AND(ISERROR(FILTER('Items by Team'!D$2:D3410,'Items by Team'!C$2:C3410 = D178,'Items by Team'!B$2:B3410 = B178)),NOT(A178=""Practice"")),TRUE,FALSE)"),FALSE)</f>
        <v>0</v>
      </c>
      <c r="BR178" s="6">
        <f t="shared" ca="1" si="20"/>
        <v>0</v>
      </c>
    </row>
    <row r="179" spans="1:70">
      <c r="A179" s="6"/>
      <c r="B179" s="6"/>
      <c r="C179" s="6"/>
      <c r="D179" s="6"/>
      <c r="E179" s="6"/>
      <c r="F179" s="6"/>
      <c r="G179" s="6"/>
      <c r="H179" s="6"/>
      <c r="I179" s="6"/>
      <c r="J179" s="6"/>
      <c r="K179" s="6"/>
      <c r="L179" s="6"/>
      <c r="M179" s="6"/>
      <c r="N179" s="6"/>
      <c r="O179" s="6"/>
      <c r="P179" s="6"/>
      <c r="R179" s="6"/>
      <c r="S179" s="6"/>
      <c r="T179" s="6"/>
      <c r="U179" s="6"/>
      <c r="V179" s="6"/>
      <c r="W179" s="6"/>
      <c r="X179" s="6"/>
      <c r="Y179" s="6"/>
      <c r="Z179" s="6"/>
      <c r="AA179" s="6"/>
      <c r="AB179" s="6"/>
      <c r="AD179" s="6"/>
      <c r="AE179" s="6"/>
      <c r="AF179" s="6"/>
      <c r="AG179" s="6"/>
      <c r="AH179" s="6"/>
      <c r="AI179" s="6"/>
      <c r="AK179" s="6"/>
      <c r="AL179" s="6"/>
      <c r="AM179" s="6"/>
      <c r="AN179" s="6"/>
      <c r="AO179" s="6"/>
      <c r="AP179" s="6"/>
      <c r="AQ179" s="6"/>
      <c r="AR179" s="6"/>
      <c r="AS179" s="15"/>
      <c r="AT179" s="6" t="str">
        <f ca="1">IFERROR(__xludf.DUMMYFUNCTION("SWITCH(IF(A179=""Practice"",AN179,FILTER('Items by Team'!E$2:E3410,'Items by Team'!C$2:C3410=D179,B179='Items by Team'!B$2:B3410)),""None"",""No"",""Parked"",""P"",""ShallowCage"",""Sc"",""DeepCage"",""Dc"",""No"",""No"",""P"",""P"",""Sc"",""Sc"",""Dc"","&amp;"""Dc"")"),"#REF!")</f>
        <v>#REF!</v>
      </c>
      <c r="AU179" s="6" t="str">
        <f ca="1">IFERROR(__xludf.DUMMYFUNCTION("SWITCH(IF(A179 = ""Practice"", H179, FILTER('Items by Team'!D$2:D3410,'Items by Team'!C$2:C3410 = D179,'Items by Team'!B$2:B3410 = B179)), ""Yes"", ""TRUE"", ""No"", ""FALSE"",TRUE, ""TRUE"", FALSE, ""FALSE"")"),"#REF!")</f>
        <v>#REF!</v>
      </c>
      <c r="AV179" s="6">
        <f t="shared" si="0"/>
        <v>0</v>
      </c>
      <c r="AW179" s="6">
        <f t="shared" si="1"/>
        <v>0</v>
      </c>
      <c r="AX179" s="6">
        <f t="shared" si="2"/>
        <v>0</v>
      </c>
      <c r="AY179" s="6">
        <f t="shared" si="3"/>
        <v>0</v>
      </c>
      <c r="AZ179" s="9" t="str">
        <f t="shared" si="4"/>
        <v/>
      </c>
      <c r="BA179" s="6">
        <f t="shared" si="5"/>
        <v>0</v>
      </c>
      <c r="BB179" s="6">
        <f t="shared" si="6"/>
        <v>0</v>
      </c>
      <c r="BC179" s="9" t="str">
        <f t="shared" si="7"/>
        <v/>
      </c>
      <c r="BD179" s="6">
        <f t="shared" si="8"/>
        <v>0</v>
      </c>
      <c r="BE179" s="6">
        <f t="shared" si="9"/>
        <v>0</v>
      </c>
      <c r="BF179" s="9" t="str">
        <f t="shared" si="10"/>
        <v/>
      </c>
      <c r="BG179" s="6">
        <f t="shared" si="11"/>
        <v>0</v>
      </c>
      <c r="BH179" s="6">
        <f t="shared" si="12"/>
        <v>0</v>
      </c>
      <c r="BI179" s="9" t="str">
        <f t="shared" si="13"/>
        <v/>
      </c>
      <c r="BJ179" s="6">
        <f t="shared" si="14"/>
        <v>0</v>
      </c>
      <c r="BK179" s="6">
        <f t="shared" si="15"/>
        <v>0</v>
      </c>
      <c r="BL179" s="6">
        <f t="shared" si="16"/>
        <v>0</v>
      </c>
      <c r="BM179" s="6">
        <f t="shared" si="17"/>
        <v>0</v>
      </c>
      <c r="BN179" s="6">
        <f t="shared" si="18"/>
        <v>0</v>
      </c>
      <c r="BP179" s="6">
        <f t="shared" si="19"/>
        <v>0</v>
      </c>
      <c r="BQ179" s="6" t="b">
        <f ca="1">IFERROR(__xludf.DUMMYFUNCTION("IF(AND(ISERROR(FILTER('Items by Team'!D$2:D3410,'Items by Team'!C$2:C3410 = D179,'Items by Team'!B$2:B3410 = B179)),NOT(A179=""Practice"")),TRUE,FALSE)"),FALSE)</f>
        <v>0</v>
      </c>
      <c r="BR179" s="6">
        <f t="shared" ca="1" si="20"/>
        <v>0</v>
      </c>
    </row>
    <row r="180" spans="1:70">
      <c r="A180" s="6"/>
      <c r="B180" s="6"/>
      <c r="C180" s="6"/>
      <c r="D180" s="6"/>
      <c r="E180" s="6"/>
      <c r="F180" s="6"/>
      <c r="G180" s="6"/>
      <c r="H180" s="6"/>
      <c r="I180" s="6"/>
      <c r="J180" s="6"/>
      <c r="K180" s="6"/>
      <c r="L180" s="6"/>
      <c r="M180" s="6"/>
      <c r="N180" s="6"/>
      <c r="O180" s="6"/>
      <c r="P180" s="6"/>
      <c r="R180" s="6"/>
      <c r="S180" s="6"/>
      <c r="T180" s="6"/>
      <c r="U180" s="6"/>
      <c r="V180" s="6"/>
      <c r="W180" s="6"/>
      <c r="X180" s="6"/>
      <c r="Y180" s="6"/>
      <c r="Z180" s="6"/>
      <c r="AA180" s="6"/>
      <c r="AB180" s="6"/>
      <c r="AD180" s="6"/>
      <c r="AE180" s="6"/>
      <c r="AF180" s="6"/>
      <c r="AG180" s="6"/>
      <c r="AH180" s="6"/>
      <c r="AI180" s="6"/>
      <c r="AK180" s="6"/>
      <c r="AL180" s="6"/>
      <c r="AM180" s="6"/>
      <c r="AN180" s="6"/>
      <c r="AO180" s="6"/>
      <c r="AP180" s="6"/>
      <c r="AQ180" s="6"/>
      <c r="AR180" s="6"/>
      <c r="AS180" s="15"/>
      <c r="AT180" s="6" t="str">
        <f ca="1">IFERROR(__xludf.DUMMYFUNCTION("SWITCH(IF(A180=""Practice"",AN180,FILTER('Items by Team'!E$2:E3410,'Items by Team'!C$2:C3410=D180,B180='Items by Team'!B$2:B3410)),""None"",""No"",""Parked"",""P"",""ShallowCage"",""Sc"",""DeepCage"",""Dc"",""No"",""No"",""P"",""P"",""Sc"",""Sc"",""Dc"","&amp;"""Dc"")"),"#REF!")</f>
        <v>#REF!</v>
      </c>
      <c r="AU180" s="6" t="str">
        <f ca="1">IFERROR(__xludf.DUMMYFUNCTION("SWITCH(IF(A180 = ""Practice"", H180, FILTER('Items by Team'!D$2:D3410,'Items by Team'!C$2:C3410 = D180,'Items by Team'!B$2:B3410 = B180)), ""Yes"", ""TRUE"", ""No"", ""FALSE"",TRUE, ""TRUE"", FALSE, ""FALSE"")"),"#REF!")</f>
        <v>#REF!</v>
      </c>
      <c r="AV180" s="6">
        <f t="shared" si="0"/>
        <v>0</v>
      </c>
      <c r="AW180" s="6">
        <f t="shared" si="1"/>
        <v>0</v>
      </c>
      <c r="AX180" s="6">
        <f t="shared" si="2"/>
        <v>0</v>
      </c>
      <c r="AY180" s="6">
        <f t="shared" si="3"/>
        <v>0</v>
      </c>
      <c r="AZ180" s="9" t="str">
        <f t="shared" si="4"/>
        <v/>
      </c>
      <c r="BA180" s="6">
        <f t="shared" si="5"/>
        <v>0</v>
      </c>
      <c r="BB180" s="6">
        <f t="shared" si="6"/>
        <v>0</v>
      </c>
      <c r="BC180" s="9" t="str">
        <f t="shared" si="7"/>
        <v/>
      </c>
      <c r="BD180" s="6">
        <f t="shared" si="8"/>
        <v>0</v>
      </c>
      <c r="BE180" s="6">
        <f t="shared" si="9"/>
        <v>0</v>
      </c>
      <c r="BF180" s="9" t="str">
        <f t="shared" si="10"/>
        <v/>
      </c>
      <c r="BG180" s="6">
        <f t="shared" si="11"/>
        <v>0</v>
      </c>
      <c r="BH180" s="6">
        <f t="shared" si="12"/>
        <v>0</v>
      </c>
      <c r="BI180" s="9" t="str">
        <f t="shared" si="13"/>
        <v/>
      </c>
      <c r="BJ180" s="6">
        <f t="shared" si="14"/>
        <v>0</v>
      </c>
      <c r="BK180" s="6">
        <f t="shared" si="15"/>
        <v>0</v>
      </c>
      <c r="BL180" s="6">
        <f t="shared" si="16"/>
        <v>0</v>
      </c>
      <c r="BM180" s="6">
        <f t="shared" si="17"/>
        <v>0</v>
      </c>
      <c r="BN180" s="6">
        <f t="shared" si="18"/>
        <v>0</v>
      </c>
      <c r="BP180" s="6">
        <f t="shared" si="19"/>
        <v>0</v>
      </c>
      <c r="BQ180" s="6" t="b">
        <f ca="1">IFERROR(__xludf.DUMMYFUNCTION("IF(AND(ISERROR(FILTER('Items by Team'!D$2:D3410,'Items by Team'!C$2:C3410 = D180,'Items by Team'!B$2:B3410 = B180)),NOT(A180=""Practice"")),TRUE,FALSE)"),FALSE)</f>
        <v>0</v>
      </c>
      <c r="BR180" s="6">
        <f t="shared" ca="1" si="20"/>
        <v>0</v>
      </c>
    </row>
    <row r="181" spans="1:70">
      <c r="A181" s="6"/>
      <c r="B181" s="6"/>
      <c r="C181" s="6"/>
      <c r="D181" s="6"/>
      <c r="E181" s="6"/>
      <c r="F181" s="6"/>
      <c r="G181" s="6"/>
      <c r="H181" s="6"/>
      <c r="I181" s="6"/>
      <c r="J181" s="6"/>
      <c r="K181" s="6"/>
      <c r="L181" s="6"/>
      <c r="M181" s="6"/>
      <c r="N181" s="6"/>
      <c r="O181" s="6"/>
      <c r="P181" s="6"/>
      <c r="R181" s="6"/>
      <c r="S181" s="6"/>
      <c r="T181" s="6"/>
      <c r="U181" s="6"/>
      <c r="V181" s="6"/>
      <c r="W181" s="6"/>
      <c r="X181" s="6"/>
      <c r="Y181" s="6"/>
      <c r="Z181" s="6"/>
      <c r="AA181" s="6"/>
      <c r="AB181" s="6"/>
      <c r="AD181" s="6"/>
      <c r="AE181" s="6"/>
      <c r="AF181" s="6"/>
      <c r="AG181" s="6"/>
      <c r="AH181" s="6"/>
      <c r="AI181" s="6"/>
      <c r="AK181" s="6"/>
      <c r="AL181" s="6"/>
      <c r="AM181" s="6"/>
      <c r="AN181" s="6"/>
      <c r="AO181" s="6"/>
      <c r="AP181" s="6"/>
      <c r="AQ181" s="6"/>
      <c r="AR181" s="6"/>
      <c r="AS181" s="15"/>
      <c r="AT181" s="6" t="str">
        <f ca="1">IFERROR(__xludf.DUMMYFUNCTION("SWITCH(IF(A181=""Practice"",AN181,FILTER('Items by Team'!E$2:E3410,'Items by Team'!C$2:C3410=D181,B181='Items by Team'!B$2:B3410)),""None"",""No"",""Parked"",""P"",""ShallowCage"",""Sc"",""DeepCage"",""Dc"",""No"",""No"",""P"",""P"",""Sc"",""Sc"",""Dc"","&amp;"""Dc"")"),"#REF!")</f>
        <v>#REF!</v>
      </c>
      <c r="AU181" s="6" t="str">
        <f ca="1">IFERROR(__xludf.DUMMYFUNCTION("SWITCH(IF(A181 = ""Practice"", H181, FILTER('Items by Team'!D$2:D3410,'Items by Team'!C$2:C3410 = D181,'Items by Team'!B$2:B3410 = B181)), ""Yes"", ""TRUE"", ""No"", ""FALSE"",TRUE, ""TRUE"", FALSE, ""FALSE"")"),"#REF!")</f>
        <v>#REF!</v>
      </c>
      <c r="AV181" s="6">
        <f t="shared" si="0"/>
        <v>0</v>
      </c>
      <c r="AW181" s="6">
        <f t="shared" si="1"/>
        <v>0</v>
      </c>
      <c r="AX181" s="6">
        <f t="shared" si="2"/>
        <v>0</v>
      </c>
      <c r="AY181" s="6">
        <f t="shared" si="3"/>
        <v>0</v>
      </c>
      <c r="AZ181" s="9" t="str">
        <f t="shared" si="4"/>
        <v/>
      </c>
      <c r="BA181" s="6">
        <f t="shared" si="5"/>
        <v>0</v>
      </c>
      <c r="BB181" s="6">
        <f t="shared" si="6"/>
        <v>0</v>
      </c>
      <c r="BC181" s="9" t="str">
        <f t="shared" si="7"/>
        <v/>
      </c>
      <c r="BD181" s="6">
        <f t="shared" si="8"/>
        <v>0</v>
      </c>
      <c r="BE181" s="6">
        <f t="shared" si="9"/>
        <v>0</v>
      </c>
      <c r="BF181" s="9" t="str">
        <f t="shared" si="10"/>
        <v/>
      </c>
      <c r="BG181" s="6">
        <f t="shared" si="11"/>
        <v>0</v>
      </c>
      <c r="BH181" s="6">
        <f t="shared" si="12"/>
        <v>0</v>
      </c>
      <c r="BI181" s="9" t="str">
        <f t="shared" si="13"/>
        <v/>
      </c>
      <c r="BJ181" s="6">
        <f t="shared" si="14"/>
        <v>0</v>
      </c>
      <c r="BK181" s="6">
        <f t="shared" si="15"/>
        <v>0</v>
      </c>
      <c r="BL181" s="6">
        <f t="shared" si="16"/>
        <v>0</v>
      </c>
      <c r="BM181" s="6">
        <f t="shared" si="17"/>
        <v>0</v>
      </c>
      <c r="BN181" s="6">
        <f t="shared" si="18"/>
        <v>0</v>
      </c>
      <c r="BP181" s="6">
        <f t="shared" si="19"/>
        <v>0</v>
      </c>
      <c r="BQ181" s="6" t="b">
        <f ca="1">IFERROR(__xludf.DUMMYFUNCTION("IF(AND(ISERROR(FILTER('Items by Team'!D$2:D3410,'Items by Team'!C$2:C3410 = D181,'Items by Team'!B$2:B3410 = B181)),NOT(A181=""Practice"")),TRUE,FALSE)"),FALSE)</f>
        <v>0</v>
      </c>
      <c r="BR181" s="6">
        <f t="shared" ca="1" si="20"/>
        <v>0</v>
      </c>
    </row>
    <row r="182" spans="1:70">
      <c r="A182" s="6"/>
      <c r="B182" s="6"/>
      <c r="C182" s="6"/>
      <c r="D182" s="6"/>
      <c r="E182" s="6"/>
      <c r="F182" s="6"/>
      <c r="G182" s="6"/>
      <c r="H182" s="6"/>
      <c r="I182" s="6"/>
      <c r="J182" s="6"/>
      <c r="K182" s="6"/>
      <c r="L182" s="6"/>
      <c r="M182" s="6"/>
      <c r="N182" s="6"/>
      <c r="O182" s="6"/>
      <c r="P182" s="6"/>
      <c r="R182" s="6"/>
      <c r="S182" s="6"/>
      <c r="T182" s="6"/>
      <c r="U182" s="6"/>
      <c r="V182" s="6"/>
      <c r="W182" s="6"/>
      <c r="X182" s="6"/>
      <c r="Y182" s="6"/>
      <c r="Z182" s="6"/>
      <c r="AA182" s="6"/>
      <c r="AB182" s="6"/>
      <c r="AD182" s="6"/>
      <c r="AE182" s="6"/>
      <c r="AF182" s="6"/>
      <c r="AG182" s="6"/>
      <c r="AH182" s="6"/>
      <c r="AI182" s="6"/>
      <c r="AK182" s="6"/>
      <c r="AL182" s="6"/>
      <c r="AM182" s="6"/>
      <c r="AN182" s="6"/>
      <c r="AO182" s="6"/>
      <c r="AP182" s="6"/>
      <c r="AQ182" s="6"/>
      <c r="AR182" s="6"/>
      <c r="AS182" s="15"/>
      <c r="AT182" s="6" t="str">
        <f ca="1">IFERROR(__xludf.DUMMYFUNCTION("SWITCH(IF(A182=""Practice"",AN182,FILTER('Items by Team'!E$2:E3410,'Items by Team'!C$2:C3410=D182,B182='Items by Team'!B$2:B3410)),""None"",""No"",""Parked"",""P"",""ShallowCage"",""Sc"",""DeepCage"",""Dc"",""No"",""No"",""P"",""P"",""Sc"",""Sc"",""Dc"","&amp;"""Dc"")"),"#REF!")</f>
        <v>#REF!</v>
      </c>
      <c r="AU182" s="6" t="str">
        <f ca="1">IFERROR(__xludf.DUMMYFUNCTION("SWITCH(IF(A182 = ""Practice"", H182, FILTER('Items by Team'!D$2:D3410,'Items by Team'!C$2:C3410 = D182,'Items by Team'!B$2:B3410 = B182)), ""Yes"", ""TRUE"", ""No"", ""FALSE"",TRUE, ""TRUE"", FALSE, ""FALSE"")"),"#REF!")</f>
        <v>#REF!</v>
      </c>
      <c r="AV182" s="6">
        <f t="shared" si="0"/>
        <v>0</v>
      </c>
      <c r="AW182" s="6">
        <f t="shared" si="1"/>
        <v>0</v>
      </c>
      <c r="AX182" s="6">
        <f t="shared" si="2"/>
        <v>0</v>
      </c>
      <c r="AY182" s="6">
        <f t="shared" si="3"/>
        <v>0</v>
      </c>
      <c r="AZ182" s="9" t="str">
        <f t="shared" si="4"/>
        <v/>
      </c>
      <c r="BA182" s="6">
        <f t="shared" si="5"/>
        <v>0</v>
      </c>
      <c r="BB182" s="6">
        <f t="shared" si="6"/>
        <v>0</v>
      </c>
      <c r="BC182" s="9" t="str">
        <f t="shared" si="7"/>
        <v/>
      </c>
      <c r="BD182" s="6">
        <f t="shared" si="8"/>
        <v>0</v>
      </c>
      <c r="BE182" s="6">
        <f t="shared" si="9"/>
        <v>0</v>
      </c>
      <c r="BF182" s="9" t="str">
        <f t="shared" si="10"/>
        <v/>
      </c>
      <c r="BG182" s="6">
        <f t="shared" si="11"/>
        <v>0</v>
      </c>
      <c r="BH182" s="6">
        <f t="shared" si="12"/>
        <v>0</v>
      </c>
      <c r="BI182" s="9" t="str">
        <f t="shared" si="13"/>
        <v/>
      </c>
      <c r="BJ182" s="6">
        <f t="shared" si="14"/>
        <v>0</v>
      </c>
      <c r="BK182" s="6">
        <f t="shared" si="15"/>
        <v>0</v>
      </c>
      <c r="BL182" s="6">
        <f t="shared" si="16"/>
        <v>0</v>
      </c>
      <c r="BM182" s="6">
        <f t="shared" si="17"/>
        <v>0</v>
      </c>
      <c r="BN182" s="6">
        <f t="shared" si="18"/>
        <v>0</v>
      </c>
      <c r="BP182" s="6">
        <f t="shared" si="19"/>
        <v>0</v>
      </c>
      <c r="BQ182" s="6" t="b">
        <f ca="1">IFERROR(__xludf.DUMMYFUNCTION("IF(AND(ISERROR(FILTER('Items by Team'!D$2:D3410,'Items by Team'!C$2:C3410 = D182,'Items by Team'!B$2:B3410 = B182)),NOT(A182=""Practice"")),TRUE,FALSE)"),FALSE)</f>
        <v>0</v>
      </c>
      <c r="BR182" s="6">
        <f t="shared" ca="1" si="20"/>
        <v>0</v>
      </c>
    </row>
    <row r="183" spans="1:70">
      <c r="A183" s="6"/>
      <c r="B183" s="6"/>
      <c r="C183" s="6"/>
      <c r="D183" s="6"/>
      <c r="E183" s="6"/>
      <c r="F183" s="6"/>
      <c r="G183" s="6"/>
      <c r="H183" s="6"/>
      <c r="I183" s="6"/>
      <c r="J183" s="6"/>
      <c r="K183" s="6"/>
      <c r="L183" s="6"/>
      <c r="M183" s="6"/>
      <c r="N183" s="6"/>
      <c r="O183" s="6"/>
      <c r="P183" s="6"/>
      <c r="R183" s="6"/>
      <c r="S183" s="6"/>
      <c r="T183" s="6"/>
      <c r="U183" s="6"/>
      <c r="V183" s="6"/>
      <c r="W183" s="6"/>
      <c r="X183" s="6"/>
      <c r="Y183" s="6"/>
      <c r="Z183" s="6"/>
      <c r="AA183" s="6"/>
      <c r="AB183" s="6"/>
      <c r="AD183" s="6"/>
      <c r="AE183" s="6"/>
      <c r="AF183" s="6"/>
      <c r="AG183" s="6"/>
      <c r="AH183" s="6"/>
      <c r="AI183" s="6"/>
      <c r="AK183" s="6"/>
      <c r="AL183" s="6"/>
      <c r="AM183" s="6"/>
      <c r="AN183" s="6"/>
      <c r="AO183" s="6"/>
      <c r="AP183" s="6"/>
      <c r="AQ183" s="6"/>
      <c r="AR183" s="6"/>
      <c r="AS183" s="15"/>
      <c r="AT183" s="6" t="str">
        <f ca="1">IFERROR(__xludf.DUMMYFUNCTION("SWITCH(IF(A183=""Practice"",AN183,FILTER('Items by Team'!E$2:E3410,'Items by Team'!C$2:C3410=D183,B183='Items by Team'!B$2:B3410)),""None"",""No"",""Parked"",""P"",""ShallowCage"",""Sc"",""DeepCage"",""Dc"",""No"",""No"",""P"",""P"",""Sc"",""Sc"",""Dc"","&amp;"""Dc"")"),"#REF!")</f>
        <v>#REF!</v>
      </c>
      <c r="AU183" s="6" t="str">
        <f ca="1">IFERROR(__xludf.DUMMYFUNCTION("SWITCH(IF(A183 = ""Practice"", H183, FILTER('Items by Team'!D$2:D3410,'Items by Team'!C$2:C3410 = D183,'Items by Team'!B$2:B3410 = B183)), ""Yes"", ""TRUE"", ""No"", ""FALSE"",TRUE, ""TRUE"", FALSE, ""FALSE"")"),"#REF!")</f>
        <v>#REF!</v>
      </c>
      <c r="AV183" s="6">
        <f t="shared" si="0"/>
        <v>0</v>
      </c>
      <c r="AW183" s="6">
        <f t="shared" si="1"/>
        <v>0</v>
      </c>
      <c r="AX183" s="6">
        <f t="shared" si="2"/>
        <v>0</v>
      </c>
      <c r="AY183" s="6">
        <f t="shared" si="3"/>
        <v>0</v>
      </c>
      <c r="AZ183" s="9" t="str">
        <f t="shared" si="4"/>
        <v/>
      </c>
      <c r="BA183" s="6">
        <f t="shared" si="5"/>
        <v>0</v>
      </c>
      <c r="BB183" s="6">
        <f t="shared" si="6"/>
        <v>0</v>
      </c>
      <c r="BC183" s="9" t="str">
        <f t="shared" si="7"/>
        <v/>
      </c>
      <c r="BD183" s="6">
        <f t="shared" si="8"/>
        <v>0</v>
      </c>
      <c r="BE183" s="6">
        <f t="shared" si="9"/>
        <v>0</v>
      </c>
      <c r="BF183" s="9" t="str">
        <f t="shared" si="10"/>
        <v/>
      </c>
      <c r="BG183" s="6">
        <f t="shared" si="11"/>
        <v>0</v>
      </c>
      <c r="BH183" s="6">
        <f t="shared" si="12"/>
        <v>0</v>
      </c>
      <c r="BI183" s="9" t="str">
        <f t="shared" si="13"/>
        <v/>
      </c>
      <c r="BJ183" s="6">
        <f t="shared" si="14"/>
        <v>0</v>
      </c>
      <c r="BK183" s="6">
        <f t="shared" si="15"/>
        <v>0</v>
      </c>
      <c r="BL183" s="6">
        <f t="shared" si="16"/>
        <v>0</v>
      </c>
      <c r="BM183" s="6">
        <f t="shared" si="17"/>
        <v>0</v>
      </c>
      <c r="BN183" s="6">
        <f t="shared" si="18"/>
        <v>0</v>
      </c>
      <c r="BP183" s="6">
        <f t="shared" si="19"/>
        <v>0</v>
      </c>
      <c r="BQ183" s="6" t="b">
        <f ca="1">IFERROR(__xludf.DUMMYFUNCTION("IF(AND(ISERROR(FILTER('Items by Team'!D$2:D3410,'Items by Team'!C$2:C3410 = D183,'Items by Team'!B$2:B3410 = B183)),NOT(A183=""Practice"")),TRUE,FALSE)"),FALSE)</f>
        <v>0</v>
      </c>
      <c r="BR183" s="6">
        <f t="shared" ca="1" si="20"/>
        <v>0</v>
      </c>
    </row>
    <row r="184" spans="1:70">
      <c r="A184" s="6"/>
      <c r="B184" s="6"/>
      <c r="C184" s="6"/>
      <c r="D184" s="6"/>
      <c r="E184" s="6"/>
      <c r="F184" s="6"/>
      <c r="G184" s="6"/>
      <c r="H184" s="6"/>
      <c r="I184" s="6"/>
      <c r="J184" s="6"/>
      <c r="K184" s="6"/>
      <c r="L184" s="6"/>
      <c r="M184" s="6"/>
      <c r="N184" s="6"/>
      <c r="O184" s="6"/>
      <c r="P184" s="6"/>
      <c r="R184" s="6"/>
      <c r="S184" s="6"/>
      <c r="T184" s="6"/>
      <c r="U184" s="6"/>
      <c r="V184" s="6"/>
      <c r="W184" s="6"/>
      <c r="X184" s="6"/>
      <c r="Y184" s="6"/>
      <c r="Z184" s="6"/>
      <c r="AA184" s="6"/>
      <c r="AB184" s="6"/>
      <c r="AD184" s="6"/>
      <c r="AE184" s="6"/>
      <c r="AF184" s="6"/>
      <c r="AG184" s="6"/>
      <c r="AH184" s="6"/>
      <c r="AI184" s="6"/>
      <c r="AK184" s="6"/>
      <c r="AL184" s="6"/>
      <c r="AM184" s="6"/>
      <c r="AN184" s="6"/>
      <c r="AO184" s="6"/>
      <c r="AP184" s="6"/>
      <c r="AQ184" s="6"/>
      <c r="AR184" s="6"/>
      <c r="AS184" s="15"/>
      <c r="AT184" s="6" t="str">
        <f ca="1">IFERROR(__xludf.DUMMYFUNCTION("SWITCH(IF(A184=""Practice"",AN184,FILTER('Items by Team'!E$2:E3410,'Items by Team'!C$2:C3410=D184,B184='Items by Team'!B$2:B3410)),""None"",""No"",""Parked"",""P"",""ShallowCage"",""Sc"",""DeepCage"",""Dc"",""No"",""No"",""P"",""P"",""Sc"",""Sc"",""Dc"","&amp;"""Dc"")"),"#REF!")</f>
        <v>#REF!</v>
      </c>
      <c r="AU184" s="6" t="str">
        <f ca="1">IFERROR(__xludf.DUMMYFUNCTION("SWITCH(IF(A184 = ""Practice"", H184, FILTER('Items by Team'!D$2:D3410,'Items by Team'!C$2:C3410 = D184,'Items by Team'!B$2:B3410 = B184)), ""Yes"", ""TRUE"", ""No"", ""FALSE"",TRUE, ""TRUE"", FALSE, ""FALSE"")"),"#REF!")</f>
        <v>#REF!</v>
      </c>
      <c r="AV184" s="6">
        <f t="shared" si="0"/>
        <v>0</v>
      </c>
      <c r="AW184" s="6">
        <f t="shared" si="1"/>
        <v>0</v>
      </c>
      <c r="AX184" s="6">
        <f t="shared" si="2"/>
        <v>0</v>
      </c>
      <c r="AY184" s="6">
        <f t="shared" si="3"/>
        <v>0</v>
      </c>
      <c r="AZ184" s="9" t="str">
        <f t="shared" si="4"/>
        <v/>
      </c>
      <c r="BA184" s="6">
        <f t="shared" si="5"/>
        <v>0</v>
      </c>
      <c r="BB184" s="6">
        <f t="shared" si="6"/>
        <v>0</v>
      </c>
      <c r="BC184" s="9" t="str">
        <f t="shared" si="7"/>
        <v/>
      </c>
      <c r="BD184" s="6">
        <f t="shared" si="8"/>
        <v>0</v>
      </c>
      <c r="BE184" s="6">
        <f t="shared" si="9"/>
        <v>0</v>
      </c>
      <c r="BF184" s="9" t="str">
        <f t="shared" si="10"/>
        <v/>
      </c>
      <c r="BG184" s="6">
        <f t="shared" si="11"/>
        <v>0</v>
      </c>
      <c r="BH184" s="6">
        <f t="shared" si="12"/>
        <v>0</v>
      </c>
      <c r="BI184" s="9" t="str">
        <f t="shared" si="13"/>
        <v/>
      </c>
      <c r="BJ184" s="6">
        <f t="shared" si="14"/>
        <v>0</v>
      </c>
      <c r="BK184" s="6">
        <f t="shared" si="15"/>
        <v>0</v>
      </c>
      <c r="BL184" s="6">
        <f t="shared" si="16"/>
        <v>0</v>
      </c>
      <c r="BM184" s="6">
        <f t="shared" si="17"/>
        <v>0</v>
      </c>
      <c r="BN184" s="6">
        <f t="shared" si="18"/>
        <v>0</v>
      </c>
      <c r="BP184" s="6">
        <f t="shared" si="19"/>
        <v>0</v>
      </c>
      <c r="BQ184" s="6" t="b">
        <f ca="1">IFERROR(__xludf.DUMMYFUNCTION("IF(AND(ISERROR(FILTER('Items by Team'!D$2:D3410,'Items by Team'!C$2:C3410 = D184,'Items by Team'!B$2:B3410 = B184)),NOT(A184=""Practice"")),TRUE,FALSE)"),FALSE)</f>
        <v>0</v>
      </c>
      <c r="BR184" s="6">
        <f t="shared" ca="1" si="20"/>
        <v>0</v>
      </c>
    </row>
    <row r="185" spans="1:70">
      <c r="A185" s="6"/>
      <c r="B185" s="6"/>
      <c r="C185" s="6"/>
      <c r="D185" s="6"/>
      <c r="E185" s="6"/>
      <c r="F185" s="6"/>
      <c r="G185" s="6"/>
      <c r="H185" s="6"/>
      <c r="I185" s="6"/>
      <c r="J185" s="6"/>
      <c r="K185" s="6"/>
      <c r="L185" s="6"/>
      <c r="M185" s="6"/>
      <c r="N185" s="6"/>
      <c r="O185" s="6"/>
      <c r="P185" s="6"/>
      <c r="R185" s="6"/>
      <c r="S185" s="6"/>
      <c r="T185" s="6"/>
      <c r="U185" s="6"/>
      <c r="V185" s="6"/>
      <c r="W185" s="6"/>
      <c r="X185" s="6"/>
      <c r="Y185" s="6"/>
      <c r="Z185" s="6"/>
      <c r="AA185" s="6"/>
      <c r="AB185" s="6"/>
      <c r="AD185" s="6"/>
      <c r="AE185" s="6"/>
      <c r="AF185" s="6"/>
      <c r="AG185" s="6"/>
      <c r="AH185" s="6"/>
      <c r="AI185" s="6"/>
      <c r="AK185" s="6"/>
      <c r="AL185" s="6"/>
      <c r="AM185" s="6"/>
      <c r="AN185" s="6"/>
      <c r="AO185" s="6"/>
      <c r="AP185" s="6"/>
      <c r="AQ185" s="6"/>
      <c r="AR185" s="6"/>
      <c r="AS185" s="15"/>
      <c r="AT185" s="6" t="str">
        <f ca="1">IFERROR(__xludf.DUMMYFUNCTION("SWITCH(IF(A185=""Practice"",AN185,FILTER('Items by Team'!E$2:E3410,'Items by Team'!C$2:C3410=D185,B185='Items by Team'!B$2:B3410)),""None"",""No"",""Parked"",""P"",""ShallowCage"",""Sc"",""DeepCage"",""Dc"",""No"",""No"",""P"",""P"",""Sc"",""Sc"",""Dc"","&amp;"""Dc"")"),"#REF!")</f>
        <v>#REF!</v>
      </c>
      <c r="AU185" s="6" t="str">
        <f ca="1">IFERROR(__xludf.DUMMYFUNCTION("SWITCH(IF(A185 = ""Practice"", H185, FILTER('Items by Team'!D$2:D3410,'Items by Team'!C$2:C3410 = D185,'Items by Team'!B$2:B3410 = B185)), ""Yes"", ""TRUE"", ""No"", ""FALSE"",TRUE, ""TRUE"", FALSE, ""FALSE"")"),"#REF!")</f>
        <v>#REF!</v>
      </c>
      <c r="AV185" s="6">
        <f t="shared" si="0"/>
        <v>0</v>
      </c>
      <c r="AW185" s="6">
        <f t="shared" si="1"/>
        <v>0</v>
      </c>
      <c r="AX185" s="6">
        <f t="shared" si="2"/>
        <v>0</v>
      </c>
      <c r="AY185" s="6">
        <f t="shared" si="3"/>
        <v>0</v>
      </c>
      <c r="AZ185" s="9" t="str">
        <f t="shared" si="4"/>
        <v/>
      </c>
      <c r="BA185" s="6">
        <f t="shared" si="5"/>
        <v>0</v>
      </c>
      <c r="BB185" s="6">
        <f t="shared" si="6"/>
        <v>0</v>
      </c>
      <c r="BC185" s="9" t="str">
        <f t="shared" si="7"/>
        <v/>
      </c>
      <c r="BD185" s="6">
        <f t="shared" si="8"/>
        <v>0</v>
      </c>
      <c r="BE185" s="6">
        <f t="shared" si="9"/>
        <v>0</v>
      </c>
      <c r="BF185" s="9" t="str">
        <f t="shared" si="10"/>
        <v/>
      </c>
      <c r="BG185" s="6">
        <f t="shared" si="11"/>
        <v>0</v>
      </c>
      <c r="BH185" s="6">
        <f t="shared" si="12"/>
        <v>0</v>
      </c>
      <c r="BI185" s="9" t="str">
        <f t="shared" si="13"/>
        <v/>
      </c>
      <c r="BJ185" s="6">
        <f t="shared" si="14"/>
        <v>0</v>
      </c>
      <c r="BK185" s="6">
        <f t="shared" si="15"/>
        <v>0</v>
      </c>
      <c r="BL185" s="6">
        <f t="shared" si="16"/>
        <v>0</v>
      </c>
      <c r="BM185" s="6">
        <f t="shared" si="17"/>
        <v>0</v>
      </c>
      <c r="BN185" s="6">
        <f t="shared" si="18"/>
        <v>0</v>
      </c>
      <c r="BP185" s="6">
        <f t="shared" si="19"/>
        <v>0</v>
      </c>
      <c r="BQ185" s="6" t="b">
        <f ca="1">IFERROR(__xludf.DUMMYFUNCTION("IF(AND(ISERROR(FILTER('Items by Team'!D$2:D3410,'Items by Team'!C$2:C3410 = D185,'Items by Team'!B$2:B3410 = B185)),NOT(A185=""Practice"")),TRUE,FALSE)"),FALSE)</f>
        <v>0</v>
      </c>
      <c r="BR185" s="6">
        <f t="shared" ca="1" si="20"/>
        <v>0</v>
      </c>
    </row>
    <row r="186" spans="1:70">
      <c r="A186" s="6"/>
      <c r="B186" s="6"/>
      <c r="C186" s="6"/>
      <c r="D186" s="6"/>
      <c r="E186" s="6"/>
      <c r="F186" s="6"/>
      <c r="G186" s="6"/>
      <c r="H186" s="6"/>
      <c r="I186" s="6"/>
      <c r="J186" s="6"/>
      <c r="K186" s="6"/>
      <c r="L186" s="6"/>
      <c r="M186" s="6"/>
      <c r="N186" s="6"/>
      <c r="O186" s="6"/>
      <c r="P186" s="6"/>
      <c r="R186" s="6"/>
      <c r="S186" s="6"/>
      <c r="T186" s="6"/>
      <c r="U186" s="6"/>
      <c r="V186" s="6"/>
      <c r="W186" s="6"/>
      <c r="X186" s="6"/>
      <c r="Y186" s="6"/>
      <c r="Z186" s="6"/>
      <c r="AA186" s="6"/>
      <c r="AB186" s="6"/>
      <c r="AD186" s="6"/>
      <c r="AE186" s="6"/>
      <c r="AF186" s="6"/>
      <c r="AG186" s="6"/>
      <c r="AH186" s="6"/>
      <c r="AI186" s="6"/>
      <c r="AK186" s="6"/>
      <c r="AL186" s="6"/>
      <c r="AM186" s="6"/>
      <c r="AN186" s="6"/>
      <c r="AO186" s="6"/>
      <c r="AP186" s="6"/>
      <c r="AQ186" s="6"/>
      <c r="AR186" s="6"/>
      <c r="AS186" s="15"/>
      <c r="AT186" s="6" t="str">
        <f ca="1">IFERROR(__xludf.DUMMYFUNCTION("SWITCH(IF(A186=""Practice"",AN186,FILTER('Items by Team'!E$2:E3410,'Items by Team'!C$2:C3410=D186,B186='Items by Team'!B$2:B3410)),""None"",""No"",""Parked"",""P"",""ShallowCage"",""Sc"",""DeepCage"",""Dc"",""No"",""No"",""P"",""P"",""Sc"",""Sc"",""Dc"","&amp;"""Dc"")"),"#REF!")</f>
        <v>#REF!</v>
      </c>
      <c r="AU186" s="6" t="str">
        <f ca="1">IFERROR(__xludf.DUMMYFUNCTION("SWITCH(IF(A186 = ""Practice"", H186, FILTER('Items by Team'!D$2:D3410,'Items by Team'!C$2:C3410 = D186,'Items by Team'!B$2:B3410 = B186)), ""Yes"", ""TRUE"", ""No"", ""FALSE"",TRUE, ""TRUE"", FALSE, ""FALSE"")"),"#REF!")</f>
        <v>#REF!</v>
      </c>
      <c r="AV186" s="6">
        <f t="shared" si="0"/>
        <v>0</v>
      </c>
      <c r="AW186" s="6">
        <f t="shared" si="1"/>
        <v>0</v>
      </c>
      <c r="AX186" s="6">
        <f t="shared" si="2"/>
        <v>0</v>
      </c>
      <c r="AY186" s="6">
        <f t="shared" si="3"/>
        <v>0</v>
      </c>
      <c r="AZ186" s="9" t="str">
        <f t="shared" si="4"/>
        <v/>
      </c>
      <c r="BA186" s="6">
        <f t="shared" si="5"/>
        <v>0</v>
      </c>
      <c r="BB186" s="6">
        <f t="shared" si="6"/>
        <v>0</v>
      </c>
      <c r="BC186" s="9" t="str">
        <f t="shared" si="7"/>
        <v/>
      </c>
      <c r="BD186" s="6">
        <f t="shared" si="8"/>
        <v>0</v>
      </c>
      <c r="BE186" s="6">
        <f t="shared" si="9"/>
        <v>0</v>
      </c>
      <c r="BF186" s="9" t="str">
        <f t="shared" si="10"/>
        <v/>
      </c>
      <c r="BG186" s="6">
        <f t="shared" si="11"/>
        <v>0</v>
      </c>
      <c r="BH186" s="6">
        <f t="shared" si="12"/>
        <v>0</v>
      </c>
      <c r="BI186" s="9" t="str">
        <f t="shared" si="13"/>
        <v/>
      </c>
      <c r="BJ186" s="6">
        <f t="shared" si="14"/>
        <v>0</v>
      </c>
      <c r="BK186" s="6">
        <f t="shared" si="15"/>
        <v>0</v>
      </c>
      <c r="BL186" s="6">
        <f t="shared" si="16"/>
        <v>0</v>
      </c>
      <c r="BM186" s="6">
        <f t="shared" si="17"/>
        <v>0</v>
      </c>
      <c r="BN186" s="6">
        <f t="shared" si="18"/>
        <v>0</v>
      </c>
      <c r="BP186" s="6">
        <f t="shared" si="19"/>
        <v>0</v>
      </c>
      <c r="BQ186" s="6" t="b">
        <f ca="1">IFERROR(__xludf.DUMMYFUNCTION("IF(AND(ISERROR(FILTER('Items by Team'!D$2:D3410,'Items by Team'!C$2:C3410 = D186,'Items by Team'!B$2:B3410 = B186)),NOT(A186=""Practice"")),TRUE,FALSE)"),FALSE)</f>
        <v>0</v>
      </c>
      <c r="BR186" s="6">
        <f t="shared" ca="1" si="20"/>
        <v>0</v>
      </c>
    </row>
    <row r="187" spans="1:70">
      <c r="A187" s="6"/>
      <c r="B187" s="6"/>
      <c r="C187" s="6"/>
      <c r="D187" s="6"/>
      <c r="E187" s="6"/>
      <c r="F187" s="6"/>
      <c r="G187" s="6"/>
      <c r="H187" s="6"/>
      <c r="I187" s="6"/>
      <c r="J187" s="6"/>
      <c r="K187" s="6"/>
      <c r="L187" s="6"/>
      <c r="M187" s="6"/>
      <c r="N187" s="6"/>
      <c r="O187" s="6"/>
      <c r="P187" s="6"/>
      <c r="R187" s="6"/>
      <c r="S187" s="6"/>
      <c r="T187" s="6"/>
      <c r="U187" s="6"/>
      <c r="V187" s="6"/>
      <c r="W187" s="6"/>
      <c r="X187" s="6"/>
      <c r="Y187" s="6"/>
      <c r="Z187" s="6"/>
      <c r="AA187" s="6"/>
      <c r="AB187" s="6"/>
      <c r="AD187" s="6"/>
      <c r="AE187" s="6"/>
      <c r="AF187" s="6"/>
      <c r="AG187" s="6"/>
      <c r="AH187" s="6"/>
      <c r="AI187" s="6"/>
      <c r="AK187" s="6"/>
      <c r="AL187" s="6"/>
      <c r="AM187" s="6"/>
      <c r="AN187" s="6"/>
      <c r="AO187" s="6"/>
      <c r="AP187" s="6"/>
      <c r="AQ187" s="6"/>
      <c r="AR187" s="6"/>
      <c r="AS187" s="15"/>
      <c r="AT187" s="6" t="str">
        <f ca="1">IFERROR(__xludf.DUMMYFUNCTION("SWITCH(IF(A187=""Practice"",AN187,FILTER('Items by Team'!E$2:E3410,'Items by Team'!C$2:C3410=D187,B187='Items by Team'!B$2:B3410)),""None"",""No"",""Parked"",""P"",""ShallowCage"",""Sc"",""DeepCage"",""Dc"",""No"",""No"",""P"",""P"",""Sc"",""Sc"",""Dc"","&amp;"""Dc"")"),"#REF!")</f>
        <v>#REF!</v>
      </c>
      <c r="AU187" s="6" t="str">
        <f ca="1">IFERROR(__xludf.DUMMYFUNCTION("SWITCH(IF(A187 = ""Practice"", H187, FILTER('Items by Team'!D$2:D3410,'Items by Team'!C$2:C3410 = D187,'Items by Team'!B$2:B3410 = B187)), ""Yes"", ""TRUE"", ""No"", ""FALSE"",TRUE, ""TRUE"", FALSE, ""FALSE"")"),"#REF!")</f>
        <v>#REF!</v>
      </c>
      <c r="AV187" s="6">
        <f t="shared" si="0"/>
        <v>0</v>
      </c>
      <c r="AW187" s="6">
        <f t="shared" si="1"/>
        <v>0</v>
      </c>
      <c r="AX187" s="6">
        <f t="shared" si="2"/>
        <v>0</v>
      </c>
      <c r="AY187" s="6">
        <f t="shared" si="3"/>
        <v>0</v>
      </c>
      <c r="AZ187" s="9" t="str">
        <f t="shared" si="4"/>
        <v/>
      </c>
      <c r="BA187" s="6">
        <f t="shared" si="5"/>
        <v>0</v>
      </c>
      <c r="BB187" s="6">
        <f t="shared" si="6"/>
        <v>0</v>
      </c>
      <c r="BC187" s="9" t="str">
        <f t="shared" si="7"/>
        <v/>
      </c>
      <c r="BD187" s="6">
        <f t="shared" si="8"/>
        <v>0</v>
      </c>
      <c r="BE187" s="6">
        <f t="shared" si="9"/>
        <v>0</v>
      </c>
      <c r="BF187" s="9" t="str">
        <f t="shared" si="10"/>
        <v/>
      </c>
      <c r="BG187" s="6">
        <f t="shared" si="11"/>
        <v>0</v>
      </c>
      <c r="BH187" s="6">
        <f t="shared" si="12"/>
        <v>0</v>
      </c>
      <c r="BI187" s="9" t="str">
        <f t="shared" si="13"/>
        <v/>
      </c>
      <c r="BJ187" s="6">
        <f t="shared" si="14"/>
        <v>0</v>
      </c>
      <c r="BK187" s="6">
        <f t="shared" si="15"/>
        <v>0</v>
      </c>
      <c r="BL187" s="6">
        <f t="shared" si="16"/>
        <v>0</v>
      </c>
      <c r="BM187" s="6">
        <f t="shared" si="17"/>
        <v>0</v>
      </c>
      <c r="BN187" s="6">
        <f t="shared" si="18"/>
        <v>0</v>
      </c>
      <c r="BP187" s="6">
        <f t="shared" si="19"/>
        <v>0</v>
      </c>
      <c r="BQ187" s="6" t="b">
        <f ca="1">IFERROR(__xludf.DUMMYFUNCTION("IF(AND(ISERROR(FILTER('Items by Team'!D$2:D3410,'Items by Team'!C$2:C3410 = D187,'Items by Team'!B$2:B3410 = B187)),NOT(A187=""Practice"")),TRUE,FALSE)"),FALSE)</f>
        <v>0</v>
      </c>
      <c r="BR187" s="6">
        <f t="shared" ca="1" si="20"/>
        <v>0</v>
      </c>
    </row>
    <row r="188" spans="1:70">
      <c r="A188" s="6"/>
      <c r="B188" s="6"/>
      <c r="C188" s="6"/>
      <c r="D188" s="6"/>
      <c r="E188" s="6"/>
      <c r="F188" s="6"/>
      <c r="G188" s="6"/>
      <c r="H188" s="6"/>
      <c r="I188" s="6"/>
      <c r="J188" s="6"/>
      <c r="K188" s="6"/>
      <c r="L188" s="6"/>
      <c r="M188" s="6"/>
      <c r="N188" s="6"/>
      <c r="O188" s="6"/>
      <c r="P188" s="6"/>
      <c r="R188" s="6"/>
      <c r="S188" s="6"/>
      <c r="T188" s="6"/>
      <c r="U188" s="6"/>
      <c r="V188" s="6"/>
      <c r="W188" s="6"/>
      <c r="X188" s="6"/>
      <c r="Y188" s="6"/>
      <c r="Z188" s="6"/>
      <c r="AA188" s="6"/>
      <c r="AB188" s="6"/>
      <c r="AD188" s="6"/>
      <c r="AE188" s="6"/>
      <c r="AF188" s="6"/>
      <c r="AG188" s="6"/>
      <c r="AH188" s="6"/>
      <c r="AI188" s="6"/>
      <c r="AK188" s="6"/>
      <c r="AL188" s="6"/>
      <c r="AM188" s="6"/>
      <c r="AN188" s="6"/>
      <c r="AO188" s="6"/>
      <c r="AP188" s="6"/>
      <c r="AQ188" s="6"/>
      <c r="AR188" s="6"/>
      <c r="AS188" s="15"/>
      <c r="AT188" s="6" t="str">
        <f ca="1">IFERROR(__xludf.DUMMYFUNCTION("SWITCH(IF(A188=""Practice"",AN188,FILTER('Items by Team'!E$2:E3410,'Items by Team'!C$2:C3410=D188,B188='Items by Team'!B$2:B3410)),""None"",""No"",""Parked"",""P"",""ShallowCage"",""Sc"",""DeepCage"",""Dc"",""No"",""No"",""P"",""P"",""Sc"",""Sc"",""Dc"","&amp;"""Dc"")"),"#REF!")</f>
        <v>#REF!</v>
      </c>
      <c r="AU188" s="6" t="str">
        <f ca="1">IFERROR(__xludf.DUMMYFUNCTION("SWITCH(IF(A188 = ""Practice"", H188, FILTER('Items by Team'!D$2:D3410,'Items by Team'!C$2:C3410 = D188,'Items by Team'!B$2:B3410 = B188)), ""Yes"", ""TRUE"", ""No"", ""FALSE"",TRUE, ""TRUE"", FALSE, ""FALSE"")"),"#REF!")</f>
        <v>#REF!</v>
      </c>
      <c r="AV188" s="6">
        <f t="shared" si="0"/>
        <v>0</v>
      </c>
      <c r="AW188" s="6">
        <f t="shared" si="1"/>
        <v>0</v>
      </c>
      <c r="AX188" s="6">
        <f t="shared" si="2"/>
        <v>0</v>
      </c>
      <c r="AY188" s="6">
        <f t="shared" si="3"/>
        <v>0</v>
      </c>
      <c r="AZ188" s="9" t="str">
        <f t="shared" si="4"/>
        <v/>
      </c>
      <c r="BA188" s="6">
        <f t="shared" si="5"/>
        <v>0</v>
      </c>
      <c r="BB188" s="6">
        <f t="shared" si="6"/>
        <v>0</v>
      </c>
      <c r="BC188" s="9" t="str">
        <f t="shared" si="7"/>
        <v/>
      </c>
      <c r="BD188" s="6">
        <f t="shared" si="8"/>
        <v>0</v>
      </c>
      <c r="BE188" s="6">
        <f t="shared" si="9"/>
        <v>0</v>
      </c>
      <c r="BF188" s="9" t="str">
        <f t="shared" si="10"/>
        <v/>
      </c>
      <c r="BG188" s="6">
        <f t="shared" si="11"/>
        <v>0</v>
      </c>
      <c r="BH188" s="6">
        <f t="shared" si="12"/>
        <v>0</v>
      </c>
      <c r="BI188" s="9" t="str">
        <f t="shared" si="13"/>
        <v/>
      </c>
      <c r="BJ188" s="6">
        <f t="shared" si="14"/>
        <v>0</v>
      </c>
      <c r="BK188" s="6">
        <f t="shared" si="15"/>
        <v>0</v>
      </c>
      <c r="BL188" s="6">
        <f t="shared" si="16"/>
        <v>0</v>
      </c>
      <c r="BM188" s="6">
        <f t="shared" si="17"/>
        <v>0</v>
      </c>
      <c r="BN188" s="6">
        <f t="shared" si="18"/>
        <v>0</v>
      </c>
      <c r="BP188" s="6">
        <f t="shared" si="19"/>
        <v>0</v>
      </c>
      <c r="BQ188" s="6" t="b">
        <f ca="1">IFERROR(__xludf.DUMMYFUNCTION("IF(AND(ISERROR(FILTER('Items by Team'!D$2:D3410,'Items by Team'!C$2:C3410 = D188,'Items by Team'!B$2:B3410 = B188)),NOT(A188=""Practice"")),TRUE,FALSE)"),FALSE)</f>
        <v>0</v>
      </c>
      <c r="BR188" s="6">
        <f t="shared" ca="1" si="20"/>
        <v>0</v>
      </c>
    </row>
    <row r="189" spans="1:70">
      <c r="A189" s="6"/>
      <c r="B189" s="6"/>
      <c r="C189" s="6"/>
      <c r="D189" s="6"/>
      <c r="E189" s="6"/>
      <c r="F189" s="6"/>
      <c r="G189" s="6"/>
      <c r="H189" s="6"/>
      <c r="I189" s="6"/>
      <c r="J189" s="6"/>
      <c r="K189" s="6"/>
      <c r="L189" s="6"/>
      <c r="M189" s="6"/>
      <c r="N189" s="6"/>
      <c r="O189" s="6"/>
      <c r="P189" s="6"/>
      <c r="R189" s="6"/>
      <c r="S189" s="6"/>
      <c r="T189" s="6"/>
      <c r="U189" s="6"/>
      <c r="V189" s="6"/>
      <c r="W189" s="6"/>
      <c r="X189" s="6"/>
      <c r="Y189" s="6"/>
      <c r="Z189" s="6"/>
      <c r="AA189" s="6"/>
      <c r="AB189" s="6"/>
      <c r="AD189" s="6"/>
      <c r="AE189" s="6"/>
      <c r="AF189" s="6"/>
      <c r="AG189" s="6"/>
      <c r="AH189" s="6"/>
      <c r="AI189" s="6"/>
      <c r="AK189" s="6"/>
      <c r="AL189" s="6"/>
      <c r="AM189" s="6"/>
      <c r="AN189" s="6"/>
      <c r="AO189" s="6"/>
      <c r="AP189" s="6"/>
      <c r="AQ189" s="6"/>
      <c r="AR189" s="6"/>
      <c r="AS189" s="15"/>
      <c r="AT189" s="6" t="str">
        <f ca="1">IFERROR(__xludf.DUMMYFUNCTION("SWITCH(IF(A189=""Practice"",AN189,FILTER('Items by Team'!E$2:E3410,'Items by Team'!C$2:C3410=D189,B189='Items by Team'!B$2:B3410)),""None"",""No"",""Parked"",""P"",""ShallowCage"",""Sc"",""DeepCage"",""Dc"",""No"",""No"",""P"",""P"",""Sc"",""Sc"",""Dc"","&amp;"""Dc"")"),"#REF!")</f>
        <v>#REF!</v>
      </c>
      <c r="AU189" s="6" t="str">
        <f ca="1">IFERROR(__xludf.DUMMYFUNCTION("SWITCH(IF(A189 = ""Practice"", H189, FILTER('Items by Team'!D$2:D3410,'Items by Team'!C$2:C3410 = D189,'Items by Team'!B$2:B3410 = B189)), ""Yes"", ""TRUE"", ""No"", ""FALSE"",TRUE, ""TRUE"", FALSE, ""FALSE"")"),"#REF!")</f>
        <v>#REF!</v>
      </c>
      <c r="AV189" s="6">
        <f t="shared" si="0"/>
        <v>0</v>
      </c>
      <c r="AW189" s="6">
        <f t="shared" si="1"/>
        <v>0</v>
      </c>
      <c r="AX189" s="6">
        <f t="shared" si="2"/>
        <v>0</v>
      </c>
      <c r="AY189" s="6">
        <f t="shared" si="3"/>
        <v>0</v>
      </c>
      <c r="AZ189" s="9" t="str">
        <f t="shared" si="4"/>
        <v/>
      </c>
      <c r="BA189" s="6">
        <f t="shared" si="5"/>
        <v>0</v>
      </c>
      <c r="BB189" s="6">
        <f t="shared" si="6"/>
        <v>0</v>
      </c>
      <c r="BC189" s="9" t="str">
        <f t="shared" si="7"/>
        <v/>
      </c>
      <c r="BD189" s="6">
        <f t="shared" si="8"/>
        <v>0</v>
      </c>
      <c r="BE189" s="6">
        <f t="shared" si="9"/>
        <v>0</v>
      </c>
      <c r="BF189" s="9" t="str">
        <f t="shared" si="10"/>
        <v/>
      </c>
      <c r="BG189" s="6">
        <f t="shared" si="11"/>
        <v>0</v>
      </c>
      <c r="BH189" s="6">
        <f t="shared" si="12"/>
        <v>0</v>
      </c>
      <c r="BI189" s="9" t="str">
        <f t="shared" si="13"/>
        <v/>
      </c>
      <c r="BJ189" s="6">
        <f t="shared" si="14"/>
        <v>0</v>
      </c>
      <c r="BK189" s="6">
        <f t="shared" si="15"/>
        <v>0</v>
      </c>
      <c r="BL189" s="6">
        <f t="shared" si="16"/>
        <v>0</v>
      </c>
      <c r="BM189" s="6">
        <f t="shared" si="17"/>
        <v>0</v>
      </c>
      <c r="BN189" s="6">
        <f t="shared" si="18"/>
        <v>0</v>
      </c>
      <c r="BP189" s="6">
        <f t="shared" si="19"/>
        <v>0</v>
      </c>
      <c r="BQ189" s="6" t="b">
        <f ca="1">IFERROR(__xludf.DUMMYFUNCTION("IF(AND(ISERROR(FILTER('Items by Team'!D$2:D3410,'Items by Team'!C$2:C3410 = D189,'Items by Team'!B$2:B3410 = B189)),NOT(A189=""Practice"")),TRUE,FALSE)"),FALSE)</f>
        <v>0</v>
      </c>
      <c r="BR189" s="6">
        <f t="shared" ca="1" si="20"/>
        <v>0</v>
      </c>
    </row>
    <row r="190" spans="1:70">
      <c r="A190" s="6"/>
      <c r="B190" s="6"/>
      <c r="C190" s="6"/>
      <c r="D190" s="6"/>
      <c r="E190" s="6"/>
      <c r="F190" s="6"/>
      <c r="G190" s="6"/>
      <c r="H190" s="6"/>
      <c r="I190" s="6"/>
      <c r="J190" s="6"/>
      <c r="K190" s="6"/>
      <c r="L190" s="6"/>
      <c r="M190" s="6"/>
      <c r="N190" s="6"/>
      <c r="O190" s="6"/>
      <c r="P190" s="6"/>
      <c r="R190" s="6"/>
      <c r="S190" s="6"/>
      <c r="T190" s="6"/>
      <c r="U190" s="6"/>
      <c r="V190" s="6"/>
      <c r="W190" s="6"/>
      <c r="X190" s="6"/>
      <c r="Y190" s="6"/>
      <c r="Z190" s="6"/>
      <c r="AA190" s="6"/>
      <c r="AB190" s="6"/>
      <c r="AD190" s="6"/>
      <c r="AE190" s="6"/>
      <c r="AF190" s="6"/>
      <c r="AG190" s="6"/>
      <c r="AH190" s="6"/>
      <c r="AI190" s="6"/>
      <c r="AK190" s="6"/>
      <c r="AL190" s="6"/>
      <c r="AM190" s="6"/>
      <c r="AN190" s="6"/>
      <c r="AO190" s="6"/>
      <c r="AP190" s="6"/>
      <c r="AQ190" s="6"/>
      <c r="AR190" s="6"/>
      <c r="AS190" s="15"/>
      <c r="AT190" s="6" t="str">
        <f ca="1">IFERROR(__xludf.DUMMYFUNCTION("SWITCH(IF(A190=""Practice"",AN190,FILTER('Items by Team'!E$2:E3410,'Items by Team'!C$2:C3410=D190,B190='Items by Team'!B$2:B3410)),""None"",""No"",""Parked"",""P"",""ShallowCage"",""Sc"",""DeepCage"",""Dc"",""No"",""No"",""P"",""P"",""Sc"",""Sc"",""Dc"","&amp;"""Dc"")"),"#REF!")</f>
        <v>#REF!</v>
      </c>
      <c r="AU190" s="6" t="str">
        <f ca="1">IFERROR(__xludf.DUMMYFUNCTION("SWITCH(IF(A190 = ""Practice"", H190, FILTER('Items by Team'!D$2:D3410,'Items by Team'!C$2:C3410 = D190,'Items by Team'!B$2:B3410 = B190)), ""Yes"", ""TRUE"", ""No"", ""FALSE"",TRUE, ""TRUE"", FALSE, ""FALSE"")"),"#REF!")</f>
        <v>#REF!</v>
      </c>
      <c r="AV190" s="6">
        <f t="shared" si="0"/>
        <v>0</v>
      </c>
      <c r="AW190" s="6">
        <f t="shared" si="1"/>
        <v>0</v>
      </c>
      <c r="AX190" s="6">
        <f t="shared" si="2"/>
        <v>0</v>
      </c>
      <c r="AY190" s="6">
        <f t="shared" si="3"/>
        <v>0</v>
      </c>
      <c r="AZ190" s="9" t="str">
        <f t="shared" si="4"/>
        <v/>
      </c>
      <c r="BA190" s="6">
        <f t="shared" si="5"/>
        <v>0</v>
      </c>
      <c r="BB190" s="6">
        <f t="shared" si="6"/>
        <v>0</v>
      </c>
      <c r="BC190" s="9" t="str">
        <f t="shared" si="7"/>
        <v/>
      </c>
      <c r="BD190" s="6">
        <f t="shared" si="8"/>
        <v>0</v>
      </c>
      <c r="BE190" s="6">
        <f t="shared" si="9"/>
        <v>0</v>
      </c>
      <c r="BF190" s="9" t="str">
        <f t="shared" si="10"/>
        <v/>
      </c>
      <c r="BG190" s="6">
        <f t="shared" si="11"/>
        <v>0</v>
      </c>
      <c r="BH190" s="6">
        <f t="shared" si="12"/>
        <v>0</v>
      </c>
      <c r="BI190" s="9" t="str">
        <f t="shared" si="13"/>
        <v/>
      </c>
      <c r="BJ190" s="6">
        <f t="shared" si="14"/>
        <v>0</v>
      </c>
      <c r="BK190" s="6">
        <f t="shared" si="15"/>
        <v>0</v>
      </c>
      <c r="BL190" s="6">
        <f t="shared" si="16"/>
        <v>0</v>
      </c>
      <c r="BM190" s="6">
        <f t="shared" si="17"/>
        <v>0</v>
      </c>
      <c r="BN190" s="6">
        <f t="shared" si="18"/>
        <v>0</v>
      </c>
      <c r="BP190" s="6">
        <f t="shared" si="19"/>
        <v>0</v>
      </c>
      <c r="BQ190" s="6" t="b">
        <f ca="1">IFERROR(__xludf.DUMMYFUNCTION("IF(AND(ISERROR(FILTER('Items by Team'!D$2:D3410,'Items by Team'!C$2:C3410 = D190,'Items by Team'!B$2:B3410 = B190)),NOT(A190=""Practice"")),TRUE,FALSE)"),FALSE)</f>
        <v>0</v>
      </c>
      <c r="BR190" s="6">
        <f t="shared" ca="1" si="20"/>
        <v>0</v>
      </c>
    </row>
    <row r="191" spans="1:70">
      <c r="A191" s="6"/>
      <c r="B191" s="6"/>
      <c r="C191" s="6"/>
      <c r="D191" s="6"/>
      <c r="E191" s="6"/>
      <c r="F191" s="6"/>
      <c r="G191" s="6"/>
      <c r="H191" s="6"/>
      <c r="I191" s="6"/>
      <c r="J191" s="6"/>
      <c r="K191" s="6"/>
      <c r="L191" s="6"/>
      <c r="M191" s="6"/>
      <c r="N191" s="6"/>
      <c r="O191" s="6"/>
      <c r="P191" s="6"/>
      <c r="R191" s="6"/>
      <c r="S191" s="6"/>
      <c r="T191" s="6"/>
      <c r="U191" s="6"/>
      <c r="V191" s="6"/>
      <c r="W191" s="6"/>
      <c r="X191" s="6"/>
      <c r="Y191" s="6"/>
      <c r="Z191" s="6"/>
      <c r="AA191" s="6"/>
      <c r="AB191" s="6"/>
      <c r="AD191" s="6"/>
      <c r="AE191" s="6"/>
      <c r="AF191" s="6"/>
      <c r="AG191" s="6"/>
      <c r="AH191" s="6"/>
      <c r="AI191" s="6"/>
      <c r="AK191" s="6"/>
      <c r="AL191" s="6"/>
      <c r="AM191" s="6"/>
      <c r="AN191" s="6"/>
      <c r="AO191" s="6"/>
      <c r="AP191" s="6"/>
      <c r="AQ191" s="6"/>
      <c r="AR191" s="6"/>
      <c r="AS191" s="15"/>
      <c r="AT191" s="6" t="str">
        <f ca="1">IFERROR(__xludf.DUMMYFUNCTION("SWITCH(IF(A191=""Practice"",AN191,FILTER('Items by Team'!E$2:E3410,'Items by Team'!C$2:C3410=D191,B191='Items by Team'!B$2:B3410)),""None"",""No"",""Parked"",""P"",""ShallowCage"",""Sc"",""DeepCage"",""Dc"",""No"",""No"",""P"",""P"",""Sc"",""Sc"",""Dc"","&amp;"""Dc"")"),"#REF!")</f>
        <v>#REF!</v>
      </c>
      <c r="AU191" s="6" t="str">
        <f ca="1">IFERROR(__xludf.DUMMYFUNCTION("SWITCH(IF(A191 = ""Practice"", H191, FILTER('Items by Team'!D$2:D3410,'Items by Team'!C$2:C3410 = D191,'Items by Team'!B$2:B3410 = B191)), ""Yes"", ""TRUE"", ""No"", ""FALSE"",TRUE, ""TRUE"", FALSE, ""FALSE"")"),"#REF!")</f>
        <v>#REF!</v>
      </c>
      <c r="AV191" s="6">
        <f t="shared" si="0"/>
        <v>0</v>
      </c>
      <c r="AW191" s="6">
        <f t="shared" si="1"/>
        <v>0</v>
      </c>
      <c r="AX191" s="6">
        <f t="shared" si="2"/>
        <v>0</v>
      </c>
      <c r="AY191" s="6">
        <f t="shared" si="3"/>
        <v>0</v>
      </c>
      <c r="AZ191" s="9" t="str">
        <f t="shared" si="4"/>
        <v/>
      </c>
      <c r="BA191" s="6">
        <f t="shared" si="5"/>
        <v>0</v>
      </c>
      <c r="BB191" s="6">
        <f t="shared" si="6"/>
        <v>0</v>
      </c>
      <c r="BC191" s="9" t="str">
        <f t="shared" si="7"/>
        <v/>
      </c>
      <c r="BD191" s="6">
        <f t="shared" si="8"/>
        <v>0</v>
      </c>
      <c r="BE191" s="6">
        <f t="shared" si="9"/>
        <v>0</v>
      </c>
      <c r="BF191" s="9" t="str">
        <f t="shared" si="10"/>
        <v/>
      </c>
      <c r="BG191" s="6">
        <f t="shared" si="11"/>
        <v>0</v>
      </c>
      <c r="BH191" s="6">
        <f t="shared" si="12"/>
        <v>0</v>
      </c>
      <c r="BI191" s="9" t="str">
        <f t="shared" si="13"/>
        <v/>
      </c>
      <c r="BJ191" s="6">
        <f t="shared" si="14"/>
        <v>0</v>
      </c>
      <c r="BK191" s="6">
        <f t="shared" si="15"/>
        <v>0</v>
      </c>
      <c r="BL191" s="6">
        <f t="shared" si="16"/>
        <v>0</v>
      </c>
      <c r="BM191" s="6">
        <f t="shared" si="17"/>
        <v>0</v>
      </c>
      <c r="BN191" s="6">
        <f t="shared" si="18"/>
        <v>0</v>
      </c>
      <c r="BP191" s="6">
        <f t="shared" si="19"/>
        <v>0</v>
      </c>
      <c r="BQ191" s="6" t="b">
        <f ca="1">IFERROR(__xludf.DUMMYFUNCTION("IF(AND(ISERROR(FILTER('Items by Team'!D$2:D3410,'Items by Team'!C$2:C3410 = D191,'Items by Team'!B$2:B3410 = B191)),NOT(A191=""Practice"")),TRUE,FALSE)"),FALSE)</f>
        <v>0</v>
      </c>
      <c r="BR191" s="6">
        <f t="shared" ca="1" si="20"/>
        <v>0</v>
      </c>
    </row>
    <row r="192" spans="1:70">
      <c r="A192" s="6"/>
      <c r="B192" s="6"/>
      <c r="C192" s="6"/>
      <c r="D192" s="6"/>
      <c r="E192" s="6"/>
      <c r="F192" s="6"/>
      <c r="G192" s="6"/>
      <c r="H192" s="6"/>
      <c r="I192" s="6"/>
      <c r="J192" s="6"/>
      <c r="K192" s="6"/>
      <c r="L192" s="6"/>
      <c r="M192" s="6"/>
      <c r="N192" s="6"/>
      <c r="O192" s="6"/>
      <c r="P192" s="6"/>
      <c r="R192" s="6"/>
      <c r="S192" s="6"/>
      <c r="T192" s="6"/>
      <c r="U192" s="6"/>
      <c r="V192" s="6"/>
      <c r="W192" s="6"/>
      <c r="X192" s="6"/>
      <c r="Y192" s="6"/>
      <c r="Z192" s="6"/>
      <c r="AA192" s="6"/>
      <c r="AB192" s="6"/>
      <c r="AD192" s="6"/>
      <c r="AE192" s="6"/>
      <c r="AF192" s="6"/>
      <c r="AG192" s="6"/>
      <c r="AH192" s="6"/>
      <c r="AI192" s="6"/>
      <c r="AK192" s="6"/>
      <c r="AL192" s="6"/>
      <c r="AM192" s="6"/>
      <c r="AN192" s="6"/>
      <c r="AO192" s="6"/>
      <c r="AP192" s="6"/>
      <c r="AQ192" s="6"/>
      <c r="AR192" s="6"/>
      <c r="AS192" s="15"/>
      <c r="AT192" s="6" t="str">
        <f ca="1">IFERROR(__xludf.DUMMYFUNCTION("SWITCH(IF(A192=""Practice"",AN192,FILTER('Items by Team'!E$2:E3410,'Items by Team'!C$2:C3410=D192,B192='Items by Team'!B$2:B3410)),""None"",""No"",""Parked"",""P"",""ShallowCage"",""Sc"",""DeepCage"",""Dc"",""No"",""No"",""P"",""P"",""Sc"",""Sc"",""Dc"","&amp;"""Dc"")"),"#REF!")</f>
        <v>#REF!</v>
      </c>
      <c r="AU192" s="6" t="str">
        <f ca="1">IFERROR(__xludf.DUMMYFUNCTION("SWITCH(IF(A192 = ""Practice"", H192, FILTER('Items by Team'!D$2:D3410,'Items by Team'!C$2:C3410 = D192,'Items by Team'!B$2:B3410 = B192)), ""Yes"", ""TRUE"", ""No"", ""FALSE"",TRUE, ""TRUE"", FALSE, ""FALSE"")"),"#REF!")</f>
        <v>#REF!</v>
      </c>
      <c r="AV192" s="6">
        <f t="shared" si="0"/>
        <v>0</v>
      </c>
      <c r="AW192" s="6">
        <f t="shared" si="1"/>
        <v>0</v>
      </c>
      <c r="AX192" s="6">
        <f t="shared" si="2"/>
        <v>0</v>
      </c>
      <c r="AY192" s="6">
        <f t="shared" si="3"/>
        <v>0</v>
      </c>
      <c r="AZ192" s="9" t="str">
        <f t="shared" si="4"/>
        <v/>
      </c>
      <c r="BA192" s="6">
        <f t="shared" si="5"/>
        <v>0</v>
      </c>
      <c r="BB192" s="6">
        <f t="shared" si="6"/>
        <v>0</v>
      </c>
      <c r="BC192" s="9" t="str">
        <f t="shared" si="7"/>
        <v/>
      </c>
      <c r="BD192" s="6">
        <f t="shared" si="8"/>
        <v>0</v>
      </c>
      <c r="BE192" s="6">
        <f t="shared" si="9"/>
        <v>0</v>
      </c>
      <c r="BF192" s="9" t="str">
        <f t="shared" si="10"/>
        <v/>
      </c>
      <c r="BG192" s="6">
        <f t="shared" si="11"/>
        <v>0</v>
      </c>
      <c r="BH192" s="6">
        <f t="shared" si="12"/>
        <v>0</v>
      </c>
      <c r="BI192" s="9" t="str">
        <f t="shared" si="13"/>
        <v/>
      </c>
      <c r="BJ192" s="6">
        <f t="shared" si="14"/>
        <v>0</v>
      </c>
      <c r="BK192" s="6">
        <f t="shared" si="15"/>
        <v>0</v>
      </c>
      <c r="BL192" s="6">
        <f t="shared" si="16"/>
        <v>0</v>
      </c>
      <c r="BM192" s="6">
        <f t="shared" si="17"/>
        <v>0</v>
      </c>
      <c r="BN192" s="6">
        <f t="shared" si="18"/>
        <v>0</v>
      </c>
      <c r="BP192" s="6">
        <f t="shared" si="19"/>
        <v>0</v>
      </c>
      <c r="BQ192" s="6" t="b">
        <f ca="1">IFERROR(__xludf.DUMMYFUNCTION("IF(AND(ISERROR(FILTER('Items by Team'!D$2:D3410,'Items by Team'!C$2:C3410 = D192,'Items by Team'!B$2:B3410 = B192)),NOT(A192=""Practice"")),TRUE,FALSE)"),FALSE)</f>
        <v>0</v>
      </c>
      <c r="BR192" s="6">
        <f t="shared" ca="1" si="20"/>
        <v>0</v>
      </c>
    </row>
    <row r="193" spans="1:70">
      <c r="A193" s="6"/>
      <c r="B193" s="6"/>
      <c r="C193" s="6"/>
      <c r="D193" s="6"/>
      <c r="E193" s="6"/>
      <c r="F193" s="6"/>
      <c r="G193" s="6"/>
      <c r="H193" s="6"/>
      <c r="I193" s="6"/>
      <c r="J193" s="6"/>
      <c r="K193" s="6"/>
      <c r="L193" s="6"/>
      <c r="M193" s="6"/>
      <c r="N193" s="6"/>
      <c r="O193" s="6"/>
      <c r="P193" s="6"/>
      <c r="R193" s="6"/>
      <c r="S193" s="6"/>
      <c r="T193" s="6"/>
      <c r="U193" s="6"/>
      <c r="V193" s="6"/>
      <c r="W193" s="6"/>
      <c r="X193" s="6"/>
      <c r="Y193" s="6"/>
      <c r="Z193" s="6"/>
      <c r="AA193" s="6"/>
      <c r="AB193" s="6"/>
      <c r="AD193" s="6"/>
      <c r="AE193" s="6"/>
      <c r="AF193" s="6"/>
      <c r="AG193" s="6"/>
      <c r="AH193" s="6"/>
      <c r="AI193" s="6"/>
      <c r="AK193" s="6"/>
      <c r="AL193" s="6"/>
      <c r="AM193" s="6"/>
      <c r="AN193" s="6"/>
      <c r="AO193" s="6"/>
      <c r="AP193" s="6"/>
      <c r="AQ193" s="6"/>
      <c r="AR193" s="6"/>
      <c r="AS193" s="15"/>
      <c r="AT193" s="6" t="str">
        <f ca="1">IFERROR(__xludf.DUMMYFUNCTION("SWITCH(IF(A193=""Practice"",AN193,FILTER('Items by Team'!E$2:E3410,'Items by Team'!C$2:C3410=D193,B193='Items by Team'!B$2:B3410)),""None"",""No"",""Parked"",""P"",""ShallowCage"",""Sc"",""DeepCage"",""Dc"",""No"",""No"",""P"",""P"",""Sc"",""Sc"",""Dc"","&amp;"""Dc"")"),"#REF!")</f>
        <v>#REF!</v>
      </c>
      <c r="AU193" s="6" t="str">
        <f ca="1">IFERROR(__xludf.DUMMYFUNCTION("SWITCH(IF(A193 = ""Practice"", H193, FILTER('Items by Team'!D$2:D3410,'Items by Team'!C$2:C3410 = D193,'Items by Team'!B$2:B3410 = B193)), ""Yes"", ""TRUE"", ""No"", ""FALSE"",TRUE, ""TRUE"", FALSE, ""FALSE"")"),"#REF!")</f>
        <v>#REF!</v>
      </c>
      <c r="AV193" s="6">
        <f t="shared" si="0"/>
        <v>0</v>
      </c>
      <c r="AW193" s="6">
        <f t="shared" si="1"/>
        <v>0</v>
      </c>
      <c r="AX193" s="6">
        <f t="shared" si="2"/>
        <v>0</v>
      </c>
      <c r="AY193" s="6">
        <f t="shared" si="3"/>
        <v>0</v>
      </c>
      <c r="AZ193" s="9" t="str">
        <f t="shared" si="4"/>
        <v/>
      </c>
      <c r="BA193" s="6">
        <f t="shared" si="5"/>
        <v>0</v>
      </c>
      <c r="BB193" s="6">
        <f t="shared" si="6"/>
        <v>0</v>
      </c>
      <c r="BC193" s="9" t="str">
        <f t="shared" si="7"/>
        <v/>
      </c>
      <c r="BD193" s="6">
        <f t="shared" si="8"/>
        <v>0</v>
      </c>
      <c r="BE193" s="6">
        <f t="shared" si="9"/>
        <v>0</v>
      </c>
      <c r="BF193" s="9" t="str">
        <f t="shared" si="10"/>
        <v/>
      </c>
      <c r="BG193" s="6">
        <f t="shared" si="11"/>
        <v>0</v>
      </c>
      <c r="BH193" s="6">
        <f t="shared" si="12"/>
        <v>0</v>
      </c>
      <c r="BI193" s="9" t="str">
        <f t="shared" si="13"/>
        <v/>
      </c>
      <c r="BJ193" s="6">
        <f t="shared" si="14"/>
        <v>0</v>
      </c>
      <c r="BK193" s="6">
        <f t="shared" si="15"/>
        <v>0</v>
      </c>
      <c r="BL193" s="6">
        <f t="shared" si="16"/>
        <v>0</v>
      </c>
      <c r="BM193" s="6">
        <f t="shared" si="17"/>
        <v>0</v>
      </c>
      <c r="BN193" s="6">
        <f t="shared" si="18"/>
        <v>0</v>
      </c>
      <c r="BP193" s="6">
        <f t="shared" si="19"/>
        <v>0</v>
      </c>
      <c r="BQ193" s="6" t="b">
        <f ca="1">IFERROR(__xludf.DUMMYFUNCTION("IF(AND(ISERROR(FILTER('Items by Team'!D$2:D3410,'Items by Team'!C$2:C3410 = D193,'Items by Team'!B$2:B3410 = B193)),NOT(A193=""Practice"")),TRUE,FALSE)"),FALSE)</f>
        <v>0</v>
      </c>
      <c r="BR193" s="6">
        <f t="shared" ca="1" si="20"/>
        <v>0</v>
      </c>
    </row>
    <row r="194" spans="1:70">
      <c r="A194" s="6"/>
      <c r="B194" s="6"/>
      <c r="C194" s="6"/>
      <c r="D194" s="6"/>
      <c r="E194" s="6"/>
      <c r="F194" s="6"/>
      <c r="G194" s="6"/>
      <c r="H194" s="6"/>
      <c r="I194" s="6"/>
      <c r="J194" s="6"/>
      <c r="K194" s="6"/>
      <c r="L194" s="6"/>
      <c r="M194" s="6"/>
      <c r="N194" s="6"/>
      <c r="O194" s="6"/>
      <c r="P194" s="6"/>
      <c r="R194" s="6"/>
      <c r="S194" s="6"/>
      <c r="T194" s="6"/>
      <c r="U194" s="6"/>
      <c r="V194" s="6"/>
      <c r="W194" s="6"/>
      <c r="X194" s="6"/>
      <c r="Y194" s="6"/>
      <c r="Z194" s="6"/>
      <c r="AA194" s="6"/>
      <c r="AB194" s="6"/>
      <c r="AD194" s="6"/>
      <c r="AE194" s="6"/>
      <c r="AF194" s="6"/>
      <c r="AG194" s="6"/>
      <c r="AH194" s="6"/>
      <c r="AI194" s="6"/>
      <c r="AK194" s="6"/>
      <c r="AL194" s="6"/>
      <c r="AM194" s="6"/>
      <c r="AN194" s="6"/>
      <c r="AO194" s="6"/>
      <c r="AP194" s="6"/>
      <c r="AQ194" s="6"/>
      <c r="AR194" s="6"/>
      <c r="AS194" s="15"/>
      <c r="AT194" s="6" t="str">
        <f ca="1">IFERROR(__xludf.DUMMYFUNCTION("SWITCH(IF(A194=""Practice"",AN194,FILTER('Items by Team'!E$2:E3410,'Items by Team'!C$2:C3410=D194,B194='Items by Team'!B$2:B3410)),""None"",""No"",""Parked"",""P"",""ShallowCage"",""Sc"",""DeepCage"",""Dc"",""No"",""No"",""P"",""P"",""Sc"",""Sc"",""Dc"","&amp;"""Dc"")"),"#REF!")</f>
        <v>#REF!</v>
      </c>
      <c r="AU194" s="6" t="str">
        <f ca="1">IFERROR(__xludf.DUMMYFUNCTION("SWITCH(IF(A194 = ""Practice"", H194, FILTER('Items by Team'!D$2:D3410,'Items by Team'!C$2:C3410 = D194,'Items by Team'!B$2:B3410 = B194)), ""Yes"", ""TRUE"", ""No"", ""FALSE"",TRUE, ""TRUE"", FALSE, ""FALSE"")"),"#REF!")</f>
        <v>#REF!</v>
      </c>
      <c r="AV194" s="6">
        <f t="shared" si="0"/>
        <v>0</v>
      </c>
      <c r="AW194" s="6">
        <f t="shared" si="1"/>
        <v>0</v>
      </c>
      <c r="AX194" s="6">
        <f t="shared" si="2"/>
        <v>0</v>
      </c>
      <c r="AY194" s="6">
        <f t="shared" si="3"/>
        <v>0</v>
      </c>
      <c r="AZ194" s="9" t="str">
        <f t="shared" si="4"/>
        <v/>
      </c>
      <c r="BA194" s="6">
        <f t="shared" si="5"/>
        <v>0</v>
      </c>
      <c r="BB194" s="6">
        <f t="shared" si="6"/>
        <v>0</v>
      </c>
      <c r="BC194" s="9" t="str">
        <f t="shared" si="7"/>
        <v/>
      </c>
      <c r="BD194" s="6">
        <f t="shared" si="8"/>
        <v>0</v>
      </c>
      <c r="BE194" s="6">
        <f t="shared" si="9"/>
        <v>0</v>
      </c>
      <c r="BF194" s="9" t="str">
        <f t="shared" si="10"/>
        <v/>
      </c>
      <c r="BG194" s="6">
        <f t="shared" si="11"/>
        <v>0</v>
      </c>
      <c r="BH194" s="6">
        <f t="shared" si="12"/>
        <v>0</v>
      </c>
      <c r="BI194" s="9" t="str">
        <f t="shared" si="13"/>
        <v/>
      </c>
      <c r="BJ194" s="6">
        <f t="shared" si="14"/>
        <v>0</v>
      </c>
      <c r="BK194" s="6">
        <f t="shared" si="15"/>
        <v>0</v>
      </c>
      <c r="BL194" s="6">
        <f t="shared" si="16"/>
        <v>0</v>
      </c>
      <c r="BM194" s="6">
        <f t="shared" si="17"/>
        <v>0</v>
      </c>
      <c r="BN194" s="6">
        <f t="shared" si="18"/>
        <v>0</v>
      </c>
      <c r="BP194" s="6">
        <f t="shared" si="19"/>
        <v>0</v>
      </c>
      <c r="BQ194" s="6" t="b">
        <f ca="1">IFERROR(__xludf.DUMMYFUNCTION("IF(AND(ISERROR(FILTER('Items by Team'!D$2:D3410,'Items by Team'!C$2:C3410 = D194,'Items by Team'!B$2:B3410 = B194)),NOT(A194=""Practice"")),TRUE,FALSE)"),FALSE)</f>
        <v>0</v>
      </c>
      <c r="BR194" s="6">
        <f t="shared" ca="1" si="20"/>
        <v>0</v>
      </c>
    </row>
    <row r="195" spans="1:70">
      <c r="A195" s="6"/>
      <c r="B195" s="6"/>
      <c r="C195" s="6"/>
      <c r="D195" s="6"/>
      <c r="E195" s="6"/>
      <c r="F195" s="6"/>
      <c r="G195" s="6"/>
      <c r="H195" s="6"/>
      <c r="I195" s="6"/>
      <c r="J195" s="6"/>
      <c r="K195" s="6"/>
      <c r="L195" s="6"/>
      <c r="M195" s="6"/>
      <c r="N195" s="6"/>
      <c r="O195" s="6"/>
      <c r="P195" s="6"/>
      <c r="R195" s="6"/>
      <c r="S195" s="6"/>
      <c r="T195" s="6"/>
      <c r="U195" s="6"/>
      <c r="V195" s="6"/>
      <c r="W195" s="6"/>
      <c r="X195" s="6"/>
      <c r="Y195" s="6"/>
      <c r="Z195" s="6"/>
      <c r="AA195" s="6"/>
      <c r="AB195" s="6"/>
      <c r="AD195" s="6"/>
      <c r="AE195" s="6"/>
      <c r="AF195" s="6"/>
      <c r="AG195" s="6"/>
      <c r="AH195" s="6"/>
      <c r="AI195" s="6"/>
      <c r="AK195" s="6"/>
      <c r="AL195" s="6"/>
      <c r="AM195" s="6"/>
      <c r="AN195" s="6"/>
      <c r="AO195" s="6"/>
      <c r="AP195" s="6"/>
      <c r="AQ195" s="6"/>
      <c r="AR195" s="6"/>
      <c r="AS195" s="15"/>
      <c r="AT195" s="6" t="str">
        <f ca="1">IFERROR(__xludf.DUMMYFUNCTION("SWITCH(IF(A195=""Practice"",AN195,FILTER('Items by Team'!E$2:E3410,'Items by Team'!C$2:C3410=D195,B195='Items by Team'!B$2:B3410)),""None"",""No"",""Parked"",""P"",""ShallowCage"",""Sc"",""DeepCage"",""Dc"",""No"",""No"",""P"",""P"",""Sc"",""Sc"",""Dc"","&amp;"""Dc"")"),"#REF!")</f>
        <v>#REF!</v>
      </c>
      <c r="AU195" s="6" t="str">
        <f ca="1">IFERROR(__xludf.DUMMYFUNCTION("SWITCH(IF(A195 = ""Practice"", H195, FILTER('Items by Team'!D$2:D3410,'Items by Team'!C$2:C3410 = D195,'Items by Team'!B$2:B3410 = B195)), ""Yes"", ""TRUE"", ""No"", ""FALSE"",TRUE, ""TRUE"", FALSE, ""FALSE"")"),"#REF!")</f>
        <v>#REF!</v>
      </c>
      <c r="AV195" s="6">
        <f t="shared" si="0"/>
        <v>0</v>
      </c>
      <c r="AW195" s="6">
        <f t="shared" si="1"/>
        <v>0</v>
      </c>
      <c r="AX195" s="6">
        <f t="shared" si="2"/>
        <v>0</v>
      </c>
      <c r="AY195" s="6">
        <f t="shared" si="3"/>
        <v>0</v>
      </c>
      <c r="AZ195" s="9" t="str">
        <f t="shared" si="4"/>
        <v/>
      </c>
      <c r="BA195" s="6">
        <f t="shared" si="5"/>
        <v>0</v>
      </c>
      <c r="BB195" s="6">
        <f t="shared" si="6"/>
        <v>0</v>
      </c>
      <c r="BC195" s="9" t="str">
        <f t="shared" si="7"/>
        <v/>
      </c>
      <c r="BD195" s="6">
        <f t="shared" si="8"/>
        <v>0</v>
      </c>
      <c r="BE195" s="6">
        <f t="shared" si="9"/>
        <v>0</v>
      </c>
      <c r="BF195" s="9" t="str">
        <f t="shared" si="10"/>
        <v/>
      </c>
      <c r="BG195" s="6">
        <f t="shared" si="11"/>
        <v>0</v>
      </c>
      <c r="BH195" s="6">
        <f t="shared" si="12"/>
        <v>0</v>
      </c>
      <c r="BI195" s="9" t="str">
        <f t="shared" si="13"/>
        <v/>
      </c>
      <c r="BJ195" s="6">
        <f t="shared" si="14"/>
        <v>0</v>
      </c>
      <c r="BK195" s="6">
        <f t="shared" si="15"/>
        <v>0</v>
      </c>
      <c r="BL195" s="6">
        <f t="shared" si="16"/>
        <v>0</v>
      </c>
      <c r="BM195" s="6">
        <f t="shared" si="17"/>
        <v>0</v>
      </c>
      <c r="BN195" s="6">
        <f t="shared" si="18"/>
        <v>0</v>
      </c>
      <c r="BP195" s="6">
        <f t="shared" si="19"/>
        <v>0</v>
      </c>
      <c r="BQ195" s="6" t="b">
        <f ca="1">IFERROR(__xludf.DUMMYFUNCTION("IF(AND(ISERROR(FILTER('Items by Team'!D$2:D3410,'Items by Team'!C$2:C3410 = D195,'Items by Team'!B$2:B3410 = B195)),NOT(A195=""Practice"")),TRUE,FALSE)"),FALSE)</f>
        <v>0</v>
      </c>
      <c r="BR195" s="6">
        <f t="shared" ca="1" si="20"/>
        <v>0</v>
      </c>
    </row>
    <row r="196" spans="1:70">
      <c r="A196" s="6"/>
      <c r="B196" s="6"/>
      <c r="C196" s="6"/>
      <c r="D196" s="6"/>
      <c r="E196" s="6"/>
      <c r="F196" s="6"/>
      <c r="G196" s="6"/>
      <c r="H196" s="6"/>
      <c r="I196" s="6"/>
      <c r="J196" s="6"/>
      <c r="K196" s="6"/>
      <c r="L196" s="6"/>
      <c r="M196" s="6"/>
      <c r="N196" s="6"/>
      <c r="O196" s="6"/>
      <c r="P196" s="6"/>
      <c r="R196" s="6"/>
      <c r="S196" s="6"/>
      <c r="T196" s="6"/>
      <c r="U196" s="6"/>
      <c r="V196" s="6"/>
      <c r="W196" s="6"/>
      <c r="X196" s="6"/>
      <c r="Y196" s="6"/>
      <c r="Z196" s="6"/>
      <c r="AA196" s="6"/>
      <c r="AB196" s="6"/>
      <c r="AD196" s="6"/>
      <c r="AE196" s="6"/>
      <c r="AF196" s="6"/>
      <c r="AG196" s="6"/>
      <c r="AH196" s="6"/>
      <c r="AI196" s="6"/>
      <c r="AK196" s="6"/>
      <c r="AL196" s="6"/>
      <c r="AM196" s="6"/>
      <c r="AN196" s="6"/>
      <c r="AO196" s="6"/>
      <c r="AP196" s="6"/>
      <c r="AQ196" s="6"/>
      <c r="AR196" s="6"/>
      <c r="AS196" s="15"/>
      <c r="AT196" s="6" t="str">
        <f ca="1">IFERROR(__xludf.DUMMYFUNCTION("SWITCH(IF(A196=""Practice"",AN196,FILTER('Items by Team'!E$2:E3410,'Items by Team'!C$2:C3410=D196,B196='Items by Team'!B$2:B3410)),""None"",""No"",""Parked"",""P"",""ShallowCage"",""Sc"",""DeepCage"",""Dc"",""No"",""No"",""P"",""P"",""Sc"",""Sc"",""Dc"","&amp;"""Dc"")"),"#REF!")</f>
        <v>#REF!</v>
      </c>
      <c r="AU196" s="6" t="str">
        <f ca="1">IFERROR(__xludf.DUMMYFUNCTION("SWITCH(IF(A196 = ""Practice"", H196, FILTER('Items by Team'!D$2:D3410,'Items by Team'!C$2:C3410 = D196,'Items by Team'!B$2:B3410 = B196)), ""Yes"", ""TRUE"", ""No"", ""FALSE"",TRUE, ""TRUE"", FALSE, ""FALSE"")"),"#REF!")</f>
        <v>#REF!</v>
      </c>
      <c r="AV196" s="6">
        <f t="shared" si="0"/>
        <v>0</v>
      </c>
      <c r="AW196" s="6">
        <f t="shared" si="1"/>
        <v>0</v>
      </c>
      <c r="AX196" s="6">
        <f t="shared" si="2"/>
        <v>0</v>
      </c>
      <c r="AY196" s="6">
        <f t="shared" si="3"/>
        <v>0</v>
      </c>
      <c r="AZ196" s="9" t="str">
        <f t="shared" si="4"/>
        <v/>
      </c>
      <c r="BA196" s="6">
        <f t="shared" si="5"/>
        <v>0</v>
      </c>
      <c r="BB196" s="6">
        <f t="shared" si="6"/>
        <v>0</v>
      </c>
      <c r="BC196" s="9" t="str">
        <f t="shared" si="7"/>
        <v/>
      </c>
      <c r="BD196" s="6">
        <f t="shared" si="8"/>
        <v>0</v>
      </c>
      <c r="BE196" s="6">
        <f t="shared" si="9"/>
        <v>0</v>
      </c>
      <c r="BF196" s="9" t="str">
        <f t="shared" si="10"/>
        <v/>
      </c>
      <c r="BG196" s="6">
        <f t="shared" si="11"/>
        <v>0</v>
      </c>
      <c r="BH196" s="6">
        <f t="shared" si="12"/>
        <v>0</v>
      </c>
      <c r="BI196" s="9" t="str">
        <f t="shared" si="13"/>
        <v/>
      </c>
      <c r="BJ196" s="6">
        <f t="shared" si="14"/>
        <v>0</v>
      </c>
      <c r="BK196" s="6">
        <f t="shared" si="15"/>
        <v>0</v>
      </c>
      <c r="BL196" s="6">
        <f t="shared" si="16"/>
        <v>0</v>
      </c>
      <c r="BM196" s="6">
        <f t="shared" si="17"/>
        <v>0</v>
      </c>
      <c r="BN196" s="6">
        <f t="shared" si="18"/>
        <v>0</v>
      </c>
      <c r="BP196" s="6">
        <f t="shared" si="19"/>
        <v>0</v>
      </c>
      <c r="BQ196" s="6" t="b">
        <f ca="1">IFERROR(__xludf.DUMMYFUNCTION("IF(AND(ISERROR(FILTER('Items by Team'!D$2:D3410,'Items by Team'!C$2:C3410 = D196,'Items by Team'!B$2:B3410 = B196)),NOT(A196=""Practice"")),TRUE,FALSE)"),FALSE)</f>
        <v>0</v>
      </c>
      <c r="BR196" s="6">
        <f t="shared" ca="1" si="20"/>
        <v>0</v>
      </c>
    </row>
    <row r="197" spans="1:70">
      <c r="A197" s="6"/>
      <c r="B197" s="6"/>
      <c r="C197" s="6"/>
      <c r="D197" s="6"/>
      <c r="E197" s="6"/>
      <c r="F197" s="6"/>
      <c r="G197" s="6"/>
      <c r="H197" s="6"/>
      <c r="I197" s="6"/>
      <c r="J197" s="6"/>
      <c r="K197" s="6"/>
      <c r="L197" s="6"/>
      <c r="M197" s="6"/>
      <c r="N197" s="6"/>
      <c r="O197" s="6"/>
      <c r="P197" s="6"/>
      <c r="R197" s="6"/>
      <c r="S197" s="6"/>
      <c r="T197" s="6"/>
      <c r="U197" s="6"/>
      <c r="V197" s="6"/>
      <c r="W197" s="6"/>
      <c r="X197" s="6"/>
      <c r="Y197" s="6"/>
      <c r="Z197" s="6"/>
      <c r="AA197" s="6"/>
      <c r="AB197" s="6"/>
      <c r="AD197" s="6"/>
      <c r="AE197" s="6"/>
      <c r="AF197" s="6"/>
      <c r="AG197" s="6"/>
      <c r="AH197" s="6"/>
      <c r="AI197" s="6"/>
      <c r="AK197" s="6"/>
      <c r="AL197" s="6"/>
      <c r="AM197" s="6"/>
      <c r="AN197" s="6"/>
      <c r="AO197" s="6"/>
      <c r="AP197" s="6"/>
      <c r="AQ197" s="6"/>
      <c r="AR197" s="6"/>
      <c r="AS197" s="15"/>
      <c r="AT197" s="6" t="str">
        <f ca="1">IFERROR(__xludf.DUMMYFUNCTION("SWITCH(IF(A197=""Practice"",AN197,FILTER('Items by Team'!E$2:E3410,'Items by Team'!C$2:C3410=D197,B197='Items by Team'!B$2:B3410)),""None"",""No"",""Parked"",""P"",""ShallowCage"",""Sc"",""DeepCage"",""Dc"",""No"",""No"",""P"",""P"",""Sc"",""Sc"",""Dc"","&amp;"""Dc"")"),"#REF!")</f>
        <v>#REF!</v>
      </c>
      <c r="AU197" s="6" t="str">
        <f ca="1">IFERROR(__xludf.DUMMYFUNCTION("SWITCH(IF(A197 = ""Practice"", H197, FILTER('Items by Team'!D$2:D3410,'Items by Team'!C$2:C3410 = D197,'Items by Team'!B$2:B3410 = B197)), ""Yes"", ""TRUE"", ""No"", ""FALSE"",TRUE, ""TRUE"", FALSE, ""FALSE"")"),"#REF!")</f>
        <v>#REF!</v>
      </c>
      <c r="AV197" s="6">
        <f t="shared" si="0"/>
        <v>0</v>
      </c>
      <c r="AW197" s="6">
        <f t="shared" si="1"/>
        <v>0</v>
      </c>
      <c r="AX197" s="6">
        <f t="shared" si="2"/>
        <v>0</v>
      </c>
      <c r="AY197" s="6">
        <f t="shared" si="3"/>
        <v>0</v>
      </c>
      <c r="AZ197" s="9" t="str">
        <f t="shared" si="4"/>
        <v/>
      </c>
      <c r="BA197" s="6">
        <f t="shared" si="5"/>
        <v>0</v>
      </c>
      <c r="BB197" s="6">
        <f t="shared" si="6"/>
        <v>0</v>
      </c>
      <c r="BC197" s="9" t="str">
        <f t="shared" si="7"/>
        <v/>
      </c>
      <c r="BD197" s="6">
        <f t="shared" si="8"/>
        <v>0</v>
      </c>
      <c r="BE197" s="6">
        <f t="shared" si="9"/>
        <v>0</v>
      </c>
      <c r="BF197" s="9" t="str">
        <f t="shared" si="10"/>
        <v/>
      </c>
      <c r="BG197" s="6">
        <f t="shared" si="11"/>
        <v>0</v>
      </c>
      <c r="BH197" s="6">
        <f t="shared" si="12"/>
        <v>0</v>
      </c>
      <c r="BI197" s="9" t="str">
        <f t="shared" si="13"/>
        <v/>
      </c>
      <c r="BJ197" s="6">
        <f t="shared" si="14"/>
        <v>0</v>
      </c>
      <c r="BK197" s="6">
        <f t="shared" si="15"/>
        <v>0</v>
      </c>
      <c r="BL197" s="6">
        <f t="shared" si="16"/>
        <v>0</v>
      </c>
      <c r="BM197" s="6">
        <f t="shared" si="17"/>
        <v>0</v>
      </c>
      <c r="BN197" s="6">
        <f t="shared" si="18"/>
        <v>0</v>
      </c>
      <c r="BP197" s="6">
        <f t="shared" si="19"/>
        <v>0</v>
      </c>
      <c r="BQ197" s="6" t="b">
        <f ca="1">IFERROR(__xludf.DUMMYFUNCTION("IF(AND(ISERROR(FILTER('Items by Team'!D$2:D3410,'Items by Team'!C$2:C3410 = D197,'Items by Team'!B$2:B3410 = B197)),NOT(A197=""Practice"")),TRUE,FALSE)"),FALSE)</f>
        <v>0</v>
      </c>
      <c r="BR197" s="6">
        <f t="shared" ca="1" si="20"/>
        <v>0</v>
      </c>
    </row>
    <row r="198" spans="1:70">
      <c r="A198" s="6"/>
      <c r="B198" s="6"/>
      <c r="C198" s="6"/>
      <c r="D198" s="6"/>
      <c r="E198" s="6"/>
      <c r="F198" s="6"/>
      <c r="G198" s="6"/>
      <c r="H198" s="6"/>
      <c r="I198" s="6"/>
      <c r="J198" s="6"/>
      <c r="K198" s="6"/>
      <c r="L198" s="6"/>
      <c r="M198" s="6"/>
      <c r="N198" s="6"/>
      <c r="O198" s="6"/>
      <c r="P198" s="6"/>
      <c r="R198" s="6"/>
      <c r="S198" s="6"/>
      <c r="T198" s="6"/>
      <c r="U198" s="6"/>
      <c r="V198" s="6"/>
      <c r="W198" s="6"/>
      <c r="X198" s="6"/>
      <c r="Y198" s="6"/>
      <c r="Z198" s="6"/>
      <c r="AA198" s="6"/>
      <c r="AB198" s="6"/>
      <c r="AD198" s="6"/>
      <c r="AE198" s="6"/>
      <c r="AF198" s="6"/>
      <c r="AG198" s="6"/>
      <c r="AH198" s="6"/>
      <c r="AI198" s="6"/>
      <c r="AK198" s="6"/>
      <c r="AL198" s="6"/>
      <c r="AM198" s="6"/>
      <c r="AN198" s="6"/>
      <c r="AO198" s="6"/>
      <c r="AP198" s="6"/>
      <c r="AQ198" s="6"/>
      <c r="AR198" s="6"/>
      <c r="AS198" s="15"/>
      <c r="AT198" s="6" t="str">
        <f ca="1">IFERROR(__xludf.DUMMYFUNCTION("SWITCH(IF(A198=""Practice"",AN198,FILTER('Items by Team'!E$2:E3410,'Items by Team'!C$2:C3410=D198,B198='Items by Team'!B$2:B3410)),""None"",""No"",""Parked"",""P"",""ShallowCage"",""Sc"",""DeepCage"",""Dc"",""No"",""No"",""P"",""P"",""Sc"",""Sc"",""Dc"","&amp;"""Dc"")"),"#REF!")</f>
        <v>#REF!</v>
      </c>
      <c r="AU198" s="6" t="str">
        <f ca="1">IFERROR(__xludf.DUMMYFUNCTION("SWITCH(IF(A198 = ""Practice"", H198, FILTER('Items by Team'!D$2:D3410,'Items by Team'!C$2:C3410 = D198,'Items by Team'!B$2:B3410 = B198)), ""Yes"", ""TRUE"", ""No"", ""FALSE"",TRUE, ""TRUE"", FALSE, ""FALSE"")"),"#REF!")</f>
        <v>#REF!</v>
      </c>
      <c r="AV198" s="6">
        <f t="shared" si="0"/>
        <v>0</v>
      </c>
      <c r="AW198" s="6">
        <f t="shared" si="1"/>
        <v>0</v>
      </c>
      <c r="AX198" s="6">
        <f t="shared" si="2"/>
        <v>0</v>
      </c>
      <c r="AY198" s="6">
        <f t="shared" si="3"/>
        <v>0</v>
      </c>
      <c r="AZ198" s="9" t="str">
        <f t="shared" si="4"/>
        <v/>
      </c>
      <c r="BA198" s="6">
        <f t="shared" si="5"/>
        <v>0</v>
      </c>
      <c r="BB198" s="6">
        <f t="shared" si="6"/>
        <v>0</v>
      </c>
      <c r="BC198" s="9" t="str">
        <f t="shared" si="7"/>
        <v/>
      </c>
      <c r="BD198" s="6">
        <f t="shared" si="8"/>
        <v>0</v>
      </c>
      <c r="BE198" s="6">
        <f t="shared" si="9"/>
        <v>0</v>
      </c>
      <c r="BF198" s="9" t="str">
        <f t="shared" si="10"/>
        <v/>
      </c>
      <c r="BG198" s="6">
        <f t="shared" si="11"/>
        <v>0</v>
      </c>
      <c r="BH198" s="6">
        <f t="shared" si="12"/>
        <v>0</v>
      </c>
      <c r="BI198" s="9" t="str">
        <f t="shared" si="13"/>
        <v/>
      </c>
      <c r="BJ198" s="6">
        <f t="shared" si="14"/>
        <v>0</v>
      </c>
      <c r="BK198" s="6">
        <f t="shared" si="15"/>
        <v>0</v>
      </c>
      <c r="BL198" s="6">
        <f t="shared" si="16"/>
        <v>0</v>
      </c>
      <c r="BM198" s="6">
        <f t="shared" si="17"/>
        <v>0</v>
      </c>
      <c r="BN198" s="6">
        <f t="shared" si="18"/>
        <v>0</v>
      </c>
      <c r="BP198" s="6">
        <f t="shared" si="19"/>
        <v>0</v>
      </c>
      <c r="BQ198" s="6" t="b">
        <f ca="1">IFERROR(__xludf.DUMMYFUNCTION("IF(AND(ISERROR(FILTER('Items by Team'!D$2:D3410,'Items by Team'!C$2:C3410 = D198,'Items by Team'!B$2:B3410 = B198)),NOT(A198=""Practice"")),TRUE,FALSE)"),FALSE)</f>
        <v>0</v>
      </c>
      <c r="BR198" s="6">
        <f t="shared" ca="1" si="20"/>
        <v>0</v>
      </c>
    </row>
    <row r="199" spans="1:70">
      <c r="A199" s="6"/>
      <c r="B199" s="6"/>
      <c r="C199" s="6"/>
      <c r="D199" s="6"/>
      <c r="E199" s="6"/>
      <c r="F199" s="6"/>
      <c r="G199" s="6"/>
      <c r="H199" s="6"/>
      <c r="I199" s="6"/>
      <c r="J199" s="6"/>
      <c r="K199" s="6"/>
      <c r="L199" s="6"/>
      <c r="M199" s="6"/>
      <c r="N199" s="6"/>
      <c r="O199" s="6"/>
      <c r="P199" s="6"/>
      <c r="R199" s="6"/>
      <c r="S199" s="6"/>
      <c r="T199" s="6"/>
      <c r="U199" s="6"/>
      <c r="V199" s="6"/>
      <c r="W199" s="6"/>
      <c r="X199" s="6"/>
      <c r="Y199" s="6"/>
      <c r="Z199" s="6"/>
      <c r="AA199" s="6"/>
      <c r="AB199" s="6"/>
      <c r="AD199" s="6"/>
      <c r="AE199" s="6"/>
      <c r="AF199" s="6"/>
      <c r="AG199" s="6"/>
      <c r="AH199" s="6"/>
      <c r="AI199" s="6"/>
      <c r="AK199" s="6"/>
      <c r="AL199" s="6"/>
      <c r="AM199" s="6"/>
      <c r="AN199" s="6"/>
      <c r="AO199" s="6"/>
      <c r="AP199" s="6"/>
      <c r="AQ199" s="6"/>
      <c r="AR199" s="6"/>
      <c r="AS199" s="15"/>
      <c r="AT199" s="6" t="str">
        <f ca="1">IFERROR(__xludf.DUMMYFUNCTION("SWITCH(IF(A199=""Practice"",AN199,FILTER('Items by Team'!E$2:E3410,'Items by Team'!C$2:C3410=D199,B199='Items by Team'!B$2:B3410)),""None"",""No"",""Parked"",""P"",""ShallowCage"",""Sc"",""DeepCage"",""Dc"",""No"",""No"",""P"",""P"",""Sc"",""Sc"",""Dc"","&amp;"""Dc"")"),"#REF!")</f>
        <v>#REF!</v>
      </c>
      <c r="AU199" s="6" t="str">
        <f ca="1">IFERROR(__xludf.DUMMYFUNCTION("SWITCH(IF(A199 = ""Practice"", H199, FILTER('Items by Team'!D$2:D3410,'Items by Team'!C$2:C3410 = D199,'Items by Team'!B$2:B3410 = B199)), ""Yes"", ""TRUE"", ""No"", ""FALSE"",TRUE, ""TRUE"", FALSE, ""FALSE"")"),"#REF!")</f>
        <v>#REF!</v>
      </c>
      <c r="AV199" s="6">
        <f t="shared" si="0"/>
        <v>0</v>
      </c>
      <c r="AW199" s="6">
        <f t="shared" si="1"/>
        <v>0</v>
      </c>
      <c r="AX199" s="6">
        <f t="shared" si="2"/>
        <v>0</v>
      </c>
      <c r="AY199" s="6">
        <f t="shared" si="3"/>
        <v>0</v>
      </c>
      <c r="AZ199" s="9" t="str">
        <f t="shared" si="4"/>
        <v/>
      </c>
      <c r="BA199" s="6">
        <f t="shared" si="5"/>
        <v>0</v>
      </c>
      <c r="BB199" s="6">
        <f t="shared" si="6"/>
        <v>0</v>
      </c>
      <c r="BC199" s="9" t="str">
        <f t="shared" si="7"/>
        <v/>
      </c>
      <c r="BD199" s="6">
        <f t="shared" si="8"/>
        <v>0</v>
      </c>
      <c r="BE199" s="6">
        <f t="shared" si="9"/>
        <v>0</v>
      </c>
      <c r="BF199" s="9" t="str">
        <f t="shared" si="10"/>
        <v/>
      </c>
      <c r="BG199" s="6">
        <f t="shared" si="11"/>
        <v>0</v>
      </c>
      <c r="BH199" s="6">
        <f t="shared" si="12"/>
        <v>0</v>
      </c>
      <c r="BI199" s="9" t="str">
        <f t="shared" si="13"/>
        <v/>
      </c>
      <c r="BJ199" s="6">
        <f t="shared" si="14"/>
        <v>0</v>
      </c>
      <c r="BK199" s="6">
        <f t="shared" si="15"/>
        <v>0</v>
      </c>
      <c r="BL199" s="6">
        <f t="shared" si="16"/>
        <v>0</v>
      </c>
      <c r="BM199" s="6">
        <f t="shared" si="17"/>
        <v>0</v>
      </c>
      <c r="BN199" s="6">
        <f t="shared" si="18"/>
        <v>0</v>
      </c>
      <c r="BP199" s="6">
        <f t="shared" si="19"/>
        <v>0</v>
      </c>
      <c r="BQ199" s="6" t="b">
        <f ca="1">IFERROR(__xludf.DUMMYFUNCTION("IF(AND(ISERROR(FILTER('Items by Team'!D$2:D3410,'Items by Team'!C$2:C3410 = D199,'Items by Team'!B$2:B3410 = B199)),NOT(A199=""Practice"")),TRUE,FALSE)"),FALSE)</f>
        <v>0</v>
      </c>
      <c r="BR199" s="6">
        <f t="shared" ca="1" si="20"/>
        <v>0</v>
      </c>
    </row>
    <row r="200" spans="1:70">
      <c r="A200" s="6"/>
      <c r="B200" s="6"/>
      <c r="C200" s="6"/>
      <c r="D200" s="6"/>
      <c r="E200" s="6"/>
      <c r="F200" s="6"/>
      <c r="G200" s="6"/>
      <c r="H200" s="6"/>
      <c r="I200" s="6"/>
      <c r="J200" s="6"/>
      <c r="K200" s="6"/>
      <c r="L200" s="6"/>
      <c r="M200" s="6"/>
      <c r="N200" s="6"/>
      <c r="O200" s="6"/>
      <c r="P200" s="6"/>
      <c r="R200" s="6"/>
      <c r="S200" s="6"/>
      <c r="T200" s="6"/>
      <c r="U200" s="6"/>
      <c r="V200" s="6"/>
      <c r="W200" s="6"/>
      <c r="X200" s="6"/>
      <c r="Y200" s="6"/>
      <c r="Z200" s="6"/>
      <c r="AA200" s="6"/>
      <c r="AB200" s="6"/>
      <c r="AD200" s="6"/>
      <c r="AE200" s="6"/>
      <c r="AF200" s="6"/>
      <c r="AG200" s="6"/>
      <c r="AH200" s="6"/>
      <c r="AI200" s="6"/>
      <c r="AK200" s="6"/>
      <c r="AL200" s="6"/>
      <c r="AM200" s="6"/>
      <c r="AN200" s="6"/>
      <c r="AO200" s="6"/>
      <c r="AP200" s="6"/>
      <c r="AQ200" s="6"/>
      <c r="AR200" s="6"/>
      <c r="AS200" s="15"/>
      <c r="AT200" s="6" t="str">
        <f ca="1">IFERROR(__xludf.DUMMYFUNCTION("SWITCH(IF(A200=""Practice"",AN200,FILTER('Items by Team'!E$2:E3410,'Items by Team'!C$2:C3410=D200,B200='Items by Team'!B$2:B3410)),""None"",""No"",""Parked"",""P"",""ShallowCage"",""Sc"",""DeepCage"",""Dc"",""No"",""No"",""P"",""P"",""Sc"",""Sc"",""Dc"","&amp;"""Dc"")"),"#REF!")</f>
        <v>#REF!</v>
      </c>
      <c r="AU200" s="6" t="str">
        <f ca="1">IFERROR(__xludf.DUMMYFUNCTION("SWITCH(IF(A200 = ""Practice"", H200, FILTER('Items by Team'!D$2:D3410,'Items by Team'!C$2:C3410 = D200,'Items by Team'!B$2:B3410 = B200)), ""Yes"", ""TRUE"", ""No"", ""FALSE"",TRUE, ""TRUE"", FALSE, ""FALSE"")"),"#REF!")</f>
        <v>#REF!</v>
      </c>
      <c r="AV200" s="6">
        <f t="shared" si="0"/>
        <v>0</v>
      </c>
      <c r="AW200" s="6">
        <f t="shared" si="1"/>
        <v>0</v>
      </c>
      <c r="AX200" s="6">
        <f t="shared" si="2"/>
        <v>0</v>
      </c>
      <c r="AY200" s="6">
        <f t="shared" si="3"/>
        <v>0</v>
      </c>
      <c r="AZ200" s="9" t="str">
        <f t="shared" si="4"/>
        <v/>
      </c>
      <c r="BA200" s="6">
        <f t="shared" si="5"/>
        <v>0</v>
      </c>
      <c r="BB200" s="6">
        <f t="shared" si="6"/>
        <v>0</v>
      </c>
      <c r="BC200" s="9" t="str">
        <f t="shared" si="7"/>
        <v/>
      </c>
      <c r="BD200" s="6">
        <f t="shared" si="8"/>
        <v>0</v>
      </c>
      <c r="BE200" s="6">
        <f t="shared" si="9"/>
        <v>0</v>
      </c>
      <c r="BF200" s="9" t="str">
        <f t="shared" si="10"/>
        <v/>
      </c>
      <c r="BG200" s="6">
        <f t="shared" si="11"/>
        <v>0</v>
      </c>
      <c r="BH200" s="6">
        <f t="shared" si="12"/>
        <v>0</v>
      </c>
      <c r="BI200" s="9" t="str">
        <f t="shared" si="13"/>
        <v/>
      </c>
      <c r="BJ200" s="6">
        <f t="shared" si="14"/>
        <v>0</v>
      </c>
      <c r="BK200" s="6">
        <f t="shared" si="15"/>
        <v>0</v>
      </c>
      <c r="BL200" s="6">
        <f t="shared" si="16"/>
        <v>0</v>
      </c>
      <c r="BM200" s="6">
        <f t="shared" si="17"/>
        <v>0</v>
      </c>
      <c r="BN200" s="6">
        <f t="shared" si="18"/>
        <v>0</v>
      </c>
      <c r="BP200" s="6">
        <f t="shared" si="19"/>
        <v>0</v>
      </c>
      <c r="BQ200" s="6" t="b">
        <f ca="1">IFERROR(__xludf.DUMMYFUNCTION("IF(AND(ISERROR(FILTER('Items by Team'!D$2:D3410,'Items by Team'!C$2:C3410 = D200,'Items by Team'!B$2:B3410 = B200)),NOT(A200=""Practice"")),TRUE,FALSE)"),FALSE)</f>
        <v>0</v>
      </c>
      <c r="BR200" s="6">
        <f t="shared" ca="1" si="20"/>
        <v>0</v>
      </c>
    </row>
    <row r="201" spans="1:70">
      <c r="A201" s="6"/>
      <c r="B201" s="6"/>
      <c r="C201" s="6"/>
      <c r="D201" s="6"/>
      <c r="E201" s="6"/>
      <c r="F201" s="6"/>
      <c r="G201" s="6"/>
      <c r="H201" s="6"/>
      <c r="I201" s="6"/>
      <c r="J201" s="6"/>
      <c r="K201" s="6"/>
      <c r="L201" s="6"/>
      <c r="M201" s="6"/>
      <c r="N201" s="6"/>
      <c r="O201" s="6"/>
      <c r="P201" s="6"/>
      <c r="R201" s="6"/>
      <c r="S201" s="6"/>
      <c r="T201" s="6"/>
      <c r="U201" s="6"/>
      <c r="V201" s="6"/>
      <c r="W201" s="6"/>
      <c r="X201" s="6"/>
      <c r="Y201" s="6"/>
      <c r="Z201" s="6"/>
      <c r="AA201" s="6"/>
      <c r="AB201" s="6"/>
      <c r="AD201" s="6"/>
      <c r="AE201" s="6"/>
      <c r="AF201" s="6"/>
      <c r="AG201" s="6"/>
      <c r="AH201" s="6"/>
      <c r="AI201" s="6"/>
      <c r="AK201" s="6"/>
      <c r="AL201" s="6"/>
      <c r="AM201" s="6"/>
      <c r="AN201" s="6"/>
      <c r="AO201" s="6"/>
      <c r="AP201" s="6"/>
      <c r="AQ201" s="6"/>
      <c r="AR201" s="6"/>
      <c r="AS201" s="15"/>
      <c r="AT201" s="6" t="str">
        <f ca="1">IFERROR(__xludf.DUMMYFUNCTION("SWITCH(IF(A201=""Practice"",AN201,FILTER('Items by Team'!E$2:E3410,'Items by Team'!C$2:C3410=D201,B201='Items by Team'!B$2:B3410)),""None"",""No"",""Parked"",""P"",""ShallowCage"",""Sc"",""DeepCage"",""Dc"",""No"",""No"",""P"",""P"",""Sc"",""Sc"",""Dc"","&amp;"""Dc"")"),"#REF!")</f>
        <v>#REF!</v>
      </c>
      <c r="AU201" s="6" t="str">
        <f ca="1">IFERROR(__xludf.DUMMYFUNCTION("SWITCH(IF(A201 = ""Practice"", H201, FILTER('Items by Team'!D$2:D3410,'Items by Team'!C$2:C3410 = D201,'Items by Team'!B$2:B3410 = B201)), ""Yes"", ""TRUE"", ""No"", ""FALSE"",TRUE, ""TRUE"", FALSE, ""FALSE"")"),"#REF!")</f>
        <v>#REF!</v>
      </c>
      <c r="AV201" s="6">
        <f t="shared" si="0"/>
        <v>0</v>
      </c>
      <c r="AW201" s="6">
        <f t="shared" si="1"/>
        <v>0</v>
      </c>
      <c r="AX201" s="6">
        <f t="shared" si="2"/>
        <v>0</v>
      </c>
      <c r="AY201" s="6">
        <f t="shared" si="3"/>
        <v>0</v>
      </c>
      <c r="AZ201" s="9" t="str">
        <f t="shared" si="4"/>
        <v/>
      </c>
      <c r="BA201" s="6">
        <f t="shared" si="5"/>
        <v>0</v>
      </c>
      <c r="BB201" s="6">
        <f t="shared" si="6"/>
        <v>0</v>
      </c>
      <c r="BC201" s="9" t="str">
        <f t="shared" si="7"/>
        <v/>
      </c>
      <c r="BD201" s="6">
        <f t="shared" si="8"/>
        <v>0</v>
      </c>
      <c r="BE201" s="6">
        <f t="shared" si="9"/>
        <v>0</v>
      </c>
      <c r="BF201" s="9" t="str">
        <f t="shared" si="10"/>
        <v/>
      </c>
      <c r="BG201" s="6">
        <f t="shared" si="11"/>
        <v>0</v>
      </c>
      <c r="BH201" s="6">
        <f t="shared" si="12"/>
        <v>0</v>
      </c>
      <c r="BI201" s="9" t="str">
        <f t="shared" si="13"/>
        <v/>
      </c>
      <c r="BJ201" s="6">
        <f t="shared" si="14"/>
        <v>0</v>
      </c>
      <c r="BK201" s="6">
        <f t="shared" si="15"/>
        <v>0</v>
      </c>
      <c r="BL201" s="6">
        <f t="shared" si="16"/>
        <v>0</v>
      </c>
      <c r="BM201" s="6">
        <f t="shared" si="17"/>
        <v>0</v>
      </c>
      <c r="BN201" s="6">
        <f t="shared" si="18"/>
        <v>0</v>
      </c>
      <c r="BP201" s="6">
        <f t="shared" si="19"/>
        <v>0</v>
      </c>
      <c r="BQ201" s="6" t="b">
        <f ca="1">IFERROR(__xludf.DUMMYFUNCTION("IF(AND(ISERROR(FILTER('Items by Team'!D$2:D3410,'Items by Team'!C$2:C3410 = D201,'Items by Team'!B$2:B3410 = B201)),NOT(A201=""Practice"")),TRUE,FALSE)"),FALSE)</f>
        <v>0</v>
      </c>
      <c r="BR201" s="6">
        <f t="shared" ca="1" si="20"/>
        <v>0</v>
      </c>
    </row>
    <row r="202" spans="1:70">
      <c r="A202" s="6"/>
      <c r="B202" s="6"/>
      <c r="C202" s="6"/>
      <c r="D202" s="6"/>
      <c r="E202" s="6"/>
      <c r="F202" s="6"/>
      <c r="G202" s="6"/>
      <c r="H202" s="6"/>
      <c r="I202" s="6"/>
      <c r="J202" s="6"/>
      <c r="K202" s="6"/>
      <c r="L202" s="6"/>
      <c r="M202" s="6"/>
      <c r="N202" s="6"/>
      <c r="O202" s="6"/>
      <c r="P202" s="6"/>
      <c r="R202" s="6"/>
      <c r="S202" s="6"/>
      <c r="T202" s="6"/>
      <c r="U202" s="6"/>
      <c r="V202" s="6"/>
      <c r="W202" s="6"/>
      <c r="X202" s="6"/>
      <c r="Y202" s="6"/>
      <c r="Z202" s="6"/>
      <c r="AA202" s="6"/>
      <c r="AB202" s="6"/>
      <c r="AD202" s="6"/>
      <c r="AE202" s="6"/>
      <c r="AF202" s="6"/>
      <c r="AG202" s="6"/>
      <c r="AH202" s="6"/>
      <c r="AI202" s="6"/>
      <c r="AK202" s="6"/>
      <c r="AL202" s="6"/>
      <c r="AM202" s="6"/>
      <c r="AN202" s="6"/>
      <c r="AO202" s="6"/>
      <c r="AP202" s="6"/>
      <c r="AQ202" s="6"/>
      <c r="AR202" s="6"/>
      <c r="AS202" s="15"/>
      <c r="AT202" s="6" t="str">
        <f ca="1">IFERROR(__xludf.DUMMYFUNCTION("SWITCH(IF(A202=""Practice"",AN202,FILTER('Items by Team'!E$2:E3410,'Items by Team'!C$2:C3410=D202,B202='Items by Team'!B$2:B3410)),""None"",""No"",""Parked"",""P"",""ShallowCage"",""Sc"",""DeepCage"",""Dc"",""No"",""No"",""P"",""P"",""Sc"",""Sc"",""Dc"","&amp;"""Dc"")"),"#REF!")</f>
        <v>#REF!</v>
      </c>
      <c r="AU202" s="6" t="str">
        <f ca="1">IFERROR(__xludf.DUMMYFUNCTION("SWITCH(IF(A202 = ""Practice"", H202, FILTER('Items by Team'!D$2:D3410,'Items by Team'!C$2:C3410 = D202,'Items by Team'!B$2:B3410 = B202)), ""Yes"", ""TRUE"", ""No"", ""FALSE"",TRUE, ""TRUE"", FALSE, ""FALSE"")"),"#REF!")</f>
        <v>#REF!</v>
      </c>
      <c r="AV202" s="6">
        <f t="shared" si="0"/>
        <v>0</v>
      </c>
      <c r="AW202" s="6">
        <f t="shared" si="1"/>
        <v>0</v>
      </c>
      <c r="AX202" s="6">
        <f t="shared" si="2"/>
        <v>0</v>
      </c>
      <c r="AY202" s="6">
        <f t="shared" si="3"/>
        <v>0</v>
      </c>
      <c r="AZ202" s="9" t="str">
        <f t="shared" si="4"/>
        <v/>
      </c>
      <c r="BA202" s="6">
        <f t="shared" si="5"/>
        <v>0</v>
      </c>
      <c r="BB202" s="6">
        <f t="shared" si="6"/>
        <v>0</v>
      </c>
      <c r="BC202" s="9" t="str">
        <f t="shared" si="7"/>
        <v/>
      </c>
      <c r="BD202" s="6">
        <f t="shared" si="8"/>
        <v>0</v>
      </c>
      <c r="BE202" s="6">
        <f t="shared" si="9"/>
        <v>0</v>
      </c>
      <c r="BF202" s="9" t="str">
        <f t="shared" si="10"/>
        <v/>
      </c>
      <c r="BG202" s="6">
        <f t="shared" si="11"/>
        <v>0</v>
      </c>
      <c r="BH202" s="6">
        <f t="shared" si="12"/>
        <v>0</v>
      </c>
      <c r="BI202" s="9" t="str">
        <f t="shared" si="13"/>
        <v/>
      </c>
      <c r="BJ202" s="6">
        <f t="shared" si="14"/>
        <v>0</v>
      </c>
      <c r="BK202" s="6">
        <f t="shared" si="15"/>
        <v>0</v>
      </c>
      <c r="BL202" s="6">
        <f t="shared" si="16"/>
        <v>0</v>
      </c>
      <c r="BM202" s="6">
        <f t="shared" si="17"/>
        <v>0</v>
      </c>
      <c r="BN202" s="6">
        <f t="shared" si="18"/>
        <v>0</v>
      </c>
      <c r="BP202" s="6">
        <f t="shared" si="19"/>
        <v>0</v>
      </c>
      <c r="BQ202" s="6" t="b">
        <f ca="1">IFERROR(__xludf.DUMMYFUNCTION("IF(AND(ISERROR(FILTER('Items by Team'!D$2:D3410,'Items by Team'!C$2:C3410 = D202,'Items by Team'!B$2:B3410 = B202)),NOT(A202=""Practice"")),TRUE,FALSE)"),FALSE)</f>
        <v>0</v>
      </c>
      <c r="BR202" s="6">
        <f t="shared" ca="1" si="20"/>
        <v>0</v>
      </c>
    </row>
    <row r="203" spans="1:70">
      <c r="A203" s="6"/>
      <c r="B203" s="6"/>
      <c r="C203" s="6"/>
      <c r="D203" s="6"/>
      <c r="E203" s="6"/>
      <c r="F203" s="6"/>
      <c r="G203" s="6"/>
      <c r="H203" s="6"/>
      <c r="I203" s="6"/>
      <c r="J203" s="6"/>
      <c r="K203" s="6"/>
      <c r="L203" s="6"/>
      <c r="M203" s="6"/>
      <c r="N203" s="6"/>
      <c r="O203" s="6"/>
      <c r="P203" s="6"/>
      <c r="R203" s="6"/>
      <c r="S203" s="6"/>
      <c r="T203" s="6"/>
      <c r="U203" s="6"/>
      <c r="V203" s="6"/>
      <c r="W203" s="6"/>
      <c r="X203" s="6"/>
      <c r="Y203" s="6"/>
      <c r="Z203" s="6"/>
      <c r="AA203" s="6"/>
      <c r="AB203" s="6"/>
      <c r="AD203" s="6"/>
      <c r="AE203" s="6"/>
      <c r="AF203" s="6"/>
      <c r="AG203" s="6"/>
      <c r="AH203" s="6"/>
      <c r="AI203" s="6"/>
      <c r="AK203" s="6"/>
      <c r="AL203" s="6"/>
      <c r="AM203" s="6"/>
      <c r="AN203" s="6"/>
      <c r="AO203" s="6"/>
      <c r="AP203" s="6"/>
      <c r="AQ203" s="6"/>
      <c r="AR203" s="6"/>
      <c r="AS203" s="15"/>
      <c r="AT203" s="6" t="str">
        <f ca="1">IFERROR(__xludf.DUMMYFUNCTION("SWITCH(IF(A203=""Practice"",AN203,FILTER('Items by Team'!E$2:E3410,'Items by Team'!C$2:C3410=D203,B203='Items by Team'!B$2:B3410)),""None"",""No"",""Parked"",""P"",""ShallowCage"",""Sc"",""DeepCage"",""Dc"",""No"",""No"",""P"",""P"",""Sc"",""Sc"",""Dc"","&amp;"""Dc"")"),"#REF!")</f>
        <v>#REF!</v>
      </c>
      <c r="AU203" s="6" t="str">
        <f ca="1">IFERROR(__xludf.DUMMYFUNCTION("SWITCH(IF(A203 = ""Practice"", H203, FILTER('Items by Team'!D$2:D3410,'Items by Team'!C$2:C3410 = D203,'Items by Team'!B$2:B3410 = B203)), ""Yes"", ""TRUE"", ""No"", ""FALSE"",TRUE, ""TRUE"", FALSE, ""FALSE"")"),"#REF!")</f>
        <v>#REF!</v>
      </c>
      <c r="AV203" s="6">
        <f t="shared" si="0"/>
        <v>0</v>
      </c>
      <c r="AW203" s="6">
        <f t="shared" si="1"/>
        <v>0</v>
      </c>
      <c r="AX203" s="6">
        <f t="shared" si="2"/>
        <v>0</v>
      </c>
      <c r="AY203" s="6">
        <f t="shared" si="3"/>
        <v>0</v>
      </c>
      <c r="AZ203" s="9" t="str">
        <f t="shared" si="4"/>
        <v/>
      </c>
      <c r="BA203" s="6">
        <f t="shared" si="5"/>
        <v>0</v>
      </c>
      <c r="BB203" s="6">
        <f t="shared" si="6"/>
        <v>0</v>
      </c>
      <c r="BC203" s="9" t="str">
        <f t="shared" si="7"/>
        <v/>
      </c>
      <c r="BD203" s="6">
        <f t="shared" si="8"/>
        <v>0</v>
      </c>
      <c r="BE203" s="6">
        <f t="shared" si="9"/>
        <v>0</v>
      </c>
      <c r="BF203" s="9" t="str">
        <f t="shared" si="10"/>
        <v/>
      </c>
      <c r="BG203" s="6">
        <f t="shared" si="11"/>
        <v>0</v>
      </c>
      <c r="BH203" s="6">
        <f t="shared" si="12"/>
        <v>0</v>
      </c>
      <c r="BI203" s="9" t="str">
        <f t="shared" si="13"/>
        <v/>
      </c>
      <c r="BJ203" s="6">
        <f t="shared" si="14"/>
        <v>0</v>
      </c>
      <c r="BK203" s="6">
        <f t="shared" si="15"/>
        <v>0</v>
      </c>
      <c r="BL203" s="6">
        <f t="shared" si="16"/>
        <v>0</v>
      </c>
      <c r="BM203" s="6">
        <f t="shared" si="17"/>
        <v>0</v>
      </c>
      <c r="BN203" s="6">
        <f t="shared" si="18"/>
        <v>0</v>
      </c>
      <c r="BP203" s="6">
        <f t="shared" si="19"/>
        <v>0</v>
      </c>
      <c r="BQ203" s="6" t="b">
        <f ca="1">IFERROR(__xludf.DUMMYFUNCTION("IF(AND(ISERROR(FILTER('Items by Team'!D$2:D3410,'Items by Team'!C$2:C3410 = D203,'Items by Team'!B$2:B3410 = B203)),NOT(A203=""Practice"")),TRUE,FALSE)"),FALSE)</f>
        <v>0</v>
      </c>
      <c r="BR203" s="6">
        <f t="shared" ca="1" si="20"/>
        <v>0</v>
      </c>
    </row>
    <row r="204" spans="1:70">
      <c r="A204" s="6"/>
      <c r="B204" s="6"/>
      <c r="C204" s="6"/>
      <c r="D204" s="6"/>
      <c r="E204" s="6"/>
      <c r="F204" s="6"/>
      <c r="G204" s="6"/>
      <c r="H204" s="6"/>
      <c r="I204" s="6"/>
      <c r="J204" s="6"/>
      <c r="K204" s="6"/>
      <c r="L204" s="6"/>
      <c r="M204" s="6"/>
      <c r="N204" s="6"/>
      <c r="O204" s="6"/>
      <c r="P204" s="6"/>
      <c r="R204" s="6"/>
      <c r="S204" s="6"/>
      <c r="T204" s="6"/>
      <c r="U204" s="6"/>
      <c r="V204" s="6"/>
      <c r="W204" s="6"/>
      <c r="X204" s="6"/>
      <c r="Y204" s="6"/>
      <c r="Z204" s="6"/>
      <c r="AA204" s="6"/>
      <c r="AB204" s="6"/>
      <c r="AD204" s="6"/>
      <c r="AE204" s="6"/>
      <c r="AF204" s="6"/>
      <c r="AG204" s="6"/>
      <c r="AH204" s="6"/>
      <c r="AI204" s="6"/>
      <c r="AK204" s="6"/>
      <c r="AL204" s="6"/>
      <c r="AM204" s="6"/>
      <c r="AN204" s="6"/>
      <c r="AO204" s="6"/>
      <c r="AP204" s="6"/>
      <c r="AQ204" s="6"/>
      <c r="AR204" s="6"/>
      <c r="AS204" s="15"/>
      <c r="AT204" s="6" t="str">
        <f ca="1">IFERROR(__xludf.DUMMYFUNCTION("SWITCH(IF(A204=""Practice"",AN204,FILTER('Items by Team'!E$2:E3410,'Items by Team'!C$2:C3410=D204,B204='Items by Team'!B$2:B3410)),""None"",""No"",""Parked"",""P"",""ShallowCage"",""Sc"",""DeepCage"",""Dc"",""No"",""No"",""P"",""P"",""Sc"",""Sc"",""Dc"","&amp;"""Dc"")"),"#REF!")</f>
        <v>#REF!</v>
      </c>
      <c r="AU204" s="6" t="str">
        <f ca="1">IFERROR(__xludf.DUMMYFUNCTION("SWITCH(IF(A204 = ""Practice"", H204, FILTER('Items by Team'!D$2:D3410,'Items by Team'!C$2:C3410 = D204,'Items by Team'!B$2:B3410 = B204)), ""Yes"", ""TRUE"", ""No"", ""FALSE"",TRUE, ""TRUE"", FALSE, ""FALSE"")"),"#REF!")</f>
        <v>#REF!</v>
      </c>
      <c r="AV204" s="6">
        <f t="shared" si="0"/>
        <v>0</v>
      </c>
      <c r="AW204" s="6">
        <f t="shared" si="1"/>
        <v>0</v>
      </c>
      <c r="AX204" s="6">
        <f t="shared" si="2"/>
        <v>0</v>
      </c>
      <c r="AY204" s="6">
        <f t="shared" si="3"/>
        <v>0</v>
      </c>
      <c r="AZ204" s="9" t="str">
        <f t="shared" si="4"/>
        <v/>
      </c>
      <c r="BA204" s="6">
        <f t="shared" si="5"/>
        <v>0</v>
      </c>
      <c r="BB204" s="6">
        <f t="shared" si="6"/>
        <v>0</v>
      </c>
      <c r="BC204" s="9" t="str">
        <f t="shared" si="7"/>
        <v/>
      </c>
      <c r="BD204" s="6">
        <f t="shared" si="8"/>
        <v>0</v>
      </c>
      <c r="BE204" s="6">
        <f t="shared" si="9"/>
        <v>0</v>
      </c>
      <c r="BF204" s="9" t="str">
        <f t="shared" si="10"/>
        <v/>
      </c>
      <c r="BG204" s="6">
        <f t="shared" si="11"/>
        <v>0</v>
      </c>
      <c r="BH204" s="6">
        <f t="shared" si="12"/>
        <v>0</v>
      </c>
      <c r="BI204" s="9" t="str">
        <f t="shared" si="13"/>
        <v/>
      </c>
      <c r="BJ204" s="6">
        <f t="shared" si="14"/>
        <v>0</v>
      </c>
      <c r="BK204" s="6">
        <f t="shared" si="15"/>
        <v>0</v>
      </c>
      <c r="BL204" s="6">
        <f t="shared" si="16"/>
        <v>0</v>
      </c>
      <c r="BM204" s="6">
        <f t="shared" si="17"/>
        <v>0</v>
      </c>
      <c r="BN204" s="6">
        <f t="shared" si="18"/>
        <v>0</v>
      </c>
      <c r="BP204" s="6">
        <f t="shared" si="19"/>
        <v>0</v>
      </c>
      <c r="BQ204" s="6" t="b">
        <f ca="1">IFERROR(__xludf.DUMMYFUNCTION("IF(AND(ISERROR(FILTER('Items by Team'!D$2:D3410,'Items by Team'!C$2:C3410 = D204,'Items by Team'!B$2:B3410 = B204)),NOT(A204=""Practice"")),TRUE,FALSE)"),FALSE)</f>
        <v>0</v>
      </c>
      <c r="BR204" s="6">
        <f t="shared" ca="1" si="20"/>
        <v>0</v>
      </c>
    </row>
    <row r="205" spans="1:70">
      <c r="A205" s="6"/>
      <c r="B205" s="6"/>
      <c r="C205" s="6"/>
      <c r="D205" s="6"/>
      <c r="E205" s="6"/>
      <c r="F205" s="6"/>
      <c r="G205" s="6"/>
      <c r="H205" s="6"/>
      <c r="I205" s="6"/>
      <c r="J205" s="6"/>
      <c r="K205" s="6"/>
      <c r="L205" s="6"/>
      <c r="M205" s="6"/>
      <c r="N205" s="6"/>
      <c r="O205" s="6"/>
      <c r="P205" s="6"/>
      <c r="R205" s="6"/>
      <c r="S205" s="6"/>
      <c r="T205" s="6"/>
      <c r="U205" s="6"/>
      <c r="V205" s="6"/>
      <c r="W205" s="6"/>
      <c r="X205" s="6"/>
      <c r="Y205" s="6"/>
      <c r="Z205" s="6"/>
      <c r="AA205" s="6"/>
      <c r="AB205" s="6"/>
      <c r="AD205" s="6"/>
      <c r="AE205" s="6"/>
      <c r="AF205" s="6"/>
      <c r="AG205" s="6"/>
      <c r="AH205" s="6"/>
      <c r="AI205" s="6"/>
      <c r="AK205" s="6"/>
      <c r="AL205" s="6"/>
      <c r="AM205" s="6"/>
      <c r="AN205" s="6"/>
      <c r="AO205" s="6"/>
      <c r="AP205" s="6"/>
      <c r="AQ205" s="6"/>
      <c r="AR205" s="6"/>
      <c r="AS205" s="15"/>
      <c r="AT205" s="6" t="str">
        <f ca="1">IFERROR(__xludf.DUMMYFUNCTION("SWITCH(IF(A205=""Practice"",AN205,FILTER('Items by Team'!E$2:E3410,'Items by Team'!C$2:C3410=D205,B205='Items by Team'!B$2:B3410)),""None"",""No"",""Parked"",""P"",""ShallowCage"",""Sc"",""DeepCage"",""Dc"",""No"",""No"",""P"",""P"",""Sc"",""Sc"",""Dc"","&amp;"""Dc"")"),"#REF!")</f>
        <v>#REF!</v>
      </c>
      <c r="AU205" s="6" t="str">
        <f ca="1">IFERROR(__xludf.DUMMYFUNCTION("SWITCH(IF(A205 = ""Practice"", H205, FILTER('Items by Team'!D$2:D3410,'Items by Team'!C$2:C3410 = D205,'Items by Team'!B$2:B3410 = B205)), ""Yes"", ""TRUE"", ""No"", ""FALSE"",TRUE, ""TRUE"", FALSE, ""FALSE"")"),"#REF!")</f>
        <v>#REF!</v>
      </c>
      <c r="AV205" s="6">
        <f t="shared" si="0"/>
        <v>0</v>
      </c>
      <c r="AW205" s="6">
        <f t="shared" si="1"/>
        <v>0</v>
      </c>
      <c r="AX205" s="6">
        <f t="shared" si="2"/>
        <v>0</v>
      </c>
      <c r="AY205" s="6">
        <f t="shared" si="3"/>
        <v>0</v>
      </c>
      <c r="AZ205" s="9" t="str">
        <f t="shared" si="4"/>
        <v/>
      </c>
      <c r="BA205" s="6">
        <f t="shared" si="5"/>
        <v>0</v>
      </c>
      <c r="BB205" s="6">
        <f t="shared" si="6"/>
        <v>0</v>
      </c>
      <c r="BC205" s="9" t="str">
        <f t="shared" si="7"/>
        <v/>
      </c>
      <c r="BD205" s="6">
        <f t="shared" si="8"/>
        <v>0</v>
      </c>
      <c r="BE205" s="6">
        <f t="shared" si="9"/>
        <v>0</v>
      </c>
      <c r="BF205" s="9" t="str">
        <f t="shared" si="10"/>
        <v/>
      </c>
      <c r="BG205" s="6">
        <f t="shared" si="11"/>
        <v>0</v>
      </c>
      <c r="BH205" s="6">
        <f t="shared" si="12"/>
        <v>0</v>
      </c>
      <c r="BI205" s="9" t="str">
        <f t="shared" si="13"/>
        <v/>
      </c>
      <c r="BJ205" s="6">
        <f t="shared" si="14"/>
        <v>0</v>
      </c>
      <c r="BK205" s="6">
        <f t="shared" si="15"/>
        <v>0</v>
      </c>
      <c r="BL205" s="6">
        <f t="shared" si="16"/>
        <v>0</v>
      </c>
      <c r="BM205" s="6">
        <f t="shared" si="17"/>
        <v>0</v>
      </c>
      <c r="BN205" s="6">
        <f t="shared" si="18"/>
        <v>0</v>
      </c>
      <c r="BP205" s="6">
        <f t="shared" si="19"/>
        <v>0</v>
      </c>
      <c r="BQ205" s="6" t="b">
        <f ca="1">IFERROR(__xludf.DUMMYFUNCTION("IF(AND(ISERROR(FILTER('Items by Team'!D$2:D3410,'Items by Team'!C$2:C3410 = D205,'Items by Team'!B$2:B3410 = B205)),NOT(A205=""Practice"")),TRUE,FALSE)"),FALSE)</f>
        <v>0</v>
      </c>
      <c r="BR205" s="6">
        <f t="shared" ca="1" si="20"/>
        <v>0</v>
      </c>
    </row>
    <row r="206" spans="1:70">
      <c r="A206" s="6"/>
      <c r="B206" s="6"/>
      <c r="C206" s="6"/>
      <c r="D206" s="6"/>
      <c r="E206" s="6"/>
      <c r="F206" s="6"/>
      <c r="G206" s="6"/>
      <c r="H206" s="6"/>
      <c r="I206" s="6"/>
      <c r="J206" s="6"/>
      <c r="K206" s="6"/>
      <c r="L206" s="6"/>
      <c r="M206" s="6"/>
      <c r="N206" s="6"/>
      <c r="O206" s="6"/>
      <c r="P206" s="6"/>
      <c r="R206" s="6"/>
      <c r="S206" s="6"/>
      <c r="T206" s="6"/>
      <c r="U206" s="6"/>
      <c r="V206" s="6"/>
      <c r="W206" s="6"/>
      <c r="X206" s="6"/>
      <c r="Y206" s="6"/>
      <c r="Z206" s="6"/>
      <c r="AA206" s="6"/>
      <c r="AB206" s="6"/>
      <c r="AD206" s="6"/>
      <c r="AE206" s="6"/>
      <c r="AF206" s="6"/>
      <c r="AG206" s="6"/>
      <c r="AH206" s="6"/>
      <c r="AI206" s="6"/>
      <c r="AK206" s="6"/>
      <c r="AL206" s="6"/>
      <c r="AM206" s="6"/>
      <c r="AN206" s="6"/>
      <c r="AO206" s="6"/>
      <c r="AP206" s="6"/>
      <c r="AQ206" s="6"/>
      <c r="AR206" s="6"/>
      <c r="AS206" s="15"/>
      <c r="AT206" s="6" t="str">
        <f ca="1">IFERROR(__xludf.DUMMYFUNCTION("SWITCH(IF(A206=""Practice"",AN206,FILTER('Items by Team'!E$2:E3410,'Items by Team'!C$2:C3410=D206,B206='Items by Team'!B$2:B3410)),""None"",""No"",""Parked"",""P"",""ShallowCage"",""Sc"",""DeepCage"",""Dc"",""No"",""No"",""P"",""P"",""Sc"",""Sc"",""Dc"","&amp;"""Dc"")"),"#REF!")</f>
        <v>#REF!</v>
      </c>
      <c r="AU206" s="6" t="str">
        <f ca="1">IFERROR(__xludf.DUMMYFUNCTION("SWITCH(IF(A206 = ""Practice"", H206, FILTER('Items by Team'!D$2:D3410,'Items by Team'!C$2:C3410 = D206,'Items by Team'!B$2:B3410 = B206)), ""Yes"", ""TRUE"", ""No"", ""FALSE"",TRUE, ""TRUE"", FALSE, ""FALSE"")"),"#REF!")</f>
        <v>#REF!</v>
      </c>
      <c r="AV206" s="6">
        <f t="shared" si="0"/>
        <v>0</v>
      </c>
      <c r="AW206" s="6">
        <f t="shared" si="1"/>
        <v>0</v>
      </c>
      <c r="AX206" s="6">
        <f t="shared" si="2"/>
        <v>0</v>
      </c>
      <c r="AY206" s="6">
        <f t="shared" si="3"/>
        <v>0</v>
      </c>
      <c r="AZ206" s="9" t="str">
        <f t="shared" si="4"/>
        <v/>
      </c>
      <c r="BA206" s="6">
        <f t="shared" si="5"/>
        <v>0</v>
      </c>
      <c r="BB206" s="6">
        <f t="shared" si="6"/>
        <v>0</v>
      </c>
      <c r="BC206" s="9" t="str">
        <f t="shared" si="7"/>
        <v/>
      </c>
      <c r="BD206" s="6">
        <f t="shared" si="8"/>
        <v>0</v>
      </c>
      <c r="BE206" s="6">
        <f t="shared" si="9"/>
        <v>0</v>
      </c>
      <c r="BF206" s="9" t="str">
        <f t="shared" si="10"/>
        <v/>
      </c>
      <c r="BG206" s="6">
        <f t="shared" si="11"/>
        <v>0</v>
      </c>
      <c r="BH206" s="6">
        <f t="shared" si="12"/>
        <v>0</v>
      </c>
      <c r="BI206" s="9" t="str">
        <f t="shared" si="13"/>
        <v/>
      </c>
      <c r="BJ206" s="6">
        <f t="shared" si="14"/>
        <v>0</v>
      </c>
      <c r="BK206" s="6">
        <f t="shared" si="15"/>
        <v>0</v>
      </c>
      <c r="BL206" s="6">
        <f t="shared" si="16"/>
        <v>0</v>
      </c>
      <c r="BM206" s="6">
        <f t="shared" si="17"/>
        <v>0</v>
      </c>
      <c r="BN206" s="6">
        <f t="shared" si="18"/>
        <v>0</v>
      </c>
      <c r="BP206" s="6">
        <f t="shared" si="19"/>
        <v>0</v>
      </c>
      <c r="BQ206" s="6" t="b">
        <f ca="1">IFERROR(__xludf.DUMMYFUNCTION("IF(AND(ISERROR(FILTER('Items by Team'!D$2:D3410,'Items by Team'!C$2:C3410 = D206,'Items by Team'!B$2:B3410 = B206)),NOT(A206=""Practice"")),TRUE,FALSE)"),FALSE)</f>
        <v>0</v>
      </c>
      <c r="BR206" s="6">
        <f t="shared" ca="1" si="20"/>
        <v>0</v>
      </c>
    </row>
    <row r="207" spans="1:70">
      <c r="A207" s="6"/>
      <c r="B207" s="6"/>
      <c r="C207" s="6"/>
      <c r="D207" s="6"/>
      <c r="E207" s="6"/>
      <c r="F207" s="6"/>
      <c r="G207" s="6"/>
      <c r="H207" s="6"/>
      <c r="I207" s="6"/>
      <c r="J207" s="6"/>
      <c r="K207" s="6"/>
      <c r="L207" s="6"/>
      <c r="M207" s="6"/>
      <c r="N207" s="6"/>
      <c r="O207" s="6"/>
      <c r="P207" s="6"/>
      <c r="R207" s="6"/>
      <c r="S207" s="6"/>
      <c r="T207" s="6"/>
      <c r="U207" s="6"/>
      <c r="V207" s="6"/>
      <c r="W207" s="6"/>
      <c r="X207" s="6"/>
      <c r="Y207" s="6"/>
      <c r="Z207" s="6"/>
      <c r="AA207" s="6"/>
      <c r="AB207" s="6"/>
      <c r="AD207" s="6"/>
      <c r="AE207" s="6"/>
      <c r="AF207" s="6"/>
      <c r="AG207" s="6"/>
      <c r="AH207" s="6"/>
      <c r="AI207" s="6"/>
      <c r="AK207" s="6"/>
      <c r="AL207" s="6"/>
      <c r="AM207" s="6"/>
      <c r="AN207" s="6"/>
      <c r="AO207" s="6"/>
      <c r="AP207" s="6"/>
      <c r="AQ207" s="6"/>
      <c r="AR207" s="6"/>
      <c r="AS207" s="15"/>
      <c r="AT207" s="6" t="str">
        <f ca="1">IFERROR(__xludf.DUMMYFUNCTION("SWITCH(IF(A207=""Practice"",AN207,FILTER('Items by Team'!E$2:E3410,'Items by Team'!C$2:C3410=D207,B207='Items by Team'!B$2:B3410)),""None"",""No"",""Parked"",""P"",""ShallowCage"",""Sc"",""DeepCage"",""Dc"",""No"",""No"",""P"",""P"",""Sc"",""Sc"",""Dc"","&amp;"""Dc"")"),"#REF!")</f>
        <v>#REF!</v>
      </c>
      <c r="AU207" s="6" t="str">
        <f ca="1">IFERROR(__xludf.DUMMYFUNCTION("SWITCH(IF(A207 = ""Practice"", H207, FILTER('Items by Team'!D$2:D3410,'Items by Team'!C$2:C3410 = D207,'Items by Team'!B$2:B3410 = B207)), ""Yes"", ""TRUE"", ""No"", ""FALSE"",TRUE, ""TRUE"", FALSE, ""FALSE"")"),"#REF!")</f>
        <v>#REF!</v>
      </c>
      <c r="AV207" s="6">
        <f t="shared" si="0"/>
        <v>0</v>
      </c>
      <c r="AW207" s="6">
        <f t="shared" si="1"/>
        <v>0</v>
      </c>
      <c r="AX207" s="6">
        <f t="shared" si="2"/>
        <v>0</v>
      </c>
      <c r="AY207" s="6">
        <f t="shared" si="3"/>
        <v>0</v>
      </c>
      <c r="AZ207" s="9" t="str">
        <f t="shared" si="4"/>
        <v/>
      </c>
      <c r="BA207" s="6">
        <f t="shared" si="5"/>
        <v>0</v>
      </c>
      <c r="BB207" s="6">
        <f t="shared" si="6"/>
        <v>0</v>
      </c>
      <c r="BC207" s="9" t="str">
        <f t="shared" si="7"/>
        <v/>
      </c>
      <c r="BD207" s="6">
        <f t="shared" si="8"/>
        <v>0</v>
      </c>
      <c r="BE207" s="6">
        <f t="shared" si="9"/>
        <v>0</v>
      </c>
      <c r="BF207" s="9" t="str">
        <f t="shared" si="10"/>
        <v/>
      </c>
      <c r="BG207" s="6">
        <f t="shared" si="11"/>
        <v>0</v>
      </c>
      <c r="BH207" s="6">
        <f t="shared" si="12"/>
        <v>0</v>
      </c>
      <c r="BI207" s="9" t="str">
        <f t="shared" si="13"/>
        <v/>
      </c>
      <c r="BJ207" s="6">
        <f t="shared" si="14"/>
        <v>0</v>
      </c>
      <c r="BK207" s="6">
        <f t="shared" si="15"/>
        <v>0</v>
      </c>
      <c r="BL207" s="6">
        <f t="shared" si="16"/>
        <v>0</v>
      </c>
      <c r="BM207" s="6">
        <f t="shared" si="17"/>
        <v>0</v>
      </c>
      <c r="BN207" s="6">
        <f t="shared" si="18"/>
        <v>0</v>
      </c>
      <c r="BP207" s="6">
        <f t="shared" si="19"/>
        <v>0</v>
      </c>
      <c r="BQ207" s="6" t="b">
        <f ca="1">IFERROR(__xludf.DUMMYFUNCTION("IF(AND(ISERROR(FILTER('Items by Team'!D$2:D3410,'Items by Team'!C$2:C3410 = D207,'Items by Team'!B$2:B3410 = B207)),NOT(A207=""Practice"")),TRUE,FALSE)"),FALSE)</f>
        <v>0</v>
      </c>
      <c r="BR207" s="6">
        <f t="shared" ca="1" si="20"/>
        <v>0</v>
      </c>
    </row>
    <row r="208" spans="1:70">
      <c r="A208" s="6"/>
      <c r="B208" s="6"/>
      <c r="C208" s="6"/>
      <c r="D208" s="6"/>
      <c r="E208" s="6"/>
      <c r="F208" s="6"/>
      <c r="G208" s="6"/>
      <c r="H208" s="6"/>
      <c r="I208" s="6"/>
      <c r="J208" s="6"/>
      <c r="K208" s="6"/>
      <c r="L208" s="6"/>
      <c r="M208" s="6"/>
      <c r="N208" s="6"/>
      <c r="O208" s="6"/>
      <c r="P208" s="6"/>
      <c r="R208" s="6"/>
      <c r="S208" s="6"/>
      <c r="T208" s="6"/>
      <c r="U208" s="6"/>
      <c r="V208" s="6"/>
      <c r="W208" s="6"/>
      <c r="X208" s="6"/>
      <c r="Y208" s="6"/>
      <c r="Z208" s="6"/>
      <c r="AA208" s="6"/>
      <c r="AB208" s="6"/>
      <c r="AD208" s="6"/>
      <c r="AE208" s="6"/>
      <c r="AF208" s="6"/>
      <c r="AG208" s="6"/>
      <c r="AH208" s="6"/>
      <c r="AI208" s="6"/>
      <c r="AK208" s="6"/>
      <c r="AL208" s="6"/>
      <c r="AM208" s="6"/>
      <c r="AN208" s="6"/>
      <c r="AO208" s="6"/>
      <c r="AP208" s="6"/>
      <c r="AQ208" s="6"/>
      <c r="AR208" s="6"/>
      <c r="AS208" s="15"/>
      <c r="AT208" s="6" t="str">
        <f ca="1">IFERROR(__xludf.DUMMYFUNCTION("SWITCH(IF(A208=""Practice"",AN208,FILTER('Items by Team'!E$2:E3410,'Items by Team'!C$2:C3410=D208,B208='Items by Team'!B$2:B3410)),""None"",""No"",""Parked"",""P"",""ShallowCage"",""Sc"",""DeepCage"",""Dc"",""No"",""No"",""P"",""P"",""Sc"",""Sc"",""Dc"","&amp;"""Dc"")"),"#REF!")</f>
        <v>#REF!</v>
      </c>
      <c r="AU208" s="6" t="str">
        <f ca="1">IFERROR(__xludf.DUMMYFUNCTION("SWITCH(IF(A208 = ""Practice"", H208, FILTER('Items by Team'!D$2:D3410,'Items by Team'!C$2:C3410 = D208,'Items by Team'!B$2:B3410 = B208)), ""Yes"", ""TRUE"", ""No"", ""FALSE"",TRUE, ""TRUE"", FALSE, ""FALSE"")"),"#REF!")</f>
        <v>#REF!</v>
      </c>
      <c r="AV208" s="6">
        <f t="shared" si="0"/>
        <v>0</v>
      </c>
      <c r="AW208" s="6">
        <f t="shared" si="1"/>
        <v>0</v>
      </c>
      <c r="AX208" s="6">
        <f t="shared" si="2"/>
        <v>0</v>
      </c>
      <c r="AY208" s="6">
        <f t="shared" si="3"/>
        <v>0</v>
      </c>
      <c r="AZ208" s="9" t="str">
        <f t="shared" si="4"/>
        <v/>
      </c>
      <c r="BA208" s="6">
        <f t="shared" si="5"/>
        <v>0</v>
      </c>
      <c r="BB208" s="6">
        <f t="shared" si="6"/>
        <v>0</v>
      </c>
      <c r="BC208" s="9" t="str">
        <f t="shared" si="7"/>
        <v/>
      </c>
      <c r="BD208" s="6">
        <f t="shared" si="8"/>
        <v>0</v>
      </c>
      <c r="BE208" s="6">
        <f t="shared" si="9"/>
        <v>0</v>
      </c>
      <c r="BF208" s="9" t="str">
        <f t="shared" si="10"/>
        <v/>
      </c>
      <c r="BG208" s="6">
        <f t="shared" si="11"/>
        <v>0</v>
      </c>
      <c r="BH208" s="6">
        <f t="shared" si="12"/>
        <v>0</v>
      </c>
      <c r="BI208" s="9" t="str">
        <f t="shared" si="13"/>
        <v/>
      </c>
      <c r="BJ208" s="6">
        <f t="shared" si="14"/>
        <v>0</v>
      </c>
      <c r="BK208" s="6">
        <f t="shared" si="15"/>
        <v>0</v>
      </c>
      <c r="BL208" s="6">
        <f t="shared" si="16"/>
        <v>0</v>
      </c>
      <c r="BM208" s="6">
        <f t="shared" si="17"/>
        <v>0</v>
      </c>
      <c r="BN208" s="6">
        <f t="shared" si="18"/>
        <v>0</v>
      </c>
      <c r="BP208" s="6">
        <f t="shared" si="19"/>
        <v>0</v>
      </c>
      <c r="BQ208" s="6" t="b">
        <f ca="1">IFERROR(__xludf.DUMMYFUNCTION("IF(AND(ISERROR(FILTER('Items by Team'!D$2:D3410,'Items by Team'!C$2:C3410 = D208,'Items by Team'!B$2:B3410 = B208)),NOT(A208=""Practice"")),TRUE,FALSE)"),FALSE)</f>
        <v>0</v>
      </c>
      <c r="BR208" s="6">
        <f t="shared" ca="1" si="20"/>
        <v>0</v>
      </c>
    </row>
    <row r="209" spans="1:70">
      <c r="A209" s="6"/>
      <c r="B209" s="6"/>
      <c r="C209" s="6"/>
      <c r="D209" s="6"/>
      <c r="E209" s="6"/>
      <c r="F209" s="6"/>
      <c r="G209" s="6"/>
      <c r="H209" s="6"/>
      <c r="I209" s="6"/>
      <c r="J209" s="6"/>
      <c r="K209" s="6"/>
      <c r="L209" s="6"/>
      <c r="M209" s="6"/>
      <c r="N209" s="6"/>
      <c r="O209" s="6"/>
      <c r="P209" s="6"/>
      <c r="R209" s="6"/>
      <c r="S209" s="6"/>
      <c r="T209" s="6"/>
      <c r="U209" s="6"/>
      <c r="V209" s="6"/>
      <c r="W209" s="6"/>
      <c r="X209" s="6"/>
      <c r="Y209" s="6"/>
      <c r="Z209" s="6"/>
      <c r="AA209" s="6"/>
      <c r="AB209" s="6"/>
      <c r="AD209" s="6"/>
      <c r="AE209" s="6"/>
      <c r="AF209" s="6"/>
      <c r="AG209" s="6"/>
      <c r="AH209" s="6"/>
      <c r="AI209" s="6"/>
      <c r="AK209" s="6"/>
      <c r="AL209" s="6"/>
      <c r="AM209" s="6"/>
      <c r="AN209" s="6"/>
      <c r="AO209" s="6"/>
      <c r="AP209" s="6"/>
      <c r="AQ209" s="6"/>
      <c r="AR209" s="6"/>
      <c r="AS209" s="15"/>
      <c r="AT209" s="6" t="str">
        <f ca="1">IFERROR(__xludf.DUMMYFUNCTION("SWITCH(IF(A209=""Practice"",AN209,FILTER('Items by Team'!E$2:E3410,'Items by Team'!C$2:C3410=D209,B209='Items by Team'!B$2:B3410)),""None"",""No"",""Parked"",""P"",""ShallowCage"",""Sc"",""DeepCage"",""Dc"",""No"",""No"",""P"",""P"",""Sc"",""Sc"",""Dc"","&amp;"""Dc"")"),"#REF!")</f>
        <v>#REF!</v>
      </c>
      <c r="AU209" s="6" t="str">
        <f ca="1">IFERROR(__xludf.DUMMYFUNCTION("SWITCH(IF(A209 = ""Practice"", H209, FILTER('Items by Team'!D$2:D3410,'Items by Team'!C$2:C3410 = D209,'Items by Team'!B$2:B3410 = B209)), ""Yes"", ""TRUE"", ""No"", ""FALSE"",TRUE, ""TRUE"", FALSE, ""FALSE"")"),"#REF!")</f>
        <v>#REF!</v>
      </c>
      <c r="AV209" s="6">
        <f t="shared" si="0"/>
        <v>0</v>
      </c>
      <c r="AW209" s="6">
        <f t="shared" si="1"/>
        <v>0</v>
      </c>
      <c r="AX209" s="6">
        <f t="shared" si="2"/>
        <v>0</v>
      </c>
      <c r="AY209" s="6">
        <f t="shared" si="3"/>
        <v>0</v>
      </c>
      <c r="AZ209" s="9" t="str">
        <f t="shared" si="4"/>
        <v/>
      </c>
      <c r="BA209" s="6">
        <f t="shared" si="5"/>
        <v>0</v>
      </c>
      <c r="BB209" s="6">
        <f t="shared" si="6"/>
        <v>0</v>
      </c>
      <c r="BC209" s="9" t="str">
        <f t="shared" si="7"/>
        <v/>
      </c>
      <c r="BD209" s="6">
        <f t="shared" si="8"/>
        <v>0</v>
      </c>
      <c r="BE209" s="6">
        <f t="shared" si="9"/>
        <v>0</v>
      </c>
      <c r="BF209" s="9" t="str">
        <f t="shared" si="10"/>
        <v/>
      </c>
      <c r="BG209" s="6">
        <f t="shared" si="11"/>
        <v>0</v>
      </c>
      <c r="BH209" s="6">
        <f t="shared" si="12"/>
        <v>0</v>
      </c>
      <c r="BI209" s="9" t="str">
        <f t="shared" si="13"/>
        <v/>
      </c>
      <c r="BJ209" s="6">
        <f t="shared" si="14"/>
        <v>0</v>
      </c>
      <c r="BK209" s="6">
        <f t="shared" si="15"/>
        <v>0</v>
      </c>
      <c r="BL209" s="6">
        <f t="shared" si="16"/>
        <v>0</v>
      </c>
      <c r="BM209" s="6">
        <f t="shared" si="17"/>
        <v>0</v>
      </c>
      <c r="BN209" s="6">
        <f t="shared" si="18"/>
        <v>0</v>
      </c>
      <c r="BP209" s="6">
        <f t="shared" si="19"/>
        <v>0</v>
      </c>
      <c r="BQ209" s="6" t="b">
        <f ca="1">IFERROR(__xludf.DUMMYFUNCTION("IF(AND(ISERROR(FILTER('Items by Team'!D$2:D3410,'Items by Team'!C$2:C3410 = D209,'Items by Team'!B$2:B3410 = B209)),NOT(A209=""Practice"")),TRUE,FALSE)"),FALSE)</f>
        <v>0</v>
      </c>
      <c r="BR209" s="6">
        <f t="shared" ca="1" si="20"/>
        <v>0</v>
      </c>
    </row>
    <row r="210" spans="1:70">
      <c r="A210" s="6"/>
      <c r="B210" s="6"/>
      <c r="C210" s="6"/>
      <c r="D210" s="6"/>
      <c r="E210" s="6"/>
      <c r="F210" s="6"/>
      <c r="G210" s="6"/>
      <c r="H210" s="6"/>
      <c r="I210" s="6"/>
      <c r="J210" s="6"/>
      <c r="K210" s="6"/>
      <c r="L210" s="6"/>
      <c r="M210" s="6"/>
      <c r="N210" s="6"/>
      <c r="O210" s="6"/>
      <c r="P210" s="6"/>
      <c r="R210" s="6"/>
      <c r="S210" s="6"/>
      <c r="T210" s="6"/>
      <c r="U210" s="6"/>
      <c r="V210" s="6"/>
      <c r="W210" s="6"/>
      <c r="X210" s="6"/>
      <c r="Y210" s="6"/>
      <c r="Z210" s="6"/>
      <c r="AA210" s="6"/>
      <c r="AB210" s="6"/>
      <c r="AD210" s="6"/>
      <c r="AE210" s="6"/>
      <c r="AF210" s="6"/>
      <c r="AG210" s="6"/>
      <c r="AH210" s="6"/>
      <c r="AI210" s="6"/>
      <c r="AK210" s="6"/>
      <c r="AL210" s="6"/>
      <c r="AM210" s="6"/>
      <c r="AN210" s="6"/>
      <c r="AO210" s="6"/>
      <c r="AP210" s="6"/>
      <c r="AQ210" s="6"/>
      <c r="AR210" s="6"/>
      <c r="AS210" s="15"/>
      <c r="AT210" s="6" t="str">
        <f ca="1">IFERROR(__xludf.DUMMYFUNCTION("SWITCH(IF(A210=""Practice"",AN210,FILTER('Items by Team'!E$2:E3410,'Items by Team'!C$2:C3410=D210,B210='Items by Team'!B$2:B3410)),""None"",""No"",""Parked"",""P"",""ShallowCage"",""Sc"",""DeepCage"",""Dc"",""No"",""No"",""P"",""P"",""Sc"",""Sc"",""Dc"","&amp;"""Dc"")"),"#REF!")</f>
        <v>#REF!</v>
      </c>
      <c r="AU210" s="6" t="str">
        <f ca="1">IFERROR(__xludf.DUMMYFUNCTION("SWITCH(IF(A210 = ""Practice"", H210, FILTER('Items by Team'!D$2:D3410,'Items by Team'!C$2:C3410 = D210,'Items by Team'!B$2:B3410 = B210)), ""Yes"", ""TRUE"", ""No"", ""FALSE"",TRUE, ""TRUE"", FALSE, ""FALSE"")"),"#REF!")</f>
        <v>#REF!</v>
      </c>
      <c r="AV210" s="6">
        <f t="shared" si="0"/>
        <v>0</v>
      </c>
      <c r="AW210" s="6">
        <f t="shared" si="1"/>
        <v>0</v>
      </c>
      <c r="AX210" s="6">
        <f t="shared" si="2"/>
        <v>0</v>
      </c>
      <c r="AY210" s="6">
        <f t="shared" si="3"/>
        <v>0</v>
      </c>
      <c r="AZ210" s="9" t="str">
        <f t="shared" si="4"/>
        <v/>
      </c>
      <c r="BA210" s="6">
        <f t="shared" si="5"/>
        <v>0</v>
      </c>
      <c r="BB210" s="6">
        <f t="shared" si="6"/>
        <v>0</v>
      </c>
      <c r="BC210" s="9" t="str">
        <f t="shared" si="7"/>
        <v/>
      </c>
      <c r="BD210" s="6">
        <f t="shared" si="8"/>
        <v>0</v>
      </c>
      <c r="BE210" s="6">
        <f t="shared" si="9"/>
        <v>0</v>
      </c>
      <c r="BF210" s="9" t="str">
        <f t="shared" si="10"/>
        <v/>
      </c>
      <c r="BG210" s="6">
        <f t="shared" si="11"/>
        <v>0</v>
      </c>
      <c r="BH210" s="6">
        <f t="shared" si="12"/>
        <v>0</v>
      </c>
      <c r="BI210" s="9" t="str">
        <f t="shared" si="13"/>
        <v/>
      </c>
      <c r="BJ210" s="6">
        <f t="shared" si="14"/>
        <v>0</v>
      </c>
      <c r="BK210" s="6">
        <f t="shared" si="15"/>
        <v>0</v>
      </c>
      <c r="BL210" s="6">
        <f t="shared" si="16"/>
        <v>0</v>
      </c>
      <c r="BM210" s="6">
        <f t="shared" si="17"/>
        <v>0</v>
      </c>
      <c r="BN210" s="6">
        <f t="shared" si="18"/>
        <v>0</v>
      </c>
      <c r="BP210" s="6">
        <f t="shared" si="19"/>
        <v>0</v>
      </c>
      <c r="BQ210" s="6" t="b">
        <f ca="1">IFERROR(__xludf.DUMMYFUNCTION("IF(AND(ISERROR(FILTER('Items by Team'!D$2:D3410,'Items by Team'!C$2:C3410 = D210,'Items by Team'!B$2:B3410 = B210)),NOT(A210=""Practice"")),TRUE,FALSE)"),FALSE)</f>
        <v>0</v>
      </c>
      <c r="BR210" s="6">
        <f t="shared" ca="1" si="20"/>
        <v>0</v>
      </c>
    </row>
    <row r="211" spans="1:70">
      <c r="A211" s="6"/>
      <c r="B211" s="6"/>
      <c r="C211" s="6"/>
      <c r="D211" s="6"/>
      <c r="E211" s="6"/>
      <c r="F211" s="6"/>
      <c r="G211" s="6"/>
      <c r="H211" s="6"/>
      <c r="I211" s="6"/>
      <c r="J211" s="6"/>
      <c r="K211" s="6"/>
      <c r="L211" s="6"/>
      <c r="M211" s="6"/>
      <c r="N211" s="6"/>
      <c r="O211" s="6"/>
      <c r="P211" s="6"/>
      <c r="R211" s="6"/>
      <c r="S211" s="6"/>
      <c r="T211" s="6"/>
      <c r="U211" s="6"/>
      <c r="V211" s="6"/>
      <c r="W211" s="6"/>
      <c r="X211" s="6"/>
      <c r="Y211" s="6"/>
      <c r="Z211" s="6"/>
      <c r="AA211" s="6"/>
      <c r="AB211" s="6"/>
      <c r="AD211" s="6"/>
      <c r="AE211" s="6"/>
      <c r="AF211" s="6"/>
      <c r="AG211" s="6"/>
      <c r="AH211" s="6"/>
      <c r="AI211" s="6"/>
      <c r="AK211" s="6"/>
      <c r="AL211" s="6"/>
      <c r="AM211" s="6"/>
      <c r="AN211" s="6"/>
      <c r="AO211" s="6"/>
      <c r="AP211" s="6"/>
      <c r="AQ211" s="6"/>
      <c r="AR211" s="6"/>
      <c r="AS211" s="15"/>
      <c r="AT211" s="6" t="str">
        <f ca="1">IFERROR(__xludf.DUMMYFUNCTION("SWITCH(IF(A211=""Practice"",AN211,FILTER('Items by Team'!E$2:E3410,'Items by Team'!C$2:C3410=D211,B211='Items by Team'!B$2:B3410)),""None"",""No"",""Parked"",""P"",""ShallowCage"",""Sc"",""DeepCage"",""Dc"",""No"",""No"",""P"",""P"",""Sc"",""Sc"",""Dc"","&amp;"""Dc"")"),"#REF!")</f>
        <v>#REF!</v>
      </c>
      <c r="AU211" s="6" t="str">
        <f ca="1">IFERROR(__xludf.DUMMYFUNCTION("SWITCH(IF(A211 = ""Practice"", H211, FILTER('Items by Team'!D$2:D3410,'Items by Team'!C$2:C3410 = D211,'Items by Team'!B$2:B3410 = B211)), ""Yes"", ""TRUE"", ""No"", ""FALSE"",TRUE, ""TRUE"", FALSE, ""FALSE"")"),"#REF!")</f>
        <v>#REF!</v>
      </c>
      <c r="AV211" s="6">
        <f t="shared" si="0"/>
        <v>0</v>
      </c>
      <c r="AW211" s="6">
        <f t="shared" si="1"/>
        <v>0</v>
      </c>
      <c r="AX211" s="6">
        <f t="shared" si="2"/>
        <v>0</v>
      </c>
      <c r="AY211" s="6">
        <f t="shared" si="3"/>
        <v>0</v>
      </c>
      <c r="AZ211" s="9" t="str">
        <f t="shared" si="4"/>
        <v/>
      </c>
      <c r="BA211" s="6">
        <f t="shared" si="5"/>
        <v>0</v>
      </c>
      <c r="BB211" s="6">
        <f t="shared" si="6"/>
        <v>0</v>
      </c>
      <c r="BC211" s="9" t="str">
        <f t="shared" si="7"/>
        <v/>
      </c>
      <c r="BD211" s="6">
        <f t="shared" si="8"/>
        <v>0</v>
      </c>
      <c r="BE211" s="6">
        <f t="shared" si="9"/>
        <v>0</v>
      </c>
      <c r="BF211" s="9" t="str">
        <f t="shared" si="10"/>
        <v/>
      </c>
      <c r="BG211" s="6">
        <f t="shared" si="11"/>
        <v>0</v>
      </c>
      <c r="BH211" s="6">
        <f t="shared" si="12"/>
        <v>0</v>
      </c>
      <c r="BI211" s="9" t="str">
        <f t="shared" si="13"/>
        <v/>
      </c>
      <c r="BJ211" s="6">
        <f t="shared" si="14"/>
        <v>0</v>
      </c>
      <c r="BK211" s="6">
        <f t="shared" si="15"/>
        <v>0</v>
      </c>
      <c r="BL211" s="6">
        <f t="shared" si="16"/>
        <v>0</v>
      </c>
      <c r="BM211" s="6">
        <f t="shared" si="17"/>
        <v>0</v>
      </c>
      <c r="BN211" s="6">
        <f t="shared" si="18"/>
        <v>0</v>
      </c>
      <c r="BP211" s="6">
        <f t="shared" si="19"/>
        <v>0</v>
      </c>
      <c r="BQ211" s="6" t="b">
        <f ca="1">IFERROR(__xludf.DUMMYFUNCTION("IF(AND(ISERROR(FILTER('Items by Team'!D$2:D3410,'Items by Team'!C$2:C3410 = D211,'Items by Team'!B$2:B3410 = B211)),NOT(A211=""Practice"")),TRUE,FALSE)"),FALSE)</f>
        <v>0</v>
      </c>
      <c r="BR211" s="6">
        <f t="shared" ca="1" si="20"/>
        <v>0</v>
      </c>
    </row>
    <row r="212" spans="1:70">
      <c r="A212" s="6"/>
      <c r="B212" s="6"/>
      <c r="C212" s="6"/>
      <c r="D212" s="6"/>
      <c r="E212" s="6"/>
      <c r="F212" s="6"/>
      <c r="G212" s="6"/>
      <c r="H212" s="6"/>
      <c r="I212" s="6"/>
      <c r="J212" s="6"/>
      <c r="K212" s="6"/>
      <c r="L212" s="6"/>
      <c r="M212" s="6"/>
      <c r="N212" s="6"/>
      <c r="O212" s="6"/>
      <c r="P212" s="6"/>
      <c r="R212" s="6"/>
      <c r="S212" s="6"/>
      <c r="T212" s="6"/>
      <c r="U212" s="6"/>
      <c r="V212" s="6"/>
      <c r="W212" s="6"/>
      <c r="X212" s="6"/>
      <c r="Y212" s="6"/>
      <c r="Z212" s="6"/>
      <c r="AA212" s="6"/>
      <c r="AB212" s="6"/>
      <c r="AD212" s="6"/>
      <c r="AE212" s="6"/>
      <c r="AF212" s="6"/>
      <c r="AG212" s="6"/>
      <c r="AH212" s="6"/>
      <c r="AI212" s="6"/>
      <c r="AK212" s="6"/>
      <c r="AL212" s="6"/>
      <c r="AM212" s="6"/>
      <c r="AN212" s="6"/>
      <c r="AO212" s="6"/>
      <c r="AP212" s="6"/>
      <c r="AQ212" s="6"/>
      <c r="AR212" s="6"/>
      <c r="AS212" s="15"/>
      <c r="AT212" s="6" t="str">
        <f ca="1">IFERROR(__xludf.DUMMYFUNCTION("SWITCH(IF(A212=""Practice"",AN212,FILTER('Items by Team'!E$2:E3410,'Items by Team'!C$2:C3410=D212,B212='Items by Team'!B$2:B3410)),""None"",""No"",""Parked"",""P"",""ShallowCage"",""Sc"",""DeepCage"",""Dc"",""No"",""No"",""P"",""P"",""Sc"",""Sc"",""Dc"","&amp;"""Dc"")"),"#REF!")</f>
        <v>#REF!</v>
      </c>
      <c r="AU212" s="6" t="str">
        <f ca="1">IFERROR(__xludf.DUMMYFUNCTION("SWITCH(IF(A212 = ""Practice"", H212, FILTER('Items by Team'!D$2:D3410,'Items by Team'!C$2:C3410 = D212,'Items by Team'!B$2:B3410 = B212)), ""Yes"", ""TRUE"", ""No"", ""FALSE"",TRUE, ""TRUE"", FALSE, ""FALSE"")"),"#REF!")</f>
        <v>#REF!</v>
      </c>
      <c r="AV212" s="6">
        <f t="shared" si="0"/>
        <v>0</v>
      </c>
      <c r="AW212" s="6">
        <f t="shared" si="1"/>
        <v>0</v>
      </c>
      <c r="AX212" s="6">
        <f t="shared" si="2"/>
        <v>0</v>
      </c>
      <c r="AY212" s="6">
        <f t="shared" si="3"/>
        <v>0</v>
      </c>
      <c r="AZ212" s="9" t="str">
        <f t="shared" si="4"/>
        <v/>
      </c>
      <c r="BA212" s="6">
        <f t="shared" si="5"/>
        <v>0</v>
      </c>
      <c r="BB212" s="6">
        <f t="shared" si="6"/>
        <v>0</v>
      </c>
      <c r="BC212" s="9" t="str">
        <f t="shared" si="7"/>
        <v/>
      </c>
      <c r="BD212" s="6">
        <f t="shared" si="8"/>
        <v>0</v>
      </c>
      <c r="BE212" s="6">
        <f t="shared" si="9"/>
        <v>0</v>
      </c>
      <c r="BF212" s="9" t="str">
        <f t="shared" si="10"/>
        <v/>
      </c>
      <c r="BG212" s="6">
        <f t="shared" si="11"/>
        <v>0</v>
      </c>
      <c r="BH212" s="6">
        <f t="shared" si="12"/>
        <v>0</v>
      </c>
      <c r="BI212" s="9" t="str">
        <f t="shared" si="13"/>
        <v/>
      </c>
      <c r="BJ212" s="6">
        <f t="shared" si="14"/>
        <v>0</v>
      </c>
      <c r="BK212" s="6">
        <f t="shared" si="15"/>
        <v>0</v>
      </c>
      <c r="BL212" s="6">
        <f t="shared" si="16"/>
        <v>0</v>
      </c>
      <c r="BM212" s="6">
        <f t="shared" si="17"/>
        <v>0</v>
      </c>
      <c r="BN212" s="6">
        <f t="shared" si="18"/>
        <v>0</v>
      </c>
      <c r="BP212" s="6">
        <f t="shared" si="19"/>
        <v>0</v>
      </c>
      <c r="BQ212" s="6" t="b">
        <f ca="1">IFERROR(__xludf.DUMMYFUNCTION("IF(AND(ISERROR(FILTER('Items by Team'!D$2:D3410,'Items by Team'!C$2:C3410 = D212,'Items by Team'!B$2:B3410 = B212)),NOT(A212=""Practice"")),TRUE,FALSE)"),FALSE)</f>
        <v>0</v>
      </c>
      <c r="BR212" s="6">
        <f t="shared" ca="1" si="20"/>
        <v>0</v>
      </c>
    </row>
    <row r="213" spans="1:70">
      <c r="A213" s="6"/>
      <c r="B213" s="6"/>
      <c r="C213" s="6"/>
      <c r="D213" s="6"/>
      <c r="E213" s="6"/>
      <c r="F213" s="6"/>
      <c r="G213" s="6"/>
      <c r="H213" s="6"/>
      <c r="I213" s="6"/>
      <c r="J213" s="6"/>
      <c r="K213" s="6"/>
      <c r="L213" s="6"/>
      <c r="M213" s="6"/>
      <c r="N213" s="6"/>
      <c r="O213" s="6"/>
      <c r="P213" s="6"/>
      <c r="R213" s="6"/>
      <c r="S213" s="6"/>
      <c r="T213" s="6"/>
      <c r="U213" s="6"/>
      <c r="V213" s="6"/>
      <c r="W213" s="6"/>
      <c r="X213" s="6"/>
      <c r="Y213" s="6"/>
      <c r="Z213" s="6"/>
      <c r="AA213" s="6"/>
      <c r="AB213" s="6"/>
      <c r="AD213" s="6"/>
      <c r="AE213" s="6"/>
      <c r="AF213" s="6"/>
      <c r="AG213" s="6"/>
      <c r="AH213" s="6"/>
      <c r="AI213" s="6"/>
      <c r="AK213" s="6"/>
      <c r="AL213" s="6"/>
      <c r="AM213" s="6"/>
      <c r="AN213" s="6"/>
      <c r="AO213" s="6"/>
      <c r="AP213" s="6"/>
      <c r="AQ213" s="6"/>
      <c r="AR213" s="6"/>
      <c r="AS213" s="15"/>
      <c r="AT213" s="6" t="str">
        <f ca="1">IFERROR(__xludf.DUMMYFUNCTION("SWITCH(IF(A213=""Practice"",AN213,FILTER('Items by Team'!E$2:E3410,'Items by Team'!C$2:C3410=D213,B213='Items by Team'!B$2:B3410)),""None"",""No"",""Parked"",""P"",""ShallowCage"",""Sc"",""DeepCage"",""Dc"",""No"",""No"",""P"",""P"",""Sc"",""Sc"",""Dc"","&amp;"""Dc"")"),"#REF!")</f>
        <v>#REF!</v>
      </c>
      <c r="AU213" s="6" t="str">
        <f ca="1">IFERROR(__xludf.DUMMYFUNCTION("SWITCH(IF(A213 = ""Practice"", H213, FILTER('Items by Team'!D$2:D3410,'Items by Team'!C$2:C3410 = D213,'Items by Team'!B$2:B3410 = B213)), ""Yes"", ""TRUE"", ""No"", ""FALSE"",TRUE, ""TRUE"", FALSE, ""FALSE"")"),"#REF!")</f>
        <v>#REF!</v>
      </c>
      <c r="AV213" s="6">
        <f t="shared" si="0"/>
        <v>0</v>
      </c>
      <c r="AW213" s="6">
        <f t="shared" si="1"/>
        <v>0</v>
      </c>
      <c r="AX213" s="6">
        <f t="shared" si="2"/>
        <v>0</v>
      </c>
      <c r="AY213" s="6">
        <f t="shared" si="3"/>
        <v>0</v>
      </c>
      <c r="AZ213" s="9" t="str">
        <f t="shared" si="4"/>
        <v/>
      </c>
      <c r="BA213" s="6">
        <f t="shared" si="5"/>
        <v>0</v>
      </c>
      <c r="BB213" s="6">
        <f t="shared" si="6"/>
        <v>0</v>
      </c>
      <c r="BC213" s="9" t="str">
        <f t="shared" si="7"/>
        <v/>
      </c>
      <c r="BD213" s="6">
        <f t="shared" si="8"/>
        <v>0</v>
      </c>
      <c r="BE213" s="6">
        <f t="shared" si="9"/>
        <v>0</v>
      </c>
      <c r="BF213" s="9" t="str">
        <f t="shared" si="10"/>
        <v/>
      </c>
      <c r="BG213" s="6">
        <f t="shared" si="11"/>
        <v>0</v>
      </c>
      <c r="BH213" s="6">
        <f t="shared" si="12"/>
        <v>0</v>
      </c>
      <c r="BI213" s="9" t="str">
        <f t="shared" si="13"/>
        <v/>
      </c>
      <c r="BJ213" s="6">
        <f t="shared" si="14"/>
        <v>0</v>
      </c>
      <c r="BK213" s="6">
        <f t="shared" si="15"/>
        <v>0</v>
      </c>
      <c r="BL213" s="6">
        <f t="shared" si="16"/>
        <v>0</v>
      </c>
      <c r="BM213" s="6">
        <f t="shared" si="17"/>
        <v>0</v>
      </c>
      <c r="BN213" s="6">
        <f t="shared" si="18"/>
        <v>0</v>
      </c>
      <c r="BP213" s="6">
        <f t="shared" si="19"/>
        <v>0</v>
      </c>
      <c r="BQ213" s="6" t="b">
        <f ca="1">IFERROR(__xludf.DUMMYFUNCTION("IF(AND(ISERROR(FILTER('Items by Team'!D$2:D3410,'Items by Team'!C$2:C3410 = D213,'Items by Team'!B$2:B3410 = B213)),NOT(A213=""Practice"")),TRUE,FALSE)"),FALSE)</f>
        <v>0</v>
      </c>
      <c r="BR213" s="6">
        <f t="shared" ca="1" si="20"/>
        <v>0</v>
      </c>
    </row>
    <row r="214" spans="1:70">
      <c r="A214" s="6"/>
      <c r="B214" s="6"/>
      <c r="C214" s="6"/>
      <c r="D214" s="6"/>
      <c r="E214" s="6"/>
      <c r="F214" s="6"/>
      <c r="G214" s="6"/>
      <c r="H214" s="6"/>
      <c r="I214" s="6"/>
      <c r="J214" s="6"/>
      <c r="K214" s="6"/>
      <c r="L214" s="6"/>
      <c r="M214" s="6"/>
      <c r="N214" s="6"/>
      <c r="O214" s="6"/>
      <c r="P214" s="6"/>
      <c r="R214" s="6"/>
      <c r="S214" s="6"/>
      <c r="T214" s="6"/>
      <c r="U214" s="6"/>
      <c r="V214" s="6"/>
      <c r="W214" s="6"/>
      <c r="X214" s="6"/>
      <c r="Y214" s="6"/>
      <c r="Z214" s="6"/>
      <c r="AA214" s="6"/>
      <c r="AB214" s="6"/>
      <c r="AD214" s="6"/>
      <c r="AE214" s="6"/>
      <c r="AF214" s="6"/>
      <c r="AG214" s="6"/>
      <c r="AH214" s="6"/>
      <c r="AI214" s="6"/>
      <c r="AK214" s="6"/>
      <c r="AL214" s="6"/>
      <c r="AM214" s="6"/>
      <c r="AN214" s="6"/>
      <c r="AO214" s="6"/>
      <c r="AP214" s="6"/>
      <c r="AQ214" s="6"/>
      <c r="AR214" s="6"/>
      <c r="AS214" s="15"/>
      <c r="AT214" s="6" t="str">
        <f ca="1">IFERROR(__xludf.DUMMYFUNCTION("SWITCH(IF(A214=""Practice"",AN214,FILTER('Items by Team'!E$2:E3410,'Items by Team'!C$2:C3410=D214,B214='Items by Team'!B$2:B3410)),""None"",""No"",""Parked"",""P"",""ShallowCage"",""Sc"",""DeepCage"",""Dc"",""No"",""No"",""P"",""P"",""Sc"",""Sc"",""Dc"","&amp;"""Dc"")"),"#REF!")</f>
        <v>#REF!</v>
      </c>
      <c r="AU214" s="6" t="str">
        <f ca="1">IFERROR(__xludf.DUMMYFUNCTION("SWITCH(IF(A214 = ""Practice"", H214, FILTER('Items by Team'!D$2:D3410,'Items by Team'!C$2:C3410 = D214,'Items by Team'!B$2:B3410 = B214)), ""Yes"", ""TRUE"", ""No"", ""FALSE"",TRUE, ""TRUE"", FALSE, ""FALSE"")"),"#REF!")</f>
        <v>#REF!</v>
      </c>
      <c r="AV214" s="6">
        <f t="shared" si="0"/>
        <v>0</v>
      </c>
      <c r="AW214" s="6">
        <f t="shared" si="1"/>
        <v>0</v>
      </c>
      <c r="AX214" s="6">
        <f t="shared" si="2"/>
        <v>0</v>
      </c>
      <c r="AY214" s="6">
        <f t="shared" si="3"/>
        <v>0</v>
      </c>
      <c r="AZ214" s="9" t="str">
        <f t="shared" si="4"/>
        <v/>
      </c>
      <c r="BA214" s="6">
        <f t="shared" si="5"/>
        <v>0</v>
      </c>
      <c r="BB214" s="6">
        <f t="shared" si="6"/>
        <v>0</v>
      </c>
      <c r="BC214" s="9" t="str">
        <f t="shared" si="7"/>
        <v/>
      </c>
      <c r="BD214" s="6">
        <f t="shared" si="8"/>
        <v>0</v>
      </c>
      <c r="BE214" s="6">
        <f t="shared" si="9"/>
        <v>0</v>
      </c>
      <c r="BF214" s="9" t="str">
        <f t="shared" si="10"/>
        <v/>
      </c>
      <c r="BG214" s="6">
        <f t="shared" si="11"/>
        <v>0</v>
      </c>
      <c r="BH214" s="6">
        <f t="shared" si="12"/>
        <v>0</v>
      </c>
      <c r="BI214" s="9" t="str">
        <f t="shared" si="13"/>
        <v/>
      </c>
      <c r="BJ214" s="6">
        <f t="shared" si="14"/>
        <v>0</v>
      </c>
      <c r="BK214" s="6">
        <f t="shared" si="15"/>
        <v>0</v>
      </c>
      <c r="BL214" s="6">
        <f t="shared" si="16"/>
        <v>0</v>
      </c>
      <c r="BM214" s="6">
        <f t="shared" si="17"/>
        <v>0</v>
      </c>
      <c r="BN214" s="6">
        <f t="shared" si="18"/>
        <v>0</v>
      </c>
      <c r="BP214" s="6">
        <f t="shared" si="19"/>
        <v>0</v>
      </c>
      <c r="BQ214" s="6" t="b">
        <f ca="1">IFERROR(__xludf.DUMMYFUNCTION("IF(AND(ISERROR(FILTER('Items by Team'!D$2:D3410,'Items by Team'!C$2:C3410 = D214,'Items by Team'!B$2:B3410 = B214)),NOT(A214=""Practice"")),TRUE,FALSE)"),FALSE)</f>
        <v>0</v>
      </c>
      <c r="BR214" s="6">
        <f t="shared" ca="1" si="20"/>
        <v>0</v>
      </c>
    </row>
    <row r="215" spans="1:70">
      <c r="A215" s="6"/>
      <c r="B215" s="6"/>
      <c r="C215" s="6"/>
      <c r="D215" s="6"/>
      <c r="E215" s="6"/>
      <c r="F215" s="6"/>
      <c r="G215" s="6"/>
      <c r="H215" s="6"/>
      <c r="I215" s="6"/>
      <c r="J215" s="6"/>
      <c r="K215" s="6"/>
      <c r="L215" s="6"/>
      <c r="M215" s="6"/>
      <c r="N215" s="6"/>
      <c r="O215" s="6"/>
      <c r="P215" s="6"/>
      <c r="R215" s="6"/>
      <c r="S215" s="6"/>
      <c r="T215" s="6"/>
      <c r="U215" s="6"/>
      <c r="V215" s="6"/>
      <c r="W215" s="6"/>
      <c r="X215" s="6"/>
      <c r="Y215" s="6"/>
      <c r="Z215" s="6"/>
      <c r="AA215" s="6"/>
      <c r="AB215" s="6"/>
      <c r="AD215" s="6"/>
      <c r="AE215" s="6"/>
      <c r="AF215" s="6"/>
      <c r="AG215" s="6"/>
      <c r="AH215" s="6"/>
      <c r="AI215" s="6"/>
      <c r="AK215" s="6"/>
      <c r="AL215" s="6"/>
      <c r="AM215" s="6"/>
      <c r="AN215" s="6"/>
      <c r="AO215" s="6"/>
      <c r="AP215" s="6"/>
      <c r="AQ215" s="6"/>
      <c r="AR215" s="6"/>
      <c r="AS215" s="15"/>
      <c r="AT215" s="6" t="str">
        <f ca="1">IFERROR(__xludf.DUMMYFUNCTION("SWITCH(IF(A215=""Practice"",AN215,FILTER('Items by Team'!E$2:E3410,'Items by Team'!C$2:C3410=D215,B215='Items by Team'!B$2:B3410)),""None"",""No"",""Parked"",""P"",""ShallowCage"",""Sc"",""DeepCage"",""Dc"",""No"",""No"",""P"",""P"",""Sc"",""Sc"",""Dc"","&amp;"""Dc"")"),"#REF!")</f>
        <v>#REF!</v>
      </c>
      <c r="AU215" s="6" t="str">
        <f ca="1">IFERROR(__xludf.DUMMYFUNCTION("SWITCH(IF(A215 = ""Practice"", H215, FILTER('Items by Team'!D$2:D3410,'Items by Team'!C$2:C3410 = D215,'Items by Team'!B$2:B3410 = B215)), ""Yes"", ""TRUE"", ""No"", ""FALSE"",TRUE, ""TRUE"", FALSE, ""FALSE"")"),"#REF!")</f>
        <v>#REF!</v>
      </c>
      <c r="AV215" s="6">
        <f t="shared" si="0"/>
        <v>0</v>
      </c>
      <c r="AW215" s="6">
        <f t="shared" si="1"/>
        <v>0</v>
      </c>
      <c r="AX215" s="6">
        <f t="shared" si="2"/>
        <v>0</v>
      </c>
      <c r="AY215" s="6">
        <f t="shared" si="3"/>
        <v>0</v>
      </c>
      <c r="AZ215" s="9" t="str">
        <f t="shared" si="4"/>
        <v/>
      </c>
      <c r="BA215" s="6">
        <f t="shared" si="5"/>
        <v>0</v>
      </c>
      <c r="BB215" s="6">
        <f t="shared" si="6"/>
        <v>0</v>
      </c>
      <c r="BC215" s="9" t="str">
        <f t="shared" si="7"/>
        <v/>
      </c>
      <c r="BD215" s="6">
        <f t="shared" si="8"/>
        <v>0</v>
      </c>
      <c r="BE215" s="6">
        <f t="shared" si="9"/>
        <v>0</v>
      </c>
      <c r="BF215" s="9" t="str">
        <f t="shared" si="10"/>
        <v/>
      </c>
      <c r="BG215" s="6">
        <f t="shared" si="11"/>
        <v>0</v>
      </c>
      <c r="BH215" s="6">
        <f t="shared" si="12"/>
        <v>0</v>
      </c>
      <c r="BI215" s="9" t="str">
        <f t="shared" si="13"/>
        <v/>
      </c>
      <c r="BJ215" s="6">
        <f t="shared" si="14"/>
        <v>0</v>
      </c>
      <c r="BK215" s="6">
        <f t="shared" si="15"/>
        <v>0</v>
      </c>
      <c r="BL215" s="6">
        <f t="shared" si="16"/>
        <v>0</v>
      </c>
      <c r="BM215" s="6">
        <f t="shared" si="17"/>
        <v>0</v>
      </c>
      <c r="BN215" s="6">
        <f t="shared" si="18"/>
        <v>0</v>
      </c>
      <c r="BP215" s="6">
        <f t="shared" si="19"/>
        <v>0</v>
      </c>
      <c r="BQ215" s="6" t="b">
        <f ca="1">IFERROR(__xludf.DUMMYFUNCTION("IF(AND(ISERROR(FILTER('Items by Team'!D$2:D3410,'Items by Team'!C$2:C3410 = D215,'Items by Team'!B$2:B3410 = B215)),NOT(A215=""Practice"")),TRUE,FALSE)"),FALSE)</f>
        <v>0</v>
      </c>
      <c r="BR215" s="6">
        <f t="shared" ca="1" si="20"/>
        <v>0</v>
      </c>
    </row>
    <row r="216" spans="1:70">
      <c r="A216" s="6"/>
      <c r="B216" s="6"/>
      <c r="C216" s="6"/>
      <c r="D216" s="6"/>
      <c r="E216" s="6"/>
      <c r="F216" s="6"/>
      <c r="G216" s="6"/>
      <c r="H216" s="6"/>
      <c r="I216" s="6"/>
      <c r="J216" s="6"/>
      <c r="K216" s="6"/>
      <c r="L216" s="6"/>
      <c r="M216" s="6"/>
      <c r="N216" s="6"/>
      <c r="O216" s="6"/>
      <c r="P216" s="6"/>
      <c r="R216" s="6"/>
      <c r="S216" s="6"/>
      <c r="T216" s="6"/>
      <c r="U216" s="6"/>
      <c r="V216" s="6"/>
      <c r="W216" s="6"/>
      <c r="X216" s="6"/>
      <c r="Y216" s="6"/>
      <c r="Z216" s="6"/>
      <c r="AA216" s="6"/>
      <c r="AB216" s="6"/>
      <c r="AD216" s="6"/>
      <c r="AE216" s="6"/>
      <c r="AF216" s="6"/>
      <c r="AG216" s="6"/>
      <c r="AH216" s="6"/>
      <c r="AI216" s="6"/>
      <c r="AK216" s="6"/>
      <c r="AL216" s="6"/>
      <c r="AM216" s="6"/>
      <c r="AN216" s="6"/>
      <c r="AO216" s="6"/>
      <c r="AP216" s="6"/>
      <c r="AQ216" s="6"/>
      <c r="AR216" s="6"/>
      <c r="AS216" s="15"/>
      <c r="AT216" s="6" t="str">
        <f ca="1">IFERROR(__xludf.DUMMYFUNCTION("SWITCH(IF(A216=""Practice"",AN216,FILTER('Items by Team'!E$2:E3410,'Items by Team'!C$2:C3410=D216,B216='Items by Team'!B$2:B3410)),""None"",""No"",""Parked"",""P"",""ShallowCage"",""Sc"",""DeepCage"",""Dc"",""No"",""No"",""P"",""P"",""Sc"",""Sc"",""Dc"","&amp;"""Dc"")"),"#REF!")</f>
        <v>#REF!</v>
      </c>
      <c r="AU216" s="6" t="str">
        <f ca="1">IFERROR(__xludf.DUMMYFUNCTION("SWITCH(IF(A216 = ""Practice"", H216, FILTER('Items by Team'!D$2:D3410,'Items by Team'!C$2:C3410 = D216,'Items by Team'!B$2:B3410 = B216)), ""Yes"", ""TRUE"", ""No"", ""FALSE"",TRUE, ""TRUE"", FALSE, ""FALSE"")"),"#REF!")</f>
        <v>#REF!</v>
      </c>
      <c r="AV216" s="6">
        <f t="shared" si="0"/>
        <v>0</v>
      </c>
      <c r="AW216" s="6">
        <f t="shared" si="1"/>
        <v>0</v>
      </c>
      <c r="AX216" s="6">
        <f t="shared" si="2"/>
        <v>0</v>
      </c>
      <c r="AY216" s="6">
        <f t="shared" si="3"/>
        <v>0</v>
      </c>
      <c r="AZ216" s="9" t="str">
        <f t="shared" si="4"/>
        <v/>
      </c>
      <c r="BA216" s="6">
        <f t="shared" si="5"/>
        <v>0</v>
      </c>
      <c r="BB216" s="6">
        <f t="shared" si="6"/>
        <v>0</v>
      </c>
      <c r="BC216" s="9" t="str">
        <f t="shared" si="7"/>
        <v/>
      </c>
      <c r="BD216" s="6">
        <f t="shared" si="8"/>
        <v>0</v>
      </c>
      <c r="BE216" s="6">
        <f t="shared" si="9"/>
        <v>0</v>
      </c>
      <c r="BF216" s="9" t="str">
        <f t="shared" si="10"/>
        <v/>
      </c>
      <c r="BG216" s="6">
        <f t="shared" si="11"/>
        <v>0</v>
      </c>
      <c r="BH216" s="6">
        <f t="shared" si="12"/>
        <v>0</v>
      </c>
      <c r="BI216" s="9" t="str">
        <f t="shared" si="13"/>
        <v/>
      </c>
      <c r="BJ216" s="6">
        <f t="shared" si="14"/>
        <v>0</v>
      </c>
      <c r="BK216" s="6">
        <f t="shared" si="15"/>
        <v>0</v>
      </c>
      <c r="BL216" s="6">
        <f t="shared" si="16"/>
        <v>0</v>
      </c>
      <c r="BM216" s="6">
        <f t="shared" si="17"/>
        <v>0</v>
      </c>
      <c r="BN216" s="6">
        <f t="shared" si="18"/>
        <v>0</v>
      </c>
      <c r="BP216" s="6">
        <f t="shared" si="19"/>
        <v>0</v>
      </c>
      <c r="BQ216" s="6" t="b">
        <f ca="1">IFERROR(__xludf.DUMMYFUNCTION("IF(AND(ISERROR(FILTER('Items by Team'!D$2:D3410,'Items by Team'!C$2:C3410 = D216,'Items by Team'!B$2:B3410 = B216)),NOT(A216=""Practice"")),TRUE,FALSE)"),FALSE)</f>
        <v>0</v>
      </c>
      <c r="BR216" s="6">
        <f t="shared" ca="1" si="20"/>
        <v>0</v>
      </c>
    </row>
    <row r="217" spans="1:70">
      <c r="A217" s="6"/>
      <c r="B217" s="6"/>
      <c r="C217" s="6"/>
      <c r="D217" s="6"/>
      <c r="E217" s="6"/>
      <c r="F217" s="6"/>
      <c r="G217" s="6"/>
      <c r="H217" s="6"/>
      <c r="I217" s="6"/>
      <c r="J217" s="6"/>
      <c r="K217" s="6"/>
      <c r="L217" s="6"/>
      <c r="M217" s="6"/>
      <c r="N217" s="6"/>
      <c r="O217" s="6"/>
      <c r="P217" s="6"/>
      <c r="R217" s="6"/>
      <c r="S217" s="6"/>
      <c r="T217" s="6"/>
      <c r="U217" s="6"/>
      <c r="V217" s="6"/>
      <c r="W217" s="6"/>
      <c r="X217" s="6"/>
      <c r="Y217" s="6"/>
      <c r="Z217" s="6"/>
      <c r="AA217" s="6"/>
      <c r="AB217" s="6"/>
      <c r="AD217" s="6"/>
      <c r="AE217" s="6"/>
      <c r="AF217" s="6"/>
      <c r="AG217" s="6"/>
      <c r="AH217" s="6"/>
      <c r="AI217" s="6"/>
      <c r="AK217" s="6"/>
      <c r="AL217" s="6"/>
      <c r="AM217" s="6"/>
      <c r="AN217" s="6"/>
      <c r="AO217" s="6"/>
      <c r="AP217" s="6"/>
      <c r="AQ217" s="6"/>
      <c r="AR217" s="6"/>
      <c r="AS217" s="15"/>
      <c r="AT217" s="6" t="str">
        <f ca="1">IFERROR(__xludf.DUMMYFUNCTION("SWITCH(IF(A217=""Practice"",AN217,FILTER('Items by Team'!E$2:E3410,'Items by Team'!C$2:C3410=D217,B217='Items by Team'!B$2:B3410)),""None"",""No"",""Parked"",""P"",""ShallowCage"",""Sc"",""DeepCage"",""Dc"",""No"",""No"",""P"",""P"",""Sc"",""Sc"",""Dc"","&amp;"""Dc"")"),"#REF!")</f>
        <v>#REF!</v>
      </c>
      <c r="AU217" s="6" t="str">
        <f ca="1">IFERROR(__xludf.DUMMYFUNCTION("SWITCH(IF(A217 = ""Practice"", H217, FILTER('Items by Team'!D$2:D3410,'Items by Team'!C$2:C3410 = D217,'Items by Team'!B$2:B3410 = B217)), ""Yes"", ""TRUE"", ""No"", ""FALSE"",TRUE, ""TRUE"", FALSE, ""FALSE"")"),"#REF!")</f>
        <v>#REF!</v>
      </c>
      <c r="AV217" s="6">
        <f t="shared" si="0"/>
        <v>0</v>
      </c>
      <c r="AW217" s="6">
        <f t="shared" si="1"/>
        <v>0</v>
      </c>
      <c r="AX217" s="6">
        <f t="shared" si="2"/>
        <v>0</v>
      </c>
      <c r="AY217" s="6">
        <f t="shared" si="3"/>
        <v>0</v>
      </c>
      <c r="AZ217" s="9" t="str">
        <f t="shared" si="4"/>
        <v/>
      </c>
      <c r="BA217" s="6">
        <f t="shared" si="5"/>
        <v>0</v>
      </c>
      <c r="BB217" s="6">
        <f t="shared" si="6"/>
        <v>0</v>
      </c>
      <c r="BC217" s="9" t="str">
        <f t="shared" si="7"/>
        <v/>
      </c>
      <c r="BD217" s="6">
        <f t="shared" si="8"/>
        <v>0</v>
      </c>
      <c r="BE217" s="6">
        <f t="shared" si="9"/>
        <v>0</v>
      </c>
      <c r="BF217" s="9" t="str">
        <f t="shared" si="10"/>
        <v/>
      </c>
      <c r="BG217" s="6">
        <f t="shared" si="11"/>
        <v>0</v>
      </c>
      <c r="BH217" s="6">
        <f t="shared" si="12"/>
        <v>0</v>
      </c>
      <c r="BI217" s="9" t="str">
        <f t="shared" si="13"/>
        <v/>
      </c>
      <c r="BJ217" s="6">
        <f t="shared" si="14"/>
        <v>0</v>
      </c>
      <c r="BK217" s="6">
        <f t="shared" si="15"/>
        <v>0</v>
      </c>
      <c r="BL217" s="6">
        <f t="shared" si="16"/>
        <v>0</v>
      </c>
      <c r="BM217" s="6">
        <f t="shared" si="17"/>
        <v>0</v>
      </c>
      <c r="BN217" s="6">
        <f t="shared" si="18"/>
        <v>0</v>
      </c>
      <c r="BP217" s="6">
        <f t="shared" si="19"/>
        <v>0</v>
      </c>
      <c r="BQ217" s="6" t="b">
        <f ca="1">IFERROR(__xludf.DUMMYFUNCTION("IF(AND(ISERROR(FILTER('Items by Team'!D$2:D3410,'Items by Team'!C$2:C3410 = D217,'Items by Team'!B$2:B3410 = B217)),NOT(A217=""Practice"")),TRUE,FALSE)"),FALSE)</f>
        <v>0</v>
      </c>
      <c r="BR217" s="6">
        <f t="shared" ca="1" si="20"/>
        <v>0</v>
      </c>
    </row>
    <row r="218" spans="1:70">
      <c r="A218" s="6"/>
      <c r="B218" s="6"/>
      <c r="C218" s="6"/>
      <c r="D218" s="6"/>
      <c r="E218" s="6"/>
      <c r="F218" s="6"/>
      <c r="G218" s="6"/>
      <c r="H218" s="6"/>
      <c r="I218" s="6"/>
      <c r="J218" s="6"/>
      <c r="K218" s="6"/>
      <c r="L218" s="6"/>
      <c r="M218" s="6"/>
      <c r="N218" s="6"/>
      <c r="O218" s="6"/>
      <c r="P218" s="6"/>
      <c r="R218" s="6"/>
      <c r="S218" s="6"/>
      <c r="T218" s="6"/>
      <c r="U218" s="6"/>
      <c r="V218" s="6"/>
      <c r="W218" s="6"/>
      <c r="X218" s="6"/>
      <c r="Y218" s="6"/>
      <c r="Z218" s="6"/>
      <c r="AA218" s="6"/>
      <c r="AB218" s="6"/>
      <c r="AD218" s="6"/>
      <c r="AE218" s="6"/>
      <c r="AF218" s="6"/>
      <c r="AG218" s="6"/>
      <c r="AH218" s="6"/>
      <c r="AI218" s="6"/>
      <c r="AK218" s="6"/>
      <c r="AL218" s="6"/>
      <c r="AM218" s="6"/>
      <c r="AN218" s="6"/>
      <c r="AO218" s="6"/>
      <c r="AP218" s="6"/>
      <c r="AQ218" s="6"/>
      <c r="AR218" s="6"/>
      <c r="AS218" s="15"/>
      <c r="AT218" s="6" t="str">
        <f ca="1">IFERROR(__xludf.DUMMYFUNCTION("SWITCH(IF(A218=""Practice"",AN218,FILTER('Items by Team'!E$2:E3410,'Items by Team'!C$2:C3410=D218,B218='Items by Team'!B$2:B3410)),""None"",""No"",""Parked"",""P"",""ShallowCage"",""Sc"",""DeepCage"",""Dc"",""No"",""No"",""P"",""P"",""Sc"",""Sc"",""Dc"","&amp;"""Dc"")"),"#REF!")</f>
        <v>#REF!</v>
      </c>
      <c r="AU218" s="6" t="str">
        <f ca="1">IFERROR(__xludf.DUMMYFUNCTION("SWITCH(IF(A218 = ""Practice"", H218, FILTER('Items by Team'!D$2:D3410,'Items by Team'!C$2:C3410 = D218,'Items by Team'!B$2:B3410 = B218)), ""Yes"", ""TRUE"", ""No"", ""FALSE"",TRUE, ""TRUE"", FALSE, ""FALSE"")"),"#REF!")</f>
        <v>#REF!</v>
      </c>
      <c r="AV218" s="6">
        <f t="shared" si="0"/>
        <v>0</v>
      </c>
      <c r="AW218" s="6">
        <f t="shared" si="1"/>
        <v>0</v>
      </c>
      <c r="AX218" s="6">
        <f t="shared" si="2"/>
        <v>0</v>
      </c>
      <c r="AY218" s="6">
        <f t="shared" si="3"/>
        <v>0</v>
      </c>
      <c r="AZ218" s="9" t="str">
        <f t="shared" si="4"/>
        <v/>
      </c>
      <c r="BA218" s="6">
        <f t="shared" si="5"/>
        <v>0</v>
      </c>
      <c r="BB218" s="6">
        <f t="shared" si="6"/>
        <v>0</v>
      </c>
      <c r="BC218" s="9" t="str">
        <f t="shared" si="7"/>
        <v/>
      </c>
      <c r="BD218" s="6">
        <f t="shared" si="8"/>
        <v>0</v>
      </c>
      <c r="BE218" s="6">
        <f t="shared" si="9"/>
        <v>0</v>
      </c>
      <c r="BF218" s="9" t="str">
        <f t="shared" si="10"/>
        <v/>
      </c>
      <c r="BG218" s="6">
        <f t="shared" si="11"/>
        <v>0</v>
      </c>
      <c r="BH218" s="6">
        <f t="shared" si="12"/>
        <v>0</v>
      </c>
      <c r="BI218" s="9" t="str">
        <f t="shared" si="13"/>
        <v/>
      </c>
      <c r="BJ218" s="6">
        <f t="shared" si="14"/>
        <v>0</v>
      </c>
      <c r="BK218" s="6">
        <f t="shared" si="15"/>
        <v>0</v>
      </c>
      <c r="BL218" s="6">
        <f t="shared" si="16"/>
        <v>0</v>
      </c>
      <c r="BM218" s="6">
        <f t="shared" si="17"/>
        <v>0</v>
      </c>
      <c r="BN218" s="6">
        <f t="shared" si="18"/>
        <v>0</v>
      </c>
      <c r="BP218" s="6">
        <f t="shared" si="19"/>
        <v>0</v>
      </c>
      <c r="BQ218" s="6" t="b">
        <f ca="1">IFERROR(__xludf.DUMMYFUNCTION("IF(AND(ISERROR(FILTER('Items by Team'!D$2:D3410,'Items by Team'!C$2:C3410 = D218,'Items by Team'!B$2:B3410 = B218)),NOT(A218=""Practice"")),TRUE,FALSE)"),FALSE)</f>
        <v>0</v>
      </c>
      <c r="BR218" s="6">
        <f t="shared" ca="1" si="20"/>
        <v>0</v>
      </c>
    </row>
    <row r="219" spans="1:70">
      <c r="A219" s="6"/>
      <c r="B219" s="6"/>
      <c r="C219" s="6"/>
      <c r="D219" s="6"/>
      <c r="E219" s="6"/>
      <c r="F219" s="6"/>
      <c r="G219" s="6"/>
      <c r="H219" s="6"/>
      <c r="I219" s="6"/>
      <c r="J219" s="6"/>
      <c r="K219" s="6"/>
      <c r="L219" s="6"/>
      <c r="M219" s="6"/>
      <c r="N219" s="6"/>
      <c r="O219" s="6"/>
      <c r="P219" s="6"/>
      <c r="R219" s="6"/>
      <c r="S219" s="6"/>
      <c r="T219" s="6"/>
      <c r="U219" s="6"/>
      <c r="V219" s="6"/>
      <c r="W219" s="6"/>
      <c r="X219" s="6"/>
      <c r="Y219" s="6"/>
      <c r="Z219" s="6"/>
      <c r="AA219" s="6"/>
      <c r="AB219" s="6"/>
      <c r="AD219" s="6"/>
      <c r="AE219" s="6"/>
      <c r="AF219" s="6"/>
      <c r="AG219" s="6"/>
      <c r="AH219" s="6"/>
      <c r="AI219" s="6"/>
      <c r="AK219" s="6"/>
      <c r="AL219" s="6"/>
      <c r="AM219" s="6"/>
      <c r="AN219" s="6"/>
      <c r="AO219" s="6"/>
      <c r="AP219" s="6"/>
      <c r="AQ219" s="6"/>
      <c r="AR219" s="6"/>
      <c r="AS219" s="15"/>
      <c r="AT219" s="6" t="str">
        <f ca="1">IFERROR(__xludf.DUMMYFUNCTION("SWITCH(IF(A219=""Practice"",AN219,FILTER('Items by Team'!E$2:E3410,'Items by Team'!C$2:C3410=D219,B219='Items by Team'!B$2:B3410)),""None"",""No"",""Parked"",""P"",""ShallowCage"",""Sc"",""DeepCage"",""Dc"",""No"",""No"",""P"",""P"",""Sc"",""Sc"",""Dc"","&amp;"""Dc"")"),"#REF!")</f>
        <v>#REF!</v>
      </c>
      <c r="AU219" s="6" t="str">
        <f ca="1">IFERROR(__xludf.DUMMYFUNCTION("SWITCH(IF(A219 = ""Practice"", H219, FILTER('Items by Team'!D$2:D3410,'Items by Team'!C$2:C3410 = D219,'Items by Team'!B$2:B3410 = B219)), ""Yes"", ""TRUE"", ""No"", ""FALSE"",TRUE, ""TRUE"", FALSE, ""FALSE"")"),"#REF!")</f>
        <v>#REF!</v>
      </c>
      <c r="AV219" s="6">
        <f t="shared" si="0"/>
        <v>0</v>
      </c>
      <c r="AW219" s="6">
        <f t="shared" si="1"/>
        <v>0</v>
      </c>
      <c r="AX219" s="6">
        <f t="shared" si="2"/>
        <v>0</v>
      </c>
      <c r="AY219" s="6">
        <f t="shared" si="3"/>
        <v>0</v>
      </c>
      <c r="AZ219" s="9" t="str">
        <f t="shared" si="4"/>
        <v/>
      </c>
      <c r="BA219" s="6">
        <f t="shared" si="5"/>
        <v>0</v>
      </c>
      <c r="BB219" s="6">
        <f t="shared" si="6"/>
        <v>0</v>
      </c>
      <c r="BC219" s="9" t="str">
        <f t="shared" si="7"/>
        <v/>
      </c>
      <c r="BD219" s="6">
        <f t="shared" si="8"/>
        <v>0</v>
      </c>
      <c r="BE219" s="6">
        <f t="shared" si="9"/>
        <v>0</v>
      </c>
      <c r="BF219" s="9" t="str">
        <f t="shared" si="10"/>
        <v/>
      </c>
      <c r="BG219" s="6">
        <f t="shared" si="11"/>
        <v>0</v>
      </c>
      <c r="BH219" s="6">
        <f t="shared" si="12"/>
        <v>0</v>
      </c>
      <c r="BI219" s="9" t="str">
        <f t="shared" si="13"/>
        <v/>
      </c>
      <c r="BJ219" s="6">
        <f t="shared" si="14"/>
        <v>0</v>
      </c>
      <c r="BK219" s="6">
        <f t="shared" si="15"/>
        <v>0</v>
      </c>
      <c r="BL219" s="6">
        <f t="shared" si="16"/>
        <v>0</v>
      </c>
      <c r="BM219" s="6">
        <f t="shared" si="17"/>
        <v>0</v>
      </c>
      <c r="BN219" s="6">
        <f t="shared" si="18"/>
        <v>0</v>
      </c>
      <c r="BP219" s="6">
        <f t="shared" si="19"/>
        <v>0</v>
      </c>
      <c r="BQ219" s="6" t="b">
        <f ca="1">IFERROR(__xludf.DUMMYFUNCTION("IF(AND(ISERROR(FILTER('Items by Team'!D$2:D3410,'Items by Team'!C$2:C3410 = D219,'Items by Team'!B$2:B3410 = B219)),NOT(A219=""Practice"")),TRUE,FALSE)"),FALSE)</f>
        <v>0</v>
      </c>
      <c r="BR219" s="6">
        <f t="shared" ca="1" si="20"/>
        <v>0</v>
      </c>
    </row>
    <row r="220" spans="1:70">
      <c r="A220" s="6"/>
      <c r="B220" s="6"/>
      <c r="C220" s="6"/>
      <c r="D220" s="6"/>
      <c r="E220" s="6"/>
      <c r="F220" s="6"/>
      <c r="G220" s="6"/>
      <c r="H220" s="6"/>
      <c r="I220" s="6"/>
      <c r="J220" s="6"/>
      <c r="K220" s="6"/>
      <c r="L220" s="6"/>
      <c r="M220" s="6"/>
      <c r="N220" s="6"/>
      <c r="O220" s="6"/>
      <c r="P220" s="6"/>
      <c r="R220" s="6"/>
      <c r="S220" s="6"/>
      <c r="T220" s="6"/>
      <c r="U220" s="6"/>
      <c r="V220" s="6"/>
      <c r="W220" s="6"/>
      <c r="X220" s="6"/>
      <c r="Y220" s="6"/>
      <c r="Z220" s="6"/>
      <c r="AA220" s="6"/>
      <c r="AB220" s="6"/>
      <c r="AD220" s="6"/>
      <c r="AE220" s="6"/>
      <c r="AF220" s="6"/>
      <c r="AG220" s="6"/>
      <c r="AH220" s="6"/>
      <c r="AI220" s="6"/>
      <c r="AK220" s="6"/>
      <c r="AL220" s="6"/>
      <c r="AM220" s="6"/>
      <c r="AN220" s="6"/>
      <c r="AO220" s="6"/>
      <c r="AP220" s="6"/>
      <c r="AQ220" s="6"/>
      <c r="AR220" s="6"/>
      <c r="AS220" s="15"/>
      <c r="AT220" s="6" t="str">
        <f ca="1">IFERROR(__xludf.DUMMYFUNCTION("SWITCH(IF(A220=""Practice"",AN220,FILTER('Items by Team'!E$2:E3410,'Items by Team'!C$2:C3410=D220,B220='Items by Team'!B$2:B3410)),""None"",""No"",""Parked"",""P"",""ShallowCage"",""Sc"",""DeepCage"",""Dc"",""No"",""No"",""P"",""P"",""Sc"",""Sc"",""Dc"","&amp;"""Dc"")"),"#REF!")</f>
        <v>#REF!</v>
      </c>
      <c r="AU220" s="6" t="str">
        <f ca="1">IFERROR(__xludf.DUMMYFUNCTION("SWITCH(IF(A220 = ""Practice"", H220, FILTER('Items by Team'!D$2:D3410,'Items by Team'!C$2:C3410 = D220,'Items by Team'!B$2:B3410 = B220)), ""Yes"", ""TRUE"", ""No"", ""FALSE"",TRUE, ""TRUE"", FALSE, ""FALSE"")"),"#REF!")</f>
        <v>#REF!</v>
      </c>
      <c r="AV220" s="6">
        <f t="shared" si="0"/>
        <v>0</v>
      </c>
      <c r="AW220" s="6">
        <f t="shared" si="1"/>
        <v>0</v>
      </c>
      <c r="AX220" s="6">
        <f t="shared" si="2"/>
        <v>0</v>
      </c>
      <c r="AY220" s="6">
        <f t="shared" si="3"/>
        <v>0</v>
      </c>
      <c r="AZ220" s="9" t="str">
        <f t="shared" si="4"/>
        <v/>
      </c>
      <c r="BA220" s="6">
        <f t="shared" si="5"/>
        <v>0</v>
      </c>
      <c r="BB220" s="6">
        <f t="shared" si="6"/>
        <v>0</v>
      </c>
      <c r="BC220" s="9" t="str">
        <f t="shared" si="7"/>
        <v/>
      </c>
      <c r="BD220" s="6">
        <f t="shared" si="8"/>
        <v>0</v>
      </c>
      <c r="BE220" s="6">
        <f t="shared" si="9"/>
        <v>0</v>
      </c>
      <c r="BF220" s="9" t="str">
        <f t="shared" si="10"/>
        <v/>
      </c>
      <c r="BG220" s="6">
        <f t="shared" si="11"/>
        <v>0</v>
      </c>
      <c r="BH220" s="6">
        <f t="shared" si="12"/>
        <v>0</v>
      </c>
      <c r="BI220" s="9" t="str">
        <f t="shared" si="13"/>
        <v/>
      </c>
      <c r="BJ220" s="6">
        <f t="shared" si="14"/>
        <v>0</v>
      </c>
      <c r="BK220" s="6">
        <f t="shared" si="15"/>
        <v>0</v>
      </c>
      <c r="BL220" s="6">
        <f t="shared" si="16"/>
        <v>0</v>
      </c>
      <c r="BM220" s="6">
        <f t="shared" si="17"/>
        <v>0</v>
      </c>
      <c r="BN220" s="6">
        <f t="shared" si="18"/>
        <v>0</v>
      </c>
      <c r="BP220" s="6">
        <f t="shared" si="19"/>
        <v>0</v>
      </c>
      <c r="BQ220" s="6" t="b">
        <f ca="1">IFERROR(__xludf.DUMMYFUNCTION("IF(AND(ISERROR(FILTER('Items by Team'!D$2:D3410,'Items by Team'!C$2:C3410 = D220,'Items by Team'!B$2:B3410 = B220)),NOT(A220=""Practice"")),TRUE,FALSE)"),FALSE)</f>
        <v>0</v>
      </c>
      <c r="BR220" s="6">
        <f t="shared" ca="1" si="20"/>
        <v>0</v>
      </c>
    </row>
    <row r="221" spans="1:70">
      <c r="A221" s="6"/>
      <c r="B221" s="6"/>
      <c r="C221" s="6"/>
      <c r="D221" s="6"/>
      <c r="E221" s="6"/>
      <c r="F221" s="6"/>
      <c r="G221" s="6"/>
      <c r="H221" s="6"/>
      <c r="I221" s="6"/>
      <c r="J221" s="6"/>
      <c r="K221" s="6"/>
      <c r="L221" s="6"/>
      <c r="M221" s="6"/>
      <c r="N221" s="6"/>
      <c r="O221" s="6"/>
      <c r="P221" s="6"/>
      <c r="R221" s="6"/>
      <c r="S221" s="6"/>
      <c r="T221" s="6"/>
      <c r="U221" s="6"/>
      <c r="V221" s="6"/>
      <c r="W221" s="6"/>
      <c r="X221" s="6"/>
      <c r="Y221" s="6"/>
      <c r="Z221" s="6"/>
      <c r="AA221" s="6"/>
      <c r="AB221" s="6"/>
      <c r="AD221" s="6"/>
      <c r="AE221" s="6"/>
      <c r="AF221" s="6"/>
      <c r="AG221" s="6"/>
      <c r="AH221" s="6"/>
      <c r="AI221" s="6"/>
      <c r="AK221" s="6"/>
      <c r="AL221" s="6"/>
      <c r="AM221" s="6"/>
      <c r="AN221" s="6"/>
      <c r="AO221" s="6"/>
      <c r="AP221" s="6"/>
      <c r="AQ221" s="6"/>
      <c r="AR221" s="6"/>
      <c r="AS221" s="15"/>
      <c r="AT221" s="6" t="str">
        <f ca="1">IFERROR(__xludf.DUMMYFUNCTION("SWITCH(IF(A221=""Practice"",AN221,FILTER('Items by Team'!E$2:E3410,'Items by Team'!C$2:C3410=D221,B221='Items by Team'!B$2:B3410)),""None"",""No"",""Parked"",""P"",""ShallowCage"",""Sc"",""DeepCage"",""Dc"",""No"",""No"",""P"",""P"",""Sc"",""Sc"",""Dc"","&amp;"""Dc"")"),"#REF!")</f>
        <v>#REF!</v>
      </c>
      <c r="AU221" s="6" t="str">
        <f ca="1">IFERROR(__xludf.DUMMYFUNCTION("SWITCH(IF(A221 = ""Practice"", H221, FILTER('Items by Team'!D$2:D3410,'Items by Team'!C$2:C3410 = D221,'Items by Team'!B$2:B3410 = B221)), ""Yes"", ""TRUE"", ""No"", ""FALSE"",TRUE, ""TRUE"", FALSE, ""FALSE"")"),"#REF!")</f>
        <v>#REF!</v>
      </c>
      <c r="AV221" s="6">
        <f t="shared" si="0"/>
        <v>0</v>
      </c>
      <c r="AW221" s="6">
        <f t="shared" si="1"/>
        <v>0</v>
      </c>
      <c r="AX221" s="6">
        <f t="shared" si="2"/>
        <v>0</v>
      </c>
      <c r="AY221" s="6">
        <f t="shared" si="3"/>
        <v>0</v>
      </c>
      <c r="AZ221" s="9" t="str">
        <f t="shared" si="4"/>
        <v/>
      </c>
      <c r="BA221" s="6">
        <f t="shared" si="5"/>
        <v>0</v>
      </c>
      <c r="BB221" s="6">
        <f t="shared" si="6"/>
        <v>0</v>
      </c>
      <c r="BC221" s="9" t="str">
        <f t="shared" si="7"/>
        <v/>
      </c>
      <c r="BD221" s="6">
        <f t="shared" si="8"/>
        <v>0</v>
      </c>
      <c r="BE221" s="6">
        <f t="shared" si="9"/>
        <v>0</v>
      </c>
      <c r="BF221" s="9" t="str">
        <f t="shared" si="10"/>
        <v/>
      </c>
      <c r="BG221" s="6">
        <f t="shared" si="11"/>
        <v>0</v>
      </c>
      <c r="BH221" s="6">
        <f t="shared" si="12"/>
        <v>0</v>
      </c>
      <c r="BI221" s="9" t="str">
        <f t="shared" si="13"/>
        <v/>
      </c>
      <c r="BJ221" s="6">
        <f t="shared" si="14"/>
        <v>0</v>
      </c>
      <c r="BK221" s="6">
        <f t="shared" si="15"/>
        <v>0</v>
      </c>
      <c r="BL221" s="6">
        <f t="shared" si="16"/>
        <v>0</v>
      </c>
      <c r="BM221" s="6">
        <f t="shared" si="17"/>
        <v>0</v>
      </c>
      <c r="BN221" s="6">
        <f t="shared" si="18"/>
        <v>0</v>
      </c>
      <c r="BP221" s="6">
        <f t="shared" si="19"/>
        <v>0</v>
      </c>
      <c r="BQ221" s="6" t="b">
        <f ca="1">IFERROR(__xludf.DUMMYFUNCTION("IF(AND(ISERROR(FILTER('Items by Team'!D$2:D3410,'Items by Team'!C$2:C3410 = D221,'Items by Team'!B$2:B3410 = B221)),NOT(A221=""Practice"")),TRUE,FALSE)"),FALSE)</f>
        <v>0</v>
      </c>
      <c r="BR221" s="6">
        <f t="shared" ca="1" si="20"/>
        <v>0</v>
      </c>
    </row>
    <row r="222" spans="1:70">
      <c r="A222" s="6"/>
      <c r="B222" s="6"/>
      <c r="C222" s="6"/>
      <c r="D222" s="6"/>
      <c r="E222" s="6"/>
      <c r="F222" s="6"/>
      <c r="G222" s="6"/>
      <c r="H222" s="6"/>
      <c r="I222" s="6"/>
      <c r="J222" s="6"/>
      <c r="K222" s="6"/>
      <c r="L222" s="6"/>
      <c r="M222" s="6"/>
      <c r="N222" s="6"/>
      <c r="O222" s="6"/>
      <c r="P222" s="6"/>
      <c r="R222" s="6"/>
      <c r="S222" s="6"/>
      <c r="T222" s="6"/>
      <c r="U222" s="6"/>
      <c r="V222" s="6"/>
      <c r="W222" s="6"/>
      <c r="X222" s="6"/>
      <c r="Y222" s="6"/>
      <c r="Z222" s="6"/>
      <c r="AA222" s="6"/>
      <c r="AB222" s="6"/>
      <c r="AD222" s="6"/>
      <c r="AE222" s="6"/>
      <c r="AF222" s="6"/>
      <c r="AG222" s="6"/>
      <c r="AH222" s="6"/>
      <c r="AI222" s="6"/>
      <c r="AK222" s="6"/>
      <c r="AL222" s="6"/>
      <c r="AM222" s="6"/>
      <c r="AN222" s="6"/>
      <c r="AO222" s="6"/>
      <c r="AP222" s="6"/>
      <c r="AQ222" s="6"/>
      <c r="AR222" s="6"/>
      <c r="AS222" s="15"/>
      <c r="AT222" s="6" t="str">
        <f ca="1">IFERROR(__xludf.DUMMYFUNCTION("SWITCH(IF(A222=""Practice"",AN222,FILTER('Items by Team'!E$2:E3410,'Items by Team'!C$2:C3410=D222,B222='Items by Team'!B$2:B3410)),""None"",""No"",""Parked"",""P"",""ShallowCage"",""Sc"",""DeepCage"",""Dc"",""No"",""No"",""P"",""P"",""Sc"",""Sc"",""Dc"","&amp;"""Dc"")"),"#REF!")</f>
        <v>#REF!</v>
      </c>
      <c r="AU222" s="6" t="str">
        <f ca="1">IFERROR(__xludf.DUMMYFUNCTION("SWITCH(IF(A222 = ""Practice"", H222, FILTER('Items by Team'!D$2:D3410,'Items by Team'!C$2:C3410 = D222,'Items by Team'!B$2:B3410 = B222)), ""Yes"", ""TRUE"", ""No"", ""FALSE"",TRUE, ""TRUE"", FALSE, ""FALSE"")"),"#REF!")</f>
        <v>#REF!</v>
      </c>
      <c r="AV222" s="6">
        <f t="shared" si="0"/>
        <v>0</v>
      </c>
      <c r="AW222" s="6">
        <f t="shared" si="1"/>
        <v>0</v>
      </c>
      <c r="AX222" s="6">
        <f t="shared" si="2"/>
        <v>0</v>
      </c>
      <c r="AY222" s="6">
        <f t="shared" si="3"/>
        <v>0</v>
      </c>
      <c r="AZ222" s="9" t="str">
        <f t="shared" si="4"/>
        <v/>
      </c>
      <c r="BA222" s="6">
        <f t="shared" si="5"/>
        <v>0</v>
      </c>
      <c r="BB222" s="6">
        <f t="shared" si="6"/>
        <v>0</v>
      </c>
      <c r="BC222" s="9" t="str">
        <f t="shared" si="7"/>
        <v/>
      </c>
      <c r="BD222" s="6">
        <f t="shared" si="8"/>
        <v>0</v>
      </c>
      <c r="BE222" s="6">
        <f t="shared" si="9"/>
        <v>0</v>
      </c>
      <c r="BF222" s="9" t="str">
        <f t="shared" si="10"/>
        <v/>
      </c>
      <c r="BG222" s="6">
        <f t="shared" si="11"/>
        <v>0</v>
      </c>
      <c r="BH222" s="6">
        <f t="shared" si="12"/>
        <v>0</v>
      </c>
      <c r="BI222" s="9" t="str">
        <f t="shared" si="13"/>
        <v/>
      </c>
      <c r="BJ222" s="6">
        <f t="shared" si="14"/>
        <v>0</v>
      </c>
      <c r="BK222" s="6">
        <f t="shared" si="15"/>
        <v>0</v>
      </c>
      <c r="BL222" s="6">
        <f t="shared" si="16"/>
        <v>0</v>
      </c>
      <c r="BM222" s="6">
        <f t="shared" si="17"/>
        <v>0</v>
      </c>
      <c r="BN222" s="6">
        <f t="shared" si="18"/>
        <v>0</v>
      </c>
      <c r="BP222" s="6">
        <f t="shared" si="19"/>
        <v>0</v>
      </c>
      <c r="BQ222" s="6" t="b">
        <f ca="1">IFERROR(__xludf.DUMMYFUNCTION("IF(AND(ISERROR(FILTER('Items by Team'!D$2:D3410,'Items by Team'!C$2:C3410 = D222,'Items by Team'!B$2:B3410 = B222)),NOT(A222=""Practice"")),TRUE,FALSE)"),FALSE)</f>
        <v>0</v>
      </c>
      <c r="BR222" s="6">
        <f t="shared" ca="1" si="20"/>
        <v>0</v>
      </c>
    </row>
    <row r="223" spans="1:70">
      <c r="A223" s="6"/>
      <c r="B223" s="6"/>
      <c r="C223" s="6"/>
      <c r="D223" s="6"/>
      <c r="E223" s="6"/>
      <c r="F223" s="6"/>
      <c r="G223" s="6"/>
      <c r="H223" s="6"/>
      <c r="I223" s="6"/>
      <c r="J223" s="6"/>
      <c r="K223" s="6"/>
      <c r="L223" s="6"/>
      <c r="M223" s="6"/>
      <c r="N223" s="6"/>
      <c r="O223" s="6"/>
      <c r="P223" s="6"/>
      <c r="R223" s="6"/>
      <c r="S223" s="6"/>
      <c r="T223" s="6"/>
      <c r="U223" s="6"/>
      <c r="V223" s="6"/>
      <c r="W223" s="6"/>
      <c r="X223" s="6"/>
      <c r="Y223" s="6"/>
      <c r="Z223" s="6"/>
      <c r="AA223" s="6"/>
      <c r="AB223" s="6"/>
      <c r="AD223" s="6"/>
      <c r="AE223" s="6"/>
      <c r="AF223" s="6"/>
      <c r="AG223" s="6"/>
      <c r="AH223" s="6"/>
      <c r="AI223" s="6"/>
      <c r="AK223" s="6"/>
      <c r="AL223" s="6"/>
      <c r="AM223" s="6"/>
      <c r="AN223" s="6"/>
      <c r="AO223" s="6"/>
      <c r="AP223" s="6"/>
      <c r="AQ223" s="6"/>
      <c r="AR223" s="6"/>
      <c r="AS223" s="15"/>
      <c r="AT223" s="6" t="str">
        <f ca="1">IFERROR(__xludf.DUMMYFUNCTION("SWITCH(IF(A223=""Practice"",AN223,FILTER('Items by Team'!E$2:E3410,'Items by Team'!C$2:C3410=D223,B223='Items by Team'!B$2:B3410)),""None"",""No"",""Parked"",""P"",""ShallowCage"",""Sc"",""DeepCage"",""Dc"",""No"",""No"",""P"",""P"",""Sc"",""Sc"",""Dc"","&amp;"""Dc"")"),"#REF!")</f>
        <v>#REF!</v>
      </c>
      <c r="AU223" s="6" t="str">
        <f ca="1">IFERROR(__xludf.DUMMYFUNCTION("SWITCH(IF(A223 = ""Practice"", H223, FILTER('Items by Team'!D$2:D3410,'Items by Team'!C$2:C3410 = D223,'Items by Team'!B$2:B3410 = B223)), ""Yes"", ""TRUE"", ""No"", ""FALSE"",TRUE, ""TRUE"", FALSE, ""FALSE"")"),"#REF!")</f>
        <v>#REF!</v>
      </c>
      <c r="AV223" s="6">
        <f t="shared" si="0"/>
        <v>0</v>
      </c>
      <c r="AW223" s="6">
        <f t="shared" si="1"/>
        <v>0</v>
      </c>
      <c r="AX223" s="6">
        <f t="shared" si="2"/>
        <v>0</v>
      </c>
      <c r="AY223" s="6">
        <f t="shared" si="3"/>
        <v>0</v>
      </c>
      <c r="AZ223" s="9" t="str">
        <f t="shared" si="4"/>
        <v/>
      </c>
      <c r="BA223" s="6">
        <f t="shared" si="5"/>
        <v>0</v>
      </c>
      <c r="BB223" s="6">
        <f t="shared" si="6"/>
        <v>0</v>
      </c>
      <c r="BC223" s="9" t="str">
        <f t="shared" si="7"/>
        <v/>
      </c>
      <c r="BD223" s="6">
        <f t="shared" si="8"/>
        <v>0</v>
      </c>
      <c r="BE223" s="6">
        <f t="shared" si="9"/>
        <v>0</v>
      </c>
      <c r="BF223" s="9" t="str">
        <f t="shared" si="10"/>
        <v/>
      </c>
      <c r="BG223" s="6">
        <f t="shared" si="11"/>
        <v>0</v>
      </c>
      <c r="BH223" s="6">
        <f t="shared" si="12"/>
        <v>0</v>
      </c>
      <c r="BI223" s="9" t="str">
        <f t="shared" si="13"/>
        <v/>
      </c>
      <c r="BJ223" s="6">
        <f t="shared" si="14"/>
        <v>0</v>
      </c>
      <c r="BK223" s="6">
        <f t="shared" si="15"/>
        <v>0</v>
      </c>
      <c r="BL223" s="6">
        <f t="shared" si="16"/>
        <v>0</v>
      </c>
      <c r="BM223" s="6">
        <f t="shared" si="17"/>
        <v>0</v>
      </c>
      <c r="BN223" s="6">
        <f t="shared" si="18"/>
        <v>0</v>
      </c>
      <c r="BP223" s="6">
        <f t="shared" si="19"/>
        <v>0</v>
      </c>
      <c r="BQ223" s="6" t="b">
        <f ca="1">IFERROR(__xludf.DUMMYFUNCTION("IF(AND(ISERROR(FILTER('Items by Team'!D$2:D3410,'Items by Team'!C$2:C3410 = D223,'Items by Team'!B$2:B3410 = B223)),NOT(A223=""Practice"")),TRUE,FALSE)"),FALSE)</f>
        <v>0</v>
      </c>
      <c r="BR223" s="6">
        <f t="shared" ca="1" si="20"/>
        <v>0</v>
      </c>
    </row>
    <row r="224" spans="1:70">
      <c r="A224" s="6"/>
      <c r="B224" s="6"/>
      <c r="C224" s="6"/>
      <c r="D224" s="6"/>
      <c r="E224" s="6"/>
      <c r="F224" s="6"/>
      <c r="G224" s="6"/>
      <c r="H224" s="6"/>
      <c r="I224" s="6"/>
      <c r="J224" s="6"/>
      <c r="K224" s="6"/>
      <c r="L224" s="6"/>
      <c r="M224" s="6"/>
      <c r="N224" s="6"/>
      <c r="O224" s="6"/>
      <c r="P224" s="6"/>
      <c r="R224" s="6"/>
      <c r="S224" s="6"/>
      <c r="T224" s="6"/>
      <c r="U224" s="6"/>
      <c r="V224" s="6"/>
      <c r="W224" s="6"/>
      <c r="X224" s="6"/>
      <c r="Y224" s="6"/>
      <c r="Z224" s="6"/>
      <c r="AA224" s="6"/>
      <c r="AB224" s="6"/>
      <c r="AD224" s="6"/>
      <c r="AE224" s="6"/>
      <c r="AF224" s="6"/>
      <c r="AG224" s="6"/>
      <c r="AH224" s="6"/>
      <c r="AI224" s="6"/>
      <c r="AK224" s="6"/>
      <c r="AL224" s="6"/>
      <c r="AM224" s="6"/>
      <c r="AN224" s="6"/>
      <c r="AO224" s="6"/>
      <c r="AP224" s="6"/>
      <c r="AQ224" s="6"/>
      <c r="AR224" s="6"/>
      <c r="AS224" s="15"/>
      <c r="AT224" s="6" t="str">
        <f ca="1">IFERROR(__xludf.DUMMYFUNCTION("SWITCH(IF(A224=""Practice"",AN224,FILTER('Items by Team'!E$2:E3410,'Items by Team'!C$2:C3410=D224,B224='Items by Team'!B$2:B3410)),""None"",""No"",""Parked"",""P"",""ShallowCage"",""Sc"",""DeepCage"",""Dc"",""No"",""No"",""P"",""P"",""Sc"",""Sc"",""Dc"","&amp;"""Dc"")"),"#REF!")</f>
        <v>#REF!</v>
      </c>
      <c r="AU224" s="6" t="str">
        <f ca="1">IFERROR(__xludf.DUMMYFUNCTION("SWITCH(IF(A224 = ""Practice"", H224, FILTER('Items by Team'!D$2:D3410,'Items by Team'!C$2:C3410 = D224,'Items by Team'!B$2:B3410 = B224)), ""Yes"", ""TRUE"", ""No"", ""FALSE"",TRUE, ""TRUE"", FALSE, ""FALSE"")"),"#REF!")</f>
        <v>#REF!</v>
      </c>
      <c r="AV224" s="6">
        <f t="shared" si="0"/>
        <v>0</v>
      </c>
      <c r="AW224" s="6">
        <f t="shared" si="1"/>
        <v>0</v>
      </c>
      <c r="AX224" s="6">
        <f t="shared" si="2"/>
        <v>0</v>
      </c>
      <c r="AY224" s="6">
        <f t="shared" si="3"/>
        <v>0</v>
      </c>
      <c r="AZ224" s="9" t="str">
        <f t="shared" si="4"/>
        <v/>
      </c>
      <c r="BA224" s="6">
        <f t="shared" si="5"/>
        <v>0</v>
      </c>
      <c r="BB224" s="6">
        <f t="shared" si="6"/>
        <v>0</v>
      </c>
      <c r="BC224" s="9" t="str">
        <f t="shared" si="7"/>
        <v/>
      </c>
      <c r="BD224" s="6">
        <f t="shared" si="8"/>
        <v>0</v>
      </c>
      <c r="BE224" s="6">
        <f t="shared" si="9"/>
        <v>0</v>
      </c>
      <c r="BF224" s="9" t="str">
        <f t="shared" si="10"/>
        <v/>
      </c>
      <c r="BG224" s="6">
        <f t="shared" si="11"/>
        <v>0</v>
      </c>
      <c r="BH224" s="6">
        <f t="shared" si="12"/>
        <v>0</v>
      </c>
      <c r="BI224" s="9" t="str">
        <f t="shared" si="13"/>
        <v/>
      </c>
      <c r="BJ224" s="6">
        <f t="shared" si="14"/>
        <v>0</v>
      </c>
      <c r="BK224" s="6">
        <f t="shared" si="15"/>
        <v>0</v>
      </c>
      <c r="BL224" s="6">
        <f t="shared" si="16"/>
        <v>0</v>
      </c>
      <c r="BM224" s="6">
        <f t="shared" si="17"/>
        <v>0</v>
      </c>
      <c r="BN224" s="6">
        <f t="shared" si="18"/>
        <v>0</v>
      </c>
      <c r="BP224" s="6">
        <f t="shared" si="19"/>
        <v>0</v>
      </c>
      <c r="BQ224" s="6" t="b">
        <f ca="1">IFERROR(__xludf.DUMMYFUNCTION("IF(AND(ISERROR(FILTER('Items by Team'!D$2:D3410,'Items by Team'!C$2:C3410 = D224,'Items by Team'!B$2:B3410 = B224)),NOT(A224=""Practice"")),TRUE,FALSE)"),FALSE)</f>
        <v>0</v>
      </c>
      <c r="BR224" s="6">
        <f t="shared" ca="1" si="20"/>
        <v>0</v>
      </c>
    </row>
    <row r="225" spans="1:70">
      <c r="A225" s="6"/>
      <c r="B225" s="6"/>
      <c r="C225" s="6"/>
      <c r="D225" s="6"/>
      <c r="E225" s="6"/>
      <c r="F225" s="6"/>
      <c r="G225" s="6"/>
      <c r="H225" s="6"/>
      <c r="I225" s="6"/>
      <c r="J225" s="6"/>
      <c r="K225" s="6"/>
      <c r="L225" s="6"/>
      <c r="M225" s="6"/>
      <c r="N225" s="6"/>
      <c r="O225" s="6"/>
      <c r="P225" s="6"/>
      <c r="R225" s="6"/>
      <c r="S225" s="6"/>
      <c r="T225" s="6"/>
      <c r="U225" s="6"/>
      <c r="V225" s="6"/>
      <c r="W225" s="6"/>
      <c r="X225" s="6"/>
      <c r="Y225" s="6"/>
      <c r="Z225" s="6"/>
      <c r="AA225" s="6"/>
      <c r="AB225" s="6"/>
      <c r="AD225" s="6"/>
      <c r="AE225" s="6"/>
      <c r="AF225" s="6"/>
      <c r="AG225" s="6"/>
      <c r="AH225" s="6"/>
      <c r="AI225" s="6"/>
      <c r="AK225" s="6"/>
      <c r="AL225" s="6"/>
      <c r="AM225" s="6"/>
      <c r="AN225" s="6"/>
      <c r="AO225" s="6"/>
      <c r="AP225" s="6"/>
      <c r="AQ225" s="6"/>
      <c r="AR225" s="6"/>
      <c r="AS225" s="15"/>
      <c r="AT225" s="6" t="str">
        <f ca="1">IFERROR(__xludf.DUMMYFUNCTION("SWITCH(IF(A225=""Practice"",AN225,FILTER('Items by Team'!E$2:E3410,'Items by Team'!C$2:C3410=D225,B225='Items by Team'!B$2:B3410)),""None"",""No"",""Parked"",""P"",""ShallowCage"",""Sc"",""DeepCage"",""Dc"",""No"",""No"",""P"",""P"",""Sc"",""Sc"",""Dc"","&amp;"""Dc"")"),"#REF!")</f>
        <v>#REF!</v>
      </c>
      <c r="AU225" s="6" t="str">
        <f ca="1">IFERROR(__xludf.DUMMYFUNCTION("SWITCH(IF(A225 = ""Practice"", H225, FILTER('Items by Team'!D$2:D3410,'Items by Team'!C$2:C3410 = D225,'Items by Team'!B$2:B3410 = B225)), ""Yes"", ""TRUE"", ""No"", ""FALSE"",TRUE, ""TRUE"", FALSE, ""FALSE"")"),"#REF!")</f>
        <v>#REF!</v>
      </c>
      <c r="AV225" s="6">
        <f t="shared" si="0"/>
        <v>0</v>
      </c>
      <c r="AW225" s="6">
        <f t="shared" si="1"/>
        <v>0</v>
      </c>
      <c r="AX225" s="6">
        <f t="shared" si="2"/>
        <v>0</v>
      </c>
      <c r="AY225" s="6">
        <f t="shared" si="3"/>
        <v>0</v>
      </c>
      <c r="AZ225" s="9" t="str">
        <f t="shared" si="4"/>
        <v/>
      </c>
      <c r="BA225" s="6">
        <f t="shared" si="5"/>
        <v>0</v>
      </c>
      <c r="BB225" s="6">
        <f t="shared" si="6"/>
        <v>0</v>
      </c>
      <c r="BC225" s="9" t="str">
        <f t="shared" si="7"/>
        <v/>
      </c>
      <c r="BD225" s="6">
        <f t="shared" si="8"/>
        <v>0</v>
      </c>
      <c r="BE225" s="6">
        <f t="shared" si="9"/>
        <v>0</v>
      </c>
      <c r="BF225" s="9" t="str">
        <f t="shared" si="10"/>
        <v/>
      </c>
      <c r="BG225" s="6">
        <f t="shared" si="11"/>
        <v>0</v>
      </c>
      <c r="BH225" s="6">
        <f t="shared" si="12"/>
        <v>0</v>
      </c>
      <c r="BI225" s="9" t="str">
        <f t="shared" si="13"/>
        <v/>
      </c>
      <c r="BJ225" s="6">
        <f t="shared" si="14"/>
        <v>0</v>
      </c>
      <c r="BK225" s="6">
        <f t="shared" si="15"/>
        <v>0</v>
      </c>
      <c r="BL225" s="6">
        <f t="shared" si="16"/>
        <v>0</v>
      </c>
      <c r="BM225" s="6">
        <f t="shared" si="17"/>
        <v>0</v>
      </c>
      <c r="BN225" s="6">
        <f t="shared" si="18"/>
        <v>0</v>
      </c>
      <c r="BP225" s="6">
        <f t="shared" si="19"/>
        <v>0</v>
      </c>
      <c r="BQ225" s="6" t="b">
        <f ca="1">IFERROR(__xludf.DUMMYFUNCTION("IF(AND(ISERROR(FILTER('Items by Team'!D$2:D3410,'Items by Team'!C$2:C3410 = D225,'Items by Team'!B$2:B3410 = B225)),NOT(A225=""Practice"")),TRUE,FALSE)"),FALSE)</f>
        <v>0</v>
      </c>
      <c r="BR225" s="6">
        <f t="shared" ca="1" si="20"/>
        <v>0</v>
      </c>
    </row>
    <row r="226" spans="1:70">
      <c r="A226" s="6"/>
      <c r="B226" s="6"/>
      <c r="C226" s="6"/>
      <c r="D226" s="6"/>
      <c r="E226" s="6"/>
      <c r="F226" s="6"/>
      <c r="G226" s="6"/>
      <c r="H226" s="6"/>
      <c r="I226" s="6"/>
      <c r="J226" s="6"/>
      <c r="K226" s="6"/>
      <c r="L226" s="6"/>
      <c r="M226" s="6"/>
      <c r="N226" s="6"/>
      <c r="O226" s="6"/>
      <c r="P226" s="6"/>
      <c r="R226" s="6"/>
      <c r="S226" s="6"/>
      <c r="T226" s="6"/>
      <c r="U226" s="6"/>
      <c r="V226" s="6"/>
      <c r="W226" s="6"/>
      <c r="X226" s="6"/>
      <c r="Y226" s="6"/>
      <c r="Z226" s="6"/>
      <c r="AA226" s="6"/>
      <c r="AB226" s="6"/>
      <c r="AD226" s="6"/>
      <c r="AE226" s="6"/>
      <c r="AF226" s="6"/>
      <c r="AG226" s="6"/>
      <c r="AH226" s="6"/>
      <c r="AI226" s="6"/>
      <c r="AK226" s="6"/>
      <c r="AL226" s="6"/>
      <c r="AM226" s="6"/>
      <c r="AN226" s="6"/>
      <c r="AO226" s="6"/>
      <c r="AP226" s="6"/>
      <c r="AQ226" s="6"/>
      <c r="AR226" s="6"/>
      <c r="AS226" s="15"/>
      <c r="AT226" s="6" t="str">
        <f ca="1">IFERROR(__xludf.DUMMYFUNCTION("SWITCH(IF(A226=""Practice"",AN226,FILTER('Items by Team'!E$2:E3410,'Items by Team'!C$2:C3410=D226,B226='Items by Team'!B$2:B3410)),""None"",""No"",""Parked"",""P"",""ShallowCage"",""Sc"",""DeepCage"",""Dc"",""No"",""No"",""P"",""P"",""Sc"",""Sc"",""Dc"","&amp;"""Dc"")"),"#REF!")</f>
        <v>#REF!</v>
      </c>
      <c r="AU226" s="6" t="str">
        <f ca="1">IFERROR(__xludf.DUMMYFUNCTION("SWITCH(IF(A226 = ""Practice"", H226, FILTER('Items by Team'!D$2:D3410,'Items by Team'!C$2:C3410 = D226,'Items by Team'!B$2:B3410 = B226)), ""Yes"", ""TRUE"", ""No"", ""FALSE"",TRUE, ""TRUE"", FALSE, ""FALSE"")"),"#REF!")</f>
        <v>#REF!</v>
      </c>
      <c r="AV226" s="6">
        <f t="shared" si="0"/>
        <v>0</v>
      </c>
      <c r="AW226" s="6">
        <f t="shared" si="1"/>
        <v>0</v>
      </c>
      <c r="AX226" s="6">
        <f t="shared" si="2"/>
        <v>0</v>
      </c>
      <c r="AY226" s="6">
        <f t="shared" si="3"/>
        <v>0</v>
      </c>
      <c r="AZ226" s="9" t="str">
        <f t="shared" si="4"/>
        <v/>
      </c>
      <c r="BA226" s="6">
        <f t="shared" si="5"/>
        <v>0</v>
      </c>
      <c r="BB226" s="6">
        <f t="shared" si="6"/>
        <v>0</v>
      </c>
      <c r="BC226" s="9" t="str">
        <f t="shared" si="7"/>
        <v/>
      </c>
      <c r="BD226" s="6">
        <f t="shared" si="8"/>
        <v>0</v>
      </c>
      <c r="BE226" s="6">
        <f t="shared" si="9"/>
        <v>0</v>
      </c>
      <c r="BF226" s="9" t="str">
        <f t="shared" si="10"/>
        <v/>
      </c>
      <c r="BG226" s="6">
        <f t="shared" si="11"/>
        <v>0</v>
      </c>
      <c r="BH226" s="6">
        <f t="shared" si="12"/>
        <v>0</v>
      </c>
      <c r="BI226" s="9" t="str">
        <f t="shared" si="13"/>
        <v/>
      </c>
      <c r="BJ226" s="6">
        <f t="shared" si="14"/>
        <v>0</v>
      </c>
      <c r="BK226" s="6">
        <f t="shared" si="15"/>
        <v>0</v>
      </c>
      <c r="BL226" s="6">
        <f t="shared" si="16"/>
        <v>0</v>
      </c>
      <c r="BM226" s="6">
        <f t="shared" si="17"/>
        <v>0</v>
      </c>
      <c r="BN226" s="6">
        <f t="shared" si="18"/>
        <v>0</v>
      </c>
      <c r="BP226" s="6">
        <f t="shared" si="19"/>
        <v>0</v>
      </c>
      <c r="BQ226" s="6" t="b">
        <f ca="1">IFERROR(__xludf.DUMMYFUNCTION("IF(AND(ISERROR(FILTER('Items by Team'!D$2:D3410,'Items by Team'!C$2:C3410 = D226,'Items by Team'!B$2:B3410 = B226)),NOT(A226=""Practice"")),TRUE,FALSE)"),FALSE)</f>
        <v>0</v>
      </c>
      <c r="BR226" s="6">
        <f t="shared" ca="1" si="20"/>
        <v>0</v>
      </c>
    </row>
    <row r="227" spans="1:70">
      <c r="A227" s="6"/>
      <c r="B227" s="6"/>
      <c r="C227" s="6"/>
      <c r="D227" s="6"/>
      <c r="E227" s="6"/>
      <c r="F227" s="6"/>
      <c r="G227" s="6"/>
      <c r="H227" s="6"/>
      <c r="I227" s="6"/>
      <c r="J227" s="6"/>
      <c r="K227" s="6"/>
      <c r="L227" s="6"/>
      <c r="M227" s="6"/>
      <c r="N227" s="6"/>
      <c r="O227" s="6"/>
      <c r="P227" s="6"/>
      <c r="R227" s="6"/>
      <c r="S227" s="6"/>
      <c r="T227" s="6"/>
      <c r="U227" s="6"/>
      <c r="V227" s="6"/>
      <c r="W227" s="6"/>
      <c r="X227" s="6"/>
      <c r="Y227" s="6"/>
      <c r="Z227" s="6"/>
      <c r="AA227" s="6"/>
      <c r="AB227" s="6"/>
      <c r="AD227" s="6"/>
      <c r="AE227" s="6"/>
      <c r="AF227" s="6"/>
      <c r="AG227" s="6"/>
      <c r="AH227" s="6"/>
      <c r="AI227" s="6"/>
      <c r="AK227" s="6"/>
      <c r="AL227" s="6"/>
      <c r="AM227" s="6"/>
      <c r="AN227" s="6"/>
      <c r="AO227" s="6"/>
      <c r="AP227" s="6"/>
      <c r="AQ227" s="6"/>
      <c r="AR227" s="6"/>
      <c r="AS227" s="15"/>
      <c r="AT227" s="6" t="str">
        <f ca="1">IFERROR(__xludf.DUMMYFUNCTION("SWITCH(IF(A227=""Practice"",AN227,FILTER('Items by Team'!E$2:E3410,'Items by Team'!C$2:C3410=D227,B227='Items by Team'!B$2:B3410)),""None"",""No"",""Parked"",""P"",""ShallowCage"",""Sc"",""DeepCage"",""Dc"",""No"",""No"",""P"",""P"",""Sc"",""Sc"",""Dc"","&amp;"""Dc"")"),"#REF!")</f>
        <v>#REF!</v>
      </c>
      <c r="AU227" s="6" t="str">
        <f ca="1">IFERROR(__xludf.DUMMYFUNCTION("SWITCH(IF(A227 = ""Practice"", H227, FILTER('Items by Team'!D$2:D3410,'Items by Team'!C$2:C3410 = D227,'Items by Team'!B$2:B3410 = B227)), ""Yes"", ""TRUE"", ""No"", ""FALSE"",TRUE, ""TRUE"", FALSE, ""FALSE"")"),"#REF!")</f>
        <v>#REF!</v>
      </c>
      <c r="AV227" s="6">
        <f t="shared" si="0"/>
        <v>0</v>
      </c>
      <c r="AW227" s="6">
        <f t="shared" si="1"/>
        <v>0</v>
      </c>
      <c r="AX227" s="6">
        <f t="shared" si="2"/>
        <v>0</v>
      </c>
      <c r="AY227" s="6">
        <f t="shared" si="3"/>
        <v>0</v>
      </c>
      <c r="AZ227" s="9" t="str">
        <f t="shared" si="4"/>
        <v/>
      </c>
      <c r="BA227" s="6">
        <f t="shared" si="5"/>
        <v>0</v>
      </c>
      <c r="BB227" s="6">
        <f t="shared" si="6"/>
        <v>0</v>
      </c>
      <c r="BC227" s="9" t="str">
        <f t="shared" si="7"/>
        <v/>
      </c>
      <c r="BD227" s="6">
        <f t="shared" si="8"/>
        <v>0</v>
      </c>
      <c r="BE227" s="6">
        <f t="shared" si="9"/>
        <v>0</v>
      </c>
      <c r="BF227" s="9" t="str">
        <f t="shared" si="10"/>
        <v/>
      </c>
      <c r="BG227" s="6">
        <f t="shared" si="11"/>
        <v>0</v>
      </c>
      <c r="BH227" s="6">
        <f t="shared" si="12"/>
        <v>0</v>
      </c>
      <c r="BI227" s="9" t="str">
        <f t="shared" si="13"/>
        <v/>
      </c>
      <c r="BJ227" s="6">
        <f t="shared" si="14"/>
        <v>0</v>
      </c>
      <c r="BK227" s="6">
        <f t="shared" si="15"/>
        <v>0</v>
      </c>
      <c r="BL227" s="6">
        <f t="shared" si="16"/>
        <v>0</v>
      </c>
      <c r="BM227" s="6">
        <f t="shared" si="17"/>
        <v>0</v>
      </c>
      <c r="BN227" s="6">
        <f t="shared" si="18"/>
        <v>0</v>
      </c>
      <c r="BP227" s="6">
        <f t="shared" si="19"/>
        <v>0</v>
      </c>
      <c r="BQ227" s="6" t="b">
        <f ca="1">IFERROR(__xludf.DUMMYFUNCTION("IF(AND(ISERROR(FILTER('Items by Team'!D$2:D3410,'Items by Team'!C$2:C3410 = D227,'Items by Team'!B$2:B3410 = B227)),NOT(A227=""Practice"")),TRUE,FALSE)"),FALSE)</f>
        <v>0</v>
      </c>
      <c r="BR227" s="6">
        <f t="shared" ca="1" si="20"/>
        <v>0</v>
      </c>
    </row>
    <row r="228" spans="1:70">
      <c r="A228" s="6"/>
      <c r="B228" s="6"/>
      <c r="C228" s="6"/>
      <c r="D228" s="6"/>
      <c r="E228" s="6"/>
      <c r="F228" s="6"/>
      <c r="G228" s="6"/>
      <c r="H228" s="6"/>
      <c r="I228" s="6"/>
      <c r="J228" s="6"/>
      <c r="K228" s="6"/>
      <c r="L228" s="6"/>
      <c r="M228" s="6"/>
      <c r="N228" s="6"/>
      <c r="O228" s="6"/>
      <c r="P228" s="6"/>
      <c r="R228" s="6"/>
      <c r="S228" s="6"/>
      <c r="T228" s="6"/>
      <c r="U228" s="6"/>
      <c r="V228" s="6"/>
      <c r="W228" s="6"/>
      <c r="X228" s="6"/>
      <c r="Y228" s="6"/>
      <c r="Z228" s="6"/>
      <c r="AA228" s="6"/>
      <c r="AB228" s="6"/>
      <c r="AD228" s="6"/>
      <c r="AE228" s="6"/>
      <c r="AF228" s="6"/>
      <c r="AG228" s="6"/>
      <c r="AH228" s="6"/>
      <c r="AI228" s="6"/>
      <c r="AK228" s="6"/>
      <c r="AL228" s="6"/>
      <c r="AM228" s="6"/>
      <c r="AN228" s="6"/>
      <c r="AO228" s="6"/>
      <c r="AP228" s="6"/>
      <c r="AQ228" s="6"/>
      <c r="AR228" s="6"/>
      <c r="AS228" s="15"/>
      <c r="AT228" s="6" t="str">
        <f ca="1">IFERROR(__xludf.DUMMYFUNCTION("SWITCH(IF(A228=""Practice"",AN228,FILTER('Items by Team'!E$2:E3410,'Items by Team'!C$2:C3410=D228,B228='Items by Team'!B$2:B3410)),""None"",""No"",""Parked"",""P"",""ShallowCage"",""Sc"",""DeepCage"",""Dc"",""No"",""No"",""P"",""P"",""Sc"",""Sc"",""Dc"","&amp;"""Dc"")"),"#REF!")</f>
        <v>#REF!</v>
      </c>
      <c r="AU228" s="6" t="str">
        <f ca="1">IFERROR(__xludf.DUMMYFUNCTION("SWITCH(IF(A228 = ""Practice"", H228, FILTER('Items by Team'!D$2:D3410,'Items by Team'!C$2:C3410 = D228,'Items by Team'!B$2:B3410 = B228)), ""Yes"", ""TRUE"", ""No"", ""FALSE"",TRUE, ""TRUE"", FALSE, ""FALSE"")"),"#REF!")</f>
        <v>#REF!</v>
      </c>
      <c r="AV228" s="6">
        <f t="shared" si="0"/>
        <v>0</v>
      </c>
      <c r="AW228" s="6">
        <f t="shared" si="1"/>
        <v>0</v>
      </c>
      <c r="AX228" s="6">
        <f t="shared" si="2"/>
        <v>0</v>
      </c>
      <c r="AY228" s="6">
        <f t="shared" si="3"/>
        <v>0</v>
      </c>
      <c r="AZ228" s="9" t="str">
        <f t="shared" si="4"/>
        <v/>
      </c>
      <c r="BA228" s="6">
        <f t="shared" si="5"/>
        <v>0</v>
      </c>
      <c r="BB228" s="6">
        <f t="shared" si="6"/>
        <v>0</v>
      </c>
      <c r="BC228" s="9" t="str">
        <f t="shared" si="7"/>
        <v/>
      </c>
      <c r="BD228" s="6">
        <f t="shared" si="8"/>
        <v>0</v>
      </c>
      <c r="BE228" s="6">
        <f t="shared" si="9"/>
        <v>0</v>
      </c>
      <c r="BF228" s="9" t="str">
        <f t="shared" si="10"/>
        <v/>
      </c>
      <c r="BG228" s="6">
        <f t="shared" si="11"/>
        <v>0</v>
      </c>
      <c r="BH228" s="6">
        <f t="shared" si="12"/>
        <v>0</v>
      </c>
      <c r="BI228" s="9" t="str">
        <f t="shared" si="13"/>
        <v/>
      </c>
      <c r="BJ228" s="6">
        <f t="shared" si="14"/>
        <v>0</v>
      </c>
      <c r="BK228" s="6">
        <f t="shared" si="15"/>
        <v>0</v>
      </c>
      <c r="BL228" s="6">
        <f t="shared" si="16"/>
        <v>0</v>
      </c>
      <c r="BM228" s="6">
        <f t="shared" si="17"/>
        <v>0</v>
      </c>
      <c r="BN228" s="6">
        <f t="shared" si="18"/>
        <v>0</v>
      </c>
      <c r="BP228" s="6">
        <f t="shared" si="19"/>
        <v>0</v>
      </c>
      <c r="BQ228" s="6" t="b">
        <f ca="1">IFERROR(__xludf.DUMMYFUNCTION("IF(AND(ISERROR(FILTER('Items by Team'!D$2:D3410,'Items by Team'!C$2:C3410 = D228,'Items by Team'!B$2:B3410 = B228)),NOT(A228=""Practice"")),TRUE,FALSE)"),FALSE)</f>
        <v>0</v>
      </c>
      <c r="BR228" s="6">
        <f t="shared" ca="1" si="20"/>
        <v>0</v>
      </c>
    </row>
    <row r="229" spans="1:70">
      <c r="A229" s="6"/>
      <c r="B229" s="6"/>
      <c r="C229" s="6"/>
      <c r="D229" s="6"/>
      <c r="E229" s="6"/>
      <c r="F229" s="6"/>
      <c r="G229" s="6"/>
      <c r="H229" s="6"/>
      <c r="I229" s="6"/>
      <c r="J229" s="6"/>
      <c r="K229" s="6"/>
      <c r="L229" s="6"/>
      <c r="M229" s="6"/>
      <c r="N229" s="6"/>
      <c r="O229" s="6"/>
      <c r="P229" s="6"/>
      <c r="R229" s="6"/>
      <c r="S229" s="6"/>
      <c r="T229" s="6"/>
      <c r="U229" s="6"/>
      <c r="V229" s="6"/>
      <c r="W229" s="6"/>
      <c r="X229" s="6"/>
      <c r="Y229" s="6"/>
      <c r="Z229" s="6"/>
      <c r="AA229" s="6"/>
      <c r="AB229" s="6"/>
      <c r="AD229" s="6"/>
      <c r="AE229" s="6"/>
      <c r="AF229" s="6"/>
      <c r="AG229" s="6"/>
      <c r="AH229" s="6"/>
      <c r="AI229" s="6"/>
      <c r="AK229" s="6"/>
      <c r="AL229" s="6"/>
      <c r="AM229" s="6"/>
      <c r="AN229" s="6"/>
      <c r="AO229" s="6"/>
      <c r="AP229" s="6"/>
      <c r="AQ229" s="6"/>
      <c r="AR229" s="6"/>
      <c r="AS229" s="15"/>
      <c r="AT229" s="6" t="str">
        <f ca="1">IFERROR(__xludf.DUMMYFUNCTION("SWITCH(IF(A229=""Practice"",AN229,FILTER('Items by Team'!E$2:E3410,'Items by Team'!C$2:C3410=D229,B229='Items by Team'!B$2:B3410)),""None"",""No"",""Parked"",""P"",""ShallowCage"",""Sc"",""DeepCage"",""Dc"",""No"",""No"",""P"",""P"",""Sc"",""Sc"",""Dc"","&amp;"""Dc"")"),"#REF!")</f>
        <v>#REF!</v>
      </c>
      <c r="AU229" s="6" t="str">
        <f ca="1">IFERROR(__xludf.DUMMYFUNCTION("SWITCH(IF(A229 = ""Practice"", H229, FILTER('Items by Team'!D$2:D3410,'Items by Team'!C$2:C3410 = D229,'Items by Team'!B$2:B3410 = B229)), ""Yes"", ""TRUE"", ""No"", ""FALSE"",TRUE, ""TRUE"", FALSE, ""FALSE"")"),"#REF!")</f>
        <v>#REF!</v>
      </c>
      <c r="AV229" s="6">
        <f t="shared" si="0"/>
        <v>0</v>
      </c>
      <c r="AW229" s="6">
        <f t="shared" si="1"/>
        <v>0</v>
      </c>
      <c r="AX229" s="6">
        <f t="shared" si="2"/>
        <v>0</v>
      </c>
      <c r="AY229" s="6">
        <f t="shared" si="3"/>
        <v>0</v>
      </c>
      <c r="AZ229" s="9" t="str">
        <f t="shared" si="4"/>
        <v/>
      </c>
      <c r="BA229" s="6">
        <f t="shared" si="5"/>
        <v>0</v>
      </c>
      <c r="BB229" s="6">
        <f t="shared" si="6"/>
        <v>0</v>
      </c>
      <c r="BC229" s="9" t="str">
        <f t="shared" si="7"/>
        <v/>
      </c>
      <c r="BD229" s="6">
        <f t="shared" si="8"/>
        <v>0</v>
      </c>
      <c r="BE229" s="6">
        <f t="shared" si="9"/>
        <v>0</v>
      </c>
      <c r="BF229" s="9" t="str">
        <f t="shared" si="10"/>
        <v/>
      </c>
      <c r="BG229" s="6">
        <f t="shared" si="11"/>
        <v>0</v>
      </c>
      <c r="BH229" s="6">
        <f t="shared" si="12"/>
        <v>0</v>
      </c>
      <c r="BI229" s="9" t="str">
        <f t="shared" si="13"/>
        <v/>
      </c>
      <c r="BJ229" s="6">
        <f t="shared" si="14"/>
        <v>0</v>
      </c>
      <c r="BK229" s="6">
        <f t="shared" si="15"/>
        <v>0</v>
      </c>
      <c r="BL229" s="6">
        <f t="shared" si="16"/>
        <v>0</v>
      </c>
      <c r="BM229" s="6">
        <f t="shared" si="17"/>
        <v>0</v>
      </c>
      <c r="BN229" s="6">
        <f t="shared" si="18"/>
        <v>0</v>
      </c>
      <c r="BP229" s="6">
        <f t="shared" si="19"/>
        <v>0</v>
      </c>
      <c r="BQ229" s="6" t="b">
        <f ca="1">IFERROR(__xludf.DUMMYFUNCTION("IF(AND(ISERROR(FILTER('Items by Team'!D$2:D3410,'Items by Team'!C$2:C3410 = D229,'Items by Team'!B$2:B3410 = B229)),NOT(A229=""Practice"")),TRUE,FALSE)"),FALSE)</f>
        <v>0</v>
      </c>
      <c r="BR229" s="6">
        <f t="shared" ca="1" si="20"/>
        <v>0</v>
      </c>
    </row>
    <row r="230" spans="1:70">
      <c r="A230" s="6"/>
      <c r="B230" s="6"/>
      <c r="C230" s="6"/>
      <c r="D230" s="6"/>
      <c r="E230" s="6"/>
      <c r="F230" s="6"/>
      <c r="G230" s="6"/>
      <c r="H230" s="6"/>
      <c r="I230" s="6"/>
      <c r="J230" s="6"/>
      <c r="K230" s="6"/>
      <c r="L230" s="6"/>
      <c r="M230" s="6"/>
      <c r="N230" s="6"/>
      <c r="O230" s="6"/>
      <c r="P230" s="6"/>
      <c r="R230" s="6"/>
      <c r="S230" s="6"/>
      <c r="T230" s="6"/>
      <c r="U230" s="6"/>
      <c r="V230" s="6"/>
      <c r="W230" s="6"/>
      <c r="X230" s="6"/>
      <c r="Y230" s="6"/>
      <c r="Z230" s="6"/>
      <c r="AA230" s="6"/>
      <c r="AB230" s="6"/>
      <c r="AD230" s="6"/>
      <c r="AE230" s="6"/>
      <c r="AF230" s="6"/>
      <c r="AG230" s="6"/>
      <c r="AH230" s="6"/>
      <c r="AI230" s="6"/>
      <c r="AK230" s="6"/>
      <c r="AL230" s="6"/>
      <c r="AM230" s="6"/>
      <c r="AN230" s="6"/>
      <c r="AO230" s="6"/>
      <c r="AP230" s="6"/>
      <c r="AQ230" s="6"/>
      <c r="AR230" s="6"/>
      <c r="AS230" s="15"/>
      <c r="AT230" s="6" t="str">
        <f ca="1">IFERROR(__xludf.DUMMYFUNCTION("SWITCH(IF(A230=""Practice"",AN230,FILTER('Items by Team'!E$2:E3410,'Items by Team'!C$2:C3410=D230,B230='Items by Team'!B$2:B3410)),""None"",""No"",""Parked"",""P"",""ShallowCage"",""Sc"",""DeepCage"",""Dc"",""No"",""No"",""P"",""P"",""Sc"",""Sc"",""Dc"","&amp;"""Dc"")"),"#REF!")</f>
        <v>#REF!</v>
      </c>
      <c r="AU230" s="6" t="str">
        <f ca="1">IFERROR(__xludf.DUMMYFUNCTION("SWITCH(IF(A230 = ""Practice"", H230, FILTER('Items by Team'!D$2:D3410,'Items by Team'!C$2:C3410 = D230,'Items by Team'!B$2:B3410 = B230)), ""Yes"", ""TRUE"", ""No"", ""FALSE"",TRUE, ""TRUE"", FALSE, ""FALSE"")"),"#REF!")</f>
        <v>#REF!</v>
      </c>
      <c r="AV230" s="6">
        <f t="shared" si="0"/>
        <v>0</v>
      </c>
      <c r="AW230" s="6">
        <f t="shared" si="1"/>
        <v>0</v>
      </c>
      <c r="AX230" s="6">
        <f t="shared" si="2"/>
        <v>0</v>
      </c>
      <c r="AY230" s="6">
        <f t="shared" si="3"/>
        <v>0</v>
      </c>
      <c r="AZ230" s="9" t="str">
        <f t="shared" si="4"/>
        <v/>
      </c>
      <c r="BA230" s="6">
        <f t="shared" si="5"/>
        <v>0</v>
      </c>
      <c r="BB230" s="6">
        <f t="shared" si="6"/>
        <v>0</v>
      </c>
      <c r="BC230" s="9" t="str">
        <f t="shared" si="7"/>
        <v/>
      </c>
      <c r="BD230" s="6">
        <f t="shared" si="8"/>
        <v>0</v>
      </c>
      <c r="BE230" s="6">
        <f t="shared" si="9"/>
        <v>0</v>
      </c>
      <c r="BF230" s="9" t="str">
        <f t="shared" si="10"/>
        <v/>
      </c>
      <c r="BG230" s="6">
        <f t="shared" si="11"/>
        <v>0</v>
      </c>
      <c r="BH230" s="6">
        <f t="shared" si="12"/>
        <v>0</v>
      </c>
      <c r="BI230" s="9" t="str">
        <f t="shared" si="13"/>
        <v/>
      </c>
      <c r="BJ230" s="6">
        <f t="shared" si="14"/>
        <v>0</v>
      </c>
      <c r="BK230" s="6">
        <f t="shared" si="15"/>
        <v>0</v>
      </c>
      <c r="BL230" s="6">
        <f t="shared" si="16"/>
        <v>0</v>
      </c>
      <c r="BM230" s="6">
        <f t="shared" si="17"/>
        <v>0</v>
      </c>
      <c r="BN230" s="6">
        <f t="shared" si="18"/>
        <v>0</v>
      </c>
      <c r="BP230" s="6">
        <f t="shared" si="19"/>
        <v>0</v>
      </c>
      <c r="BQ230" s="6" t="b">
        <f ca="1">IFERROR(__xludf.DUMMYFUNCTION("IF(AND(ISERROR(FILTER('Items by Team'!D$2:D3410,'Items by Team'!C$2:C3410 = D230,'Items by Team'!B$2:B3410 = B230)),NOT(A230=""Practice"")),TRUE,FALSE)"),FALSE)</f>
        <v>0</v>
      </c>
      <c r="BR230" s="6">
        <f t="shared" ca="1" si="20"/>
        <v>0</v>
      </c>
    </row>
    <row r="231" spans="1:70">
      <c r="A231" s="6"/>
      <c r="B231" s="6"/>
      <c r="C231" s="6"/>
      <c r="D231" s="6"/>
      <c r="E231" s="6"/>
      <c r="F231" s="6"/>
      <c r="G231" s="6"/>
      <c r="H231" s="6"/>
      <c r="I231" s="6"/>
      <c r="J231" s="6"/>
      <c r="K231" s="6"/>
      <c r="L231" s="6"/>
      <c r="M231" s="6"/>
      <c r="N231" s="6"/>
      <c r="O231" s="6"/>
      <c r="P231" s="6"/>
      <c r="R231" s="6"/>
      <c r="S231" s="6"/>
      <c r="T231" s="6"/>
      <c r="U231" s="6"/>
      <c r="V231" s="6"/>
      <c r="W231" s="6"/>
      <c r="X231" s="6"/>
      <c r="Y231" s="6"/>
      <c r="Z231" s="6"/>
      <c r="AA231" s="6"/>
      <c r="AB231" s="6"/>
      <c r="AD231" s="6"/>
      <c r="AE231" s="6"/>
      <c r="AF231" s="6"/>
      <c r="AG231" s="6"/>
      <c r="AH231" s="6"/>
      <c r="AI231" s="6"/>
      <c r="AK231" s="6"/>
      <c r="AL231" s="6"/>
      <c r="AM231" s="6"/>
      <c r="AN231" s="6"/>
      <c r="AO231" s="6"/>
      <c r="AP231" s="6"/>
      <c r="AQ231" s="6"/>
      <c r="AR231" s="6"/>
      <c r="AS231" s="15"/>
      <c r="AT231" s="6" t="str">
        <f ca="1">IFERROR(__xludf.DUMMYFUNCTION("SWITCH(IF(A231=""Practice"",AN231,FILTER('Items by Team'!E$2:E3410,'Items by Team'!C$2:C3410=D231,B231='Items by Team'!B$2:B3410)),""None"",""No"",""Parked"",""P"",""ShallowCage"",""Sc"",""DeepCage"",""Dc"",""No"",""No"",""P"",""P"",""Sc"",""Sc"",""Dc"","&amp;"""Dc"")"),"#REF!")</f>
        <v>#REF!</v>
      </c>
      <c r="AU231" s="6" t="str">
        <f ca="1">IFERROR(__xludf.DUMMYFUNCTION("SWITCH(IF(A231 = ""Practice"", H231, FILTER('Items by Team'!D$2:D3410,'Items by Team'!C$2:C3410 = D231,'Items by Team'!B$2:B3410 = B231)), ""Yes"", ""TRUE"", ""No"", ""FALSE"",TRUE, ""TRUE"", FALSE, ""FALSE"")"),"#REF!")</f>
        <v>#REF!</v>
      </c>
      <c r="AV231" s="6">
        <f t="shared" si="0"/>
        <v>0</v>
      </c>
      <c r="AW231" s="6">
        <f t="shared" si="1"/>
        <v>0</v>
      </c>
      <c r="AX231" s="6">
        <f t="shared" si="2"/>
        <v>0</v>
      </c>
      <c r="AY231" s="6">
        <f t="shared" si="3"/>
        <v>0</v>
      </c>
      <c r="AZ231" s="9" t="str">
        <f t="shared" si="4"/>
        <v/>
      </c>
      <c r="BA231" s="6">
        <f t="shared" si="5"/>
        <v>0</v>
      </c>
      <c r="BB231" s="6">
        <f t="shared" si="6"/>
        <v>0</v>
      </c>
      <c r="BC231" s="9" t="str">
        <f t="shared" si="7"/>
        <v/>
      </c>
      <c r="BD231" s="6">
        <f t="shared" si="8"/>
        <v>0</v>
      </c>
      <c r="BE231" s="6">
        <f t="shared" si="9"/>
        <v>0</v>
      </c>
      <c r="BF231" s="9" t="str">
        <f t="shared" si="10"/>
        <v/>
      </c>
      <c r="BG231" s="6">
        <f t="shared" si="11"/>
        <v>0</v>
      </c>
      <c r="BH231" s="6">
        <f t="shared" si="12"/>
        <v>0</v>
      </c>
      <c r="BI231" s="9" t="str">
        <f t="shared" si="13"/>
        <v/>
      </c>
      <c r="BJ231" s="6">
        <f t="shared" si="14"/>
        <v>0</v>
      </c>
      <c r="BK231" s="6">
        <f t="shared" si="15"/>
        <v>0</v>
      </c>
      <c r="BL231" s="6">
        <f t="shared" si="16"/>
        <v>0</v>
      </c>
      <c r="BM231" s="6">
        <f t="shared" si="17"/>
        <v>0</v>
      </c>
      <c r="BN231" s="6">
        <f t="shared" si="18"/>
        <v>0</v>
      </c>
      <c r="BP231" s="6">
        <f t="shared" si="19"/>
        <v>0</v>
      </c>
      <c r="BQ231" s="6" t="b">
        <f ca="1">IFERROR(__xludf.DUMMYFUNCTION("IF(AND(ISERROR(FILTER('Items by Team'!D$2:D3410,'Items by Team'!C$2:C3410 = D231,'Items by Team'!B$2:B3410 = B231)),NOT(A231=""Practice"")),TRUE,FALSE)"),FALSE)</f>
        <v>0</v>
      </c>
      <c r="BR231" s="6">
        <f t="shared" ca="1" si="20"/>
        <v>0</v>
      </c>
    </row>
    <row r="232" spans="1:70">
      <c r="A232" s="6"/>
      <c r="B232" s="6"/>
      <c r="C232" s="6"/>
      <c r="D232" s="6"/>
      <c r="E232" s="6"/>
      <c r="F232" s="6"/>
      <c r="G232" s="6"/>
      <c r="H232" s="6"/>
      <c r="I232" s="6"/>
      <c r="J232" s="6"/>
      <c r="K232" s="6"/>
      <c r="L232" s="6"/>
      <c r="M232" s="6"/>
      <c r="N232" s="6"/>
      <c r="O232" s="6"/>
      <c r="P232" s="6"/>
      <c r="R232" s="6"/>
      <c r="S232" s="6"/>
      <c r="T232" s="6"/>
      <c r="U232" s="6"/>
      <c r="V232" s="6"/>
      <c r="W232" s="6"/>
      <c r="X232" s="6"/>
      <c r="Y232" s="6"/>
      <c r="Z232" s="6"/>
      <c r="AA232" s="6"/>
      <c r="AB232" s="6"/>
      <c r="AD232" s="6"/>
      <c r="AE232" s="6"/>
      <c r="AF232" s="6"/>
      <c r="AG232" s="6"/>
      <c r="AH232" s="6"/>
      <c r="AI232" s="6"/>
      <c r="AK232" s="6"/>
      <c r="AL232" s="6"/>
      <c r="AM232" s="6"/>
      <c r="AN232" s="6"/>
      <c r="AO232" s="6"/>
      <c r="AP232" s="6"/>
      <c r="AQ232" s="6"/>
      <c r="AR232" s="6"/>
      <c r="AS232" s="15"/>
      <c r="AT232" s="6" t="str">
        <f ca="1">IFERROR(__xludf.DUMMYFUNCTION("SWITCH(IF(A232=""Practice"",AN232,FILTER('Items by Team'!E$2:E3410,'Items by Team'!C$2:C3410=D232,B232='Items by Team'!B$2:B3410)),""None"",""No"",""Parked"",""P"",""ShallowCage"",""Sc"",""DeepCage"",""Dc"",""No"",""No"",""P"",""P"",""Sc"",""Sc"",""Dc"","&amp;"""Dc"")"),"#REF!")</f>
        <v>#REF!</v>
      </c>
      <c r="AU232" s="6" t="str">
        <f ca="1">IFERROR(__xludf.DUMMYFUNCTION("SWITCH(IF(A232 = ""Practice"", H232, FILTER('Items by Team'!D$2:D3410,'Items by Team'!C$2:C3410 = D232,'Items by Team'!B$2:B3410 = B232)), ""Yes"", ""TRUE"", ""No"", ""FALSE"",TRUE, ""TRUE"", FALSE, ""FALSE"")"),"#REF!")</f>
        <v>#REF!</v>
      </c>
      <c r="AV232" s="6">
        <f t="shared" si="0"/>
        <v>0</v>
      </c>
      <c r="AW232" s="6">
        <f t="shared" si="1"/>
        <v>0</v>
      </c>
      <c r="AX232" s="6">
        <f t="shared" si="2"/>
        <v>0</v>
      </c>
      <c r="AY232" s="6">
        <f t="shared" si="3"/>
        <v>0</v>
      </c>
      <c r="AZ232" s="9" t="str">
        <f t="shared" si="4"/>
        <v/>
      </c>
      <c r="BA232" s="6">
        <f t="shared" si="5"/>
        <v>0</v>
      </c>
      <c r="BB232" s="6">
        <f t="shared" si="6"/>
        <v>0</v>
      </c>
      <c r="BC232" s="9" t="str">
        <f t="shared" si="7"/>
        <v/>
      </c>
      <c r="BD232" s="6">
        <f t="shared" si="8"/>
        <v>0</v>
      </c>
      <c r="BE232" s="6">
        <f t="shared" si="9"/>
        <v>0</v>
      </c>
      <c r="BF232" s="9" t="str">
        <f t="shared" si="10"/>
        <v/>
      </c>
      <c r="BG232" s="6">
        <f t="shared" si="11"/>
        <v>0</v>
      </c>
      <c r="BH232" s="6">
        <f t="shared" si="12"/>
        <v>0</v>
      </c>
      <c r="BI232" s="9" t="str">
        <f t="shared" si="13"/>
        <v/>
      </c>
      <c r="BJ232" s="6">
        <f t="shared" si="14"/>
        <v>0</v>
      </c>
      <c r="BK232" s="6">
        <f t="shared" si="15"/>
        <v>0</v>
      </c>
      <c r="BL232" s="6">
        <f t="shared" si="16"/>
        <v>0</v>
      </c>
      <c r="BM232" s="6">
        <f t="shared" si="17"/>
        <v>0</v>
      </c>
      <c r="BN232" s="6">
        <f t="shared" si="18"/>
        <v>0</v>
      </c>
      <c r="BP232" s="6">
        <f t="shared" si="19"/>
        <v>0</v>
      </c>
      <c r="BQ232" s="6" t="b">
        <f ca="1">IFERROR(__xludf.DUMMYFUNCTION("IF(AND(ISERROR(FILTER('Items by Team'!D$2:D3410,'Items by Team'!C$2:C3410 = D232,'Items by Team'!B$2:B3410 = B232)),NOT(A232=""Practice"")),TRUE,FALSE)"),FALSE)</f>
        <v>0</v>
      </c>
      <c r="BR232" s="6">
        <f t="shared" ca="1" si="20"/>
        <v>0</v>
      </c>
    </row>
    <row r="233" spans="1:70">
      <c r="A233" s="6"/>
      <c r="B233" s="6"/>
      <c r="C233" s="6"/>
      <c r="D233" s="6"/>
      <c r="E233" s="6"/>
      <c r="F233" s="6"/>
      <c r="G233" s="6"/>
      <c r="H233" s="6"/>
      <c r="I233" s="6"/>
      <c r="J233" s="6"/>
      <c r="K233" s="6"/>
      <c r="L233" s="6"/>
      <c r="M233" s="6"/>
      <c r="N233" s="6"/>
      <c r="O233" s="6"/>
      <c r="P233" s="6"/>
      <c r="R233" s="6"/>
      <c r="S233" s="6"/>
      <c r="T233" s="6"/>
      <c r="U233" s="6"/>
      <c r="V233" s="6"/>
      <c r="W233" s="6"/>
      <c r="X233" s="6"/>
      <c r="Y233" s="6"/>
      <c r="Z233" s="6"/>
      <c r="AA233" s="6"/>
      <c r="AB233" s="6"/>
      <c r="AD233" s="6"/>
      <c r="AE233" s="6"/>
      <c r="AF233" s="6"/>
      <c r="AG233" s="6"/>
      <c r="AH233" s="6"/>
      <c r="AI233" s="6"/>
      <c r="AK233" s="6"/>
      <c r="AL233" s="6"/>
      <c r="AM233" s="6"/>
      <c r="AN233" s="6"/>
      <c r="AO233" s="6"/>
      <c r="AP233" s="6"/>
      <c r="AQ233" s="6"/>
      <c r="AR233" s="6"/>
      <c r="AS233" s="15"/>
      <c r="AT233" s="6" t="str">
        <f ca="1">IFERROR(__xludf.DUMMYFUNCTION("SWITCH(IF(A233=""Practice"",AN233,FILTER('Items by Team'!E$2:E3410,'Items by Team'!C$2:C3410=D233,B233='Items by Team'!B$2:B3410)),""None"",""No"",""Parked"",""P"",""ShallowCage"",""Sc"",""DeepCage"",""Dc"",""No"",""No"",""P"",""P"",""Sc"",""Sc"",""Dc"","&amp;"""Dc"")"),"#REF!")</f>
        <v>#REF!</v>
      </c>
      <c r="AU233" s="6" t="str">
        <f ca="1">IFERROR(__xludf.DUMMYFUNCTION("SWITCH(IF(A233 = ""Practice"", H233, FILTER('Items by Team'!D$2:D3410,'Items by Team'!C$2:C3410 = D233,'Items by Team'!B$2:B3410 = B233)), ""Yes"", ""TRUE"", ""No"", ""FALSE"",TRUE, ""TRUE"", FALSE, ""FALSE"")"),"#REF!")</f>
        <v>#REF!</v>
      </c>
      <c r="AV233" s="6">
        <f t="shared" si="0"/>
        <v>0</v>
      </c>
      <c r="AW233" s="6">
        <f t="shared" si="1"/>
        <v>0</v>
      </c>
      <c r="AX233" s="6">
        <f t="shared" si="2"/>
        <v>0</v>
      </c>
      <c r="AY233" s="6">
        <f t="shared" si="3"/>
        <v>0</v>
      </c>
      <c r="AZ233" s="9" t="str">
        <f t="shared" si="4"/>
        <v/>
      </c>
      <c r="BA233" s="6">
        <f t="shared" si="5"/>
        <v>0</v>
      </c>
      <c r="BB233" s="6">
        <f t="shared" si="6"/>
        <v>0</v>
      </c>
      <c r="BC233" s="9" t="str">
        <f t="shared" si="7"/>
        <v/>
      </c>
      <c r="BD233" s="6">
        <f t="shared" si="8"/>
        <v>0</v>
      </c>
      <c r="BE233" s="6">
        <f t="shared" si="9"/>
        <v>0</v>
      </c>
      <c r="BF233" s="9" t="str">
        <f t="shared" si="10"/>
        <v/>
      </c>
      <c r="BG233" s="6">
        <f t="shared" si="11"/>
        <v>0</v>
      </c>
      <c r="BH233" s="6">
        <f t="shared" si="12"/>
        <v>0</v>
      </c>
      <c r="BI233" s="9" t="str">
        <f t="shared" si="13"/>
        <v/>
      </c>
      <c r="BJ233" s="6">
        <f t="shared" si="14"/>
        <v>0</v>
      </c>
      <c r="BK233" s="6">
        <f t="shared" si="15"/>
        <v>0</v>
      </c>
      <c r="BL233" s="6">
        <f t="shared" si="16"/>
        <v>0</v>
      </c>
      <c r="BM233" s="6">
        <f t="shared" si="17"/>
        <v>0</v>
      </c>
      <c r="BN233" s="6">
        <f t="shared" si="18"/>
        <v>0</v>
      </c>
      <c r="BP233" s="6">
        <f t="shared" si="19"/>
        <v>0</v>
      </c>
      <c r="BQ233" s="6" t="b">
        <f ca="1">IFERROR(__xludf.DUMMYFUNCTION("IF(AND(ISERROR(FILTER('Items by Team'!D$2:D3410,'Items by Team'!C$2:C3410 = D233,'Items by Team'!B$2:B3410 = B233)),NOT(A233=""Practice"")),TRUE,FALSE)"),FALSE)</f>
        <v>0</v>
      </c>
      <c r="BR233" s="6">
        <f t="shared" ca="1" si="20"/>
        <v>0</v>
      </c>
    </row>
    <row r="234" spans="1:70">
      <c r="A234" s="6"/>
      <c r="B234" s="6"/>
      <c r="C234" s="6"/>
      <c r="D234" s="6"/>
      <c r="E234" s="6"/>
      <c r="F234" s="6"/>
      <c r="G234" s="6"/>
      <c r="H234" s="6"/>
      <c r="I234" s="6"/>
      <c r="J234" s="6"/>
      <c r="K234" s="6"/>
      <c r="L234" s="6"/>
      <c r="M234" s="6"/>
      <c r="N234" s="6"/>
      <c r="O234" s="6"/>
      <c r="P234" s="6"/>
      <c r="R234" s="6"/>
      <c r="S234" s="6"/>
      <c r="T234" s="6"/>
      <c r="U234" s="6"/>
      <c r="V234" s="6"/>
      <c r="W234" s="6"/>
      <c r="X234" s="6"/>
      <c r="Y234" s="6"/>
      <c r="Z234" s="6"/>
      <c r="AA234" s="6"/>
      <c r="AB234" s="6"/>
      <c r="AD234" s="6"/>
      <c r="AE234" s="6"/>
      <c r="AF234" s="6"/>
      <c r="AG234" s="6"/>
      <c r="AH234" s="6"/>
      <c r="AI234" s="6"/>
      <c r="AK234" s="6"/>
      <c r="AL234" s="6"/>
      <c r="AM234" s="6"/>
      <c r="AN234" s="6"/>
      <c r="AO234" s="6"/>
      <c r="AP234" s="6"/>
      <c r="AQ234" s="6"/>
      <c r="AR234" s="6"/>
      <c r="AS234" s="15"/>
      <c r="AT234" s="6" t="str">
        <f ca="1">IFERROR(__xludf.DUMMYFUNCTION("SWITCH(IF(A234=""Practice"",AN234,FILTER('Items by Team'!E$2:E3410,'Items by Team'!C$2:C3410=D234,B234='Items by Team'!B$2:B3410)),""None"",""No"",""Parked"",""P"",""ShallowCage"",""Sc"",""DeepCage"",""Dc"",""No"",""No"",""P"",""P"",""Sc"",""Sc"",""Dc"","&amp;"""Dc"")"),"#REF!")</f>
        <v>#REF!</v>
      </c>
      <c r="AU234" s="6" t="str">
        <f ca="1">IFERROR(__xludf.DUMMYFUNCTION("SWITCH(IF(A234 = ""Practice"", H234, FILTER('Items by Team'!D$2:D3410,'Items by Team'!C$2:C3410 = D234,'Items by Team'!B$2:B3410 = B234)), ""Yes"", ""TRUE"", ""No"", ""FALSE"",TRUE, ""TRUE"", FALSE, ""FALSE"")"),"#REF!")</f>
        <v>#REF!</v>
      </c>
      <c r="AV234" s="6">
        <f t="shared" si="0"/>
        <v>0</v>
      </c>
      <c r="AW234" s="6">
        <f t="shared" si="1"/>
        <v>0</v>
      </c>
      <c r="AX234" s="6">
        <f t="shared" si="2"/>
        <v>0</v>
      </c>
      <c r="AY234" s="6">
        <f t="shared" si="3"/>
        <v>0</v>
      </c>
      <c r="AZ234" s="9" t="str">
        <f t="shared" si="4"/>
        <v/>
      </c>
      <c r="BA234" s="6">
        <f t="shared" si="5"/>
        <v>0</v>
      </c>
      <c r="BB234" s="6">
        <f t="shared" si="6"/>
        <v>0</v>
      </c>
      <c r="BC234" s="9" t="str">
        <f t="shared" si="7"/>
        <v/>
      </c>
      <c r="BD234" s="6">
        <f t="shared" si="8"/>
        <v>0</v>
      </c>
      <c r="BE234" s="6">
        <f t="shared" si="9"/>
        <v>0</v>
      </c>
      <c r="BF234" s="9" t="str">
        <f t="shared" si="10"/>
        <v/>
      </c>
      <c r="BG234" s="6">
        <f t="shared" si="11"/>
        <v>0</v>
      </c>
      <c r="BH234" s="6">
        <f t="shared" si="12"/>
        <v>0</v>
      </c>
      <c r="BI234" s="9" t="str">
        <f t="shared" si="13"/>
        <v/>
      </c>
      <c r="BJ234" s="6">
        <f t="shared" si="14"/>
        <v>0</v>
      </c>
      <c r="BK234" s="6">
        <f t="shared" si="15"/>
        <v>0</v>
      </c>
      <c r="BL234" s="6">
        <f t="shared" si="16"/>
        <v>0</v>
      </c>
      <c r="BM234" s="6">
        <f t="shared" si="17"/>
        <v>0</v>
      </c>
      <c r="BN234" s="6">
        <f t="shared" si="18"/>
        <v>0</v>
      </c>
      <c r="BP234" s="6">
        <f t="shared" si="19"/>
        <v>0</v>
      </c>
      <c r="BQ234" s="6" t="b">
        <f ca="1">IFERROR(__xludf.DUMMYFUNCTION("IF(AND(ISERROR(FILTER('Items by Team'!D$2:D3410,'Items by Team'!C$2:C3410 = D234,'Items by Team'!B$2:B3410 = B234)),NOT(A234=""Practice"")),TRUE,FALSE)"),FALSE)</f>
        <v>0</v>
      </c>
      <c r="BR234" s="6">
        <f t="shared" ca="1" si="20"/>
        <v>0</v>
      </c>
    </row>
    <row r="235" spans="1:70">
      <c r="A235" s="6"/>
      <c r="B235" s="6"/>
      <c r="C235" s="6"/>
      <c r="D235" s="6"/>
      <c r="E235" s="6"/>
      <c r="F235" s="6"/>
      <c r="G235" s="6"/>
      <c r="H235" s="6"/>
      <c r="I235" s="6"/>
      <c r="J235" s="6"/>
      <c r="K235" s="6"/>
      <c r="L235" s="6"/>
      <c r="M235" s="6"/>
      <c r="N235" s="6"/>
      <c r="O235" s="6"/>
      <c r="P235" s="6"/>
      <c r="R235" s="6"/>
      <c r="S235" s="6"/>
      <c r="T235" s="6"/>
      <c r="U235" s="6"/>
      <c r="V235" s="6"/>
      <c r="W235" s="6"/>
      <c r="X235" s="6"/>
      <c r="Y235" s="6"/>
      <c r="Z235" s="6"/>
      <c r="AA235" s="6"/>
      <c r="AB235" s="6"/>
      <c r="AD235" s="6"/>
      <c r="AE235" s="6"/>
      <c r="AF235" s="6"/>
      <c r="AG235" s="6"/>
      <c r="AH235" s="6"/>
      <c r="AI235" s="6"/>
      <c r="AK235" s="6"/>
      <c r="AL235" s="6"/>
      <c r="AM235" s="6"/>
      <c r="AN235" s="6"/>
      <c r="AO235" s="6"/>
      <c r="AP235" s="6"/>
      <c r="AQ235" s="6"/>
      <c r="AR235" s="6"/>
      <c r="AS235" s="15"/>
      <c r="AT235" s="6" t="str">
        <f ca="1">IFERROR(__xludf.DUMMYFUNCTION("SWITCH(IF(A235=""Practice"",AN235,FILTER('Items by Team'!E$2:E3410,'Items by Team'!C$2:C3410=D235,B235='Items by Team'!B$2:B3410)),""None"",""No"",""Parked"",""P"",""ShallowCage"",""Sc"",""DeepCage"",""Dc"",""No"",""No"",""P"",""P"",""Sc"",""Sc"",""Dc"","&amp;"""Dc"")"),"#REF!")</f>
        <v>#REF!</v>
      </c>
      <c r="AU235" s="6" t="str">
        <f ca="1">IFERROR(__xludf.DUMMYFUNCTION("SWITCH(IF(A235 = ""Practice"", H235, FILTER('Items by Team'!D$2:D3410,'Items by Team'!C$2:C3410 = D235,'Items by Team'!B$2:B3410 = B235)), ""Yes"", ""TRUE"", ""No"", ""FALSE"",TRUE, ""TRUE"", FALSE, ""FALSE"")"),"#REF!")</f>
        <v>#REF!</v>
      </c>
      <c r="AV235" s="6">
        <f t="shared" si="0"/>
        <v>0</v>
      </c>
      <c r="AW235" s="6">
        <f t="shared" si="1"/>
        <v>0</v>
      </c>
      <c r="AX235" s="6">
        <f t="shared" si="2"/>
        <v>0</v>
      </c>
      <c r="AY235" s="6">
        <f t="shared" si="3"/>
        <v>0</v>
      </c>
      <c r="AZ235" s="9" t="str">
        <f t="shared" si="4"/>
        <v/>
      </c>
      <c r="BA235" s="6">
        <f t="shared" si="5"/>
        <v>0</v>
      </c>
      <c r="BB235" s="6">
        <f t="shared" si="6"/>
        <v>0</v>
      </c>
      <c r="BC235" s="9" t="str">
        <f t="shared" si="7"/>
        <v/>
      </c>
      <c r="BD235" s="6">
        <f t="shared" si="8"/>
        <v>0</v>
      </c>
      <c r="BE235" s="6">
        <f t="shared" si="9"/>
        <v>0</v>
      </c>
      <c r="BF235" s="9" t="str">
        <f t="shared" si="10"/>
        <v/>
      </c>
      <c r="BG235" s="6">
        <f t="shared" si="11"/>
        <v>0</v>
      </c>
      <c r="BH235" s="6">
        <f t="shared" si="12"/>
        <v>0</v>
      </c>
      <c r="BI235" s="9" t="str">
        <f t="shared" si="13"/>
        <v/>
      </c>
      <c r="BJ235" s="6">
        <f t="shared" si="14"/>
        <v>0</v>
      </c>
      <c r="BK235" s="6">
        <f t="shared" si="15"/>
        <v>0</v>
      </c>
      <c r="BL235" s="6">
        <f t="shared" si="16"/>
        <v>0</v>
      </c>
      <c r="BM235" s="6">
        <f t="shared" si="17"/>
        <v>0</v>
      </c>
      <c r="BN235" s="6">
        <f t="shared" si="18"/>
        <v>0</v>
      </c>
      <c r="BP235" s="6">
        <f t="shared" si="19"/>
        <v>0</v>
      </c>
      <c r="BQ235" s="6" t="b">
        <f ca="1">IFERROR(__xludf.DUMMYFUNCTION("IF(AND(ISERROR(FILTER('Items by Team'!D$2:D3410,'Items by Team'!C$2:C3410 = D235,'Items by Team'!B$2:B3410 = B235)),NOT(A235=""Practice"")),TRUE,FALSE)"),FALSE)</f>
        <v>0</v>
      </c>
      <c r="BR235" s="6">
        <f t="shared" ca="1" si="20"/>
        <v>0</v>
      </c>
    </row>
    <row r="236" spans="1:70">
      <c r="A236" s="6"/>
      <c r="B236" s="6"/>
      <c r="C236" s="6"/>
      <c r="D236" s="6"/>
      <c r="E236" s="6"/>
      <c r="F236" s="6"/>
      <c r="G236" s="6"/>
      <c r="H236" s="6"/>
      <c r="I236" s="6"/>
      <c r="J236" s="6"/>
      <c r="K236" s="6"/>
      <c r="L236" s="6"/>
      <c r="M236" s="6"/>
      <c r="N236" s="6"/>
      <c r="O236" s="6"/>
      <c r="P236" s="6"/>
      <c r="R236" s="6"/>
      <c r="S236" s="6"/>
      <c r="T236" s="6"/>
      <c r="U236" s="6"/>
      <c r="V236" s="6"/>
      <c r="W236" s="6"/>
      <c r="X236" s="6"/>
      <c r="Y236" s="6"/>
      <c r="Z236" s="6"/>
      <c r="AA236" s="6"/>
      <c r="AB236" s="6"/>
      <c r="AD236" s="6"/>
      <c r="AE236" s="6"/>
      <c r="AF236" s="6"/>
      <c r="AG236" s="6"/>
      <c r="AH236" s="6"/>
      <c r="AI236" s="6"/>
      <c r="AK236" s="6"/>
      <c r="AL236" s="6"/>
      <c r="AM236" s="6"/>
      <c r="AN236" s="6"/>
      <c r="AO236" s="6"/>
      <c r="AP236" s="6"/>
      <c r="AQ236" s="6"/>
      <c r="AR236" s="6"/>
      <c r="AS236" s="15"/>
      <c r="AT236" s="6" t="str">
        <f ca="1">IFERROR(__xludf.DUMMYFUNCTION("SWITCH(IF(A236=""Practice"",AN236,FILTER('Items by Team'!E$2:E3410,'Items by Team'!C$2:C3410=D236,B236='Items by Team'!B$2:B3410)),""None"",""No"",""Parked"",""P"",""ShallowCage"",""Sc"",""DeepCage"",""Dc"",""No"",""No"",""P"",""P"",""Sc"",""Sc"",""Dc"","&amp;"""Dc"")"),"#REF!")</f>
        <v>#REF!</v>
      </c>
      <c r="AU236" s="6" t="str">
        <f ca="1">IFERROR(__xludf.DUMMYFUNCTION("SWITCH(IF(A236 = ""Practice"", H236, FILTER('Items by Team'!D$2:D3410,'Items by Team'!C$2:C3410 = D236,'Items by Team'!B$2:B3410 = B236)), ""Yes"", ""TRUE"", ""No"", ""FALSE"",TRUE, ""TRUE"", FALSE, ""FALSE"")"),"#REF!")</f>
        <v>#REF!</v>
      </c>
      <c r="AV236" s="6">
        <f t="shared" si="0"/>
        <v>0</v>
      </c>
      <c r="AW236" s="6">
        <f t="shared" si="1"/>
        <v>0</v>
      </c>
      <c r="AX236" s="6">
        <f t="shared" si="2"/>
        <v>0</v>
      </c>
      <c r="AY236" s="6">
        <f t="shared" si="3"/>
        <v>0</v>
      </c>
      <c r="AZ236" s="9" t="str">
        <f t="shared" si="4"/>
        <v/>
      </c>
      <c r="BA236" s="6">
        <f t="shared" si="5"/>
        <v>0</v>
      </c>
      <c r="BB236" s="6">
        <f t="shared" si="6"/>
        <v>0</v>
      </c>
      <c r="BC236" s="9" t="str">
        <f t="shared" si="7"/>
        <v/>
      </c>
      <c r="BD236" s="6">
        <f t="shared" si="8"/>
        <v>0</v>
      </c>
      <c r="BE236" s="6">
        <f t="shared" si="9"/>
        <v>0</v>
      </c>
      <c r="BF236" s="9" t="str">
        <f t="shared" si="10"/>
        <v/>
      </c>
      <c r="BG236" s="6">
        <f t="shared" si="11"/>
        <v>0</v>
      </c>
      <c r="BH236" s="6">
        <f t="shared" si="12"/>
        <v>0</v>
      </c>
      <c r="BI236" s="9" t="str">
        <f t="shared" si="13"/>
        <v/>
      </c>
      <c r="BJ236" s="6">
        <f t="shared" si="14"/>
        <v>0</v>
      </c>
      <c r="BK236" s="6">
        <f t="shared" si="15"/>
        <v>0</v>
      </c>
      <c r="BL236" s="6">
        <f t="shared" si="16"/>
        <v>0</v>
      </c>
      <c r="BM236" s="6">
        <f t="shared" si="17"/>
        <v>0</v>
      </c>
      <c r="BN236" s="6">
        <f t="shared" si="18"/>
        <v>0</v>
      </c>
      <c r="BP236" s="6">
        <f t="shared" si="19"/>
        <v>0</v>
      </c>
      <c r="BQ236" s="6" t="b">
        <f ca="1">IFERROR(__xludf.DUMMYFUNCTION("IF(AND(ISERROR(FILTER('Items by Team'!D$2:D3410,'Items by Team'!C$2:C3410 = D236,'Items by Team'!B$2:B3410 = B236)),NOT(A236=""Practice"")),TRUE,FALSE)"),FALSE)</f>
        <v>0</v>
      </c>
      <c r="BR236" s="6">
        <f t="shared" ca="1" si="20"/>
        <v>0</v>
      </c>
    </row>
    <row r="237" spans="1:70">
      <c r="A237" s="6"/>
      <c r="B237" s="6"/>
      <c r="C237" s="6"/>
      <c r="D237" s="6"/>
      <c r="E237" s="6"/>
      <c r="F237" s="6"/>
      <c r="G237" s="6"/>
      <c r="H237" s="6"/>
      <c r="I237" s="6"/>
      <c r="J237" s="6"/>
      <c r="K237" s="6"/>
      <c r="L237" s="6"/>
      <c r="M237" s="6"/>
      <c r="N237" s="6"/>
      <c r="O237" s="6"/>
      <c r="P237" s="6"/>
      <c r="R237" s="6"/>
      <c r="S237" s="6"/>
      <c r="T237" s="6"/>
      <c r="U237" s="6"/>
      <c r="V237" s="6"/>
      <c r="W237" s="6"/>
      <c r="X237" s="6"/>
      <c r="Y237" s="6"/>
      <c r="Z237" s="6"/>
      <c r="AA237" s="6"/>
      <c r="AB237" s="6"/>
      <c r="AD237" s="6"/>
      <c r="AE237" s="6"/>
      <c r="AF237" s="6"/>
      <c r="AG237" s="6"/>
      <c r="AH237" s="6"/>
      <c r="AI237" s="6"/>
      <c r="AK237" s="6"/>
      <c r="AL237" s="6"/>
      <c r="AM237" s="6"/>
      <c r="AN237" s="6"/>
      <c r="AO237" s="6"/>
      <c r="AP237" s="6"/>
      <c r="AQ237" s="6"/>
      <c r="AR237" s="6"/>
      <c r="AS237" s="15"/>
      <c r="AT237" s="6" t="str">
        <f ca="1">IFERROR(__xludf.DUMMYFUNCTION("SWITCH(IF(A237=""Practice"",AN237,FILTER('Items by Team'!E$2:E3410,'Items by Team'!C$2:C3410=D237,B237='Items by Team'!B$2:B3410)),""None"",""No"",""Parked"",""P"",""ShallowCage"",""Sc"",""DeepCage"",""Dc"",""No"",""No"",""P"",""P"",""Sc"",""Sc"",""Dc"","&amp;"""Dc"")"),"#REF!")</f>
        <v>#REF!</v>
      </c>
      <c r="AU237" s="6" t="str">
        <f ca="1">IFERROR(__xludf.DUMMYFUNCTION("SWITCH(IF(A237 = ""Practice"", H237, FILTER('Items by Team'!D$2:D3410,'Items by Team'!C$2:C3410 = D237,'Items by Team'!B$2:B3410 = B237)), ""Yes"", ""TRUE"", ""No"", ""FALSE"",TRUE, ""TRUE"", FALSE, ""FALSE"")"),"#REF!")</f>
        <v>#REF!</v>
      </c>
      <c r="AV237" s="6">
        <f t="shared" si="0"/>
        <v>0</v>
      </c>
      <c r="AW237" s="6">
        <f t="shared" si="1"/>
        <v>0</v>
      </c>
      <c r="AX237" s="6">
        <f t="shared" si="2"/>
        <v>0</v>
      </c>
      <c r="AY237" s="6">
        <f t="shared" si="3"/>
        <v>0</v>
      </c>
      <c r="AZ237" s="9" t="str">
        <f t="shared" si="4"/>
        <v/>
      </c>
      <c r="BA237" s="6">
        <f t="shared" si="5"/>
        <v>0</v>
      </c>
      <c r="BB237" s="6">
        <f t="shared" si="6"/>
        <v>0</v>
      </c>
      <c r="BC237" s="9" t="str">
        <f t="shared" si="7"/>
        <v/>
      </c>
      <c r="BD237" s="6">
        <f t="shared" si="8"/>
        <v>0</v>
      </c>
      <c r="BE237" s="6">
        <f t="shared" si="9"/>
        <v>0</v>
      </c>
      <c r="BF237" s="9" t="str">
        <f t="shared" si="10"/>
        <v/>
      </c>
      <c r="BG237" s="6">
        <f t="shared" si="11"/>
        <v>0</v>
      </c>
      <c r="BH237" s="6">
        <f t="shared" si="12"/>
        <v>0</v>
      </c>
      <c r="BI237" s="9" t="str">
        <f t="shared" si="13"/>
        <v/>
      </c>
      <c r="BJ237" s="6">
        <f t="shared" si="14"/>
        <v>0</v>
      </c>
      <c r="BK237" s="6">
        <f t="shared" si="15"/>
        <v>0</v>
      </c>
      <c r="BL237" s="6">
        <f t="shared" si="16"/>
        <v>0</v>
      </c>
      <c r="BM237" s="6">
        <f t="shared" si="17"/>
        <v>0</v>
      </c>
      <c r="BN237" s="6">
        <f t="shared" si="18"/>
        <v>0</v>
      </c>
      <c r="BP237" s="6">
        <f t="shared" si="19"/>
        <v>0</v>
      </c>
      <c r="BQ237" s="6" t="b">
        <f ca="1">IFERROR(__xludf.DUMMYFUNCTION("IF(AND(ISERROR(FILTER('Items by Team'!D$2:D3410,'Items by Team'!C$2:C3410 = D237,'Items by Team'!B$2:B3410 = B237)),NOT(A237=""Practice"")),TRUE,FALSE)"),FALSE)</f>
        <v>0</v>
      </c>
      <c r="BR237" s="6">
        <f t="shared" ca="1" si="20"/>
        <v>0</v>
      </c>
    </row>
    <row r="238" spans="1:70">
      <c r="A238" s="6"/>
      <c r="B238" s="6"/>
      <c r="C238" s="6"/>
      <c r="D238" s="6"/>
      <c r="E238" s="6"/>
      <c r="F238" s="6"/>
      <c r="G238" s="6"/>
      <c r="H238" s="6"/>
      <c r="I238" s="6"/>
      <c r="J238" s="6"/>
      <c r="K238" s="6"/>
      <c r="L238" s="6"/>
      <c r="M238" s="6"/>
      <c r="N238" s="6"/>
      <c r="O238" s="6"/>
      <c r="P238" s="6"/>
      <c r="R238" s="6"/>
      <c r="S238" s="6"/>
      <c r="T238" s="6"/>
      <c r="U238" s="6"/>
      <c r="V238" s="6"/>
      <c r="W238" s="6"/>
      <c r="X238" s="6"/>
      <c r="Y238" s="6"/>
      <c r="Z238" s="6"/>
      <c r="AA238" s="6"/>
      <c r="AB238" s="6"/>
      <c r="AD238" s="6"/>
      <c r="AE238" s="6"/>
      <c r="AF238" s="6"/>
      <c r="AG238" s="6"/>
      <c r="AH238" s="6"/>
      <c r="AI238" s="6"/>
      <c r="AK238" s="6"/>
      <c r="AL238" s="6"/>
      <c r="AM238" s="6"/>
      <c r="AN238" s="6"/>
      <c r="AO238" s="6"/>
      <c r="AP238" s="6"/>
      <c r="AQ238" s="6"/>
      <c r="AR238" s="6"/>
      <c r="AS238" s="15"/>
      <c r="AT238" s="6" t="str">
        <f ca="1">IFERROR(__xludf.DUMMYFUNCTION("SWITCH(IF(A238=""Practice"",AN238,FILTER('Items by Team'!E$2:E3410,'Items by Team'!C$2:C3410=D238,B238='Items by Team'!B$2:B3410)),""None"",""No"",""Parked"",""P"",""ShallowCage"",""Sc"",""DeepCage"",""Dc"",""No"",""No"",""P"",""P"",""Sc"",""Sc"",""Dc"","&amp;"""Dc"")"),"#REF!")</f>
        <v>#REF!</v>
      </c>
      <c r="AU238" s="6" t="str">
        <f ca="1">IFERROR(__xludf.DUMMYFUNCTION("SWITCH(IF(A238 = ""Practice"", H238, FILTER('Items by Team'!D$2:D3410,'Items by Team'!C$2:C3410 = D238,'Items by Team'!B$2:B3410 = B238)), ""Yes"", ""TRUE"", ""No"", ""FALSE"",TRUE, ""TRUE"", FALSE, ""FALSE"")"),"#REF!")</f>
        <v>#REF!</v>
      </c>
      <c r="AV238" s="6">
        <f t="shared" si="0"/>
        <v>0</v>
      </c>
      <c r="AW238" s="6">
        <f t="shared" si="1"/>
        <v>0</v>
      </c>
      <c r="AX238" s="6">
        <f t="shared" si="2"/>
        <v>0</v>
      </c>
      <c r="AY238" s="6">
        <f t="shared" si="3"/>
        <v>0</v>
      </c>
      <c r="AZ238" s="9" t="str">
        <f t="shared" si="4"/>
        <v/>
      </c>
      <c r="BA238" s="6">
        <f t="shared" si="5"/>
        <v>0</v>
      </c>
      <c r="BB238" s="6">
        <f t="shared" si="6"/>
        <v>0</v>
      </c>
      <c r="BC238" s="9" t="str">
        <f t="shared" si="7"/>
        <v/>
      </c>
      <c r="BD238" s="6">
        <f t="shared" si="8"/>
        <v>0</v>
      </c>
      <c r="BE238" s="6">
        <f t="shared" si="9"/>
        <v>0</v>
      </c>
      <c r="BF238" s="9" t="str">
        <f t="shared" si="10"/>
        <v/>
      </c>
      <c r="BG238" s="6">
        <f t="shared" si="11"/>
        <v>0</v>
      </c>
      <c r="BH238" s="6">
        <f t="shared" si="12"/>
        <v>0</v>
      </c>
      <c r="BI238" s="9" t="str">
        <f t="shared" si="13"/>
        <v/>
      </c>
      <c r="BJ238" s="6">
        <f t="shared" si="14"/>
        <v>0</v>
      </c>
      <c r="BK238" s="6">
        <f t="shared" si="15"/>
        <v>0</v>
      </c>
      <c r="BL238" s="6">
        <f t="shared" si="16"/>
        <v>0</v>
      </c>
      <c r="BM238" s="6">
        <f t="shared" si="17"/>
        <v>0</v>
      </c>
      <c r="BN238" s="6">
        <f t="shared" si="18"/>
        <v>0</v>
      </c>
      <c r="BP238" s="6">
        <f t="shared" si="19"/>
        <v>0</v>
      </c>
      <c r="BQ238" s="6" t="b">
        <f ca="1">IFERROR(__xludf.DUMMYFUNCTION("IF(AND(ISERROR(FILTER('Items by Team'!D$2:D3410,'Items by Team'!C$2:C3410 = D238,'Items by Team'!B$2:B3410 = B238)),NOT(A238=""Practice"")),TRUE,FALSE)"),FALSE)</f>
        <v>0</v>
      </c>
      <c r="BR238" s="6">
        <f t="shared" ca="1" si="20"/>
        <v>0</v>
      </c>
    </row>
    <row r="239" spans="1:70">
      <c r="A239" s="6"/>
      <c r="B239" s="6"/>
      <c r="C239" s="6"/>
      <c r="D239" s="6"/>
      <c r="E239" s="6"/>
      <c r="F239" s="6"/>
      <c r="G239" s="6"/>
      <c r="H239" s="6"/>
      <c r="I239" s="6"/>
      <c r="J239" s="6"/>
      <c r="K239" s="6"/>
      <c r="L239" s="6"/>
      <c r="M239" s="6"/>
      <c r="N239" s="6"/>
      <c r="O239" s="6"/>
      <c r="P239" s="6"/>
      <c r="R239" s="6"/>
      <c r="S239" s="6"/>
      <c r="T239" s="6"/>
      <c r="U239" s="6"/>
      <c r="V239" s="6"/>
      <c r="W239" s="6"/>
      <c r="X239" s="6"/>
      <c r="Y239" s="6"/>
      <c r="Z239" s="6"/>
      <c r="AA239" s="6"/>
      <c r="AB239" s="6"/>
      <c r="AD239" s="6"/>
      <c r="AE239" s="6"/>
      <c r="AF239" s="6"/>
      <c r="AG239" s="6"/>
      <c r="AH239" s="6"/>
      <c r="AI239" s="6"/>
      <c r="AK239" s="6"/>
      <c r="AL239" s="6"/>
      <c r="AM239" s="6"/>
      <c r="AN239" s="6"/>
      <c r="AO239" s="6"/>
      <c r="AP239" s="6"/>
      <c r="AQ239" s="6"/>
      <c r="AR239" s="6"/>
      <c r="AS239" s="15"/>
      <c r="AT239" s="6" t="str">
        <f ca="1">IFERROR(__xludf.DUMMYFUNCTION("SWITCH(IF(A239=""Practice"",AN239,FILTER('Items by Team'!E$2:E3410,'Items by Team'!C$2:C3410=D239,B239='Items by Team'!B$2:B3410)),""None"",""No"",""Parked"",""P"",""ShallowCage"",""Sc"",""DeepCage"",""Dc"",""No"",""No"",""P"",""P"",""Sc"",""Sc"",""Dc"","&amp;"""Dc"")"),"#REF!")</f>
        <v>#REF!</v>
      </c>
      <c r="AU239" s="6" t="str">
        <f ca="1">IFERROR(__xludf.DUMMYFUNCTION("SWITCH(IF(A239 = ""Practice"", H239, FILTER('Items by Team'!D$2:D3410,'Items by Team'!C$2:C3410 = D239,'Items by Team'!B$2:B3410 = B239)), ""Yes"", ""TRUE"", ""No"", ""FALSE"",TRUE, ""TRUE"", FALSE, ""FALSE"")"),"#REF!")</f>
        <v>#REF!</v>
      </c>
      <c r="AV239" s="6">
        <f t="shared" si="0"/>
        <v>0</v>
      </c>
      <c r="AW239" s="6">
        <f t="shared" si="1"/>
        <v>0</v>
      </c>
      <c r="AX239" s="6">
        <f t="shared" si="2"/>
        <v>0</v>
      </c>
      <c r="AY239" s="6">
        <f t="shared" si="3"/>
        <v>0</v>
      </c>
      <c r="AZ239" s="9" t="str">
        <f t="shared" si="4"/>
        <v/>
      </c>
      <c r="BA239" s="6">
        <f t="shared" si="5"/>
        <v>0</v>
      </c>
      <c r="BB239" s="6">
        <f t="shared" si="6"/>
        <v>0</v>
      </c>
      <c r="BC239" s="9" t="str">
        <f t="shared" si="7"/>
        <v/>
      </c>
      <c r="BD239" s="6">
        <f t="shared" si="8"/>
        <v>0</v>
      </c>
      <c r="BE239" s="6">
        <f t="shared" si="9"/>
        <v>0</v>
      </c>
      <c r="BF239" s="9" t="str">
        <f t="shared" si="10"/>
        <v/>
      </c>
      <c r="BG239" s="6">
        <f t="shared" si="11"/>
        <v>0</v>
      </c>
      <c r="BH239" s="6">
        <f t="shared" si="12"/>
        <v>0</v>
      </c>
      <c r="BI239" s="9" t="str">
        <f t="shared" si="13"/>
        <v/>
      </c>
      <c r="BJ239" s="6">
        <f t="shared" si="14"/>
        <v>0</v>
      </c>
      <c r="BK239" s="6">
        <f t="shared" si="15"/>
        <v>0</v>
      </c>
      <c r="BL239" s="6">
        <f t="shared" si="16"/>
        <v>0</v>
      </c>
      <c r="BM239" s="6">
        <f t="shared" si="17"/>
        <v>0</v>
      </c>
      <c r="BN239" s="6">
        <f t="shared" si="18"/>
        <v>0</v>
      </c>
      <c r="BP239" s="6">
        <f t="shared" si="19"/>
        <v>0</v>
      </c>
      <c r="BQ239" s="6" t="b">
        <f ca="1">IFERROR(__xludf.DUMMYFUNCTION("IF(AND(ISERROR(FILTER('Items by Team'!D$2:D3410,'Items by Team'!C$2:C3410 = D239,'Items by Team'!B$2:B3410 = B239)),NOT(A239=""Practice"")),TRUE,FALSE)"),FALSE)</f>
        <v>0</v>
      </c>
      <c r="BR239" s="6">
        <f t="shared" ca="1" si="20"/>
        <v>0</v>
      </c>
    </row>
    <row r="240" spans="1:70">
      <c r="A240" s="6"/>
      <c r="B240" s="6"/>
      <c r="C240" s="6"/>
      <c r="D240" s="6"/>
      <c r="E240" s="6"/>
      <c r="F240" s="6"/>
      <c r="G240" s="6"/>
      <c r="H240" s="6"/>
      <c r="I240" s="6"/>
      <c r="J240" s="6"/>
      <c r="K240" s="6"/>
      <c r="L240" s="6"/>
      <c r="M240" s="6"/>
      <c r="N240" s="6"/>
      <c r="O240" s="6"/>
      <c r="P240" s="6"/>
      <c r="R240" s="6"/>
      <c r="S240" s="6"/>
      <c r="T240" s="6"/>
      <c r="U240" s="6"/>
      <c r="V240" s="6"/>
      <c r="W240" s="6"/>
      <c r="X240" s="6"/>
      <c r="Y240" s="6"/>
      <c r="Z240" s="6"/>
      <c r="AA240" s="6"/>
      <c r="AB240" s="6"/>
      <c r="AD240" s="6"/>
      <c r="AE240" s="6"/>
      <c r="AF240" s="6"/>
      <c r="AG240" s="6"/>
      <c r="AH240" s="6"/>
      <c r="AI240" s="6"/>
      <c r="AK240" s="6"/>
      <c r="AL240" s="6"/>
      <c r="AM240" s="6"/>
      <c r="AN240" s="6"/>
      <c r="AO240" s="6"/>
      <c r="AP240" s="6"/>
      <c r="AQ240" s="6"/>
      <c r="AR240" s="6"/>
      <c r="AS240" s="15"/>
      <c r="AT240" s="6" t="str">
        <f ca="1">IFERROR(__xludf.DUMMYFUNCTION("SWITCH(IF(A240=""Practice"",AN240,FILTER('Items by Team'!E$2:E3410,'Items by Team'!C$2:C3410=D240,B240='Items by Team'!B$2:B3410)),""None"",""No"",""Parked"",""P"",""ShallowCage"",""Sc"",""DeepCage"",""Dc"",""No"",""No"",""P"",""P"",""Sc"",""Sc"",""Dc"","&amp;"""Dc"")"),"#REF!")</f>
        <v>#REF!</v>
      </c>
      <c r="AU240" s="6" t="str">
        <f ca="1">IFERROR(__xludf.DUMMYFUNCTION("SWITCH(IF(A240 = ""Practice"", H240, FILTER('Items by Team'!D$2:D3410,'Items by Team'!C$2:C3410 = D240,'Items by Team'!B$2:B3410 = B240)), ""Yes"", ""TRUE"", ""No"", ""FALSE"",TRUE, ""TRUE"", FALSE, ""FALSE"")"),"#REF!")</f>
        <v>#REF!</v>
      </c>
      <c r="AV240" s="6">
        <f t="shared" si="0"/>
        <v>0</v>
      </c>
      <c r="AW240" s="6">
        <f t="shared" si="1"/>
        <v>0</v>
      </c>
      <c r="AX240" s="6">
        <f t="shared" si="2"/>
        <v>0</v>
      </c>
      <c r="AY240" s="6">
        <f t="shared" si="3"/>
        <v>0</v>
      </c>
      <c r="AZ240" s="9" t="str">
        <f t="shared" si="4"/>
        <v/>
      </c>
      <c r="BA240" s="6">
        <f t="shared" si="5"/>
        <v>0</v>
      </c>
      <c r="BB240" s="6">
        <f t="shared" si="6"/>
        <v>0</v>
      </c>
      <c r="BC240" s="9" t="str">
        <f t="shared" si="7"/>
        <v/>
      </c>
      <c r="BD240" s="6">
        <f t="shared" si="8"/>
        <v>0</v>
      </c>
      <c r="BE240" s="6">
        <f t="shared" si="9"/>
        <v>0</v>
      </c>
      <c r="BF240" s="9" t="str">
        <f t="shared" si="10"/>
        <v/>
      </c>
      <c r="BG240" s="6">
        <f t="shared" si="11"/>
        <v>0</v>
      </c>
      <c r="BH240" s="6">
        <f t="shared" si="12"/>
        <v>0</v>
      </c>
      <c r="BI240" s="9" t="str">
        <f t="shared" si="13"/>
        <v/>
      </c>
      <c r="BJ240" s="6">
        <f t="shared" si="14"/>
        <v>0</v>
      </c>
      <c r="BK240" s="6">
        <f t="shared" si="15"/>
        <v>0</v>
      </c>
      <c r="BL240" s="6">
        <f t="shared" si="16"/>
        <v>0</v>
      </c>
      <c r="BM240" s="6">
        <f t="shared" si="17"/>
        <v>0</v>
      </c>
      <c r="BN240" s="6">
        <f t="shared" si="18"/>
        <v>0</v>
      </c>
      <c r="BP240" s="6">
        <f t="shared" si="19"/>
        <v>0</v>
      </c>
      <c r="BQ240" s="6" t="b">
        <f ca="1">IFERROR(__xludf.DUMMYFUNCTION("IF(AND(ISERROR(FILTER('Items by Team'!D$2:D3410,'Items by Team'!C$2:C3410 = D240,'Items by Team'!B$2:B3410 = B240)),NOT(A240=""Practice"")),TRUE,FALSE)"),FALSE)</f>
        <v>0</v>
      </c>
      <c r="BR240" s="6">
        <f t="shared" ca="1" si="20"/>
        <v>0</v>
      </c>
    </row>
    <row r="241" spans="1:70">
      <c r="A241" s="6"/>
      <c r="B241" s="6"/>
      <c r="C241" s="6"/>
      <c r="D241" s="6"/>
      <c r="E241" s="6"/>
      <c r="F241" s="6"/>
      <c r="G241" s="6"/>
      <c r="H241" s="6"/>
      <c r="I241" s="6"/>
      <c r="J241" s="6"/>
      <c r="K241" s="6"/>
      <c r="L241" s="6"/>
      <c r="M241" s="6"/>
      <c r="N241" s="6"/>
      <c r="O241" s="6"/>
      <c r="P241" s="6"/>
      <c r="R241" s="6"/>
      <c r="S241" s="6"/>
      <c r="T241" s="6"/>
      <c r="U241" s="6"/>
      <c r="V241" s="6"/>
      <c r="W241" s="6"/>
      <c r="X241" s="6"/>
      <c r="Y241" s="6"/>
      <c r="Z241" s="6"/>
      <c r="AA241" s="6"/>
      <c r="AB241" s="6"/>
      <c r="AD241" s="6"/>
      <c r="AE241" s="6"/>
      <c r="AF241" s="6"/>
      <c r="AG241" s="6"/>
      <c r="AH241" s="6"/>
      <c r="AI241" s="6"/>
      <c r="AK241" s="6"/>
      <c r="AL241" s="6"/>
      <c r="AM241" s="6"/>
      <c r="AN241" s="6"/>
      <c r="AO241" s="6"/>
      <c r="AP241" s="6"/>
      <c r="AQ241" s="6"/>
      <c r="AR241" s="6"/>
      <c r="AS241" s="15"/>
      <c r="AT241" s="6" t="str">
        <f ca="1">IFERROR(__xludf.DUMMYFUNCTION("SWITCH(IF(A241=""Practice"",AN241,FILTER('Items by Team'!E$2:E3410,'Items by Team'!C$2:C3410=D241,B241='Items by Team'!B$2:B3410)),""None"",""No"",""Parked"",""P"",""ShallowCage"",""Sc"",""DeepCage"",""Dc"",""No"",""No"",""P"",""P"",""Sc"",""Sc"",""Dc"","&amp;"""Dc"")"),"#REF!")</f>
        <v>#REF!</v>
      </c>
      <c r="AU241" s="6" t="str">
        <f ca="1">IFERROR(__xludf.DUMMYFUNCTION("SWITCH(IF(A241 = ""Practice"", H241, FILTER('Items by Team'!D$2:D3410,'Items by Team'!C$2:C3410 = D241,'Items by Team'!B$2:B3410 = B241)), ""Yes"", ""TRUE"", ""No"", ""FALSE"",TRUE, ""TRUE"", FALSE, ""FALSE"")"),"#REF!")</f>
        <v>#REF!</v>
      </c>
      <c r="AV241" s="6">
        <f t="shared" si="0"/>
        <v>0</v>
      </c>
      <c r="AW241" s="6">
        <f t="shared" si="1"/>
        <v>0</v>
      </c>
      <c r="AX241" s="6">
        <f t="shared" si="2"/>
        <v>0</v>
      </c>
      <c r="AY241" s="6">
        <f t="shared" si="3"/>
        <v>0</v>
      </c>
      <c r="AZ241" s="9" t="str">
        <f t="shared" si="4"/>
        <v/>
      </c>
      <c r="BA241" s="6">
        <f t="shared" si="5"/>
        <v>0</v>
      </c>
      <c r="BB241" s="6">
        <f t="shared" si="6"/>
        <v>0</v>
      </c>
      <c r="BC241" s="9" t="str">
        <f t="shared" si="7"/>
        <v/>
      </c>
      <c r="BD241" s="6">
        <f t="shared" si="8"/>
        <v>0</v>
      </c>
      <c r="BE241" s="6">
        <f t="shared" si="9"/>
        <v>0</v>
      </c>
      <c r="BF241" s="9" t="str">
        <f t="shared" si="10"/>
        <v/>
      </c>
      <c r="BG241" s="6">
        <f t="shared" si="11"/>
        <v>0</v>
      </c>
      <c r="BH241" s="6">
        <f t="shared" si="12"/>
        <v>0</v>
      </c>
      <c r="BI241" s="9" t="str">
        <f t="shared" si="13"/>
        <v/>
      </c>
      <c r="BJ241" s="6">
        <f t="shared" si="14"/>
        <v>0</v>
      </c>
      <c r="BK241" s="6">
        <f t="shared" si="15"/>
        <v>0</v>
      </c>
      <c r="BL241" s="6">
        <f t="shared" si="16"/>
        <v>0</v>
      </c>
      <c r="BM241" s="6">
        <f t="shared" si="17"/>
        <v>0</v>
      </c>
      <c r="BN241" s="6">
        <f t="shared" si="18"/>
        <v>0</v>
      </c>
      <c r="BP241" s="6">
        <f t="shared" si="19"/>
        <v>0</v>
      </c>
      <c r="BQ241" s="6" t="b">
        <f ca="1">IFERROR(__xludf.DUMMYFUNCTION("IF(AND(ISERROR(FILTER('Items by Team'!D$2:D3410,'Items by Team'!C$2:C3410 = D241,'Items by Team'!B$2:B3410 = B241)),NOT(A241=""Practice"")),TRUE,FALSE)"),FALSE)</f>
        <v>0</v>
      </c>
      <c r="BR241" s="6">
        <f t="shared" ca="1" si="20"/>
        <v>0</v>
      </c>
    </row>
    <row r="242" spans="1:70">
      <c r="A242" s="6"/>
      <c r="B242" s="6"/>
      <c r="C242" s="6"/>
      <c r="D242" s="6"/>
      <c r="E242" s="6"/>
      <c r="F242" s="6"/>
      <c r="G242" s="6"/>
      <c r="H242" s="6"/>
      <c r="I242" s="6"/>
      <c r="J242" s="6"/>
      <c r="K242" s="6"/>
      <c r="L242" s="6"/>
      <c r="M242" s="6"/>
      <c r="N242" s="6"/>
      <c r="O242" s="6"/>
      <c r="P242" s="6"/>
      <c r="R242" s="6"/>
      <c r="S242" s="6"/>
      <c r="T242" s="6"/>
      <c r="U242" s="6"/>
      <c r="V242" s="6"/>
      <c r="W242" s="6"/>
      <c r="X242" s="6"/>
      <c r="Y242" s="6"/>
      <c r="Z242" s="6"/>
      <c r="AA242" s="6"/>
      <c r="AB242" s="6"/>
      <c r="AD242" s="6"/>
      <c r="AE242" s="6"/>
      <c r="AF242" s="6"/>
      <c r="AG242" s="6"/>
      <c r="AH242" s="6"/>
      <c r="AI242" s="6"/>
      <c r="AK242" s="6"/>
      <c r="AL242" s="6"/>
      <c r="AM242" s="6"/>
      <c r="AN242" s="6"/>
      <c r="AO242" s="6"/>
      <c r="AP242" s="6"/>
      <c r="AQ242" s="6"/>
      <c r="AR242" s="6"/>
      <c r="AS242" s="15"/>
      <c r="AT242" s="6" t="str">
        <f ca="1">IFERROR(__xludf.DUMMYFUNCTION("SWITCH(IF(A242=""Practice"",AN242,FILTER('Items by Team'!E$2:E3410,'Items by Team'!C$2:C3410=D242,B242='Items by Team'!B$2:B3410)),""None"",""No"",""Parked"",""P"",""ShallowCage"",""Sc"",""DeepCage"",""Dc"",""No"",""No"",""P"",""P"",""Sc"",""Sc"",""Dc"","&amp;"""Dc"")"),"#REF!")</f>
        <v>#REF!</v>
      </c>
      <c r="AU242" s="6" t="str">
        <f ca="1">IFERROR(__xludf.DUMMYFUNCTION("SWITCH(IF(A242 = ""Practice"", H242, FILTER('Items by Team'!D$2:D3410,'Items by Team'!C$2:C3410 = D242,'Items by Team'!B$2:B3410 = B242)), ""Yes"", ""TRUE"", ""No"", ""FALSE"",TRUE, ""TRUE"", FALSE, ""FALSE"")"),"#REF!")</f>
        <v>#REF!</v>
      </c>
      <c r="AV242" s="6">
        <f t="shared" si="0"/>
        <v>0</v>
      </c>
      <c r="AW242" s="6">
        <f t="shared" si="1"/>
        <v>0</v>
      </c>
      <c r="AX242" s="6">
        <f t="shared" si="2"/>
        <v>0</v>
      </c>
      <c r="AY242" s="6">
        <f t="shared" si="3"/>
        <v>0</v>
      </c>
      <c r="AZ242" s="9" t="str">
        <f t="shared" si="4"/>
        <v/>
      </c>
      <c r="BA242" s="6">
        <f t="shared" si="5"/>
        <v>0</v>
      </c>
      <c r="BB242" s="6">
        <f t="shared" si="6"/>
        <v>0</v>
      </c>
      <c r="BC242" s="9" t="str">
        <f t="shared" si="7"/>
        <v/>
      </c>
      <c r="BD242" s="6">
        <f t="shared" si="8"/>
        <v>0</v>
      </c>
      <c r="BE242" s="6">
        <f t="shared" si="9"/>
        <v>0</v>
      </c>
      <c r="BF242" s="9" t="str">
        <f t="shared" si="10"/>
        <v/>
      </c>
      <c r="BG242" s="6">
        <f t="shared" si="11"/>
        <v>0</v>
      </c>
      <c r="BH242" s="6">
        <f t="shared" si="12"/>
        <v>0</v>
      </c>
      <c r="BI242" s="9" t="str">
        <f t="shared" si="13"/>
        <v/>
      </c>
      <c r="BJ242" s="6">
        <f t="shared" si="14"/>
        <v>0</v>
      </c>
      <c r="BK242" s="6">
        <f t="shared" si="15"/>
        <v>0</v>
      </c>
      <c r="BL242" s="6">
        <f t="shared" si="16"/>
        <v>0</v>
      </c>
      <c r="BM242" s="6">
        <f t="shared" si="17"/>
        <v>0</v>
      </c>
      <c r="BN242" s="6">
        <f t="shared" si="18"/>
        <v>0</v>
      </c>
      <c r="BP242" s="6">
        <f t="shared" si="19"/>
        <v>0</v>
      </c>
      <c r="BQ242" s="6" t="b">
        <f ca="1">IFERROR(__xludf.DUMMYFUNCTION("IF(AND(ISERROR(FILTER('Items by Team'!D$2:D3410,'Items by Team'!C$2:C3410 = D242,'Items by Team'!B$2:B3410 = B242)),NOT(A242=""Practice"")),TRUE,FALSE)"),FALSE)</f>
        <v>0</v>
      </c>
      <c r="BR242" s="6">
        <f t="shared" ca="1" si="20"/>
        <v>0</v>
      </c>
    </row>
    <row r="243" spans="1:70">
      <c r="A243" s="6"/>
      <c r="B243" s="6"/>
      <c r="C243" s="6"/>
      <c r="D243" s="6"/>
      <c r="E243" s="6"/>
      <c r="F243" s="6"/>
      <c r="G243" s="6"/>
      <c r="H243" s="6"/>
      <c r="I243" s="6"/>
      <c r="J243" s="6"/>
      <c r="K243" s="6"/>
      <c r="L243" s="6"/>
      <c r="M243" s="6"/>
      <c r="N243" s="6"/>
      <c r="O243" s="6"/>
      <c r="P243" s="6"/>
      <c r="R243" s="6"/>
      <c r="S243" s="6"/>
      <c r="T243" s="6"/>
      <c r="U243" s="6"/>
      <c r="V243" s="6"/>
      <c r="W243" s="6"/>
      <c r="X243" s="6"/>
      <c r="Y243" s="6"/>
      <c r="Z243" s="6"/>
      <c r="AA243" s="6"/>
      <c r="AB243" s="6"/>
      <c r="AD243" s="6"/>
      <c r="AE243" s="6"/>
      <c r="AF243" s="6"/>
      <c r="AG243" s="6"/>
      <c r="AH243" s="6"/>
      <c r="AI243" s="6"/>
      <c r="AK243" s="6"/>
      <c r="AL243" s="6"/>
      <c r="AM243" s="6"/>
      <c r="AN243" s="6"/>
      <c r="AO243" s="6"/>
      <c r="AP243" s="6"/>
      <c r="AQ243" s="6"/>
      <c r="AR243" s="6"/>
      <c r="AS243" s="15"/>
      <c r="AT243" s="6" t="str">
        <f ca="1">IFERROR(__xludf.DUMMYFUNCTION("SWITCH(IF(A243=""Practice"",AN243,FILTER('Items by Team'!E$2:E3410,'Items by Team'!C$2:C3410=D243,B243='Items by Team'!B$2:B3410)),""None"",""No"",""Parked"",""P"",""ShallowCage"",""Sc"",""DeepCage"",""Dc"",""No"",""No"",""P"",""P"",""Sc"",""Sc"",""Dc"","&amp;"""Dc"")"),"#REF!")</f>
        <v>#REF!</v>
      </c>
      <c r="AU243" s="6" t="str">
        <f ca="1">IFERROR(__xludf.DUMMYFUNCTION("SWITCH(IF(A243 = ""Practice"", H243, FILTER('Items by Team'!D$2:D3410,'Items by Team'!C$2:C3410 = D243,'Items by Team'!B$2:B3410 = B243)), ""Yes"", ""TRUE"", ""No"", ""FALSE"",TRUE, ""TRUE"", FALSE, ""FALSE"")"),"#REF!")</f>
        <v>#REF!</v>
      </c>
      <c r="AV243" s="6">
        <f t="shared" si="0"/>
        <v>0</v>
      </c>
      <c r="AW243" s="6">
        <f t="shared" si="1"/>
        <v>0</v>
      </c>
      <c r="AX243" s="6">
        <f t="shared" si="2"/>
        <v>0</v>
      </c>
      <c r="AY243" s="6">
        <f t="shared" si="3"/>
        <v>0</v>
      </c>
      <c r="AZ243" s="9" t="str">
        <f t="shared" si="4"/>
        <v/>
      </c>
      <c r="BA243" s="6">
        <f t="shared" si="5"/>
        <v>0</v>
      </c>
      <c r="BB243" s="6">
        <f t="shared" si="6"/>
        <v>0</v>
      </c>
      <c r="BC243" s="9" t="str">
        <f t="shared" si="7"/>
        <v/>
      </c>
      <c r="BD243" s="6">
        <f t="shared" si="8"/>
        <v>0</v>
      </c>
      <c r="BE243" s="6">
        <f t="shared" si="9"/>
        <v>0</v>
      </c>
      <c r="BF243" s="9" t="str">
        <f t="shared" si="10"/>
        <v/>
      </c>
      <c r="BG243" s="6">
        <f t="shared" si="11"/>
        <v>0</v>
      </c>
      <c r="BH243" s="6">
        <f t="shared" si="12"/>
        <v>0</v>
      </c>
      <c r="BI243" s="9" t="str">
        <f t="shared" si="13"/>
        <v/>
      </c>
      <c r="BJ243" s="6">
        <f t="shared" si="14"/>
        <v>0</v>
      </c>
      <c r="BK243" s="6">
        <f t="shared" si="15"/>
        <v>0</v>
      </c>
      <c r="BL243" s="6">
        <f t="shared" si="16"/>
        <v>0</v>
      </c>
      <c r="BM243" s="6">
        <f t="shared" si="17"/>
        <v>0</v>
      </c>
      <c r="BN243" s="6">
        <f t="shared" si="18"/>
        <v>0</v>
      </c>
      <c r="BP243" s="6">
        <f t="shared" si="19"/>
        <v>0</v>
      </c>
      <c r="BQ243" s="6" t="b">
        <f ca="1">IFERROR(__xludf.DUMMYFUNCTION("IF(AND(ISERROR(FILTER('Items by Team'!D$2:D3410,'Items by Team'!C$2:C3410 = D243,'Items by Team'!B$2:B3410 = B243)),NOT(A243=""Practice"")),TRUE,FALSE)"),FALSE)</f>
        <v>0</v>
      </c>
      <c r="BR243" s="6">
        <f t="shared" ca="1" si="20"/>
        <v>0</v>
      </c>
    </row>
    <row r="244" spans="1:70">
      <c r="A244" s="6"/>
      <c r="B244" s="6"/>
      <c r="C244" s="6"/>
      <c r="D244" s="6"/>
      <c r="E244" s="6"/>
      <c r="F244" s="6"/>
      <c r="G244" s="6"/>
      <c r="H244" s="6"/>
      <c r="I244" s="6"/>
      <c r="J244" s="6"/>
      <c r="K244" s="6"/>
      <c r="L244" s="6"/>
      <c r="M244" s="6"/>
      <c r="N244" s="6"/>
      <c r="O244" s="6"/>
      <c r="P244" s="6"/>
      <c r="R244" s="6"/>
      <c r="S244" s="6"/>
      <c r="T244" s="6"/>
      <c r="U244" s="6"/>
      <c r="V244" s="6"/>
      <c r="W244" s="6"/>
      <c r="X244" s="6"/>
      <c r="Y244" s="6"/>
      <c r="Z244" s="6"/>
      <c r="AA244" s="6"/>
      <c r="AB244" s="6"/>
      <c r="AD244" s="6"/>
      <c r="AE244" s="6"/>
      <c r="AF244" s="6"/>
      <c r="AG244" s="6"/>
      <c r="AH244" s="6"/>
      <c r="AI244" s="6"/>
      <c r="AK244" s="6"/>
      <c r="AL244" s="6"/>
      <c r="AM244" s="6"/>
      <c r="AN244" s="6"/>
      <c r="AO244" s="6"/>
      <c r="AP244" s="6"/>
      <c r="AQ244" s="6"/>
      <c r="AR244" s="6"/>
      <c r="AS244" s="15"/>
      <c r="AT244" s="6" t="str">
        <f ca="1">IFERROR(__xludf.DUMMYFUNCTION("SWITCH(IF(A244=""Practice"",AN244,FILTER('Items by Team'!E$2:E3410,'Items by Team'!C$2:C3410=D244,B244='Items by Team'!B$2:B3410)),""None"",""No"",""Parked"",""P"",""ShallowCage"",""Sc"",""DeepCage"",""Dc"",""No"",""No"",""P"",""P"",""Sc"",""Sc"",""Dc"","&amp;"""Dc"")"),"#REF!")</f>
        <v>#REF!</v>
      </c>
      <c r="AU244" s="6" t="str">
        <f ca="1">IFERROR(__xludf.DUMMYFUNCTION("SWITCH(IF(A244 = ""Practice"", H244, FILTER('Items by Team'!D$2:D3410,'Items by Team'!C$2:C3410 = D244,'Items by Team'!B$2:B3410 = B244)), ""Yes"", ""TRUE"", ""No"", ""FALSE"",TRUE, ""TRUE"", FALSE, ""FALSE"")"),"#REF!")</f>
        <v>#REF!</v>
      </c>
      <c r="AV244" s="6">
        <f t="shared" si="0"/>
        <v>0</v>
      </c>
      <c r="AW244" s="6">
        <f t="shared" si="1"/>
        <v>0</v>
      </c>
      <c r="AX244" s="6">
        <f t="shared" si="2"/>
        <v>0</v>
      </c>
      <c r="AY244" s="6">
        <f t="shared" si="3"/>
        <v>0</v>
      </c>
      <c r="AZ244" s="9" t="str">
        <f t="shared" si="4"/>
        <v/>
      </c>
      <c r="BA244" s="6">
        <f t="shared" si="5"/>
        <v>0</v>
      </c>
      <c r="BB244" s="6">
        <f t="shared" si="6"/>
        <v>0</v>
      </c>
      <c r="BC244" s="9" t="str">
        <f t="shared" si="7"/>
        <v/>
      </c>
      <c r="BD244" s="6">
        <f t="shared" si="8"/>
        <v>0</v>
      </c>
      <c r="BE244" s="6">
        <f t="shared" si="9"/>
        <v>0</v>
      </c>
      <c r="BF244" s="9" t="str">
        <f t="shared" si="10"/>
        <v/>
      </c>
      <c r="BG244" s="6">
        <f t="shared" si="11"/>
        <v>0</v>
      </c>
      <c r="BH244" s="6">
        <f t="shared" si="12"/>
        <v>0</v>
      </c>
      <c r="BI244" s="9" t="str">
        <f t="shared" si="13"/>
        <v/>
      </c>
      <c r="BJ244" s="6">
        <f t="shared" si="14"/>
        <v>0</v>
      </c>
      <c r="BK244" s="6">
        <f t="shared" si="15"/>
        <v>0</v>
      </c>
      <c r="BL244" s="6">
        <f t="shared" si="16"/>
        <v>0</v>
      </c>
      <c r="BM244" s="6">
        <f t="shared" si="17"/>
        <v>0</v>
      </c>
      <c r="BN244" s="6">
        <f t="shared" si="18"/>
        <v>0</v>
      </c>
      <c r="BP244" s="6">
        <f t="shared" si="19"/>
        <v>0</v>
      </c>
      <c r="BQ244" s="6" t="b">
        <f ca="1">IFERROR(__xludf.DUMMYFUNCTION("IF(AND(ISERROR(FILTER('Items by Team'!D$2:D3410,'Items by Team'!C$2:C3410 = D244,'Items by Team'!B$2:B3410 = B244)),NOT(A244=""Practice"")),TRUE,FALSE)"),FALSE)</f>
        <v>0</v>
      </c>
      <c r="BR244" s="6">
        <f t="shared" ca="1" si="20"/>
        <v>0</v>
      </c>
    </row>
    <row r="245" spans="1:70">
      <c r="A245" s="6"/>
      <c r="B245" s="6"/>
      <c r="C245" s="6"/>
      <c r="D245" s="6"/>
      <c r="E245" s="6"/>
      <c r="F245" s="6"/>
      <c r="G245" s="6"/>
      <c r="H245" s="6"/>
      <c r="I245" s="6"/>
      <c r="J245" s="6"/>
      <c r="K245" s="6"/>
      <c r="L245" s="6"/>
      <c r="M245" s="6"/>
      <c r="N245" s="6"/>
      <c r="O245" s="6"/>
      <c r="P245" s="6"/>
      <c r="R245" s="6"/>
      <c r="S245" s="6"/>
      <c r="T245" s="6"/>
      <c r="U245" s="6"/>
      <c r="V245" s="6"/>
      <c r="W245" s="6"/>
      <c r="X245" s="6"/>
      <c r="Y245" s="6"/>
      <c r="Z245" s="6"/>
      <c r="AA245" s="6"/>
      <c r="AB245" s="6"/>
      <c r="AD245" s="6"/>
      <c r="AE245" s="6"/>
      <c r="AF245" s="6"/>
      <c r="AG245" s="6"/>
      <c r="AH245" s="6"/>
      <c r="AI245" s="6"/>
      <c r="AK245" s="6"/>
      <c r="AL245" s="6"/>
      <c r="AM245" s="6"/>
      <c r="AN245" s="6"/>
      <c r="AO245" s="6"/>
      <c r="AP245" s="6"/>
      <c r="AQ245" s="6"/>
      <c r="AR245" s="6"/>
      <c r="AS245" s="15"/>
      <c r="AT245" s="6" t="str">
        <f ca="1">IFERROR(__xludf.DUMMYFUNCTION("SWITCH(IF(A245=""Practice"",AN245,FILTER('Items by Team'!E$2:E3410,'Items by Team'!C$2:C3410=D245,B245='Items by Team'!B$2:B3410)),""None"",""No"",""Parked"",""P"",""ShallowCage"",""Sc"",""DeepCage"",""Dc"",""No"",""No"",""P"",""P"",""Sc"",""Sc"",""Dc"","&amp;"""Dc"")"),"#REF!")</f>
        <v>#REF!</v>
      </c>
      <c r="AU245" s="6" t="str">
        <f ca="1">IFERROR(__xludf.DUMMYFUNCTION("SWITCH(IF(A245 = ""Practice"", H245, FILTER('Items by Team'!D$2:D3410,'Items by Team'!C$2:C3410 = D245,'Items by Team'!B$2:B3410 = B245)), ""Yes"", ""TRUE"", ""No"", ""FALSE"",TRUE, ""TRUE"", FALSE, ""FALSE"")"),"#REF!")</f>
        <v>#REF!</v>
      </c>
      <c r="AV245" s="6">
        <f t="shared" si="0"/>
        <v>0</v>
      </c>
      <c r="AW245" s="6">
        <f t="shared" si="1"/>
        <v>0</v>
      </c>
      <c r="AX245" s="6">
        <f t="shared" si="2"/>
        <v>0</v>
      </c>
      <c r="AY245" s="6">
        <f t="shared" si="3"/>
        <v>0</v>
      </c>
      <c r="AZ245" s="9" t="str">
        <f t="shared" si="4"/>
        <v/>
      </c>
      <c r="BA245" s="6">
        <f t="shared" si="5"/>
        <v>0</v>
      </c>
      <c r="BB245" s="6">
        <f t="shared" si="6"/>
        <v>0</v>
      </c>
      <c r="BC245" s="9" t="str">
        <f t="shared" si="7"/>
        <v/>
      </c>
      <c r="BD245" s="6">
        <f t="shared" si="8"/>
        <v>0</v>
      </c>
      <c r="BE245" s="6">
        <f t="shared" si="9"/>
        <v>0</v>
      </c>
      <c r="BF245" s="9" t="str">
        <f t="shared" si="10"/>
        <v/>
      </c>
      <c r="BG245" s="6">
        <f t="shared" si="11"/>
        <v>0</v>
      </c>
      <c r="BH245" s="6">
        <f t="shared" si="12"/>
        <v>0</v>
      </c>
      <c r="BI245" s="9" t="str">
        <f t="shared" si="13"/>
        <v/>
      </c>
      <c r="BJ245" s="6">
        <f t="shared" si="14"/>
        <v>0</v>
      </c>
      <c r="BK245" s="6">
        <f t="shared" si="15"/>
        <v>0</v>
      </c>
      <c r="BL245" s="6">
        <f t="shared" si="16"/>
        <v>0</v>
      </c>
      <c r="BM245" s="6">
        <f t="shared" si="17"/>
        <v>0</v>
      </c>
      <c r="BN245" s="6">
        <f t="shared" si="18"/>
        <v>0</v>
      </c>
      <c r="BP245" s="6">
        <f t="shared" si="19"/>
        <v>0</v>
      </c>
      <c r="BQ245" s="6" t="b">
        <f ca="1">IFERROR(__xludf.DUMMYFUNCTION("IF(AND(ISERROR(FILTER('Items by Team'!D$2:D3410,'Items by Team'!C$2:C3410 = D245,'Items by Team'!B$2:B3410 = B245)),NOT(A245=""Practice"")),TRUE,FALSE)"),FALSE)</f>
        <v>0</v>
      </c>
      <c r="BR245" s="6">
        <f t="shared" ca="1" si="20"/>
        <v>0</v>
      </c>
    </row>
    <row r="246" spans="1:70">
      <c r="A246" s="6"/>
      <c r="B246" s="6"/>
      <c r="C246" s="6"/>
      <c r="D246" s="6"/>
      <c r="E246" s="6"/>
      <c r="F246" s="6"/>
      <c r="G246" s="6"/>
      <c r="H246" s="6"/>
      <c r="I246" s="6"/>
      <c r="J246" s="6"/>
      <c r="K246" s="6"/>
      <c r="L246" s="6"/>
      <c r="M246" s="6"/>
      <c r="N246" s="6"/>
      <c r="O246" s="6"/>
      <c r="P246" s="6"/>
      <c r="R246" s="6"/>
      <c r="S246" s="6"/>
      <c r="T246" s="6"/>
      <c r="U246" s="6"/>
      <c r="V246" s="6"/>
      <c r="W246" s="6"/>
      <c r="X246" s="6"/>
      <c r="Y246" s="6"/>
      <c r="Z246" s="6"/>
      <c r="AA246" s="6"/>
      <c r="AB246" s="6"/>
      <c r="AD246" s="6"/>
      <c r="AE246" s="6"/>
      <c r="AF246" s="6"/>
      <c r="AG246" s="6"/>
      <c r="AH246" s="6"/>
      <c r="AI246" s="6"/>
      <c r="AK246" s="6"/>
      <c r="AL246" s="6"/>
      <c r="AM246" s="6"/>
      <c r="AN246" s="6"/>
      <c r="AO246" s="6"/>
      <c r="AP246" s="6"/>
      <c r="AQ246" s="6"/>
      <c r="AR246" s="6"/>
      <c r="AS246" s="15"/>
      <c r="AT246" s="6" t="str">
        <f ca="1">IFERROR(__xludf.DUMMYFUNCTION("SWITCH(IF(A246=""Practice"",AN246,FILTER('Items by Team'!E$2:E3410,'Items by Team'!C$2:C3410=D246,B246='Items by Team'!B$2:B3410)),""None"",""No"",""Parked"",""P"",""ShallowCage"",""Sc"",""DeepCage"",""Dc"",""No"",""No"",""P"",""P"",""Sc"",""Sc"",""Dc"","&amp;"""Dc"")"),"#REF!")</f>
        <v>#REF!</v>
      </c>
      <c r="AU246" s="6" t="str">
        <f ca="1">IFERROR(__xludf.DUMMYFUNCTION("SWITCH(IF(A246 = ""Practice"", H246, FILTER('Items by Team'!D$2:D3410,'Items by Team'!C$2:C3410 = D246,'Items by Team'!B$2:B3410 = B246)), ""Yes"", ""TRUE"", ""No"", ""FALSE"",TRUE, ""TRUE"", FALSE, ""FALSE"")"),"#REF!")</f>
        <v>#REF!</v>
      </c>
      <c r="AV246" s="6">
        <f t="shared" si="0"/>
        <v>0</v>
      </c>
      <c r="AW246" s="6">
        <f t="shared" si="1"/>
        <v>0</v>
      </c>
      <c r="AX246" s="6">
        <f t="shared" si="2"/>
        <v>0</v>
      </c>
      <c r="AY246" s="6">
        <f t="shared" si="3"/>
        <v>0</v>
      </c>
      <c r="AZ246" s="9" t="str">
        <f t="shared" si="4"/>
        <v/>
      </c>
      <c r="BA246" s="6">
        <f t="shared" si="5"/>
        <v>0</v>
      </c>
      <c r="BB246" s="6">
        <f t="shared" si="6"/>
        <v>0</v>
      </c>
      <c r="BC246" s="9" t="str">
        <f t="shared" si="7"/>
        <v/>
      </c>
      <c r="BD246" s="6">
        <f t="shared" si="8"/>
        <v>0</v>
      </c>
      <c r="BE246" s="6">
        <f t="shared" si="9"/>
        <v>0</v>
      </c>
      <c r="BF246" s="9" t="str">
        <f t="shared" si="10"/>
        <v/>
      </c>
      <c r="BG246" s="6">
        <f t="shared" si="11"/>
        <v>0</v>
      </c>
      <c r="BH246" s="6">
        <f t="shared" si="12"/>
        <v>0</v>
      </c>
      <c r="BI246" s="9" t="str">
        <f t="shared" si="13"/>
        <v/>
      </c>
      <c r="BJ246" s="6">
        <f t="shared" si="14"/>
        <v>0</v>
      </c>
      <c r="BK246" s="6">
        <f t="shared" si="15"/>
        <v>0</v>
      </c>
      <c r="BL246" s="6">
        <f t="shared" si="16"/>
        <v>0</v>
      </c>
      <c r="BM246" s="6">
        <f t="shared" si="17"/>
        <v>0</v>
      </c>
      <c r="BN246" s="6">
        <f t="shared" si="18"/>
        <v>0</v>
      </c>
      <c r="BP246" s="6">
        <f t="shared" si="19"/>
        <v>0</v>
      </c>
      <c r="BQ246" s="6" t="b">
        <f ca="1">IFERROR(__xludf.DUMMYFUNCTION("IF(AND(ISERROR(FILTER('Items by Team'!D$2:D3410,'Items by Team'!C$2:C3410 = D246,'Items by Team'!B$2:B3410 = B246)),NOT(A246=""Practice"")),TRUE,FALSE)"),FALSE)</f>
        <v>0</v>
      </c>
      <c r="BR246" s="6">
        <f t="shared" ca="1" si="20"/>
        <v>0</v>
      </c>
    </row>
    <row r="247" spans="1:70">
      <c r="A247" s="6"/>
      <c r="B247" s="6"/>
      <c r="C247" s="6"/>
      <c r="D247" s="6"/>
      <c r="E247" s="6"/>
      <c r="F247" s="6"/>
      <c r="G247" s="6"/>
      <c r="H247" s="6"/>
      <c r="I247" s="6"/>
      <c r="J247" s="6"/>
      <c r="K247" s="6"/>
      <c r="L247" s="6"/>
      <c r="M247" s="6"/>
      <c r="N247" s="6"/>
      <c r="O247" s="6"/>
      <c r="P247" s="6"/>
      <c r="R247" s="6"/>
      <c r="S247" s="6"/>
      <c r="T247" s="6"/>
      <c r="U247" s="6"/>
      <c r="V247" s="6"/>
      <c r="W247" s="6"/>
      <c r="X247" s="6"/>
      <c r="Y247" s="6"/>
      <c r="Z247" s="6"/>
      <c r="AA247" s="6"/>
      <c r="AB247" s="6"/>
      <c r="AD247" s="6"/>
      <c r="AE247" s="6"/>
      <c r="AF247" s="6"/>
      <c r="AG247" s="6"/>
      <c r="AH247" s="6"/>
      <c r="AI247" s="6"/>
      <c r="AK247" s="6"/>
      <c r="AL247" s="6"/>
      <c r="AM247" s="6"/>
      <c r="AN247" s="6"/>
      <c r="AO247" s="6"/>
      <c r="AP247" s="6"/>
      <c r="AQ247" s="6"/>
      <c r="AR247" s="6"/>
      <c r="AS247" s="15"/>
      <c r="AT247" s="6" t="str">
        <f ca="1">IFERROR(__xludf.DUMMYFUNCTION("SWITCH(IF(A247=""Practice"",AN247,FILTER('Items by Team'!E$2:E3410,'Items by Team'!C$2:C3410=D247,B247='Items by Team'!B$2:B3410)),""None"",""No"",""Parked"",""P"",""ShallowCage"",""Sc"",""DeepCage"",""Dc"",""No"",""No"",""P"",""P"",""Sc"",""Sc"",""Dc"","&amp;"""Dc"")"),"#REF!")</f>
        <v>#REF!</v>
      </c>
      <c r="AU247" s="6" t="str">
        <f ca="1">IFERROR(__xludf.DUMMYFUNCTION("SWITCH(IF(A247 = ""Practice"", H247, FILTER('Items by Team'!D$2:D3410,'Items by Team'!C$2:C3410 = D247,'Items by Team'!B$2:B3410 = B247)), ""Yes"", ""TRUE"", ""No"", ""FALSE"",TRUE, ""TRUE"", FALSE, ""FALSE"")"),"#REF!")</f>
        <v>#REF!</v>
      </c>
      <c r="AV247" s="6">
        <f t="shared" si="0"/>
        <v>0</v>
      </c>
      <c r="AW247" s="6">
        <f t="shared" si="1"/>
        <v>0</v>
      </c>
      <c r="AX247" s="6">
        <f t="shared" si="2"/>
        <v>0</v>
      </c>
      <c r="AY247" s="6">
        <f t="shared" si="3"/>
        <v>0</v>
      </c>
      <c r="AZ247" s="9" t="str">
        <f t="shared" si="4"/>
        <v/>
      </c>
      <c r="BA247" s="6">
        <f t="shared" si="5"/>
        <v>0</v>
      </c>
      <c r="BB247" s="6">
        <f t="shared" si="6"/>
        <v>0</v>
      </c>
      <c r="BC247" s="9" t="str">
        <f t="shared" si="7"/>
        <v/>
      </c>
      <c r="BD247" s="6">
        <f t="shared" si="8"/>
        <v>0</v>
      </c>
      <c r="BE247" s="6">
        <f t="shared" si="9"/>
        <v>0</v>
      </c>
      <c r="BF247" s="9" t="str">
        <f t="shared" si="10"/>
        <v/>
      </c>
      <c r="BG247" s="6">
        <f t="shared" si="11"/>
        <v>0</v>
      </c>
      <c r="BH247" s="6">
        <f t="shared" si="12"/>
        <v>0</v>
      </c>
      <c r="BI247" s="9" t="str">
        <f t="shared" si="13"/>
        <v/>
      </c>
      <c r="BJ247" s="6">
        <f t="shared" si="14"/>
        <v>0</v>
      </c>
      <c r="BK247" s="6">
        <f t="shared" si="15"/>
        <v>0</v>
      </c>
      <c r="BL247" s="6">
        <f t="shared" si="16"/>
        <v>0</v>
      </c>
      <c r="BM247" s="6">
        <f t="shared" si="17"/>
        <v>0</v>
      </c>
      <c r="BN247" s="6">
        <f t="shared" si="18"/>
        <v>0</v>
      </c>
      <c r="BP247" s="6">
        <f t="shared" si="19"/>
        <v>0</v>
      </c>
      <c r="BQ247" s="6" t="b">
        <f ca="1">IFERROR(__xludf.DUMMYFUNCTION("IF(AND(ISERROR(FILTER('Items by Team'!D$2:D3410,'Items by Team'!C$2:C3410 = D247,'Items by Team'!B$2:B3410 = B247)),NOT(A247=""Practice"")),TRUE,FALSE)"),FALSE)</f>
        <v>0</v>
      </c>
      <c r="BR247" s="6">
        <f t="shared" ca="1" si="20"/>
        <v>0</v>
      </c>
    </row>
    <row r="248" spans="1:70">
      <c r="A248" s="6"/>
      <c r="B248" s="6"/>
      <c r="C248" s="6"/>
      <c r="D248" s="6"/>
      <c r="E248" s="6"/>
      <c r="F248" s="6"/>
      <c r="G248" s="6"/>
      <c r="H248" s="6"/>
      <c r="I248" s="6"/>
      <c r="J248" s="6"/>
      <c r="K248" s="6"/>
      <c r="L248" s="6"/>
      <c r="M248" s="6"/>
      <c r="N248" s="6"/>
      <c r="O248" s="6"/>
      <c r="P248" s="6"/>
      <c r="R248" s="6"/>
      <c r="S248" s="6"/>
      <c r="T248" s="6"/>
      <c r="U248" s="6"/>
      <c r="V248" s="6"/>
      <c r="W248" s="6"/>
      <c r="X248" s="6"/>
      <c r="Y248" s="6"/>
      <c r="Z248" s="6"/>
      <c r="AA248" s="6"/>
      <c r="AB248" s="6"/>
      <c r="AD248" s="6"/>
      <c r="AE248" s="6"/>
      <c r="AF248" s="6"/>
      <c r="AG248" s="6"/>
      <c r="AH248" s="6"/>
      <c r="AI248" s="6"/>
      <c r="AK248" s="6"/>
      <c r="AL248" s="6"/>
      <c r="AM248" s="6"/>
      <c r="AN248" s="6"/>
      <c r="AO248" s="6"/>
      <c r="AP248" s="6"/>
      <c r="AQ248" s="6"/>
      <c r="AR248" s="6"/>
      <c r="AS248" s="15"/>
      <c r="AT248" s="6" t="str">
        <f ca="1">IFERROR(__xludf.DUMMYFUNCTION("SWITCH(IF(A248=""Practice"",AN248,FILTER('Items by Team'!E$2:E3410,'Items by Team'!C$2:C3410=D248,B248='Items by Team'!B$2:B3410)),""None"",""No"",""Parked"",""P"",""ShallowCage"",""Sc"",""DeepCage"",""Dc"",""No"",""No"",""P"",""P"",""Sc"",""Sc"",""Dc"","&amp;"""Dc"")"),"#REF!")</f>
        <v>#REF!</v>
      </c>
      <c r="AU248" s="6" t="str">
        <f ca="1">IFERROR(__xludf.DUMMYFUNCTION("SWITCH(IF(A248 = ""Practice"", H248, FILTER('Items by Team'!D$2:D3410,'Items by Team'!C$2:C3410 = D248,'Items by Team'!B$2:B3410 = B248)), ""Yes"", ""TRUE"", ""No"", ""FALSE"",TRUE, ""TRUE"", FALSE, ""FALSE"")"),"#REF!")</f>
        <v>#REF!</v>
      </c>
      <c r="AV248" s="6">
        <f t="shared" si="0"/>
        <v>0</v>
      </c>
      <c r="AW248" s="6">
        <f t="shared" si="1"/>
        <v>0</v>
      </c>
      <c r="AX248" s="6">
        <f t="shared" si="2"/>
        <v>0</v>
      </c>
      <c r="AY248" s="6">
        <f t="shared" si="3"/>
        <v>0</v>
      </c>
      <c r="AZ248" s="9" t="str">
        <f t="shared" si="4"/>
        <v/>
      </c>
      <c r="BA248" s="6">
        <f t="shared" si="5"/>
        <v>0</v>
      </c>
      <c r="BB248" s="6">
        <f t="shared" si="6"/>
        <v>0</v>
      </c>
      <c r="BC248" s="9" t="str">
        <f t="shared" si="7"/>
        <v/>
      </c>
      <c r="BD248" s="6">
        <f t="shared" si="8"/>
        <v>0</v>
      </c>
      <c r="BE248" s="6">
        <f t="shared" si="9"/>
        <v>0</v>
      </c>
      <c r="BF248" s="9" t="str">
        <f t="shared" si="10"/>
        <v/>
      </c>
      <c r="BG248" s="6">
        <f t="shared" si="11"/>
        <v>0</v>
      </c>
      <c r="BH248" s="6">
        <f t="shared" si="12"/>
        <v>0</v>
      </c>
      <c r="BI248" s="9" t="str">
        <f t="shared" si="13"/>
        <v/>
      </c>
      <c r="BJ248" s="6">
        <f t="shared" si="14"/>
        <v>0</v>
      </c>
      <c r="BK248" s="6">
        <f t="shared" si="15"/>
        <v>0</v>
      </c>
      <c r="BL248" s="6">
        <f t="shared" si="16"/>
        <v>0</v>
      </c>
      <c r="BM248" s="6">
        <f t="shared" si="17"/>
        <v>0</v>
      </c>
      <c r="BN248" s="6">
        <f t="shared" si="18"/>
        <v>0</v>
      </c>
      <c r="BP248" s="6">
        <f t="shared" si="19"/>
        <v>0</v>
      </c>
      <c r="BQ248" s="6" t="b">
        <f ca="1">IFERROR(__xludf.DUMMYFUNCTION("IF(AND(ISERROR(FILTER('Items by Team'!D$2:D3410,'Items by Team'!C$2:C3410 = D248,'Items by Team'!B$2:B3410 = B248)),NOT(A248=""Practice"")),TRUE,FALSE)"),FALSE)</f>
        <v>0</v>
      </c>
      <c r="BR248" s="6">
        <f t="shared" ca="1" si="20"/>
        <v>0</v>
      </c>
    </row>
    <row r="249" spans="1:70">
      <c r="A249" s="6"/>
      <c r="B249" s="6"/>
      <c r="C249" s="6"/>
      <c r="D249" s="6"/>
      <c r="E249" s="6"/>
      <c r="F249" s="6"/>
      <c r="G249" s="6"/>
      <c r="H249" s="6"/>
      <c r="I249" s="6"/>
      <c r="J249" s="6"/>
      <c r="K249" s="6"/>
      <c r="L249" s="6"/>
      <c r="M249" s="6"/>
      <c r="N249" s="6"/>
      <c r="O249" s="6"/>
      <c r="P249" s="6"/>
      <c r="R249" s="6"/>
      <c r="S249" s="6"/>
      <c r="T249" s="6"/>
      <c r="U249" s="6"/>
      <c r="V249" s="6"/>
      <c r="W249" s="6"/>
      <c r="X249" s="6"/>
      <c r="Y249" s="6"/>
      <c r="Z249" s="6"/>
      <c r="AA249" s="6"/>
      <c r="AB249" s="6"/>
      <c r="AD249" s="6"/>
      <c r="AE249" s="6"/>
      <c r="AF249" s="6"/>
      <c r="AG249" s="6"/>
      <c r="AH249" s="6"/>
      <c r="AI249" s="6"/>
      <c r="AK249" s="6"/>
      <c r="AL249" s="6"/>
      <c r="AM249" s="6"/>
      <c r="AN249" s="6"/>
      <c r="AO249" s="6"/>
      <c r="AP249" s="6"/>
      <c r="AQ249" s="6"/>
      <c r="AR249" s="6"/>
      <c r="AS249" s="15"/>
      <c r="AT249" s="6" t="str">
        <f ca="1">IFERROR(__xludf.DUMMYFUNCTION("SWITCH(IF(A249=""Practice"",AN249,FILTER('Items by Team'!E$2:E3410,'Items by Team'!C$2:C3410=D249,B249='Items by Team'!B$2:B3410)),""None"",""No"",""Parked"",""P"",""ShallowCage"",""Sc"",""DeepCage"",""Dc"",""No"",""No"",""P"",""P"",""Sc"",""Sc"",""Dc"","&amp;"""Dc"")"),"#REF!")</f>
        <v>#REF!</v>
      </c>
      <c r="AU249" s="6" t="str">
        <f ca="1">IFERROR(__xludf.DUMMYFUNCTION("SWITCH(IF(A249 = ""Practice"", H249, FILTER('Items by Team'!D$2:D3410,'Items by Team'!C$2:C3410 = D249,'Items by Team'!B$2:B3410 = B249)), ""Yes"", ""TRUE"", ""No"", ""FALSE"",TRUE, ""TRUE"", FALSE, ""FALSE"")"),"#REF!")</f>
        <v>#REF!</v>
      </c>
      <c r="AV249" s="6">
        <f t="shared" si="0"/>
        <v>0</v>
      </c>
      <c r="AW249" s="6">
        <f t="shared" si="1"/>
        <v>0</v>
      </c>
      <c r="AX249" s="6">
        <f t="shared" si="2"/>
        <v>0</v>
      </c>
      <c r="AY249" s="6">
        <f t="shared" si="3"/>
        <v>0</v>
      </c>
      <c r="AZ249" s="9" t="str">
        <f t="shared" si="4"/>
        <v/>
      </c>
      <c r="BA249" s="6">
        <f t="shared" si="5"/>
        <v>0</v>
      </c>
      <c r="BB249" s="6">
        <f t="shared" si="6"/>
        <v>0</v>
      </c>
      <c r="BC249" s="9" t="str">
        <f t="shared" si="7"/>
        <v/>
      </c>
      <c r="BD249" s="6">
        <f t="shared" si="8"/>
        <v>0</v>
      </c>
      <c r="BE249" s="6">
        <f t="shared" si="9"/>
        <v>0</v>
      </c>
      <c r="BF249" s="9" t="str">
        <f t="shared" si="10"/>
        <v/>
      </c>
      <c r="BG249" s="6">
        <f t="shared" si="11"/>
        <v>0</v>
      </c>
      <c r="BH249" s="6">
        <f t="shared" si="12"/>
        <v>0</v>
      </c>
      <c r="BI249" s="9" t="str">
        <f t="shared" si="13"/>
        <v/>
      </c>
      <c r="BJ249" s="6">
        <f t="shared" si="14"/>
        <v>0</v>
      </c>
      <c r="BK249" s="6">
        <f t="shared" si="15"/>
        <v>0</v>
      </c>
      <c r="BL249" s="6">
        <f t="shared" si="16"/>
        <v>0</v>
      </c>
      <c r="BM249" s="6">
        <f t="shared" si="17"/>
        <v>0</v>
      </c>
      <c r="BN249" s="6">
        <f t="shared" si="18"/>
        <v>0</v>
      </c>
      <c r="BP249" s="6">
        <f t="shared" si="19"/>
        <v>0</v>
      </c>
      <c r="BQ249" s="6" t="b">
        <f ca="1">IFERROR(__xludf.DUMMYFUNCTION("IF(AND(ISERROR(FILTER('Items by Team'!D$2:D3410,'Items by Team'!C$2:C3410 = D249,'Items by Team'!B$2:B3410 = B249)),NOT(A249=""Practice"")),TRUE,FALSE)"),FALSE)</f>
        <v>0</v>
      </c>
      <c r="BR249" s="6">
        <f t="shared" ca="1" si="20"/>
        <v>0</v>
      </c>
    </row>
    <row r="250" spans="1:70">
      <c r="A250" s="6"/>
      <c r="B250" s="6"/>
      <c r="C250" s="6"/>
      <c r="D250" s="6"/>
      <c r="E250" s="6"/>
      <c r="F250" s="6"/>
      <c r="G250" s="6"/>
      <c r="H250" s="6"/>
      <c r="I250" s="6"/>
      <c r="J250" s="6"/>
      <c r="K250" s="6"/>
      <c r="L250" s="6"/>
      <c r="M250" s="6"/>
      <c r="N250" s="6"/>
      <c r="O250" s="6"/>
      <c r="P250" s="6"/>
      <c r="R250" s="6"/>
      <c r="S250" s="6"/>
      <c r="T250" s="6"/>
      <c r="U250" s="6"/>
      <c r="V250" s="6"/>
      <c r="W250" s="6"/>
      <c r="X250" s="6"/>
      <c r="Y250" s="6"/>
      <c r="Z250" s="6"/>
      <c r="AA250" s="6"/>
      <c r="AB250" s="6"/>
      <c r="AD250" s="6"/>
      <c r="AE250" s="6"/>
      <c r="AF250" s="6"/>
      <c r="AG250" s="6"/>
      <c r="AH250" s="6"/>
      <c r="AI250" s="6"/>
      <c r="AK250" s="6"/>
      <c r="AL250" s="6"/>
      <c r="AM250" s="6"/>
      <c r="AN250" s="6"/>
      <c r="AO250" s="6"/>
      <c r="AP250" s="6"/>
      <c r="AQ250" s="6"/>
      <c r="AR250" s="6"/>
      <c r="AS250" s="15"/>
      <c r="AT250" s="6" t="str">
        <f ca="1">IFERROR(__xludf.DUMMYFUNCTION("SWITCH(IF(A250=""Practice"",AN250,FILTER('Items by Team'!E$2:E3410,'Items by Team'!C$2:C3410=D250,B250='Items by Team'!B$2:B3410)),""None"",""No"",""Parked"",""P"",""ShallowCage"",""Sc"",""DeepCage"",""Dc"",""No"",""No"",""P"",""P"",""Sc"",""Sc"",""Dc"","&amp;"""Dc"")"),"#REF!")</f>
        <v>#REF!</v>
      </c>
      <c r="AU250" s="6" t="str">
        <f ca="1">IFERROR(__xludf.DUMMYFUNCTION("SWITCH(IF(A250 = ""Practice"", H250, FILTER('Items by Team'!D$2:D3410,'Items by Team'!C$2:C3410 = D250,'Items by Team'!B$2:B3410 = B250)), ""Yes"", ""TRUE"", ""No"", ""FALSE"",TRUE, ""TRUE"", FALSE, ""FALSE"")"),"#REF!")</f>
        <v>#REF!</v>
      </c>
      <c r="AV250" s="6">
        <f t="shared" si="0"/>
        <v>0</v>
      </c>
      <c r="AW250" s="6">
        <f t="shared" si="1"/>
        <v>0</v>
      </c>
      <c r="AX250" s="6">
        <f t="shared" si="2"/>
        <v>0</v>
      </c>
      <c r="AY250" s="6">
        <f t="shared" si="3"/>
        <v>0</v>
      </c>
      <c r="AZ250" s="9" t="str">
        <f t="shared" si="4"/>
        <v/>
      </c>
      <c r="BA250" s="6">
        <f t="shared" si="5"/>
        <v>0</v>
      </c>
      <c r="BB250" s="6">
        <f t="shared" si="6"/>
        <v>0</v>
      </c>
      <c r="BC250" s="9" t="str">
        <f t="shared" si="7"/>
        <v/>
      </c>
      <c r="BD250" s="6">
        <f t="shared" si="8"/>
        <v>0</v>
      </c>
      <c r="BE250" s="6">
        <f t="shared" si="9"/>
        <v>0</v>
      </c>
      <c r="BF250" s="9" t="str">
        <f t="shared" si="10"/>
        <v/>
      </c>
      <c r="BG250" s="6">
        <f t="shared" si="11"/>
        <v>0</v>
      </c>
      <c r="BH250" s="6">
        <f t="shared" si="12"/>
        <v>0</v>
      </c>
      <c r="BI250" s="9" t="str">
        <f t="shared" si="13"/>
        <v/>
      </c>
      <c r="BJ250" s="6">
        <f t="shared" si="14"/>
        <v>0</v>
      </c>
      <c r="BK250" s="6">
        <f t="shared" si="15"/>
        <v>0</v>
      </c>
      <c r="BL250" s="6">
        <f t="shared" si="16"/>
        <v>0</v>
      </c>
      <c r="BM250" s="6">
        <f t="shared" si="17"/>
        <v>0</v>
      </c>
      <c r="BN250" s="6">
        <f t="shared" si="18"/>
        <v>0</v>
      </c>
      <c r="BP250" s="6">
        <f t="shared" si="19"/>
        <v>0</v>
      </c>
      <c r="BQ250" s="6" t="b">
        <f ca="1">IFERROR(__xludf.DUMMYFUNCTION("IF(AND(ISERROR(FILTER('Items by Team'!D$2:D3410,'Items by Team'!C$2:C3410 = D250,'Items by Team'!B$2:B3410 = B250)),NOT(A250=""Practice"")),TRUE,FALSE)"),FALSE)</f>
        <v>0</v>
      </c>
      <c r="BR250" s="6">
        <f t="shared" ca="1" si="20"/>
        <v>0</v>
      </c>
    </row>
    <row r="251" spans="1:70">
      <c r="A251" s="6"/>
      <c r="B251" s="6"/>
      <c r="C251" s="6"/>
      <c r="D251" s="6"/>
      <c r="E251" s="6"/>
      <c r="F251" s="6"/>
      <c r="G251" s="6"/>
      <c r="H251" s="6"/>
      <c r="I251" s="6"/>
      <c r="J251" s="6"/>
      <c r="K251" s="6"/>
      <c r="L251" s="6"/>
      <c r="M251" s="6"/>
      <c r="N251" s="6"/>
      <c r="O251" s="6"/>
      <c r="P251" s="6"/>
      <c r="R251" s="6"/>
      <c r="S251" s="6"/>
      <c r="T251" s="6"/>
      <c r="U251" s="6"/>
      <c r="V251" s="6"/>
      <c r="W251" s="6"/>
      <c r="X251" s="6"/>
      <c r="Y251" s="6"/>
      <c r="Z251" s="6"/>
      <c r="AA251" s="6"/>
      <c r="AB251" s="6"/>
      <c r="AD251" s="6"/>
      <c r="AE251" s="6"/>
      <c r="AF251" s="6"/>
      <c r="AG251" s="6"/>
      <c r="AH251" s="6"/>
      <c r="AI251" s="6"/>
      <c r="AK251" s="6"/>
      <c r="AL251" s="6"/>
      <c r="AM251" s="6"/>
      <c r="AN251" s="6"/>
      <c r="AO251" s="6"/>
      <c r="AP251" s="6"/>
      <c r="AQ251" s="6"/>
      <c r="AR251" s="6"/>
      <c r="AS251" s="15"/>
      <c r="AT251" s="6" t="str">
        <f ca="1">IFERROR(__xludf.DUMMYFUNCTION("SWITCH(IF(A251=""Practice"",AN251,FILTER('Items by Team'!E$2:E3410,'Items by Team'!C$2:C3410=D251,B251='Items by Team'!B$2:B3410)),""None"",""No"",""Parked"",""P"",""ShallowCage"",""Sc"",""DeepCage"",""Dc"",""No"",""No"",""P"",""P"",""Sc"",""Sc"",""Dc"","&amp;"""Dc"")"),"#REF!")</f>
        <v>#REF!</v>
      </c>
      <c r="AU251" s="6" t="str">
        <f ca="1">IFERROR(__xludf.DUMMYFUNCTION("SWITCH(IF(A251 = ""Practice"", H251, FILTER('Items by Team'!D$2:D3410,'Items by Team'!C$2:C3410 = D251,'Items by Team'!B$2:B3410 = B251)), ""Yes"", ""TRUE"", ""No"", ""FALSE"",TRUE, ""TRUE"", FALSE, ""FALSE"")"),"#REF!")</f>
        <v>#REF!</v>
      </c>
      <c r="AV251" s="6">
        <f t="shared" si="0"/>
        <v>0</v>
      </c>
      <c r="AW251" s="6">
        <f t="shared" si="1"/>
        <v>0</v>
      </c>
      <c r="AX251" s="6">
        <f t="shared" si="2"/>
        <v>0</v>
      </c>
      <c r="AY251" s="6">
        <f t="shared" si="3"/>
        <v>0</v>
      </c>
      <c r="AZ251" s="9" t="str">
        <f t="shared" si="4"/>
        <v/>
      </c>
      <c r="BA251" s="6">
        <f t="shared" si="5"/>
        <v>0</v>
      </c>
      <c r="BB251" s="6">
        <f t="shared" si="6"/>
        <v>0</v>
      </c>
      <c r="BC251" s="9" t="str">
        <f t="shared" si="7"/>
        <v/>
      </c>
      <c r="BD251" s="6">
        <f t="shared" si="8"/>
        <v>0</v>
      </c>
      <c r="BE251" s="6">
        <f t="shared" si="9"/>
        <v>0</v>
      </c>
      <c r="BF251" s="9" t="str">
        <f t="shared" si="10"/>
        <v/>
      </c>
      <c r="BG251" s="6">
        <f t="shared" si="11"/>
        <v>0</v>
      </c>
      <c r="BH251" s="6">
        <f t="shared" si="12"/>
        <v>0</v>
      </c>
      <c r="BI251" s="9" t="str">
        <f t="shared" si="13"/>
        <v/>
      </c>
      <c r="BJ251" s="6">
        <f t="shared" si="14"/>
        <v>0</v>
      </c>
      <c r="BK251" s="6">
        <f t="shared" si="15"/>
        <v>0</v>
      </c>
      <c r="BL251" s="6">
        <f t="shared" si="16"/>
        <v>0</v>
      </c>
      <c r="BM251" s="6">
        <f t="shared" si="17"/>
        <v>0</v>
      </c>
      <c r="BN251" s="6">
        <f t="shared" si="18"/>
        <v>0</v>
      </c>
      <c r="BP251" s="6">
        <f t="shared" si="19"/>
        <v>0</v>
      </c>
      <c r="BQ251" s="6" t="b">
        <f ca="1">IFERROR(__xludf.DUMMYFUNCTION("IF(AND(ISERROR(FILTER('Items by Team'!D$2:D3410,'Items by Team'!C$2:C3410 = D251,'Items by Team'!B$2:B3410 = B251)),NOT(A251=""Practice"")),TRUE,FALSE)"),FALSE)</f>
        <v>0</v>
      </c>
      <c r="BR251" s="6">
        <f t="shared" ca="1" si="20"/>
        <v>0</v>
      </c>
    </row>
    <row r="252" spans="1:70">
      <c r="A252" s="6"/>
      <c r="B252" s="6"/>
      <c r="C252" s="6"/>
      <c r="D252" s="6"/>
      <c r="E252" s="6"/>
      <c r="F252" s="6"/>
      <c r="G252" s="6"/>
      <c r="H252" s="6"/>
      <c r="I252" s="6"/>
      <c r="J252" s="6"/>
      <c r="K252" s="6"/>
      <c r="L252" s="6"/>
      <c r="M252" s="6"/>
      <c r="N252" s="6"/>
      <c r="O252" s="6"/>
      <c r="P252" s="6"/>
      <c r="R252" s="6"/>
      <c r="S252" s="6"/>
      <c r="T252" s="6"/>
      <c r="U252" s="6"/>
      <c r="V252" s="6"/>
      <c r="W252" s="6"/>
      <c r="X252" s="6"/>
      <c r="Y252" s="6"/>
      <c r="Z252" s="6"/>
      <c r="AA252" s="6"/>
      <c r="AB252" s="6"/>
      <c r="AD252" s="6"/>
      <c r="AE252" s="6"/>
      <c r="AF252" s="6"/>
      <c r="AG252" s="6"/>
      <c r="AH252" s="6"/>
      <c r="AI252" s="6"/>
      <c r="AK252" s="6"/>
      <c r="AL252" s="6"/>
      <c r="AM252" s="6"/>
      <c r="AN252" s="6"/>
      <c r="AO252" s="6"/>
      <c r="AP252" s="6"/>
      <c r="AQ252" s="6"/>
      <c r="AR252" s="6"/>
      <c r="AS252" s="15"/>
      <c r="AT252" s="6" t="str">
        <f ca="1">IFERROR(__xludf.DUMMYFUNCTION("SWITCH(IF(A252=""Practice"",AN252,FILTER('Items by Team'!E$2:E3410,'Items by Team'!C$2:C3410=D252,B252='Items by Team'!B$2:B3410)),""None"",""No"",""Parked"",""P"",""ShallowCage"",""Sc"",""DeepCage"",""Dc"",""No"",""No"",""P"",""P"",""Sc"",""Sc"",""Dc"","&amp;"""Dc"")"),"#REF!")</f>
        <v>#REF!</v>
      </c>
      <c r="AU252" s="6" t="str">
        <f ca="1">IFERROR(__xludf.DUMMYFUNCTION("SWITCH(IF(A252 = ""Practice"", H252, FILTER('Items by Team'!D$2:D3410,'Items by Team'!C$2:C3410 = D252,'Items by Team'!B$2:B3410 = B252)), ""Yes"", ""TRUE"", ""No"", ""FALSE"",TRUE, ""TRUE"", FALSE, ""FALSE"")"),"#REF!")</f>
        <v>#REF!</v>
      </c>
      <c r="AV252" s="6">
        <f t="shared" si="0"/>
        <v>0</v>
      </c>
      <c r="AW252" s="6">
        <f t="shared" si="1"/>
        <v>0</v>
      </c>
      <c r="AX252" s="6">
        <f t="shared" si="2"/>
        <v>0</v>
      </c>
      <c r="AY252" s="6">
        <f t="shared" si="3"/>
        <v>0</v>
      </c>
      <c r="AZ252" s="9" t="str">
        <f t="shared" si="4"/>
        <v/>
      </c>
      <c r="BA252" s="6">
        <f t="shared" si="5"/>
        <v>0</v>
      </c>
      <c r="BB252" s="6">
        <f t="shared" si="6"/>
        <v>0</v>
      </c>
      <c r="BC252" s="9" t="str">
        <f t="shared" si="7"/>
        <v/>
      </c>
      <c r="BD252" s="6">
        <f t="shared" si="8"/>
        <v>0</v>
      </c>
      <c r="BE252" s="6">
        <f t="shared" si="9"/>
        <v>0</v>
      </c>
      <c r="BF252" s="9" t="str">
        <f t="shared" si="10"/>
        <v/>
      </c>
      <c r="BG252" s="6">
        <f t="shared" si="11"/>
        <v>0</v>
      </c>
      <c r="BH252" s="6">
        <f t="shared" si="12"/>
        <v>0</v>
      </c>
      <c r="BI252" s="9" t="str">
        <f t="shared" si="13"/>
        <v/>
      </c>
      <c r="BJ252" s="6">
        <f t="shared" si="14"/>
        <v>0</v>
      </c>
      <c r="BK252" s="6">
        <f t="shared" si="15"/>
        <v>0</v>
      </c>
      <c r="BL252" s="6">
        <f t="shared" si="16"/>
        <v>0</v>
      </c>
      <c r="BM252" s="6">
        <f t="shared" si="17"/>
        <v>0</v>
      </c>
      <c r="BN252" s="6">
        <f t="shared" si="18"/>
        <v>0</v>
      </c>
      <c r="BP252" s="6">
        <f t="shared" si="19"/>
        <v>0</v>
      </c>
      <c r="BQ252" s="6" t="b">
        <f ca="1">IFERROR(__xludf.DUMMYFUNCTION("IF(AND(ISERROR(FILTER('Items by Team'!D$2:D3410,'Items by Team'!C$2:C3410 = D252,'Items by Team'!B$2:B3410 = B252)),NOT(A252=""Practice"")),TRUE,FALSE)"),FALSE)</f>
        <v>0</v>
      </c>
      <c r="BR252" s="6">
        <f t="shared" ca="1" si="20"/>
        <v>0</v>
      </c>
    </row>
    <row r="253" spans="1:70">
      <c r="A253" s="6"/>
      <c r="B253" s="6"/>
      <c r="C253" s="6"/>
      <c r="D253" s="6"/>
      <c r="E253" s="6"/>
      <c r="F253" s="6"/>
      <c r="G253" s="6"/>
      <c r="H253" s="6"/>
      <c r="I253" s="6"/>
      <c r="J253" s="6"/>
      <c r="K253" s="6"/>
      <c r="L253" s="6"/>
      <c r="M253" s="6"/>
      <c r="N253" s="6"/>
      <c r="O253" s="6"/>
      <c r="P253" s="6"/>
      <c r="R253" s="6"/>
      <c r="S253" s="6"/>
      <c r="T253" s="6"/>
      <c r="U253" s="6"/>
      <c r="V253" s="6"/>
      <c r="W253" s="6"/>
      <c r="X253" s="6"/>
      <c r="Y253" s="6"/>
      <c r="Z253" s="6"/>
      <c r="AA253" s="6"/>
      <c r="AB253" s="6"/>
      <c r="AD253" s="6"/>
      <c r="AE253" s="6"/>
      <c r="AF253" s="6"/>
      <c r="AG253" s="6"/>
      <c r="AH253" s="6"/>
      <c r="AI253" s="6"/>
      <c r="AK253" s="6"/>
      <c r="AL253" s="6"/>
      <c r="AM253" s="6"/>
      <c r="AN253" s="6"/>
      <c r="AO253" s="6"/>
      <c r="AP253" s="6"/>
      <c r="AQ253" s="6"/>
      <c r="AR253" s="6"/>
      <c r="AS253" s="15"/>
      <c r="AT253" s="6" t="str">
        <f ca="1">IFERROR(__xludf.DUMMYFUNCTION("SWITCH(IF(A253=""Practice"",AN253,FILTER('Items by Team'!E$2:E3410,'Items by Team'!C$2:C3410=D253,B253='Items by Team'!B$2:B3410)),""None"",""No"",""Parked"",""P"",""ShallowCage"",""Sc"",""DeepCage"",""Dc"",""No"",""No"",""P"",""P"",""Sc"",""Sc"",""Dc"","&amp;"""Dc"")"),"#REF!")</f>
        <v>#REF!</v>
      </c>
      <c r="AU253" s="6" t="str">
        <f ca="1">IFERROR(__xludf.DUMMYFUNCTION("SWITCH(IF(A253 = ""Practice"", H253, FILTER('Items by Team'!D$2:D3410,'Items by Team'!C$2:C3410 = D253,'Items by Team'!B$2:B3410 = B253)), ""Yes"", ""TRUE"", ""No"", ""FALSE"",TRUE, ""TRUE"", FALSE, ""FALSE"")"),"#REF!")</f>
        <v>#REF!</v>
      </c>
      <c r="AV253" s="6">
        <f t="shared" si="0"/>
        <v>0</v>
      </c>
      <c r="AW253" s="6">
        <f t="shared" si="1"/>
        <v>0</v>
      </c>
      <c r="AX253" s="6">
        <f t="shared" si="2"/>
        <v>0</v>
      </c>
      <c r="AY253" s="6">
        <f t="shared" si="3"/>
        <v>0</v>
      </c>
      <c r="AZ253" s="9" t="str">
        <f t="shared" si="4"/>
        <v/>
      </c>
      <c r="BA253" s="6">
        <f t="shared" si="5"/>
        <v>0</v>
      </c>
      <c r="BB253" s="6">
        <f t="shared" si="6"/>
        <v>0</v>
      </c>
      <c r="BC253" s="9" t="str">
        <f t="shared" si="7"/>
        <v/>
      </c>
      <c r="BD253" s="6">
        <f t="shared" si="8"/>
        <v>0</v>
      </c>
      <c r="BE253" s="6">
        <f t="shared" si="9"/>
        <v>0</v>
      </c>
      <c r="BF253" s="9" t="str">
        <f t="shared" si="10"/>
        <v/>
      </c>
      <c r="BG253" s="6">
        <f t="shared" si="11"/>
        <v>0</v>
      </c>
      <c r="BH253" s="6">
        <f t="shared" si="12"/>
        <v>0</v>
      </c>
      <c r="BI253" s="9" t="str">
        <f t="shared" si="13"/>
        <v/>
      </c>
      <c r="BJ253" s="6">
        <f t="shared" si="14"/>
        <v>0</v>
      </c>
      <c r="BK253" s="6">
        <f t="shared" si="15"/>
        <v>0</v>
      </c>
      <c r="BL253" s="6">
        <f t="shared" si="16"/>
        <v>0</v>
      </c>
      <c r="BM253" s="6">
        <f t="shared" si="17"/>
        <v>0</v>
      </c>
      <c r="BN253" s="6">
        <f t="shared" si="18"/>
        <v>0</v>
      </c>
      <c r="BP253" s="6">
        <f t="shared" si="19"/>
        <v>0</v>
      </c>
      <c r="BQ253" s="6" t="b">
        <f ca="1">IFERROR(__xludf.DUMMYFUNCTION("IF(AND(ISERROR(FILTER('Items by Team'!D$2:D3410,'Items by Team'!C$2:C3410 = D253,'Items by Team'!B$2:B3410 = B253)),NOT(A253=""Practice"")),TRUE,FALSE)"),FALSE)</f>
        <v>0</v>
      </c>
      <c r="BR253" s="6">
        <f t="shared" ca="1" si="20"/>
        <v>0</v>
      </c>
    </row>
    <row r="254" spans="1:70">
      <c r="A254" s="6"/>
      <c r="B254" s="6"/>
      <c r="C254" s="6"/>
      <c r="D254" s="6"/>
      <c r="E254" s="6"/>
      <c r="F254" s="6"/>
      <c r="G254" s="6"/>
      <c r="H254" s="6"/>
      <c r="I254" s="6"/>
      <c r="J254" s="6"/>
      <c r="K254" s="6"/>
      <c r="L254" s="6"/>
      <c r="M254" s="6"/>
      <c r="N254" s="6"/>
      <c r="O254" s="6"/>
      <c r="P254" s="6"/>
      <c r="R254" s="6"/>
      <c r="S254" s="6"/>
      <c r="T254" s="6"/>
      <c r="U254" s="6"/>
      <c r="V254" s="6"/>
      <c r="W254" s="6"/>
      <c r="X254" s="6"/>
      <c r="Y254" s="6"/>
      <c r="Z254" s="6"/>
      <c r="AA254" s="6"/>
      <c r="AB254" s="6"/>
      <c r="AD254" s="6"/>
      <c r="AE254" s="6"/>
      <c r="AF254" s="6"/>
      <c r="AG254" s="6"/>
      <c r="AH254" s="6"/>
      <c r="AI254" s="6"/>
      <c r="AK254" s="6"/>
      <c r="AL254" s="6"/>
      <c r="AM254" s="6"/>
      <c r="AN254" s="6"/>
      <c r="AO254" s="6"/>
      <c r="AP254" s="6"/>
      <c r="AQ254" s="6"/>
      <c r="AR254" s="6"/>
      <c r="AS254" s="15"/>
      <c r="AT254" s="6" t="str">
        <f ca="1">IFERROR(__xludf.DUMMYFUNCTION("SWITCH(IF(A254=""Practice"",AN254,FILTER('Items by Team'!E$2:E3410,'Items by Team'!C$2:C3410=D254,B254='Items by Team'!B$2:B3410)),""None"",""No"",""Parked"",""P"",""ShallowCage"",""Sc"",""DeepCage"",""Dc"",""No"",""No"",""P"",""P"",""Sc"",""Sc"",""Dc"","&amp;"""Dc"")"),"#REF!")</f>
        <v>#REF!</v>
      </c>
      <c r="AU254" s="6" t="str">
        <f ca="1">IFERROR(__xludf.DUMMYFUNCTION("SWITCH(IF(A254 = ""Practice"", H254, FILTER('Items by Team'!D$2:D3410,'Items by Team'!C$2:C3410 = D254,'Items by Team'!B$2:B3410 = B254)), ""Yes"", ""TRUE"", ""No"", ""FALSE"",TRUE, ""TRUE"", FALSE, ""FALSE"")"),"#REF!")</f>
        <v>#REF!</v>
      </c>
      <c r="AV254" s="6">
        <f t="shared" si="0"/>
        <v>0</v>
      </c>
      <c r="AW254" s="6">
        <f t="shared" si="1"/>
        <v>0</v>
      </c>
      <c r="AX254" s="6">
        <f t="shared" si="2"/>
        <v>0</v>
      </c>
      <c r="AY254" s="6">
        <f t="shared" si="3"/>
        <v>0</v>
      </c>
      <c r="AZ254" s="9" t="str">
        <f t="shared" si="4"/>
        <v/>
      </c>
      <c r="BA254" s="6">
        <f t="shared" si="5"/>
        <v>0</v>
      </c>
      <c r="BB254" s="6">
        <f t="shared" si="6"/>
        <v>0</v>
      </c>
      <c r="BC254" s="9" t="str">
        <f t="shared" si="7"/>
        <v/>
      </c>
      <c r="BD254" s="6">
        <f t="shared" si="8"/>
        <v>0</v>
      </c>
      <c r="BE254" s="6">
        <f t="shared" si="9"/>
        <v>0</v>
      </c>
      <c r="BF254" s="9" t="str">
        <f t="shared" si="10"/>
        <v/>
      </c>
      <c r="BG254" s="6">
        <f t="shared" si="11"/>
        <v>0</v>
      </c>
      <c r="BH254" s="6">
        <f t="shared" si="12"/>
        <v>0</v>
      </c>
      <c r="BI254" s="9" t="str">
        <f t="shared" si="13"/>
        <v/>
      </c>
      <c r="BJ254" s="6">
        <f t="shared" si="14"/>
        <v>0</v>
      </c>
      <c r="BK254" s="6">
        <f t="shared" si="15"/>
        <v>0</v>
      </c>
      <c r="BL254" s="6">
        <f t="shared" si="16"/>
        <v>0</v>
      </c>
      <c r="BM254" s="6">
        <f t="shared" si="17"/>
        <v>0</v>
      </c>
      <c r="BN254" s="6">
        <f t="shared" si="18"/>
        <v>0</v>
      </c>
      <c r="BP254" s="6">
        <f t="shared" si="19"/>
        <v>0</v>
      </c>
      <c r="BQ254" s="6" t="b">
        <f ca="1">IFERROR(__xludf.DUMMYFUNCTION("IF(AND(ISERROR(FILTER('Items by Team'!D$2:D3410,'Items by Team'!C$2:C3410 = D254,'Items by Team'!B$2:B3410 = B254)),NOT(A254=""Practice"")),TRUE,FALSE)"),FALSE)</f>
        <v>0</v>
      </c>
      <c r="BR254" s="6">
        <f t="shared" ca="1" si="20"/>
        <v>0</v>
      </c>
    </row>
    <row r="255" spans="1:70">
      <c r="A255" s="6"/>
      <c r="B255" s="6"/>
      <c r="C255" s="6"/>
      <c r="D255" s="6"/>
      <c r="E255" s="6"/>
      <c r="F255" s="6"/>
      <c r="G255" s="6"/>
      <c r="H255" s="6"/>
      <c r="I255" s="6"/>
      <c r="J255" s="6"/>
      <c r="K255" s="6"/>
      <c r="L255" s="6"/>
      <c r="M255" s="6"/>
      <c r="N255" s="6"/>
      <c r="O255" s="6"/>
      <c r="P255" s="6"/>
      <c r="R255" s="6"/>
      <c r="S255" s="6"/>
      <c r="T255" s="6"/>
      <c r="U255" s="6"/>
      <c r="V255" s="6"/>
      <c r="W255" s="6"/>
      <c r="X255" s="6"/>
      <c r="Y255" s="6"/>
      <c r="Z255" s="6"/>
      <c r="AA255" s="6"/>
      <c r="AB255" s="6"/>
      <c r="AD255" s="6"/>
      <c r="AE255" s="6"/>
      <c r="AF255" s="6"/>
      <c r="AG255" s="6"/>
      <c r="AH255" s="6"/>
      <c r="AI255" s="6"/>
      <c r="AK255" s="6"/>
      <c r="AL255" s="6"/>
      <c r="AM255" s="6"/>
      <c r="AN255" s="6"/>
      <c r="AO255" s="6"/>
      <c r="AP255" s="6"/>
      <c r="AQ255" s="6"/>
      <c r="AR255" s="6"/>
      <c r="AS255" s="15"/>
      <c r="AT255" s="6" t="str">
        <f ca="1">IFERROR(__xludf.DUMMYFUNCTION("SWITCH(IF(A255=""Practice"",AN255,FILTER('Items by Team'!E$2:E3410,'Items by Team'!C$2:C3410=D255,B255='Items by Team'!B$2:B3410)),""None"",""No"",""Parked"",""P"",""ShallowCage"",""Sc"",""DeepCage"",""Dc"",""No"",""No"",""P"",""P"",""Sc"",""Sc"",""Dc"","&amp;"""Dc"")"),"#REF!")</f>
        <v>#REF!</v>
      </c>
      <c r="AU255" s="6" t="str">
        <f ca="1">IFERROR(__xludf.DUMMYFUNCTION("SWITCH(IF(A255 = ""Practice"", H255, FILTER('Items by Team'!D$2:D3410,'Items by Team'!C$2:C3410 = D255,'Items by Team'!B$2:B3410 = B255)), ""Yes"", ""TRUE"", ""No"", ""FALSE"",TRUE, ""TRUE"", FALSE, ""FALSE"")"),"#REF!")</f>
        <v>#REF!</v>
      </c>
      <c r="AV255" s="6">
        <f t="shared" si="0"/>
        <v>0</v>
      </c>
      <c r="AW255" s="6">
        <f t="shared" si="1"/>
        <v>0</v>
      </c>
      <c r="AX255" s="6">
        <f t="shared" si="2"/>
        <v>0</v>
      </c>
      <c r="AY255" s="6">
        <f t="shared" si="3"/>
        <v>0</v>
      </c>
      <c r="AZ255" s="9" t="str">
        <f t="shared" si="4"/>
        <v/>
      </c>
      <c r="BA255" s="6">
        <f t="shared" si="5"/>
        <v>0</v>
      </c>
      <c r="BB255" s="6">
        <f t="shared" si="6"/>
        <v>0</v>
      </c>
      <c r="BC255" s="9" t="str">
        <f t="shared" si="7"/>
        <v/>
      </c>
      <c r="BD255" s="6">
        <f t="shared" si="8"/>
        <v>0</v>
      </c>
      <c r="BE255" s="6">
        <f t="shared" si="9"/>
        <v>0</v>
      </c>
      <c r="BF255" s="9" t="str">
        <f t="shared" si="10"/>
        <v/>
      </c>
      <c r="BG255" s="6">
        <f t="shared" si="11"/>
        <v>0</v>
      </c>
      <c r="BH255" s="6">
        <f t="shared" si="12"/>
        <v>0</v>
      </c>
      <c r="BI255" s="9" t="str">
        <f t="shared" si="13"/>
        <v/>
      </c>
      <c r="BJ255" s="6">
        <f t="shared" si="14"/>
        <v>0</v>
      </c>
      <c r="BK255" s="6">
        <f t="shared" si="15"/>
        <v>0</v>
      </c>
      <c r="BL255" s="6">
        <f t="shared" si="16"/>
        <v>0</v>
      </c>
      <c r="BM255" s="6">
        <f t="shared" si="17"/>
        <v>0</v>
      </c>
      <c r="BN255" s="6">
        <f t="shared" si="18"/>
        <v>0</v>
      </c>
      <c r="BP255" s="6">
        <f t="shared" si="19"/>
        <v>0</v>
      </c>
      <c r="BQ255" s="6" t="b">
        <f ca="1">IFERROR(__xludf.DUMMYFUNCTION("IF(AND(ISERROR(FILTER('Items by Team'!D$2:D3410,'Items by Team'!C$2:C3410 = D255,'Items by Team'!B$2:B3410 = B255)),NOT(A255=""Practice"")),TRUE,FALSE)"),FALSE)</f>
        <v>0</v>
      </c>
      <c r="BR255" s="6">
        <f t="shared" ca="1" si="20"/>
        <v>0</v>
      </c>
    </row>
    <row r="256" spans="1:70">
      <c r="A256" s="6"/>
      <c r="B256" s="6"/>
      <c r="C256" s="6"/>
      <c r="D256" s="6"/>
      <c r="E256" s="6"/>
      <c r="F256" s="6"/>
      <c r="G256" s="6"/>
      <c r="H256" s="6"/>
      <c r="I256" s="6"/>
      <c r="J256" s="6"/>
      <c r="K256" s="6"/>
      <c r="L256" s="6"/>
      <c r="M256" s="6"/>
      <c r="N256" s="6"/>
      <c r="O256" s="6"/>
      <c r="P256" s="6"/>
      <c r="R256" s="6"/>
      <c r="S256" s="6"/>
      <c r="T256" s="6"/>
      <c r="U256" s="6"/>
      <c r="V256" s="6"/>
      <c r="W256" s="6"/>
      <c r="X256" s="6"/>
      <c r="Y256" s="6"/>
      <c r="Z256" s="6"/>
      <c r="AA256" s="6"/>
      <c r="AB256" s="6"/>
      <c r="AD256" s="6"/>
      <c r="AE256" s="6"/>
      <c r="AF256" s="6"/>
      <c r="AG256" s="6"/>
      <c r="AH256" s="6"/>
      <c r="AI256" s="6"/>
      <c r="AK256" s="6"/>
      <c r="AL256" s="6"/>
      <c r="AM256" s="6"/>
      <c r="AN256" s="6"/>
      <c r="AO256" s="6"/>
      <c r="AP256" s="6"/>
      <c r="AQ256" s="6"/>
      <c r="AR256" s="6"/>
      <c r="AS256" s="15"/>
      <c r="AT256" s="6" t="str">
        <f ca="1">IFERROR(__xludf.DUMMYFUNCTION("SWITCH(IF(A256=""Practice"",AN256,FILTER('Items by Team'!E$2:E3410,'Items by Team'!C$2:C3410=D256,B256='Items by Team'!B$2:B3410)),""None"",""No"",""Parked"",""P"",""ShallowCage"",""Sc"",""DeepCage"",""Dc"",""No"",""No"",""P"",""P"",""Sc"",""Sc"",""Dc"","&amp;"""Dc"")"),"#REF!")</f>
        <v>#REF!</v>
      </c>
      <c r="AU256" s="6" t="str">
        <f ca="1">IFERROR(__xludf.DUMMYFUNCTION("SWITCH(IF(A256 = ""Practice"", H256, FILTER('Items by Team'!D$2:D3410,'Items by Team'!C$2:C3410 = D256,'Items by Team'!B$2:B3410 = B256)), ""Yes"", ""TRUE"", ""No"", ""FALSE"",TRUE, ""TRUE"", FALSE, ""FALSE"")"),"#REF!")</f>
        <v>#REF!</v>
      </c>
      <c r="AV256" s="6">
        <f t="shared" si="0"/>
        <v>0</v>
      </c>
      <c r="AW256" s="6">
        <f t="shared" si="1"/>
        <v>0</v>
      </c>
      <c r="AX256" s="6">
        <f t="shared" si="2"/>
        <v>0</v>
      </c>
      <c r="AY256" s="6">
        <f t="shared" si="3"/>
        <v>0</v>
      </c>
      <c r="AZ256" s="9" t="str">
        <f t="shared" si="4"/>
        <v/>
      </c>
      <c r="BA256" s="6">
        <f t="shared" si="5"/>
        <v>0</v>
      </c>
      <c r="BB256" s="6">
        <f t="shared" si="6"/>
        <v>0</v>
      </c>
      <c r="BC256" s="9" t="str">
        <f t="shared" si="7"/>
        <v/>
      </c>
      <c r="BD256" s="6">
        <f t="shared" si="8"/>
        <v>0</v>
      </c>
      <c r="BE256" s="6">
        <f t="shared" si="9"/>
        <v>0</v>
      </c>
      <c r="BF256" s="9" t="str">
        <f t="shared" si="10"/>
        <v/>
      </c>
      <c r="BG256" s="6">
        <f t="shared" si="11"/>
        <v>0</v>
      </c>
      <c r="BH256" s="6">
        <f t="shared" si="12"/>
        <v>0</v>
      </c>
      <c r="BI256" s="9" t="str">
        <f t="shared" si="13"/>
        <v/>
      </c>
      <c r="BJ256" s="6">
        <f t="shared" si="14"/>
        <v>0</v>
      </c>
      <c r="BK256" s="6">
        <f t="shared" si="15"/>
        <v>0</v>
      </c>
      <c r="BL256" s="6">
        <f t="shared" si="16"/>
        <v>0</v>
      </c>
      <c r="BM256" s="6">
        <f t="shared" si="17"/>
        <v>0</v>
      </c>
      <c r="BN256" s="6">
        <f t="shared" si="18"/>
        <v>0</v>
      </c>
      <c r="BP256" s="6">
        <f t="shared" si="19"/>
        <v>0</v>
      </c>
      <c r="BQ256" s="6" t="b">
        <f ca="1">IFERROR(__xludf.DUMMYFUNCTION("IF(AND(ISERROR(FILTER('Items by Team'!D$2:D3410,'Items by Team'!C$2:C3410 = D256,'Items by Team'!B$2:B3410 = B256)),NOT(A256=""Practice"")),TRUE,FALSE)"),FALSE)</f>
        <v>0</v>
      </c>
      <c r="BR256" s="6">
        <f t="shared" ca="1" si="20"/>
        <v>0</v>
      </c>
    </row>
    <row r="257" spans="1:70">
      <c r="A257" s="6"/>
      <c r="B257" s="6"/>
      <c r="C257" s="6"/>
      <c r="D257" s="6"/>
      <c r="E257" s="6"/>
      <c r="F257" s="6"/>
      <c r="G257" s="6"/>
      <c r="H257" s="6"/>
      <c r="I257" s="6"/>
      <c r="J257" s="6"/>
      <c r="K257" s="6"/>
      <c r="L257" s="6"/>
      <c r="M257" s="6"/>
      <c r="N257" s="6"/>
      <c r="O257" s="6"/>
      <c r="P257" s="6"/>
      <c r="R257" s="6"/>
      <c r="S257" s="6"/>
      <c r="T257" s="6"/>
      <c r="U257" s="6"/>
      <c r="V257" s="6"/>
      <c r="W257" s="6"/>
      <c r="X257" s="6"/>
      <c r="Y257" s="6"/>
      <c r="Z257" s="6"/>
      <c r="AA257" s="6"/>
      <c r="AB257" s="6"/>
      <c r="AD257" s="6"/>
      <c r="AE257" s="6"/>
      <c r="AF257" s="6"/>
      <c r="AG257" s="6"/>
      <c r="AH257" s="6"/>
      <c r="AI257" s="6"/>
      <c r="AK257" s="6"/>
      <c r="AL257" s="6"/>
      <c r="AM257" s="6"/>
      <c r="AN257" s="6"/>
      <c r="AO257" s="6"/>
      <c r="AP257" s="6"/>
      <c r="AQ257" s="6"/>
      <c r="AR257" s="6"/>
      <c r="AS257" s="15"/>
      <c r="AT257" s="6" t="str">
        <f ca="1">IFERROR(__xludf.DUMMYFUNCTION("SWITCH(IF(A257=""Practice"",AN257,FILTER('Items by Team'!E$2:E3410,'Items by Team'!C$2:C3410=D257,B257='Items by Team'!B$2:B3410)),""None"",""No"",""Parked"",""P"",""ShallowCage"",""Sc"",""DeepCage"",""Dc"",""No"",""No"",""P"",""P"",""Sc"",""Sc"",""Dc"","&amp;"""Dc"")"),"#REF!")</f>
        <v>#REF!</v>
      </c>
      <c r="AU257" s="6" t="str">
        <f ca="1">IFERROR(__xludf.DUMMYFUNCTION("SWITCH(IF(A257 = ""Practice"", H257, FILTER('Items by Team'!D$2:D3410,'Items by Team'!C$2:C3410 = D257,'Items by Team'!B$2:B3410 = B257)), ""Yes"", ""TRUE"", ""No"", ""FALSE"",TRUE, ""TRUE"", FALSE, ""FALSE"")"),"#REF!")</f>
        <v>#REF!</v>
      </c>
      <c r="AV257" s="6">
        <f t="shared" si="0"/>
        <v>0</v>
      </c>
      <c r="AW257" s="6">
        <f t="shared" si="1"/>
        <v>0</v>
      </c>
      <c r="AX257" s="6">
        <f t="shared" si="2"/>
        <v>0</v>
      </c>
      <c r="AY257" s="6">
        <f t="shared" si="3"/>
        <v>0</v>
      </c>
      <c r="AZ257" s="9" t="str">
        <f t="shared" si="4"/>
        <v/>
      </c>
      <c r="BA257" s="6">
        <f t="shared" si="5"/>
        <v>0</v>
      </c>
      <c r="BB257" s="6">
        <f t="shared" si="6"/>
        <v>0</v>
      </c>
      <c r="BC257" s="9" t="str">
        <f t="shared" si="7"/>
        <v/>
      </c>
      <c r="BD257" s="6">
        <f t="shared" si="8"/>
        <v>0</v>
      </c>
      <c r="BE257" s="6">
        <f t="shared" si="9"/>
        <v>0</v>
      </c>
      <c r="BF257" s="9" t="str">
        <f t="shared" si="10"/>
        <v/>
      </c>
      <c r="BG257" s="6">
        <f t="shared" si="11"/>
        <v>0</v>
      </c>
      <c r="BH257" s="6">
        <f t="shared" si="12"/>
        <v>0</v>
      </c>
      <c r="BI257" s="9" t="str">
        <f t="shared" si="13"/>
        <v/>
      </c>
      <c r="BJ257" s="6">
        <f t="shared" si="14"/>
        <v>0</v>
      </c>
      <c r="BK257" s="6">
        <f t="shared" si="15"/>
        <v>0</v>
      </c>
      <c r="BL257" s="6">
        <f t="shared" si="16"/>
        <v>0</v>
      </c>
      <c r="BM257" s="6">
        <f t="shared" si="17"/>
        <v>0</v>
      </c>
      <c r="BN257" s="6">
        <f t="shared" si="18"/>
        <v>0</v>
      </c>
      <c r="BP257" s="6">
        <f t="shared" si="19"/>
        <v>0</v>
      </c>
      <c r="BQ257" s="6" t="b">
        <f ca="1">IFERROR(__xludf.DUMMYFUNCTION("IF(AND(ISERROR(FILTER('Items by Team'!D$2:D3410,'Items by Team'!C$2:C3410 = D257,'Items by Team'!B$2:B3410 = B257)),NOT(A257=""Practice"")),TRUE,FALSE)"),FALSE)</f>
        <v>0</v>
      </c>
      <c r="BR257" s="6">
        <f t="shared" ca="1" si="20"/>
        <v>0</v>
      </c>
    </row>
    <row r="258" spans="1:70">
      <c r="A258" s="6"/>
      <c r="B258" s="6"/>
      <c r="C258" s="6"/>
      <c r="D258" s="6"/>
      <c r="E258" s="6"/>
      <c r="F258" s="6"/>
      <c r="G258" s="6"/>
      <c r="H258" s="6"/>
      <c r="I258" s="6"/>
      <c r="J258" s="6"/>
      <c r="K258" s="6"/>
      <c r="L258" s="6"/>
      <c r="M258" s="6"/>
      <c r="N258" s="6"/>
      <c r="O258" s="6"/>
      <c r="P258" s="6"/>
      <c r="R258" s="6"/>
      <c r="S258" s="6"/>
      <c r="T258" s="6"/>
      <c r="U258" s="6"/>
      <c r="V258" s="6"/>
      <c r="W258" s="6"/>
      <c r="X258" s="6"/>
      <c r="Y258" s="6"/>
      <c r="Z258" s="6"/>
      <c r="AA258" s="6"/>
      <c r="AB258" s="6"/>
      <c r="AD258" s="6"/>
      <c r="AE258" s="6"/>
      <c r="AF258" s="6"/>
      <c r="AG258" s="6"/>
      <c r="AH258" s="6"/>
      <c r="AI258" s="6"/>
      <c r="AK258" s="6"/>
      <c r="AL258" s="6"/>
      <c r="AM258" s="6"/>
      <c r="AN258" s="6"/>
      <c r="AO258" s="6"/>
      <c r="AP258" s="6"/>
      <c r="AQ258" s="6"/>
      <c r="AR258" s="6"/>
      <c r="AS258" s="15"/>
      <c r="AT258" s="6" t="str">
        <f ca="1">IFERROR(__xludf.DUMMYFUNCTION("SWITCH(IF(A258=""Practice"",AN258,FILTER('Items by Team'!E$2:E3410,'Items by Team'!C$2:C3410=D258,B258='Items by Team'!B$2:B3410)),""None"",""No"",""Parked"",""P"",""ShallowCage"",""Sc"",""DeepCage"",""Dc"",""No"",""No"",""P"",""P"",""Sc"",""Sc"",""Dc"","&amp;"""Dc"")"),"#REF!")</f>
        <v>#REF!</v>
      </c>
      <c r="AU258" s="6" t="str">
        <f ca="1">IFERROR(__xludf.DUMMYFUNCTION("SWITCH(IF(A258 = ""Practice"", H258, FILTER('Items by Team'!D$2:D3410,'Items by Team'!C$2:C3410 = D258,'Items by Team'!B$2:B3410 = B258)), ""Yes"", ""TRUE"", ""No"", ""FALSE"",TRUE, ""TRUE"", FALSE, ""FALSE"")"),"#REF!")</f>
        <v>#REF!</v>
      </c>
      <c r="AV258" s="6">
        <f t="shared" ref="AV258:AV512" si="21">IFERROR(VALUE(AP258),"")</f>
        <v>0</v>
      </c>
      <c r="AW258" s="6">
        <f t="shared" ref="AW258:AW512" si="22">IF(H258=TRUE,1,0)</f>
        <v>0</v>
      </c>
      <c r="AX258" s="6">
        <f t="shared" ref="AX258:AX512" si="23">SUM($L258:$O258)</f>
        <v>0</v>
      </c>
      <c r="AY258" s="6">
        <f t="shared" ref="AY258:AY512" si="24">SUM($L258:$P258)</f>
        <v>0</v>
      </c>
      <c r="AZ258" s="9" t="str">
        <f t="shared" ref="AZ258:AZ512" si="25">IFERROR(AX258/AY258,"")</f>
        <v/>
      </c>
      <c r="BA258" s="6">
        <f t="shared" ref="BA258:BA512" si="26">SUM($S258:$T258)</f>
        <v>0</v>
      </c>
      <c r="BB258" s="6">
        <f t="shared" ref="BB258:BB512" si="27">SUM($T258:$U258)</f>
        <v>0</v>
      </c>
      <c r="BC258" s="9" t="str">
        <f t="shared" ref="BC258:BC512" si="28">IFERROR($T258/$BB258,"")</f>
        <v/>
      </c>
      <c r="BD258" s="6">
        <f t="shared" ref="BD258:BD512" si="29">SUM($X258)</f>
        <v>0</v>
      </c>
      <c r="BE258" s="6">
        <f t="shared" ref="BE258:BE512" si="30">SUM($X258:$Y258)</f>
        <v>0</v>
      </c>
      <c r="BF258" s="9" t="str">
        <f t="shared" ref="BF258:BF512" si="31">IFERROR(BD258/BE258,"")</f>
        <v/>
      </c>
      <c r="BG258" s="6">
        <f t="shared" ref="BG258:BG512" si="32">SUM(AE258:AH258)</f>
        <v>0</v>
      </c>
      <c r="BH258" s="6">
        <f t="shared" ref="BH258:BH512" si="33">SUM(AE258:AI258)</f>
        <v>0</v>
      </c>
      <c r="BI258" s="9" t="str">
        <f t="shared" ref="BI258:BI512" si="34">IFERROR(BG258/BH258,"")</f>
        <v/>
      </c>
      <c r="BJ258" s="6">
        <f t="shared" ref="BJ258:BJ512" si="35">IF(AQ258=TRUE,1,0)</f>
        <v>0</v>
      </c>
      <c r="BK258" s="6">
        <f t="shared" ref="BK258:BK512" si="36">IF($I258&gt;0,1,0)</f>
        <v>0</v>
      </c>
      <c r="BL258" s="6">
        <f t="shared" ref="BL258:BL512" si="37">IF($J258&gt;0,1,0)</f>
        <v>0</v>
      </c>
      <c r="BM258" s="6">
        <f t="shared" ref="BM258:BM512" si="38">IF($K258&gt;0,1,0)</f>
        <v>0</v>
      </c>
      <c r="BN258" s="6">
        <f t="shared" ref="BN258:BN512" si="39">IF($AB258=TRUE,1,0)</f>
        <v>0</v>
      </c>
      <c r="BP258" s="6">
        <f t="shared" ref="BP258:BP512" si="40">IF($AD258=TRUE,1,0)</f>
        <v>0</v>
      </c>
      <c r="BQ258" s="6" t="b">
        <f ca="1">IFERROR(__xludf.DUMMYFUNCTION("IF(AND(ISERROR(FILTER('Items by Team'!D$2:D3410,'Items by Team'!C$2:C3410 = D258,'Items by Team'!B$2:B3410 = B258)),NOT(A258=""Practice"")),TRUE,FALSE)"),FALSE)</f>
        <v>0</v>
      </c>
      <c r="BR258" s="6">
        <f t="shared" ref="BR258:BR512" ca="1" si="41">IFERROR(_xludf.IFS($AQ258=FALSE,"",$AP258="x",""),VALUE($AP258))</f>
        <v>0</v>
      </c>
    </row>
    <row r="259" spans="1:70">
      <c r="A259" s="6"/>
      <c r="B259" s="6"/>
      <c r="C259" s="6"/>
      <c r="D259" s="6"/>
      <c r="E259" s="6"/>
      <c r="F259" s="6"/>
      <c r="G259" s="6"/>
      <c r="H259" s="6"/>
      <c r="I259" s="6"/>
      <c r="J259" s="6"/>
      <c r="K259" s="6"/>
      <c r="L259" s="6"/>
      <c r="M259" s="6"/>
      <c r="N259" s="6"/>
      <c r="O259" s="6"/>
      <c r="P259" s="6"/>
      <c r="R259" s="6"/>
      <c r="S259" s="6"/>
      <c r="T259" s="6"/>
      <c r="U259" s="6"/>
      <c r="V259" s="6"/>
      <c r="W259" s="6"/>
      <c r="X259" s="6"/>
      <c r="Y259" s="6"/>
      <c r="Z259" s="6"/>
      <c r="AA259" s="6"/>
      <c r="AB259" s="6"/>
      <c r="AD259" s="6"/>
      <c r="AE259" s="6"/>
      <c r="AF259" s="6"/>
      <c r="AG259" s="6"/>
      <c r="AH259" s="6"/>
      <c r="AI259" s="6"/>
      <c r="AK259" s="6"/>
      <c r="AL259" s="6"/>
      <c r="AM259" s="6"/>
      <c r="AN259" s="6"/>
      <c r="AO259" s="6"/>
      <c r="AP259" s="6"/>
      <c r="AQ259" s="6"/>
      <c r="AR259" s="6"/>
      <c r="AS259" s="15"/>
      <c r="AT259" s="6" t="str">
        <f ca="1">IFERROR(__xludf.DUMMYFUNCTION("SWITCH(IF(A259=""Practice"",AN259,FILTER('Items by Team'!E$2:E3410,'Items by Team'!C$2:C3410=D259,B259='Items by Team'!B$2:B3410)),""None"",""No"",""Parked"",""P"",""ShallowCage"",""Sc"",""DeepCage"",""Dc"",""No"",""No"",""P"",""P"",""Sc"",""Sc"",""Dc"","&amp;"""Dc"")"),"#REF!")</f>
        <v>#REF!</v>
      </c>
      <c r="AU259" s="6" t="str">
        <f ca="1">IFERROR(__xludf.DUMMYFUNCTION("SWITCH(IF(A259 = ""Practice"", H259, FILTER('Items by Team'!D$2:D3410,'Items by Team'!C$2:C3410 = D259,'Items by Team'!B$2:B3410 = B259)), ""Yes"", ""TRUE"", ""No"", ""FALSE"",TRUE, ""TRUE"", FALSE, ""FALSE"")"),"#REF!")</f>
        <v>#REF!</v>
      </c>
      <c r="AV259" s="6">
        <f t="shared" si="21"/>
        <v>0</v>
      </c>
      <c r="AW259" s="6">
        <f t="shared" si="22"/>
        <v>0</v>
      </c>
      <c r="AX259" s="6">
        <f t="shared" si="23"/>
        <v>0</v>
      </c>
      <c r="AY259" s="6">
        <f t="shared" si="24"/>
        <v>0</v>
      </c>
      <c r="AZ259" s="9" t="str">
        <f t="shared" si="25"/>
        <v/>
      </c>
      <c r="BA259" s="6">
        <f t="shared" si="26"/>
        <v>0</v>
      </c>
      <c r="BB259" s="6">
        <f t="shared" si="27"/>
        <v>0</v>
      </c>
      <c r="BC259" s="9" t="str">
        <f t="shared" si="28"/>
        <v/>
      </c>
      <c r="BD259" s="6">
        <f t="shared" si="29"/>
        <v>0</v>
      </c>
      <c r="BE259" s="6">
        <f t="shared" si="30"/>
        <v>0</v>
      </c>
      <c r="BF259" s="9" t="str">
        <f t="shared" si="31"/>
        <v/>
      </c>
      <c r="BG259" s="6">
        <f t="shared" si="32"/>
        <v>0</v>
      </c>
      <c r="BH259" s="6">
        <f t="shared" si="33"/>
        <v>0</v>
      </c>
      <c r="BI259" s="9" t="str">
        <f t="shared" si="34"/>
        <v/>
      </c>
      <c r="BJ259" s="6">
        <f t="shared" si="35"/>
        <v>0</v>
      </c>
      <c r="BK259" s="6">
        <f t="shared" si="36"/>
        <v>0</v>
      </c>
      <c r="BL259" s="6">
        <f t="shared" si="37"/>
        <v>0</v>
      </c>
      <c r="BM259" s="6">
        <f t="shared" si="38"/>
        <v>0</v>
      </c>
      <c r="BN259" s="6">
        <f t="shared" si="39"/>
        <v>0</v>
      </c>
      <c r="BP259" s="6">
        <f t="shared" si="40"/>
        <v>0</v>
      </c>
      <c r="BQ259" s="6" t="b">
        <f ca="1">IFERROR(__xludf.DUMMYFUNCTION("IF(AND(ISERROR(FILTER('Items by Team'!D$2:D3410,'Items by Team'!C$2:C3410 = D259,'Items by Team'!B$2:B3410 = B259)),NOT(A259=""Practice"")),TRUE,FALSE)"),FALSE)</f>
        <v>0</v>
      </c>
      <c r="BR259" s="6">
        <f t="shared" ca="1" si="41"/>
        <v>0</v>
      </c>
    </row>
    <row r="260" spans="1:70">
      <c r="A260" s="6"/>
      <c r="B260" s="6"/>
      <c r="C260" s="6"/>
      <c r="D260" s="6"/>
      <c r="E260" s="6"/>
      <c r="F260" s="6"/>
      <c r="G260" s="6"/>
      <c r="H260" s="6"/>
      <c r="I260" s="6"/>
      <c r="J260" s="6"/>
      <c r="K260" s="6"/>
      <c r="L260" s="6"/>
      <c r="M260" s="6"/>
      <c r="N260" s="6"/>
      <c r="O260" s="6"/>
      <c r="P260" s="6"/>
      <c r="R260" s="6"/>
      <c r="S260" s="6"/>
      <c r="T260" s="6"/>
      <c r="U260" s="6"/>
      <c r="V260" s="6"/>
      <c r="W260" s="6"/>
      <c r="X260" s="6"/>
      <c r="Y260" s="6"/>
      <c r="Z260" s="6"/>
      <c r="AA260" s="6"/>
      <c r="AB260" s="6"/>
      <c r="AD260" s="6"/>
      <c r="AE260" s="6"/>
      <c r="AF260" s="6"/>
      <c r="AG260" s="6"/>
      <c r="AH260" s="6"/>
      <c r="AI260" s="6"/>
      <c r="AK260" s="6"/>
      <c r="AL260" s="6"/>
      <c r="AM260" s="6"/>
      <c r="AN260" s="6"/>
      <c r="AO260" s="6"/>
      <c r="AP260" s="6"/>
      <c r="AQ260" s="6"/>
      <c r="AR260" s="6"/>
      <c r="AS260" s="15"/>
      <c r="AT260" s="6" t="str">
        <f ca="1">IFERROR(__xludf.DUMMYFUNCTION("SWITCH(IF(A260=""Practice"",AN260,FILTER('Items by Team'!E$2:E3410,'Items by Team'!C$2:C3410=D260,B260='Items by Team'!B$2:B3410)),""None"",""No"",""Parked"",""P"",""ShallowCage"",""Sc"",""DeepCage"",""Dc"",""No"",""No"",""P"",""P"",""Sc"",""Sc"",""Dc"","&amp;"""Dc"")"),"#REF!")</f>
        <v>#REF!</v>
      </c>
      <c r="AU260" s="6" t="str">
        <f ca="1">IFERROR(__xludf.DUMMYFUNCTION("SWITCH(IF(A260 = ""Practice"", H260, FILTER('Items by Team'!D$2:D3410,'Items by Team'!C$2:C3410 = D260,'Items by Team'!B$2:B3410 = B260)), ""Yes"", ""TRUE"", ""No"", ""FALSE"",TRUE, ""TRUE"", FALSE, ""FALSE"")"),"#REF!")</f>
        <v>#REF!</v>
      </c>
      <c r="AV260" s="6">
        <f t="shared" si="21"/>
        <v>0</v>
      </c>
      <c r="AW260" s="6">
        <f t="shared" si="22"/>
        <v>0</v>
      </c>
      <c r="AX260" s="6">
        <f t="shared" si="23"/>
        <v>0</v>
      </c>
      <c r="AY260" s="6">
        <f t="shared" si="24"/>
        <v>0</v>
      </c>
      <c r="AZ260" s="9" t="str">
        <f t="shared" si="25"/>
        <v/>
      </c>
      <c r="BA260" s="6">
        <f t="shared" si="26"/>
        <v>0</v>
      </c>
      <c r="BB260" s="6">
        <f t="shared" si="27"/>
        <v>0</v>
      </c>
      <c r="BC260" s="9" t="str">
        <f t="shared" si="28"/>
        <v/>
      </c>
      <c r="BD260" s="6">
        <f t="shared" si="29"/>
        <v>0</v>
      </c>
      <c r="BE260" s="6">
        <f t="shared" si="30"/>
        <v>0</v>
      </c>
      <c r="BF260" s="9" t="str">
        <f t="shared" si="31"/>
        <v/>
      </c>
      <c r="BG260" s="6">
        <f t="shared" si="32"/>
        <v>0</v>
      </c>
      <c r="BH260" s="6">
        <f t="shared" si="33"/>
        <v>0</v>
      </c>
      <c r="BI260" s="9" t="str">
        <f t="shared" si="34"/>
        <v/>
      </c>
      <c r="BJ260" s="6">
        <f t="shared" si="35"/>
        <v>0</v>
      </c>
      <c r="BK260" s="6">
        <f t="shared" si="36"/>
        <v>0</v>
      </c>
      <c r="BL260" s="6">
        <f t="shared" si="37"/>
        <v>0</v>
      </c>
      <c r="BM260" s="6">
        <f t="shared" si="38"/>
        <v>0</v>
      </c>
      <c r="BN260" s="6">
        <f t="shared" si="39"/>
        <v>0</v>
      </c>
      <c r="BP260" s="6">
        <f t="shared" si="40"/>
        <v>0</v>
      </c>
      <c r="BQ260" s="6" t="b">
        <f ca="1">IFERROR(__xludf.DUMMYFUNCTION("IF(AND(ISERROR(FILTER('Items by Team'!D$2:D3410,'Items by Team'!C$2:C3410 = D260,'Items by Team'!B$2:B3410 = B260)),NOT(A260=""Practice"")),TRUE,FALSE)"),FALSE)</f>
        <v>0</v>
      </c>
      <c r="BR260" s="6">
        <f t="shared" ca="1" si="41"/>
        <v>0</v>
      </c>
    </row>
    <row r="261" spans="1:70">
      <c r="A261" s="6"/>
      <c r="B261" s="6"/>
      <c r="C261" s="6"/>
      <c r="D261" s="6"/>
      <c r="E261" s="6"/>
      <c r="F261" s="6"/>
      <c r="G261" s="6"/>
      <c r="H261" s="6"/>
      <c r="I261" s="6"/>
      <c r="J261" s="6"/>
      <c r="K261" s="6"/>
      <c r="L261" s="6"/>
      <c r="M261" s="6"/>
      <c r="N261" s="6"/>
      <c r="O261" s="6"/>
      <c r="P261" s="6"/>
      <c r="R261" s="6"/>
      <c r="S261" s="6"/>
      <c r="T261" s="6"/>
      <c r="U261" s="6"/>
      <c r="V261" s="6"/>
      <c r="W261" s="6"/>
      <c r="X261" s="6"/>
      <c r="Y261" s="6"/>
      <c r="Z261" s="6"/>
      <c r="AA261" s="6"/>
      <c r="AB261" s="6"/>
      <c r="AD261" s="6"/>
      <c r="AE261" s="6"/>
      <c r="AF261" s="6"/>
      <c r="AG261" s="6"/>
      <c r="AH261" s="6"/>
      <c r="AI261" s="6"/>
      <c r="AK261" s="6"/>
      <c r="AL261" s="6"/>
      <c r="AM261" s="6"/>
      <c r="AN261" s="6"/>
      <c r="AO261" s="6"/>
      <c r="AP261" s="6"/>
      <c r="AQ261" s="6"/>
      <c r="AR261" s="6"/>
      <c r="AS261" s="15"/>
      <c r="AT261" s="6" t="str">
        <f ca="1">IFERROR(__xludf.DUMMYFUNCTION("SWITCH(IF(A261=""Practice"",AN261,FILTER('Items by Team'!E$2:E3410,'Items by Team'!C$2:C3410=D261,B261='Items by Team'!B$2:B3410)),""None"",""No"",""Parked"",""P"",""ShallowCage"",""Sc"",""DeepCage"",""Dc"",""No"",""No"",""P"",""P"",""Sc"",""Sc"",""Dc"","&amp;"""Dc"")"),"#REF!")</f>
        <v>#REF!</v>
      </c>
      <c r="AU261" s="6" t="str">
        <f ca="1">IFERROR(__xludf.DUMMYFUNCTION("SWITCH(IF(A261 = ""Practice"", H261, FILTER('Items by Team'!D$2:D3410,'Items by Team'!C$2:C3410 = D261,'Items by Team'!B$2:B3410 = B261)), ""Yes"", ""TRUE"", ""No"", ""FALSE"",TRUE, ""TRUE"", FALSE, ""FALSE"")"),"#REF!")</f>
        <v>#REF!</v>
      </c>
      <c r="AV261" s="6">
        <f t="shared" si="21"/>
        <v>0</v>
      </c>
      <c r="AW261" s="6">
        <f t="shared" si="22"/>
        <v>0</v>
      </c>
      <c r="AX261" s="6">
        <f t="shared" si="23"/>
        <v>0</v>
      </c>
      <c r="AY261" s="6">
        <f t="shared" si="24"/>
        <v>0</v>
      </c>
      <c r="AZ261" s="9" t="str">
        <f t="shared" si="25"/>
        <v/>
      </c>
      <c r="BA261" s="6">
        <f t="shared" si="26"/>
        <v>0</v>
      </c>
      <c r="BB261" s="6">
        <f t="shared" si="27"/>
        <v>0</v>
      </c>
      <c r="BC261" s="9" t="str">
        <f t="shared" si="28"/>
        <v/>
      </c>
      <c r="BD261" s="6">
        <f t="shared" si="29"/>
        <v>0</v>
      </c>
      <c r="BE261" s="6">
        <f t="shared" si="30"/>
        <v>0</v>
      </c>
      <c r="BF261" s="9" t="str">
        <f t="shared" si="31"/>
        <v/>
      </c>
      <c r="BG261" s="6">
        <f t="shared" si="32"/>
        <v>0</v>
      </c>
      <c r="BH261" s="6">
        <f t="shared" si="33"/>
        <v>0</v>
      </c>
      <c r="BI261" s="9" t="str">
        <f t="shared" si="34"/>
        <v/>
      </c>
      <c r="BJ261" s="6">
        <f t="shared" si="35"/>
        <v>0</v>
      </c>
      <c r="BK261" s="6">
        <f t="shared" si="36"/>
        <v>0</v>
      </c>
      <c r="BL261" s="6">
        <f t="shared" si="37"/>
        <v>0</v>
      </c>
      <c r="BM261" s="6">
        <f t="shared" si="38"/>
        <v>0</v>
      </c>
      <c r="BN261" s="6">
        <f t="shared" si="39"/>
        <v>0</v>
      </c>
      <c r="BP261" s="6">
        <f t="shared" si="40"/>
        <v>0</v>
      </c>
      <c r="BQ261" s="6" t="b">
        <f ca="1">IFERROR(__xludf.DUMMYFUNCTION("IF(AND(ISERROR(FILTER('Items by Team'!D$2:D3410,'Items by Team'!C$2:C3410 = D261,'Items by Team'!B$2:B3410 = B261)),NOT(A261=""Practice"")),TRUE,FALSE)"),FALSE)</f>
        <v>0</v>
      </c>
      <c r="BR261" s="6">
        <f t="shared" ca="1" si="41"/>
        <v>0</v>
      </c>
    </row>
    <row r="262" spans="1:70">
      <c r="A262" s="6"/>
      <c r="B262" s="6"/>
      <c r="C262" s="6"/>
      <c r="D262" s="6"/>
      <c r="E262" s="6"/>
      <c r="F262" s="6"/>
      <c r="G262" s="6"/>
      <c r="H262" s="6"/>
      <c r="I262" s="6"/>
      <c r="J262" s="6"/>
      <c r="K262" s="6"/>
      <c r="L262" s="6"/>
      <c r="M262" s="6"/>
      <c r="N262" s="6"/>
      <c r="O262" s="6"/>
      <c r="P262" s="6"/>
      <c r="R262" s="6"/>
      <c r="S262" s="6"/>
      <c r="T262" s="6"/>
      <c r="U262" s="6"/>
      <c r="V262" s="6"/>
      <c r="W262" s="6"/>
      <c r="X262" s="6"/>
      <c r="Y262" s="6"/>
      <c r="Z262" s="6"/>
      <c r="AA262" s="6"/>
      <c r="AB262" s="6"/>
      <c r="AD262" s="6"/>
      <c r="AE262" s="6"/>
      <c r="AF262" s="6"/>
      <c r="AG262" s="6"/>
      <c r="AH262" s="6"/>
      <c r="AI262" s="6"/>
      <c r="AK262" s="6"/>
      <c r="AL262" s="6"/>
      <c r="AM262" s="6"/>
      <c r="AN262" s="6"/>
      <c r="AO262" s="6"/>
      <c r="AP262" s="6"/>
      <c r="AQ262" s="6"/>
      <c r="AR262" s="6"/>
      <c r="AS262" s="15"/>
      <c r="AT262" s="6" t="str">
        <f ca="1">IFERROR(__xludf.DUMMYFUNCTION("SWITCH(IF(A262=""Practice"",AN262,FILTER('Items by Team'!E$2:E3410,'Items by Team'!C$2:C3410=D262,B262='Items by Team'!B$2:B3410)),""None"",""No"",""Parked"",""P"",""ShallowCage"",""Sc"",""DeepCage"",""Dc"",""No"",""No"",""P"",""P"",""Sc"",""Sc"",""Dc"","&amp;"""Dc"")"),"#REF!")</f>
        <v>#REF!</v>
      </c>
      <c r="AU262" s="6" t="str">
        <f ca="1">IFERROR(__xludf.DUMMYFUNCTION("SWITCH(IF(A262 = ""Practice"", H262, FILTER('Items by Team'!D$2:D3410,'Items by Team'!C$2:C3410 = D262,'Items by Team'!B$2:B3410 = B262)), ""Yes"", ""TRUE"", ""No"", ""FALSE"",TRUE, ""TRUE"", FALSE, ""FALSE"")"),"#REF!")</f>
        <v>#REF!</v>
      </c>
      <c r="AV262" s="6">
        <f t="shared" si="21"/>
        <v>0</v>
      </c>
      <c r="AW262" s="6">
        <f t="shared" si="22"/>
        <v>0</v>
      </c>
      <c r="AX262" s="6">
        <f t="shared" si="23"/>
        <v>0</v>
      </c>
      <c r="AY262" s="6">
        <f t="shared" si="24"/>
        <v>0</v>
      </c>
      <c r="AZ262" s="9" t="str">
        <f t="shared" si="25"/>
        <v/>
      </c>
      <c r="BA262" s="6">
        <f t="shared" si="26"/>
        <v>0</v>
      </c>
      <c r="BB262" s="6">
        <f t="shared" si="27"/>
        <v>0</v>
      </c>
      <c r="BC262" s="9" t="str">
        <f t="shared" si="28"/>
        <v/>
      </c>
      <c r="BD262" s="6">
        <f t="shared" si="29"/>
        <v>0</v>
      </c>
      <c r="BE262" s="6">
        <f t="shared" si="30"/>
        <v>0</v>
      </c>
      <c r="BF262" s="9" t="str">
        <f t="shared" si="31"/>
        <v/>
      </c>
      <c r="BG262" s="6">
        <f t="shared" si="32"/>
        <v>0</v>
      </c>
      <c r="BH262" s="6">
        <f t="shared" si="33"/>
        <v>0</v>
      </c>
      <c r="BI262" s="9" t="str">
        <f t="shared" si="34"/>
        <v/>
      </c>
      <c r="BJ262" s="6">
        <f t="shared" si="35"/>
        <v>0</v>
      </c>
      <c r="BK262" s="6">
        <f t="shared" si="36"/>
        <v>0</v>
      </c>
      <c r="BL262" s="6">
        <f t="shared" si="37"/>
        <v>0</v>
      </c>
      <c r="BM262" s="6">
        <f t="shared" si="38"/>
        <v>0</v>
      </c>
      <c r="BN262" s="6">
        <f t="shared" si="39"/>
        <v>0</v>
      </c>
      <c r="BP262" s="6">
        <f t="shared" si="40"/>
        <v>0</v>
      </c>
      <c r="BQ262" s="6" t="b">
        <f ca="1">IFERROR(__xludf.DUMMYFUNCTION("IF(AND(ISERROR(FILTER('Items by Team'!D$2:D3410,'Items by Team'!C$2:C3410 = D262,'Items by Team'!B$2:B3410 = B262)),NOT(A262=""Practice"")),TRUE,FALSE)"),FALSE)</f>
        <v>0</v>
      </c>
      <c r="BR262" s="6">
        <f t="shared" ca="1" si="41"/>
        <v>0</v>
      </c>
    </row>
    <row r="263" spans="1:70">
      <c r="A263" s="6"/>
      <c r="B263" s="6"/>
      <c r="C263" s="6"/>
      <c r="D263" s="6"/>
      <c r="E263" s="6"/>
      <c r="F263" s="6"/>
      <c r="G263" s="6"/>
      <c r="H263" s="6"/>
      <c r="I263" s="6"/>
      <c r="J263" s="6"/>
      <c r="K263" s="6"/>
      <c r="L263" s="6"/>
      <c r="M263" s="6"/>
      <c r="N263" s="6"/>
      <c r="O263" s="6"/>
      <c r="P263" s="6"/>
      <c r="R263" s="6"/>
      <c r="S263" s="6"/>
      <c r="T263" s="6"/>
      <c r="U263" s="6"/>
      <c r="V263" s="6"/>
      <c r="W263" s="6"/>
      <c r="X263" s="6"/>
      <c r="Y263" s="6"/>
      <c r="Z263" s="6"/>
      <c r="AA263" s="6"/>
      <c r="AB263" s="6"/>
      <c r="AD263" s="6"/>
      <c r="AE263" s="6"/>
      <c r="AF263" s="6"/>
      <c r="AG263" s="6"/>
      <c r="AH263" s="6"/>
      <c r="AI263" s="6"/>
      <c r="AK263" s="6"/>
      <c r="AL263" s="6"/>
      <c r="AM263" s="6"/>
      <c r="AN263" s="6"/>
      <c r="AO263" s="6"/>
      <c r="AP263" s="6"/>
      <c r="AQ263" s="6"/>
      <c r="AR263" s="6"/>
      <c r="AS263" s="15"/>
      <c r="AT263" s="6" t="str">
        <f ca="1">IFERROR(__xludf.DUMMYFUNCTION("SWITCH(IF(A263=""Practice"",AN263,FILTER('Items by Team'!E$2:E3410,'Items by Team'!C$2:C3410=D263,B263='Items by Team'!B$2:B3410)),""None"",""No"",""Parked"",""P"",""ShallowCage"",""Sc"",""DeepCage"",""Dc"",""No"",""No"",""P"",""P"",""Sc"",""Sc"",""Dc"","&amp;"""Dc"")"),"#REF!")</f>
        <v>#REF!</v>
      </c>
      <c r="AU263" s="6" t="str">
        <f ca="1">IFERROR(__xludf.DUMMYFUNCTION("SWITCH(IF(A263 = ""Practice"", H263, FILTER('Items by Team'!D$2:D3410,'Items by Team'!C$2:C3410 = D263,'Items by Team'!B$2:B3410 = B263)), ""Yes"", ""TRUE"", ""No"", ""FALSE"",TRUE, ""TRUE"", FALSE, ""FALSE"")"),"#REF!")</f>
        <v>#REF!</v>
      </c>
      <c r="AV263" s="6">
        <f t="shared" si="21"/>
        <v>0</v>
      </c>
      <c r="AW263" s="6">
        <f t="shared" si="22"/>
        <v>0</v>
      </c>
      <c r="AX263" s="6">
        <f t="shared" si="23"/>
        <v>0</v>
      </c>
      <c r="AY263" s="6">
        <f t="shared" si="24"/>
        <v>0</v>
      </c>
      <c r="AZ263" s="9" t="str">
        <f t="shared" si="25"/>
        <v/>
      </c>
      <c r="BA263" s="6">
        <f t="shared" si="26"/>
        <v>0</v>
      </c>
      <c r="BB263" s="6">
        <f t="shared" si="27"/>
        <v>0</v>
      </c>
      <c r="BC263" s="9" t="str">
        <f t="shared" si="28"/>
        <v/>
      </c>
      <c r="BD263" s="6">
        <f t="shared" si="29"/>
        <v>0</v>
      </c>
      <c r="BE263" s="6">
        <f t="shared" si="30"/>
        <v>0</v>
      </c>
      <c r="BF263" s="9" t="str">
        <f t="shared" si="31"/>
        <v/>
      </c>
      <c r="BG263" s="6">
        <f t="shared" si="32"/>
        <v>0</v>
      </c>
      <c r="BH263" s="6">
        <f t="shared" si="33"/>
        <v>0</v>
      </c>
      <c r="BI263" s="9" t="str">
        <f t="shared" si="34"/>
        <v/>
      </c>
      <c r="BJ263" s="6">
        <f t="shared" si="35"/>
        <v>0</v>
      </c>
      <c r="BK263" s="6">
        <f t="shared" si="36"/>
        <v>0</v>
      </c>
      <c r="BL263" s="6">
        <f t="shared" si="37"/>
        <v>0</v>
      </c>
      <c r="BM263" s="6">
        <f t="shared" si="38"/>
        <v>0</v>
      </c>
      <c r="BN263" s="6">
        <f t="shared" si="39"/>
        <v>0</v>
      </c>
      <c r="BP263" s="6">
        <f t="shared" si="40"/>
        <v>0</v>
      </c>
      <c r="BQ263" s="6" t="b">
        <f ca="1">IFERROR(__xludf.DUMMYFUNCTION("IF(AND(ISERROR(FILTER('Items by Team'!D$2:D3410,'Items by Team'!C$2:C3410 = D263,'Items by Team'!B$2:B3410 = B263)),NOT(A263=""Practice"")),TRUE,FALSE)"),FALSE)</f>
        <v>0</v>
      </c>
      <c r="BR263" s="6">
        <f t="shared" ca="1" si="41"/>
        <v>0</v>
      </c>
    </row>
    <row r="264" spans="1:70">
      <c r="A264" s="6"/>
      <c r="B264" s="6"/>
      <c r="C264" s="6"/>
      <c r="D264" s="6"/>
      <c r="E264" s="6"/>
      <c r="F264" s="6"/>
      <c r="G264" s="6"/>
      <c r="H264" s="6"/>
      <c r="I264" s="6"/>
      <c r="J264" s="6"/>
      <c r="K264" s="6"/>
      <c r="L264" s="6"/>
      <c r="M264" s="6"/>
      <c r="N264" s="6"/>
      <c r="O264" s="6"/>
      <c r="P264" s="6"/>
      <c r="R264" s="6"/>
      <c r="S264" s="6"/>
      <c r="T264" s="6"/>
      <c r="U264" s="6"/>
      <c r="V264" s="6"/>
      <c r="W264" s="6"/>
      <c r="X264" s="6"/>
      <c r="Y264" s="6"/>
      <c r="Z264" s="6"/>
      <c r="AA264" s="6"/>
      <c r="AB264" s="6"/>
      <c r="AD264" s="6"/>
      <c r="AE264" s="6"/>
      <c r="AF264" s="6"/>
      <c r="AG264" s="6"/>
      <c r="AH264" s="6"/>
      <c r="AI264" s="6"/>
      <c r="AK264" s="6"/>
      <c r="AL264" s="6"/>
      <c r="AM264" s="6"/>
      <c r="AN264" s="6"/>
      <c r="AO264" s="6"/>
      <c r="AP264" s="6"/>
      <c r="AQ264" s="6"/>
      <c r="AR264" s="6"/>
      <c r="AS264" s="15"/>
      <c r="AT264" s="6" t="str">
        <f ca="1">IFERROR(__xludf.DUMMYFUNCTION("SWITCH(IF(A264=""Practice"",AN264,FILTER('Items by Team'!E$2:E3410,'Items by Team'!C$2:C3410=D264,B264='Items by Team'!B$2:B3410)),""None"",""No"",""Parked"",""P"",""ShallowCage"",""Sc"",""DeepCage"",""Dc"",""No"",""No"",""P"",""P"",""Sc"",""Sc"",""Dc"","&amp;"""Dc"")"),"#REF!")</f>
        <v>#REF!</v>
      </c>
      <c r="AU264" s="6" t="str">
        <f ca="1">IFERROR(__xludf.DUMMYFUNCTION("SWITCH(IF(A264 = ""Practice"", H264, FILTER('Items by Team'!D$2:D3410,'Items by Team'!C$2:C3410 = D264,'Items by Team'!B$2:B3410 = B264)), ""Yes"", ""TRUE"", ""No"", ""FALSE"",TRUE, ""TRUE"", FALSE, ""FALSE"")"),"#REF!")</f>
        <v>#REF!</v>
      </c>
      <c r="AV264" s="6">
        <f t="shared" si="21"/>
        <v>0</v>
      </c>
      <c r="AW264" s="6">
        <f t="shared" si="22"/>
        <v>0</v>
      </c>
      <c r="AX264" s="6">
        <f t="shared" si="23"/>
        <v>0</v>
      </c>
      <c r="AY264" s="6">
        <f t="shared" si="24"/>
        <v>0</v>
      </c>
      <c r="AZ264" s="9" t="str">
        <f t="shared" si="25"/>
        <v/>
      </c>
      <c r="BA264" s="6">
        <f t="shared" si="26"/>
        <v>0</v>
      </c>
      <c r="BB264" s="6">
        <f t="shared" si="27"/>
        <v>0</v>
      </c>
      <c r="BC264" s="9" t="str">
        <f t="shared" si="28"/>
        <v/>
      </c>
      <c r="BD264" s="6">
        <f t="shared" si="29"/>
        <v>0</v>
      </c>
      <c r="BE264" s="6">
        <f t="shared" si="30"/>
        <v>0</v>
      </c>
      <c r="BF264" s="9" t="str">
        <f t="shared" si="31"/>
        <v/>
      </c>
      <c r="BG264" s="6">
        <f t="shared" si="32"/>
        <v>0</v>
      </c>
      <c r="BH264" s="6">
        <f t="shared" si="33"/>
        <v>0</v>
      </c>
      <c r="BI264" s="9" t="str">
        <f t="shared" si="34"/>
        <v/>
      </c>
      <c r="BJ264" s="6">
        <f t="shared" si="35"/>
        <v>0</v>
      </c>
      <c r="BK264" s="6">
        <f t="shared" si="36"/>
        <v>0</v>
      </c>
      <c r="BL264" s="6">
        <f t="shared" si="37"/>
        <v>0</v>
      </c>
      <c r="BM264" s="6">
        <f t="shared" si="38"/>
        <v>0</v>
      </c>
      <c r="BN264" s="6">
        <f t="shared" si="39"/>
        <v>0</v>
      </c>
      <c r="BP264" s="6">
        <f t="shared" si="40"/>
        <v>0</v>
      </c>
      <c r="BQ264" s="6" t="b">
        <f ca="1">IFERROR(__xludf.DUMMYFUNCTION("IF(AND(ISERROR(FILTER('Items by Team'!D$2:D3410,'Items by Team'!C$2:C3410 = D264,'Items by Team'!B$2:B3410 = B264)),NOT(A264=""Practice"")),TRUE,FALSE)"),FALSE)</f>
        <v>0</v>
      </c>
      <c r="BR264" s="6">
        <f t="shared" ca="1" si="41"/>
        <v>0</v>
      </c>
    </row>
    <row r="265" spans="1:70">
      <c r="A265" s="6"/>
      <c r="B265" s="6"/>
      <c r="C265" s="6"/>
      <c r="D265" s="6"/>
      <c r="E265" s="6"/>
      <c r="F265" s="6"/>
      <c r="G265" s="6"/>
      <c r="H265" s="6"/>
      <c r="I265" s="6"/>
      <c r="J265" s="6"/>
      <c r="K265" s="6"/>
      <c r="L265" s="6"/>
      <c r="M265" s="6"/>
      <c r="N265" s="6"/>
      <c r="O265" s="6"/>
      <c r="P265" s="6"/>
      <c r="R265" s="6"/>
      <c r="S265" s="6"/>
      <c r="T265" s="6"/>
      <c r="U265" s="6"/>
      <c r="V265" s="6"/>
      <c r="W265" s="6"/>
      <c r="X265" s="6"/>
      <c r="Y265" s="6"/>
      <c r="Z265" s="6"/>
      <c r="AA265" s="6"/>
      <c r="AB265" s="6"/>
      <c r="AD265" s="6"/>
      <c r="AE265" s="6"/>
      <c r="AF265" s="6"/>
      <c r="AG265" s="6"/>
      <c r="AH265" s="6"/>
      <c r="AI265" s="6"/>
      <c r="AK265" s="6"/>
      <c r="AL265" s="6"/>
      <c r="AM265" s="6"/>
      <c r="AN265" s="6"/>
      <c r="AO265" s="6"/>
      <c r="AP265" s="6"/>
      <c r="AQ265" s="6"/>
      <c r="AR265" s="6"/>
      <c r="AS265" s="15"/>
      <c r="AT265" s="6" t="str">
        <f ca="1">IFERROR(__xludf.DUMMYFUNCTION("SWITCH(IF(A265=""Practice"",AN265,FILTER('Items by Team'!E$2:E3410,'Items by Team'!C$2:C3410=D265,B265='Items by Team'!B$2:B3410)),""None"",""No"",""Parked"",""P"",""ShallowCage"",""Sc"",""DeepCage"",""Dc"",""No"",""No"",""P"",""P"",""Sc"",""Sc"",""Dc"","&amp;"""Dc"")"),"#REF!")</f>
        <v>#REF!</v>
      </c>
      <c r="AU265" s="6" t="str">
        <f ca="1">IFERROR(__xludf.DUMMYFUNCTION("SWITCH(IF(A265 = ""Practice"", H265, FILTER('Items by Team'!D$2:D3410,'Items by Team'!C$2:C3410 = D265,'Items by Team'!B$2:B3410 = B265)), ""Yes"", ""TRUE"", ""No"", ""FALSE"",TRUE, ""TRUE"", FALSE, ""FALSE"")"),"#REF!")</f>
        <v>#REF!</v>
      </c>
      <c r="AV265" s="6">
        <f t="shared" si="21"/>
        <v>0</v>
      </c>
      <c r="AW265" s="6">
        <f t="shared" si="22"/>
        <v>0</v>
      </c>
      <c r="AX265" s="6">
        <f t="shared" si="23"/>
        <v>0</v>
      </c>
      <c r="AY265" s="6">
        <f t="shared" si="24"/>
        <v>0</v>
      </c>
      <c r="AZ265" s="9" t="str">
        <f t="shared" si="25"/>
        <v/>
      </c>
      <c r="BA265" s="6">
        <f t="shared" si="26"/>
        <v>0</v>
      </c>
      <c r="BB265" s="6">
        <f t="shared" si="27"/>
        <v>0</v>
      </c>
      <c r="BC265" s="9" t="str">
        <f t="shared" si="28"/>
        <v/>
      </c>
      <c r="BD265" s="6">
        <f t="shared" si="29"/>
        <v>0</v>
      </c>
      <c r="BE265" s="6">
        <f t="shared" si="30"/>
        <v>0</v>
      </c>
      <c r="BF265" s="9" t="str">
        <f t="shared" si="31"/>
        <v/>
      </c>
      <c r="BG265" s="6">
        <f t="shared" si="32"/>
        <v>0</v>
      </c>
      <c r="BH265" s="6">
        <f t="shared" si="33"/>
        <v>0</v>
      </c>
      <c r="BI265" s="9" t="str">
        <f t="shared" si="34"/>
        <v/>
      </c>
      <c r="BJ265" s="6">
        <f t="shared" si="35"/>
        <v>0</v>
      </c>
      <c r="BK265" s="6">
        <f t="shared" si="36"/>
        <v>0</v>
      </c>
      <c r="BL265" s="6">
        <f t="shared" si="37"/>
        <v>0</v>
      </c>
      <c r="BM265" s="6">
        <f t="shared" si="38"/>
        <v>0</v>
      </c>
      <c r="BN265" s="6">
        <f t="shared" si="39"/>
        <v>0</v>
      </c>
      <c r="BP265" s="6">
        <f t="shared" si="40"/>
        <v>0</v>
      </c>
      <c r="BQ265" s="6" t="b">
        <f ca="1">IFERROR(__xludf.DUMMYFUNCTION("IF(AND(ISERROR(FILTER('Items by Team'!D$2:D3410,'Items by Team'!C$2:C3410 = D265,'Items by Team'!B$2:B3410 = B265)),NOT(A265=""Practice"")),TRUE,FALSE)"),FALSE)</f>
        <v>0</v>
      </c>
      <c r="BR265" s="6">
        <f t="shared" ca="1" si="41"/>
        <v>0</v>
      </c>
    </row>
    <row r="266" spans="1:70">
      <c r="A266" s="6"/>
      <c r="B266" s="6"/>
      <c r="C266" s="6"/>
      <c r="D266" s="6"/>
      <c r="E266" s="6"/>
      <c r="F266" s="6"/>
      <c r="G266" s="6"/>
      <c r="H266" s="6"/>
      <c r="I266" s="6"/>
      <c r="J266" s="6"/>
      <c r="K266" s="6"/>
      <c r="L266" s="6"/>
      <c r="M266" s="6"/>
      <c r="N266" s="6"/>
      <c r="O266" s="6"/>
      <c r="P266" s="6"/>
      <c r="R266" s="6"/>
      <c r="S266" s="6"/>
      <c r="T266" s="6"/>
      <c r="U266" s="6"/>
      <c r="V266" s="6"/>
      <c r="W266" s="6"/>
      <c r="X266" s="6"/>
      <c r="Y266" s="6"/>
      <c r="Z266" s="6"/>
      <c r="AA266" s="6"/>
      <c r="AB266" s="6"/>
      <c r="AD266" s="6"/>
      <c r="AE266" s="6"/>
      <c r="AF266" s="6"/>
      <c r="AG266" s="6"/>
      <c r="AH266" s="6"/>
      <c r="AI266" s="6"/>
      <c r="AK266" s="6"/>
      <c r="AL266" s="6"/>
      <c r="AM266" s="6"/>
      <c r="AN266" s="6"/>
      <c r="AO266" s="6"/>
      <c r="AP266" s="6"/>
      <c r="AQ266" s="6"/>
      <c r="AR266" s="6"/>
      <c r="AS266" s="15"/>
      <c r="AT266" s="6" t="str">
        <f ca="1">IFERROR(__xludf.DUMMYFUNCTION("SWITCH(IF(A266=""Practice"",AN266,FILTER('Items by Team'!E$2:E3410,'Items by Team'!C$2:C3410=D266,B266='Items by Team'!B$2:B3410)),""None"",""No"",""Parked"",""P"",""ShallowCage"",""Sc"",""DeepCage"",""Dc"",""No"",""No"",""P"",""P"",""Sc"",""Sc"",""Dc"","&amp;"""Dc"")"),"#REF!")</f>
        <v>#REF!</v>
      </c>
      <c r="AU266" s="6" t="str">
        <f ca="1">IFERROR(__xludf.DUMMYFUNCTION("SWITCH(IF(A266 = ""Practice"", H266, FILTER('Items by Team'!D$2:D3410,'Items by Team'!C$2:C3410 = D266,'Items by Team'!B$2:B3410 = B266)), ""Yes"", ""TRUE"", ""No"", ""FALSE"",TRUE, ""TRUE"", FALSE, ""FALSE"")"),"#REF!")</f>
        <v>#REF!</v>
      </c>
      <c r="AV266" s="6">
        <f t="shared" si="21"/>
        <v>0</v>
      </c>
      <c r="AW266" s="6">
        <f t="shared" si="22"/>
        <v>0</v>
      </c>
      <c r="AX266" s="6">
        <f t="shared" si="23"/>
        <v>0</v>
      </c>
      <c r="AY266" s="6">
        <f t="shared" si="24"/>
        <v>0</v>
      </c>
      <c r="AZ266" s="9" t="str">
        <f t="shared" si="25"/>
        <v/>
      </c>
      <c r="BA266" s="6">
        <f t="shared" si="26"/>
        <v>0</v>
      </c>
      <c r="BB266" s="6">
        <f t="shared" si="27"/>
        <v>0</v>
      </c>
      <c r="BC266" s="9" t="str">
        <f t="shared" si="28"/>
        <v/>
      </c>
      <c r="BD266" s="6">
        <f t="shared" si="29"/>
        <v>0</v>
      </c>
      <c r="BE266" s="6">
        <f t="shared" si="30"/>
        <v>0</v>
      </c>
      <c r="BF266" s="9" t="str">
        <f t="shared" si="31"/>
        <v/>
      </c>
      <c r="BG266" s="6">
        <f t="shared" si="32"/>
        <v>0</v>
      </c>
      <c r="BH266" s="6">
        <f t="shared" si="33"/>
        <v>0</v>
      </c>
      <c r="BI266" s="9" t="str">
        <f t="shared" si="34"/>
        <v/>
      </c>
      <c r="BJ266" s="6">
        <f t="shared" si="35"/>
        <v>0</v>
      </c>
      <c r="BK266" s="6">
        <f t="shared" si="36"/>
        <v>0</v>
      </c>
      <c r="BL266" s="6">
        <f t="shared" si="37"/>
        <v>0</v>
      </c>
      <c r="BM266" s="6">
        <f t="shared" si="38"/>
        <v>0</v>
      </c>
      <c r="BN266" s="6">
        <f t="shared" si="39"/>
        <v>0</v>
      </c>
      <c r="BP266" s="6">
        <f t="shared" si="40"/>
        <v>0</v>
      </c>
      <c r="BQ266" s="6" t="b">
        <f ca="1">IFERROR(__xludf.DUMMYFUNCTION("IF(AND(ISERROR(FILTER('Items by Team'!D$2:D3410,'Items by Team'!C$2:C3410 = D266,'Items by Team'!B$2:B3410 = B266)),NOT(A266=""Practice"")),TRUE,FALSE)"),FALSE)</f>
        <v>0</v>
      </c>
      <c r="BR266" s="6">
        <f t="shared" ca="1" si="41"/>
        <v>0</v>
      </c>
    </row>
    <row r="267" spans="1:70">
      <c r="A267" s="6"/>
      <c r="B267" s="6"/>
      <c r="C267" s="6"/>
      <c r="D267" s="6"/>
      <c r="E267" s="6"/>
      <c r="F267" s="6"/>
      <c r="G267" s="6"/>
      <c r="H267" s="6"/>
      <c r="I267" s="6"/>
      <c r="J267" s="6"/>
      <c r="K267" s="6"/>
      <c r="L267" s="6"/>
      <c r="M267" s="6"/>
      <c r="N267" s="6"/>
      <c r="O267" s="6"/>
      <c r="P267" s="6"/>
      <c r="R267" s="6"/>
      <c r="S267" s="6"/>
      <c r="T267" s="6"/>
      <c r="U267" s="6"/>
      <c r="V267" s="6"/>
      <c r="W267" s="6"/>
      <c r="X267" s="6"/>
      <c r="Y267" s="6"/>
      <c r="Z267" s="6"/>
      <c r="AA267" s="6"/>
      <c r="AB267" s="6"/>
      <c r="AD267" s="6"/>
      <c r="AE267" s="6"/>
      <c r="AF267" s="6"/>
      <c r="AG267" s="6"/>
      <c r="AH267" s="6"/>
      <c r="AI267" s="6"/>
      <c r="AK267" s="6"/>
      <c r="AL267" s="6"/>
      <c r="AM267" s="6"/>
      <c r="AN267" s="6"/>
      <c r="AO267" s="6"/>
      <c r="AP267" s="6"/>
      <c r="AQ267" s="6"/>
      <c r="AR267" s="6"/>
      <c r="AS267" s="15"/>
      <c r="AT267" s="6" t="str">
        <f ca="1">IFERROR(__xludf.DUMMYFUNCTION("SWITCH(IF(A267=""Practice"",AN267,FILTER('Items by Team'!E$2:E3410,'Items by Team'!C$2:C3410=D267,B267='Items by Team'!B$2:B3410)),""None"",""No"",""Parked"",""P"",""ShallowCage"",""Sc"",""DeepCage"",""Dc"",""No"",""No"",""P"",""P"",""Sc"",""Sc"",""Dc"","&amp;"""Dc"")"),"#REF!")</f>
        <v>#REF!</v>
      </c>
      <c r="AU267" s="6" t="str">
        <f ca="1">IFERROR(__xludf.DUMMYFUNCTION("SWITCH(IF(A267 = ""Practice"", H267, FILTER('Items by Team'!D$2:D3410,'Items by Team'!C$2:C3410 = D267,'Items by Team'!B$2:B3410 = B267)), ""Yes"", ""TRUE"", ""No"", ""FALSE"",TRUE, ""TRUE"", FALSE, ""FALSE"")"),"#REF!")</f>
        <v>#REF!</v>
      </c>
      <c r="AV267" s="6">
        <f t="shared" si="21"/>
        <v>0</v>
      </c>
      <c r="AW267" s="6">
        <f t="shared" si="22"/>
        <v>0</v>
      </c>
      <c r="AX267" s="6">
        <f t="shared" si="23"/>
        <v>0</v>
      </c>
      <c r="AY267" s="6">
        <f t="shared" si="24"/>
        <v>0</v>
      </c>
      <c r="AZ267" s="9" t="str">
        <f t="shared" si="25"/>
        <v/>
      </c>
      <c r="BA267" s="6">
        <f t="shared" si="26"/>
        <v>0</v>
      </c>
      <c r="BB267" s="6">
        <f t="shared" si="27"/>
        <v>0</v>
      </c>
      <c r="BC267" s="9" t="str">
        <f t="shared" si="28"/>
        <v/>
      </c>
      <c r="BD267" s="6">
        <f t="shared" si="29"/>
        <v>0</v>
      </c>
      <c r="BE267" s="6">
        <f t="shared" si="30"/>
        <v>0</v>
      </c>
      <c r="BF267" s="9" t="str">
        <f t="shared" si="31"/>
        <v/>
      </c>
      <c r="BG267" s="6">
        <f t="shared" si="32"/>
        <v>0</v>
      </c>
      <c r="BH267" s="6">
        <f t="shared" si="33"/>
        <v>0</v>
      </c>
      <c r="BI267" s="9" t="str">
        <f t="shared" si="34"/>
        <v/>
      </c>
      <c r="BJ267" s="6">
        <f t="shared" si="35"/>
        <v>0</v>
      </c>
      <c r="BK267" s="6">
        <f t="shared" si="36"/>
        <v>0</v>
      </c>
      <c r="BL267" s="6">
        <f t="shared" si="37"/>
        <v>0</v>
      </c>
      <c r="BM267" s="6">
        <f t="shared" si="38"/>
        <v>0</v>
      </c>
      <c r="BN267" s="6">
        <f t="shared" si="39"/>
        <v>0</v>
      </c>
      <c r="BP267" s="6">
        <f t="shared" si="40"/>
        <v>0</v>
      </c>
      <c r="BQ267" s="6" t="b">
        <f ca="1">IFERROR(__xludf.DUMMYFUNCTION("IF(AND(ISERROR(FILTER('Items by Team'!D$2:D3410,'Items by Team'!C$2:C3410 = D267,'Items by Team'!B$2:B3410 = B267)),NOT(A267=""Practice"")),TRUE,FALSE)"),FALSE)</f>
        <v>0</v>
      </c>
      <c r="BR267" s="6">
        <f t="shared" ca="1" si="41"/>
        <v>0</v>
      </c>
    </row>
    <row r="268" spans="1:70">
      <c r="A268" s="6"/>
      <c r="B268" s="6"/>
      <c r="C268" s="6"/>
      <c r="D268" s="6"/>
      <c r="E268" s="6"/>
      <c r="F268" s="6"/>
      <c r="G268" s="6"/>
      <c r="H268" s="6"/>
      <c r="I268" s="6"/>
      <c r="J268" s="6"/>
      <c r="K268" s="6"/>
      <c r="L268" s="6"/>
      <c r="M268" s="6"/>
      <c r="N268" s="6"/>
      <c r="O268" s="6"/>
      <c r="P268" s="6"/>
      <c r="R268" s="6"/>
      <c r="S268" s="6"/>
      <c r="T268" s="6"/>
      <c r="U268" s="6"/>
      <c r="V268" s="6"/>
      <c r="W268" s="6"/>
      <c r="X268" s="6"/>
      <c r="Y268" s="6"/>
      <c r="Z268" s="6"/>
      <c r="AA268" s="6"/>
      <c r="AB268" s="6"/>
      <c r="AD268" s="6"/>
      <c r="AE268" s="6"/>
      <c r="AF268" s="6"/>
      <c r="AG268" s="6"/>
      <c r="AH268" s="6"/>
      <c r="AI268" s="6"/>
      <c r="AK268" s="6"/>
      <c r="AL268" s="6"/>
      <c r="AM268" s="6"/>
      <c r="AN268" s="6"/>
      <c r="AO268" s="6"/>
      <c r="AP268" s="6"/>
      <c r="AQ268" s="6"/>
      <c r="AR268" s="6"/>
      <c r="AS268" s="15"/>
      <c r="AT268" s="6" t="str">
        <f ca="1">IFERROR(__xludf.DUMMYFUNCTION("SWITCH(IF(A268=""Practice"",AN268,FILTER('Items by Team'!E$2:E3410,'Items by Team'!C$2:C3410=D268,B268='Items by Team'!B$2:B3410)),""None"",""No"",""Parked"",""P"",""ShallowCage"",""Sc"",""DeepCage"",""Dc"",""No"",""No"",""P"",""P"",""Sc"",""Sc"",""Dc"","&amp;"""Dc"")"),"#REF!")</f>
        <v>#REF!</v>
      </c>
      <c r="AU268" s="6" t="str">
        <f ca="1">IFERROR(__xludf.DUMMYFUNCTION("SWITCH(IF(A268 = ""Practice"", H268, FILTER('Items by Team'!D$2:D3410,'Items by Team'!C$2:C3410 = D268,'Items by Team'!B$2:B3410 = B268)), ""Yes"", ""TRUE"", ""No"", ""FALSE"",TRUE, ""TRUE"", FALSE, ""FALSE"")"),"#REF!")</f>
        <v>#REF!</v>
      </c>
      <c r="AV268" s="6">
        <f t="shared" si="21"/>
        <v>0</v>
      </c>
      <c r="AW268" s="6">
        <f t="shared" si="22"/>
        <v>0</v>
      </c>
      <c r="AX268" s="6">
        <f t="shared" si="23"/>
        <v>0</v>
      </c>
      <c r="AY268" s="6">
        <f t="shared" si="24"/>
        <v>0</v>
      </c>
      <c r="AZ268" s="9" t="str">
        <f t="shared" si="25"/>
        <v/>
      </c>
      <c r="BA268" s="6">
        <f t="shared" si="26"/>
        <v>0</v>
      </c>
      <c r="BB268" s="6">
        <f t="shared" si="27"/>
        <v>0</v>
      </c>
      <c r="BC268" s="9" t="str">
        <f t="shared" si="28"/>
        <v/>
      </c>
      <c r="BD268" s="6">
        <f t="shared" si="29"/>
        <v>0</v>
      </c>
      <c r="BE268" s="6">
        <f t="shared" si="30"/>
        <v>0</v>
      </c>
      <c r="BF268" s="9" t="str">
        <f t="shared" si="31"/>
        <v/>
      </c>
      <c r="BG268" s="6">
        <f t="shared" si="32"/>
        <v>0</v>
      </c>
      <c r="BH268" s="6">
        <f t="shared" si="33"/>
        <v>0</v>
      </c>
      <c r="BI268" s="9" t="str">
        <f t="shared" si="34"/>
        <v/>
      </c>
      <c r="BJ268" s="6">
        <f t="shared" si="35"/>
        <v>0</v>
      </c>
      <c r="BK268" s="6">
        <f t="shared" si="36"/>
        <v>0</v>
      </c>
      <c r="BL268" s="6">
        <f t="shared" si="37"/>
        <v>0</v>
      </c>
      <c r="BM268" s="6">
        <f t="shared" si="38"/>
        <v>0</v>
      </c>
      <c r="BN268" s="6">
        <f t="shared" si="39"/>
        <v>0</v>
      </c>
      <c r="BP268" s="6">
        <f t="shared" si="40"/>
        <v>0</v>
      </c>
      <c r="BQ268" s="6" t="b">
        <f ca="1">IFERROR(__xludf.DUMMYFUNCTION("IF(AND(ISERROR(FILTER('Items by Team'!D$2:D3410,'Items by Team'!C$2:C3410 = D268,'Items by Team'!B$2:B3410 = B268)),NOT(A268=""Practice"")),TRUE,FALSE)"),FALSE)</f>
        <v>0</v>
      </c>
      <c r="BR268" s="6">
        <f t="shared" ca="1" si="41"/>
        <v>0</v>
      </c>
    </row>
    <row r="269" spans="1:70">
      <c r="A269" s="6"/>
      <c r="B269" s="6"/>
      <c r="C269" s="6"/>
      <c r="D269" s="6"/>
      <c r="E269" s="6"/>
      <c r="F269" s="6"/>
      <c r="G269" s="6"/>
      <c r="H269" s="6"/>
      <c r="I269" s="6"/>
      <c r="J269" s="6"/>
      <c r="K269" s="6"/>
      <c r="L269" s="6"/>
      <c r="M269" s="6"/>
      <c r="N269" s="6"/>
      <c r="O269" s="6"/>
      <c r="P269" s="6"/>
      <c r="R269" s="6"/>
      <c r="S269" s="6"/>
      <c r="T269" s="6"/>
      <c r="U269" s="6"/>
      <c r="V269" s="6"/>
      <c r="W269" s="6"/>
      <c r="X269" s="6"/>
      <c r="Y269" s="6"/>
      <c r="Z269" s="6"/>
      <c r="AA269" s="6"/>
      <c r="AB269" s="6"/>
      <c r="AD269" s="6"/>
      <c r="AE269" s="6"/>
      <c r="AF269" s="6"/>
      <c r="AG269" s="6"/>
      <c r="AH269" s="6"/>
      <c r="AI269" s="6"/>
      <c r="AK269" s="6"/>
      <c r="AL269" s="6"/>
      <c r="AM269" s="6"/>
      <c r="AN269" s="6"/>
      <c r="AO269" s="6"/>
      <c r="AP269" s="6"/>
      <c r="AQ269" s="6"/>
      <c r="AR269" s="6"/>
      <c r="AS269" s="15"/>
      <c r="AT269" s="6" t="str">
        <f ca="1">IFERROR(__xludf.DUMMYFUNCTION("SWITCH(IF(A269=""Practice"",AN269,FILTER('Items by Team'!E$2:E3410,'Items by Team'!C$2:C3410=D269,B269='Items by Team'!B$2:B3410)),""None"",""No"",""Parked"",""P"",""ShallowCage"",""Sc"",""DeepCage"",""Dc"",""No"",""No"",""P"",""P"",""Sc"",""Sc"",""Dc"","&amp;"""Dc"")"),"#REF!")</f>
        <v>#REF!</v>
      </c>
      <c r="AU269" s="6" t="str">
        <f ca="1">IFERROR(__xludf.DUMMYFUNCTION("SWITCH(IF(A269 = ""Practice"", H269, FILTER('Items by Team'!D$2:D3410,'Items by Team'!C$2:C3410 = D269,'Items by Team'!B$2:B3410 = B269)), ""Yes"", ""TRUE"", ""No"", ""FALSE"",TRUE, ""TRUE"", FALSE, ""FALSE"")"),"#REF!")</f>
        <v>#REF!</v>
      </c>
      <c r="AV269" s="6">
        <f t="shared" si="21"/>
        <v>0</v>
      </c>
      <c r="AW269" s="6">
        <f t="shared" si="22"/>
        <v>0</v>
      </c>
      <c r="AX269" s="6">
        <f t="shared" si="23"/>
        <v>0</v>
      </c>
      <c r="AY269" s="6">
        <f t="shared" si="24"/>
        <v>0</v>
      </c>
      <c r="AZ269" s="9" t="str">
        <f t="shared" si="25"/>
        <v/>
      </c>
      <c r="BA269" s="6">
        <f t="shared" si="26"/>
        <v>0</v>
      </c>
      <c r="BB269" s="6">
        <f t="shared" si="27"/>
        <v>0</v>
      </c>
      <c r="BC269" s="9" t="str">
        <f t="shared" si="28"/>
        <v/>
      </c>
      <c r="BD269" s="6">
        <f t="shared" si="29"/>
        <v>0</v>
      </c>
      <c r="BE269" s="6">
        <f t="shared" si="30"/>
        <v>0</v>
      </c>
      <c r="BF269" s="9" t="str">
        <f t="shared" si="31"/>
        <v/>
      </c>
      <c r="BG269" s="6">
        <f t="shared" si="32"/>
        <v>0</v>
      </c>
      <c r="BH269" s="6">
        <f t="shared" si="33"/>
        <v>0</v>
      </c>
      <c r="BI269" s="9" t="str">
        <f t="shared" si="34"/>
        <v/>
      </c>
      <c r="BJ269" s="6">
        <f t="shared" si="35"/>
        <v>0</v>
      </c>
      <c r="BK269" s="6">
        <f t="shared" si="36"/>
        <v>0</v>
      </c>
      <c r="BL269" s="6">
        <f t="shared" si="37"/>
        <v>0</v>
      </c>
      <c r="BM269" s="6">
        <f t="shared" si="38"/>
        <v>0</v>
      </c>
      <c r="BN269" s="6">
        <f t="shared" si="39"/>
        <v>0</v>
      </c>
      <c r="BP269" s="6">
        <f t="shared" si="40"/>
        <v>0</v>
      </c>
      <c r="BQ269" s="6" t="b">
        <f ca="1">IFERROR(__xludf.DUMMYFUNCTION("IF(AND(ISERROR(FILTER('Items by Team'!D$2:D3410,'Items by Team'!C$2:C3410 = D269,'Items by Team'!B$2:B3410 = B269)),NOT(A269=""Practice"")),TRUE,FALSE)"),FALSE)</f>
        <v>0</v>
      </c>
      <c r="BR269" s="6">
        <f t="shared" ca="1" si="41"/>
        <v>0</v>
      </c>
    </row>
    <row r="270" spans="1:70">
      <c r="A270" s="6"/>
      <c r="B270" s="6"/>
      <c r="C270" s="6"/>
      <c r="D270" s="6"/>
      <c r="E270" s="6"/>
      <c r="F270" s="6"/>
      <c r="G270" s="6"/>
      <c r="H270" s="6"/>
      <c r="I270" s="6"/>
      <c r="J270" s="6"/>
      <c r="K270" s="6"/>
      <c r="L270" s="6"/>
      <c r="M270" s="6"/>
      <c r="N270" s="6"/>
      <c r="O270" s="6"/>
      <c r="P270" s="6"/>
      <c r="R270" s="6"/>
      <c r="S270" s="6"/>
      <c r="T270" s="6"/>
      <c r="U270" s="6"/>
      <c r="V270" s="6"/>
      <c r="W270" s="6"/>
      <c r="X270" s="6"/>
      <c r="Y270" s="6"/>
      <c r="Z270" s="6"/>
      <c r="AA270" s="6"/>
      <c r="AB270" s="6"/>
      <c r="AD270" s="6"/>
      <c r="AE270" s="6"/>
      <c r="AF270" s="6"/>
      <c r="AG270" s="6"/>
      <c r="AH270" s="6"/>
      <c r="AI270" s="6"/>
      <c r="AK270" s="6"/>
      <c r="AL270" s="6"/>
      <c r="AM270" s="6"/>
      <c r="AN270" s="6"/>
      <c r="AO270" s="6"/>
      <c r="AP270" s="6"/>
      <c r="AQ270" s="6"/>
      <c r="AR270" s="6"/>
      <c r="AS270" s="15"/>
      <c r="AT270" s="6" t="str">
        <f ca="1">IFERROR(__xludf.DUMMYFUNCTION("SWITCH(IF(A270=""Practice"",AN270,FILTER('Items by Team'!E$2:E3410,'Items by Team'!C$2:C3410=D270,B270='Items by Team'!B$2:B3410)),""None"",""No"",""Parked"",""P"",""ShallowCage"",""Sc"",""DeepCage"",""Dc"",""No"",""No"",""P"",""P"",""Sc"",""Sc"",""Dc"","&amp;"""Dc"")"),"#REF!")</f>
        <v>#REF!</v>
      </c>
      <c r="AU270" s="6" t="str">
        <f ca="1">IFERROR(__xludf.DUMMYFUNCTION("SWITCH(IF(A270 = ""Practice"", H270, FILTER('Items by Team'!D$2:D3410,'Items by Team'!C$2:C3410 = D270,'Items by Team'!B$2:B3410 = B270)), ""Yes"", ""TRUE"", ""No"", ""FALSE"",TRUE, ""TRUE"", FALSE, ""FALSE"")"),"#REF!")</f>
        <v>#REF!</v>
      </c>
      <c r="AV270" s="6">
        <f t="shared" si="21"/>
        <v>0</v>
      </c>
      <c r="AW270" s="6">
        <f t="shared" si="22"/>
        <v>0</v>
      </c>
      <c r="AX270" s="6">
        <f t="shared" si="23"/>
        <v>0</v>
      </c>
      <c r="AY270" s="6">
        <f t="shared" si="24"/>
        <v>0</v>
      </c>
      <c r="AZ270" s="9" t="str">
        <f t="shared" si="25"/>
        <v/>
      </c>
      <c r="BA270" s="6">
        <f t="shared" si="26"/>
        <v>0</v>
      </c>
      <c r="BB270" s="6">
        <f t="shared" si="27"/>
        <v>0</v>
      </c>
      <c r="BC270" s="9" t="str">
        <f t="shared" si="28"/>
        <v/>
      </c>
      <c r="BD270" s="6">
        <f t="shared" si="29"/>
        <v>0</v>
      </c>
      <c r="BE270" s="6">
        <f t="shared" si="30"/>
        <v>0</v>
      </c>
      <c r="BF270" s="9" t="str">
        <f t="shared" si="31"/>
        <v/>
      </c>
      <c r="BG270" s="6">
        <f t="shared" si="32"/>
        <v>0</v>
      </c>
      <c r="BH270" s="6">
        <f t="shared" si="33"/>
        <v>0</v>
      </c>
      <c r="BI270" s="9" t="str">
        <f t="shared" si="34"/>
        <v/>
      </c>
      <c r="BJ270" s="6">
        <f t="shared" si="35"/>
        <v>0</v>
      </c>
      <c r="BK270" s="6">
        <f t="shared" si="36"/>
        <v>0</v>
      </c>
      <c r="BL270" s="6">
        <f t="shared" si="37"/>
        <v>0</v>
      </c>
      <c r="BM270" s="6">
        <f t="shared" si="38"/>
        <v>0</v>
      </c>
      <c r="BN270" s="6">
        <f t="shared" si="39"/>
        <v>0</v>
      </c>
      <c r="BP270" s="6">
        <f t="shared" si="40"/>
        <v>0</v>
      </c>
      <c r="BQ270" s="6" t="b">
        <f ca="1">IFERROR(__xludf.DUMMYFUNCTION("IF(AND(ISERROR(FILTER('Items by Team'!D$2:D3410,'Items by Team'!C$2:C3410 = D270,'Items by Team'!B$2:B3410 = B270)),NOT(A270=""Practice"")),TRUE,FALSE)"),FALSE)</f>
        <v>0</v>
      </c>
      <c r="BR270" s="6">
        <f t="shared" ca="1" si="41"/>
        <v>0</v>
      </c>
    </row>
    <row r="271" spans="1:70">
      <c r="A271" s="6"/>
      <c r="B271" s="6"/>
      <c r="C271" s="6"/>
      <c r="D271" s="6"/>
      <c r="E271" s="6"/>
      <c r="F271" s="6"/>
      <c r="G271" s="6"/>
      <c r="H271" s="6"/>
      <c r="I271" s="6"/>
      <c r="J271" s="6"/>
      <c r="K271" s="6"/>
      <c r="L271" s="6"/>
      <c r="M271" s="6"/>
      <c r="N271" s="6"/>
      <c r="O271" s="6"/>
      <c r="P271" s="6"/>
      <c r="R271" s="6"/>
      <c r="S271" s="6"/>
      <c r="T271" s="6"/>
      <c r="U271" s="6"/>
      <c r="V271" s="6"/>
      <c r="W271" s="6"/>
      <c r="X271" s="6"/>
      <c r="Y271" s="6"/>
      <c r="Z271" s="6"/>
      <c r="AA271" s="6"/>
      <c r="AB271" s="6"/>
      <c r="AD271" s="6"/>
      <c r="AE271" s="6"/>
      <c r="AF271" s="6"/>
      <c r="AG271" s="6"/>
      <c r="AH271" s="6"/>
      <c r="AI271" s="6"/>
      <c r="AK271" s="6"/>
      <c r="AL271" s="6"/>
      <c r="AM271" s="6"/>
      <c r="AN271" s="6"/>
      <c r="AO271" s="6"/>
      <c r="AP271" s="6"/>
      <c r="AQ271" s="6"/>
      <c r="AR271" s="6"/>
      <c r="AS271" s="15"/>
      <c r="AT271" s="6" t="str">
        <f ca="1">IFERROR(__xludf.DUMMYFUNCTION("SWITCH(IF(A271=""Practice"",AN271,FILTER('Items by Team'!E$2:E3410,'Items by Team'!C$2:C3410=D271,B271='Items by Team'!B$2:B3410)),""None"",""No"",""Parked"",""P"",""ShallowCage"",""Sc"",""DeepCage"",""Dc"",""No"",""No"",""P"",""P"",""Sc"",""Sc"",""Dc"","&amp;"""Dc"")"),"#REF!")</f>
        <v>#REF!</v>
      </c>
      <c r="AU271" s="6" t="str">
        <f ca="1">IFERROR(__xludf.DUMMYFUNCTION("SWITCH(IF(A271 = ""Practice"", H271, FILTER('Items by Team'!D$2:D3410,'Items by Team'!C$2:C3410 = D271,'Items by Team'!B$2:B3410 = B271)), ""Yes"", ""TRUE"", ""No"", ""FALSE"",TRUE, ""TRUE"", FALSE, ""FALSE"")"),"#REF!")</f>
        <v>#REF!</v>
      </c>
      <c r="AV271" s="6">
        <f t="shared" si="21"/>
        <v>0</v>
      </c>
      <c r="AW271" s="6">
        <f t="shared" si="22"/>
        <v>0</v>
      </c>
      <c r="AX271" s="6">
        <f t="shared" si="23"/>
        <v>0</v>
      </c>
      <c r="AY271" s="6">
        <f t="shared" si="24"/>
        <v>0</v>
      </c>
      <c r="AZ271" s="9" t="str">
        <f t="shared" si="25"/>
        <v/>
      </c>
      <c r="BA271" s="6">
        <f t="shared" si="26"/>
        <v>0</v>
      </c>
      <c r="BB271" s="6">
        <f t="shared" si="27"/>
        <v>0</v>
      </c>
      <c r="BC271" s="9" t="str">
        <f t="shared" si="28"/>
        <v/>
      </c>
      <c r="BD271" s="6">
        <f t="shared" si="29"/>
        <v>0</v>
      </c>
      <c r="BE271" s="6">
        <f t="shared" si="30"/>
        <v>0</v>
      </c>
      <c r="BF271" s="9" t="str">
        <f t="shared" si="31"/>
        <v/>
      </c>
      <c r="BG271" s="6">
        <f t="shared" si="32"/>
        <v>0</v>
      </c>
      <c r="BH271" s="6">
        <f t="shared" si="33"/>
        <v>0</v>
      </c>
      <c r="BI271" s="9" t="str">
        <f t="shared" si="34"/>
        <v/>
      </c>
      <c r="BJ271" s="6">
        <f t="shared" si="35"/>
        <v>0</v>
      </c>
      <c r="BK271" s="6">
        <f t="shared" si="36"/>
        <v>0</v>
      </c>
      <c r="BL271" s="6">
        <f t="shared" si="37"/>
        <v>0</v>
      </c>
      <c r="BM271" s="6">
        <f t="shared" si="38"/>
        <v>0</v>
      </c>
      <c r="BN271" s="6">
        <f t="shared" si="39"/>
        <v>0</v>
      </c>
      <c r="BP271" s="6">
        <f t="shared" si="40"/>
        <v>0</v>
      </c>
      <c r="BQ271" s="6" t="b">
        <f ca="1">IFERROR(__xludf.DUMMYFUNCTION("IF(AND(ISERROR(FILTER('Items by Team'!D$2:D3410,'Items by Team'!C$2:C3410 = D271,'Items by Team'!B$2:B3410 = B271)),NOT(A271=""Practice"")),TRUE,FALSE)"),FALSE)</f>
        <v>0</v>
      </c>
      <c r="BR271" s="6">
        <f t="shared" ca="1" si="41"/>
        <v>0</v>
      </c>
    </row>
    <row r="272" spans="1:70">
      <c r="A272" s="6"/>
      <c r="B272" s="6"/>
      <c r="C272" s="6"/>
      <c r="D272" s="6"/>
      <c r="E272" s="6"/>
      <c r="F272" s="6"/>
      <c r="G272" s="6"/>
      <c r="H272" s="6"/>
      <c r="I272" s="6"/>
      <c r="J272" s="6"/>
      <c r="K272" s="6"/>
      <c r="L272" s="6"/>
      <c r="M272" s="6"/>
      <c r="N272" s="6"/>
      <c r="O272" s="6"/>
      <c r="P272" s="6"/>
      <c r="R272" s="6"/>
      <c r="S272" s="6"/>
      <c r="T272" s="6"/>
      <c r="U272" s="6"/>
      <c r="V272" s="6"/>
      <c r="W272" s="6"/>
      <c r="X272" s="6"/>
      <c r="Y272" s="6"/>
      <c r="Z272" s="6"/>
      <c r="AA272" s="6"/>
      <c r="AB272" s="6"/>
      <c r="AD272" s="6"/>
      <c r="AE272" s="6"/>
      <c r="AF272" s="6"/>
      <c r="AG272" s="6"/>
      <c r="AH272" s="6"/>
      <c r="AI272" s="6"/>
      <c r="AK272" s="6"/>
      <c r="AL272" s="6"/>
      <c r="AM272" s="6"/>
      <c r="AN272" s="6"/>
      <c r="AO272" s="6"/>
      <c r="AP272" s="6"/>
      <c r="AQ272" s="6"/>
      <c r="AR272" s="6"/>
      <c r="AS272" s="15"/>
      <c r="AT272" s="6" t="str">
        <f ca="1">IFERROR(__xludf.DUMMYFUNCTION("SWITCH(IF(A272=""Practice"",AN272,FILTER('Items by Team'!E$2:E3410,'Items by Team'!C$2:C3410=D272,B272='Items by Team'!B$2:B3410)),""None"",""No"",""Parked"",""P"",""ShallowCage"",""Sc"",""DeepCage"",""Dc"",""No"",""No"",""P"",""P"",""Sc"",""Sc"",""Dc"","&amp;"""Dc"")"),"#REF!")</f>
        <v>#REF!</v>
      </c>
      <c r="AU272" s="6" t="str">
        <f ca="1">IFERROR(__xludf.DUMMYFUNCTION("SWITCH(IF(A272 = ""Practice"", H272, FILTER('Items by Team'!D$2:D3410,'Items by Team'!C$2:C3410 = D272,'Items by Team'!B$2:B3410 = B272)), ""Yes"", ""TRUE"", ""No"", ""FALSE"",TRUE, ""TRUE"", FALSE, ""FALSE"")"),"#REF!")</f>
        <v>#REF!</v>
      </c>
      <c r="AV272" s="6">
        <f t="shared" si="21"/>
        <v>0</v>
      </c>
      <c r="AW272" s="6">
        <f t="shared" si="22"/>
        <v>0</v>
      </c>
      <c r="AX272" s="6">
        <f t="shared" si="23"/>
        <v>0</v>
      </c>
      <c r="AY272" s="6">
        <f t="shared" si="24"/>
        <v>0</v>
      </c>
      <c r="AZ272" s="9" t="str">
        <f t="shared" si="25"/>
        <v/>
      </c>
      <c r="BA272" s="6">
        <f t="shared" si="26"/>
        <v>0</v>
      </c>
      <c r="BB272" s="6">
        <f t="shared" si="27"/>
        <v>0</v>
      </c>
      <c r="BC272" s="9" t="str">
        <f t="shared" si="28"/>
        <v/>
      </c>
      <c r="BD272" s="6">
        <f t="shared" si="29"/>
        <v>0</v>
      </c>
      <c r="BE272" s="6">
        <f t="shared" si="30"/>
        <v>0</v>
      </c>
      <c r="BF272" s="9" t="str">
        <f t="shared" si="31"/>
        <v/>
      </c>
      <c r="BG272" s="6">
        <f t="shared" si="32"/>
        <v>0</v>
      </c>
      <c r="BH272" s="6">
        <f t="shared" si="33"/>
        <v>0</v>
      </c>
      <c r="BI272" s="9" t="str">
        <f t="shared" si="34"/>
        <v/>
      </c>
      <c r="BJ272" s="6">
        <f t="shared" si="35"/>
        <v>0</v>
      </c>
      <c r="BK272" s="6">
        <f t="shared" si="36"/>
        <v>0</v>
      </c>
      <c r="BL272" s="6">
        <f t="shared" si="37"/>
        <v>0</v>
      </c>
      <c r="BM272" s="6">
        <f t="shared" si="38"/>
        <v>0</v>
      </c>
      <c r="BN272" s="6">
        <f t="shared" si="39"/>
        <v>0</v>
      </c>
      <c r="BP272" s="6">
        <f t="shared" si="40"/>
        <v>0</v>
      </c>
      <c r="BQ272" s="6" t="b">
        <f ca="1">IFERROR(__xludf.DUMMYFUNCTION("IF(AND(ISERROR(FILTER('Items by Team'!D$2:D3410,'Items by Team'!C$2:C3410 = D272,'Items by Team'!B$2:B3410 = B272)),NOT(A272=""Practice"")),TRUE,FALSE)"),FALSE)</f>
        <v>0</v>
      </c>
      <c r="BR272" s="6">
        <f t="shared" ca="1" si="41"/>
        <v>0</v>
      </c>
    </row>
    <row r="273" spans="1:70">
      <c r="A273" s="6"/>
      <c r="B273" s="6"/>
      <c r="C273" s="6"/>
      <c r="D273" s="6"/>
      <c r="E273" s="6"/>
      <c r="F273" s="6"/>
      <c r="G273" s="6"/>
      <c r="H273" s="6"/>
      <c r="I273" s="6"/>
      <c r="J273" s="6"/>
      <c r="K273" s="6"/>
      <c r="L273" s="6"/>
      <c r="M273" s="6"/>
      <c r="N273" s="6"/>
      <c r="O273" s="6"/>
      <c r="P273" s="6"/>
      <c r="R273" s="6"/>
      <c r="S273" s="6"/>
      <c r="T273" s="6"/>
      <c r="U273" s="6"/>
      <c r="V273" s="6"/>
      <c r="W273" s="6"/>
      <c r="X273" s="6"/>
      <c r="Y273" s="6"/>
      <c r="Z273" s="6"/>
      <c r="AA273" s="6"/>
      <c r="AB273" s="6"/>
      <c r="AD273" s="6"/>
      <c r="AE273" s="6"/>
      <c r="AF273" s="6"/>
      <c r="AG273" s="6"/>
      <c r="AH273" s="6"/>
      <c r="AI273" s="6"/>
      <c r="AK273" s="6"/>
      <c r="AL273" s="6"/>
      <c r="AM273" s="6"/>
      <c r="AN273" s="6"/>
      <c r="AO273" s="6"/>
      <c r="AP273" s="6"/>
      <c r="AQ273" s="6"/>
      <c r="AR273" s="6"/>
      <c r="AS273" s="15"/>
      <c r="AT273" s="6" t="str">
        <f ca="1">IFERROR(__xludf.DUMMYFUNCTION("SWITCH(IF(A273=""Practice"",AN273,FILTER('Items by Team'!E$2:E3410,'Items by Team'!C$2:C3410=D273,B273='Items by Team'!B$2:B3410)),""None"",""No"",""Parked"",""P"",""ShallowCage"",""Sc"",""DeepCage"",""Dc"",""No"",""No"",""P"",""P"",""Sc"",""Sc"",""Dc"","&amp;"""Dc"")"),"#REF!")</f>
        <v>#REF!</v>
      </c>
      <c r="AU273" s="6" t="str">
        <f ca="1">IFERROR(__xludf.DUMMYFUNCTION("SWITCH(IF(A273 = ""Practice"", H273, FILTER('Items by Team'!D$2:D3410,'Items by Team'!C$2:C3410 = D273,'Items by Team'!B$2:B3410 = B273)), ""Yes"", ""TRUE"", ""No"", ""FALSE"",TRUE, ""TRUE"", FALSE, ""FALSE"")"),"#REF!")</f>
        <v>#REF!</v>
      </c>
      <c r="AV273" s="6">
        <f t="shared" si="21"/>
        <v>0</v>
      </c>
      <c r="AW273" s="6">
        <f t="shared" si="22"/>
        <v>0</v>
      </c>
      <c r="AX273" s="6">
        <f t="shared" si="23"/>
        <v>0</v>
      </c>
      <c r="AY273" s="6">
        <f t="shared" si="24"/>
        <v>0</v>
      </c>
      <c r="AZ273" s="9" t="str">
        <f t="shared" si="25"/>
        <v/>
      </c>
      <c r="BA273" s="6">
        <f t="shared" si="26"/>
        <v>0</v>
      </c>
      <c r="BB273" s="6">
        <f t="shared" si="27"/>
        <v>0</v>
      </c>
      <c r="BC273" s="9" t="str">
        <f t="shared" si="28"/>
        <v/>
      </c>
      <c r="BD273" s="6">
        <f t="shared" si="29"/>
        <v>0</v>
      </c>
      <c r="BE273" s="6">
        <f t="shared" si="30"/>
        <v>0</v>
      </c>
      <c r="BF273" s="9" t="str">
        <f t="shared" si="31"/>
        <v/>
      </c>
      <c r="BG273" s="6">
        <f t="shared" si="32"/>
        <v>0</v>
      </c>
      <c r="BH273" s="6">
        <f t="shared" si="33"/>
        <v>0</v>
      </c>
      <c r="BI273" s="9" t="str">
        <f t="shared" si="34"/>
        <v/>
      </c>
      <c r="BJ273" s="6">
        <f t="shared" si="35"/>
        <v>0</v>
      </c>
      <c r="BK273" s="6">
        <f t="shared" si="36"/>
        <v>0</v>
      </c>
      <c r="BL273" s="6">
        <f t="shared" si="37"/>
        <v>0</v>
      </c>
      <c r="BM273" s="6">
        <f t="shared" si="38"/>
        <v>0</v>
      </c>
      <c r="BN273" s="6">
        <f t="shared" si="39"/>
        <v>0</v>
      </c>
      <c r="BP273" s="6">
        <f t="shared" si="40"/>
        <v>0</v>
      </c>
      <c r="BQ273" s="6" t="b">
        <f ca="1">IFERROR(__xludf.DUMMYFUNCTION("IF(AND(ISERROR(FILTER('Items by Team'!D$2:D3410,'Items by Team'!C$2:C3410 = D273,'Items by Team'!B$2:B3410 = B273)),NOT(A273=""Practice"")),TRUE,FALSE)"),FALSE)</f>
        <v>0</v>
      </c>
      <c r="BR273" s="6">
        <f t="shared" ca="1" si="41"/>
        <v>0</v>
      </c>
    </row>
    <row r="274" spans="1:70">
      <c r="A274" s="6"/>
      <c r="B274" s="6"/>
      <c r="C274" s="6"/>
      <c r="D274" s="6"/>
      <c r="E274" s="6"/>
      <c r="F274" s="6"/>
      <c r="G274" s="6"/>
      <c r="H274" s="6"/>
      <c r="I274" s="6"/>
      <c r="J274" s="6"/>
      <c r="K274" s="6"/>
      <c r="L274" s="6"/>
      <c r="M274" s="6"/>
      <c r="N274" s="6"/>
      <c r="O274" s="6"/>
      <c r="P274" s="6"/>
      <c r="R274" s="6"/>
      <c r="S274" s="6"/>
      <c r="T274" s="6"/>
      <c r="U274" s="6"/>
      <c r="V274" s="6"/>
      <c r="W274" s="6"/>
      <c r="X274" s="6"/>
      <c r="Y274" s="6"/>
      <c r="Z274" s="6"/>
      <c r="AA274" s="6"/>
      <c r="AB274" s="6"/>
      <c r="AD274" s="6"/>
      <c r="AE274" s="6"/>
      <c r="AF274" s="6"/>
      <c r="AG274" s="6"/>
      <c r="AH274" s="6"/>
      <c r="AI274" s="6"/>
      <c r="AK274" s="6"/>
      <c r="AL274" s="6"/>
      <c r="AM274" s="6"/>
      <c r="AN274" s="6"/>
      <c r="AO274" s="6"/>
      <c r="AP274" s="6"/>
      <c r="AQ274" s="6"/>
      <c r="AR274" s="6"/>
      <c r="AS274" s="15"/>
      <c r="AT274" s="6" t="str">
        <f ca="1">IFERROR(__xludf.DUMMYFUNCTION("SWITCH(IF(A274=""Practice"",AN274,FILTER('Items by Team'!E$2:E3410,'Items by Team'!C$2:C3410=D274,B274='Items by Team'!B$2:B3410)),""None"",""No"",""Parked"",""P"",""ShallowCage"",""Sc"",""DeepCage"",""Dc"",""No"",""No"",""P"",""P"",""Sc"",""Sc"",""Dc"","&amp;"""Dc"")"),"#REF!")</f>
        <v>#REF!</v>
      </c>
      <c r="AU274" s="6" t="str">
        <f ca="1">IFERROR(__xludf.DUMMYFUNCTION("SWITCH(IF(A274 = ""Practice"", H274, FILTER('Items by Team'!D$2:D3410,'Items by Team'!C$2:C3410 = D274,'Items by Team'!B$2:B3410 = B274)), ""Yes"", ""TRUE"", ""No"", ""FALSE"",TRUE, ""TRUE"", FALSE, ""FALSE"")"),"#REF!")</f>
        <v>#REF!</v>
      </c>
      <c r="AV274" s="6">
        <f t="shared" si="21"/>
        <v>0</v>
      </c>
      <c r="AW274" s="6">
        <f t="shared" si="22"/>
        <v>0</v>
      </c>
      <c r="AX274" s="6">
        <f t="shared" si="23"/>
        <v>0</v>
      </c>
      <c r="AY274" s="6">
        <f t="shared" si="24"/>
        <v>0</v>
      </c>
      <c r="AZ274" s="9" t="str">
        <f t="shared" si="25"/>
        <v/>
      </c>
      <c r="BA274" s="6">
        <f t="shared" si="26"/>
        <v>0</v>
      </c>
      <c r="BB274" s="6">
        <f t="shared" si="27"/>
        <v>0</v>
      </c>
      <c r="BC274" s="9" t="str">
        <f t="shared" si="28"/>
        <v/>
      </c>
      <c r="BD274" s="6">
        <f t="shared" si="29"/>
        <v>0</v>
      </c>
      <c r="BE274" s="6">
        <f t="shared" si="30"/>
        <v>0</v>
      </c>
      <c r="BF274" s="9" t="str">
        <f t="shared" si="31"/>
        <v/>
      </c>
      <c r="BG274" s="6">
        <f t="shared" si="32"/>
        <v>0</v>
      </c>
      <c r="BH274" s="6">
        <f t="shared" si="33"/>
        <v>0</v>
      </c>
      <c r="BI274" s="9" t="str">
        <f t="shared" si="34"/>
        <v/>
      </c>
      <c r="BJ274" s="6">
        <f t="shared" si="35"/>
        <v>0</v>
      </c>
      <c r="BK274" s="6">
        <f t="shared" si="36"/>
        <v>0</v>
      </c>
      <c r="BL274" s="6">
        <f t="shared" si="37"/>
        <v>0</v>
      </c>
      <c r="BM274" s="6">
        <f t="shared" si="38"/>
        <v>0</v>
      </c>
      <c r="BN274" s="6">
        <f t="shared" si="39"/>
        <v>0</v>
      </c>
      <c r="BP274" s="6">
        <f t="shared" si="40"/>
        <v>0</v>
      </c>
      <c r="BQ274" s="6" t="b">
        <f ca="1">IFERROR(__xludf.DUMMYFUNCTION("IF(AND(ISERROR(FILTER('Items by Team'!D$2:D3410,'Items by Team'!C$2:C3410 = D274,'Items by Team'!B$2:B3410 = B274)),NOT(A274=""Practice"")),TRUE,FALSE)"),FALSE)</f>
        <v>0</v>
      </c>
      <c r="BR274" s="6">
        <f t="shared" ca="1" si="41"/>
        <v>0</v>
      </c>
    </row>
    <row r="275" spans="1:70">
      <c r="A275" s="6"/>
      <c r="B275" s="6"/>
      <c r="C275" s="6"/>
      <c r="D275" s="6"/>
      <c r="E275" s="6"/>
      <c r="F275" s="6"/>
      <c r="G275" s="6"/>
      <c r="H275" s="6"/>
      <c r="I275" s="6"/>
      <c r="J275" s="6"/>
      <c r="K275" s="6"/>
      <c r="L275" s="6"/>
      <c r="M275" s="6"/>
      <c r="N275" s="6"/>
      <c r="O275" s="6"/>
      <c r="P275" s="6"/>
      <c r="R275" s="6"/>
      <c r="S275" s="6"/>
      <c r="T275" s="6"/>
      <c r="U275" s="6"/>
      <c r="V275" s="6"/>
      <c r="W275" s="6"/>
      <c r="X275" s="6"/>
      <c r="Y275" s="6"/>
      <c r="Z275" s="6"/>
      <c r="AA275" s="6"/>
      <c r="AB275" s="6"/>
      <c r="AD275" s="6"/>
      <c r="AE275" s="6"/>
      <c r="AF275" s="6"/>
      <c r="AG275" s="6"/>
      <c r="AH275" s="6"/>
      <c r="AI275" s="6"/>
      <c r="AK275" s="6"/>
      <c r="AL275" s="6"/>
      <c r="AM275" s="6"/>
      <c r="AN275" s="6"/>
      <c r="AO275" s="6"/>
      <c r="AP275" s="6"/>
      <c r="AQ275" s="6"/>
      <c r="AR275" s="6"/>
      <c r="AS275" s="15"/>
      <c r="AT275" s="6" t="str">
        <f ca="1">IFERROR(__xludf.DUMMYFUNCTION("SWITCH(IF(A275=""Practice"",AN275,FILTER('Items by Team'!E$2:E3410,'Items by Team'!C$2:C3410=D275,B275='Items by Team'!B$2:B3410)),""None"",""No"",""Parked"",""P"",""ShallowCage"",""Sc"",""DeepCage"",""Dc"",""No"",""No"",""P"",""P"",""Sc"",""Sc"",""Dc"","&amp;"""Dc"")"),"#REF!")</f>
        <v>#REF!</v>
      </c>
      <c r="AU275" s="6" t="str">
        <f ca="1">IFERROR(__xludf.DUMMYFUNCTION("SWITCH(IF(A275 = ""Practice"", H275, FILTER('Items by Team'!D$2:D3410,'Items by Team'!C$2:C3410 = D275,'Items by Team'!B$2:B3410 = B275)), ""Yes"", ""TRUE"", ""No"", ""FALSE"",TRUE, ""TRUE"", FALSE, ""FALSE"")"),"#REF!")</f>
        <v>#REF!</v>
      </c>
      <c r="AV275" s="6">
        <f t="shared" si="21"/>
        <v>0</v>
      </c>
      <c r="AW275" s="6">
        <f t="shared" si="22"/>
        <v>0</v>
      </c>
      <c r="AX275" s="6">
        <f t="shared" si="23"/>
        <v>0</v>
      </c>
      <c r="AY275" s="6">
        <f t="shared" si="24"/>
        <v>0</v>
      </c>
      <c r="AZ275" s="9" t="str">
        <f t="shared" si="25"/>
        <v/>
      </c>
      <c r="BA275" s="6">
        <f t="shared" si="26"/>
        <v>0</v>
      </c>
      <c r="BB275" s="6">
        <f t="shared" si="27"/>
        <v>0</v>
      </c>
      <c r="BC275" s="9" t="str">
        <f t="shared" si="28"/>
        <v/>
      </c>
      <c r="BD275" s="6">
        <f t="shared" si="29"/>
        <v>0</v>
      </c>
      <c r="BE275" s="6">
        <f t="shared" si="30"/>
        <v>0</v>
      </c>
      <c r="BF275" s="9" t="str">
        <f t="shared" si="31"/>
        <v/>
      </c>
      <c r="BG275" s="6">
        <f t="shared" si="32"/>
        <v>0</v>
      </c>
      <c r="BH275" s="6">
        <f t="shared" si="33"/>
        <v>0</v>
      </c>
      <c r="BI275" s="9" t="str">
        <f t="shared" si="34"/>
        <v/>
      </c>
      <c r="BJ275" s="6">
        <f t="shared" si="35"/>
        <v>0</v>
      </c>
      <c r="BK275" s="6">
        <f t="shared" si="36"/>
        <v>0</v>
      </c>
      <c r="BL275" s="6">
        <f t="shared" si="37"/>
        <v>0</v>
      </c>
      <c r="BM275" s="6">
        <f t="shared" si="38"/>
        <v>0</v>
      </c>
      <c r="BN275" s="6">
        <f t="shared" si="39"/>
        <v>0</v>
      </c>
      <c r="BP275" s="6">
        <f t="shared" si="40"/>
        <v>0</v>
      </c>
      <c r="BQ275" s="6" t="b">
        <f ca="1">IFERROR(__xludf.DUMMYFUNCTION("IF(AND(ISERROR(FILTER('Items by Team'!D$2:D3410,'Items by Team'!C$2:C3410 = D275,'Items by Team'!B$2:B3410 = B275)),NOT(A275=""Practice"")),TRUE,FALSE)"),FALSE)</f>
        <v>0</v>
      </c>
      <c r="BR275" s="6">
        <f t="shared" ca="1" si="41"/>
        <v>0</v>
      </c>
    </row>
    <row r="276" spans="1:70">
      <c r="A276" s="6"/>
      <c r="B276" s="6"/>
      <c r="C276" s="6"/>
      <c r="D276" s="6"/>
      <c r="E276" s="6"/>
      <c r="F276" s="6"/>
      <c r="G276" s="6"/>
      <c r="H276" s="6"/>
      <c r="I276" s="6"/>
      <c r="J276" s="6"/>
      <c r="K276" s="6"/>
      <c r="L276" s="6"/>
      <c r="M276" s="6"/>
      <c r="N276" s="6"/>
      <c r="O276" s="6"/>
      <c r="P276" s="6"/>
      <c r="R276" s="6"/>
      <c r="S276" s="6"/>
      <c r="T276" s="6"/>
      <c r="U276" s="6"/>
      <c r="V276" s="6"/>
      <c r="W276" s="6"/>
      <c r="X276" s="6"/>
      <c r="Y276" s="6"/>
      <c r="Z276" s="6"/>
      <c r="AA276" s="6"/>
      <c r="AB276" s="6"/>
      <c r="AD276" s="6"/>
      <c r="AE276" s="6"/>
      <c r="AF276" s="6"/>
      <c r="AG276" s="6"/>
      <c r="AH276" s="6"/>
      <c r="AI276" s="6"/>
      <c r="AK276" s="6"/>
      <c r="AL276" s="6"/>
      <c r="AM276" s="6"/>
      <c r="AN276" s="6"/>
      <c r="AO276" s="6"/>
      <c r="AP276" s="6"/>
      <c r="AQ276" s="6"/>
      <c r="AR276" s="6"/>
      <c r="AS276" s="15"/>
      <c r="AT276" s="6" t="str">
        <f ca="1">IFERROR(__xludf.DUMMYFUNCTION("SWITCH(IF(A276=""Practice"",AN276,FILTER('Items by Team'!E$2:E3410,'Items by Team'!C$2:C3410=D276,B276='Items by Team'!B$2:B3410)),""None"",""No"",""Parked"",""P"",""ShallowCage"",""Sc"",""DeepCage"",""Dc"",""No"",""No"",""P"",""P"",""Sc"",""Sc"",""Dc"","&amp;"""Dc"")"),"#REF!")</f>
        <v>#REF!</v>
      </c>
      <c r="AU276" s="6" t="str">
        <f ca="1">IFERROR(__xludf.DUMMYFUNCTION("SWITCH(IF(A276 = ""Practice"", H276, FILTER('Items by Team'!D$2:D3410,'Items by Team'!C$2:C3410 = D276,'Items by Team'!B$2:B3410 = B276)), ""Yes"", ""TRUE"", ""No"", ""FALSE"",TRUE, ""TRUE"", FALSE, ""FALSE"")"),"#REF!")</f>
        <v>#REF!</v>
      </c>
      <c r="AV276" s="6">
        <f t="shared" si="21"/>
        <v>0</v>
      </c>
      <c r="AW276" s="6">
        <f t="shared" si="22"/>
        <v>0</v>
      </c>
      <c r="AX276" s="6">
        <f t="shared" si="23"/>
        <v>0</v>
      </c>
      <c r="AY276" s="6">
        <f t="shared" si="24"/>
        <v>0</v>
      </c>
      <c r="AZ276" s="9" t="str">
        <f t="shared" si="25"/>
        <v/>
      </c>
      <c r="BA276" s="6">
        <f t="shared" si="26"/>
        <v>0</v>
      </c>
      <c r="BB276" s="6">
        <f t="shared" si="27"/>
        <v>0</v>
      </c>
      <c r="BC276" s="9" t="str">
        <f t="shared" si="28"/>
        <v/>
      </c>
      <c r="BD276" s="6">
        <f t="shared" si="29"/>
        <v>0</v>
      </c>
      <c r="BE276" s="6">
        <f t="shared" si="30"/>
        <v>0</v>
      </c>
      <c r="BF276" s="9" t="str">
        <f t="shared" si="31"/>
        <v/>
      </c>
      <c r="BG276" s="6">
        <f t="shared" si="32"/>
        <v>0</v>
      </c>
      <c r="BH276" s="6">
        <f t="shared" si="33"/>
        <v>0</v>
      </c>
      <c r="BI276" s="9" t="str">
        <f t="shared" si="34"/>
        <v/>
      </c>
      <c r="BJ276" s="6">
        <f t="shared" si="35"/>
        <v>0</v>
      </c>
      <c r="BK276" s="6">
        <f t="shared" si="36"/>
        <v>0</v>
      </c>
      <c r="BL276" s="6">
        <f t="shared" si="37"/>
        <v>0</v>
      </c>
      <c r="BM276" s="6">
        <f t="shared" si="38"/>
        <v>0</v>
      </c>
      <c r="BN276" s="6">
        <f t="shared" si="39"/>
        <v>0</v>
      </c>
      <c r="BP276" s="6">
        <f t="shared" si="40"/>
        <v>0</v>
      </c>
      <c r="BQ276" s="6" t="b">
        <f ca="1">IFERROR(__xludf.DUMMYFUNCTION("IF(AND(ISERROR(FILTER('Items by Team'!D$2:D3410,'Items by Team'!C$2:C3410 = D276,'Items by Team'!B$2:B3410 = B276)),NOT(A276=""Practice"")),TRUE,FALSE)"),FALSE)</f>
        <v>0</v>
      </c>
      <c r="BR276" s="6">
        <f t="shared" ca="1" si="41"/>
        <v>0</v>
      </c>
    </row>
    <row r="277" spans="1:70">
      <c r="A277" s="6"/>
      <c r="B277" s="6"/>
      <c r="C277" s="6"/>
      <c r="D277" s="6"/>
      <c r="E277" s="6"/>
      <c r="F277" s="6"/>
      <c r="G277" s="6"/>
      <c r="H277" s="6"/>
      <c r="I277" s="6"/>
      <c r="J277" s="6"/>
      <c r="K277" s="6"/>
      <c r="L277" s="6"/>
      <c r="M277" s="6"/>
      <c r="N277" s="6"/>
      <c r="O277" s="6"/>
      <c r="P277" s="6"/>
      <c r="R277" s="6"/>
      <c r="S277" s="6"/>
      <c r="T277" s="6"/>
      <c r="U277" s="6"/>
      <c r="V277" s="6"/>
      <c r="W277" s="6"/>
      <c r="X277" s="6"/>
      <c r="Y277" s="6"/>
      <c r="Z277" s="6"/>
      <c r="AA277" s="6"/>
      <c r="AB277" s="6"/>
      <c r="AD277" s="6"/>
      <c r="AE277" s="6"/>
      <c r="AF277" s="6"/>
      <c r="AG277" s="6"/>
      <c r="AH277" s="6"/>
      <c r="AI277" s="6"/>
      <c r="AK277" s="6"/>
      <c r="AL277" s="6"/>
      <c r="AM277" s="6"/>
      <c r="AN277" s="6"/>
      <c r="AO277" s="6"/>
      <c r="AP277" s="6"/>
      <c r="AQ277" s="6"/>
      <c r="AR277" s="6"/>
      <c r="AS277" s="15"/>
      <c r="AT277" s="6" t="str">
        <f ca="1">IFERROR(__xludf.DUMMYFUNCTION("SWITCH(IF(A277=""Practice"",AN277,FILTER('Items by Team'!E$2:E3410,'Items by Team'!C$2:C3410=D277,B277='Items by Team'!B$2:B3410)),""None"",""No"",""Parked"",""P"",""ShallowCage"",""Sc"",""DeepCage"",""Dc"",""No"",""No"",""P"",""P"",""Sc"",""Sc"",""Dc"","&amp;"""Dc"")"),"#REF!")</f>
        <v>#REF!</v>
      </c>
      <c r="AU277" s="6" t="str">
        <f ca="1">IFERROR(__xludf.DUMMYFUNCTION("SWITCH(IF(A277 = ""Practice"", H277, FILTER('Items by Team'!D$2:D3410,'Items by Team'!C$2:C3410 = D277,'Items by Team'!B$2:B3410 = B277)), ""Yes"", ""TRUE"", ""No"", ""FALSE"",TRUE, ""TRUE"", FALSE, ""FALSE"")"),"#REF!")</f>
        <v>#REF!</v>
      </c>
      <c r="AV277" s="6">
        <f t="shared" si="21"/>
        <v>0</v>
      </c>
      <c r="AW277" s="6">
        <f t="shared" si="22"/>
        <v>0</v>
      </c>
      <c r="AX277" s="6">
        <f t="shared" si="23"/>
        <v>0</v>
      </c>
      <c r="AY277" s="6">
        <f t="shared" si="24"/>
        <v>0</v>
      </c>
      <c r="AZ277" s="9" t="str">
        <f t="shared" si="25"/>
        <v/>
      </c>
      <c r="BA277" s="6">
        <f t="shared" si="26"/>
        <v>0</v>
      </c>
      <c r="BB277" s="6">
        <f t="shared" si="27"/>
        <v>0</v>
      </c>
      <c r="BC277" s="9" t="str">
        <f t="shared" si="28"/>
        <v/>
      </c>
      <c r="BD277" s="6">
        <f t="shared" si="29"/>
        <v>0</v>
      </c>
      <c r="BE277" s="6">
        <f t="shared" si="30"/>
        <v>0</v>
      </c>
      <c r="BF277" s="9" t="str">
        <f t="shared" si="31"/>
        <v/>
      </c>
      <c r="BG277" s="6">
        <f t="shared" si="32"/>
        <v>0</v>
      </c>
      <c r="BH277" s="6">
        <f t="shared" si="33"/>
        <v>0</v>
      </c>
      <c r="BI277" s="9" t="str">
        <f t="shared" si="34"/>
        <v/>
      </c>
      <c r="BJ277" s="6">
        <f t="shared" si="35"/>
        <v>0</v>
      </c>
      <c r="BK277" s="6">
        <f t="shared" si="36"/>
        <v>0</v>
      </c>
      <c r="BL277" s="6">
        <f t="shared" si="37"/>
        <v>0</v>
      </c>
      <c r="BM277" s="6">
        <f t="shared" si="38"/>
        <v>0</v>
      </c>
      <c r="BN277" s="6">
        <f t="shared" si="39"/>
        <v>0</v>
      </c>
      <c r="BP277" s="6">
        <f t="shared" si="40"/>
        <v>0</v>
      </c>
      <c r="BQ277" s="6" t="b">
        <f ca="1">IFERROR(__xludf.DUMMYFUNCTION("IF(AND(ISERROR(FILTER('Items by Team'!D$2:D3410,'Items by Team'!C$2:C3410 = D277,'Items by Team'!B$2:B3410 = B277)),NOT(A277=""Practice"")),TRUE,FALSE)"),FALSE)</f>
        <v>0</v>
      </c>
      <c r="BR277" s="6">
        <f t="shared" ca="1" si="41"/>
        <v>0</v>
      </c>
    </row>
    <row r="278" spans="1:70">
      <c r="A278" s="6"/>
      <c r="B278" s="6"/>
      <c r="C278" s="6"/>
      <c r="D278" s="6"/>
      <c r="E278" s="6"/>
      <c r="F278" s="6"/>
      <c r="G278" s="6"/>
      <c r="H278" s="6"/>
      <c r="I278" s="6"/>
      <c r="J278" s="6"/>
      <c r="K278" s="6"/>
      <c r="L278" s="6"/>
      <c r="M278" s="6"/>
      <c r="N278" s="6"/>
      <c r="O278" s="6"/>
      <c r="P278" s="6"/>
      <c r="R278" s="6"/>
      <c r="S278" s="6"/>
      <c r="T278" s="6"/>
      <c r="U278" s="6"/>
      <c r="V278" s="6"/>
      <c r="W278" s="6"/>
      <c r="X278" s="6"/>
      <c r="Y278" s="6"/>
      <c r="Z278" s="6"/>
      <c r="AA278" s="6"/>
      <c r="AB278" s="6"/>
      <c r="AD278" s="6"/>
      <c r="AE278" s="6"/>
      <c r="AF278" s="6"/>
      <c r="AG278" s="6"/>
      <c r="AH278" s="6"/>
      <c r="AI278" s="6"/>
      <c r="AK278" s="6"/>
      <c r="AL278" s="6"/>
      <c r="AM278" s="6"/>
      <c r="AN278" s="6"/>
      <c r="AO278" s="6"/>
      <c r="AP278" s="6"/>
      <c r="AQ278" s="6"/>
      <c r="AR278" s="6"/>
      <c r="AS278" s="15"/>
      <c r="AT278" s="6" t="str">
        <f ca="1">IFERROR(__xludf.DUMMYFUNCTION("SWITCH(IF(A278=""Practice"",AN278,FILTER('Items by Team'!E$2:E3410,'Items by Team'!C$2:C3410=D278,B278='Items by Team'!B$2:B3410)),""None"",""No"",""Parked"",""P"",""ShallowCage"",""Sc"",""DeepCage"",""Dc"",""No"",""No"",""P"",""P"",""Sc"",""Sc"",""Dc"","&amp;"""Dc"")"),"#REF!")</f>
        <v>#REF!</v>
      </c>
      <c r="AU278" s="6" t="str">
        <f ca="1">IFERROR(__xludf.DUMMYFUNCTION("SWITCH(IF(A278 = ""Practice"", H278, FILTER('Items by Team'!D$2:D3410,'Items by Team'!C$2:C3410 = D278,'Items by Team'!B$2:B3410 = B278)), ""Yes"", ""TRUE"", ""No"", ""FALSE"",TRUE, ""TRUE"", FALSE, ""FALSE"")"),"#REF!")</f>
        <v>#REF!</v>
      </c>
      <c r="AV278" s="6">
        <f t="shared" si="21"/>
        <v>0</v>
      </c>
      <c r="AW278" s="6">
        <f t="shared" si="22"/>
        <v>0</v>
      </c>
      <c r="AX278" s="6">
        <f t="shared" si="23"/>
        <v>0</v>
      </c>
      <c r="AY278" s="6">
        <f t="shared" si="24"/>
        <v>0</v>
      </c>
      <c r="AZ278" s="9" t="str">
        <f t="shared" si="25"/>
        <v/>
      </c>
      <c r="BA278" s="6">
        <f t="shared" si="26"/>
        <v>0</v>
      </c>
      <c r="BB278" s="6">
        <f t="shared" si="27"/>
        <v>0</v>
      </c>
      <c r="BC278" s="9" t="str">
        <f t="shared" si="28"/>
        <v/>
      </c>
      <c r="BD278" s="6">
        <f t="shared" si="29"/>
        <v>0</v>
      </c>
      <c r="BE278" s="6">
        <f t="shared" si="30"/>
        <v>0</v>
      </c>
      <c r="BF278" s="9" t="str">
        <f t="shared" si="31"/>
        <v/>
      </c>
      <c r="BG278" s="6">
        <f t="shared" si="32"/>
        <v>0</v>
      </c>
      <c r="BH278" s="6">
        <f t="shared" si="33"/>
        <v>0</v>
      </c>
      <c r="BI278" s="9" t="str">
        <f t="shared" si="34"/>
        <v/>
      </c>
      <c r="BJ278" s="6">
        <f t="shared" si="35"/>
        <v>0</v>
      </c>
      <c r="BK278" s="6">
        <f t="shared" si="36"/>
        <v>0</v>
      </c>
      <c r="BL278" s="6">
        <f t="shared" si="37"/>
        <v>0</v>
      </c>
      <c r="BM278" s="6">
        <f t="shared" si="38"/>
        <v>0</v>
      </c>
      <c r="BN278" s="6">
        <f t="shared" si="39"/>
        <v>0</v>
      </c>
      <c r="BP278" s="6">
        <f t="shared" si="40"/>
        <v>0</v>
      </c>
      <c r="BQ278" s="6" t="b">
        <f ca="1">IFERROR(__xludf.DUMMYFUNCTION("IF(AND(ISERROR(FILTER('Items by Team'!D$2:D3410,'Items by Team'!C$2:C3410 = D278,'Items by Team'!B$2:B3410 = B278)),NOT(A278=""Practice"")),TRUE,FALSE)"),FALSE)</f>
        <v>0</v>
      </c>
      <c r="BR278" s="6">
        <f t="shared" ca="1" si="41"/>
        <v>0</v>
      </c>
    </row>
    <row r="279" spans="1:70">
      <c r="A279" s="6"/>
      <c r="B279" s="6"/>
      <c r="C279" s="6"/>
      <c r="D279" s="6"/>
      <c r="E279" s="6"/>
      <c r="F279" s="6"/>
      <c r="G279" s="6"/>
      <c r="H279" s="6"/>
      <c r="I279" s="6"/>
      <c r="J279" s="6"/>
      <c r="K279" s="6"/>
      <c r="L279" s="6"/>
      <c r="M279" s="6"/>
      <c r="N279" s="6"/>
      <c r="O279" s="6"/>
      <c r="P279" s="6"/>
      <c r="R279" s="6"/>
      <c r="S279" s="6"/>
      <c r="T279" s="6"/>
      <c r="U279" s="6"/>
      <c r="V279" s="6"/>
      <c r="W279" s="6"/>
      <c r="X279" s="6"/>
      <c r="Y279" s="6"/>
      <c r="Z279" s="6"/>
      <c r="AA279" s="6"/>
      <c r="AB279" s="6"/>
      <c r="AD279" s="6"/>
      <c r="AE279" s="6"/>
      <c r="AF279" s="6"/>
      <c r="AG279" s="6"/>
      <c r="AH279" s="6"/>
      <c r="AI279" s="6"/>
      <c r="AK279" s="6"/>
      <c r="AL279" s="6"/>
      <c r="AM279" s="6"/>
      <c r="AN279" s="6"/>
      <c r="AO279" s="6"/>
      <c r="AP279" s="6"/>
      <c r="AQ279" s="6"/>
      <c r="AR279" s="6"/>
      <c r="AS279" s="15"/>
      <c r="AT279" s="6" t="str">
        <f ca="1">IFERROR(__xludf.DUMMYFUNCTION("SWITCH(IF(A279=""Practice"",AN279,FILTER('Items by Team'!E$2:E3410,'Items by Team'!C$2:C3410=D279,B279='Items by Team'!B$2:B3410)),""None"",""No"",""Parked"",""P"",""ShallowCage"",""Sc"",""DeepCage"",""Dc"",""No"",""No"",""P"",""P"",""Sc"",""Sc"",""Dc"","&amp;"""Dc"")"),"#REF!")</f>
        <v>#REF!</v>
      </c>
      <c r="AU279" s="6" t="str">
        <f ca="1">IFERROR(__xludf.DUMMYFUNCTION("SWITCH(IF(A279 = ""Practice"", H279, FILTER('Items by Team'!D$2:D3410,'Items by Team'!C$2:C3410 = D279,'Items by Team'!B$2:B3410 = B279)), ""Yes"", ""TRUE"", ""No"", ""FALSE"",TRUE, ""TRUE"", FALSE, ""FALSE"")"),"#REF!")</f>
        <v>#REF!</v>
      </c>
      <c r="AV279" s="6">
        <f t="shared" si="21"/>
        <v>0</v>
      </c>
      <c r="AW279" s="6">
        <f t="shared" si="22"/>
        <v>0</v>
      </c>
      <c r="AX279" s="6">
        <f t="shared" si="23"/>
        <v>0</v>
      </c>
      <c r="AY279" s="6">
        <f t="shared" si="24"/>
        <v>0</v>
      </c>
      <c r="AZ279" s="9" t="str">
        <f t="shared" si="25"/>
        <v/>
      </c>
      <c r="BA279" s="6">
        <f t="shared" si="26"/>
        <v>0</v>
      </c>
      <c r="BB279" s="6">
        <f t="shared" si="27"/>
        <v>0</v>
      </c>
      <c r="BC279" s="9" t="str">
        <f t="shared" si="28"/>
        <v/>
      </c>
      <c r="BD279" s="6">
        <f t="shared" si="29"/>
        <v>0</v>
      </c>
      <c r="BE279" s="6">
        <f t="shared" si="30"/>
        <v>0</v>
      </c>
      <c r="BF279" s="9" t="str">
        <f t="shared" si="31"/>
        <v/>
      </c>
      <c r="BG279" s="6">
        <f t="shared" si="32"/>
        <v>0</v>
      </c>
      <c r="BH279" s="6">
        <f t="shared" si="33"/>
        <v>0</v>
      </c>
      <c r="BI279" s="9" t="str">
        <f t="shared" si="34"/>
        <v/>
      </c>
      <c r="BJ279" s="6">
        <f t="shared" si="35"/>
        <v>0</v>
      </c>
      <c r="BK279" s="6">
        <f t="shared" si="36"/>
        <v>0</v>
      </c>
      <c r="BL279" s="6">
        <f t="shared" si="37"/>
        <v>0</v>
      </c>
      <c r="BM279" s="6">
        <f t="shared" si="38"/>
        <v>0</v>
      </c>
      <c r="BN279" s="6">
        <f t="shared" si="39"/>
        <v>0</v>
      </c>
      <c r="BP279" s="6">
        <f t="shared" si="40"/>
        <v>0</v>
      </c>
      <c r="BQ279" s="6" t="b">
        <f ca="1">IFERROR(__xludf.DUMMYFUNCTION("IF(AND(ISERROR(FILTER('Items by Team'!D$2:D3410,'Items by Team'!C$2:C3410 = D279,'Items by Team'!B$2:B3410 = B279)),NOT(A279=""Practice"")),TRUE,FALSE)"),FALSE)</f>
        <v>0</v>
      </c>
      <c r="BR279" s="6">
        <f t="shared" ca="1" si="41"/>
        <v>0</v>
      </c>
    </row>
    <row r="280" spans="1:70">
      <c r="A280" s="6"/>
      <c r="B280" s="6"/>
      <c r="C280" s="6"/>
      <c r="D280" s="6"/>
      <c r="E280" s="6"/>
      <c r="F280" s="6"/>
      <c r="G280" s="6"/>
      <c r="H280" s="6"/>
      <c r="I280" s="6"/>
      <c r="J280" s="6"/>
      <c r="K280" s="6"/>
      <c r="L280" s="6"/>
      <c r="M280" s="6"/>
      <c r="N280" s="6"/>
      <c r="O280" s="6"/>
      <c r="P280" s="6"/>
      <c r="R280" s="6"/>
      <c r="S280" s="6"/>
      <c r="T280" s="6"/>
      <c r="U280" s="6"/>
      <c r="V280" s="6"/>
      <c r="W280" s="6"/>
      <c r="X280" s="6"/>
      <c r="Y280" s="6"/>
      <c r="Z280" s="6"/>
      <c r="AA280" s="6"/>
      <c r="AB280" s="6"/>
      <c r="AD280" s="6"/>
      <c r="AE280" s="6"/>
      <c r="AF280" s="6"/>
      <c r="AG280" s="6"/>
      <c r="AH280" s="6"/>
      <c r="AI280" s="6"/>
      <c r="AK280" s="6"/>
      <c r="AL280" s="6"/>
      <c r="AM280" s="6"/>
      <c r="AN280" s="6"/>
      <c r="AO280" s="6"/>
      <c r="AP280" s="6"/>
      <c r="AQ280" s="6"/>
      <c r="AR280" s="6"/>
      <c r="AS280" s="15"/>
      <c r="AT280" s="6" t="str">
        <f ca="1">IFERROR(__xludf.DUMMYFUNCTION("SWITCH(IF(A280=""Practice"",AN280,FILTER('Items by Team'!E$2:E3410,'Items by Team'!C$2:C3410=D280,B280='Items by Team'!B$2:B3410)),""None"",""No"",""Parked"",""P"",""ShallowCage"",""Sc"",""DeepCage"",""Dc"",""No"",""No"",""P"",""P"",""Sc"",""Sc"",""Dc"","&amp;"""Dc"")"),"#REF!")</f>
        <v>#REF!</v>
      </c>
      <c r="AU280" s="6" t="str">
        <f ca="1">IFERROR(__xludf.DUMMYFUNCTION("SWITCH(IF(A280 = ""Practice"", H280, FILTER('Items by Team'!D$2:D3410,'Items by Team'!C$2:C3410 = D280,'Items by Team'!B$2:B3410 = B280)), ""Yes"", ""TRUE"", ""No"", ""FALSE"",TRUE, ""TRUE"", FALSE, ""FALSE"")"),"#REF!")</f>
        <v>#REF!</v>
      </c>
      <c r="AV280" s="6">
        <f t="shared" si="21"/>
        <v>0</v>
      </c>
      <c r="AW280" s="6">
        <f t="shared" si="22"/>
        <v>0</v>
      </c>
      <c r="AX280" s="6">
        <f t="shared" si="23"/>
        <v>0</v>
      </c>
      <c r="AY280" s="6">
        <f t="shared" si="24"/>
        <v>0</v>
      </c>
      <c r="AZ280" s="9" t="str">
        <f t="shared" si="25"/>
        <v/>
      </c>
      <c r="BA280" s="6">
        <f t="shared" si="26"/>
        <v>0</v>
      </c>
      <c r="BB280" s="6">
        <f t="shared" si="27"/>
        <v>0</v>
      </c>
      <c r="BC280" s="9" t="str">
        <f t="shared" si="28"/>
        <v/>
      </c>
      <c r="BD280" s="6">
        <f t="shared" si="29"/>
        <v>0</v>
      </c>
      <c r="BE280" s="6">
        <f t="shared" si="30"/>
        <v>0</v>
      </c>
      <c r="BF280" s="9" t="str">
        <f t="shared" si="31"/>
        <v/>
      </c>
      <c r="BG280" s="6">
        <f t="shared" si="32"/>
        <v>0</v>
      </c>
      <c r="BH280" s="6">
        <f t="shared" si="33"/>
        <v>0</v>
      </c>
      <c r="BI280" s="9" t="str">
        <f t="shared" si="34"/>
        <v/>
      </c>
      <c r="BJ280" s="6">
        <f t="shared" si="35"/>
        <v>0</v>
      </c>
      <c r="BK280" s="6">
        <f t="shared" si="36"/>
        <v>0</v>
      </c>
      <c r="BL280" s="6">
        <f t="shared" si="37"/>
        <v>0</v>
      </c>
      <c r="BM280" s="6">
        <f t="shared" si="38"/>
        <v>0</v>
      </c>
      <c r="BN280" s="6">
        <f t="shared" si="39"/>
        <v>0</v>
      </c>
      <c r="BP280" s="6">
        <f t="shared" si="40"/>
        <v>0</v>
      </c>
      <c r="BQ280" s="6" t="b">
        <f ca="1">IFERROR(__xludf.DUMMYFUNCTION("IF(AND(ISERROR(FILTER('Items by Team'!D$2:D3410,'Items by Team'!C$2:C3410 = D280,'Items by Team'!B$2:B3410 = B280)),NOT(A280=""Practice"")),TRUE,FALSE)"),FALSE)</f>
        <v>0</v>
      </c>
      <c r="BR280" s="6">
        <f t="shared" ca="1" si="41"/>
        <v>0</v>
      </c>
    </row>
    <row r="281" spans="1:70">
      <c r="A281" s="6"/>
      <c r="B281" s="6"/>
      <c r="C281" s="6"/>
      <c r="D281" s="6"/>
      <c r="E281" s="6"/>
      <c r="F281" s="6"/>
      <c r="G281" s="6"/>
      <c r="H281" s="6"/>
      <c r="I281" s="6"/>
      <c r="J281" s="6"/>
      <c r="K281" s="6"/>
      <c r="L281" s="6"/>
      <c r="M281" s="6"/>
      <c r="N281" s="6"/>
      <c r="O281" s="6"/>
      <c r="P281" s="6"/>
      <c r="R281" s="6"/>
      <c r="S281" s="6"/>
      <c r="T281" s="6"/>
      <c r="U281" s="6"/>
      <c r="V281" s="6"/>
      <c r="W281" s="6"/>
      <c r="X281" s="6"/>
      <c r="Y281" s="6"/>
      <c r="Z281" s="6"/>
      <c r="AA281" s="6"/>
      <c r="AB281" s="6"/>
      <c r="AD281" s="6"/>
      <c r="AE281" s="6"/>
      <c r="AF281" s="6"/>
      <c r="AG281" s="6"/>
      <c r="AH281" s="6"/>
      <c r="AI281" s="6"/>
      <c r="AK281" s="6"/>
      <c r="AL281" s="6"/>
      <c r="AM281" s="6"/>
      <c r="AN281" s="6"/>
      <c r="AO281" s="6"/>
      <c r="AP281" s="6"/>
      <c r="AQ281" s="6"/>
      <c r="AR281" s="6"/>
      <c r="AS281" s="15"/>
      <c r="AT281" s="6" t="str">
        <f ca="1">IFERROR(__xludf.DUMMYFUNCTION("SWITCH(IF(A281=""Practice"",AN281,FILTER('Items by Team'!E$2:E3410,'Items by Team'!C$2:C3410=D281,B281='Items by Team'!B$2:B3410)),""None"",""No"",""Parked"",""P"",""ShallowCage"",""Sc"",""DeepCage"",""Dc"",""No"",""No"",""P"",""P"",""Sc"",""Sc"",""Dc"","&amp;"""Dc"")"),"#REF!")</f>
        <v>#REF!</v>
      </c>
      <c r="AU281" s="6" t="str">
        <f ca="1">IFERROR(__xludf.DUMMYFUNCTION("SWITCH(IF(A281 = ""Practice"", H281, FILTER('Items by Team'!D$2:D3410,'Items by Team'!C$2:C3410 = D281,'Items by Team'!B$2:B3410 = B281)), ""Yes"", ""TRUE"", ""No"", ""FALSE"",TRUE, ""TRUE"", FALSE, ""FALSE"")"),"#REF!")</f>
        <v>#REF!</v>
      </c>
      <c r="AV281" s="6">
        <f t="shared" si="21"/>
        <v>0</v>
      </c>
      <c r="AW281" s="6">
        <f t="shared" si="22"/>
        <v>0</v>
      </c>
      <c r="AX281" s="6">
        <f t="shared" si="23"/>
        <v>0</v>
      </c>
      <c r="AY281" s="6">
        <f t="shared" si="24"/>
        <v>0</v>
      </c>
      <c r="AZ281" s="9" t="str">
        <f t="shared" si="25"/>
        <v/>
      </c>
      <c r="BA281" s="6">
        <f t="shared" si="26"/>
        <v>0</v>
      </c>
      <c r="BB281" s="6">
        <f t="shared" si="27"/>
        <v>0</v>
      </c>
      <c r="BC281" s="9" t="str">
        <f t="shared" si="28"/>
        <v/>
      </c>
      <c r="BD281" s="6">
        <f t="shared" si="29"/>
        <v>0</v>
      </c>
      <c r="BE281" s="6">
        <f t="shared" si="30"/>
        <v>0</v>
      </c>
      <c r="BF281" s="9" t="str">
        <f t="shared" si="31"/>
        <v/>
      </c>
      <c r="BG281" s="6">
        <f t="shared" si="32"/>
        <v>0</v>
      </c>
      <c r="BH281" s="6">
        <f t="shared" si="33"/>
        <v>0</v>
      </c>
      <c r="BI281" s="9" t="str">
        <f t="shared" si="34"/>
        <v/>
      </c>
      <c r="BJ281" s="6">
        <f t="shared" si="35"/>
        <v>0</v>
      </c>
      <c r="BK281" s="6">
        <f t="shared" si="36"/>
        <v>0</v>
      </c>
      <c r="BL281" s="6">
        <f t="shared" si="37"/>
        <v>0</v>
      </c>
      <c r="BM281" s="6">
        <f t="shared" si="38"/>
        <v>0</v>
      </c>
      <c r="BN281" s="6">
        <f t="shared" si="39"/>
        <v>0</v>
      </c>
      <c r="BP281" s="6">
        <f t="shared" si="40"/>
        <v>0</v>
      </c>
      <c r="BQ281" s="6" t="b">
        <f ca="1">IFERROR(__xludf.DUMMYFUNCTION("IF(AND(ISERROR(FILTER('Items by Team'!D$2:D3410,'Items by Team'!C$2:C3410 = D281,'Items by Team'!B$2:B3410 = B281)),NOT(A281=""Practice"")),TRUE,FALSE)"),FALSE)</f>
        <v>0</v>
      </c>
      <c r="BR281" s="6">
        <f t="shared" ca="1" si="41"/>
        <v>0</v>
      </c>
    </row>
    <row r="282" spans="1:70">
      <c r="A282" s="6"/>
      <c r="B282" s="6"/>
      <c r="C282" s="6"/>
      <c r="D282" s="6"/>
      <c r="E282" s="6"/>
      <c r="F282" s="6"/>
      <c r="G282" s="6"/>
      <c r="H282" s="6"/>
      <c r="I282" s="6"/>
      <c r="J282" s="6"/>
      <c r="K282" s="6"/>
      <c r="L282" s="6"/>
      <c r="M282" s="6"/>
      <c r="N282" s="6"/>
      <c r="O282" s="6"/>
      <c r="P282" s="6"/>
      <c r="R282" s="6"/>
      <c r="S282" s="6"/>
      <c r="T282" s="6"/>
      <c r="U282" s="6"/>
      <c r="V282" s="6"/>
      <c r="W282" s="6"/>
      <c r="X282" s="6"/>
      <c r="Y282" s="6"/>
      <c r="Z282" s="6"/>
      <c r="AA282" s="6"/>
      <c r="AB282" s="6"/>
      <c r="AD282" s="6"/>
      <c r="AE282" s="6"/>
      <c r="AF282" s="6"/>
      <c r="AG282" s="6"/>
      <c r="AH282" s="6"/>
      <c r="AI282" s="6"/>
      <c r="AK282" s="6"/>
      <c r="AL282" s="6"/>
      <c r="AM282" s="6"/>
      <c r="AN282" s="6"/>
      <c r="AO282" s="6"/>
      <c r="AP282" s="6"/>
      <c r="AQ282" s="6"/>
      <c r="AR282" s="6"/>
      <c r="AS282" s="15"/>
      <c r="AT282" s="6" t="str">
        <f ca="1">IFERROR(__xludf.DUMMYFUNCTION("SWITCH(IF(A282=""Practice"",AN282,FILTER('Items by Team'!E$2:E3410,'Items by Team'!C$2:C3410=D282,B282='Items by Team'!B$2:B3410)),""None"",""No"",""Parked"",""P"",""ShallowCage"",""Sc"",""DeepCage"",""Dc"",""No"",""No"",""P"",""P"",""Sc"",""Sc"",""Dc"","&amp;"""Dc"")"),"#REF!")</f>
        <v>#REF!</v>
      </c>
      <c r="AU282" s="6" t="str">
        <f ca="1">IFERROR(__xludf.DUMMYFUNCTION("SWITCH(IF(A282 = ""Practice"", H282, FILTER('Items by Team'!D$2:D3410,'Items by Team'!C$2:C3410 = D282,'Items by Team'!B$2:B3410 = B282)), ""Yes"", ""TRUE"", ""No"", ""FALSE"",TRUE, ""TRUE"", FALSE, ""FALSE"")"),"#REF!")</f>
        <v>#REF!</v>
      </c>
      <c r="AV282" s="6">
        <f t="shared" si="21"/>
        <v>0</v>
      </c>
      <c r="AW282" s="6">
        <f t="shared" si="22"/>
        <v>0</v>
      </c>
      <c r="AX282" s="6">
        <f t="shared" si="23"/>
        <v>0</v>
      </c>
      <c r="AY282" s="6">
        <f t="shared" si="24"/>
        <v>0</v>
      </c>
      <c r="AZ282" s="9" t="str">
        <f t="shared" si="25"/>
        <v/>
      </c>
      <c r="BA282" s="6">
        <f t="shared" si="26"/>
        <v>0</v>
      </c>
      <c r="BB282" s="6">
        <f t="shared" si="27"/>
        <v>0</v>
      </c>
      <c r="BC282" s="9" t="str">
        <f t="shared" si="28"/>
        <v/>
      </c>
      <c r="BD282" s="6">
        <f t="shared" si="29"/>
        <v>0</v>
      </c>
      <c r="BE282" s="6">
        <f t="shared" si="30"/>
        <v>0</v>
      </c>
      <c r="BF282" s="9" t="str">
        <f t="shared" si="31"/>
        <v/>
      </c>
      <c r="BG282" s="6">
        <f t="shared" si="32"/>
        <v>0</v>
      </c>
      <c r="BH282" s="6">
        <f t="shared" si="33"/>
        <v>0</v>
      </c>
      <c r="BI282" s="9" t="str">
        <f t="shared" si="34"/>
        <v/>
      </c>
      <c r="BJ282" s="6">
        <f t="shared" si="35"/>
        <v>0</v>
      </c>
      <c r="BK282" s="6">
        <f t="shared" si="36"/>
        <v>0</v>
      </c>
      <c r="BL282" s="6">
        <f t="shared" si="37"/>
        <v>0</v>
      </c>
      <c r="BM282" s="6">
        <f t="shared" si="38"/>
        <v>0</v>
      </c>
      <c r="BN282" s="6">
        <f t="shared" si="39"/>
        <v>0</v>
      </c>
      <c r="BP282" s="6">
        <f t="shared" si="40"/>
        <v>0</v>
      </c>
      <c r="BQ282" s="6" t="b">
        <f ca="1">IFERROR(__xludf.DUMMYFUNCTION("IF(AND(ISERROR(FILTER('Items by Team'!D$2:D3410,'Items by Team'!C$2:C3410 = D282,'Items by Team'!B$2:B3410 = B282)),NOT(A282=""Practice"")),TRUE,FALSE)"),FALSE)</f>
        <v>0</v>
      </c>
      <c r="BR282" s="6">
        <f t="shared" ca="1" si="41"/>
        <v>0</v>
      </c>
    </row>
    <row r="283" spans="1:70">
      <c r="A283" s="6"/>
      <c r="B283" s="6"/>
      <c r="C283" s="6"/>
      <c r="D283" s="6"/>
      <c r="E283" s="6"/>
      <c r="F283" s="6"/>
      <c r="G283" s="6"/>
      <c r="H283" s="6"/>
      <c r="I283" s="6"/>
      <c r="J283" s="6"/>
      <c r="K283" s="6"/>
      <c r="L283" s="6"/>
      <c r="M283" s="6"/>
      <c r="N283" s="6"/>
      <c r="O283" s="6"/>
      <c r="P283" s="6"/>
      <c r="R283" s="6"/>
      <c r="S283" s="6"/>
      <c r="T283" s="6"/>
      <c r="U283" s="6"/>
      <c r="V283" s="6"/>
      <c r="W283" s="6"/>
      <c r="X283" s="6"/>
      <c r="Y283" s="6"/>
      <c r="Z283" s="6"/>
      <c r="AA283" s="6"/>
      <c r="AB283" s="6"/>
      <c r="AD283" s="6"/>
      <c r="AE283" s="6"/>
      <c r="AF283" s="6"/>
      <c r="AG283" s="6"/>
      <c r="AH283" s="6"/>
      <c r="AI283" s="6"/>
      <c r="AK283" s="6"/>
      <c r="AL283" s="6"/>
      <c r="AM283" s="6"/>
      <c r="AN283" s="6"/>
      <c r="AO283" s="6"/>
      <c r="AP283" s="6"/>
      <c r="AQ283" s="6"/>
      <c r="AR283" s="6"/>
      <c r="AS283" s="15"/>
      <c r="AT283" s="6" t="str">
        <f ca="1">IFERROR(__xludf.DUMMYFUNCTION("SWITCH(IF(A283=""Practice"",AN283,FILTER('Items by Team'!E$2:E3410,'Items by Team'!C$2:C3410=D283,B283='Items by Team'!B$2:B3410)),""None"",""No"",""Parked"",""P"",""ShallowCage"",""Sc"",""DeepCage"",""Dc"",""No"",""No"",""P"",""P"",""Sc"",""Sc"",""Dc"","&amp;"""Dc"")"),"#REF!")</f>
        <v>#REF!</v>
      </c>
      <c r="AU283" s="6" t="str">
        <f ca="1">IFERROR(__xludf.DUMMYFUNCTION("SWITCH(IF(A283 = ""Practice"", H283, FILTER('Items by Team'!D$2:D3410,'Items by Team'!C$2:C3410 = D283,'Items by Team'!B$2:B3410 = B283)), ""Yes"", ""TRUE"", ""No"", ""FALSE"",TRUE, ""TRUE"", FALSE, ""FALSE"")"),"#REF!")</f>
        <v>#REF!</v>
      </c>
      <c r="AV283" s="6">
        <f t="shared" si="21"/>
        <v>0</v>
      </c>
      <c r="AW283" s="6">
        <f t="shared" si="22"/>
        <v>0</v>
      </c>
      <c r="AX283" s="6">
        <f t="shared" si="23"/>
        <v>0</v>
      </c>
      <c r="AY283" s="6">
        <f t="shared" si="24"/>
        <v>0</v>
      </c>
      <c r="AZ283" s="9" t="str">
        <f t="shared" si="25"/>
        <v/>
      </c>
      <c r="BA283" s="6">
        <f t="shared" si="26"/>
        <v>0</v>
      </c>
      <c r="BB283" s="6">
        <f t="shared" si="27"/>
        <v>0</v>
      </c>
      <c r="BC283" s="9" t="str">
        <f t="shared" si="28"/>
        <v/>
      </c>
      <c r="BD283" s="6">
        <f t="shared" si="29"/>
        <v>0</v>
      </c>
      <c r="BE283" s="6">
        <f t="shared" si="30"/>
        <v>0</v>
      </c>
      <c r="BF283" s="9" t="str">
        <f t="shared" si="31"/>
        <v/>
      </c>
      <c r="BG283" s="6">
        <f t="shared" si="32"/>
        <v>0</v>
      </c>
      <c r="BH283" s="6">
        <f t="shared" si="33"/>
        <v>0</v>
      </c>
      <c r="BI283" s="9" t="str">
        <f t="shared" si="34"/>
        <v/>
      </c>
      <c r="BJ283" s="6">
        <f t="shared" si="35"/>
        <v>0</v>
      </c>
      <c r="BK283" s="6">
        <f t="shared" si="36"/>
        <v>0</v>
      </c>
      <c r="BL283" s="6">
        <f t="shared" si="37"/>
        <v>0</v>
      </c>
      <c r="BM283" s="6">
        <f t="shared" si="38"/>
        <v>0</v>
      </c>
      <c r="BN283" s="6">
        <f t="shared" si="39"/>
        <v>0</v>
      </c>
      <c r="BP283" s="6">
        <f t="shared" si="40"/>
        <v>0</v>
      </c>
      <c r="BQ283" s="6" t="b">
        <f ca="1">IFERROR(__xludf.DUMMYFUNCTION("IF(AND(ISERROR(FILTER('Items by Team'!D$2:D3410,'Items by Team'!C$2:C3410 = D283,'Items by Team'!B$2:B3410 = B283)),NOT(A283=""Practice"")),TRUE,FALSE)"),FALSE)</f>
        <v>0</v>
      </c>
      <c r="BR283" s="6">
        <f t="shared" ca="1" si="41"/>
        <v>0</v>
      </c>
    </row>
    <row r="284" spans="1:70">
      <c r="A284" s="6"/>
      <c r="B284" s="6"/>
      <c r="C284" s="6"/>
      <c r="D284" s="6"/>
      <c r="E284" s="6"/>
      <c r="F284" s="6"/>
      <c r="G284" s="6"/>
      <c r="H284" s="6"/>
      <c r="I284" s="6"/>
      <c r="J284" s="6"/>
      <c r="K284" s="6"/>
      <c r="L284" s="6"/>
      <c r="M284" s="6"/>
      <c r="N284" s="6"/>
      <c r="O284" s="6"/>
      <c r="P284" s="6"/>
      <c r="R284" s="6"/>
      <c r="S284" s="6"/>
      <c r="T284" s="6"/>
      <c r="U284" s="6"/>
      <c r="V284" s="6"/>
      <c r="W284" s="6"/>
      <c r="X284" s="6"/>
      <c r="Y284" s="6"/>
      <c r="Z284" s="6"/>
      <c r="AA284" s="6"/>
      <c r="AB284" s="6"/>
      <c r="AD284" s="6"/>
      <c r="AE284" s="6"/>
      <c r="AF284" s="6"/>
      <c r="AG284" s="6"/>
      <c r="AH284" s="6"/>
      <c r="AI284" s="6"/>
      <c r="AK284" s="6"/>
      <c r="AL284" s="6"/>
      <c r="AM284" s="6"/>
      <c r="AN284" s="6"/>
      <c r="AO284" s="6"/>
      <c r="AP284" s="6"/>
      <c r="AQ284" s="6"/>
      <c r="AR284" s="6"/>
      <c r="AS284" s="15"/>
      <c r="AT284" s="6" t="str">
        <f ca="1">IFERROR(__xludf.DUMMYFUNCTION("SWITCH(IF(A284=""Practice"",AN284,FILTER('Items by Team'!E$2:E3410,'Items by Team'!C$2:C3410=D284,B284='Items by Team'!B$2:B3410)),""None"",""No"",""Parked"",""P"",""ShallowCage"",""Sc"",""DeepCage"",""Dc"",""No"",""No"",""P"",""P"",""Sc"",""Sc"",""Dc"","&amp;"""Dc"")"),"#REF!")</f>
        <v>#REF!</v>
      </c>
      <c r="AU284" s="6" t="str">
        <f ca="1">IFERROR(__xludf.DUMMYFUNCTION("SWITCH(IF(A284 = ""Practice"", H284, FILTER('Items by Team'!D$2:D3410,'Items by Team'!C$2:C3410 = D284,'Items by Team'!B$2:B3410 = B284)), ""Yes"", ""TRUE"", ""No"", ""FALSE"",TRUE, ""TRUE"", FALSE, ""FALSE"")"),"#REF!")</f>
        <v>#REF!</v>
      </c>
      <c r="AV284" s="6">
        <f t="shared" si="21"/>
        <v>0</v>
      </c>
      <c r="AW284" s="6">
        <f t="shared" si="22"/>
        <v>0</v>
      </c>
      <c r="AX284" s="6">
        <f t="shared" si="23"/>
        <v>0</v>
      </c>
      <c r="AY284" s="6">
        <f t="shared" si="24"/>
        <v>0</v>
      </c>
      <c r="AZ284" s="9" t="str">
        <f t="shared" si="25"/>
        <v/>
      </c>
      <c r="BA284" s="6">
        <f t="shared" si="26"/>
        <v>0</v>
      </c>
      <c r="BB284" s="6">
        <f t="shared" si="27"/>
        <v>0</v>
      </c>
      <c r="BC284" s="9" t="str">
        <f t="shared" si="28"/>
        <v/>
      </c>
      <c r="BD284" s="6">
        <f t="shared" si="29"/>
        <v>0</v>
      </c>
      <c r="BE284" s="6">
        <f t="shared" si="30"/>
        <v>0</v>
      </c>
      <c r="BF284" s="9" t="str">
        <f t="shared" si="31"/>
        <v/>
      </c>
      <c r="BG284" s="6">
        <f t="shared" si="32"/>
        <v>0</v>
      </c>
      <c r="BH284" s="6">
        <f t="shared" si="33"/>
        <v>0</v>
      </c>
      <c r="BI284" s="9" t="str">
        <f t="shared" si="34"/>
        <v/>
      </c>
      <c r="BJ284" s="6">
        <f t="shared" si="35"/>
        <v>0</v>
      </c>
      <c r="BK284" s="6">
        <f t="shared" si="36"/>
        <v>0</v>
      </c>
      <c r="BL284" s="6">
        <f t="shared" si="37"/>
        <v>0</v>
      </c>
      <c r="BM284" s="6">
        <f t="shared" si="38"/>
        <v>0</v>
      </c>
      <c r="BN284" s="6">
        <f t="shared" si="39"/>
        <v>0</v>
      </c>
      <c r="BP284" s="6">
        <f t="shared" si="40"/>
        <v>0</v>
      </c>
      <c r="BQ284" s="6" t="b">
        <f ca="1">IFERROR(__xludf.DUMMYFUNCTION("IF(AND(ISERROR(FILTER('Items by Team'!D$2:D3410,'Items by Team'!C$2:C3410 = D284,'Items by Team'!B$2:B3410 = B284)),NOT(A284=""Practice"")),TRUE,FALSE)"),FALSE)</f>
        <v>0</v>
      </c>
      <c r="BR284" s="6">
        <f t="shared" ca="1" si="41"/>
        <v>0</v>
      </c>
    </row>
    <row r="285" spans="1:70">
      <c r="A285" s="6"/>
      <c r="B285" s="6"/>
      <c r="C285" s="6"/>
      <c r="D285" s="6"/>
      <c r="E285" s="6"/>
      <c r="F285" s="6"/>
      <c r="G285" s="6"/>
      <c r="H285" s="6"/>
      <c r="I285" s="6"/>
      <c r="J285" s="6"/>
      <c r="K285" s="6"/>
      <c r="L285" s="6"/>
      <c r="M285" s="6"/>
      <c r="N285" s="6"/>
      <c r="O285" s="6"/>
      <c r="P285" s="6"/>
      <c r="R285" s="6"/>
      <c r="S285" s="6"/>
      <c r="T285" s="6"/>
      <c r="U285" s="6"/>
      <c r="V285" s="6"/>
      <c r="W285" s="6"/>
      <c r="X285" s="6"/>
      <c r="Y285" s="6"/>
      <c r="Z285" s="6"/>
      <c r="AA285" s="6"/>
      <c r="AB285" s="6"/>
      <c r="AD285" s="6"/>
      <c r="AE285" s="6"/>
      <c r="AF285" s="6"/>
      <c r="AG285" s="6"/>
      <c r="AH285" s="6"/>
      <c r="AI285" s="6"/>
      <c r="AK285" s="6"/>
      <c r="AL285" s="6"/>
      <c r="AM285" s="6"/>
      <c r="AN285" s="6"/>
      <c r="AO285" s="6"/>
      <c r="AP285" s="6"/>
      <c r="AQ285" s="6"/>
      <c r="AR285" s="6"/>
      <c r="AS285" s="15"/>
      <c r="AT285" s="6" t="str">
        <f ca="1">IFERROR(__xludf.DUMMYFUNCTION("SWITCH(IF(A285=""Practice"",AN285,FILTER('Items by Team'!E$2:E3410,'Items by Team'!C$2:C3410=D285,B285='Items by Team'!B$2:B3410)),""None"",""No"",""Parked"",""P"",""ShallowCage"",""Sc"",""DeepCage"",""Dc"",""No"",""No"",""P"",""P"",""Sc"",""Sc"",""Dc"","&amp;"""Dc"")"),"#REF!")</f>
        <v>#REF!</v>
      </c>
      <c r="AU285" s="6" t="str">
        <f ca="1">IFERROR(__xludf.DUMMYFUNCTION("SWITCH(IF(A285 = ""Practice"", H285, FILTER('Items by Team'!D$2:D3410,'Items by Team'!C$2:C3410 = D285,'Items by Team'!B$2:B3410 = B285)), ""Yes"", ""TRUE"", ""No"", ""FALSE"",TRUE, ""TRUE"", FALSE, ""FALSE"")"),"#REF!")</f>
        <v>#REF!</v>
      </c>
      <c r="AV285" s="6">
        <f t="shared" si="21"/>
        <v>0</v>
      </c>
      <c r="AW285" s="6">
        <f t="shared" si="22"/>
        <v>0</v>
      </c>
      <c r="AX285" s="6">
        <f t="shared" si="23"/>
        <v>0</v>
      </c>
      <c r="AY285" s="6">
        <f t="shared" si="24"/>
        <v>0</v>
      </c>
      <c r="AZ285" s="9" t="str">
        <f t="shared" si="25"/>
        <v/>
      </c>
      <c r="BA285" s="6">
        <f t="shared" si="26"/>
        <v>0</v>
      </c>
      <c r="BB285" s="6">
        <f t="shared" si="27"/>
        <v>0</v>
      </c>
      <c r="BC285" s="9" t="str">
        <f t="shared" si="28"/>
        <v/>
      </c>
      <c r="BD285" s="6">
        <f t="shared" si="29"/>
        <v>0</v>
      </c>
      <c r="BE285" s="6">
        <f t="shared" si="30"/>
        <v>0</v>
      </c>
      <c r="BF285" s="9" t="str">
        <f t="shared" si="31"/>
        <v/>
      </c>
      <c r="BG285" s="6">
        <f t="shared" si="32"/>
        <v>0</v>
      </c>
      <c r="BH285" s="6">
        <f t="shared" si="33"/>
        <v>0</v>
      </c>
      <c r="BI285" s="9" t="str">
        <f t="shared" si="34"/>
        <v/>
      </c>
      <c r="BJ285" s="6">
        <f t="shared" si="35"/>
        <v>0</v>
      </c>
      <c r="BK285" s="6">
        <f t="shared" si="36"/>
        <v>0</v>
      </c>
      <c r="BL285" s="6">
        <f t="shared" si="37"/>
        <v>0</v>
      </c>
      <c r="BM285" s="6">
        <f t="shared" si="38"/>
        <v>0</v>
      </c>
      <c r="BN285" s="6">
        <f t="shared" si="39"/>
        <v>0</v>
      </c>
      <c r="BP285" s="6">
        <f t="shared" si="40"/>
        <v>0</v>
      </c>
      <c r="BQ285" s="6" t="b">
        <f ca="1">IFERROR(__xludf.DUMMYFUNCTION("IF(AND(ISERROR(FILTER('Items by Team'!D$2:D3410,'Items by Team'!C$2:C3410 = D285,'Items by Team'!B$2:B3410 = B285)),NOT(A285=""Practice"")),TRUE,FALSE)"),FALSE)</f>
        <v>0</v>
      </c>
      <c r="BR285" s="6">
        <f t="shared" ca="1" si="41"/>
        <v>0</v>
      </c>
    </row>
    <row r="286" spans="1:70">
      <c r="A286" s="6"/>
      <c r="B286" s="6"/>
      <c r="C286" s="6"/>
      <c r="D286" s="6"/>
      <c r="E286" s="6"/>
      <c r="F286" s="6"/>
      <c r="G286" s="6"/>
      <c r="H286" s="6"/>
      <c r="I286" s="6"/>
      <c r="J286" s="6"/>
      <c r="K286" s="6"/>
      <c r="L286" s="6"/>
      <c r="M286" s="6"/>
      <c r="N286" s="6"/>
      <c r="O286" s="6"/>
      <c r="P286" s="6"/>
      <c r="R286" s="6"/>
      <c r="S286" s="6"/>
      <c r="T286" s="6"/>
      <c r="U286" s="6"/>
      <c r="V286" s="6"/>
      <c r="W286" s="6"/>
      <c r="X286" s="6"/>
      <c r="Y286" s="6"/>
      <c r="Z286" s="6"/>
      <c r="AA286" s="6"/>
      <c r="AB286" s="6"/>
      <c r="AD286" s="6"/>
      <c r="AE286" s="6"/>
      <c r="AF286" s="6"/>
      <c r="AG286" s="6"/>
      <c r="AH286" s="6"/>
      <c r="AI286" s="6"/>
      <c r="AK286" s="6"/>
      <c r="AL286" s="6"/>
      <c r="AM286" s="6"/>
      <c r="AN286" s="6"/>
      <c r="AO286" s="6"/>
      <c r="AP286" s="6"/>
      <c r="AQ286" s="6"/>
      <c r="AR286" s="6"/>
      <c r="AS286" s="15"/>
      <c r="AT286" s="6" t="str">
        <f ca="1">IFERROR(__xludf.DUMMYFUNCTION("SWITCH(IF(A286=""Practice"",AN286,FILTER('Items by Team'!E$2:E3410,'Items by Team'!C$2:C3410=D286,B286='Items by Team'!B$2:B3410)),""None"",""No"",""Parked"",""P"",""ShallowCage"",""Sc"",""DeepCage"",""Dc"",""No"",""No"",""P"",""P"",""Sc"",""Sc"",""Dc"","&amp;"""Dc"")"),"#REF!")</f>
        <v>#REF!</v>
      </c>
      <c r="AU286" s="6" t="str">
        <f ca="1">IFERROR(__xludf.DUMMYFUNCTION("SWITCH(IF(A286 = ""Practice"", H286, FILTER('Items by Team'!D$2:D3410,'Items by Team'!C$2:C3410 = D286,'Items by Team'!B$2:B3410 = B286)), ""Yes"", ""TRUE"", ""No"", ""FALSE"",TRUE, ""TRUE"", FALSE, ""FALSE"")"),"#REF!")</f>
        <v>#REF!</v>
      </c>
      <c r="AV286" s="6">
        <f t="shared" si="21"/>
        <v>0</v>
      </c>
      <c r="AW286" s="6">
        <f t="shared" si="22"/>
        <v>0</v>
      </c>
      <c r="AX286" s="6">
        <f t="shared" si="23"/>
        <v>0</v>
      </c>
      <c r="AY286" s="6">
        <f t="shared" si="24"/>
        <v>0</v>
      </c>
      <c r="AZ286" s="9" t="str">
        <f t="shared" si="25"/>
        <v/>
      </c>
      <c r="BA286" s="6">
        <f t="shared" si="26"/>
        <v>0</v>
      </c>
      <c r="BB286" s="6">
        <f t="shared" si="27"/>
        <v>0</v>
      </c>
      <c r="BC286" s="9" t="str">
        <f t="shared" si="28"/>
        <v/>
      </c>
      <c r="BD286" s="6">
        <f t="shared" si="29"/>
        <v>0</v>
      </c>
      <c r="BE286" s="6">
        <f t="shared" si="30"/>
        <v>0</v>
      </c>
      <c r="BF286" s="9" t="str">
        <f t="shared" si="31"/>
        <v/>
      </c>
      <c r="BG286" s="6">
        <f t="shared" si="32"/>
        <v>0</v>
      </c>
      <c r="BH286" s="6">
        <f t="shared" si="33"/>
        <v>0</v>
      </c>
      <c r="BI286" s="9" t="str">
        <f t="shared" si="34"/>
        <v/>
      </c>
      <c r="BJ286" s="6">
        <f t="shared" si="35"/>
        <v>0</v>
      </c>
      <c r="BK286" s="6">
        <f t="shared" si="36"/>
        <v>0</v>
      </c>
      <c r="BL286" s="6">
        <f t="shared" si="37"/>
        <v>0</v>
      </c>
      <c r="BM286" s="6">
        <f t="shared" si="38"/>
        <v>0</v>
      </c>
      <c r="BN286" s="6">
        <f t="shared" si="39"/>
        <v>0</v>
      </c>
      <c r="BP286" s="6">
        <f t="shared" si="40"/>
        <v>0</v>
      </c>
      <c r="BQ286" s="6" t="b">
        <f ca="1">IFERROR(__xludf.DUMMYFUNCTION("IF(AND(ISERROR(FILTER('Items by Team'!D$2:D3410,'Items by Team'!C$2:C3410 = D286,'Items by Team'!B$2:B3410 = B286)),NOT(A286=""Practice"")),TRUE,FALSE)"),FALSE)</f>
        <v>0</v>
      </c>
      <c r="BR286" s="6">
        <f t="shared" ca="1" si="41"/>
        <v>0</v>
      </c>
    </row>
    <row r="287" spans="1:70">
      <c r="A287" s="6"/>
      <c r="B287" s="6"/>
      <c r="C287" s="6"/>
      <c r="D287" s="6"/>
      <c r="E287" s="6"/>
      <c r="F287" s="6"/>
      <c r="G287" s="6"/>
      <c r="H287" s="6"/>
      <c r="I287" s="6"/>
      <c r="J287" s="6"/>
      <c r="K287" s="6"/>
      <c r="L287" s="6"/>
      <c r="M287" s="6"/>
      <c r="N287" s="6"/>
      <c r="O287" s="6"/>
      <c r="P287" s="6"/>
      <c r="R287" s="6"/>
      <c r="S287" s="6"/>
      <c r="T287" s="6"/>
      <c r="U287" s="6"/>
      <c r="V287" s="6"/>
      <c r="W287" s="6"/>
      <c r="X287" s="6"/>
      <c r="Y287" s="6"/>
      <c r="Z287" s="6"/>
      <c r="AA287" s="6"/>
      <c r="AB287" s="6"/>
      <c r="AD287" s="6"/>
      <c r="AE287" s="6"/>
      <c r="AF287" s="6"/>
      <c r="AG287" s="6"/>
      <c r="AH287" s="6"/>
      <c r="AI287" s="6"/>
      <c r="AK287" s="6"/>
      <c r="AL287" s="6"/>
      <c r="AM287" s="6"/>
      <c r="AN287" s="6"/>
      <c r="AO287" s="6"/>
      <c r="AP287" s="6"/>
      <c r="AQ287" s="6"/>
      <c r="AR287" s="6"/>
      <c r="AS287" s="15"/>
      <c r="AT287" s="6" t="str">
        <f ca="1">IFERROR(__xludf.DUMMYFUNCTION("SWITCH(IF(A287=""Practice"",AN287,FILTER('Items by Team'!E$2:E3410,'Items by Team'!C$2:C3410=D287,B287='Items by Team'!B$2:B3410)),""None"",""No"",""Parked"",""P"",""ShallowCage"",""Sc"",""DeepCage"",""Dc"",""No"",""No"",""P"",""P"",""Sc"",""Sc"",""Dc"","&amp;"""Dc"")"),"#REF!")</f>
        <v>#REF!</v>
      </c>
      <c r="AU287" s="6" t="str">
        <f ca="1">IFERROR(__xludf.DUMMYFUNCTION("SWITCH(IF(A287 = ""Practice"", H287, FILTER('Items by Team'!D$2:D3410,'Items by Team'!C$2:C3410 = D287,'Items by Team'!B$2:B3410 = B287)), ""Yes"", ""TRUE"", ""No"", ""FALSE"",TRUE, ""TRUE"", FALSE, ""FALSE"")"),"#REF!")</f>
        <v>#REF!</v>
      </c>
      <c r="AV287" s="6">
        <f t="shared" si="21"/>
        <v>0</v>
      </c>
      <c r="AW287" s="6">
        <f t="shared" si="22"/>
        <v>0</v>
      </c>
      <c r="AX287" s="6">
        <f t="shared" si="23"/>
        <v>0</v>
      </c>
      <c r="AY287" s="6">
        <f t="shared" si="24"/>
        <v>0</v>
      </c>
      <c r="AZ287" s="9" t="str">
        <f t="shared" si="25"/>
        <v/>
      </c>
      <c r="BA287" s="6">
        <f t="shared" si="26"/>
        <v>0</v>
      </c>
      <c r="BB287" s="6">
        <f t="shared" si="27"/>
        <v>0</v>
      </c>
      <c r="BC287" s="9" t="str">
        <f t="shared" si="28"/>
        <v/>
      </c>
      <c r="BD287" s="6">
        <f t="shared" si="29"/>
        <v>0</v>
      </c>
      <c r="BE287" s="6">
        <f t="shared" si="30"/>
        <v>0</v>
      </c>
      <c r="BF287" s="9" t="str">
        <f t="shared" si="31"/>
        <v/>
      </c>
      <c r="BG287" s="6">
        <f t="shared" si="32"/>
        <v>0</v>
      </c>
      <c r="BH287" s="6">
        <f t="shared" si="33"/>
        <v>0</v>
      </c>
      <c r="BI287" s="9" t="str">
        <f t="shared" si="34"/>
        <v/>
      </c>
      <c r="BJ287" s="6">
        <f t="shared" si="35"/>
        <v>0</v>
      </c>
      <c r="BK287" s="6">
        <f t="shared" si="36"/>
        <v>0</v>
      </c>
      <c r="BL287" s="6">
        <f t="shared" si="37"/>
        <v>0</v>
      </c>
      <c r="BM287" s="6">
        <f t="shared" si="38"/>
        <v>0</v>
      </c>
      <c r="BN287" s="6">
        <f t="shared" si="39"/>
        <v>0</v>
      </c>
      <c r="BP287" s="6">
        <f t="shared" si="40"/>
        <v>0</v>
      </c>
      <c r="BQ287" s="6" t="b">
        <f ca="1">IFERROR(__xludf.DUMMYFUNCTION("IF(AND(ISERROR(FILTER('Items by Team'!D$2:D3410,'Items by Team'!C$2:C3410 = D287,'Items by Team'!B$2:B3410 = B287)),NOT(A287=""Practice"")),TRUE,FALSE)"),FALSE)</f>
        <v>0</v>
      </c>
      <c r="BR287" s="6">
        <f t="shared" ca="1" si="41"/>
        <v>0</v>
      </c>
    </row>
    <row r="288" spans="1:70">
      <c r="A288" s="6"/>
      <c r="B288" s="6"/>
      <c r="C288" s="6"/>
      <c r="D288" s="6"/>
      <c r="E288" s="6"/>
      <c r="F288" s="6"/>
      <c r="G288" s="6"/>
      <c r="H288" s="6"/>
      <c r="I288" s="6"/>
      <c r="J288" s="6"/>
      <c r="K288" s="6"/>
      <c r="L288" s="6"/>
      <c r="M288" s="6"/>
      <c r="N288" s="6"/>
      <c r="O288" s="6"/>
      <c r="P288" s="6"/>
      <c r="R288" s="6"/>
      <c r="S288" s="6"/>
      <c r="T288" s="6"/>
      <c r="U288" s="6"/>
      <c r="V288" s="6"/>
      <c r="W288" s="6"/>
      <c r="X288" s="6"/>
      <c r="Y288" s="6"/>
      <c r="Z288" s="6"/>
      <c r="AA288" s="6"/>
      <c r="AB288" s="6"/>
      <c r="AD288" s="6"/>
      <c r="AE288" s="6"/>
      <c r="AF288" s="6"/>
      <c r="AG288" s="6"/>
      <c r="AH288" s="6"/>
      <c r="AI288" s="6"/>
      <c r="AK288" s="6"/>
      <c r="AL288" s="6"/>
      <c r="AM288" s="6"/>
      <c r="AN288" s="6"/>
      <c r="AO288" s="6"/>
      <c r="AP288" s="6"/>
      <c r="AQ288" s="6"/>
      <c r="AR288" s="6"/>
      <c r="AS288" s="15"/>
      <c r="AT288" s="6" t="str">
        <f ca="1">IFERROR(__xludf.DUMMYFUNCTION("SWITCH(IF(A288=""Practice"",AN288,FILTER('Items by Team'!E$2:E3410,'Items by Team'!C$2:C3410=D288,B288='Items by Team'!B$2:B3410)),""None"",""No"",""Parked"",""P"",""ShallowCage"",""Sc"",""DeepCage"",""Dc"",""No"",""No"",""P"",""P"",""Sc"",""Sc"",""Dc"","&amp;"""Dc"")"),"#REF!")</f>
        <v>#REF!</v>
      </c>
      <c r="AU288" s="6" t="str">
        <f ca="1">IFERROR(__xludf.DUMMYFUNCTION("SWITCH(IF(A288 = ""Practice"", H288, FILTER('Items by Team'!D$2:D3410,'Items by Team'!C$2:C3410 = D288,'Items by Team'!B$2:B3410 = B288)), ""Yes"", ""TRUE"", ""No"", ""FALSE"",TRUE, ""TRUE"", FALSE, ""FALSE"")"),"#REF!")</f>
        <v>#REF!</v>
      </c>
      <c r="AV288" s="6">
        <f t="shared" si="21"/>
        <v>0</v>
      </c>
      <c r="AW288" s="6">
        <f t="shared" si="22"/>
        <v>0</v>
      </c>
      <c r="AX288" s="6">
        <f t="shared" si="23"/>
        <v>0</v>
      </c>
      <c r="AY288" s="6">
        <f t="shared" si="24"/>
        <v>0</v>
      </c>
      <c r="AZ288" s="9" t="str">
        <f t="shared" si="25"/>
        <v/>
      </c>
      <c r="BA288" s="6">
        <f t="shared" si="26"/>
        <v>0</v>
      </c>
      <c r="BB288" s="6">
        <f t="shared" si="27"/>
        <v>0</v>
      </c>
      <c r="BC288" s="9" t="str">
        <f t="shared" si="28"/>
        <v/>
      </c>
      <c r="BD288" s="6">
        <f t="shared" si="29"/>
        <v>0</v>
      </c>
      <c r="BE288" s="6">
        <f t="shared" si="30"/>
        <v>0</v>
      </c>
      <c r="BF288" s="9" t="str">
        <f t="shared" si="31"/>
        <v/>
      </c>
      <c r="BG288" s="6">
        <f t="shared" si="32"/>
        <v>0</v>
      </c>
      <c r="BH288" s="6">
        <f t="shared" si="33"/>
        <v>0</v>
      </c>
      <c r="BI288" s="9" t="str">
        <f t="shared" si="34"/>
        <v/>
      </c>
      <c r="BJ288" s="6">
        <f t="shared" si="35"/>
        <v>0</v>
      </c>
      <c r="BK288" s="6">
        <f t="shared" si="36"/>
        <v>0</v>
      </c>
      <c r="BL288" s="6">
        <f t="shared" si="37"/>
        <v>0</v>
      </c>
      <c r="BM288" s="6">
        <f t="shared" si="38"/>
        <v>0</v>
      </c>
      <c r="BN288" s="6">
        <f t="shared" si="39"/>
        <v>0</v>
      </c>
      <c r="BP288" s="6">
        <f t="shared" si="40"/>
        <v>0</v>
      </c>
      <c r="BQ288" s="6" t="b">
        <f ca="1">IFERROR(__xludf.DUMMYFUNCTION("IF(AND(ISERROR(FILTER('Items by Team'!D$2:D3410,'Items by Team'!C$2:C3410 = D288,'Items by Team'!B$2:B3410 = B288)),NOT(A288=""Practice"")),TRUE,FALSE)"),FALSE)</f>
        <v>0</v>
      </c>
      <c r="BR288" s="6">
        <f t="shared" ca="1" si="41"/>
        <v>0</v>
      </c>
    </row>
    <row r="289" spans="1:70">
      <c r="A289" s="6"/>
      <c r="B289" s="6"/>
      <c r="C289" s="6"/>
      <c r="D289" s="6"/>
      <c r="E289" s="6"/>
      <c r="F289" s="6"/>
      <c r="G289" s="6"/>
      <c r="H289" s="6"/>
      <c r="I289" s="6"/>
      <c r="J289" s="6"/>
      <c r="K289" s="6"/>
      <c r="L289" s="6"/>
      <c r="M289" s="6"/>
      <c r="N289" s="6"/>
      <c r="O289" s="6"/>
      <c r="P289" s="6"/>
      <c r="R289" s="6"/>
      <c r="S289" s="6"/>
      <c r="T289" s="6"/>
      <c r="U289" s="6"/>
      <c r="V289" s="6"/>
      <c r="W289" s="6"/>
      <c r="X289" s="6"/>
      <c r="Y289" s="6"/>
      <c r="Z289" s="6"/>
      <c r="AA289" s="6"/>
      <c r="AB289" s="6"/>
      <c r="AD289" s="6"/>
      <c r="AE289" s="6"/>
      <c r="AF289" s="6"/>
      <c r="AG289" s="6"/>
      <c r="AH289" s="6"/>
      <c r="AI289" s="6"/>
      <c r="AK289" s="6"/>
      <c r="AL289" s="6"/>
      <c r="AM289" s="6"/>
      <c r="AN289" s="6"/>
      <c r="AO289" s="6"/>
      <c r="AP289" s="6"/>
      <c r="AQ289" s="6"/>
      <c r="AR289" s="6"/>
      <c r="AS289" s="15"/>
      <c r="AT289" s="6" t="str">
        <f ca="1">IFERROR(__xludf.DUMMYFUNCTION("SWITCH(IF(A289=""Practice"",AN289,FILTER('Items by Team'!E$2:E3410,'Items by Team'!C$2:C3410=D289,B289='Items by Team'!B$2:B3410)),""None"",""No"",""Parked"",""P"",""ShallowCage"",""Sc"",""DeepCage"",""Dc"",""No"",""No"",""P"",""P"",""Sc"",""Sc"",""Dc"","&amp;"""Dc"")"),"#REF!")</f>
        <v>#REF!</v>
      </c>
      <c r="AU289" s="6" t="str">
        <f ca="1">IFERROR(__xludf.DUMMYFUNCTION("SWITCH(IF(A289 = ""Practice"", H289, FILTER('Items by Team'!D$2:D3410,'Items by Team'!C$2:C3410 = D289,'Items by Team'!B$2:B3410 = B289)), ""Yes"", ""TRUE"", ""No"", ""FALSE"",TRUE, ""TRUE"", FALSE, ""FALSE"")"),"#REF!")</f>
        <v>#REF!</v>
      </c>
      <c r="AV289" s="6">
        <f t="shared" si="21"/>
        <v>0</v>
      </c>
      <c r="AW289" s="6">
        <f t="shared" si="22"/>
        <v>0</v>
      </c>
      <c r="AX289" s="6">
        <f t="shared" si="23"/>
        <v>0</v>
      </c>
      <c r="AY289" s="6">
        <f t="shared" si="24"/>
        <v>0</v>
      </c>
      <c r="AZ289" s="9" t="str">
        <f t="shared" si="25"/>
        <v/>
      </c>
      <c r="BA289" s="6">
        <f t="shared" si="26"/>
        <v>0</v>
      </c>
      <c r="BB289" s="6">
        <f t="shared" si="27"/>
        <v>0</v>
      </c>
      <c r="BC289" s="9" t="str">
        <f t="shared" si="28"/>
        <v/>
      </c>
      <c r="BD289" s="6">
        <f t="shared" si="29"/>
        <v>0</v>
      </c>
      <c r="BE289" s="6">
        <f t="shared" si="30"/>
        <v>0</v>
      </c>
      <c r="BF289" s="9" t="str">
        <f t="shared" si="31"/>
        <v/>
      </c>
      <c r="BG289" s="6">
        <f t="shared" si="32"/>
        <v>0</v>
      </c>
      <c r="BH289" s="6">
        <f t="shared" si="33"/>
        <v>0</v>
      </c>
      <c r="BI289" s="9" t="str">
        <f t="shared" si="34"/>
        <v/>
      </c>
      <c r="BJ289" s="6">
        <f t="shared" si="35"/>
        <v>0</v>
      </c>
      <c r="BK289" s="6">
        <f t="shared" si="36"/>
        <v>0</v>
      </c>
      <c r="BL289" s="6">
        <f t="shared" si="37"/>
        <v>0</v>
      </c>
      <c r="BM289" s="6">
        <f t="shared" si="38"/>
        <v>0</v>
      </c>
      <c r="BN289" s="6">
        <f t="shared" si="39"/>
        <v>0</v>
      </c>
      <c r="BP289" s="6">
        <f t="shared" si="40"/>
        <v>0</v>
      </c>
      <c r="BQ289" s="6" t="b">
        <f ca="1">IFERROR(__xludf.DUMMYFUNCTION("IF(AND(ISERROR(FILTER('Items by Team'!D$2:D3410,'Items by Team'!C$2:C3410 = D289,'Items by Team'!B$2:B3410 = B289)),NOT(A289=""Practice"")),TRUE,FALSE)"),FALSE)</f>
        <v>0</v>
      </c>
      <c r="BR289" s="6">
        <f t="shared" ca="1" si="41"/>
        <v>0</v>
      </c>
    </row>
    <row r="290" spans="1:70">
      <c r="A290" s="6"/>
      <c r="B290" s="6"/>
      <c r="C290" s="6"/>
      <c r="D290" s="6"/>
      <c r="E290" s="6"/>
      <c r="F290" s="6"/>
      <c r="G290" s="6"/>
      <c r="H290" s="6"/>
      <c r="I290" s="6"/>
      <c r="J290" s="6"/>
      <c r="K290" s="6"/>
      <c r="L290" s="6"/>
      <c r="M290" s="6"/>
      <c r="N290" s="6"/>
      <c r="O290" s="6"/>
      <c r="P290" s="6"/>
      <c r="R290" s="6"/>
      <c r="S290" s="6"/>
      <c r="T290" s="6"/>
      <c r="U290" s="6"/>
      <c r="V290" s="6"/>
      <c r="W290" s="6"/>
      <c r="X290" s="6"/>
      <c r="Y290" s="6"/>
      <c r="Z290" s="6"/>
      <c r="AA290" s="6"/>
      <c r="AB290" s="6"/>
      <c r="AD290" s="6"/>
      <c r="AE290" s="6"/>
      <c r="AF290" s="6"/>
      <c r="AG290" s="6"/>
      <c r="AH290" s="6"/>
      <c r="AI290" s="6"/>
      <c r="AK290" s="6"/>
      <c r="AL290" s="6"/>
      <c r="AM290" s="6"/>
      <c r="AN290" s="6"/>
      <c r="AO290" s="6"/>
      <c r="AP290" s="6"/>
      <c r="AQ290" s="6"/>
      <c r="AR290" s="6"/>
      <c r="AS290" s="15"/>
      <c r="AT290" s="6" t="str">
        <f ca="1">IFERROR(__xludf.DUMMYFUNCTION("SWITCH(IF(A290=""Practice"",AN290,FILTER('Items by Team'!E$2:E3410,'Items by Team'!C$2:C3410=D290,B290='Items by Team'!B$2:B3410)),""None"",""No"",""Parked"",""P"",""ShallowCage"",""Sc"",""DeepCage"",""Dc"",""No"",""No"",""P"",""P"",""Sc"",""Sc"",""Dc"","&amp;"""Dc"")"),"#REF!")</f>
        <v>#REF!</v>
      </c>
      <c r="AU290" s="6" t="str">
        <f ca="1">IFERROR(__xludf.DUMMYFUNCTION("SWITCH(IF(A290 = ""Practice"", H290, FILTER('Items by Team'!D$2:D3410,'Items by Team'!C$2:C3410 = D290,'Items by Team'!B$2:B3410 = B290)), ""Yes"", ""TRUE"", ""No"", ""FALSE"",TRUE, ""TRUE"", FALSE, ""FALSE"")"),"#REF!")</f>
        <v>#REF!</v>
      </c>
      <c r="AV290" s="6">
        <f t="shared" si="21"/>
        <v>0</v>
      </c>
      <c r="AW290" s="6">
        <f t="shared" si="22"/>
        <v>0</v>
      </c>
      <c r="AX290" s="6">
        <f t="shared" si="23"/>
        <v>0</v>
      </c>
      <c r="AY290" s="6">
        <f t="shared" si="24"/>
        <v>0</v>
      </c>
      <c r="AZ290" s="9" t="str">
        <f t="shared" si="25"/>
        <v/>
      </c>
      <c r="BA290" s="6">
        <f t="shared" si="26"/>
        <v>0</v>
      </c>
      <c r="BB290" s="6">
        <f t="shared" si="27"/>
        <v>0</v>
      </c>
      <c r="BC290" s="9" t="str">
        <f t="shared" si="28"/>
        <v/>
      </c>
      <c r="BD290" s="6">
        <f t="shared" si="29"/>
        <v>0</v>
      </c>
      <c r="BE290" s="6">
        <f t="shared" si="30"/>
        <v>0</v>
      </c>
      <c r="BF290" s="9" t="str">
        <f t="shared" si="31"/>
        <v/>
      </c>
      <c r="BG290" s="6">
        <f t="shared" si="32"/>
        <v>0</v>
      </c>
      <c r="BH290" s="6">
        <f t="shared" si="33"/>
        <v>0</v>
      </c>
      <c r="BI290" s="9" t="str">
        <f t="shared" si="34"/>
        <v/>
      </c>
      <c r="BJ290" s="6">
        <f t="shared" si="35"/>
        <v>0</v>
      </c>
      <c r="BK290" s="6">
        <f t="shared" si="36"/>
        <v>0</v>
      </c>
      <c r="BL290" s="6">
        <f t="shared" si="37"/>
        <v>0</v>
      </c>
      <c r="BM290" s="6">
        <f t="shared" si="38"/>
        <v>0</v>
      </c>
      <c r="BN290" s="6">
        <f t="shared" si="39"/>
        <v>0</v>
      </c>
      <c r="BP290" s="6">
        <f t="shared" si="40"/>
        <v>0</v>
      </c>
      <c r="BQ290" s="6" t="b">
        <f ca="1">IFERROR(__xludf.DUMMYFUNCTION("IF(AND(ISERROR(FILTER('Items by Team'!D$2:D3410,'Items by Team'!C$2:C3410 = D290,'Items by Team'!B$2:B3410 = B290)),NOT(A290=""Practice"")),TRUE,FALSE)"),FALSE)</f>
        <v>0</v>
      </c>
      <c r="BR290" s="6">
        <f t="shared" ca="1" si="41"/>
        <v>0</v>
      </c>
    </row>
    <row r="291" spans="1:70">
      <c r="A291" s="6"/>
      <c r="B291" s="6"/>
      <c r="C291" s="6"/>
      <c r="D291" s="6"/>
      <c r="E291" s="6"/>
      <c r="F291" s="6"/>
      <c r="G291" s="6"/>
      <c r="H291" s="6"/>
      <c r="I291" s="6"/>
      <c r="J291" s="6"/>
      <c r="K291" s="6"/>
      <c r="L291" s="6"/>
      <c r="M291" s="6"/>
      <c r="N291" s="6"/>
      <c r="O291" s="6"/>
      <c r="P291" s="6"/>
      <c r="R291" s="6"/>
      <c r="S291" s="6"/>
      <c r="T291" s="6"/>
      <c r="U291" s="6"/>
      <c r="V291" s="6"/>
      <c r="W291" s="6"/>
      <c r="X291" s="6"/>
      <c r="Y291" s="6"/>
      <c r="Z291" s="6"/>
      <c r="AA291" s="6"/>
      <c r="AB291" s="6"/>
      <c r="AD291" s="6"/>
      <c r="AE291" s="6"/>
      <c r="AF291" s="6"/>
      <c r="AG291" s="6"/>
      <c r="AH291" s="6"/>
      <c r="AI291" s="6"/>
      <c r="AK291" s="6"/>
      <c r="AL291" s="6"/>
      <c r="AM291" s="6"/>
      <c r="AN291" s="6"/>
      <c r="AO291" s="6"/>
      <c r="AP291" s="6"/>
      <c r="AQ291" s="6"/>
      <c r="AR291" s="6"/>
      <c r="AS291" s="15"/>
      <c r="AT291" s="6" t="str">
        <f ca="1">IFERROR(__xludf.DUMMYFUNCTION("SWITCH(IF(A291=""Practice"",AN291,FILTER('Items by Team'!E$2:E3410,'Items by Team'!C$2:C3410=D291,B291='Items by Team'!B$2:B3410)),""None"",""No"",""Parked"",""P"",""ShallowCage"",""Sc"",""DeepCage"",""Dc"",""No"",""No"",""P"",""P"",""Sc"",""Sc"",""Dc"","&amp;"""Dc"")"),"#REF!")</f>
        <v>#REF!</v>
      </c>
      <c r="AU291" s="6" t="str">
        <f ca="1">IFERROR(__xludf.DUMMYFUNCTION("SWITCH(IF(A291 = ""Practice"", H291, FILTER('Items by Team'!D$2:D3410,'Items by Team'!C$2:C3410 = D291,'Items by Team'!B$2:B3410 = B291)), ""Yes"", ""TRUE"", ""No"", ""FALSE"",TRUE, ""TRUE"", FALSE, ""FALSE"")"),"#REF!")</f>
        <v>#REF!</v>
      </c>
      <c r="AV291" s="6">
        <f t="shared" si="21"/>
        <v>0</v>
      </c>
      <c r="AW291" s="6">
        <f t="shared" si="22"/>
        <v>0</v>
      </c>
      <c r="AX291" s="6">
        <f t="shared" si="23"/>
        <v>0</v>
      </c>
      <c r="AY291" s="6">
        <f t="shared" si="24"/>
        <v>0</v>
      </c>
      <c r="AZ291" s="9" t="str">
        <f t="shared" si="25"/>
        <v/>
      </c>
      <c r="BA291" s="6">
        <f t="shared" si="26"/>
        <v>0</v>
      </c>
      <c r="BB291" s="6">
        <f t="shared" si="27"/>
        <v>0</v>
      </c>
      <c r="BC291" s="9" t="str">
        <f t="shared" si="28"/>
        <v/>
      </c>
      <c r="BD291" s="6">
        <f t="shared" si="29"/>
        <v>0</v>
      </c>
      <c r="BE291" s="6">
        <f t="shared" si="30"/>
        <v>0</v>
      </c>
      <c r="BF291" s="9" t="str">
        <f t="shared" si="31"/>
        <v/>
      </c>
      <c r="BG291" s="6">
        <f t="shared" si="32"/>
        <v>0</v>
      </c>
      <c r="BH291" s="6">
        <f t="shared" si="33"/>
        <v>0</v>
      </c>
      <c r="BI291" s="9" t="str">
        <f t="shared" si="34"/>
        <v/>
      </c>
      <c r="BJ291" s="6">
        <f t="shared" si="35"/>
        <v>0</v>
      </c>
      <c r="BK291" s="6">
        <f t="shared" si="36"/>
        <v>0</v>
      </c>
      <c r="BL291" s="6">
        <f t="shared" si="37"/>
        <v>0</v>
      </c>
      <c r="BM291" s="6">
        <f t="shared" si="38"/>
        <v>0</v>
      </c>
      <c r="BN291" s="6">
        <f t="shared" si="39"/>
        <v>0</v>
      </c>
      <c r="BP291" s="6">
        <f t="shared" si="40"/>
        <v>0</v>
      </c>
      <c r="BQ291" s="6" t="b">
        <f ca="1">IFERROR(__xludf.DUMMYFUNCTION("IF(AND(ISERROR(FILTER('Items by Team'!D$2:D3410,'Items by Team'!C$2:C3410 = D291,'Items by Team'!B$2:B3410 = B291)),NOT(A291=""Practice"")),TRUE,FALSE)"),FALSE)</f>
        <v>0</v>
      </c>
      <c r="BR291" s="6">
        <f t="shared" ca="1" si="41"/>
        <v>0</v>
      </c>
    </row>
    <row r="292" spans="1:70">
      <c r="A292" s="6"/>
      <c r="B292" s="6"/>
      <c r="C292" s="6"/>
      <c r="D292" s="6"/>
      <c r="E292" s="6"/>
      <c r="F292" s="6"/>
      <c r="G292" s="6"/>
      <c r="H292" s="6"/>
      <c r="I292" s="6"/>
      <c r="J292" s="6"/>
      <c r="K292" s="6"/>
      <c r="L292" s="6"/>
      <c r="M292" s="6"/>
      <c r="N292" s="6"/>
      <c r="O292" s="6"/>
      <c r="P292" s="6"/>
      <c r="R292" s="6"/>
      <c r="S292" s="6"/>
      <c r="T292" s="6"/>
      <c r="U292" s="6"/>
      <c r="V292" s="6"/>
      <c r="W292" s="6"/>
      <c r="X292" s="6"/>
      <c r="Y292" s="6"/>
      <c r="Z292" s="6"/>
      <c r="AA292" s="6"/>
      <c r="AB292" s="6"/>
      <c r="AD292" s="6"/>
      <c r="AE292" s="6"/>
      <c r="AF292" s="6"/>
      <c r="AG292" s="6"/>
      <c r="AH292" s="6"/>
      <c r="AI292" s="6"/>
      <c r="AK292" s="6"/>
      <c r="AL292" s="6"/>
      <c r="AM292" s="6"/>
      <c r="AN292" s="6"/>
      <c r="AO292" s="6"/>
      <c r="AP292" s="6"/>
      <c r="AQ292" s="6"/>
      <c r="AR292" s="6"/>
      <c r="AS292" s="15"/>
      <c r="AT292" s="6" t="str">
        <f ca="1">IFERROR(__xludf.DUMMYFUNCTION("SWITCH(IF(A292=""Practice"",AN292,FILTER('Items by Team'!E$2:E3410,'Items by Team'!C$2:C3410=D292,B292='Items by Team'!B$2:B3410)),""None"",""No"",""Parked"",""P"",""ShallowCage"",""Sc"",""DeepCage"",""Dc"",""No"",""No"",""P"",""P"",""Sc"",""Sc"",""Dc"","&amp;"""Dc"")"),"#REF!")</f>
        <v>#REF!</v>
      </c>
      <c r="AU292" s="6" t="str">
        <f ca="1">IFERROR(__xludf.DUMMYFUNCTION("SWITCH(IF(A292 = ""Practice"", H292, FILTER('Items by Team'!D$2:D3410,'Items by Team'!C$2:C3410 = D292,'Items by Team'!B$2:B3410 = B292)), ""Yes"", ""TRUE"", ""No"", ""FALSE"",TRUE, ""TRUE"", FALSE, ""FALSE"")"),"#REF!")</f>
        <v>#REF!</v>
      </c>
      <c r="AV292" s="6">
        <f t="shared" si="21"/>
        <v>0</v>
      </c>
      <c r="AW292" s="6">
        <f t="shared" si="22"/>
        <v>0</v>
      </c>
      <c r="AX292" s="6">
        <f t="shared" si="23"/>
        <v>0</v>
      </c>
      <c r="AY292" s="6">
        <f t="shared" si="24"/>
        <v>0</v>
      </c>
      <c r="AZ292" s="9" t="str">
        <f t="shared" si="25"/>
        <v/>
      </c>
      <c r="BA292" s="6">
        <f t="shared" si="26"/>
        <v>0</v>
      </c>
      <c r="BB292" s="6">
        <f t="shared" si="27"/>
        <v>0</v>
      </c>
      <c r="BC292" s="9" t="str">
        <f t="shared" si="28"/>
        <v/>
      </c>
      <c r="BD292" s="6">
        <f t="shared" si="29"/>
        <v>0</v>
      </c>
      <c r="BE292" s="6">
        <f t="shared" si="30"/>
        <v>0</v>
      </c>
      <c r="BF292" s="9" t="str">
        <f t="shared" si="31"/>
        <v/>
      </c>
      <c r="BG292" s="6">
        <f t="shared" si="32"/>
        <v>0</v>
      </c>
      <c r="BH292" s="6">
        <f t="shared" si="33"/>
        <v>0</v>
      </c>
      <c r="BI292" s="9" t="str">
        <f t="shared" si="34"/>
        <v/>
      </c>
      <c r="BJ292" s="6">
        <f t="shared" si="35"/>
        <v>0</v>
      </c>
      <c r="BK292" s="6">
        <f t="shared" si="36"/>
        <v>0</v>
      </c>
      <c r="BL292" s="6">
        <f t="shared" si="37"/>
        <v>0</v>
      </c>
      <c r="BM292" s="6">
        <f t="shared" si="38"/>
        <v>0</v>
      </c>
      <c r="BN292" s="6">
        <f t="shared" si="39"/>
        <v>0</v>
      </c>
      <c r="BP292" s="6">
        <f t="shared" si="40"/>
        <v>0</v>
      </c>
      <c r="BQ292" s="6" t="b">
        <f ca="1">IFERROR(__xludf.DUMMYFUNCTION("IF(AND(ISERROR(FILTER('Items by Team'!D$2:D3410,'Items by Team'!C$2:C3410 = D292,'Items by Team'!B$2:B3410 = B292)),NOT(A292=""Practice"")),TRUE,FALSE)"),FALSE)</f>
        <v>0</v>
      </c>
      <c r="BR292" s="6">
        <f t="shared" ca="1" si="41"/>
        <v>0</v>
      </c>
    </row>
    <row r="293" spans="1:70">
      <c r="A293" s="6"/>
      <c r="B293" s="6"/>
      <c r="C293" s="6"/>
      <c r="D293" s="6"/>
      <c r="E293" s="6"/>
      <c r="F293" s="6"/>
      <c r="G293" s="6"/>
      <c r="H293" s="6"/>
      <c r="I293" s="6"/>
      <c r="J293" s="6"/>
      <c r="K293" s="6"/>
      <c r="L293" s="6"/>
      <c r="M293" s="6"/>
      <c r="N293" s="6"/>
      <c r="O293" s="6"/>
      <c r="P293" s="6"/>
      <c r="R293" s="6"/>
      <c r="S293" s="6"/>
      <c r="T293" s="6"/>
      <c r="U293" s="6"/>
      <c r="V293" s="6"/>
      <c r="W293" s="6"/>
      <c r="X293" s="6"/>
      <c r="Y293" s="6"/>
      <c r="Z293" s="6"/>
      <c r="AA293" s="6"/>
      <c r="AB293" s="6"/>
      <c r="AD293" s="6"/>
      <c r="AE293" s="6"/>
      <c r="AF293" s="6"/>
      <c r="AG293" s="6"/>
      <c r="AH293" s="6"/>
      <c r="AI293" s="6"/>
      <c r="AK293" s="6"/>
      <c r="AL293" s="6"/>
      <c r="AM293" s="6"/>
      <c r="AN293" s="6"/>
      <c r="AO293" s="6"/>
      <c r="AP293" s="6"/>
      <c r="AQ293" s="6"/>
      <c r="AR293" s="6"/>
      <c r="AS293" s="15"/>
      <c r="AT293" s="6" t="str">
        <f ca="1">IFERROR(__xludf.DUMMYFUNCTION("SWITCH(IF(A293=""Practice"",AN293,FILTER('Items by Team'!E$2:E3410,'Items by Team'!C$2:C3410=D293,B293='Items by Team'!B$2:B3410)),""None"",""No"",""Parked"",""P"",""ShallowCage"",""Sc"",""DeepCage"",""Dc"",""No"",""No"",""P"",""P"",""Sc"",""Sc"",""Dc"","&amp;"""Dc"")"),"#REF!")</f>
        <v>#REF!</v>
      </c>
      <c r="AU293" s="6" t="str">
        <f ca="1">IFERROR(__xludf.DUMMYFUNCTION("SWITCH(IF(A293 = ""Practice"", H293, FILTER('Items by Team'!D$2:D3410,'Items by Team'!C$2:C3410 = D293,'Items by Team'!B$2:B3410 = B293)), ""Yes"", ""TRUE"", ""No"", ""FALSE"",TRUE, ""TRUE"", FALSE, ""FALSE"")"),"#REF!")</f>
        <v>#REF!</v>
      </c>
      <c r="AV293" s="6">
        <f t="shared" si="21"/>
        <v>0</v>
      </c>
      <c r="AW293" s="6">
        <f t="shared" si="22"/>
        <v>0</v>
      </c>
      <c r="AX293" s="6">
        <f t="shared" si="23"/>
        <v>0</v>
      </c>
      <c r="AY293" s="6">
        <f t="shared" si="24"/>
        <v>0</v>
      </c>
      <c r="AZ293" s="9" t="str">
        <f t="shared" si="25"/>
        <v/>
      </c>
      <c r="BA293" s="6">
        <f t="shared" si="26"/>
        <v>0</v>
      </c>
      <c r="BB293" s="6">
        <f t="shared" si="27"/>
        <v>0</v>
      </c>
      <c r="BC293" s="9" t="str">
        <f t="shared" si="28"/>
        <v/>
      </c>
      <c r="BD293" s="6">
        <f t="shared" si="29"/>
        <v>0</v>
      </c>
      <c r="BE293" s="6">
        <f t="shared" si="30"/>
        <v>0</v>
      </c>
      <c r="BF293" s="9" t="str">
        <f t="shared" si="31"/>
        <v/>
      </c>
      <c r="BG293" s="6">
        <f t="shared" si="32"/>
        <v>0</v>
      </c>
      <c r="BH293" s="6">
        <f t="shared" si="33"/>
        <v>0</v>
      </c>
      <c r="BI293" s="9" t="str">
        <f t="shared" si="34"/>
        <v/>
      </c>
      <c r="BJ293" s="6">
        <f t="shared" si="35"/>
        <v>0</v>
      </c>
      <c r="BK293" s="6">
        <f t="shared" si="36"/>
        <v>0</v>
      </c>
      <c r="BL293" s="6">
        <f t="shared" si="37"/>
        <v>0</v>
      </c>
      <c r="BM293" s="6">
        <f t="shared" si="38"/>
        <v>0</v>
      </c>
      <c r="BN293" s="6">
        <f t="shared" si="39"/>
        <v>0</v>
      </c>
      <c r="BP293" s="6">
        <f t="shared" si="40"/>
        <v>0</v>
      </c>
      <c r="BQ293" s="6" t="b">
        <f ca="1">IFERROR(__xludf.DUMMYFUNCTION("IF(AND(ISERROR(FILTER('Items by Team'!D$2:D3410,'Items by Team'!C$2:C3410 = D293,'Items by Team'!B$2:B3410 = B293)),NOT(A293=""Practice"")),TRUE,FALSE)"),FALSE)</f>
        <v>0</v>
      </c>
      <c r="BR293" s="6">
        <f t="shared" ca="1" si="41"/>
        <v>0</v>
      </c>
    </row>
    <row r="294" spans="1:70">
      <c r="A294" s="6"/>
      <c r="B294" s="6"/>
      <c r="C294" s="6"/>
      <c r="D294" s="6"/>
      <c r="E294" s="6"/>
      <c r="F294" s="6"/>
      <c r="G294" s="6"/>
      <c r="H294" s="6"/>
      <c r="I294" s="6"/>
      <c r="J294" s="6"/>
      <c r="K294" s="6"/>
      <c r="L294" s="6"/>
      <c r="M294" s="6"/>
      <c r="N294" s="6"/>
      <c r="O294" s="6"/>
      <c r="P294" s="6"/>
      <c r="R294" s="6"/>
      <c r="S294" s="6"/>
      <c r="T294" s="6"/>
      <c r="U294" s="6"/>
      <c r="V294" s="6"/>
      <c r="W294" s="6"/>
      <c r="X294" s="6"/>
      <c r="Y294" s="6"/>
      <c r="Z294" s="6"/>
      <c r="AA294" s="6"/>
      <c r="AB294" s="6"/>
      <c r="AD294" s="6"/>
      <c r="AE294" s="6"/>
      <c r="AF294" s="6"/>
      <c r="AG294" s="6"/>
      <c r="AH294" s="6"/>
      <c r="AI294" s="6"/>
      <c r="AK294" s="6"/>
      <c r="AL294" s="6"/>
      <c r="AM294" s="6"/>
      <c r="AN294" s="6"/>
      <c r="AO294" s="6"/>
      <c r="AP294" s="6"/>
      <c r="AQ294" s="6"/>
      <c r="AR294" s="6"/>
      <c r="AS294" s="15"/>
      <c r="AT294" s="6" t="str">
        <f ca="1">IFERROR(__xludf.DUMMYFUNCTION("SWITCH(IF(A294=""Practice"",AN294,FILTER('Items by Team'!E$2:E3410,'Items by Team'!C$2:C3410=D294,B294='Items by Team'!B$2:B3410)),""None"",""No"",""Parked"",""P"",""ShallowCage"",""Sc"",""DeepCage"",""Dc"",""No"",""No"",""P"",""P"",""Sc"",""Sc"",""Dc"","&amp;"""Dc"")"),"#REF!")</f>
        <v>#REF!</v>
      </c>
      <c r="AU294" s="6" t="str">
        <f ca="1">IFERROR(__xludf.DUMMYFUNCTION("SWITCH(IF(A294 = ""Practice"", H294, FILTER('Items by Team'!D$2:D3410,'Items by Team'!C$2:C3410 = D294,'Items by Team'!B$2:B3410 = B294)), ""Yes"", ""TRUE"", ""No"", ""FALSE"",TRUE, ""TRUE"", FALSE, ""FALSE"")"),"#REF!")</f>
        <v>#REF!</v>
      </c>
      <c r="AV294" s="6">
        <f t="shared" si="21"/>
        <v>0</v>
      </c>
      <c r="AW294" s="6">
        <f t="shared" si="22"/>
        <v>0</v>
      </c>
      <c r="AX294" s="6">
        <f t="shared" si="23"/>
        <v>0</v>
      </c>
      <c r="AY294" s="6">
        <f t="shared" si="24"/>
        <v>0</v>
      </c>
      <c r="AZ294" s="9" t="str">
        <f t="shared" si="25"/>
        <v/>
      </c>
      <c r="BA294" s="6">
        <f t="shared" si="26"/>
        <v>0</v>
      </c>
      <c r="BB294" s="6">
        <f t="shared" si="27"/>
        <v>0</v>
      </c>
      <c r="BC294" s="9" t="str">
        <f t="shared" si="28"/>
        <v/>
      </c>
      <c r="BD294" s="6">
        <f t="shared" si="29"/>
        <v>0</v>
      </c>
      <c r="BE294" s="6">
        <f t="shared" si="30"/>
        <v>0</v>
      </c>
      <c r="BF294" s="9" t="str">
        <f t="shared" si="31"/>
        <v/>
      </c>
      <c r="BG294" s="6">
        <f t="shared" si="32"/>
        <v>0</v>
      </c>
      <c r="BH294" s="6">
        <f t="shared" si="33"/>
        <v>0</v>
      </c>
      <c r="BI294" s="9" t="str">
        <f t="shared" si="34"/>
        <v/>
      </c>
      <c r="BJ294" s="6">
        <f t="shared" si="35"/>
        <v>0</v>
      </c>
      <c r="BK294" s="6">
        <f t="shared" si="36"/>
        <v>0</v>
      </c>
      <c r="BL294" s="6">
        <f t="shared" si="37"/>
        <v>0</v>
      </c>
      <c r="BM294" s="6">
        <f t="shared" si="38"/>
        <v>0</v>
      </c>
      <c r="BN294" s="6">
        <f t="shared" si="39"/>
        <v>0</v>
      </c>
      <c r="BP294" s="6">
        <f t="shared" si="40"/>
        <v>0</v>
      </c>
      <c r="BQ294" s="6" t="b">
        <f ca="1">IFERROR(__xludf.DUMMYFUNCTION("IF(AND(ISERROR(FILTER('Items by Team'!D$2:D3410,'Items by Team'!C$2:C3410 = D294,'Items by Team'!B$2:B3410 = B294)),NOT(A294=""Practice"")),TRUE,FALSE)"),FALSE)</f>
        <v>0</v>
      </c>
      <c r="BR294" s="6">
        <f t="shared" ca="1" si="41"/>
        <v>0</v>
      </c>
    </row>
    <row r="295" spans="1:70">
      <c r="A295" s="6"/>
      <c r="B295" s="6"/>
      <c r="C295" s="6"/>
      <c r="D295" s="6"/>
      <c r="E295" s="6"/>
      <c r="F295" s="6"/>
      <c r="G295" s="6"/>
      <c r="H295" s="6"/>
      <c r="I295" s="6"/>
      <c r="J295" s="6"/>
      <c r="K295" s="6"/>
      <c r="L295" s="6"/>
      <c r="M295" s="6"/>
      <c r="N295" s="6"/>
      <c r="O295" s="6"/>
      <c r="P295" s="6"/>
      <c r="R295" s="6"/>
      <c r="S295" s="6"/>
      <c r="T295" s="6"/>
      <c r="U295" s="6"/>
      <c r="V295" s="6"/>
      <c r="W295" s="6"/>
      <c r="X295" s="6"/>
      <c r="Y295" s="6"/>
      <c r="Z295" s="6"/>
      <c r="AA295" s="6"/>
      <c r="AB295" s="6"/>
      <c r="AD295" s="6"/>
      <c r="AE295" s="6"/>
      <c r="AF295" s="6"/>
      <c r="AG295" s="6"/>
      <c r="AH295" s="6"/>
      <c r="AI295" s="6"/>
      <c r="AK295" s="6"/>
      <c r="AL295" s="6"/>
      <c r="AM295" s="6"/>
      <c r="AN295" s="6"/>
      <c r="AO295" s="6"/>
      <c r="AP295" s="6"/>
      <c r="AQ295" s="6"/>
      <c r="AR295" s="6"/>
      <c r="AS295" s="15"/>
      <c r="AT295" s="6" t="str">
        <f ca="1">IFERROR(__xludf.DUMMYFUNCTION("SWITCH(IF(A295=""Practice"",AN295,FILTER('Items by Team'!E$2:E3410,'Items by Team'!C$2:C3410=D295,B295='Items by Team'!B$2:B3410)),""None"",""No"",""Parked"",""P"",""ShallowCage"",""Sc"",""DeepCage"",""Dc"",""No"",""No"",""P"",""P"",""Sc"",""Sc"",""Dc"","&amp;"""Dc"")"),"#REF!")</f>
        <v>#REF!</v>
      </c>
      <c r="AU295" s="6" t="str">
        <f ca="1">IFERROR(__xludf.DUMMYFUNCTION("SWITCH(IF(A295 = ""Practice"", H295, FILTER('Items by Team'!D$2:D3410,'Items by Team'!C$2:C3410 = D295,'Items by Team'!B$2:B3410 = B295)), ""Yes"", ""TRUE"", ""No"", ""FALSE"",TRUE, ""TRUE"", FALSE, ""FALSE"")"),"#REF!")</f>
        <v>#REF!</v>
      </c>
      <c r="AV295" s="6">
        <f t="shared" si="21"/>
        <v>0</v>
      </c>
      <c r="AW295" s="6">
        <f t="shared" si="22"/>
        <v>0</v>
      </c>
      <c r="AX295" s="6">
        <f t="shared" si="23"/>
        <v>0</v>
      </c>
      <c r="AY295" s="6">
        <f t="shared" si="24"/>
        <v>0</v>
      </c>
      <c r="AZ295" s="9" t="str">
        <f t="shared" si="25"/>
        <v/>
      </c>
      <c r="BA295" s="6">
        <f t="shared" si="26"/>
        <v>0</v>
      </c>
      <c r="BB295" s="6">
        <f t="shared" si="27"/>
        <v>0</v>
      </c>
      <c r="BC295" s="9" t="str">
        <f t="shared" si="28"/>
        <v/>
      </c>
      <c r="BD295" s="6">
        <f t="shared" si="29"/>
        <v>0</v>
      </c>
      <c r="BE295" s="6">
        <f t="shared" si="30"/>
        <v>0</v>
      </c>
      <c r="BF295" s="9" t="str">
        <f t="shared" si="31"/>
        <v/>
      </c>
      <c r="BG295" s="6">
        <f t="shared" si="32"/>
        <v>0</v>
      </c>
      <c r="BH295" s="6">
        <f t="shared" si="33"/>
        <v>0</v>
      </c>
      <c r="BI295" s="9" t="str">
        <f t="shared" si="34"/>
        <v/>
      </c>
      <c r="BJ295" s="6">
        <f t="shared" si="35"/>
        <v>0</v>
      </c>
      <c r="BK295" s="6">
        <f t="shared" si="36"/>
        <v>0</v>
      </c>
      <c r="BL295" s="6">
        <f t="shared" si="37"/>
        <v>0</v>
      </c>
      <c r="BM295" s="6">
        <f t="shared" si="38"/>
        <v>0</v>
      </c>
      <c r="BN295" s="6">
        <f t="shared" si="39"/>
        <v>0</v>
      </c>
      <c r="BP295" s="6">
        <f t="shared" si="40"/>
        <v>0</v>
      </c>
      <c r="BQ295" s="6" t="b">
        <f ca="1">IFERROR(__xludf.DUMMYFUNCTION("IF(AND(ISERROR(FILTER('Items by Team'!D$2:D3410,'Items by Team'!C$2:C3410 = D295,'Items by Team'!B$2:B3410 = B295)),NOT(A295=""Practice"")),TRUE,FALSE)"),FALSE)</f>
        <v>0</v>
      </c>
      <c r="BR295" s="6">
        <f t="shared" ca="1" si="41"/>
        <v>0</v>
      </c>
    </row>
    <row r="296" spans="1:70">
      <c r="A296" s="6"/>
      <c r="B296" s="6"/>
      <c r="C296" s="6"/>
      <c r="D296" s="6"/>
      <c r="E296" s="6"/>
      <c r="F296" s="6"/>
      <c r="G296" s="6"/>
      <c r="H296" s="6"/>
      <c r="I296" s="6"/>
      <c r="J296" s="6"/>
      <c r="K296" s="6"/>
      <c r="L296" s="6"/>
      <c r="M296" s="6"/>
      <c r="N296" s="6"/>
      <c r="O296" s="6"/>
      <c r="P296" s="6"/>
      <c r="R296" s="6"/>
      <c r="S296" s="6"/>
      <c r="T296" s="6"/>
      <c r="U296" s="6"/>
      <c r="V296" s="6"/>
      <c r="W296" s="6"/>
      <c r="X296" s="6"/>
      <c r="Y296" s="6"/>
      <c r="Z296" s="6"/>
      <c r="AA296" s="6"/>
      <c r="AB296" s="6"/>
      <c r="AD296" s="6"/>
      <c r="AE296" s="6"/>
      <c r="AF296" s="6"/>
      <c r="AG296" s="6"/>
      <c r="AH296" s="6"/>
      <c r="AI296" s="6"/>
      <c r="AK296" s="6"/>
      <c r="AL296" s="6"/>
      <c r="AM296" s="6"/>
      <c r="AN296" s="6"/>
      <c r="AO296" s="6"/>
      <c r="AP296" s="6"/>
      <c r="AQ296" s="6"/>
      <c r="AR296" s="6"/>
      <c r="AS296" s="15"/>
      <c r="AT296" s="6" t="str">
        <f ca="1">IFERROR(__xludf.DUMMYFUNCTION("SWITCH(IF(A296=""Practice"",AN296,FILTER('Items by Team'!E$2:E3410,'Items by Team'!C$2:C3410=D296,B296='Items by Team'!B$2:B3410)),""None"",""No"",""Parked"",""P"",""ShallowCage"",""Sc"",""DeepCage"",""Dc"",""No"",""No"",""P"",""P"",""Sc"",""Sc"",""Dc"","&amp;"""Dc"")"),"#REF!")</f>
        <v>#REF!</v>
      </c>
      <c r="AU296" s="6" t="str">
        <f ca="1">IFERROR(__xludf.DUMMYFUNCTION("SWITCH(IF(A296 = ""Practice"", H296, FILTER('Items by Team'!D$2:D3410,'Items by Team'!C$2:C3410 = D296,'Items by Team'!B$2:B3410 = B296)), ""Yes"", ""TRUE"", ""No"", ""FALSE"",TRUE, ""TRUE"", FALSE, ""FALSE"")"),"#REF!")</f>
        <v>#REF!</v>
      </c>
      <c r="AV296" s="6">
        <f t="shared" si="21"/>
        <v>0</v>
      </c>
      <c r="AW296" s="6">
        <f t="shared" si="22"/>
        <v>0</v>
      </c>
      <c r="AX296" s="6">
        <f t="shared" si="23"/>
        <v>0</v>
      </c>
      <c r="AY296" s="6">
        <f t="shared" si="24"/>
        <v>0</v>
      </c>
      <c r="AZ296" s="9" t="str">
        <f t="shared" si="25"/>
        <v/>
      </c>
      <c r="BA296" s="6">
        <f t="shared" si="26"/>
        <v>0</v>
      </c>
      <c r="BB296" s="6">
        <f t="shared" si="27"/>
        <v>0</v>
      </c>
      <c r="BC296" s="9" t="str">
        <f t="shared" si="28"/>
        <v/>
      </c>
      <c r="BD296" s="6">
        <f t="shared" si="29"/>
        <v>0</v>
      </c>
      <c r="BE296" s="6">
        <f t="shared" si="30"/>
        <v>0</v>
      </c>
      <c r="BF296" s="9" t="str">
        <f t="shared" si="31"/>
        <v/>
      </c>
      <c r="BG296" s="6">
        <f t="shared" si="32"/>
        <v>0</v>
      </c>
      <c r="BH296" s="6">
        <f t="shared" si="33"/>
        <v>0</v>
      </c>
      <c r="BI296" s="9" t="str">
        <f t="shared" si="34"/>
        <v/>
      </c>
      <c r="BJ296" s="6">
        <f t="shared" si="35"/>
        <v>0</v>
      </c>
      <c r="BK296" s="6">
        <f t="shared" si="36"/>
        <v>0</v>
      </c>
      <c r="BL296" s="6">
        <f t="shared" si="37"/>
        <v>0</v>
      </c>
      <c r="BM296" s="6">
        <f t="shared" si="38"/>
        <v>0</v>
      </c>
      <c r="BN296" s="6">
        <f t="shared" si="39"/>
        <v>0</v>
      </c>
      <c r="BP296" s="6">
        <f t="shared" si="40"/>
        <v>0</v>
      </c>
      <c r="BQ296" s="6" t="b">
        <f ca="1">IFERROR(__xludf.DUMMYFUNCTION("IF(AND(ISERROR(FILTER('Items by Team'!D$2:D3410,'Items by Team'!C$2:C3410 = D296,'Items by Team'!B$2:B3410 = B296)),NOT(A296=""Practice"")),TRUE,FALSE)"),FALSE)</f>
        <v>0</v>
      </c>
      <c r="BR296" s="6">
        <f t="shared" ca="1" si="41"/>
        <v>0</v>
      </c>
    </row>
    <row r="297" spans="1:70">
      <c r="A297" s="6"/>
      <c r="B297" s="6"/>
      <c r="C297" s="6"/>
      <c r="D297" s="6"/>
      <c r="E297" s="6"/>
      <c r="F297" s="6"/>
      <c r="G297" s="6"/>
      <c r="H297" s="6"/>
      <c r="I297" s="6"/>
      <c r="J297" s="6"/>
      <c r="K297" s="6"/>
      <c r="L297" s="6"/>
      <c r="M297" s="6"/>
      <c r="N297" s="6"/>
      <c r="O297" s="6"/>
      <c r="P297" s="6"/>
      <c r="R297" s="6"/>
      <c r="S297" s="6"/>
      <c r="T297" s="6"/>
      <c r="U297" s="6"/>
      <c r="V297" s="6"/>
      <c r="W297" s="6"/>
      <c r="X297" s="6"/>
      <c r="Y297" s="6"/>
      <c r="Z297" s="6"/>
      <c r="AA297" s="6"/>
      <c r="AB297" s="6"/>
      <c r="AD297" s="6"/>
      <c r="AE297" s="6"/>
      <c r="AF297" s="6"/>
      <c r="AG297" s="6"/>
      <c r="AH297" s="6"/>
      <c r="AI297" s="6"/>
      <c r="AK297" s="6"/>
      <c r="AL297" s="6"/>
      <c r="AM297" s="6"/>
      <c r="AN297" s="6"/>
      <c r="AO297" s="6"/>
      <c r="AP297" s="6"/>
      <c r="AQ297" s="6"/>
      <c r="AR297" s="6"/>
      <c r="AS297" s="15"/>
      <c r="AT297" s="6" t="str">
        <f ca="1">IFERROR(__xludf.DUMMYFUNCTION("SWITCH(IF(A297=""Practice"",AN297,FILTER('Items by Team'!E$2:E3410,'Items by Team'!C$2:C3410=D297,B297='Items by Team'!B$2:B3410)),""None"",""No"",""Parked"",""P"",""ShallowCage"",""Sc"",""DeepCage"",""Dc"",""No"",""No"",""P"",""P"",""Sc"",""Sc"",""Dc"","&amp;"""Dc"")"),"#REF!")</f>
        <v>#REF!</v>
      </c>
      <c r="AU297" s="6" t="str">
        <f ca="1">IFERROR(__xludf.DUMMYFUNCTION("SWITCH(IF(A297 = ""Practice"", H297, FILTER('Items by Team'!D$2:D3410,'Items by Team'!C$2:C3410 = D297,'Items by Team'!B$2:B3410 = B297)), ""Yes"", ""TRUE"", ""No"", ""FALSE"",TRUE, ""TRUE"", FALSE, ""FALSE"")"),"#REF!")</f>
        <v>#REF!</v>
      </c>
      <c r="AV297" s="6">
        <f t="shared" si="21"/>
        <v>0</v>
      </c>
      <c r="AW297" s="6">
        <f t="shared" si="22"/>
        <v>0</v>
      </c>
      <c r="AX297" s="6">
        <f t="shared" si="23"/>
        <v>0</v>
      </c>
      <c r="AY297" s="6">
        <f t="shared" si="24"/>
        <v>0</v>
      </c>
      <c r="AZ297" s="9" t="str">
        <f t="shared" si="25"/>
        <v/>
      </c>
      <c r="BA297" s="6">
        <f t="shared" si="26"/>
        <v>0</v>
      </c>
      <c r="BB297" s="6">
        <f t="shared" si="27"/>
        <v>0</v>
      </c>
      <c r="BC297" s="9" t="str">
        <f t="shared" si="28"/>
        <v/>
      </c>
      <c r="BD297" s="6">
        <f t="shared" si="29"/>
        <v>0</v>
      </c>
      <c r="BE297" s="6">
        <f t="shared" si="30"/>
        <v>0</v>
      </c>
      <c r="BF297" s="9" t="str">
        <f t="shared" si="31"/>
        <v/>
      </c>
      <c r="BG297" s="6">
        <f t="shared" si="32"/>
        <v>0</v>
      </c>
      <c r="BH297" s="6">
        <f t="shared" si="33"/>
        <v>0</v>
      </c>
      <c r="BI297" s="9" t="str">
        <f t="shared" si="34"/>
        <v/>
      </c>
      <c r="BJ297" s="6">
        <f t="shared" si="35"/>
        <v>0</v>
      </c>
      <c r="BK297" s="6">
        <f t="shared" si="36"/>
        <v>0</v>
      </c>
      <c r="BL297" s="6">
        <f t="shared" si="37"/>
        <v>0</v>
      </c>
      <c r="BM297" s="6">
        <f t="shared" si="38"/>
        <v>0</v>
      </c>
      <c r="BN297" s="6">
        <f t="shared" si="39"/>
        <v>0</v>
      </c>
      <c r="BP297" s="6">
        <f t="shared" si="40"/>
        <v>0</v>
      </c>
      <c r="BQ297" s="6" t="b">
        <f ca="1">IFERROR(__xludf.DUMMYFUNCTION("IF(AND(ISERROR(FILTER('Items by Team'!D$2:D3410,'Items by Team'!C$2:C3410 = D297,'Items by Team'!B$2:B3410 = B297)),NOT(A297=""Practice"")),TRUE,FALSE)"),FALSE)</f>
        <v>0</v>
      </c>
      <c r="BR297" s="6">
        <f t="shared" ca="1" si="41"/>
        <v>0</v>
      </c>
    </row>
    <row r="298" spans="1:70">
      <c r="A298" s="6"/>
      <c r="B298" s="6"/>
      <c r="C298" s="6"/>
      <c r="D298" s="6"/>
      <c r="E298" s="6"/>
      <c r="F298" s="6"/>
      <c r="G298" s="6"/>
      <c r="H298" s="6"/>
      <c r="I298" s="6"/>
      <c r="J298" s="6"/>
      <c r="K298" s="6"/>
      <c r="L298" s="6"/>
      <c r="M298" s="6"/>
      <c r="N298" s="6"/>
      <c r="O298" s="6"/>
      <c r="P298" s="6"/>
      <c r="R298" s="6"/>
      <c r="S298" s="6"/>
      <c r="T298" s="6"/>
      <c r="U298" s="6"/>
      <c r="V298" s="6"/>
      <c r="W298" s="6"/>
      <c r="X298" s="6"/>
      <c r="Y298" s="6"/>
      <c r="Z298" s="6"/>
      <c r="AA298" s="6"/>
      <c r="AB298" s="6"/>
      <c r="AD298" s="6"/>
      <c r="AE298" s="6"/>
      <c r="AF298" s="6"/>
      <c r="AG298" s="6"/>
      <c r="AH298" s="6"/>
      <c r="AI298" s="6"/>
      <c r="AK298" s="6"/>
      <c r="AL298" s="6"/>
      <c r="AM298" s="6"/>
      <c r="AN298" s="6"/>
      <c r="AO298" s="6"/>
      <c r="AP298" s="6"/>
      <c r="AQ298" s="6"/>
      <c r="AR298" s="6"/>
      <c r="AS298" s="15"/>
      <c r="AT298" s="6" t="str">
        <f ca="1">IFERROR(__xludf.DUMMYFUNCTION("SWITCH(IF(A298=""Practice"",AN298,FILTER('Items by Team'!E$2:E3410,'Items by Team'!C$2:C3410=D298,B298='Items by Team'!B$2:B3410)),""None"",""No"",""Parked"",""P"",""ShallowCage"",""Sc"",""DeepCage"",""Dc"",""No"",""No"",""P"",""P"",""Sc"",""Sc"",""Dc"","&amp;"""Dc"")"),"#REF!")</f>
        <v>#REF!</v>
      </c>
      <c r="AU298" s="6" t="str">
        <f ca="1">IFERROR(__xludf.DUMMYFUNCTION("SWITCH(IF(A298 = ""Practice"", H298, FILTER('Items by Team'!D$2:D3410,'Items by Team'!C$2:C3410 = D298,'Items by Team'!B$2:B3410 = B298)), ""Yes"", ""TRUE"", ""No"", ""FALSE"",TRUE, ""TRUE"", FALSE, ""FALSE"")"),"#REF!")</f>
        <v>#REF!</v>
      </c>
      <c r="AV298" s="6">
        <f t="shared" si="21"/>
        <v>0</v>
      </c>
      <c r="AW298" s="6">
        <f t="shared" si="22"/>
        <v>0</v>
      </c>
      <c r="AX298" s="6">
        <f t="shared" si="23"/>
        <v>0</v>
      </c>
      <c r="AY298" s="6">
        <f t="shared" si="24"/>
        <v>0</v>
      </c>
      <c r="AZ298" s="9" t="str">
        <f t="shared" si="25"/>
        <v/>
      </c>
      <c r="BA298" s="6">
        <f t="shared" si="26"/>
        <v>0</v>
      </c>
      <c r="BB298" s="6">
        <f t="shared" si="27"/>
        <v>0</v>
      </c>
      <c r="BC298" s="9" t="str">
        <f t="shared" si="28"/>
        <v/>
      </c>
      <c r="BD298" s="6">
        <f t="shared" si="29"/>
        <v>0</v>
      </c>
      <c r="BE298" s="6">
        <f t="shared" si="30"/>
        <v>0</v>
      </c>
      <c r="BF298" s="9" t="str">
        <f t="shared" si="31"/>
        <v/>
      </c>
      <c r="BG298" s="6">
        <f t="shared" si="32"/>
        <v>0</v>
      </c>
      <c r="BH298" s="6">
        <f t="shared" si="33"/>
        <v>0</v>
      </c>
      <c r="BI298" s="9" t="str">
        <f t="shared" si="34"/>
        <v/>
      </c>
      <c r="BJ298" s="6">
        <f t="shared" si="35"/>
        <v>0</v>
      </c>
      <c r="BK298" s="6">
        <f t="shared" si="36"/>
        <v>0</v>
      </c>
      <c r="BL298" s="6">
        <f t="shared" si="37"/>
        <v>0</v>
      </c>
      <c r="BM298" s="6">
        <f t="shared" si="38"/>
        <v>0</v>
      </c>
      <c r="BN298" s="6">
        <f t="shared" si="39"/>
        <v>0</v>
      </c>
      <c r="BP298" s="6">
        <f t="shared" si="40"/>
        <v>0</v>
      </c>
      <c r="BQ298" s="6" t="b">
        <f ca="1">IFERROR(__xludf.DUMMYFUNCTION("IF(AND(ISERROR(FILTER('Items by Team'!D$2:D3410,'Items by Team'!C$2:C3410 = D298,'Items by Team'!B$2:B3410 = B298)),NOT(A298=""Practice"")),TRUE,FALSE)"),FALSE)</f>
        <v>0</v>
      </c>
      <c r="BR298" s="6">
        <f t="shared" ca="1" si="41"/>
        <v>0</v>
      </c>
    </row>
    <row r="299" spans="1:70">
      <c r="A299" s="6"/>
      <c r="B299" s="6"/>
      <c r="C299" s="6"/>
      <c r="D299" s="6"/>
      <c r="E299" s="6"/>
      <c r="F299" s="6"/>
      <c r="G299" s="6"/>
      <c r="H299" s="6"/>
      <c r="I299" s="6"/>
      <c r="J299" s="6"/>
      <c r="K299" s="6"/>
      <c r="L299" s="6"/>
      <c r="M299" s="6"/>
      <c r="N299" s="6"/>
      <c r="O299" s="6"/>
      <c r="P299" s="6"/>
      <c r="R299" s="6"/>
      <c r="S299" s="6"/>
      <c r="T299" s="6"/>
      <c r="U299" s="6"/>
      <c r="V299" s="6"/>
      <c r="W299" s="6"/>
      <c r="X299" s="6"/>
      <c r="Y299" s="6"/>
      <c r="Z299" s="6"/>
      <c r="AA299" s="6"/>
      <c r="AB299" s="6"/>
      <c r="AD299" s="6"/>
      <c r="AE299" s="6"/>
      <c r="AF299" s="6"/>
      <c r="AG299" s="6"/>
      <c r="AH299" s="6"/>
      <c r="AI299" s="6"/>
      <c r="AK299" s="6"/>
      <c r="AL299" s="6"/>
      <c r="AM299" s="6"/>
      <c r="AN299" s="6"/>
      <c r="AO299" s="6"/>
      <c r="AP299" s="6"/>
      <c r="AQ299" s="6"/>
      <c r="AR299" s="6"/>
      <c r="AS299" s="15"/>
      <c r="AT299" s="6" t="str">
        <f ca="1">IFERROR(__xludf.DUMMYFUNCTION("SWITCH(IF(A299=""Practice"",AN299,FILTER('Items by Team'!E$2:E3410,'Items by Team'!C$2:C3410=D299,B299='Items by Team'!B$2:B3410)),""None"",""No"",""Parked"",""P"",""ShallowCage"",""Sc"",""DeepCage"",""Dc"",""No"",""No"",""P"",""P"",""Sc"",""Sc"",""Dc"","&amp;"""Dc"")"),"#REF!")</f>
        <v>#REF!</v>
      </c>
      <c r="AU299" s="6" t="str">
        <f ca="1">IFERROR(__xludf.DUMMYFUNCTION("SWITCH(IF(A299 = ""Practice"", H299, FILTER('Items by Team'!D$2:D3410,'Items by Team'!C$2:C3410 = D299,'Items by Team'!B$2:B3410 = B299)), ""Yes"", ""TRUE"", ""No"", ""FALSE"",TRUE, ""TRUE"", FALSE, ""FALSE"")"),"#REF!")</f>
        <v>#REF!</v>
      </c>
      <c r="AV299" s="6">
        <f t="shared" si="21"/>
        <v>0</v>
      </c>
      <c r="AW299" s="6">
        <f t="shared" si="22"/>
        <v>0</v>
      </c>
      <c r="AX299" s="6">
        <f t="shared" si="23"/>
        <v>0</v>
      </c>
      <c r="AY299" s="6">
        <f t="shared" si="24"/>
        <v>0</v>
      </c>
      <c r="AZ299" s="9" t="str">
        <f t="shared" si="25"/>
        <v/>
      </c>
      <c r="BA299" s="6">
        <f t="shared" si="26"/>
        <v>0</v>
      </c>
      <c r="BB299" s="6">
        <f t="shared" si="27"/>
        <v>0</v>
      </c>
      <c r="BC299" s="9" t="str">
        <f t="shared" si="28"/>
        <v/>
      </c>
      <c r="BD299" s="6">
        <f t="shared" si="29"/>
        <v>0</v>
      </c>
      <c r="BE299" s="6">
        <f t="shared" si="30"/>
        <v>0</v>
      </c>
      <c r="BF299" s="9" t="str">
        <f t="shared" si="31"/>
        <v/>
      </c>
      <c r="BG299" s="6">
        <f t="shared" si="32"/>
        <v>0</v>
      </c>
      <c r="BH299" s="6">
        <f t="shared" si="33"/>
        <v>0</v>
      </c>
      <c r="BI299" s="9" t="str">
        <f t="shared" si="34"/>
        <v/>
      </c>
      <c r="BJ299" s="6">
        <f t="shared" si="35"/>
        <v>0</v>
      </c>
      <c r="BK299" s="6">
        <f t="shared" si="36"/>
        <v>0</v>
      </c>
      <c r="BL299" s="6">
        <f t="shared" si="37"/>
        <v>0</v>
      </c>
      <c r="BM299" s="6">
        <f t="shared" si="38"/>
        <v>0</v>
      </c>
      <c r="BN299" s="6">
        <f t="shared" si="39"/>
        <v>0</v>
      </c>
      <c r="BP299" s="6">
        <f t="shared" si="40"/>
        <v>0</v>
      </c>
      <c r="BQ299" s="6" t="b">
        <f ca="1">IFERROR(__xludf.DUMMYFUNCTION("IF(AND(ISERROR(FILTER('Items by Team'!D$2:D3410,'Items by Team'!C$2:C3410 = D299,'Items by Team'!B$2:B3410 = B299)),NOT(A299=""Practice"")),TRUE,FALSE)"),FALSE)</f>
        <v>0</v>
      </c>
      <c r="BR299" s="6">
        <f t="shared" ca="1" si="41"/>
        <v>0</v>
      </c>
    </row>
    <row r="300" spans="1:70">
      <c r="A300" s="6"/>
      <c r="B300" s="6"/>
      <c r="C300" s="6"/>
      <c r="D300" s="6"/>
      <c r="E300" s="6"/>
      <c r="F300" s="6"/>
      <c r="G300" s="6"/>
      <c r="H300" s="6"/>
      <c r="I300" s="6"/>
      <c r="J300" s="6"/>
      <c r="K300" s="6"/>
      <c r="L300" s="6"/>
      <c r="M300" s="6"/>
      <c r="N300" s="6"/>
      <c r="O300" s="6"/>
      <c r="P300" s="6"/>
      <c r="R300" s="6"/>
      <c r="S300" s="6"/>
      <c r="T300" s="6"/>
      <c r="U300" s="6"/>
      <c r="V300" s="6"/>
      <c r="W300" s="6"/>
      <c r="X300" s="6"/>
      <c r="Y300" s="6"/>
      <c r="Z300" s="6"/>
      <c r="AA300" s="6"/>
      <c r="AB300" s="6"/>
      <c r="AD300" s="6"/>
      <c r="AE300" s="6"/>
      <c r="AF300" s="6"/>
      <c r="AG300" s="6"/>
      <c r="AH300" s="6"/>
      <c r="AI300" s="6"/>
      <c r="AK300" s="6"/>
      <c r="AL300" s="6"/>
      <c r="AM300" s="6"/>
      <c r="AN300" s="6"/>
      <c r="AO300" s="6"/>
      <c r="AP300" s="6"/>
      <c r="AQ300" s="6"/>
      <c r="AR300" s="6"/>
      <c r="AS300" s="15"/>
      <c r="AT300" s="6" t="str">
        <f ca="1">IFERROR(__xludf.DUMMYFUNCTION("SWITCH(IF(A300=""Practice"",AN300,FILTER('Items by Team'!E$2:E3410,'Items by Team'!C$2:C3410=D300,B300='Items by Team'!B$2:B3410)),""None"",""No"",""Parked"",""P"",""ShallowCage"",""Sc"",""DeepCage"",""Dc"",""No"",""No"",""P"",""P"",""Sc"",""Sc"",""Dc"","&amp;"""Dc"")"),"#REF!")</f>
        <v>#REF!</v>
      </c>
      <c r="AU300" s="6" t="str">
        <f ca="1">IFERROR(__xludf.DUMMYFUNCTION("SWITCH(IF(A300 = ""Practice"", H300, FILTER('Items by Team'!D$2:D3410,'Items by Team'!C$2:C3410 = D300,'Items by Team'!B$2:B3410 = B300)), ""Yes"", ""TRUE"", ""No"", ""FALSE"",TRUE, ""TRUE"", FALSE, ""FALSE"")"),"#REF!")</f>
        <v>#REF!</v>
      </c>
      <c r="AV300" s="6">
        <f t="shared" si="21"/>
        <v>0</v>
      </c>
      <c r="AW300" s="6">
        <f t="shared" si="22"/>
        <v>0</v>
      </c>
      <c r="AX300" s="6">
        <f t="shared" si="23"/>
        <v>0</v>
      </c>
      <c r="AY300" s="6">
        <f t="shared" si="24"/>
        <v>0</v>
      </c>
      <c r="AZ300" s="9" t="str">
        <f t="shared" si="25"/>
        <v/>
      </c>
      <c r="BA300" s="6">
        <f t="shared" si="26"/>
        <v>0</v>
      </c>
      <c r="BB300" s="6">
        <f t="shared" si="27"/>
        <v>0</v>
      </c>
      <c r="BC300" s="9" t="str">
        <f t="shared" si="28"/>
        <v/>
      </c>
      <c r="BD300" s="6">
        <f t="shared" si="29"/>
        <v>0</v>
      </c>
      <c r="BE300" s="6">
        <f t="shared" si="30"/>
        <v>0</v>
      </c>
      <c r="BF300" s="9" t="str">
        <f t="shared" si="31"/>
        <v/>
      </c>
      <c r="BG300" s="6">
        <f t="shared" si="32"/>
        <v>0</v>
      </c>
      <c r="BH300" s="6">
        <f t="shared" si="33"/>
        <v>0</v>
      </c>
      <c r="BI300" s="9" t="str">
        <f t="shared" si="34"/>
        <v/>
      </c>
      <c r="BJ300" s="6">
        <f t="shared" si="35"/>
        <v>0</v>
      </c>
      <c r="BK300" s="6">
        <f t="shared" si="36"/>
        <v>0</v>
      </c>
      <c r="BL300" s="6">
        <f t="shared" si="37"/>
        <v>0</v>
      </c>
      <c r="BM300" s="6">
        <f t="shared" si="38"/>
        <v>0</v>
      </c>
      <c r="BN300" s="6">
        <f t="shared" si="39"/>
        <v>0</v>
      </c>
      <c r="BP300" s="6">
        <f t="shared" si="40"/>
        <v>0</v>
      </c>
      <c r="BQ300" s="6" t="b">
        <f ca="1">IFERROR(__xludf.DUMMYFUNCTION("IF(AND(ISERROR(FILTER('Items by Team'!D$2:D3410,'Items by Team'!C$2:C3410 = D300,'Items by Team'!B$2:B3410 = B300)),NOT(A300=""Practice"")),TRUE,FALSE)"),FALSE)</f>
        <v>0</v>
      </c>
      <c r="BR300" s="6">
        <f t="shared" ca="1" si="41"/>
        <v>0</v>
      </c>
    </row>
    <row r="301" spans="1:70">
      <c r="A301" s="6"/>
      <c r="B301" s="6"/>
      <c r="C301" s="6"/>
      <c r="D301" s="6"/>
      <c r="E301" s="6"/>
      <c r="F301" s="6"/>
      <c r="G301" s="6"/>
      <c r="H301" s="6"/>
      <c r="I301" s="6"/>
      <c r="J301" s="6"/>
      <c r="K301" s="6"/>
      <c r="L301" s="6"/>
      <c r="M301" s="6"/>
      <c r="N301" s="6"/>
      <c r="O301" s="6"/>
      <c r="P301" s="6"/>
      <c r="R301" s="6"/>
      <c r="S301" s="6"/>
      <c r="T301" s="6"/>
      <c r="U301" s="6"/>
      <c r="V301" s="6"/>
      <c r="W301" s="6"/>
      <c r="X301" s="6"/>
      <c r="Y301" s="6"/>
      <c r="Z301" s="6"/>
      <c r="AA301" s="6"/>
      <c r="AB301" s="6"/>
      <c r="AD301" s="6"/>
      <c r="AE301" s="6"/>
      <c r="AF301" s="6"/>
      <c r="AG301" s="6"/>
      <c r="AH301" s="6"/>
      <c r="AI301" s="6"/>
      <c r="AK301" s="6"/>
      <c r="AL301" s="6"/>
      <c r="AM301" s="6"/>
      <c r="AN301" s="6"/>
      <c r="AO301" s="6"/>
      <c r="AP301" s="6"/>
      <c r="AQ301" s="6"/>
      <c r="AR301" s="6"/>
      <c r="AS301" s="15"/>
      <c r="AT301" s="6" t="str">
        <f ca="1">IFERROR(__xludf.DUMMYFUNCTION("SWITCH(IF(A301=""Practice"",AN301,FILTER('Items by Team'!E$2:E3410,'Items by Team'!C$2:C3410=D301,B301='Items by Team'!B$2:B3410)),""None"",""No"",""Parked"",""P"",""ShallowCage"",""Sc"",""DeepCage"",""Dc"",""No"",""No"",""P"",""P"",""Sc"",""Sc"",""Dc"","&amp;"""Dc"")"),"#REF!")</f>
        <v>#REF!</v>
      </c>
      <c r="AU301" s="6" t="str">
        <f ca="1">IFERROR(__xludf.DUMMYFUNCTION("SWITCH(IF(A301 = ""Practice"", H301, FILTER('Items by Team'!D$2:D3410,'Items by Team'!C$2:C3410 = D301,'Items by Team'!B$2:B3410 = B301)), ""Yes"", ""TRUE"", ""No"", ""FALSE"",TRUE, ""TRUE"", FALSE, ""FALSE"")"),"#REF!")</f>
        <v>#REF!</v>
      </c>
      <c r="AV301" s="6">
        <f t="shared" si="21"/>
        <v>0</v>
      </c>
      <c r="AW301" s="6">
        <f t="shared" si="22"/>
        <v>0</v>
      </c>
      <c r="AX301" s="6">
        <f t="shared" si="23"/>
        <v>0</v>
      </c>
      <c r="AY301" s="6">
        <f t="shared" si="24"/>
        <v>0</v>
      </c>
      <c r="AZ301" s="9" t="str">
        <f t="shared" si="25"/>
        <v/>
      </c>
      <c r="BA301" s="6">
        <f t="shared" si="26"/>
        <v>0</v>
      </c>
      <c r="BB301" s="6">
        <f t="shared" si="27"/>
        <v>0</v>
      </c>
      <c r="BC301" s="9" t="str">
        <f t="shared" si="28"/>
        <v/>
      </c>
      <c r="BD301" s="6">
        <f t="shared" si="29"/>
        <v>0</v>
      </c>
      <c r="BE301" s="6">
        <f t="shared" si="30"/>
        <v>0</v>
      </c>
      <c r="BF301" s="9" t="str">
        <f t="shared" si="31"/>
        <v/>
      </c>
      <c r="BG301" s="6">
        <f t="shared" si="32"/>
        <v>0</v>
      </c>
      <c r="BH301" s="6">
        <f t="shared" si="33"/>
        <v>0</v>
      </c>
      <c r="BI301" s="9" t="str">
        <f t="shared" si="34"/>
        <v/>
      </c>
      <c r="BJ301" s="6">
        <f t="shared" si="35"/>
        <v>0</v>
      </c>
      <c r="BK301" s="6">
        <f t="shared" si="36"/>
        <v>0</v>
      </c>
      <c r="BL301" s="6">
        <f t="shared" si="37"/>
        <v>0</v>
      </c>
      <c r="BM301" s="6">
        <f t="shared" si="38"/>
        <v>0</v>
      </c>
      <c r="BN301" s="6">
        <f t="shared" si="39"/>
        <v>0</v>
      </c>
      <c r="BP301" s="6">
        <f t="shared" si="40"/>
        <v>0</v>
      </c>
      <c r="BQ301" s="6" t="b">
        <f ca="1">IFERROR(__xludf.DUMMYFUNCTION("IF(AND(ISERROR(FILTER('Items by Team'!D$2:D3410,'Items by Team'!C$2:C3410 = D301,'Items by Team'!B$2:B3410 = B301)),NOT(A301=""Practice"")),TRUE,FALSE)"),FALSE)</f>
        <v>0</v>
      </c>
      <c r="BR301" s="6">
        <f t="shared" ca="1" si="41"/>
        <v>0</v>
      </c>
    </row>
    <row r="302" spans="1:70">
      <c r="A302" s="6"/>
      <c r="B302" s="6"/>
      <c r="C302" s="6"/>
      <c r="D302" s="6"/>
      <c r="E302" s="6"/>
      <c r="F302" s="6"/>
      <c r="G302" s="6"/>
      <c r="H302" s="6"/>
      <c r="I302" s="6"/>
      <c r="J302" s="6"/>
      <c r="K302" s="6"/>
      <c r="L302" s="6"/>
      <c r="M302" s="6"/>
      <c r="N302" s="6"/>
      <c r="O302" s="6"/>
      <c r="P302" s="6"/>
      <c r="R302" s="6"/>
      <c r="S302" s="6"/>
      <c r="T302" s="6"/>
      <c r="U302" s="6"/>
      <c r="V302" s="6"/>
      <c r="W302" s="6"/>
      <c r="X302" s="6"/>
      <c r="Y302" s="6"/>
      <c r="Z302" s="6"/>
      <c r="AA302" s="6"/>
      <c r="AB302" s="6"/>
      <c r="AD302" s="6"/>
      <c r="AE302" s="6"/>
      <c r="AF302" s="6"/>
      <c r="AG302" s="6"/>
      <c r="AH302" s="6"/>
      <c r="AI302" s="6"/>
      <c r="AK302" s="6"/>
      <c r="AL302" s="6"/>
      <c r="AM302" s="6"/>
      <c r="AN302" s="6"/>
      <c r="AO302" s="6"/>
      <c r="AP302" s="6"/>
      <c r="AQ302" s="6"/>
      <c r="AR302" s="6"/>
      <c r="AS302" s="15"/>
      <c r="AT302" s="6" t="str">
        <f ca="1">IFERROR(__xludf.DUMMYFUNCTION("SWITCH(IF(A302=""Practice"",AN302,FILTER('Items by Team'!E$2:E3410,'Items by Team'!C$2:C3410=D302,B302='Items by Team'!B$2:B3410)),""None"",""No"",""Parked"",""P"",""ShallowCage"",""Sc"",""DeepCage"",""Dc"",""No"",""No"",""P"",""P"",""Sc"",""Sc"",""Dc"","&amp;"""Dc"")"),"#REF!")</f>
        <v>#REF!</v>
      </c>
      <c r="AU302" s="6" t="str">
        <f ca="1">IFERROR(__xludf.DUMMYFUNCTION("SWITCH(IF(A302 = ""Practice"", H302, FILTER('Items by Team'!D$2:D3410,'Items by Team'!C$2:C3410 = D302,'Items by Team'!B$2:B3410 = B302)), ""Yes"", ""TRUE"", ""No"", ""FALSE"",TRUE, ""TRUE"", FALSE, ""FALSE"")"),"#REF!")</f>
        <v>#REF!</v>
      </c>
      <c r="AV302" s="6">
        <f t="shared" si="21"/>
        <v>0</v>
      </c>
      <c r="AW302" s="6">
        <f t="shared" si="22"/>
        <v>0</v>
      </c>
      <c r="AX302" s="6">
        <f t="shared" si="23"/>
        <v>0</v>
      </c>
      <c r="AY302" s="6">
        <f t="shared" si="24"/>
        <v>0</v>
      </c>
      <c r="AZ302" s="9" t="str">
        <f t="shared" si="25"/>
        <v/>
      </c>
      <c r="BA302" s="6">
        <f t="shared" si="26"/>
        <v>0</v>
      </c>
      <c r="BB302" s="6">
        <f t="shared" si="27"/>
        <v>0</v>
      </c>
      <c r="BC302" s="9" t="str">
        <f t="shared" si="28"/>
        <v/>
      </c>
      <c r="BD302" s="6">
        <f t="shared" si="29"/>
        <v>0</v>
      </c>
      <c r="BE302" s="6">
        <f t="shared" si="30"/>
        <v>0</v>
      </c>
      <c r="BF302" s="9" t="str">
        <f t="shared" si="31"/>
        <v/>
      </c>
      <c r="BG302" s="6">
        <f t="shared" si="32"/>
        <v>0</v>
      </c>
      <c r="BH302" s="6">
        <f t="shared" si="33"/>
        <v>0</v>
      </c>
      <c r="BI302" s="9" t="str">
        <f t="shared" si="34"/>
        <v/>
      </c>
      <c r="BJ302" s="6">
        <f t="shared" si="35"/>
        <v>0</v>
      </c>
      <c r="BK302" s="6">
        <f t="shared" si="36"/>
        <v>0</v>
      </c>
      <c r="BL302" s="6">
        <f t="shared" si="37"/>
        <v>0</v>
      </c>
      <c r="BM302" s="6">
        <f t="shared" si="38"/>
        <v>0</v>
      </c>
      <c r="BN302" s="6">
        <f t="shared" si="39"/>
        <v>0</v>
      </c>
      <c r="BP302" s="6">
        <f t="shared" si="40"/>
        <v>0</v>
      </c>
      <c r="BQ302" s="6" t="b">
        <f ca="1">IFERROR(__xludf.DUMMYFUNCTION("IF(AND(ISERROR(FILTER('Items by Team'!D$2:D3410,'Items by Team'!C$2:C3410 = D302,'Items by Team'!B$2:B3410 = B302)),NOT(A302=""Practice"")),TRUE,FALSE)"),FALSE)</f>
        <v>0</v>
      </c>
      <c r="BR302" s="6">
        <f t="shared" ca="1" si="41"/>
        <v>0</v>
      </c>
    </row>
    <row r="303" spans="1:70">
      <c r="A303" s="6"/>
      <c r="B303" s="6"/>
      <c r="C303" s="6"/>
      <c r="D303" s="6"/>
      <c r="E303" s="6"/>
      <c r="F303" s="6"/>
      <c r="G303" s="6"/>
      <c r="H303" s="6"/>
      <c r="I303" s="6"/>
      <c r="J303" s="6"/>
      <c r="K303" s="6"/>
      <c r="L303" s="6"/>
      <c r="M303" s="6"/>
      <c r="N303" s="6"/>
      <c r="O303" s="6"/>
      <c r="P303" s="6"/>
      <c r="R303" s="6"/>
      <c r="S303" s="6"/>
      <c r="T303" s="6"/>
      <c r="U303" s="6"/>
      <c r="V303" s="6"/>
      <c r="W303" s="6"/>
      <c r="X303" s="6"/>
      <c r="Y303" s="6"/>
      <c r="Z303" s="6"/>
      <c r="AA303" s="6"/>
      <c r="AB303" s="6"/>
      <c r="AD303" s="6"/>
      <c r="AE303" s="6"/>
      <c r="AF303" s="6"/>
      <c r="AG303" s="6"/>
      <c r="AH303" s="6"/>
      <c r="AI303" s="6"/>
      <c r="AK303" s="6"/>
      <c r="AL303" s="6"/>
      <c r="AM303" s="6"/>
      <c r="AN303" s="6"/>
      <c r="AO303" s="6"/>
      <c r="AP303" s="6"/>
      <c r="AQ303" s="6"/>
      <c r="AR303" s="6"/>
      <c r="AS303" s="15"/>
      <c r="AT303" s="6" t="str">
        <f ca="1">IFERROR(__xludf.DUMMYFUNCTION("SWITCH(IF(A303=""Practice"",AN303,FILTER('Items by Team'!E$2:E3410,'Items by Team'!C$2:C3410=D303,B303='Items by Team'!B$2:B3410)),""None"",""No"",""Parked"",""P"",""ShallowCage"",""Sc"",""DeepCage"",""Dc"",""No"",""No"",""P"",""P"",""Sc"",""Sc"",""Dc"","&amp;"""Dc"")"),"#REF!")</f>
        <v>#REF!</v>
      </c>
      <c r="AU303" s="6" t="str">
        <f ca="1">IFERROR(__xludf.DUMMYFUNCTION("SWITCH(IF(A303 = ""Practice"", H303, FILTER('Items by Team'!D$2:D3410,'Items by Team'!C$2:C3410 = D303,'Items by Team'!B$2:B3410 = B303)), ""Yes"", ""TRUE"", ""No"", ""FALSE"",TRUE, ""TRUE"", FALSE, ""FALSE"")"),"#REF!")</f>
        <v>#REF!</v>
      </c>
      <c r="AV303" s="6">
        <f t="shared" si="21"/>
        <v>0</v>
      </c>
      <c r="AW303" s="6">
        <f t="shared" si="22"/>
        <v>0</v>
      </c>
      <c r="AX303" s="6">
        <f t="shared" si="23"/>
        <v>0</v>
      </c>
      <c r="AY303" s="6">
        <f t="shared" si="24"/>
        <v>0</v>
      </c>
      <c r="AZ303" s="9" t="str">
        <f t="shared" si="25"/>
        <v/>
      </c>
      <c r="BA303" s="6">
        <f t="shared" si="26"/>
        <v>0</v>
      </c>
      <c r="BB303" s="6">
        <f t="shared" si="27"/>
        <v>0</v>
      </c>
      <c r="BC303" s="9" t="str">
        <f t="shared" si="28"/>
        <v/>
      </c>
      <c r="BD303" s="6">
        <f t="shared" si="29"/>
        <v>0</v>
      </c>
      <c r="BE303" s="6">
        <f t="shared" si="30"/>
        <v>0</v>
      </c>
      <c r="BF303" s="9" t="str">
        <f t="shared" si="31"/>
        <v/>
      </c>
      <c r="BG303" s="6">
        <f t="shared" si="32"/>
        <v>0</v>
      </c>
      <c r="BH303" s="6">
        <f t="shared" si="33"/>
        <v>0</v>
      </c>
      <c r="BI303" s="9" t="str">
        <f t="shared" si="34"/>
        <v/>
      </c>
      <c r="BJ303" s="6">
        <f t="shared" si="35"/>
        <v>0</v>
      </c>
      <c r="BK303" s="6">
        <f t="shared" si="36"/>
        <v>0</v>
      </c>
      <c r="BL303" s="6">
        <f t="shared" si="37"/>
        <v>0</v>
      </c>
      <c r="BM303" s="6">
        <f t="shared" si="38"/>
        <v>0</v>
      </c>
      <c r="BN303" s="6">
        <f t="shared" si="39"/>
        <v>0</v>
      </c>
      <c r="BP303" s="6">
        <f t="shared" si="40"/>
        <v>0</v>
      </c>
      <c r="BQ303" s="6" t="b">
        <f ca="1">IFERROR(__xludf.DUMMYFUNCTION("IF(AND(ISERROR(FILTER('Items by Team'!D$2:D3410,'Items by Team'!C$2:C3410 = D303,'Items by Team'!B$2:B3410 = B303)),NOT(A303=""Practice"")),TRUE,FALSE)"),FALSE)</f>
        <v>0</v>
      </c>
      <c r="BR303" s="6">
        <f t="shared" ca="1" si="41"/>
        <v>0</v>
      </c>
    </row>
    <row r="304" spans="1:70">
      <c r="A304" s="6"/>
      <c r="B304" s="6"/>
      <c r="C304" s="6"/>
      <c r="D304" s="6"/>
      <c r="E304" s="6"/>
      <c r="F304" s="6"/>
      <c r="G304" s="6"/>
      <c r="H304" s="6"/>
      <c r="I304" s="6"/>
      <c r="J304" s="6"/>
      <c r="K304" s="6"/>
      <c r="L304" s="6"/>
      <c r="M304" s="6"/>
      <c r="N304" s="6"/>
      <c r="O304" s="6"/>
      <c r="P304" s="6"/>
      <c r="R304" s="6"/>
      <c r="S304" s="6"/>
      <c r="T304" s="6"/>
      <c r="U304" s="6"/>
      <c r="V304" s="6"/>
      <c r="W304" s="6"/>
      <c r="X304" s="6"/>
      <c r="Y304" s="6"/>
      <c r="Z304" s="6"/>
      <c r="AA304" s="6"/>
      <c r="AB304" s="6"/>
      <c r="AD304" s="6"/>
      <c r="AE304" s="6"/>
      <c r="AF304" s="6"/>
      <c r="AG304" s="6"/>
      <c r="AH304" s="6"/>
      <c r="AI304" s="6"/>
      <c r="AK304" s="6"/>
      <c r="AL304" s="6"/>
      <c r="AM304" s="6"/>
      <c r="AN304" s="6"/>
      <c r="AO304" s="6"/>
      <c r="AP304" s="6"/>
      <c r="AQ304" s="6"/>
      <c r="AR304" s="6"/>
      <c r="AS304" s="15"/>
      <c r="AT304" s="6" t="str">
        <f ca="1">IFERROR(__xludf.DUMMYFUNCTION("SWITCH(IF(A304=""Practice"",AN304,FILTER('Items by Team'!E$2:E3410,'Items by Team'!C$2:C3410=D304,B304='Items by Team'!B$2:B3410)),""None"",""No"",""Parked"",""P"",""ShallowCage"",""Sc"",""DeepCage"",""Dc"",""No"",""No"",""P"",""P"",""Sc"",""Sc"",""Dc"","&amp;"""Dc"")"),"#REF!")</f>
        <v>#REF!</v>
      </c>
      <c r="AU304" s="6" t="str">
        <f ca="1">IFERROR(__xludf.DUMMYFUNCTION("SWITCH(IF(A304 = ""Practice"", H304, FILTER('Items by Team'!D$2:D3410,'Items by Team'!C$2:C3410 = D304,'Items by Team'!B$2:B3410 = B304)), ""Yes"", ""TRUE"", ""No"", ""FALSE"",TRUE, ""TRUE"", FALSE, ""FALSE"")"),"#REF!")</f>
        <v>#REF!</v>
      </c>
      <c r="AV304" s="6">
        <f t="shared" si="21"/>
        <v>0</v>
      </c>
      <c r="AW304" s="6">
        <f t="shared" si="22"/>
        <v>0</v>
      </c>
      <c r="AX304" s="6">
        <f t="shared" si="23"/>
        <v>0</v>
      </c>
      <c r="AY304" s="6">
        <f t="shared" si="24"/>
        <v>0</v>
      </c>
      <c r="AZ304" s="9" t="str">
        <f t="shared" si="25"/>
        <v/>
      </c>
      <c r="BA304" s="6">
        <f t="shared" si="26"/>
        <v>0</v>
      </c>
      <c r="BB304" s="6">
        <f t="shared" si="27"/>
        <v>0</v>
      </c>
      <c r="BC304" s="9" t="str">
        <f t="shared" si="28"/>
        <v/>
      </c>
      <c r="BD304" s="6">
        <f t="shared" si="29"/>
        <v>0</v>
      </c>
      <c r="BE304" s="6">
        <f t="shared" si="30"/>
        <v>0</v>
      </c>
      <c r="BF304" s="9" t="str">
        <f t="shared" si="31"/>
        <v/>
      </c>
      <c r="BG304" s="6">
        <f t="shared" si="32"/>
        <v>0</v>
      </c>
      <c r="BH304" s="6">
        <f t="shared" si="33"/>
        <v>0</v>
      </c>
      <c r="BI304" s="9" t="str">
        <f t="shared" si="34"/>
        <v/>
      </c>
      <c r="BJ304" s="6">
        <f t="shared" si="35"/>
        <v>0</v>
      </c>
      <c r="BK304" s="6">
        <f t="shared" si="36"/>
        <v>0</v>
      </c>
      <c r="BL304" s="6">
        <f t="shared" si="37"/>
        <v>0</v>
      </c>
      <c r="BM304" s="6">
        <f t="shared" si="38"/>
        <v>0</v>
      </c>
      <c r="BN304" s="6">
        <f t="shared" si="39"/>
        <v>0</v>
      </c>
      <c r="BP304" s="6">
        <f t="shared" si="40"/>
        <v>0</v>
      </c>
      <c r="BQ304" s="6" t="b">
        <f ca="1">IFERROR(__xludf.DUMMYFUNCTION("IF(AND(ISERROR(FILTER('Items by Team'!D$2:D3410,'Items by Team'!C$2:C3410 = D304,'Items by Team'!B$2:B3410 = B304)),NOT(A304=""Practice"")),TRUE,FALSE)"),FALSE)</f>
        <v>0</v>
      </c>
      <c r="BR304" s="6">
        <f t="shared" ca="1" si="41"/>
        <v>0</v>
      </c>
    </row>
    <row r="305" spans="1:70">
      <c r="A305" s="6"/>
      <c r="B305" s="6"/>
      <c r="C305" s="6"/>
      <c r="D305" s="6"/>
      <c r="E305" s="6"/>
      <c r="F305" s="6"/>
      <c r="G305" s="6"/>
      <c r="H305" s="6"/>
      <c r="I305" s="6"/>
      <c r="J305" s="6"/>
      <c r="K305" s="6"/>
      <c r="L305" s="6"/>
      <c r="M305" s="6"/>
      <c r="N305" s="6"/>
      <c r="O305" s="6"/>
      <c r="P305" s="6"/>
      <c r="R305" s="6"/>
      <c r="S305" s="6"/>
      <c r="T305" s="6"/>
      <c r="U305" s="6"/>
      <c r="V305" s="6"/>
      <c r="W305" s="6"/>
      <c r="X305" s="6"/>
      <c r="Y305" s="6"/>
      <c r="Z305" s="6"/>
      <c r="AA305" s="6"/>
      <c r="AB305" s="6"/>
      <c r="AD305" s="6"/>
      <c r="AE305" s="6"/>
      <c r="AF305" s="6"/>
      <c r="AG305" s="6"/>
      <c r="AH305" s="6"/>
      <c r="AI305" s="6"/>
      <c r="AK305" s="6"/>
      <c r="AL305" s="6"/>
      <c r="AM305" s="6"/>
      <c r="AN305" s="6"/>
      <c r="AO305" s="6"/>
      <c r="AP305" s="6"/>
      <c r="AQ305" s="6"/>
      <c r="AR305" s="6"/>
      <c r="AS305" s="15"/>
      <c r="AT305" s="6" t="str">
        <f ca="1">IFERROR(__xludf.DUMMYFUNCTION("SWITCH(IF(A305=""Practice"",AN305,FILTER('Items by Team'!E$2:E3410,'Items by Team'!C$2:C3410=D305,B305='Items by Team'!B$2:B3410)),""None"",""No"",""Parked"",""P"",""ShallowCage"",""Sc"",""DeepCage"",""Dc"",""No"",""No"",""P"",""P"",""Sc"",""Sc"",""Dc"","&amp;"""Dc"")"),"#REF!")</f>
        <v>#REF!</v>
      </c>
      <c r="AU305" s="6" t="str">
        <f ca="1">IFERROR(__xludf.DUMMYFUNCTION("SWITCH(IF(A305 = ""Practice"", H305, FILTER('Items by Team'!D$2:D3410,'Items by Team'!C$2:C3410 = D305,'Items by Team'!B$2:B3410 = B305)), ""Yes"", ""TRUE"", ""No"", ""FALSE"",TRUE, ""TRUE"", FALSE, ""FALSE"")"),"#REF!")</f>
        <v>#REF!</v>
      </c>
      <c r="AV305" s="6">
        <f t="shared" si="21"/>
        <v>0</v>
      </c>
      <c r="AW305" s="6">
        <f t="shared" si="22"/>
        <v>0</v>
      </c>
      <c r="AX305" s="6">
        <f t="shared" si="23"/>
        <v>0</v>
      </c>
      <c r="AY305" s="6">
        <f t="shared" si="24"/>
        <v>0</v>
      </c>
      <c r="AZ305" s="9" t="str">
        <f t="shared" si="25"/>
        <v/>
      </c>
      <c r="BA305" s="6">
        <f t="shared" si="26"/>
        <v>0</v>
      </c>
      <c r="BB305" s="6">
        <f t="shared" si="27"/>
        <v>0</v>
      </c>
      <c r="BC305" s="9" t="str">
        <f t="shared" si="28"/>
        <v/>
      </c>
      <c r="BD305" s="6">
        <f t="shared" si="29"/>
        <v>0</v>
      </c>
      <c r="BE305" s="6">
        <f t="shared" si="30"/>
        <v>0</v>
      </c>
      <c r="BF305" s="9" t="str">
        <f t="shared" si="31"/>
        <v/>
      </c>
      <c r="BG305" s="6">
        <f t="shared" si="32"/>
        <v>0</v>
      </c>
      <c r="BH305" s="6">
        <f t="shared" si="33"/>
        <v>0</v>
      </c>
      <c r="BI305" s="9" t="str">
        <f t="shared" si="34"/>
        <v/>
      </c>
      <c r="BJ305" s="6">
        <f t="shared" si="35"/>
        <v>0</v>
      </c>
      <c r="BK305" s="6">
        <f t="shared" si="36"/>
        <v>0</v>
      </c>
      <c r="BL305" s="6">
        <f t="shared" si="37"/>
        <v>0</v>
      </c>
      <c r="BM305" s="6">
        <f t="shared" si="38"/>
        <v>0</v>
      </c>
      <c r="BN305" s="6">
        <f t="shared" si="39"/>
        <v>0</v>
      </c>
      <c r="BP305" s="6">
        <f t="shared" si="40"/>
        <v>0</v>
      </c>
      <c r="BQ305" s="6" t="b">
        <f ca="1">IFERROR(__xludf.DUMMYFUNCTION("IF(AND(ISERROR(FILTER('Items by Team'!D$2:D3410,'Items by Team'!C$2:C3410 = D305,'Items by Team'!B$2:B3410 = B305)),NOT(A305=""Practice"")),TRUE,FALSE)"),FALSE)</f>
        <v>0</v>
      </c>
      <c r="BR305" s="6">
        <f t="shared" ca="1" si="41"/>
        <v>0</v>
      </c>
    </row>
    <row r="306" spans="1:70">
      <c r="A306" s="6"/>
      <c r="B306" s="6"/>
      <c r="C306" s="6"/>
      <c r="D306" s="6"/>
      <c r="E306" s="6"/>
      <c r="F306" s="6"/>
      <c r="G306" s="6"/>
      <c r="H306" s="6"/>
      <c r="I306" s="6"/>
      <c r="J306" s="6"/>
      <c r="K306" s="6"/>
      <c r="L306" s="6"/>
      <c r="M306" s="6"/>
      <c r="N306" s="6"/>
      <c r="O306" s="6"/>
      <c r="P306" s="6"/>
      <c r="R306" s="6"/>
      <c r="S306" s="6"/>
      <c r="T306" s="6"/>
      <c r="U306" s="6"/>
      <c r="V306" s="6"/>
      <c r="W306" s="6"/>
      <c r="X306" s="6"/>
      <c r="Y306" s="6"/>
      <c r="Z306" s="6"/>
      <c r="AA306" s="6"/>
      <c r="AB306" s="6"/>
      <c r="AD306" s="6"/>
      <c r="AE306" s="6"/>
      <c r="AF306" s="6"/>
      <c r="AG306" s="6"/>
      <c r="AH306" s="6"/>
      <c r="AI306" s="6"/>
      <c r="AK306" s="6"/>
      <c r="AL306" s="6"/>
      <c r="AM306" s="6"/>
      <c r="AN306" s="6"/>
      <c r="AO306" s="6"/>
      <c r="AP306" s="6"/>
      <c r="AQ306" s="6"/>
      <c r="AR306" s="6"/>
      <c r="AS306" s="15"/>
      <c r="AT306" s="6" t="str">
        <f ca="1">IFERROR(__xludf.DUMMYFUNCTION("SWITCH(IF(A306=""Practice"",AN306,FILTER('Items by Team'!E$2:E3410,'Items by Team'!C$2:C3410=D306,B306='Items by Team'!B$2:B3410)),""None"",""No"",""Parked"",""P"",""ShallowCage"",""Sc"",""DeepCage"",""Dc"",""No"",""No"",""P"",""P"",""Sc"",""Sc"",""Dc"","&amp;"""Dc"")"),"#REF!")</f>
        <v>#REF!</v>
      </c>
      <c r="AU306" s="6" t="str">
        <f ca="1">IFERROR(__xludf.DUMMYFUNCTION("SWITCH(IF(A306 = ""Practice"", H306, FILTER('Items by Team'!D$2:D3410,'Items by Team'!C$2:C3410 = D306,'Items by Team'!B$2:B3410 = B306)), ""Yes"", ""TRUE"", ""No"", ""FALSE"",TRUE, ""TRUE"", FALSE, ""FALSE"")"),"#REF!")</f>
        <v>#REF!</v>
      </c>
      <c r="AV306" s="6">
        <f t="shared" si="21"/>
        <v>0</v>
      </c>
      <c r="AW306" s="6">
        <f t="shared" si="22"/>
        <v>0</v>
      </c>
      <c r="AX306" s="6">
        <f t="shared" si="23"/>
        <v>0</v>
      </c>
      <c r="AY306" s="6">
        <f t="shared" si="24"/>
        <v>0</v>
      </c>
      <c r="AZ306" s="9" t="str">
        <f t="shared" si="25"/>
        <v/>
      </c>
      <c r="BA306" s="6">
        <f t="shared" si="26"/>
        <v>0</v>
      </c>
      <c r="BB306" s="6">
        <f t="shared" si="27"/>
        <v>0</v>
      </c>
      <c r="BC306" s="9" t="str">
        <f t="shared" si="28"/>
        <v/>
      </c>
      <c r="BD306" s="6">
        <f t="shared" si="29"/>
        <v>0</v>
      </c>
      <c r="BE306" s="6">
        <f t="shared" si="30"/>
        <v>0</v>
      </c>
      <c r="BF306" s="9" t="str">
        <f t="shared" si="31"/>
        <v/>
      </c>
      <c r="BG306" s="6">
        <f t="shared" si="32"/>
        <v>0</v>
      </c>
      <c r="BH306" s="6">
        <f t="shared" si="33"/>
        <v>0</v>
      </c>
      <c r="BI306" s="9" t="str">
        <f t="shared" si="34"/>
        <v/>
      </c>
      <c r="BJ306" s="6">
        <f t="shared" si="35"/>
        <v>0</v>
      </c>
      <c r="BK306" s="6">
        <f t="shared" si="36"/>
        <v>0</v>
      </c>
      <c r="BL306" s="6">
        <f t="shared" si="37"/>
        <v>0</v>
      </c>
      <c r="BM306" s="6">
        <f t="shared" si="38"/>
        <v>0</v>
      </c>
      <c r="BN306" s="6">
        <f t="shared" si="39"/>
        <v>0</v>
      </c>
      <c r="BP306" s="6">
        <f t="shared" si="40"/>
        <v>0</v>
      </c>
      <c r="BQ306" s="6" t="b">
        <f ca="1">IFERROR(__xludf.DUMMYFUNCTION("IF(AND(ISERROR(FILTER('Items by Team'!D$2:D3410,'Items by Team'!C$2:C3410 = D306,'Items by Team'!B$2:B3410 = B306)),NOT(A306=""Practice"")),TRUE,FALSE)"),FALSE)</f>
        <v>0</v>
      </c>
      <c r="BR306" s="6">
        <f t="shared" ca="1" si="41"/>
        <v>0</v>
      </c>
    </row>
    <row r="307" spans="1:70">
      <c r="A307" s="6"/>
      <c r="B307" s="6"/>
      <c r="C307" s="6"/>
      <c r="D307" s="6"/>
      <c r="E307" s="6"/>
      <c r="F307" s="6"/>
      <c r="G307" s="6"/>
      <c r="H307" s="6"/>
      <c r="I307" s="6"/>
      <c r="J307" s="6"/>
      <c r="K307" s="6"/>
      <c r="L307" s="6"/>
      <c r="M307" s="6"/>
      <c r="N307" s="6"/>
      <c r="O307" s="6"/>
      <c r="P307" s="6"/>
      <c r="R307" s="6"/>
      <c r="S307" s="6"/>
      <c r="T307" s="6"/>
      <c r="U307" s="6"/>
      <c r="V307" s="6"/>
      <c r="W307" s="6"/>
      <c r="X307" s="6"/>
      <c r="Y307" s="6"/>
      <c r="Z307" s="6"/>
      <c r="AA307" s="6"/>
      <c r="AB307" s="6"/>
      <c r="AD307" s="6"/>
      <c r="AE307" s="6"/>
      <c r="AF307" s="6"/>
      <c r="AG307" s="6"/>
      <c r="AH307" s="6"/>
      <c r="AI307" s="6"/>
      <c r="AK307" s="6"/>
      <c r="AL307" s="6"/>
      <c r="AM307" s="6"/>
      <c r="AN307" s="6"/>
      <c r="AO307" s="6"/>
      <c r="AP307" s="6"/>
      <c r="AQ307" s="6"/>
      <c r="AR307" s="6"/>
      <c r="AS307" s="15"/>
      <c r="AT307" s="6" t="str">
        <f ca="1">IFERROR(__xludf.DUMMYFUNCTION("SWITCH(IF(A307=""Practice"",AN307,FILTER('Items by Team'!E$2:E3410,'Items by Team'!C$2:C3410=D307,B307='Items by Team'!B$2:B3410)),""None"",""No"",""Parked"",""P"",""ShallowCage"",""Sc"",""DeepCage"",""Dc"",""No"",""No"",""P"",""P"",""Sc"",""Sc"",""Dc"","&amp;"""Dc"")"),"#REF!")</f>
        <v>#REF!</v>
      </c>
      <c r="AU307" s="6" t="str">
        <f ca="1">IFERROR(__xludf.DUMMYFUNCTION("SWITCH(IF(A307 = ""Practice"", H307, FILTER('Items by Team'!D$2:D3410,'Items by Team'!C$2:C3410 = D307,'Items by Team'!B$2:B3410 = B307)), ""Yes"", ""TRUE"", ""No"", ""FALSE"",TRUE, ""TRUE"", FALSE, ""FALSE"")"),"#REF!")</f>
        <v>#REF!</v>
      </c>
      <c r="AV307" s="6">
        <f t="shared" si="21"/>
        <v>0</v>
      </c>
      <c r="AW307" s="6">
        <f t="shared" si="22"/>
        <v>0</v>
      </c>
      <c r="AX307" s="6">
        <f t="shared" si="23"/>
        <v>0</v>
      </c>
      <c r="AY307" s="6">
        <f t="shared" si="24"/>
        <v>0</v>
      </c>
      <c r="AZ307" s="9" t="str">
        <f t="shared" si="25"/>
        <v/>
      </c>
      <c r="BA307" s="6">
        <f t="shared" si="26"/>
        <v>0</v>
      </c>
      <c r="BB307" s="6">
        <f t="shared" si="27"/>
        <v>0</v>
      </c>
      <c r="BC307" s="9" t="str">
        <f t="shared" si="28"/>
        <v/>
      </c>
      <c r="BD307" s="6">
        <f t="shared" si="29"/>
        <v>0</v>
      </c>
      <c r="BE307" s="6">
        <f t="shared" si="30"/>
        <v>0</v>
      </c>
      <c r="BF307" s="9" t="str">
        <f t="shared" si="31"/>
        <v/>
      </c>
      <c r="BG307" s="6">
        <f t="shared" si="32"/>
        <v>0</v>
      </c>
      <c r="BH307" s="6">
        <f t="shared" si="33"/>
        <v>0</v>
      </c>
      <c r="BI307" s="9" t="str">
        <f t="shared" si="34"/>
        <v/>
      </c>
      <c r="BJ307" s="6">
        <f t="shared" si="35"/>
        <v>0</v>
      </c>
      <c r="BK307" s="6">
        <f t="shared" si="36"/>
        <v>0</v>
      </c>
      <c r="BL307" s="6">
        <f t="shared" si="37"/>
        <v>0</v>
      </c>
      <c r="BM307" s="6">
        <f t="shared" si="38"/>
        <v>0</v>
      </c>
      <c r="BN307" s="6">
        <f t="shared" si="39"/>
        <v>0</v>
      </c>
      <c r="BP307" s="6">
        <f t="shared" si="40"/>
        <v>0</v>
      </c>
      <c r="BQ307" s="6" t="b">
        <f ca="1">IFERROR(__xludf.DUMMYFUNCTION("IF(AND(ISERROR(FILTER('Items by Team'!D$2:D3410,'Items by Team'!C$2:C3410 = D307,'Items by Team'!B$2:B3410 = B307)),NOT(A307=""Practice"")),TRUE,FALSE)"),FALSE)</f>
        <v>0</v>
      </c>
      <c r="BR307" s="6">
        <f t="shared" ca="1" si="41"/>
        <v>0</v>
      </c>
    </row>
    <row r="308" spans="1:70">
      <c r="A308" s="6"/>
      <c r="B308" s="6"/>
      <c r="C308" s="6"/>
      <c r="D308" s="6"/>
      <c r="E308" s="6"/>
      <c r="F308" s="6"/>
      <c r="G308" s="6"/>
      <c r="H308" s="6"/>
      <c r="I308" s="6"/>
      <c r="J308" s="6"/>
      <c r="K308" s="6"/>
      <c r="L308" s="6"/>
      <c r="M308" s="6"/>
      <c r="N308" s="6"/>
      <c r="O308" s="6"/>
      <c r="P308" s="6"/>
      <c r="R308" s="6"/>
      <c r="S308" s="6"/>
      <c r="T308" s="6"/>
      <c r="U308" s="6"/>
      <c r="V308" s="6"/>
      <c r="W308" s="6"/>
      <c r="X308" s="6"/>
      <c r="Y308" s="6"/>
      <c r="Z308" s="6"/>
      <c r="AA308" s="6"/>
      <c r="AB308" s="6"/>
      <c r="AD308" s="6"/>
      <c r="AE308" s="6"/>
      <c r="AF308" s="6"/>
      <c r="AG308" s="6"/>
      <c r="AH308" s="6"/>
      <c r="AI308" s="6"/>
      <c r="AK308" s="6"/>
      <c r="AL308" s="6"/>
      <c r="AM308" s="6"/>
      <c r="AN308" s="6"/>
      <c r="AO308" s="6"/>
      <c r="AP308" s="6"/>
      <c r="AQ308" s="6"/>
      <c r="AR308" s="6"/>
      <c r="AS308" s="15"/>
      <c r="AT308" s="6" t="str">
        <f ca="1">IFERROR(__xludf.DUMMYFUNCTION("SWITCH(IF(A308=""Practice"",AN308,FILTER('Items by Team'!E$2:E3410,'Items by Team'!C$2:C3410=D308,B308='Items by Team'!B$2:B3410)),""None"",""No"",""Parked"",""P"",""ShallowCage"",""Sc"",""DeepCage"",""Dc"",""No"",""No"",""P"",""P"",""Sc"",""Sc"",""Dc"","&amp;"""Dc"")"),"#REF!")</f>
        <v>#REF!</v>
      </c>
      <c r="AU308" s="6" t="str">
        <f ca="1">IFERROR(__xludf.DUMMYFUNCTION("SWITCH(IF(A308 = ""Practice"", H308, FILTER('Items by Team'!D$2:D3410,'Items by Team'!C$2:C3410 = D308,'Items by Team'!B$2:B3410 = B308)), ""Yes"", ""TRUE"", ""No"", ""FALSE"",TRUE, ""TRUE"", FALSE, ""FALSE"")"),"#REF!")</f>
        <v>#REF!</v>
      </c>
      <c r="AV308" s="6">
        <f t="shared" si="21"/>
        <v>0</v>
      </c>
      <c r="AW308" s="6">
        <f t="shared" si="22"/>
        <v>0</v>
      </c>
      <c r="AX308" s="6">
        <f t="shared" si="23"/>
        <v>0</v>
      </c>
      <c r="AY308" s="6">
        <f t="shared" si="24"/>
        <v>0</v>
      </c>
      <c r="AZ308" s="9" t="str">
        <f t="shared" si="25"/>
        <v/>
      </c>
      <c r="BA308" s="6">
        <f t="shared" si="26"/>
        <v>0</v>
      </c>
      <c r="BB308" s="6">
        <f t="shared" si="27"/>
        <v>0</v>
      </c>
      <c r="BC308" s="9" t="str">
        <f t="shared" si="28"/>
        <v/>
      </c>
      <c r="BD308" s="6">
        <f t="shared" si="29"/>
        <v>0</v>
      </c>
      <c r="BE308" s="6">
        <f t="shared" si="30"/>
        <v>0</v>
      </c>
      <c r="BF308" s="9" t="str">
        <f t="shared" si="31"/>
        <v/>
      </c>
      <c r="BG308" s="6">
        <f t="shared" si="32"/>
        <v>0</v>
      </c>
      <c r="BH308" s="6">
        <f t="shared" si="33"/>
        <v>0</v>
      </c>
      <c r="BI308" s="9" t="str">
        <f t="shared" si="34"/>
        <v/>
      </c>
      <c r="BJ308" s="6">
        <f t="shared" si="35"/>
        <v>0</v>
      </c>
      <c r="BK308" s="6">
        <f t="shared" si="36"/>
        <v>0</v>
      </c>
      <c r="BL308" s="6">
        <f t="shared" si="37"/>
        <v>0</v>
      </c>
      <c r="BM308" s="6">
        <f t="shared" si="38"/>
        <v>0</v>
      </c>
      <c r="BN308" s="6">
        <f t="shared" si="39"/>
        <v>0</v>
      </c>
      <c r="BP308" s="6">
        <f t="shared" si="40"/>
        <v>0</v>
      </c>
      <c r="BQ308" s="6" t="b">
        <f ca="1">IFERROR(__xludf.DUMMYFUNCTION("IF(AND(ISERROR(FILTER('Items by Team'!D$2:D3410,'Items by Team'!C$2:C3410 = D308,'Items by Team'!B$2:B3410 = B308)),NOT(A308=""Practice"")),TRUE,FALSE)"),FALSE)</f>
        <v>0</v>
      </c>
      <c r="BR308" s="6">
        <f t="shared" ca="1" si="41"/>
        <v>0</v>
      </c>
    </row>
    <row r="309" spans="1:70">
      <c r="A309" s="6"/>
      <c r="B309" s="6"/>
      <c r="C309" s="6"/>
      <c r="D309" s="6"/>
      <c r="E309" s="6"/>
      <c r="F309" s="6"/>
      <c r="G309" s="6"/>
      <c r="H309" s="6"/>
      <c r="I309" s="6"/>
      <c r="J309" s="6"/>
      <c r="K309" s="6"/>
      <c r="L309" s="6"/>
      <c r="M309" s="6"/>
      <c r="N309" s="6"/>
      <c r="O309" s="6"/>
      <c r="P309" s="6"/>
      <c r="R309" s="6"/>
      <c r="S309" s="6"/>
      <c r="T309" s="6"/>
      <c r="U309" s="6"/>
      <c r="V309" s="6"/>
      <c r="W309" s="6"/>
      <c r="X309" s="6"/>
      <c r="Y309" s="6"/>
      <c r="Z309" s="6"/>
      <c r="AA309" s="6"/>
      <c r="AB309" s="6"/>
      <c r="AD309" s="6"/>
      <c r="AE309" s="6"/>
      <c r="AF309" s="6"/>
      <c r="AG309" s="6"/>
      <c r="AH309" s="6"/>
      <c r="AI309" s="6"/>
      <c r="AK309" s="6"/>
      <c r="AL309" s="6"/>
      <c r="AM309" s="6"/>
      <c r="AN309" s="6"/>
      <c r="AO309" s="6"/>
      <c r="AP309" s="6"/>
      <c r="AQ309" s="6"/>
      <c r="AR309" s="6"/>
      <c r="AS309" s="15"/>
      <c r="AT309" s="6" t="str">
        <f ca="1">IFERROR(__xludf.DUMMYFUNCTION("SWITCH(IF(A309=""Practice"",AN309,FILTER('Items by Team'!E$2:E3410,'Items by Team'!C$2:C3410=D309,B309='Items by Team'!B$2:B3410)),""None"",""No"",""Parked"",""P"",""ShallowCage"",""Sc"",""DeepCage"",""Dc"",""No"",""No"",""P"",""P"",""Sc"",""Sc"",""Dc"","&amp;"""Dc"")"),"#REF!")</f>
        <v>#REF!</v>
      </c>
      <c r="AU309" s="6" t="str">
        <f ca="1">IFERROR(__xludf.DUMMYFUNCTION("SWITCH(IF(A309 = ""Practice"", H309, FILTER('Items by Team'!D$2:D3410,'Items by Team'!C$2:C3410 = D309,'Items by Team'!B$2:B3410 = B309)), ""Yes"", ""TRUE"", ""No"", ""FALSE"",TRUE, ""TRUE"", FALSE, ""FALSE"")"),"#REF!")</f>
        <v>#REF!</v>
      </c>
      <c r="AV309" s="6">
        <f t="shared" si="21"/>
        <v>0</v>
      </c>
      <c r="AW309" s="6">
        <f t="shared" si="22"/>
        <v>0</v>
      </c>
      <c r="AX309" s="6">
        <f t="shared" si="23"/>
        <v>0</v>
      </c>
      <c r="AY309" s="6">
        <f t="shared" si="24"/>
        <v>0</v>
      </c>
      <c r="AZ309" s="9" t="str">
        <f t="shared" si="25"/>
        <v/>
      </c>
      <c r="BA309" s="6">
        <f t="shared" si="26"/>
        <v>0</v>
      </c>
      <c r="BB309" s="6">
        <f t="shared" si="27"/>
        <v>0</v>
      </c>
      <c r="BC309" s="9" t="str">
        <f t="shared" si="28"/>
        <v/>
      </c>
      <c r="BD309" s="6">
        <f t="shared" si="29"/>
        <v>0</v>
      </c>
      <c r="BE309" s="6">
        <f t="shared" si="30"/>
        <v>0</v>
      </c>
      <c r="BF309" s="9" t="str">
        <f t="shared" si="31"/>
        <v/>
      </c>
      <c r="BG309" s="6">
        <f t="shared" si="32"/>
        <v>0</v>
      </c>
      <c r="BH309" s="6">
        <f t="shared" si="33"/>
        <v>0</v>
      </c>
      <c r="BI309" s="9" t="str">
        <f t="shared" si="34"/>
        <v/>
      </c>
      <c r="BJ309" s="6">
        <f t="shared" si="35"/>
        <v>0</v>
      </c>
      <c r="BK309" s="6">
        <f t="shared" si="36"/>
        <v>0</v>
      </c>
      <c r="BL309" s="6">
        <f t="shared" si="37"/>
        <v>0</v>
      </c>
      <c r="BM309" s="6">
        <f t="shared" si="38"/>
        <v>0</v>
      </c>
      <c r="BN309" s="6">
        <f t="shared" si="39"/>
        <v>0</v>
      </c>
      <c r="BP309" s="6">
        <f t="shared" si="40"/>
        <v>0</v>
      </c>
      <c r="BQ309" s="6" t="b">
        <f ca="1">IFERROR(__xludf.DUMMYFUNCTION("IF(AND(ISERROR(FILTER('Items by Team'!D$2:D3410,'Items by Team'!C$2:C3410 = D309,'Items by Team'!B$2:B3410 = B309)),NOT(A309=""Practice"")),TRUE,FALSE)"),FALSE)</f>
        <v>0</v>
      </c>
      <c r="BR309" s="6">
        <f t="shared" ca="1" si="41"/>
        <v>0</v>
      </c>
    </row>
    <row r="310" spans="1:70">
      <c r="A310" s="6"/>
      <c r="B310" s="6"/>
      <c r="C310" s="6"/>
      <c r="D310" s="6"/>
      <c r="E310" s="6"/>
      <c r="F310" s="6"/>
      <c r="G310" s="6"/>
      <c r="H310" s="6"/>
      <c r="I310" s="6"/>
      <c r="J310" s="6"/>
      <c r="K310" s="6"/>
      <c r="L310" s="6"/>
      <c r="M310" s="6"/>
      <c r="N310" s="6"/>
      <c r="O310" s="6"/>
      <c r="P310" s="6"/>
      <c r="R310" s="6"/>
      <c r="S310" s="6"/>
      <c r="T310" s="6"/>
      <c r="U310" s="6"/>
      <c r="V310" s="6"/>
      <c r="W310" s="6"/>
      <c r="X310" s="6"/>
      <c r="Y310" s="6"/>
      <c r="Z310" s="6"/>
      <c r="AA310" s="6"/>
      <c r="AB310" s="6"/>
      <c r="AD310" s="6"/>
      <c r="AE310" s="6"/>
      <c r="AF310" s="6"/>
      <c r="AG310" s="6"/>
      <c r="AH310" s="6"/>
      <c r="AI310" s="6"/>
      <c r="AK310" s="6"/>
      <c r="AL310" s="6"/>
      <c r="AM310" s="6"/>
      <c r="AN310" s="6"/>
      <c r="AO310" s="6"/>
      <c r="AP310" s="6"/>
      <c r="AQ310" s="6"/>
      <c r="AR310" s="6"/>
      <c r="AS310" s="15"/>
      <c r="AT310" s="6" t="str">
        <f ca="1">IFERROR(__xludf.DUMMYFUNCTION("SWITCH(IF(A310=""Practice"",AN310,FILTER('Items by Team'!E$2:E3410,'Items by Team'!C$2:C3410=D310,B310='Items by Team'!B$2:B3410)),""None"",""No"",""Parked"",""P"",""ShallowCage"",""Sc"",""DeepCage"",""Dc"",""No"",""No"",""P"",""P"",""Sc"",""Sc"",""Dc"","&amp;"""Dc"")"),"#REF!")</f>
        <v>#REF!</v>
      </c>
      <c r="AU310" s="6" t="str">
        <f ca="1">IFERROR(__xludf.DUMMYFUNCTION("SWITCH(IF(A310 = ""Practice"", H310, FILTER('Items by Team'!D$2:D3410,'Items by Team'!C$2:C3410 = D310,'Items by Team'!B$2:B3410 = B310)), ""Yes"", ""TRUE"", ""No"", ""FALSE"",TRUE, ""TRUE"", FALSE, ""FALSE"")"),"#REF!")</f>
        <v>#REF!</v>
      </c>
      <c r="AV310" s="6">
        <f t="shared" si="21"/>
        <v>0</v>
      </c>
      <c r="AW310" s="6">
        <f t="shared" si="22"/>
        <v>0</v>
      </c>
      <c r="AX310" s="6">
        <f t="shared" si="23"/>
        <v>0</v>
      </c>
      <c r="AY310" s="6">
        <f t="shared" si="24"/>
        <v>0</v>
      </c>
      <c r="AZ310" s="9" t="str">
        <f t="shared" si="25"/>
        <v/>
      </c>
      <c r="BA310" s="6">
        <f t="shared" si="26"/>
        <v>0</v>
      </c>
      <c r="BB310" s="6">
        <f t="shared" si="27"/>
        <v>0</v>
      </c>
      <c r="BC310" s="9" t="str">
        <f t="shared" si="28"/>
        <v/>
      </c>
      <c r="BD310" s="6">
        <f t="shared" si="29"/>
        <v>0</v>
      </c>
      <c r="BE310" s="6">
        <f t="shared" si="30"/>
        <v>0</v>
      </c>
      <c r="BF310" s="9" t="str">
        <f t="shared" si="31"/>
        <v/>
      </c>
      <c r="BG310" s="6">
        <f t="shared" si="32"/>
        <v>0</v>
      </c>
      <c r="BH310" s="6">
        <f t="shared" si="33"/>
        <v>0</v>
      </c>
      <c r="BI310" s="9" t="str">
        <f t="shared" si="34"/>
        <v/>
      </c>
      <c r="BJ310" s="6">
        <f t="shared" si="35"/>
        <v>0</v>
      </c>
      <c r="BK310" s="6">
        <f t="shared" si="36"/>
        <v>0</v>
      </c>
      <c r="BL310" s="6">
        <f t="shared" si="37"/>
        <v>0</v>
      </c>
      <c r="BM310" s="6">
        <f t="shared" si="38"/>
        <v>0</v>
      </c>
      <c r="BN310" s="6">
        <f t="shared" si="39"/>
        <v>0</v>
      </c>
      <c r="BP310" s="6">
        <f t="shared" si="40"/>
        <v>0</v>
      </c>
      <c r="BQ310" s="6" t="b">
        <f ca="1">IFERROR(__xludf.DUMMYFUNCTION("IF(AND(ISERROR(FILTER('Items by Team'!D$2:D3410,'Items by Team'!C$2:C3410 = D310,'Items by Team'!B$2:B3410 = B310)),NOT(A310=""Practice"")),TRUE,FALSE)"),FALSE)</f>
        <v>0</v>
      </c>
      <c r="BR310" s="6">
        <f t="shared" ca="1" si="41"/>
        <v>0</v>
      </c>
    </row>
    <row r="311" spans="1:70">
      <c r="A311" s="6"/>
      <c r="B311" s="6"/>
      <c r="C311" s="6"/>
      <c r="D311" s="6"/>
      <c r="E311" s="6"/>
      <c r="F311" s="6"/>
      <c r="G311" s="6"/>
      <c r="H311" s="6"/>
      <c r="I311" s="6"/>
      <c r="J311" s="6"/>
      <c r="K311" s="6"/>
      <c r="L311" s="6"/>
      <c r="M311" s="6"/>
      <c r="N311" s="6"/>
      <c r="O311" s="6"/>
      <c r="P311" s="6"/>
      <c r="R311" s="6"/>
      <c r="S311" s="6"/>
      <c r="T311" s="6"/>
      <c r="U311" s="6"/>
      <c r="V311" s="6"/>
      <c r="W311" s="6"/>
      <c r="X311" s="6"/>
      <c r="Y311" s="6"/>
      <c r="Z311" s="6"/>
      <c r="AA311" s="6"/>
      <c r="AB311" s="6"/>
      <c r="AD311" s="6"/>
      <c r="AE311" s="6"/>
      <c r="AF311" s="6"/>
      <c r="AG311" s="6"/>
      <c r="AH311" s="6"/>
      <c r="AI311" s="6"/>
      <c r="AK311" s="6"/>
      <c r="AL311" s="6"/>
      <c r="AM311" s="6"/>
      <c r="AN311" s="6"/>
      <c r="AO311" s="6"/>
      <c r="AP311" s="6"/>
      <c r="AQ311" s="6"/>
      <c r="AR311" s="6"/>
      <c r="AS311" s="15"/>
      <c r="AT311" s="6" t="str">
        <f ca="1">IFERROR(__xludf.DUMMYFUNCTION("SWITCH(IF(A311=""Practice"",AN311,FILTER('Items by Team'!E$2:E3410,'Items by Team'!C$2:C3410=D311,B311='Items by Team'!B$2:B3410)),""None"",""No"",""Parked"",""P"",""ShallowCage"",""Sc"",""DeepCage"",""Dc"",""No"",""No"",""P"",""P"",""Sc"",""Sc"",""Dc"","&amp;"""Dc"")"),"#REF!")</f>
        <v>#REF!</v>
      </c>
      <c r="AU311" s="6" t="str">
        <f ca="1">IFERROR(__xludf.DUMMYFUNCTION("SWITCH(IF(A311 = ""Practice"", H311, FILTER('Items by Team'!D$2:D3410,'Items by Team'!C$2:C3410 = D311,'Items by Team'!B$2:B3410 = B311)), ""Yes"", ""TRUE"", ""No"", ""FALSE"",TRUE, ""TRUE"", FALSE, ""FALSE"")"),"#REF!")</f>
        <v>#REF!</v>
      </c>
      <c r="AV311" s="6">
        <f t="shared" si="21"/>
        <v>0</v>
      </c>
      <c r="AW311" s="6">
        <f t="shared" si="22"/>
        <v>0</v>
      </c>
      <c r="AX311" s="6">
        <f t="shared" si="23"/>
        <v>0</v>
      </c>
      <c r="AY311" s="6">
        <f t="shared" si="24"/>
        <v>0</v>
      </c>
      <c r="AZ311" s="9" t="str">
        <f t="shared" si="25"/>
        <v/>
      </c>
      <c r="BA311" s="6">
        <f t="shared" si="26"/>
        <v>0</v>
      </c>
      <c r="BB311" s="6">
        <f t="shared" si="27"/>
        <v>0</v>
      </c>
      <c r="BC311" s="9" t="str">
        <f t="shared" si="28"/>
        <v/>
      </c>
      <c r="BD311" s="6">
        <f t="shared" si="29"/>
        <v>0</v>
      </c>
      <c r="BE311" s="6">
        <f t="shared" si="30"/>
        <v>0</v>
      </c>
      <c r="BF311" s="9" t="str">
        <f t="shared" si="31"/>
        <v/>
      </c>
      <c r="BG311" s="6">
        <f t="shared" si="32"/>
        <v>0</v>
      </c>
      <c r="BH311" s="6">
        <f t="shared" si="33"/>
        <v>0</v>
      </c>
      <c r="BI311" s="9" t="str">
        <f t="shared" si="34"/>
        <v/>
      </c>
      <c r="BJ311" s="6">
        <f t="shared" si="35"/>
        <v>0</v>
      </c>
      <c r="BK311" s="6">
        <f t="shared" si="36"/>
        <v>0</v>
      </c>
      <c r="BL311" s="6">
        <f t="shared" si="37"/>
        <v>0</v>
      </c>
      <c r="BM311" s="6">
        <f t="shared" si="38"/>
        <v>0</v>
      </c>
      <c r="BN311" s="6">
        <f t="shared" si="39"/>
        <v>0</v>
      </c>
      <c r="BP311" s="6">
        <f t="shared" si="40"/>
        <v>0</v>
      </c>
      <c r="BQ311" s="6" t="b">
        <f ca="1">IFERROR(__xludf.DUMMYFUNCTION("IF(AND(ISERROR(FILTER('Items by Team'!D$2:D3410,'Items by Team'!C$2:C3410 = D311,'Items by Team'!B$2:B3410 = B311)),NOT(A311=""Practice"")),TRUE,FALSE)"),FALSE)</f>
        <v>0</v>
      </c>
      <c r="BR311" s="6">
        <f t="shared" ca="1" si="41"/>
        <v>0</v>
      </c>
    </row>
    <row r="312" spans="1:70">
      <c r="A312" s="6"/>
      <c r="B312" s="6"/>
      <c r="C312" s="6"/>
      <c r="D312" s="6"/>
      <c r="E312" s="6"/>
      <c r="F312" s="6"/>
      <c r="G312" s="6"/>
      <c r="H312" s="6"/>
      <c r="I312" s="6"/>
      <c r="J312" s="6"/>
      <c r="K312" s="6"/>
      <c r="L312" s="6"/>
      <c r="M312" s="6"/>
      <c r="N312" s="6"/>
      <c r="O312" s="6"/>
      <c r="P312" s="6"/>
      <c r="R312" s="6"/>
      <c r="S312" s="6"/>
      <c r="T312" s="6"/>
      <c r="U312" s="6"/>
      <c r="V312" s="6"/>
      <c r="W312" s="6"/>
      <c r="X312" s="6"/>
      <c r="Y312" s="6"/>
      <c r="Z312" s="6"/>
      <c r="AA312" s="6"/>
      <c r="AB312" s="6"/>
      <c r="AD312" s="6"/>
      <c r="AE312" s="6"/>
      <c r="AF312" s="6"/>
      <c r="AG312" s="6"/>
      <c r="AH312" s="6"/>
      <c r="AI312" s="6"/>
      <c r="AK312" s="6"/>
      <c r="AL312" s="6"/>
      <c r="AM312" s="6"/>
      <c r="AN312" s="6"/>
      <c r="AO312" s="6"/>
      <c r="AP312" s="6"/>
      <c r="AQ312" s="6"/>
      <c r="AR312" s="6"/>
      <c r="AS312" s="15"/>
      <c r="AT312" s="6" t="str">
        <f ca="1">IFERROR(__xludf.DUMMYFUNCTION("SWITCH(IF(A312=""Practice"",AN312,FILTER('Items by Team'!E$2:E3410,'Items by Team'!C$2:C3410=D312,B312='Items by Team'!B$2:B3410)),""None"",""No"",""Parked"",""P"",""ShallowCage"",""Sc"",""DeepCage"",""Dc"",""No"",""No"",""P"",""P"",""Sc"",""Sc"",""Dc"","&amp;"""Dc"")"),"#REF!")</f>
        <v>#REF!</v>
      </c>
      <c r="AU312" s="6" t="str">
        <f ca="1">IFERROR(__xludf.DUMMYFUNCTION("SWITCH(IF(A312 = ""Practice"", H312, FILTER('Items by Team'!D$2:D3410,'Items by Team'!C$2:C3410 = D312,'Items by Team'!B$2:B3410 = B312)), ""Yes"", ""TRUE"", ""No"", ""FALSE"",TRUE, ""TRUE"", FALSE, ""FALSE"")"),"#REF!")</f>
        <v>#REF!</v>
      </c>
      <c r="AV312" s="6">
        <f t="shared" si="21"/>
        <v>0</v>
      </c>
      <c r="AW312" s="6">
        <f t="shared" si="22"/>
        <v>0</v>
      </c>
      <c r="AX312" s="6">
        <f t="shared" si="23"/>
        <v>0</v>
      </c>
      <c r="AY312" s="6">
        <f t="shared" si="24"/>
        <v>0</v>
      </c>
      <c r="AZ312" s="9" t="str">
        <f t="shared" si="25"/>
        <v/>
      </c>
      <c r="BA312" s="6">
        <f t="shared" si="26"/>
        <v>0</v>
      </c>
      <c r="BB312" s="6">
        <f t="shared" si="27"/>
        <v>0</v>
      </c>
      <c r="BC312" s="9" t="str">
        <f t="shared" si="28"/>
        <v/>
      </c>
      <c r="BD312" s="6">
        <f t="shared" si="29"/>
        <v>0</v>
      </c>
      <c r="BE312" s="6">
        <f t="shared" si="30"/>
        <v>0</v>
      </c>
      <c r="BF312" s="9" t="str">
        <f t="shared" si="31"/>
        <v/>
      </c>
      <c r="BG312" s="6">
        <f t="shared" si="32"/>
        <v>0</v>
      </c>
      <c r="BH312" s="6">
        <f t="shared" si="33"/>
        <v>0</v>
      </c>
      <c r="BI312" s="9" t="str">
        <f t="shared" si="34"/>
        <v/>
      </c>
      <c r="BJ312" s="6">
        <f t="shared" si="35"/>
        <v>0</v>
      </c>
      <c r="BK312" s="6">
        <f t="shared" si="36"/>
        <v>0</v>
      </c>
      <c r="BL312" s="6">
        <f t="shared" si="37"/>
        <v>0</v>
      </c>
      <c r="BM312" s="6">
        <f t="shared" si="38"/>
        <v>0</v>
      </c>
      <c r="BN312" s="6">
        <f t="shared" si="39"/>
        <v>0</v>
      </c>
      <c r="BP312" s="6">
        <f t="shared" si="40"/>
        <v>0</v>
      </c>
      <c r="BQ312" s="6" t="b">
        <f ca="1">IFERROR(__xludf.DUMMYFUNCTION("IF(AND(ISERROR(FILTER('Items by Team'!D$2:D3410,'Items by Team'!C$2:C3410 = D312,'Items by Team'!B$2:B3410 = B312)),NOT(A312=""Practice"")),TRUE,FALSE)"),FALSE)</f>
        <v>0</v>
      </c>
      <c r="BR312" s="6">
        <f t="shared" ca="1" si="41"/>
        <v>0</v>
      </c>
    </row>
    <row r="313" spans="1:70">
      <c r="A313" s="6"/>
      <c r="B313" s="6"/>
      <c r="C313" s="6"/>
      <c r="D313" s="6"/>
      <c r="E313" s="6"/>
      <c r="F313" s="6"/>
      <c r="G313" s="6"/>
      <c r="H313" s="6"/>
      <c r="I313" s="6"/>
      <c r="J313" s="6"/>
      <c r="K313" s="6"/>
      <c r="L313" s="6"/>
      <c r="M313" s="6"/>
      <c r="N313" s="6"/>
      <c r="O313" s="6"/>
      <c r="P313" s="6"/>
      <c r="R313" s="6"/>
      <c r="S313" s="6"/>
      <c r="T313" s="6"/>
      <c r="U313" s="6"/>
      <c r="V313" s="6"/>
      <c r="W313" s="6"/>
      <c r="X313" s="6"/>
      <c r="Y313" s="6"/>
      <c r="Z313" s="6"/>
      <c r="AA313" s="6"/>
      <c r="AB313" s="6"/>
      <c r="AD313" s="6"/>
      <c r="AE313" s="6"/>
      <c r="AF313" s="6"/>
      <c r="AG313" s="6"/>
      <c r="AH313" s="6"/>
      <c r="AI313" s="6"/>
      <c r="AK313" s="6"/>
      <c r="AL313" s="6"/>
      <c r="AM313" s="6"/>
      <c r="AN313" s="6"/>
      <c r="AO313" s="6"/>
      <c r="AP313" s="6"/>
      <c r="AQ313" s="6"/>
      <c r="AR313" s="6"/>
      <c r="AS313" s="15"/>
      <c r="AT313" s="6" t="str">
        <f ca="1">IFERROR(__xludf.DUMMYFUNCTION("SWITCH(IF(A313=""Practice"",AN313,FILTER('Items by Team'!E$2:E3410,'Items by Team'!C$2:C3410=D313,B313='Items by Team'!B$2:B3410)),""None"",""No"",""Parked"",""P"",""ShallowCage"",""Sc"",""DeepCage"",""Dc"",""No"",""No"",""P"",""P"",""Sc"",""Sc"",""Dc"","&amp;"""Dc"")"),"#REF!")</f>
        <v>#REF!</v>
      </c>
      <c r="AU313" s="6" t="str">
        <f ca="1">IFERROR(__xludf.DUMMYFUNCTION("SWITCH(IF(A313 = ""Practice"", H313, FILTER('Items by Team'!D$2:D3410,'Items by Team'!C$2:C3410 = D313,'Items by Team'!B$2:B3410 = B313)), ""Yes"", ""TRUE"", ""No"", ""FALSE"",TRUE, ""TRUE"", FALSE, ""FALSE"")"),"#REF!")</f>
        <v>#REF!</v>
      </c>
      <c r="AV313" s="6">
        <f t="shared" si="21"/>
        <v>0</v>
      </c>
      <c r="AW313" s="6">
        <f t="shared" si="22"/>
        <v>0</v>
      </c>
      <c r="AX313" s="6">
        <f t="shared" si="23"/>
        <v>0</v>
      </c>
      <c r="AY313" s="6">
        <f t="shared" si="24"/>
        <v>0</v>
      </c>
      <c r="AZ313" s="9" t="str">
        <f t="shared" si="25"/>
        <v/>
      </c>
      <c r="BA313" s="6">
        <f t="shared" si="26"/>
        <v>0</v>
      </c>
      <c r="BB313" s="6">
        <f t="shared" si="27"/>
        <v>0</v>
      </c>
      <c r="BC313" s="9" t="str">
        <f t="shared" si="28"/>
        <v/>
      </c>
      <c r="BD313" s="6">
        <f t="shared" si="29"/>
        <v>0</v>
      </c>
      <c r="BE313" s="6">
        <f t="shared" si="30"/>
        <v>0</v>
      </c>
      <c r="BF313" s="9" t="str">
        <f t="shared" si="31"/>
        <v/>
      </c>
      <c r="BG313" s="6">
        <f t="shared" si="32"/>
        <v>0</v>
      </c>
      <c r="BH313" s="6">
        <f t="shared" si="33"/>
        <v>0</v>
      </c>
      <c r="BI313" s="9" t="str">
        <f t="shared" si="34"/>
        <v/>
      </c>
      <c r="BJ313" s="6">
        <f t="shared" si="35"/>
        <v>0</v>
      </c>
      <c r="BK313" s="6">
        <f t="shared" si="36"/>
        <v>0</v>
      </c>
      <c r="BL313" s="6">
        <f t="shared" si="37"/>
        <v>0</v>
      </c>
      <c r="BM313" s="6">
        <f t="shared" si="38"/>
        <v>0</v>
      </c>
      <c r="BN313" s="6">
        <f t="shared" si="39"/>
        <v>0</v>
      </c>
      <c r="BP313" s="6">
        <f t="shared" si="40"/>
        <v>0</v>
      </c>
      <c r="BQ313" s="6" t="b">
        <f ca="1">IFERROR(__xludf.DUMMYFUNCTION("IF(AND(ISERROR(FILTER('Items by Team'!D$2:D3410,'Items by Team'!C$2:C3410 = D313,'Items by Team'!B$2:B3410 = B313)),NOT(A313=""Practice"")),TRUE,FALSE)"),FALSE)</f>
        <v>0</v>
      </c>
      <c r="BR313" s="6">
        <f t="shared" ca="1" si="41"/>
        <v>0</v>
      </c>
    </row>
    <row r="314" spans="1:70">
      <c r="A314" s="6"/>
      <c r="B314" s="6"/>
      <c r="C314" s="6"/>
      <c r="D314" s="6"/>
      <c r="E314" s="6"/>
      <c r="F314" s="6"/>
      <c r="G314" s="6"/>
      <c r="H314" s="6"/>
      <c r="I314" s="6"/>
      <c r="J314" s="6"/>
      <c r="K314" s="6"/>
      <c r="L314" s="6"/>
      <c r="M314" s="6"/>
      <c r="N314" s="6"/>
      <c r="O314" s="6"/>
      <c r="P314" s="6"/>
      <c r="R314" s="6"/>
      <c r="S314" s="6"/>
      <c r="T314" s="6"/>
      <c r="U314" s="6"/>
      <c r="V314" s="6"/>
      <c r="W314" s="6"/>
      <c r="X314" s="6"/>
      <c r="Y314" s="6"/>
      <c r="Z314" s="6"/>
      <c r="AA314" s="6"/>
      <c r="AB314" s="6"/>
      <c r="AD314" s="6"/>
      <c r="AE314" s="6"/>
      <c r="AF314" s="6"/>
      <c r="AG314" s="6"/>
      <c r="AH314" s="6"/>
      <c r="AI314" s="6"/>
      <c r="AK314" s="6"/>
      <c r="AL314" s="6"/>
      <c r="AM314" s="6"/>
      <c r="AN314" s="6"/>
      <c r="AO314" s="6"/>
      <c r="AP314" s="6"/>
      <c r="AQ314" s="6"/>
      <c r="AR314" s="6"/>
      <c r="AS314" s="15"/>
      <c r="AT314" s="6" t="str">
        <f ca="1">IFERROR(__xludf.DUMMYFUNCTION("SWITCH(IF(A314=""Practice"",AN314,FILTER('Items by Team'!E$2:E3410,'Items by Team'!C$2:C3410=D314,B314='Items by Team'!B$2:B3410)),""None"",""No"",""Parked"",""P"",""ShallowCage"",""Sc"",""DeepCage"",""Dc"",""No"",""No"",""P"",""P"",""Sc"",""Sc"",""Dc"","&amp;"""Dc"")"),"#REF!")</f>
        <v>#REF!</v>
      </c>
      <c r="AU314" s="6" t="str">
        <f ca="1">IFERROR(__xludf.DUMMYFUNCTION("SWITCH(IF(A314 = ""Practice"", H314, FILTER('Items by Team'!D$2:D3410,'Items by Team'!C$2:C3410 = D314,'Items by Team'!B$2:B3410 = B314)), ""Yes"", ""TRUE"", ""No"", ""FALSE"",TRUE, ""TRUE"", FALSE, ""FALSE"")"),"#REF!")</f>
        <v>#REF!</v>
      </c>
      <c r="AV314" s="6">
        <f t="shared" si="21"/>
        <v>0</v>
      </c>
      <c r="AW314" s="6">
        <f t="shared" si="22"/>
        <v>0</v>
      </c>
      <c r="AX314" s="6">
        <f t="shared" si="23"/>
        <v>0</v>
      </c>
      <c r="AY314" s="6">
        <f t="shared" si="24"/>
        <v>0</v>
      </c>
      <c r="AZ314" s="9" t="str">
        <f t="shared" si="25"/>
        <v/>
      </c>
      <c r="BA314" s="6">
        <f t="shared" si="26"/>
        <v>0</v>
      </c>
      <c r="BB314" s="6">
        <f t="shared" si="27"/>
        <v>0</v>
      </c>
      <c r="BC314" s="9" t="str">
        <f t="shared" si="28"/>
        <v/>
      </c>
      <c r="BD314" s="6">
        <f t="shared" si="29"/>
        <v>0</v>
      </c>
      <c r="BE314" s="6">
        <f t="shared" si="30"/>
        <v>0</v>
      </c>
      <c r="BF314" s="9" t="str">
        <f t="shared" si="31"/>
        <v/>
      </c>
      <c r="BG314" s="6">
        <f t="shared" si="32"/>
        <v>0</v>
      </c>
      <c r="BH314" s="6">
        <f t="shared" si="33"/>
        <v>0</v>
      </c>
      <c r="BI314" s="9" t="str">
        <f t="shared" si="34"/>
        <v/>
      </c>
      <c r="BJ314" s="6">
        <f t="shared" si="35"/>
        <v>0</v>
      </c>
      <c r="BK314" s="6">
        <f t="shared" si="36"/>
        <v>0</v>
      </c>
      <c r="BL314" s="6">
        <f t="shared" si="37"/>
        <v>0</v>
      </c>
      <c r="BM314" s="6">
        <f t="shared" si="38"/>
        <v>0</v>
      </c>
      <c r="BN314" s="6">
        <f t="shared" si="39"/>
        <v>0</v>
      </c>
      <c r="BP314" s="6">
        <f t="shared" si="40"/>
        <v>0</v>
      </c>
      <c r="BQ314" s="6" t="b">
        <f ca="1">IFERROR(__xludf.DUMMYFUNCTION("IF(AND(ISERROR(FILTER('Items by Team'!D$2:D3410,'Items by Team'!C$2:C3410 = D314,'Items by Team'!B$2:B3410 = B314)),NOT(A314=""Practice"")),TRUE,FALSE)"),FALSE)</f>
        <v>0</v>
      </c>
      <c r="BR314" s="6">
        <f t="shared" ca="1" si="41"/>
        <v>0</v>
      </c>
    </row>
    <row r="315" spans="1:70">
      <c r="A315" s="6"/>
      <c r="B315" s="6"/>
      <c r="C315" s="6"/>
      <c r="D315" s="6"/>
      <c r="E315" s="6"/>
      <c r="F315" s="6"/>
      <c r="G315" s="6"/>
      <c r="H315" s="6"/>
      <c r="I315" s="6"/>
      <c r="J315" s="6"/>
      <c r="K315" s="6"/>
      <c r="L315" s="6"/>
      <c r="M315" s="6"/>
      <c r="N315" s="6"/>
      <c r="O315" s="6"/>
      <c r="P315" s="6"/>
      <c r="R315" s="6"/>
      <c r="S315" s="6"/>
      <c r="T315" s="6"/>
      <c r="U315" s="6"/>
      <c r="V315" s="6"/>
      <c r="W315" s="6"/>
      <c r="X315" s="6"/>
      <c r="Y315" s="6"/>
      <c r="Z315" s="6"/>
      <c r="AA315" s="6"/>
      <c r="AB315" s="6"/>
      <c r="AD315" s="6"/>
      <c r="AE315" s="6"/>
      <c r="AF315" s="6"/>
      <c r="AG315" s="6"/>
      <c r="AH315" s="6"/>
      <c r="AI315" s="6"/>
      <c r="AK315" s="6"/>
      <c r="AL315" s="6"/>
      <c r="AM315" s="6"/>
      <c r="AN315" s="6"/>
      <c r="AO315" s="6"/>
      <c r="AP315" s="6"/>
      <c r="AQ315" s="6"/>
      <c r="AR315" s="6"/>
      <c r="AS315" s="15"/>
      <c r="AT315" s="6" t="str">
        <f ca="1">IFERROR(__xludf.DUMMYFUNCTION("SWITCH(IF(A315=""Practice"",AN315,FILTER('Items by Team'!E$2:E3410,'Items by Team'!C$2:C3410=D315,B315='Items by Team'!B$2:B3410)),""None"",""No"",""Parked"",""P"",""ShallowCage"",""Sc"",""DeepCage"",""Dc"",""No"",""No"",""P"",""P"",""Sc"",""Sc"",""Dc"","&amp;"""Dc"")"),"#REF!")</f>
        <v>#REF!</v>
      </c>
      <c r="AU315" s="6" t="str">
        <f ca="1">IFERROR(__xludf.DUMMYFUNCTION("SWITCH(IF(A315 = ""Practice"", H315, FILTER('Items by Team'!D$2:D3410,'Items by Team'!C$2:C3410 = D315,'Items by Team'!B$2:B3410 = B315)), ""Yes"", ""TRUE"", ""No"", ""FALSE"",TRUE, ""TRUE"", FALSE, ""FALSE"")"),"#REF!")</f>
        <v>#REF!</v>
      </c>
      <c r="AV315" s="6">
        <f t="shared" si="21"/>
        <v>0</v>
      </c>
      <c r="AW315" s="6">
        <f t="shared" si="22"/>
        <v>0</v>
      </c>
      <c r="AX315" s="6">
        <f t="shared" si="23"/>
        <v>0</v>
      </c>
      <c r="AY315" s="6">
        <f t="shared" si="24"/>
        <v>0</v>
      </c>
      <c r="AZ315" s="9" t="str">
        <f t="shared" si="25"/>
        <v/>
      </c>
      <c r="BA315" s="6">
        <f t="shared" si="26"/>
        <v>0</v>
      </c>
      <c r="BB315" s="6">
        <f t="shared" si="27"/>
        <v>0</v>
      </c>
      <c r="BC315" s="9" t="str">
        <f t="shared" si="28"/>
        <v/>
      </c>
      <c r="BD315" s="6">
        <f t="shared" si="29"/>
        <v>0</v>
      </c>
      <c r="BE315" s="6">
        <f t="shared" si="30"/>
        <v>0</v>
      </c>
      <c r="BF315" s="9" t="str">
        <f t="shared" si="31"/>
        <v/>
      </c>
      <c r="BG315" s="6">
        <f t="shared" si="32"/>
        <v>0</v>
      </c>
      <c r="BH315" s="6">
        <f t="shared" si="33"/>
        <v>0</v>
      </c>
      <c r="BI315" s="9" t="str">
        <f t="shared" si="34"/>
        <v/>
      </c>
      <c r="BJ315" s="6">
        <f t="shared" si="35"/>
        <v>0</v>
      </c>
      <c r="BK315" s="6">
        <f t="shared" si="36"/>
        <v>0</v>
      </c>
      <c r="BL315" s="6">
        <f t="shared" si="37"/>
        <v>0</v>
      </c>
      <c r="BM315" s="6">
        <f t="shared" si="38"/>
        <v>0</v>
      </c>
      <c r="BN315" s="6">
        <f t="shared" si="39"/>
        <v>0</v>
      </c>
      <c r="BP315" s="6">
        <f t="shared" si="40"/>
        <v>0</v>
      </c>
      <c r="BQ315" s="6" t="b">
        <f ca="1">IFERROR(__xludf.DUMMYFUNCTION("IF(AND(ISERROR(FILTER('Items by Team'!D$2:D3410,'Items by Team'!C$2:C3410 = D315,'Items by Team'!B$2:B3410 = B315)),NOT(A315=""Practice"")),TRUE,FALSE)"),FALSE)</f>
        <v>0</v>
      </c>
      <c r="BR315" s="6">
        <f t="shared" ca="1" si="41"/>
        <v>0</v>
      </c>
    </row>
    <row r="316" spans="1:70">
      <c r="A316" s="6"/>
      <c r="B316" s="6"/>
      <c r="C316" s="6"/>
      <c r="D316" s="6"/>
      <c r="E316" s="6"/>
      <c r="F316" s="6"/>
      <c r="G316" s="6"/>
      <c r="H316" s="6"/>
      <c r="I316" s="6"/>
      <c r="J316" s="6"/>
      <c r="K316" s="6"/>
      <c r="L316" s="6"/>
      <c r="M316" s="6"/>
      <c r="N316" s="6"/>
      <c r="O316" s="6"/>
      <c r="P316" s="6"/>
      <c r="R316" s="6"/>
      <c r="S316" s="6"/>
      <c r="T316" s="6"/>
      <c r="U316" s="6"/>
      <c r="V316" s="6"/>
      <c r="W316" s="6"/>
      <c r="X316" s="6"/>
      <c r="Y316" s="6"/>
      <c r="Z316" s="6"/>
      <c r="AA316" s="6"/>
      <c r="AB316" s="6"/>
      <c r="AD316" s="6"/>
      <c r="AE316" s="6"/>
      <c r="AF316" s="6"/>
      <c r="AG316" s="6"/>
      <c r="AH316" s="6"/>
      <c r="AI316" s="6"/>
      <c r="AK316" s="6"/>
      <c r="AL316" s="6"/>
      <c r="AM316" s="6"/>
      <c r="AN316" s="6"/>
      <c r="AO316" s="6"/>
      <c r="AP316" s="6"/>
      <c r="AQ316" s="6"/>
      <c r="AR316" s="6"/>
      <c r="AS316" s="15"/>
      <c r="AT316" s="6" t="str">
        <f ca="1">IFERROR(__xludf.DUMMYFUNCTION("SWITCH(IF(A316=""Practice"",AN316,FILTER('Items by Team'!E$2:E3410,'Items by Team'!C$2:C3410=D316,B316='Items by Team'!B$2:B3410)),""None"",""No"",""Parked"",""P"",""ShallowCage"",""Sc"",""DeepCage"",""Dc"",""No"",""No"",""P"",""P"",""Sc"",""Sc"",""Dc"","&amp;"""Dc"")"),"#REF!")</f>
        <v>#REF!</v>
      </c>
      <c r="AU316" s="6" t="str">
        <f ca="1">IFERROR(__xludf.DUMMYFUNCTION("SWITCH(IF(A316 = ""Practice"", H316, FILTER('Items by Team'!D$2:D3410,'Items by Team'!C$2:C3410 = D316,'Items by Team'!B$2:B3410 = B316)), ""Yes"", ""TRUE"", ""No"", ""FALSE"",TRUE, ""TRUE"", FALSE, ""FALSE"")"),"#REF!")</f>
        <v>#REF!</v>
      </c>
      <c r="AV316" s="6">
        <f t="shared" si="21"/>
        <v>0</v>
      </c>
      <c r="AW316" s="6">
        <f t="shared" si="22"/>
        <v>0</v>
      </c>
      <c r="AX316" s="6">
        <f t="shared" si="23"/>
        <v>0</v>
      </c>
      <c r="AY316" s="6">
        <f t="shared" si="24"/>
        <v>0</v>
      </c>
      <c r="AZ316" s="9" t="str">
        <f t="shared" si="25"/>
        <v/>
      </c>
      <c r="BA316" s="6">
        <f t="shared" si="26"/>
        <v>0</v>
      </c>
      <c r="BB316" s="6">
        <f t="shared" si="27"/>
        <v>0</v>
      </c>
      <c r="BC316" s="9" t="str">
        <f t="shared" si="28"/>
        <v/>
      </c>
      <c r="BD316" s="6">
        <f t="shared" si="29"/>
        <v>0</v>
      </c>
      <c r="BE316" s="6">
        <f t="shared" si="30"/>
        <v>0</v>
      </c>
      <c r="BF316" s="9" t="str">
        <f t="shared" si="31"/>
        <v/>
      </c>
      <c r="BG316" s="6">
        <f t="shared" si="32"/>
        <v>0</v>
      </c>
      <c r="BH316" s="6">
        <f t="shared" si="33"/>
        <v>0</v>
      </c>
      <c r="BI316" s="9" t="str">
        <f t="shared" si="34"/>
        <v/>
      </c>
      <c r="BJ316" s="6">
        <f t="shared" si="35"/>
        <v>0</v>
      </c>
      <c r="BK316" s="6">
        <f t="shared" si="36"/>
        <v>0</v>
      </c>
      <c r="BL316" s="6">
        <f t="shared" si="37"/>
        <v>0</v>
      </c>
      <c r="BM316" s="6">
        <f t="shared" si="38"/>
        <v>0</v>
      </c>
      <c r="BN316" s="6">
        <f t="shared" si="39"/>
        <v>0</v>
      </c>
      <c r="BP316" s="6">
        <f t="shared" si="40"/>
        <v>0</v>
      </c>
      <c r="BQ316" s="6" t="b">
        <f ca="1">IFERROR(__xludf.DUMMYFUNCTION("IF(AND(ISERROR(FILTER('Items by Team'!D$2:D3410,'Items by Team'!C$2:C3410 = D316,'Items by Team'!B$2:B3410 = B316)),NOT(A316=""Practice"")),TRUE,FALSE)"),FALSE)</f>
        <v>0</v>
      </c>
      <c r="BR316" s="6">
        <f t="shared" ca="1" si="41"/>
        <v>0</v>
      </c>
    </row>
    <row r="317" spans="1:70">
      <c r="A317" s="6"/>
      <c r="B317" s="6"/>
      <c r="C317" s="6"/>
      <c r="D317" s="6"/>
      <c r="E317" s="6"/>
      <c r="F317" s="6"/>
      <c r="G317" s="6"/>
      <c r="H317" s="6"/>
      <c r="I317" s="6"/>
      <c r="J317" s="6"/>
      <c r="K317" s="6"/>
      <c r="L317" s="6"/>
      <c r="M317" s="6"/>
      <c r="N317" s="6"/>
      <c r="O317" s="6"/>
      <c r="P317" s="6"/>
      <c r="R317" s="6"/>
      <c r="S317" s="6"/>
      <c r="T317" s="6"/>
      <c r="U317" s="6"/>
      <c r="V317" s="6"/>
      <c r="W317" s="6"/>
      <c r="X317" s="6"/>
      <c r="Y317" s="6"/>
      <c r="Z317" s="6"/>
      <c r="AA317" s="6"/>
      <c r="AB317" s="6"/>
      <c r="AD317" s="6"/>
      <c r="AE317" s="6"/>
      <c r="AF317" s="6"/>
      <c r="AG317" s="6"/>
      <c r="AH317" s="6"/>
      <c r="AI317" s="6"/>
      <c r="AK317" s="6"/>
      <c r="AL317" s="6"/>
      <c r="AM317" s="6"/>
      <c r="AN317" s="6"/>
      <c r="AO317" s="6"/>
      <c r="AP317" s="6"/>
      <c r="AQ317" s="6"/>
      <c r="AR317" s="6"/>
      <c r="AS317" s="15"/>
      <c r="AT317" s="6" t="str">
        <f ca="1">IFERROR(__xludf.DUMMYFUNCTION("SWITCH(IF(A317=""Practice"",AN317,FILTER('Items by Team'!E$2:E3410,'Items by Team'!C$2:C3410=D317,B317='Items by Team'!B$2:B3410)),""None"",""No"",""Parked"",""P"",""ShallowCage"",""Sc"",""DeepCage"",""Dc"",""No"",""No"",""P"",""P"",""Sc"",""Sc"",""Dc"","&amp;"""Dc"")"),"#REF!")</f>
        <v>#REF!</v>
      </c>
      <c r="AU317" s="6" t="str">
        <f ca="1">IFERROR(__xludf.DUMMYFUNCTION("SWITCH(IF(A317 = ""Practice"", H317, FILTER('Items by Team'!D$2:D3410,'Items by Team'!C$2:C3410 = D317,'Items by Team'!B$2:B3410 = B317)), ""Yes"", ""TRUE"", ""No"", ""FALSE"",TRUE, ""TRUE"", FALSE, ""FALSE"")"),"#REF!")</f>
        <v>#REF!</v>
      </c>
      <c r="AV317" s="6">
        <f t="shared" si="21"/>
        <v>0</v>
      </c>
      <c r="AW317" s="6">
        <f t="shared" si="22"/>
        <v>0</v>
      </c>
      <c r="AX317" s="6">
        <f t="shared" si="23"/>
        <v>0</v>
      </c>
      <c r="AY317" s="6">
        <f t="shared" si="24"/>
        <v>0</v>
      </c>
      <c r="AZ317" s="9" t="str">
        <f t="shared" si="25"/>
        <v/>
      </c>
      <c r="BA317" s="6">
        <f t="shared" si="26"/>
        <v>0</v>
      </c>
      <c r="BB317" s="6">
        <f t="shared" si="27"/>
        <v>0</v>
      </c>
      <c r="BC317" s="9" t="str">
        <f t="shared" si="28"/>
        <v/>
      </c>
      <c r="BD317" s="6">
        <f t="shared" si="29"/>
        <v>0</v>
      </c>
      <c r="BE317" s="6">
        <f t="shared" si="30"/>
        <v>0</v>
      </c>
      <c r="BF317" s="9" t="str">
        <f t="shared" si="31"/>
        <v/>
      </c>
      <c r="BG317" s="6">
        <f t="shared" si="32"/>
        <v>0</v>
      </c>
      <c r="BH317" s="6">
        <f t="shared" si="33"/>
        <v>0</v>
      </c>
      <c r="BI317" s="9" t="str">
        <f t="shared" si="34"/>
        <v/>
      </c>
      <c r="BJ317" s="6">
        <f t="shared" si="35"/>
        <v>0</v>
      </c>
      <c r="BK317" s="6">
        <f t="shared" si="36"/>
        <v>0</v>
      </c>
      <c r="BL317" s="6">
        <f t="shared" si="37"/>
        <v>0</v>
      </c>
      <c r="BM317" s="6">
        <f t="shared" si="38"/>
        <v>0</v>
      </c>
      <c r="BN317" s="6">
        <f t="shared" si="39"/>
        <v>0</v>
      </c>
      <c r="BP317" s="6">
        <f t="shared" si="40"/>
        <v>0</v>
      </c>
      <c r="BQ317" s="6" t="b">
        <f ca="1">IFERROR(__xludf.DUMMYFUNCTION("IF(AND(ISERROR(FILTER('Items by Team'!D$2:D3410,'Items by Team'!C$2:C3410 = D317,'Items by Team'!B$2:B3410 = B317)),NOT(A317=""Practice"")),TRUE,FALSE)"),FALSE)</f>
        <v>0</v>
      </c>
      <c r="BR317" s="6">
        <f t="shared" ca="1" si="41"/>
        <v>0</v>
      </c>
    </row>
    <row r="318" spans="1:70">
      <c r="A318" s="6"/>
      <c r="B318" s="6"/>
      <c r="C318" s="6"/>
      <c r="D318" s="6"/>
      <c r="E318" s="6"/>
      <c r="F318" s="6"/>
      <c r="G318" s="6"/>
      <c r="H318" s="6"/>
      <c r="I318" s="6"/>
      <c r="J318" s="6"/>
      <c r="K318" s="6"/>
      <c r="L318" s="6"/>
      <c r="M318" s="6"/>
      <c r="N318" s="6"/>
      <c r="O318" s="6"/>
      <c r="P318" s="6"/>
      <c r="R318" s="6"/>
      <c r="S318" s="6"/>
      <c r="T318" s="6"/>
      <c r="U318" s="6"/>
      <c r="V318" s="6"/>
      <c r="W318" s="6"/>
      <c r="X318" s="6"/>
      <c r="Y318" s="6"/>
      <c r="Z318" s="6"/>
      <c r="AA318" s="6"/>
      <c r="AB318" s="6"/>
      <c r="AD318" s="6"/>
      <c r="AE318" s="6"/>
      <c r="AF318" s="6"/>
      <c r="AG318" s="6"/>
      <c r="AH318" s="6"/>
      <c r="AI318" s="6"/>
      <c r="AK318" s="6"/>
      <c r="AL318" s="6"/>
      <c r="AM318" s="6"/>
      <c r="AN318" s="6"/>
      <c r="AO318" s="6"/>
      <c r="AP318" s="6"/>
      <c r="AQ318" s="6"/>
      <c r="AR318" s="6"/>
      <c r="AS318" s="15"/>
      <c r="AT318" s="6" t="str">
        <f ca="1">IFERROR(__xludf.DUMMYFUNCTION("SWITCH(IF(A318=""Practice"",AN318,FILTER('Items by Team'!E$2:E3410,'Items by Team'!C$2:C3410=D318,B318='Items by Team'!B$2:B3410)),""None"",""No"",""Parked"",""P"",""ShallowCage"",""Sc"",""DeepCage"",""Dc"",""No"",""No"",""P"",""P"",""Sc"",""Sc"",""Dc"","&amp;"""Dc"")"),"#REF!")</f>
        <v>#REF!</v>
      </c>
      <c r="AU318" s="6" t="str">
        <f ca="1">IFERROR(__xludf.DUMMYFUNCTION("SWITCH(IF(A318 = ""Practice"", H318, FILTER('Items by Team'!D$2:D3410,'Items by Team'!C$2:C3410 = D318,'Items by Team'!B$2:B3410 = B318)), ""Yes"", ""TRUE"", ""No"", ""FALSE"",TRUE, ""TRUE"", FALSE, ""FALSE"")"),"#REF!")</f>
        <v>#REF!</v>
      </c>
      <c r="AV318" s="6">
        <f t="shared" si="21"/>
        <v>0</v>
      </c>
      <c r="AW318" s="6">
        <f t="shared" si="22"/>
        <v>0</v>
      </c>
      <c r="AX318" s="6">
        <f t="shared" si="23"/>
        <v>0</v>
      </c>
      <c r="AY318" s="6">
        <f t="shared" si="24"/>
        <v>0</v>
      </c>
      <c r="AZ318" s="9" t="str">
        <f t="shared" si="25"/>
        <v/>
      </c>
      <c r="BA318" s="6">
        <f t="shared" si="26"/>
        <v>0</v>
      </c>
      <c r="BB318" s="6">
        <f t="shared" si="27"/>
        <v>0</v>
      </c>
      <c r="BC318" s="9" t="str">
        <f t="shared" si="28"/>
        <v/>
      </c>
      <c r="BD318" s="6">
        <f t="shared" si="29"/>
        <v>0</v>
      </c>
      <c r="BE318" s="6">
        <f t="shared" si="30"/>
        <v>0</v>
      </c>
      <c r="BF318" s="9" t="str">
        <f t="shared" si="31"/>
        <v/>
      </c>
      <c r="BG318" s="6">
        <f t="shared" si="32"/>
        <v>0</v>
      </c>
      <c r="BH318" s="6">
        <f t="shared" si="33"/>
        <v>0</v>
      </c>
      <c r="BI318" s="9" t="str">
        <f t="shared" si="34"/>
        <v/>
      </c>
      <c r="BJ318" s="6">
        <f t="shared" si="35"/>
        <v>0</v>
      </c>
      <c r="BK318" s="6">
        <f t="shared" si="36"/>
        <v>0</v>
      </c>
      <c r="BL318" s="6">
        <f t="shared" si="37"/>
        <v>0</v>
      </c>
      <c r="BM318" s="6">
        <f t="shared" si="38"/>
        <v>0</v>
      </c>
      <c r="BN318" s="6">
        <f t="shared" si="39"/>
        <v>0</v>
      </c>
      <c r="BP318" s="6">
        <f t="shared" si="40"/>
        <v>0</v>
      </c>
      <c r="BQ318" s="6" t="b">
        <f ca="1">IFERROR(__xludf.DUMMYFUNCTION("IF(AND(ISERROR(FILTER('Items by Team'!D$2:D3410,'Items by Team'!C$2:C3410 = D318,'Items by Team'!B$2:B3410 = B318)),NOT(A318=""Practice"")),TRUE,FALSE)"),FALSE)</f>
        <v>0</v>
      </c>
      <c r="BR318" s="6">
        <f t="shared" ca="1" si="41"/>
        <v>0</v>
      </c>
    </row>
    <row r="319" spans="1:70">
      <c r="A319" s="6"/>
      <c r="B319" s="6"/>
      <c r="C319" s="6"/>
      <c r="D319" s="6"/>
      <c r="E319" s="6"/>
      <c r="F319" s="6"/>
      <c r="G319" s="6"/>
      <c r="H319" s="6"/>
      <c r="I319" s="6"/>
      <c r="J319" s="6"/>
      <c r="K319" s="6"/>
      <c r="L319" s="6"/>
      <c r="M319" s="6"/>
      <c r="N319" s="6"/>
      <c r="O319" s="6"/>
      <c r="P319" s="6"/>
      <c r="R319" s="6"/>
      <c r="S319" s="6"/>
      <c r="T319" s="6"/>
      <c r="U319" s="6"/>
      <c r="V319" s="6"/>
      <c r="W319" s="6"/>
      <c r="X319" s="6"/>
      <c r="Y319" s="6"/>
      <c r="Z319" s="6"/>
      <c r="AA319" s="6"/>
      <c r="AB319" s="6"/>
      <c r="AD319" s="6"/>
      <c r="AE319" s="6"/>
      <c r="AF319" s="6"/>
      <c r="AG319" s="6"/>
      <c r="AH319" s="6"/>
      <c r="AI319" s="6"/>
      <c r="AK319" s="6"/>
      <c r="AL319" s="6"/>
      <c r="AM319" s="6"/>
      <c r="AN319" s="6"/>
      <c r="AO319" s="6"/>
      <c r="AP319" s="6"/>
      <c r="AQ319" s="6"/>
      <c r="AR319" s="6"/>
      <c r="AS319" s="15"/>
      <c r="AT319" s="6" t="str">
        <f ca="1">IFERROR(__xludf.DUMMYFUNCTION("SWITCH(IF(A319=""Practice"",AN319,FILTER('Items by Team'!E$2:E3410,'Items by Team'!C$2:C3410=D319,B319='Items by Team'!B$2:B3410)),""None"",""No"",""Parked"",""P"",""ShallowCage"",""Sc"",""DeepCage"",""Dc"",""No"",""No"",""P"",""P"",""Sc"",""Sc"",""Dc"","&amp;"""Dc"")"),"#REF!")</f>
        <v>#REF!</v>
      </c>
      <c r="AU319" s="6" t="str">
        <f ca="1">IFERROR(__xludf.DUMMYFUNCTION("SWITCH(IF(A319 = ""Practice"", H319, FILTER('Items by Team'!D$2:D3410,'Items by Team'!C$2:C3410 = D319,'Items by Team'!B$2:B3410 = B319)), ""Yes"", ""TRUE"", ""No"", ""FALSE"",TRUE, ""TRUE"", FALSE, ""FALSE"")"),"#REF!")</f>
        <v>#REF!</v>
      </c>
      <c r="AV319" s="6">
        <f t="shared" si="21"/>
        <v>0</v>
      </c>
      <c r="AW319" s="6">
        <f t="shared" si="22"/>
        <v>0</v>
      </c>
      <c r="AX319" s="6">
        <f t="shared" si="23"/>
        <v>0</v>
      </c>
      <c r="AY319" s="6">
        <f t="shared" si="24"/>
        <v>0</v>
      </c>
      <c r="AZ319" s="9" t="str">
        <f t="shared" si="25"/>
        <v/>
      </c>
      <c r="BA319" s="6">
        <f t="shared" si="26"/>
        <v>0</v>
      </c>
      <c r="BB319" s="6">
        <f t="shared" si="27"/>
        <v>0</v>
      </c>
      <c r="BC319" s="9" t="str">
        <f t="shared" si="28"/>
        <v/>
      </c>
      <c r="BD319" s="6">
        <f t="shared" si="29"/>
        <v>0</v>
      </c>
      <c r="BE319" s="6">
        <f t="shared" si="30"/>
        <v>0</v>
      </c>
      <c r="BF319" s="9" t="str">
        <f t="shared" si="31"/>
        <v/>
      </c>
      <c r="BG319" s="6">
        <f t="shared" si="32"/>
        <v>0</v>
      </c>
      <c r="BH319" s="6">
        <f t="shared" si="33"/>
        <v>0</v>
      </c>
      <c r="BI319" s="9" t="str">
        <f t="shared" si="34"/>
        <v/>
      </c>
      <c r="BJ319" s="6">
        <f t="shared" si="35"/>
        <v>0</v>
      </c>
      <c r="BK319" s="6">
        <f t="shared" si="36"/>
        <v>0</v>
      </c>
      <c r="BL319" s="6">
        <f t="shared" si="37"/>
        <v>0</v>
      </c>
      <c r="BM319" s="6">
        <f t="shared" si="38"/>
        <v>0</v>
      </c>
      <c r="BN319" s="6">
        <f t="shared" si="39"/>
        <v>0</v>
      </c>
      <c r="BP319" s="6">
        <f t="shared" si="40"/>
        <v>0</v>
      </c>
      <c r="BQ319" s="6" t="b">
        <f ca="1">IFERROR(__xludf.DUMMYFUNCTION("IF(AND(ISERROR(FILTER('Items by Team'!D$2:D3410,'Items by Team'!C$2:C3410 = D319,'Items by Team'!B$2:B3410 = B319)),NOT(A319=""Practice"")),TRUE,FALSE)"),FALSE)</f>
        <v>0</v>
      </c>
      <c r="BR319" s="6">
        <f t="shared" ca="1" si="41"/>
        <v>0</v>
      </c>
    </row>
    <row r="320" spans="1:70">
      <c r="A320" s="6"/>
      <c r="B320" s="6"/>
      <c r="C320" s="6"/>
      <c r="D320" s="6"/>
      <c r="E320" s="6"/>
      <c r="F320" s="6"/>
      <c r="G320" s="6"/>
      <c r="H320" s="6"/>
      <c r="I320" s="6"/>
      <c r="J320" s="6"/>
      <c r="K320" s="6"/>
      <c r="L320" s="6"/>
      <c r="M320" s="6"/>
      <c r="N320" s="6"/>
      <c r="O320" s="6"/>
      <c r="P320" s="6"/>
      <c r="R320" s="6"/>
      <c r="S320" s="6"/>
      <c r="T320" s="6"/>
      <c r="U320" s="6"/>
      <c r="V320" s="6"/>
      <c r="W320" s="6"/>
      <c r="X320" s="6"/>
      <c r="Y320" s="6"/>
      <c r="Z320" s="6"/>
      <c r="AA320" s="6"/>
      <c r="AB320" s="6"/>
      <c r="AD320" s="6"/>
      <c r="AE320" s="6"/>
      <c r="AF320" s="6"/>
      <c r="AG320" s="6"/>
      <c r="AH320" s="6"/>
      <c r="AI320" s="6"/>
      <c r="AK320" s="6"/>
      <c r="AL320" s="6"/>
      <c r="AM320" s="6"/>
      <c r="AN320" s="6"/>
      <c r="AO320" s="6"/>
      <c r="AP320" s="6"/>
      <c r="AQ320" s="6"/>
      <c r="AR320" s="6"/>
      <c r="AS320" s="15"/>
      <c r="AT320" s="6" t="str">
        <f ca="1">IFERROR(__xludf.DUMMYFUNCTION("SWITCH(IF(A320=""Practice"",AN320,FILTER('Items by Team'!E$2:E3410,'Items by Team'!C$2:C3410=D320,B320='Items by Team'!B$2:B3410)),""None"",""No"",""Parked"",""P"",""ShallowCage"",""Sc"",""DeepCage"",""Dc"",""No"",""No"",""P"",""P"",""Sc"",""Sc"",""Dc"","&amp;"""Dc"")"),"#REF!")</f>
        <v>#REF!</v>
      </c>
      <c r="AU320" s="6" t="str">
        <f ca="1">IFERROR(__xludf.DUMMYFUNCTION("SWITCH(IF(A320 = ""Practice"", H320, FILTER('Items by Team'!D$2:D3410,'Items by Team'!C$2:C3410 = D320,'Items by Team'!B$2:B3410 = B320)), ""Yes"", ""TRUE"", ""No"", ""FALSE"",TRUE, ""TRUE"", FALSE, ""FALSE"")"),"#REF!")</f>
        <v>#REF!</v>
      </c>
      <c r="AV320" s="6">
        <f t="shared" si="21"/>
        <v>0</v>
      </c>
      <c r="AW320" s="6">
        <f t="shared" si="22"/>
        <v>0</v>
      </c>
      <c r="AX320" s="6">
        <f t="shared" si="23"/>
        <v>0</v>
      </c>
      <c r="AY320" s="6">
        <f t="shared" si="24"/>
        <v>0</v>
      </c>
      <c r="AZ320" s="9" t="str">
        <f t="shared" si="25"/>
        <v/>
      </c>
      <c r="BA320" s="6">
        <f t="shared" si="26"/>
        <v>0</v>
      </c>
      <c r="BB320" s="6">
        <f t="shared" si="27"/>
        <v>0</v>
      </c>
      <c r="BC320" s="9" t="str">
        <f t="shared" si="28"/>
        <v/>
      </c>
      <c r="BD320" s="6">
        <f t="shared" si="29"/>
        <v>0</v>
      </c>
      <c r="BE320" s="6">
        <f t="shared" si="30"/>
        <v>0</v>
      </c>
      <c r="BF320" s="9" t="str">
        <f t="shared" si="31"/>
        <v/>
      </c>
      <c r="BG320" s="6">
        <f t="shared" si="32"/>
        <v>0</v>
      </c>
      <c r="BH320" s="6">
        <f t="shared" si="33"/>
        <v>0</v>
      </c>
      <c r="BI320" s="9" t="str">
        <f t="shared" si="34"/>
        <v/>
      </c>
      <c r="BJ320" s="6">
        <f t="shared" si="35"/>
        <v>0</v>
      </c>
      <c r="BK320" s="6">
        <f t="shared" si="36"/>
        <v>0</v>
      </c>
      <c r="BL320" s="6">
        <f t="shared" si="37"/>
        <v>0</v>
      </c>
      <c r="BM320" s="6">
        <f t="shared" si="38"/>
        <v>0</v>
      </c>
      <c r="BN320" s="6">
        <f t="shared" si="39"/>
        <v>0</v>
      </c>
      <c r="BP320" s="6">
        <f t="shared" si="40"/>
        <v>0</v>
      </c>
      <c r="BQ320" s="6" t="b">
        <f ca="1">IFERROR(__xludf.DUMMYFUNCTION("IF(AND(ISERROR(FILTER('Items by Team'!D$2:D3410,'Items by Team'!C$2:C3410 = D320,'Items by Team'!B$2:B3410 = B320)),NOT(A320=""Practice"")),TRUE,FALSE)"),FALSE)</f>
        <v>0</v>
      </c>
      <c r="BR320" s="6">
        <f t="shared" ca="1" si="41"/>
        <v>0</v>
      </c>
    </row>
    <row r="321" spans="1:70">
      <c r="A321" s="6"/>
      <c r="B321" s="6"/>
      <c r="C321" s="6"/>
      <c r="D321" s="6"/>
      <c r="E321" s="6"/>
      <c r="F321" s="6"/>
      <c r="G321" s="6"/>
      <c r="H321" s="6"/>
      <c r="I321" s="6"/>
      <c r="J321" s="6"/>
      <c r="K321" s="6"/>
      <c r="L321" s="6"/>
      <c r="M321" s="6"/>
      <c r="N321" s="6"/>
      <c r="O321" s="6"/>
      <c r="P321" s="6"/>
      <c r="R321" s="6"/>
      <c r="S321" s="6"/>
      <c r="T321" s="6"/>
      <c r="U321" s="6"/>
      <c r="V321" s="6"/>
      <c r="W321" s="6"/>
      <c r="X321" s="6"/>
      <c r="Y321" s="6"/>
      <c r="Z321" s="6"/>
      <c r="AA321" s="6"/>
      <c r="AB321" s="6"/>
      <c r="AD321" s="6"/>
      <c r="AE321" s="6"/>
      <c r="AF321" s="6"/>
      <c r="AG321" s="6"/>
      <c r="AH321" s="6"/>
      <c r="AI321" s="6"/>
      <c r="AK321" s="6"/>
      <c r="AL321" s="6"/>
      <c r="AM321" s="6"/>
      <c r="AN321" s="6"/>
      <c r="AO321" s="6"/>
      <c r="AP321" s="6"/>
      <c r="AQ321" s="6"/>
      <c r="AR321" s="6"/>
      <c r="AS321" s="15"/>
      <c r="AT321" s="6" t="str">
        <f ca="1">IFERROR(__xludf.DUMMYFUNCTION("SWITCH(IF(A321=""Practice"",AN321,FILTER('Items by Team'!E$2:E3410,'Items by Team'!C$2:C3410=D321,B321='Items by Team'!B$2:B3410)),""None"",""No"",""Parked"",""P"",""ShallowCage"",""Sc"",""DeepCage"",""Dc"",""No"",""No"",""P"",""P"",""Sc"",""Sc"",""Dc"","&amp;"""Dc"")"),"#REF!")</f>
        <v>#REF!</v>
      </c>
      <c r="AU321" s="6" t="str">
        <f ca="1">IFERROR(__xludf.DUMMYFUNCTION("SWITCH(IF(A321 = ""Practice"", H321, FILTER('Items by Team'!D$2:D3410,'Items by Team'!C$2:C3410 = D321,'Items by Team'!B$2:B3410 = B321)), ""Yes"", ""TRUE"", ""No"", ""FALSE"",TRUE, ""TRUE"", FALSE, ""FALSE"")"),"#REF!")</f>
        <v>#REF!</v>
      </c>
      <c r="AV321" s="6">
        <f t="shared" si="21"/>
        <v>0</v>
      </c>
      <c r="AW321" s="6">
        <f t="shared" si="22"/>
        <v>0</v>
      </c>
      <c r="AX321" s="6">
        <f t="shared" si="23"/>
        <v>0</v>
      </c>
      <c r="AY321" s="6">
        <f t="shared" si="24"/>
        <v>0</v>
      </c>
      <c r="AZ321" s="9" t="str">
        <f t="shared" si="25"/>
        <v/>
      </c>
      <c r="BA321" s="6">
        <f t="shared" si="26"/>
        <v>0</v>
      </c>
      <c r="BB321" s="6">
        <f t="shared" si="27"/>
        <v>0</v>
      </c>
      <c r="BC321" s="9" t="str">
        <f t="shared" si="28"/>
        <v/>
      </c>
      <c r="BD321" s="6">
        <f t="shared" si="29"/>
        <v>0</v>
      </c>
      <c r="BE321" s="6">
        <f t="shared" si="30"/>
        <v>0</v>
      </c>
      <c r="BF321" s="9" t="str">
        <f t="shared" si="31"/>
        <v/>
      </c>
      <c r="BG321" s="6">
        <f t="shared" si="32"/>
        <v>0</v>
      </c>
      <c r="BH321" s="6">
        <f t="shared" si="33"/>
        <v>0</v>
      </c>
      <c r="BI321" s="9" t="str">
        <f t="shared" si="34"/>
        <v/>
      </c>
      <c r="BJ321" s="6">
        <f t="shared" si="35"/>
        <v>0</v>
      </c>
      <c r="BK321" s="6">
        <f t="shared" si="36"/>
        <v>0</v>
      </c>
      <c r="BL321" s="6">
        <f t="shared" si="37"/>
        <v>0</v>
      </c>
      <c r="BM321" s="6">
        <f t="shared" si="38"/>
        <v>0</v>
      </c>
      <c r="BN321" s="6">
        <f t="shared" si="39"/>
        <v>0</v>
      </c>
      <c r="BP321" s="6">
        <f t="shared" si="40"/>
        <v>0</v>
      </c>
      <c r="BQ321" s="6" t="b">
        <f ca="1">IFERROR(__xludf.DUMMYFUNCTION("IF(AND(ISERROR(FILTER('Items by Team'!D$2:D3410,'Items by Team'!C$2:C3410 = D321,'Items by Team'!B$2:B3410 = B321)),NOT(A321=""Practice"")),TRUE,FALSE)"),FALSE)</f>
        <v>0</v>
      </c>
      <c r="BR321" s="6">
        <f t="shared" ca="1" si="41"/>
        <v>0</v>
      </c>
    </row>
    <row r="322" spans="1:70">
      <c r="A322" s="6"/>
      <c r="B322" s="6"/>
      <c r="C322" s="6"/>
      <c r="D322" s="6"/>
      <c r="E322" s="6"/>
      <c r="F322" s="6"/>
      <c r="G322" s="6"/>
      <c r="H322" s="6"/>
      <c r="I322" s="6"/>
      <c r="J322" s="6"/>
      <c r="K322" s="6"/>
      <c r="L322" s="6"/>
      <c r="M322" s="6"/>
      <c r="N322" s="6"/>
      <c r="O322" s="6"/>
      <c r="P322" s="6"/>
      <c r="R322" s="6"/>
      <c r="S322" s="6"/>
      <c r="T322" s="6"/>
      <c r="U322" s="6"/>
      <c r="V322" s="6"/>
      <c r="W322" s="6"/>
      <c r="X322" s="6"/>
      <c r="Y322" s="6"/>
      <c r="Z322" s="6"/>
      <c r="AA322" s="6"/>
      <c r="AB322" s="6"/>
      <c r="AD322" s="6"/>
      <c r="AE322" s="6"/>
      <c r="AF322" s="6"/>
      <c r="AG322" s="6"/>
      <c r="AH322" s="6"/>
      <c r="AI322" s="6"/>
      <c r="AK322" s="6"/>
      <c r="AL322" s="6"/>
      <c r="AM322" s="6"/>
      <c r="AN322" s="6"/>
      <c r="AO322" s="6"/>
      <c r="AP322" s="6"/>
      <c r="AQ322" s="6"/>
      <c r="AR322" s="6"/>
      <c r="AS322" s="15"/>
      <c r="AT322" s="6" t="str">
        <f ca="1">IFERROR(__xludf.DUMMYFUNCTION("SWITCH(IF(A322=""Practice"",AN322,FILTER('Items by Team'!E$2:E3410,'Items by Team'!C$2:C3410=D322,B322='Items by Team'!B$2:B3410)),""None"",""No"",""Parked"",""P"",""ShallowCage"",""Sc"",""DeepCage"",""Dc"",""No"",""No"",""P"",""P"",""Sc"",""Sc"",""Dc"","&amp;"""Dc"")"),"#REF!")</f>
        <v>#REF!</v>
      </c>
      <c r="AU322" s="6" t="str">
        <f ca="1">IFERROR(__xludf.DUMMYFUNCTION("SWITCH(IF(A322 = ""Practice"", H322, FILTER('Items by Team'!D$2:D3410,'Items by Team'!C$2:C3410 = D322,'Items by Team'!B$2:B3410 = B322)), ""Yes"", ""TRUE"", ""No"", ""FALSE"",TRUE, ""TRUE"", FALSE, ""FALSE"")"),"#REF!")</f>
        <v>#REF!</v>
      </c>
      <c r="AV322" s="6">
        <f t="shared" si="21"/>
        <v>0</v>
      </c>
      <c r="AW322" s="6">
        <f t="shared" si="22"/>
        <v>0</v>
      </c>
      <c r="AX322" s="6">
        <f t="shared" si="23"/>
        <v>0</v>
      </c>
      <c r="AY322" s="6">
        <f t="shared" si="24"/>
        <v>0</v>
      </c>
      <c r="AZ322" s="9" t="str">
        <f t="shared" si="25"/>
        <v/>
      </c>
      <c r="BA322" s="6">
        <f t="shared" si="26"/>
        <v>0</v>
      </c>
      <c r="BB322" s="6">
        <f t="shared" si="27"/>
        <v>0</v>
      </c>
      <c r="BC322" s="9" t="str">
        <f t="shared" si="28"/>
        <v/>
      </c>
      <c r="BD322" s="6">
        <f t="shared" si="29"/>
        <v>0</v>
      </c>
      <c r="BE322" s="6">
        <f t="shared" si="30"/>
        <v>0</v>
      </c>
      <c r="BF322" s="9" t="str">
        <f t="shared" si="31"/>
        <v/>
      </c>
      <c r="BG322" s="6">
        <f t="shared" si="32"/>
        <v>0</v>
      </c>
      <c r="BH322" s="6">
        <f t="shared" si="33"/>
        <v>0</v>
      </c>
      <c r="BI322" s="9" t="str">
        <f t="shared" si="34"/>
        <v/>
      </c>
      <c r="BJ322" s="6">
        <f t="shared" si="35"/>
        <v>0</v>
      </c>
      <c r="BK322" s="6">
        <f t="shared" si="36"/>
        <v>0</v>
      </c>
      <c r="BL322" s="6">
        <f t="shared" si="37"/>
        <v>0</v>
      </c>
      <c r="BM322" s="6">
        <f t="shared" si="38"/>
        <v>0</v>
      </c>
      <c r="BN322" s="6">
        <f t="shared" si="39"/>
        <v>0</v>
      </c>
      <c r="BP322" s="6">
        <f t="shared" si="40"/>
        <v>0</v>
      </c>
      <c r="BQ322" s="6" t="b">
        <f ca="1">IFERROR(__xludf.DUMMYFUNCTION("IF(AND(ISERROR(FILTER('Items by Team'!D$2:D3410,'Items by Team'!C$2:C3410 = D322,'Items by Team'!B$2:B3410 = B322)),NOT(A322=""Practice"")),TRUE,FALSE)"),FALSE)</f>
        <v>0</v>
      </c>
      <c r="BR322" s="6">
        <f t="shared" ca="1" si="41"/>
        <v>0</v>
      </c>
    </row>
    <row r="323" spans="1:70">
      <c r="A323" s="6"/>
      <c r="B323" s="6"/>
      <c r="C323" s="6"/>
      <c r="D323" s="6"/>
      <c r="E323" s="6"/>
      <c r="F323" s="6"/>
      <c r="G323" s="6"/>
      <c r="H323" s="6"/>
      <c r="I323" s="6"/>
      <c r="J323" s="6"/>
      <c r="K323" s="6"/>
      <c r="L323" s="6"/>
      <c r="M323" s="6"/>
      <c r="N323" s="6"/>
      <c r="O323" s="6"/>
      <c r="P323" s="6"/>
      <c r="R323" s="6"/>
      <c r="S323" s="6"/>
      <c r="T323" s="6"/>
      <c r="U323" s="6"/>
      <c r="V323" s="6"/>
      <c r="W323" s="6"/>
      <c r="X323" s="6"/>
      <c r="Y323" s="6"/>
      <c r="Z323" s="6"/>
      <c r="AA323" s="6"/>
      <c r="AB323" s="6"/>
      <c r="AD323" s="6"/>
      <c r="AE323" s="6"/>
      <c r="AF323" s="6"/>
      <c r="AG323" s="6"/>
      <c r="AH323" s="6"/>
      <c r="AI323" s="6"/>
      <c r="AK323" s="6"/>
      <c r="AL323" s="6"/>
      <c r="AM323" s="6"/>
      <c r="AN323" s="6"/>
      <c r="AO323" s="6"/>
      <c r="AP323" s="6"/>
      <c r="AQ323" s="6"/>
      <c r="AR323" s="6"/>
      <c r="AS323" s="15"/>
      <c r="AT323" s="6" t="str">
        <f ca="1">IFERROR(__xludf.DUMMYFUNCTION("SWITCH(IF(A323=""Practice"",AN323,FILTER('Items by Team'!E$2:E3410,'Items by Team'!C$2:C3410=D323,B323='Items by Team'!B$2:B3410)),""None"",""No"",""Parked"",""P"",""ShallowCage"",""Sc"",""DeepCage"",""Dc"",""No"",""No"",""P"",""P"",""Sc"",""Sc"",""Dc"","&amp;"""Dc"")"),"#REF!")</f>
        <v>#REF!</v>
      </c>
      <c r="AU323" s="6" t="str">
        <f ca="1">IFERROR(__xludf.DUMMYFUNCTION("SWITCH(IF(A323 = ""Practice"", H323, FILTER('Items by Team'!D$2:D3410,'Items by Team'!C$2:C3410 = D323,'Items by Team'!B$2:B3410 = B323)), ""Yes"", ""TRUE"", ""No"", ""FALSE"",TRUE, ""TRUE"", FALSE, ""FALSE"")"),"#REF!")</f>
        <v>#REF!</v>
      </c>
      <c r="AV323" s="6">
        <f t="shared" si="21"/>
        <v>0</v>
      </c>
      <c r="AW323" s="6">
        <f t="shared" si="22"/>
        <v>0</v>
      </c>
      <c r="AX323" s="6">
        <f t="shared" si="23"/>
        <v>0</v>
      </c>
      <c r="AY323" s="6">
        <f t="shared" si="24"/>
        <v>0</v>
      </c>
      <c r="AZ323" s="9" t="str">
        <f t="shared" si="25"/>
        <v/>
      </c>
      <c r="BA323" s="6">
        <f t="shared" si="26"/>
        <v>0</v>
      </c>
      <c r="BB323" s="6">
        <f t="shared" si="27"/>
        <v>0</v>
      </c>
      <c r="BC323" s="9" t="str">
        <f t="shared" si="28"/>
        <v/>
      </c>
      <c r="BD323" s="6">
        <f t="shared" si="29"/>
        <v>0</v>
      </c>
      <c r="BE323" s="6">
        <f t="shared" si="30"/>
        <v>0</v>
      </c>
      <c r="BF323" s="9" t="str">
        <f t="shared" si="31"/>
        <v/>
      </c>
      <c r="BG323" s="6">
        <f t="shared" si="32"/>
        <v>0</v>
      </c>
      <c r="BH323" s="6">
        <f t="shared" si="33"/>
        <v>0</v>
      </c>
      <c r="BI323" s="9" t="str">
        <f t="shared" si="34"/>
        <v/>
      </c>
      <c r="BJ323" s="6">
        <f t="shared" si="35"/>
        <v>0</v>
      </c>
      <c r="BK323" s="6">
        <f t="shared" si="36"/>
        <v>0</v>
      </c>
      <c r="BL323" s="6">
        <f t="shared" si="37"/>
        <v>0</v>
      </c>
      <c r="BM323" s="6">
        <f t="shared" si="38"/>
        <v>0</v>
      </c>
      <c r="BN323" s="6">
        <f t="shared" si="39"/>
        <v>0</v>
      </c>
      <c r="BP323" s="6">
        <f t="shared" si="40"/>
        <v>0</v>
      </c>
      <c r="BQ323" s="6" t="b">
        <f ca="1">IFERROR(__xludf.DUMMYFUNCTION("IF(AND(ISERROR(FILTER('Items by Team'!D$2:D3410,'Items by Team'!C$2:C3410 = D323,'Items by Team'!B$2:B3410 = B323)),NOT(A323=""Practice"")),TRUE,FALSE)"),FALSE)</f>
        <v>0</v>
      </c>
      <c r="BR323" s="6">
        <f t="shared" ca="1" si="41"/>
        <v>0</v>
      </c>
    </row>
    <row r="324" spans="1:70">
      <c r="A324" s="6"/>
      <c r="B324" s="6"/>
      <c r="C324" s="6"/>
      <c r="D324" s="6"/>
      <c r="E324" s="6"/>
      <c r="F324" s="6"/>
      <c r="G324" s="6"/>
      <c r="H324" s="6"/>
      <c r="I324" s="6"/>
      <c r="J324" s="6"/>
      <c r="K324" s="6"/>
      <c r="L324" s="6"/>
      <c r="M324" s="6"/>
      <c r="N324" s="6"/>
      <c r="O324" s="6"/>
      <c r="P324" s="6"/>
      <c r="R324" s="6"/>
      <c r="S324" s="6"/>
      <c r="T324" s="6"/>
      <c r="U324" s="6"/>
      <c r="V324" s="6"/>
      <c r="W324" s="6"/>
      <c r="X324" s="6"/>
      <c r="Y324" s="6"/>
      <c r="Z324" s="6"/>
      <c r="AA324" s="6"/>
      <c r="AB324" s="6"/>
      <c r="AD324" s="6"/>
      <c r="AE324" s="6"/>
      <c r="AF324" s="6"/>
      <c r="AG324" s="6"/>
      <c r="AH324" s="6"/>
      <c r="AI324" s="6"/>
      <c r="AK324" s="6"/>
      <c r="AL324" s="6"/>
      <c r="AM324" s="6"/>
      <c r="AN324" s="6"/>
      <c r="AO324" s="6"/>
      <c r="AP324" s="6"/>
      <c r="AQ324" s="6"/>
      <c r="AR324" s="6"/>
      <c r="AS324" s="15"/>
      <c r="AT324" s="6" t="str">
        <f ca="1">IFERROR(__xludf.DUMMYFUNCTION("SWITCH(IF(A324=""Practice"",AN324,FILTER('Items by Team'!E$2:E3410,'Items by Team'!C$2:C3410=D324,B324='Items by Team'!B$2:B3410)),""None"",""No"",""Parked"",""P"",""ShallowCage"",""Sc"",""DeepCage"",""Dc"",""No"",""No"",""P"",""P"",""Sc"",""Sc"",""Dc"","&amp;"""Dc"")"),"#REF!")</f>
        <v>#REF!</v>
      </c>
      <c r="AU324" s="6" t="str">
        <f ca="1">IFERROR(__xludf.DUMMYFUNCTION("SWITCH(IF(A324 = ""Practice"", H324, FILTER('Items by Team'!D$2:D3410,'Items by Team'!C$2:C3410 = D324,'Items by Team'!B$2:B3410 = B324)), ""Yes"", ""TRUE"", ""No"", ""FALSE"",TRUE, ""TRUE"", FALSE, ""FALSE"")"),"#REF!")</f>
        <v>#REF!</v>
      </c>
      <c r="AV324" s="6">
        <f t="shared" si="21"/>
        <v>0</v>
      </c>
      <c r="AW324" s="6">
        <f t="shared" si="22"/>
        <v>0</v>
      </c>
      <c r="AX324" s="6">
        <f t="shared" si="23"/>
        <v>0</v>
      </c>
      <c r="AY324" s="6">
        <f t="shared" si="24"/>
        <v>0</v>
      </c>
      <c r="AZ324" s="9" t="str">
        <f t="shared" si="25"/>
        <v/>
      </c>
      <c r="BA324" s="6">
        <f t="shared" si="26"/>
        <v>0</v>
      </c>
      <c r="BB324" s="6">
        <f t="shared" si="27"/>
        <v>0</v>
      </c>
      <c r="BC324" s="9" t="str">
        <f t="shared" si="28"/>
        <v/>
      </c>
      <c r="BD324" s="6">
        <f t="shared" si="29"/>
        <v>0</v>
      </c>
      <c r="BE324" s="6">
        <f t="shared" si="30"/>
        <v>0</v>
      </c>
      <c r="BF324" s="9" t="str">
        <f t="shared" si="31"/>
        <v/>
      </c>
      <c r="BG324" s="6">
        <f t="shared" si="32"/>
        <v>0</v>
      </c>
      <c r="BH324" s="6">
        <f t="shared" si="33"/>
        <v>0</v>
      </c>
      <c r="BI324" s="9" t="str">
        <f t="shared" si="34"/>
        <v/>
      </c>
      <c r="BJ324" s="6">
        <f t="shared" si="35"/>
        <v>0</v>
      </c>
      <c r="BK324" s="6">
        <f t="shared" si="36"/>
        <v>0</v>
      </c>
      <c r="BL324" s="6">
        <f t="shared" si="37"/>
        <v>0</v>
      </c>
      <c r="BM324" s="6">
        <f t="shared" si="38"/>
        <v>0</v>
      </c>
      <c r="BN324" s="6">
        <f t="shared" si="39"/>
        <v>0</v>
      </c>
      <c r="BP324" s="6">
        <f t="shared" si="40"/>
        <v>0</v>
      </c>
      <c r="BQ324" s="6" t="b">
        <f ca="1">IFERROR(__xludf.DUMMYFUNCTION("IF(AND(ISERROR(FILTER('Items by Team'!D$2:D3410,'Items by Team'!C$2:C3410 = D324,'Items by Team'!B$2:B3410 = B324)),NOT(A324=""Practice"")),TRUE,FALSE)"),FALSE)</f>
        <v>0</v>
      </c>
      <c r="BR324" s="6">
        <f t="shared" ca="1" si="41"/>
        <v>0</v>
      </c>
    </row>
    <row r="325" spans="1:70">
      <c r="A325" s="6"/>
      <c r="B325" s="6"/>
      <c r="C325" s="6"/>
      <c r="D325" s="6"/>
      <c r="E325" s="6"/>
      <c r="F325" s="6"/>
      <c r="G325" s="6"/>
      <c r="H325" s="6"/>
      <c r="I325" s="6"/>
      <c r="J325" s="6"/>
      <c r="K325" s="6"/>
      <c r="L325" s="6"/>
      <c r="M325" s="6"/>
      <c r="N325" s="6"/>
      <c r="O325" s="6"/>
      <c r="P325" s="6"/>
      <c r="R325" s="6"/>
      <c r="S325" s="6"/>
      <c r="T325" s="6"/>
      <c r="U325" s="6"/>
      <c r="V325" s="6"/>
      <c r="W325" s="6"/>
      <c r="X325" s="6"/>
      <c r="Y325" s="6"/>
      <c r="Z325" s="6"/>
      <c r="AA325" s="6"/>
      <c r="AB325" s="6"/>
      <c r="AD325" s="6"/>
      <c r="AE325" s="6"/>
      <c r="AF325" s="6"/>
      <c r="AG325" s="6"/>
      <c r="AH325" s="6"/>
      <c r="AI325" s="6"/>
      <c r="AK325" s="6"/>
      <c r="AL325" s="6"/>
      <c r="AM325" s="6"/>
      <c r="AN325" s="6"/>
      <c r="AO325" s="6"/>
      <c r="AP325" s="6"/>
      <c r="AQ325" s="6"/>
      <c r="AR325" s="6"/>
      <c r="AS325" s="15"/>
      <c r="AT325" s="6" t="str">
        <f ca="1">IFERROR(__xludf.DUMMYFUNCTION("SWITCH(IF(A325=""Practice"",AN325,FILTER('Items by Team'!E$2:E3410,'Items by Team'!C$2:C3410=D325,B325='Items by Team'!B$2:B3410)),""None"",""No"",""Parked"",""P"",""ShallowCage"",""Sc"",""DeepCage"",""Dc"",""No"",""No"",""P"",""P"",""Sc"",""Sc"",""Dc"","&amp;"""Dc"")"),"#REF!")</f>
        <v>#REF!</v>
      </c>
      <c r="AU325" s="6" t="str">
        <f ca="1">IFERROR(__xludf.DUMMYFUNCTION("SWITCH(IF(A325 = ""Practice"", H325, FILTER('Items by Team'!D$2:D3410,'Items by Team'!C$2:C3410 = D325,'Items by Team'!B$2:B3410 = B325)), ""Yes"", ""TRUE"", ""No"", ""FALSE"",TRUE, ""TRUE"", FALSE, ""FALSE"")"),"#REF!")</f>
        <v>#REF!</v>
      </c>
      <c r="AV325" s="6">
        <f t="shared" si="21"/>
        <v>0</v>
      </c>
      <c r="AW325" s="6">
        <f t="shared" si="22"/>
        <v>0</v>
      </c>
      <c r="AX325" s="6">
        <f t="shared" si="23"/>
        <v>0</v>
      </c>
      <c r="AY325" s="6">
        <f t="shared" si="24"/>
        <v>0</v>
      </c>
      <c r="AZ325" s="9" t="str">
        <f t="shared" si="25"/>
        <v/>
      </c>
      <c r="BA325" s="6">
        <f t="shared" si="26"/>
        <v>0</v>
      </c>
      <c r="BB325" s="6">
        <f t="shared" si="27"/>
        <v>0</v>
      </c>
      <c r="BC325" s="9" t="str">
        <f t="shared" si="28"/>
        <v/>
      </c>
      <c r="BD325" s="6">
        <f t="shared" si="29"/>
        <v>0</v>
      </c>
      <c r="BE325" s="6">
        <f t="shared" si="30"/>
        <v>0</v>
      </c>
      <c r="BF325" s="9" t="str">
        <f t="shared" si="31"/>
        <v/>
      </c>
      <c r="BG325" s="6">
        <f t="shared" si="32"/>
        <v>0</v>
      </c>
      <c r="BH325" s="6">
        <f t="shared" si="33"/>
        <v>0</v>
      </c>
      <c r="BI325" s="9" t="str">
        <f t="shared" si="34"/>
        <v/>
      </c>
      <c r="BJ325" s="6">
        <f t="shared" si="35"/>
        <v>0</v>
      </c>
      <c r="BK325" s="6">
        <f t="shared" si="36"/>
        <v>0</v>
      </c>
      <c r="BL325" s="6">
        <f t="shared" si="37"/>
        <v>0</v>
      </c>
      <c r="BM325" s="6">
        <f t="shared" si="38"/>
        <v>0</v>
      </c>
      <c r="BN325" s="6">
        <f t="shared" si="39"/>
        <v>0</v>
      </c>
      <c r="BP325" s="6">
        <f t="shared" si="40"/>
        <v>0</v>
      </c>
      <c r="BQ325" s="6" t="b">
        <f ca="1">IFERROR(__xludf.DUMMYFUNCTION("IF(AND(ISERROR(FILTER('Items by Team'!D$2:D3410,'Items by Team'!C$2:C3410 = D325,'Items by Team'!B$2:B3410 = B325)),NOT(A325=""Practice"")),TRUE,FALSE)"),FALSE)</f>
        <v>0</v>
      </c>
      <c r="BR325" s="6">
        <f t="shared" ca="1" si="41"/>
        <v>0</v>
      </c>
    </row>
    <row r="326" spans="1:70">
      <c r="A326" s="6"/>
      <c r="B326" s="6"/>
      <c r="C326" s="6"/>
      <c r="D326" s="6"/>
      <c r="E326" s="6"/>
      <c r="F326" s="6"/>
      <c r="G326" s="6"/>
      <c r="H326" s="6"/>
      <c r="I326" s="6"/>
      <c r="J326" s="6"/>
      <c r="K326" s="6"/>
      <c r="L326" s="6"/>
      <c r="M326" s="6"/>
      <c r="N326" s="6"/>
      <c r="O326" s="6"/>
      <c r="P326" s="6"/>
      <c r="R326" s="6"/>
      <c r="S326" s="6"/>
      <c r="T326" s="6"/>
      <c r="U326" s="6"/>
      <c r="V326" s="6"/>
      <c r="W326" s="6"/>
      <c r="X326" s="6"/>
      <c r="Y326" s="6"/>
      <c r="Z326" s="6"/>
      <c r="AA326" s="6"/>
      <c r="AB326" s="6"/>
      <c r="AD326" s="6"/>
      <c r="AE326" s="6"/>
      <c r="AF326" s="6"/>
      <c r="AG326" s="6"/>
      <c r="AH326" s="6"/>
      <c r="AI326" s="6"/>
      <c r="AK326" s="6"/>
      <c r="AL326" s="6"/>
      <c r="AM326" s="6"/>
      <c r="AN326" s="6"/>
      <c r="AO326" s="6"/>
      <c r="AP326" s="6"/>
      <c r="AQ326" s="6"/>
      <c r="AR326" s="6"/>
      <c r="AS326" s="15"/>
      <c r="AT326" s="6" t="str">
        <f ca="1">IFERROR(__xludf.DUMMYFUNCTION("SWITCH(IF(A326=""Practice"",AN326,FILTER('Items by Team'!E$2:E3410,'Items by Team'!C$2:C3410=D326,B326='Items by Team'!B$2:B3410)),""None"",""No"",""Parked"",""P"",""ShallowCage"",""Sc"",""DeepCage"",""Dc"",""No"",""No"",""P"",""P"",""Sc"",""Sc"",""Dc"","&amp;"""Dc"")"),"#REF!")</f>
        <v>#REF!</v>
      </c>
      <c r="AU326" s="6" t="str">
        <f ca="1">IFERROR(__xludf.DUMMYFUNCTION("SWITCH(IF(A326 = ""Practice"", H326, FILTER('Items by Team'!D$2:D3410,'Items by Team'!C$2:C3410 = D326,'Items by Team'!B$2:B3410 = B326)), ""Yes"", ""TRUE"", ""No"", ""FALSE"",TRUE, ""TRUE"", FALSE, ""FALSE"")"),"#REF!")</f>
        <v>#REF!</v>
      </c>
      <c r="AV326" s="6">
        <f t="shared" si="21"/>
        <v>0</v>
      </c>
      <c r="AW326" s="6">
        <f t="shared" si="22"/>
        <v>0</v>
      </c>
      <c r="AX326" s="6">
        <f t="shared" si="23"/>
        <v>0</v>
      </c>
      <c r="AY326" s="6">
        <f t="shared" si="24"/>
        <v>0</v>
      </c>
      <c r="AZ326" s="9" t="str">
        <f t="shared" si="25"/>
        <v/>
      </c>
      <c r="BA326" s="6">
        <f t="shared" si="26"/>
        <v>0</v>
      </c>
      <c r="BB326" s="6">
        <f t="shared" si="27"/>
        <v>0</v>
      </c>
      <c r="BC326" s="9" t="str">
        <f t="shared" si="28"/>
        <v/>
      </c>
      <c r="BD326" s="6">
        <f t="shared" si="29"/>
        <v>0</v>
      </c>
      <c r="BE326" s="6">
        <f t="shared" si="30"/>
        <v>0</v>
      </c>
      <c r="BF326" s="9" t="str">
        <f t="shared" si="31"/>
        <v/>
      </c>
      <c r="BG326" s="6">
        <f t="shared" si="32"/>
        <v>0</v>
      </c>
      <c r="BH326" s="6">
        <f t="shared" si="33"/>
        <v>0</v>
      </c>
      <c r="BI326" s="9" t="str">
        <f t="shared" si="34"/>
        <v/>
      </c>
      <c r="BJ326" s="6">
        <f t="shared" si="35"/>
        <v>0</v>
      </c>
      <c r="BK326" s="6">
        <f t="shared" si="36"/>
        <v>0</v>
      </c>
      <c r="BL326" s="6">
        <f t="shared" si="37"/>
        <v>0</v>
      </c>
      <c r="BM326" s="6">
        <f t="shared" si="38"/>
        <v>0</v>
      </c>
      <c r="BN326" s="6">
        <f t="shared" si="39"/>
        <v>0</v>
      </c>
      <c r="BP326" s="6">
        <f t="shared" si="40"/>
        <v>0</v>
      </c>
      <c r="BQ326" s="6" t="b">
        <f ca="1">IFERROR(__xludf.DUMMYFUNCTION("IF(AND(ISERROR(FILTER('Items by Team'!D$2:D3410,'Items by Team'!C$2:C3410 = D326,'Items by Team'!B$2:B3410 = B326)),NOT(A326=""Practice"")),TRUE,FALSE)"),FALSE)</f>
        <v>0</v>
      </c>
      <c r="BR326" s="6">
        <f t="shared" ca="1" si="41"/>
        <v>0</v>
      </c>
    </row>
    <row r="327" spans="1:70">
      <c r="A327" s="6"/>
      <c r="B327" s="6"/>
      <c r="C327" s="6"/>
      <c r="D327" s="6"/>
      <c r="E327" s="6"/>
      <c r="F327" s="6"/>
      <c r="G327" s="6"/>
      <c r="H327" s="6"/>
      <c r="I327" s="6"/>
      <c r="J327" s="6"/>
      <c r="K327" s="6"/>
      <c r="L327" s="6"/>
      <c r="M327" s="6"/>
      <c r="N327" s="6"/>
      <c r="O327" s="6"/>
      <c r="P327" s="6"/>
      <c r="R327" s="6"/>
      <c r="S327" s="6"/>
      <c r="T327" s="6"/>
      <c r="U327" s="6"/>
      <c r="V327" s="6"/>
      <c r="W327" s="6"/>
      <c r="X327" s="6"/>
      <c r="Y327" s="6"/>
      <c r="Z327" s="6"/>
      <c r="AA327" s="6"/>
      <c r="AB327" s="6"/>
      <c r="AD327" s="6"/>
      <c r="AE327" s="6"/>
      <c r="AF327" s="6"/>
      <c r="AG327" s="6"/>
      <c r="AH327" s="6"/>
      <c r="AI327" s="6"/>
      <c r="AK327" s="6"/>
      <c r="AL327" s="6"/>
      <c r="AM327" s="6"/>
      <c r="AN327" s="6"/>
      <c r="AO327" s="6"/>
      <c r="AP327" s="6"/>
      <c r="AQ327" s="6"/>
      <c r="AR327" s="6"/>
      <c r="AS327" s="15"/>
      <c r="AT327" s="6" t="str">
        <f ca="1">IFERROR(__xludf.DUMMYFUNCTION("SWITCH(IF(A327=""Practice"",AN327,FILTER('Items by Team'!E$2:E3410,'Items by Team'!C$2:C3410=D327,B327='Items by Team'!B$2:B3410)),""None"",""No"",""Parked"",""P"",""ShallowCage"",""Sc"",""DeepCage"",""Dc"",""No"",""No"",""P"",""P"",""Sc"",""Sc"",""Dc"","&amp;"""Dc"")"),"#REF!")</f>
        <v>#REF!</v>
      </c>
      <c r="AU327" s="6" t="str">
        <f ca="1">IFERROR(__xludf.DUMMYFUNCTION("SWITCH(IF(A327 = ""Practice"", H327, FILTER('Items by Team'!D$2:D3410,'Items by Team'!C$2:C3410 = D327,'Items by Team'!B$2:B3410 = B327)), ""Yes"", ""TRUE"", ""No"", ""FALSE"",TRUE, ""TRUE"", FALSE, ""FALSE"")"),"#REF!")</f>
        <v>#REF!</v>
      </c>
      <c r="AV327" s="6">
        <f t="shared" si="21"/>
        <v>0</v>
      </c>
      <c r="AW327" s="6">
        <f t="shared" si="22"/>
        <v>0</v>
      </c>
      <c r="AX327" s="6">
        <f t="shared" si="23"/>
        <v>0</v>
      </c>
      <c r="AY327" s="6">
        <f t="shared" si="24"/>
        <v>0</v>
      </c>
      <c r="AZ327" s="9" t="str">
        <f t="shared" si="25"/>
        <v/>
      </c>
      <c r="BA327" s="6">
        <f t="shared" si="26"/>
        <v>0</v>
      </c>
      <c r="BB327" s="6">
        <f t="shared" si="27"/>
        <v>0</v>
      </c>
      <c r="BC327" s="9" t="str">
        <f t="shared" si="28"/>
        <v/>
      </c>
      <c r="BD327" s="6">
        <f t="shared" si="29"/>
        <v>0</v>
      </c>
      <c r="BE327" s="6">
        <f t="shared" si="30"/>
        <v>0</v>
      </c>
      <c r="BF327" s="9" t="str">
        <f t="shared" si="31"/>
        <v/>
      </c>
      <c r="BG327" s="6">
        <f t="shared" si="32"/>
        <v>0</v>
      </c>
      <c r="BH327" s="6">
        <f t="shared" si="33"/>
        <v>0</v>
      </c>
      <c r="BI327" s="9" t="str">
        <f t="shared" si="34"/>
        <v/>
      </c>
      <c r="BJ327" s="6">
        <f t="shared" si="35"/>
        <v>0</v>
      </c>
      <c r="BK327" s="6">
        <f t="shared" si="36"/>
        <v>0</v>
      </c>
      <c r="BL327" s="6">
        <f t="shared" si="37"/>
        <v>0</v>
      </c>
      <c r="BM327" s="6">
        <f t="shared" si="38"/>
        <v>0</v>
      </c>
      <c r="BN327" s="6">
        <f t="shared" si="39"/>
        <v>0</v>
      </c>
      <c r="BP327" s="6">
        <f t="shared" si="40"/>
        <v>0</v>
      </c>
      <c r="BQ327" s="6" t="b">
        <f ca="1">IFERROR(__xludf.DUMMYFUNCTION("IF(AND(ISERROR(FILTER('Items by Team'!D$2:D3410,'Items by Team'!C$2:C3410 = D327,'Items by Team'!B$2:B3410 = B327)),NOT(A327=""Practice"")),TRUE,FALSE)"),FALSE)</f>
        <v>0</v>
      </c>
      <c r="BR327" s="6">
        <f t="shared" ca="1" si="41"/>
        <v>0</v>
      </c>
    </row>
    <row r="328" spans="1:70">
      <c r="A328" s="6"/>
      <c r="B328" s="6"/>
      <c r="C328" s="6"/>
      <c r="D328" s="6"/>
      <c r="E328" s="6"/>
      <c r="F328" s="6"/>
      <c r="G328" s="6"/>
      <c r="H328" s="6"/>
      <c r="I328" s="6"/>
      <c r="J328" s="6"/>
      <c r="K328" s="6"/>
      <c r="L328" s="6"/>
      <c r="M328" s="6"/>
      <c r="N328" s="6"/>
      <c r="O328" s="6"/>
      <c r="P328" s="6"/>
      <c r="R328" s="6"/>
      <c r="S328" s="6"/>
      <c r="T328" s="6"/>
      <c r="U328" s="6"/>
      <c r="V328" s="6"/>
      <c r="W328" s="6"/>
      <c r="X328" s="6"/>
      <c r="Y328" s="6"/>
      <c r="Z328" s="6"/>
      <c r="AA328" s="6"/>
      <c r="AB328" s="6"/>
      <c r="AD328" s="6"/>
      <c r="AE328" s="6"/>
      <c r="AF328" s="6"/>
      <c r="AG328" s="6"/>
      <c r="AH328" s="6"/>
      <c r="AI328" s="6"/>
      <c r="AK328" s="6"/>
      <c r="AL328" s="6"/>
      <c r="AM328" s="6"/>
      <c r="AN328" s="6"/>
      <c r="AO328" s="6"/>
      <c r="AP328" s="6"/>
      <c r="AQ328" s="6"/>
      <c r="AR328" s="6"/>
      <c r="AS328" s="15"/>
      <c r="AT328" s="6" t="str">
        <f ca="1">IFERROR(__xludf.DUMMYFUNCTION("SWITCH(IF(A328=""Practice"",AN328,FILTER('Items by Team'!E$2:E3410,'Items by Team'!C$2:C3410=D328,B328='Items by Team'!B$2:B3410)),""None"",""No"",""Parked"",""P"",""ShallowCage"",""Sc"",""DeepCage"",""Dc"",""No"",""No"",""P"",""P"",""Sc"",""Sc"",""Dc"","&amp;"""Dc"")"),"#REF!")</f>
        <v>#REF!</v>
      </c>
      <c r="AU328" s="6" t="str">
        <f ca="1">IFERROR(__xludf.DUMMYFUNCTION("SWITCH(IF(A328 = ""Practice"", H328, FILTER('Items by Team'!D$2:D3410,'Items by Team'!C$2:C3410 = D328,'Items by Team'!B$2:B3410 = B328)), ""Yes"", ""TRUE"", ""No"", ""FALSE"",TRUE, ""TRUE"", FALSE, ""FALSE"")"),"#REF!")</f>
        <v>#REF!</v>
      </c>
      <c r="AV328" s="6">
        <f t="shared" si="21"/>
        <v>0</v>
      </c>
      <c r="AW328" s="6">
        <f t="shared" si="22"/>
        <v>0</v>
      </c>
      <c r="AX328" s="6">
        <f t="shared" si="23"/>
        <v>0</v>
      </c>
      <c r="AY328" s="6">
        <f t="shared" si="24"/>
        <v>0</v>
      </c>
      <c r="AZ328" s="9" t="str">
        <f t="shared" si="25"/>
        <v/>
      </c>
      <c r="BA328" s="6">
        <f t="shared" si="26"/>
        <v>0</v>
      </c>
      <c r="BB328" s="6">
        <f t="shared" si="27"/>
        <v>0</v>
      </c>
      <c r="BC328" s="9" t="str">
        <f t="shared" si="28"/>
        <v/>
      </c>
      <c r="BD328" s="6">
        <f t="shared" si="29"/>
        <v>0</v>
      </c>
      <c r="BE328" s="6">
        <f t="shared" si="30"/>
        <v>0</v>
      </c>
      <c r="BF328" s="9" t="str">
        <f t="shared" si="31"/>
        <v/>
      </c>
      <c r="BG328" s="6">
        <f t="shared" si="32"/>
        <v>0</v>
      </c>
      <c r="BH328" s="6">
        <f t="shared" si="33"/>
        <v>0</v>
      </c>
      <c r="BI328" s="9" t="str">
        <f t="shared" si="34"/>
        <v/>
      </c>
      <c r="BJ328" s="6">
        <f t="shared" si="35"/>
        <v>0</v>
      </c>
      <c r="BK328" s="6">
        <f t="shared" si="36"/>
        <v>0</v>
      </c>
      <c r="BL328" s="6">
        <f t="shared" si="37"/>
        <v>0</v>
      </c>
      <c r="BM328" s="6">
        <f t="shared" si="38"/>
        <v>0</v>
      </c>
      <c r="BN328" s="6">
        <f t="shared" si="39"/>
        <v>0</v>
      </c>
      <c r="BP328" s="6">
        <f t="shared" si="40"/>
        <v>0</v>
      </c>
      <c r="BQ328" s="6" t="b">
        <f ca="1">IFERROR(__xludf.DUMMYFUNCTION("IF(AND(ISERROR(FILTER('Items by Team'!D$2:D3410,'Items by Team'!C$2:C3410 = D328,'Items by Team'!B$2:B3410 = B328)),NOT(A328=""Practice"")),TRUE,FALSE)"),FALSE)</f>
        <v>0</v>
      </c>
      <c r="BR328" s="6">
        <f t="shared" ca="1" si="41"/>
        <v>0</v>
      </c>
    </row>
    <row r="329" spans="1:70">
      <c r="A329" s="6"/>
      <c r="B329" s="6"/>
      <c r="C329" s="6"/>
      <c r="D329" s="6"/>
      <c r="E329" s="6"/>
      <c r="F329" s="6"/>
      <c r="G329" s="6"/>
      <c r="H329" s="6"/>
      <c r="I329" s="6"/>
      <c r="J329" s="6"/>
      <c r="K329" s="6"/>
      <c r="L329" s="6"/>
      <c r="M329" s="6"/>
      <c r="N329" s="6"/>
      <c r="O329" s="6"/>
      <c r="P329" s="6"/>
      <c r="R329" s="6"/>
      <c r="S329" s="6"/>
      <c r="T329" s="6"/>
      <c r="U329" s="6"/>
      <c r="V329" s="6"/>
      <c r="W329" s="6"/>
      <c r="X329" s="6"/>
      <c r="Y329" s="6"/>
      <c r="Z329" s="6"/>
      <c r="AA329" s="6"/>
      <c r="AB329" s="6"/>
      <c r="AD329" s="6"/>
      <c r="AE329" s="6"/>
      <c r="AF329" s="6"/>
      <c r="AG329" s="6"/>
      <c r="AH329" s="6"/>
      <c r="AI329" s="6"/>
      <c r="AK329" s="6"/>
      <c r="AL329" s="6"/>
      <c r="AM329" s="6"/>
      <c r="AN329" s="6"/>
      <c r="AO329" s="6"/>
      <c r="AP329" s="6"/>
      <c r="AQ329" s="6"/>
      <c r="AR329" s="6"/>
      <c r="AS329" s="15"/>
      <c r="AT329" s="6" t="str">
        <f ca="1">IFERROR(__xludf.DUMMYFUNCTION("SWITCH(IF(A329=""Practice"",AN329,FILTER('Items by Team'!E$2:E3410,'Items by Team'!C$2:C3410=D329,B329='Items by Team'!B$2:B3410)),""None"",""No"",""Parked"",""P"",""ShallowCage"",""Sc"",""DeepCage"",""Dc"",""No"",""No"",""P"",""P"",""Sc"",""Sc"",""Dc"","&amp;"""Dc"")"),"#REF!")</f>
        <v>#REF!</v>
      </c>
      <c r="AU329" s="6" t="str">
        <f ca="1">IFERROR(__xludf.DUMMYFUNCTION("SWITCH(IF(A329 = ""Practice"", H329, FILTER('Items by Team'!D$2:D3410,'Items by Team'!C$2:C3410 = D329,'Items by Team'!B$2:B3410 = B329)), ""Yes"", ""TRUE"", ""No"", ""FALSE"",TRUE, ""TRUE"", FALSE, ""FALSE"")"),"#REF!")</f>
        <v>#REF!</v>
      </c>
      <c r="AV329" s="6">
        <f t="shared" si="21"/>
        <v>0</v>
      </c>
      <c r="AW329" s="6">
        <f t="shared" si="22"/>
        <v>0</v>
      </c>
      <c r="AX329" s="6">
        <f t="shared" si="23"/>
        <v>0</v>
      </c>
      <c r="AY329" s="6">
        <f t="shared" si="24"/>
        <v>0</v>
      </c>
      <c r="AZ329" s="9" t="str">
        <f t="shared" si="25"/>
        <v/>
      </c>
      <c r="BA329" s="6">
        <f t="shared" si="26"/>
        <v>0</v>
      </c>
      <c r="BB329" s="6">
        <f t="shared" si="27"/>
        <v>0</v>
      </c>
      <c r="BC329" s="9" t="str">
        <f t="shared" si="28"/>
        <v/>
      </c>
      <c r="BD329" s="6">
        <f t="shared" si="29"/>
        <v>0</v>
      </c>
      <c r="BE329" s="6">
        <f t="shared" si="30"/>
        <v>0</v>
      </c>
      <c r="BF329" s="9" t="str">
        <f t="shared" si="31"/>
        <v/>
      </c>
      <c r="BG329" s="6">
        <f t="shared" si="32"/>
        <v>0</v>
      </c>
      <c r="BH329" s="6">
        <f t="shared" si="33"/>
        <v>0</v>
      </c>
      <c r="BI329" s="9" t="str">
        <f t="shared" si="34"/>
        <v/>
      </c>
      <c r="BJ329" s="6">
        <f t="shared" si="35"/>
        <v>0</v>
      </c>
      <c r="BK329" s="6">
        <f t="shared" si="36"/>
        <v>0</v>
      </c>
      <c r="BL329" s="6">
        <f t="shared" si="37"/>
        <v>0</v>
      </c>
      <c r="BM329" s="6">
        <f t="shared" si="38"/>
        <v>0</v>
      </c>
      <c r="BN329" s="6">
        <f t="shared" si="39"/>
        <v>0</v>
      </c>
      <c r="BP329" s="6">
        <f t="shared" si="40"/>
        <v>0</v>
      </c>
      <c r="BQ329" s="6" t="b">
        <f ca="1">IFERROR(__xludf.DUMMYFUNCTION("IF(AND(ISERROR(FILTER('Items by Team'!D$2:D3410,'Items by Team'!C$2:C3410 = D329,'Items by Team'!B$2:B3410 = B329)),NOT(A329=""Practice"")),TRUE,FALSE)"),FALSE)</f>
        <v>0</v>
      </c>
      <c r="BR329" s="6">
        <f t="shared" ca="1" si="41"/>
        <v>0</v>
      </c>
    </row>
    <row r="330" spans="1:70">
      <c r="A330" s="6"/>
      <c r="B330" s="6"/>
      <c r="C330" s="6"/>
      <c r="D330" s="6"/>
      <c r="E330" s="6"/>
      <c r="F330" s="6"/>
      <c r="G330" s="6"/>
      <c r="H330" s="6"/>
      <c r="I330" s="6"/>
      <c r="J330" s="6"/>
      <c r="K330" s="6"/>
      <c r="L330" s="6"/>
      <c r="M330" s="6"/>
      <c r="N330" s="6"/>
      <c r="O330" s="6"/>
      <c r="P330" s="6"/>
      <c r="R330" s="6"/>
      <c r="S330" s="6"/>
      <c r="T330" s="6"/>
      <c r="U330" s="6"/>
      <c r="V330" s="6"/>
      <c r="W330" s="6"/>
      <c r="X330" s="6"/>
      <c r="Y330" s="6"/>
      <c r="Z330" s="6"/>
      <c r="AA330" s="6"/>
      <c r="AB330" s="6"/>
      <c r="AD330" s="6"/>
      <c r="AE330" s="6"/>
      <c r="AF330" s="6"/>
      <c r="AG330" s="6"/>
      <c r="AH330" s="6"/>
      <c r="AI330" s="6"/>
      <c r="AK330" s="6"/>
      <c r="AL330" s="6"/>
      <c r="AM330" s="6"/>
      <c r="AN330" s="6"/>
      <c r="AO330" s="6"/>
      <c r="AP330" s="6"/>
      <c r="AQ330" s="6"/>
      <c r="AR330" s="6"/>
      <c r="AS330" s="15"/>
      <c r="AT330" s="6" t="str">
        <f ca="1">IFERROR(__xludf.DUMMYFUNCTION("SWITCH(IF(A330=""Practice"",AN330,FILTER('Items by Team'!E$2:E3410,'Items by Team'!C$2:C3410=D330,B330='Items by Team'!B$2:B3410)),""None"",""No"",""Parked"",""P"",""ShallowCage"",""Sc"",""DeepCage"",""Dc"",""No"",""No"",""P"",""P"",""Sc"",""Sc"",""Dc"","&amp;"""Dc"")"),"#REF!")</f>
        <v>#REF!</v>
      </c>
      <c r="AU330" s="6" t="str">
        <f ca="1">IFERROR(__xludf.DUMMYFUNCTION("SWITCH(IF(A330 = ""Practice"", H330, FILTER('Items by Team'!D$2:D3410,'Items by Team'!C$2:C3410 = D330,'Items by Team'!B$2:B3410 = B330)), ""Yes"", ""TRUE"", ""No"", ""FALSE"",TRUE, ""TRUE"", FALSE, ""FALSE"")"),"#REF!")</f>
        <v>#REF!</v>
      </c>
      <c r="AV330" s="6">
        <f t="shared" si="21"/>
        <v>0</v>
      </c>
      <c r="AW330" s="6">
        <f t="shared" si="22"/>
        <v>0</v>
      </c>
      <c r="AX330" s="6">
        <f t="shared" si="23"/>
        <v>0</v>
      </c>
      <c r="AY330" s="6">
        <f t="shared" si="24"/>
        <v>0</v>
      </c>
      <c r="AZ330" s="9" t="str">
        <f t="shared" si="25"/>
        <v/>
      </c>
      <c r="BA330" s="6">
        <f t="shared" si="26"/>
        <v>0</v>
      </c>
      <c r="BB330" s="6">
        <f t="shared" si="27"/>
        <v>0</v>
      </c>
      <c r="BC330" s="9" t="str">
        <f t="shared" si="28"/>
        <v/>
      </c>
      <c r="BD330" s="6">
        <f t="shared" si="29"/>
        <v>0</v>
      </c>
      <c r="BE330" s="6">
        <f t="shared" si="30"/>
        <v>0</v>
      </c>
      <c r="BF330" s="9" t="str">
        <f t="shared" si="31"/>
        <v/>
      </c>
      <c r="BG330" s="6">
        <f t="shared" si="32"/>
        <v>0</v>
      </c>
      <c r="BH330" s="6">
        <f t="shared" si="33"/>
        <v>0</v>
      </c>
      <c r="BI330" s="9" t="str">
        <f t="shared" si="34"/>
        <v/>
      </c>
      <c r="BJ330" s="6">
        <f t="shared" si="35"/>
        <v>0</v>
      </c>
      <c r="BK330" s="6">
        <f t="shared" si="36"/>
        <v>0</v>
      </c>
      <c r="BL330" s="6">
        <f t="shared" si="37"/>
        <v>0</v>
      </c>
      <c r="BM330" s="6">
        <f t="shared" si="38"/>
        <v>0</v>
      </c>
      <c r="BN330" s="6">
        <f t="shared" si="39"/>
        <v>0</v>
      </c>
      <c r="BP330" s="6">
        <f t="shared" si="40"/>
        <v>0</v>
      </c>
      <c r="BQ330" s="6" t="b">
        <f ca="1">IFERROR(__xludf.DUMMYFUNCTION("IF(AND(ISERROR(FILTER('Items by Team'!D$2:D3410,'Items by Team'!C$2:C3410 = D330,'Items by Team'!B$2:B3410 = B330)),NOT(A330=""Practice"")),TRUE,FALSE)"),FALSE)</f>
        <v>0</v>
      </c>
      <c r="BR330" s="6">
        <f t="shared" ca="1" si="41"/>
        <v>0</v>
      </c>
    </row>
    <row r="331" spans="1:70">
      <c r="A331" s="6"/>
      <c r="B331" s="6"/>
      <c r="C331" s="6"/>
      <c r="D331" s="6"/>
      <c r="E331" s="6"/>
      <c r="F331" s="6"/>
      <c r="G331" s="6"/>
      <c r="H331" s="6"/>
      <c r="I331" s="6"/>
      <c r="J331" s="6"/>
      <c r="K331" s="6"/>
      <c r="L331" s="6"/>
      <c r="M331" s="6"/>
      <c r="N331" s="6"/>
      <c r="O331" s="6"/>
      <c r="P331" s="6"/>
      <c r="R331" s="6"/>
      <c r="S331" s="6"/>
      <c r="T331" s="6"/>
      <c r="U331" s="6"/>
      <c r="V331" s="6"/>
      <c r="W331" s="6"/>
      <c r="X331" s="6"/>
      <c r="Y331" s="6"/>
      <c r="Z331" s="6"/>
      <c r="AA331" s="6"/>
      <c r="AB331" s="6"/>
      <c r="AD331" s="6"/>
      <c r="AE331" s="6"/>
      <c r="AF331" s="6"/>
      <c r="AG331" s="6"/>
      <c r="AH331" s="6"/>
      <c r="AI331" s="6"/>
      <c r="AK331" s="6"/>
      <c r="AL331" s="6"/>
      <c r="AM331" s="6"/>
      <c r="AN331" s="6"/>
      <c r="AO331" s="6"/>
      <c r="AP331" s="6"/>
      <c r="AQ331" s="6"/>
      <c r="AR331" s="6"/>
      <c r="AS331" s="15"/>
      <c r="AT331" s="6" t="str">
        <f ca="1">IFERROR(__xludf.DUMMYFUNCTION("SWITCH(IF(A331=""Practice"",AN331,FILTER('Items by Team'!E$2:E3410,'Items by Team'!C$2:C3410=D331,B331='Items by Team'!B$2:B3410)),""None"",""No"",""Parked"",""P"",""ShallowCage"",""Sc"",""DeepCage"",""Dc"",""No"",""No"",""P"",""P"",""Sc"",""Sc"",""Dc"","&amp;"""Dc"")"),"#REF!")</f>
        <v>#REF!</v>
      </c>
      <c r="AU331" s="6" t="str">
        <f ca="1">IFERROR(__xludf.DUMMYFUNCTION("SWITCH(IF(A331 = ""Practice"", H331, FILTER('Items by Team'!D$2:D3410,'Items by Team'!C$2:C3410 = D331,'Items by Team'!B$2:B3410 = B331)), ""Yes"", ""TRUE"", ""No"", ""FALSE"",TRUE, ""TRUE"", FALSE, ""FALSE"")"),"#REF!")</f>
        <v>#REF!</v>
      </c>
      <c r="AV331" s="6">
        <f t="shared" si="21"/>
        <v>0</v>
      </c>
      <c r="AW331" s="6">
        <f t="shared" si="22"/>
        <v>0</v>
      </c>
      <c r="AX331" s="6">
        <f t="shared" si="23"/>
        <v>0</v>
      </c>
      <c r="AY331" s="6">
        <f t="shared" si="24"/>
        <v>0</v>
      </c>
      <c r="AZ331" s="9" t="str">
        <f t="shared" si="25"/>
        <v/>
      </c>
      <c r="BA331" s="6">
        <f t="shared" si="26"/>
        <v>0</v>
      </c>
      <c r="BB331" s="6">
        <f t="shared" si="27"/>
        <v>0</v>
      </c>
      <c r="BC331" s="9" t="str">
        <f t="shared" si="28"/>
        <v/>
      </c>
      <c r="BD331" s="6">
        <f t="shared" si="29"/>
        <v>0</v>
      </c>
      <c r="BE331" s="6">
        <f t="shared" si="30"/>
        <v>0</v>
      </c>
      <c r="BF331" s="9" t="str">
        <f t="shared" si="31"/>
        <v/>
      </c>
      <c r="BG331" s="6">
        <f t="shared" si="32"/>
        <v>0</v>
      </c>
      <c r="BH331" s="6">
        <f t="shared" si="33"/>
        <v>0</v>
      </c>
      <c r="BI331" s="9" t="str">
        <f t="shared" si="34"/>
        <v/>
      </c>
      <c r="BJ331" s="6">
        <f t="shared" si="35"/>
        <v>0</v>
      </c>
      <c r="BK331" s="6">
        <f t="shared" si="36"/>
        <v>0</v>
      </c>
      <c r="BL331" s="6">
        <f t="shared" si="37"/>
        <v>0</v>
      </c>
      <c r="BM331" s="6">
        <f t="shared" si="38"/>
        <v>0</v>
      </c>
      <c r="BN331" s="6">
        <f t="shared" si="39"/>
        <v>0</v>
      </c>
      <c r="BP331" s="6">
        <f t="shared" si="40"/>
        <v>0</v>
      </c>
      <c r="BQ331" s="6" t="b">
        <f ca="1">IFERROR(__xludf.DUMMYFUNCTION("IF(AND(ISERROR(FILTER('Items by Team'!D$2:D3410,'Items by Team'!C$2:C3410 = D331,'Items by Team'!B$2:B3410 = B331)),NOT(A331=""Practice"")),TRUE,FALSE)"),FALSE)</f>
        <v>0</v>
      </c>
      <c r="BR331" s="6">
        <f t="shared" ca="1" si="41"/>
        <v>0</v>
      </c>
    </row>
    <row r="332" spans="1:70">
      <c r="A332" s="6"/>
      <c r="B332" s="6"/>
      <c r="C332" s="6"/>
      <c r="D332" s="6"/>
      <c r="E332" s="6"/>
      <c r="F332" s="6"/>
      <c r="G332" s="6"/>
      <c r="H332" s="6"/>
      <c r="I332" s="6"/>
      <c r="J332" s="6"/>
      <c r="K332" s="6"/>
      <c r="L332" s="6"/>
      <c r="M332" s="6"/>
      <c r="N332" s="6"/>
      <c r="O332" s="6"/>
      <c r="P332" s="6"/>
      <c r="R332" s="6"/>
      <c r="S332" s="6"/>
      <c r="T332" s="6"/>
      <c r="U332" s="6"/>
      <c r="V332" s="6"/>
      <c r="W332" s="6"/>
      <c r="X332" s="6"/>
      <c r="Y332" s="6"/>
      <c r="Z332" s="6"/>
      <c r="AA332" s="6"/>
      <c r="AB332" s="6"/>
      <c r="AD332" s="6"/>
      <c r="AE332" s="6"/>
      <c r="AF332" s="6"/>
      <c r="AG332" s="6"/>
      <c r="AH332" s="6"/>
      <c r="AI332" s="6"/>
      <c r="AK332" s="6"/>
      <c r="AL332" s="6"/>
      <c r="AM332" s="6"/>
      <c r="AN332" s="6"/>
      <c r="AO332" s="6"/>
      <c r="AP332" s="6"/>
      <c r="AQ332" s="6"/>
      <c r="AR332" s="6"/>
      <c r="AS332" s="15"/>
      <c r="AT332" s="6" t="str">
        <f ca="1">IFERROR(__xludf.DUMMYFUNCTION("SWITCH(IF(A332=""Practice"",AN332,FILTER('Items by Team'!E$2:E3410,'Items by Team'!C$2:C3410=D332,B332='Items by Team'!B$2:B3410)),""None"",""No"",""Parked"",""P"",""ShallowCage"",""Sc"",""DeepCage"",""Dc"",""No"",""No"",""P"",""P"",""Sc"",""Sc"",""Dc"","&amp;"""Dc"")"),"#REF!")</f>
        <v>#REF!</v>
      </c>
      <c r="AU332" s="6" t="str">
        <f ca="1">IFERROR(__xludf.DUMMYFUNCTION("SWITCH(IF(A332 = ""Practice"", H332, FILTER('Items by Team'!D$2:D3410,'Items by Team'!C$2:C3410 = D332,'Items by Team'!B$2:B3410 = B332)), ""Yes"", ""TRUE"", ""No"", ""FALSE"",TRUE, ""TRUE"", FALSE, ""FALSE"")"),"#REF!")</f>
        <v>#REF!</v>
      </c>
      <c r="AV332" s="6">
        <f t="shared" si="21"/>
        <v>0</v>
      </c>
      <c r="AW332" s="6">
        <f t="shared" si="22"/>
        <v>0</v>
      </c>
      <c r="AX332" s="6">
        <f t="shared" si="23"/>
        <v>0</v>
      </c>
      <c r="AY332" s="6">
        <f t="shared" si="24"/>
        <v>0</v>
      </c>
      <c r="AZ332" s="9" t="str">
        <f t="shared" si="25"/>
        <v/>
      </c>
      <c r="BA332" s="6">
        <f t="shared" si="26"/>
        <v>0</v>
      </c>
      <c r="BB332" s="6">
        <f t="shared" si="27"/>
        <v>0</v>
      </c>
      <c r="BC332" s="9" t="str">
        <f t="shared" si="28"/>
        <v/>
      </c>
      <c r="BD332" s="6">
        <f t="shared" si="29"/>
        <v>0</v>
      </c>
      <c r="BE332" s="6">
        <f t="shared" si="30"/>
        <v>0</v>
      </c>
      <c r="BF332" s="9" t="str">
        <f t="shared" si="31"/>
        <v/>
      </c>
      <c r="BG332" s="6">
        <f t="shared" si="32"/>
        <v>0</v>
      </c>
      <c r="BH332" s="6">
        <f t="shared" si="33"/>
        <v>0</v>
      </c>
      <c r="BI332" s="9" t="str">
        <f t="shared" si="34"/>
        <v/>
      </c>
      <c r="BJ332" s="6">
        <f t="shared" si="35"/>
        <v>0</v>
      </c>
      <c r="BK332" s="6">
        <f t="shared" si="36"/>
        <v>0</v>
      </c>
      <c r="BL332" s="6">
        <f t="shared" si="37"/>
        <v>0</v>
      </c>
      <c r="BM332" s="6">
        <f t="shared" si="38"/>
        <v>0</v>
      </c>
      <c r="BN332" s="6">
        <f t="shared" si="39"/>
        <v>0</v>
      </c>
      <c r="BP332" s="6">
        <f t="shared" si="40"/>
        <v>0</v>
      </c>
      <c r="BQ332" s="6" t="b">
        <f ca="1">IFERROR(__xludf.DUMMYFUNCTION("IF(AND(ISERROR(FILTER('Items by Team'!D$2:D3410,'Items by Team'!C$2:C3410 = D332,'Items by Team'!B$2:B3410 = B332)),NOT(A332=""Practice"")),TRUE,FALSE)"),FALSE)</f>
        <v>0</v>
      </c>
      <c r="BR332" s="6">
        <f t="shared" ca="1" si="41"/>
        <v>0</v>
      </c>
    </row>
    <row r="333" spans="1:70">
      <c r="A333" s="6"/>
      <c r="B333" s="6"/>
      <c r="C333" s="6"/>
      <c r="D333" s="6"/>
      <c r="E333" s="6"/>
      <c r="F333" s="6"/>
      <c r="G333" s="6"/>
      <c r="H333" s="6"/>
      <c r="I333" s="6"/>
      <c r="J333" s="6"/>
      <c r="K333" s="6"/>
      <c r="L333" s="6"/>
      <c r="M333" s="6"/>
      <c r="N333" s="6"/>
      <c r="O333" s="6"/>
      <c r="P333" s="6"/>
      <c r="R333" s="6"/>
      <c r="S333" s="6"/>
      <c r="T333" s="6"/>
      <c r="U333" s="6"/>
      <c r="V333" s="6"/>
      <c r="W333" s="6"/>
      <c r="X333" s="6"/>
      <c r="Y333" s="6"/>
      <c r="Z333" s="6"/>
      <c r="AA333" s="6"/>
      <c r="AB333" s="6"/>
      <c r="AD333" s="6"/>
      <c r="AE333" s="6"/>
      <c r="AF333" s="6"/>
      <c r="AG333" s="6"/>
      <c r="AH333" s="6"/>
      <c r="AI333" s="6"/>
      <c r="AK333" s="6"/>
      <c r="AL333" s="6"/>
      <c r="AM333" s="6"/>
      <c r="AN333" s="6"/>
      <c r="AO333" s="6"/>
      <c r="AP333" s="6"/>
      <c r="AQ333" s="6"/>
      <c r="AR333" s="6"/>
      <c r="AS333" s="15"/>
      <c r="AT333" s="6" t="str">
        <f ca="1">IFERROR(__xludf.DUMMYFUNCTION("SWITCH(IF(A333=""Practice"",AN333,FILTER('Items by Team'!E$2:E3410,'Items by Team'!C$2:C3410=D333,B333='Items by Team'!B$2:B3410)),""None"",""No"",""Parked"",""P"",""ShallowCage"",""Sc"",""DeepCage"",""Dc"",""No"",""No"",""P"",""P"",""Sc"",""Sc"",""Dc"","&amp;"""Dc"")"),"#REF!")</f>
        <v>#REF!</v>
      </c>
      <c r="AU333" s="6" t="str">
        <f ca="1">IFERROR(__xludf.DUMMYFUNCTION("SWITCH(IF(A333 = ""Practice"", H333, FILTER('Items by Team'!D$2:D3410,'Items by Team'!C$2:C3410 = D333,'Items by Team'!B$2:B3410 = B333)), ""Yes"", ""TRUE"", ""No"", ""FALSE"",TRUE, ""TRUE"", FALSE, ""FALSE"")"),"#REF!")</f>
        <v>#REF!</v>
      </c>
      <c r="AV333" s="6">
        <f t="shared" si="21"/>
        <v>0</v>
      </c>
      <c r="AW333" s="6">
        <f t="shared" si="22"/>
        <v>0</v>
      </c>
      <c r="AX333" s="6">
        <f t="shared" si="23"/>
        <v>0</v>
      </c>
      <c r="AY333" s="6">
        <f t="shared" si="24"/>
        <v>0</v>
      </c>
      <c r="AZ333" s="9" t="str">
        <f t="shared" si="25"/>
        <v/>
      </c>
      <c r="BA333" s="6">
        <f t="shared" si="26"/>
        <v>0</v>
      </c>
      <c r="BB333" s="6">
        <f t="shared" si="27"/>
        <v>0</v>
      </c>
      <c r="BC333" s="9" t="str">
        <f t="shared" si="28"/>
        <v/>
      </c>
      <c r="BD333" s="6">
        <f t="shared" si="29"/>
        <v>0</v>
      </c>
      <c r="BE333" s="6">
        <f t="shared" si="30"/>
        <v>0</v>
      </c>
      <c r="BF333" s="9" t="str">
        <f t="shared" si="31"/>
        <v/>
      </c>
      <c r="BG333" s="6">
        <f t="shared" si="32"/>
        <v>0</v>
      </c>
      <c r="BH333" s="6">
        <f t="shared" si="33"/>
        <v>0</v>
      </c>
      <c r="BI333" s="9" t="str">
        <f t="shared" si="34"/>
        <v/>
      </c>
      <c r="BJ333" s="6">
        <f t="shared" si="35"/>
        <v>0</v>
      </c>
      <c r="BK333" s="6">
        <f t="shared" si="36"/>
        <v>0</v>
      </c>
      <c r="BL333" s="6">
        <f t="shared" si="37"/>
        <v>0</v>
      </c>
      <c r="BM333" s="6">
        <f t="shared" si="38"/>
        <v>0</v>
      </c>
      <c r="BN333" s="6">
        <f t="shared" si="39"/>
        <v>0</v>
      </c>
      <c r="BP333" s="6">
        <f t="shared" si="40"/>
        <v>0</v>
      </c>
      <c r="BQ333" s="6" t="b">
        <f ca="1">IFERROR(__xludf.DUMMYFUNCTION("IF(AND(ISERROR(FILTER('Items by Team'!D$2:D3410,'Items by Team'!C$2:C3410 = D333,'Items by Team'!B$2:B3410 = B333)),NOT(A333=""Practice"")),TRUE,FALSE)"),FALSE)</f>
        <v>0</v>
      </c>
      <c r="BR333" s="6">
        <f t="shared" ca="1" si="41"/>
        <v>0</v>
      </c>
    </row>
    <row r="334" spans="1:70">
      <c r="A334" s="6"/>
      <c r="B334" s="6"/>
      <c r="C334" s="6"/>
      <c r="D334" s="6"/>
      <c r="E334" s="6"/>
      <c r="F334" s="6"/>
      <c r="G334" s="6"/>
      <c r="H334" s="6"/>
      <c r="I334" s="6"/>
      <c r="J334" s="6"/>
      <c r="K334" s="6"/>
      <c r="L334" s="6"/>
      <c r="M334" s="6"/>
      <c r="N334" s="6"/>
      <c r="O334" s="6"/>
      <c r="P334" s="6"/>
      <c r="R334" s="6"/>
      <c r="S334" s="6"/>
      <c r="T334" s="6"/>
      <c r="U334" s="6"/>
      <c r="V334" s="6"/>
      <c r="W334" s="6"/>
      <c r="X334" s="6"/>
      <c r="Y334" s="6"/>
      <c r="Z334" s="6"/>
      <c r="AA334" s="6"/>
      <c r="AB334" s="6"/>
      <c r="AD334" s="6"/>
      <c r="AE334" s="6"/>
      <c r="AF334" s="6"/>
      <c r="AG334" s="6"/>
      <c r="AH334" s="6"/>
      <c r="AI334" s="6"/>
      <c r="AK334" s="6"/>
      <c r="AL334" s="6"/>
      <c r="AM334" s="6"/>
      <c r="AN334" s="6"/>
      <c r="AO334" s="6"/>
      <c r="AP334" s="6"/>
      <c r="AQ334" s="6"/>
      <c r="AR334" s="6"/>
      <c r="AS334" s="15"/>
      <c r="AT334" s="6" t="str">
        <f ca="1">IFERROR(__xludf.DUMMYFUNCTION("SWITCH(IF(A334=""Practice"",AN334,FILTER('Items by Team'!E$2:E3410,'Items by Team'!C$2:C3410=D334,B334='Items by Team'!B$2:B3410)),""None"",""No"",""Parked"",""P"",""ShallowCage"",""Sc"",""DeepCage"",""Dc"",""No"",""No"",""P"",""P"",""Sc"",""Sc"",""Dc"","&amp;"""Dc"")"),"#REF!")</f>
        <v>#REF!</v>
      </c>
      <c r="AU334" s="6" t="str">
        <f ca="1">IFERROR(__xludf.DUMMYFUNCTION("SWITCH(IF(A334 = ""Practice"", H334, FILTER('Items by Team'!D$2:D3410,'Items by Team'!C$2:C3410 = D334,'Items by Team'!B$2:B3410 = B334)), ""Yes"", ""TRUE"", ""No"", ""FALSE"",TRUE, ""TRUE"", FALSE, ""FALSE"")"),"#REF!")</f>
        <v>#REF!</v>
      </c>
      <c r="AV334" s="6">
        <f t="shared" si="21"/>
        <v>0</v>
      </c>
      <c r="AW334" s="6">
        <f t="shared" si="22"/>
        <v>0</v>
      </c>
      <c r="AX334" s="6">
        <f t="shared" si="23"/>
        <v>0</v>
      </c>
      <c r="AY334" s="6">
        <f t="shared" si="24"/>
        <v>0</v>
      </c>
      <c r="AZ334" s="9" t="str">
        <f t="shared" si="25"/>
        <v/>
      </c>
      <c r="BA334" s="6">
        <f t="shared" si="26"/>
        <v>0</v>
      </c>
      <c r="BB334" s="6">
        <f t="shared" si="27"/>
        <v>0</v>
      </c>
      <c r="BC334" s="9" t="str">
        <f t="shared" si="28"/>
        <v/>
      </c>
      <c r="BD334" s="6">
        <f t="shared" si="29"/>
        <v>0</v>
      </c>
      <c r="BE334" s="6">
        <f t="shared" si="30"/>
        <v>0</v>
      </c>
      <c r="BF334" s="9" t="str">
        <f t="shared" si="31"/>
        <v/>
      </c>
      <c r="BG334" s="6">
        <f t="shared" si="32"/>
        <v>0</v>
      </c>
      <c r="BH334" s="6">
        <f t="shared" si="33"/>
        <v>0</v>
      </c>
      <c r="BI334" s="9" t="str">
        <f t="shared" si="34"/>
        <v/>
      </c>
      <c r="BJ334" s="6">
        <f t="shared" si="35"/>
        <v>0</v>
      </c>
      <c r="BK334" s="6">
        <f t="shared" si="36"/>
        <v>0</v>
      </c>
      <c r="BL334" s="6">
        <f t="shared" si="37"/>
        <v>0</v>
      </c>
      <c r="BM334" s="6">
        <f t="shared" si="38"/>
        <v>0</v>
      </c>
      <c r="BN334" s="6">
        <f t="shared" si="39"/>
        <v>0</v>
      </c>
      <c r="BP334" s="6">
        <f t="shared" si="40"/>
        <v>0</v>
      </c>
      <c r="BQ334" s="6" t="b">
        <f ca="1">IFERROR(__xludf.DUMMYFUNCTION("IF(AND(ISERROR(FILTER('Items by Team'!D$2:D3410,'Items by Team'!C$2:C3410 = D334,'Items by Team'!B$2:B3410 = B334)),NOT(A334=""Practice"")),TRUE,FALSE)"),FALSE)</f>
        <v>0</v>
      </c>
      <c r="BR334" s="6">
        <f t="shared" ca="1" si="41"/>
        <v>0</v>
      </c>
    </row>
    <row r="335" spans="1:70">
      <c r="A335" s="6"/>
      <c r="B335" s="6"/>
      <c r="C335" s="6"/>
      <c r="D335" s="6"/>
      <c r="E335" s="6"/>
      <c r="F335" s="6"/>
      <c r="G335" s="6"/>
      <c r="H335" s="6"/>
      <c r="I335" s="6"/>
      <c r="J335" s="6"/>
      <c r="K335" s="6"/>
      <c r="L335" s="6"/>
      <c r="M335" s="6"/>
      <c r="N335" s="6"/>
      <c r="O335" s="6"/>
      <c r="P335" s="6"/>
      <c r="R335" s="6"/>
      <c r="S335" s="6"/>
      <c r="T335" s="6"/>
      <c r="U335" s="6"/>
      <c r="V335" s="6"/>
      <c r="W335" s="6"/>
      <c r="X335" s="6"/>
      <c r="Y335" s="6"/>
      <c r="Z335" s="6"/>
      <c r="AA335" s="6"/>
      <c r="AB335" s="6"/>
      <c r="AD335" s="6"/>
      <c r="AE335" s="6"/>
      <c r="AF335" s="6"/>
      <c r="AG335" s="6"/>
      <c r="AH335" s="6"/>
      <c r="AI335" s="6"/>
      <c r="AK335" s="6"/>
      <c r="AL335" s="6"/>
      <c r="AM335" s="6"/>
      <c r="AN335" s="6"/>
      <c r="AO335" s="6"/>
      <c r="AP335" s="6"/>
      <c r="AQ335" s="6"/>
      <c r="AR335" s="6"/>
      <c r="AS335" s="15"/>
      <c r="AT335" s="6" t="str">
        <f ca="1">IFERROR(__xludf.DUMMYFUNCTION("SWITCH(IF(A335=""Practice"",AN335,FILTER('Items by Team'!E$2:E3410,'Items by Team'!C$2:C3410=D335,B335='Items by Team'!B$2:B3410)),""None"",""No"",""Parked"",""P"",""ShallowCage"",""Sc"",""DeepCage"",""Dc"",""No"",""No"",""P"",""P"",""Sc"",""Sc"",""Dc"","&amp;"""Dc"")"),"#REF!")</f>
        <v>#REF!</v>
      </c>
      <c r="AU335" s="6" t="str">
        <f ca="1">IFERROR(__xludf.DUMMYFUNCTION("SWITCH(IF(A335 = ""Practice"", H335, FILTER('Items by Team'!D$2:D3410,'Items by Team'!C$2:C3410 = D335,'Items by Team'!B$2:B3410 = B335)), ""Yes"", ""TRUE"", ""No"", ""FALSE"",TRUE, ""TRUE"", FALSE, ""FALSE"")"),"#REF!")</f>
        <v>#REF!</v>
      </c>
      <c r="AV335" s="6">
        <f t="shared" si="21"/>
        <v>0</v>
      </c>
      <c r="AW335" s="6">
        <f t="shared" si="22"/>
        <v>0</v>
      </c>
      <c r="AX335" s="6">
        <f t="shared" si="23"/>
        <v>0</v>
      </c>
      <c r="AY335" s="6">
        <f t="shared" si="24"/>
        <v>0</v>
      </c>
      <c r="AZ335" s="9" t="str">
        <f t="shared" si="25"/>
        <v/>
      </c>
      <c r="BA335" s="6">
        <f t="shared" si="26"/>
        <v>0</v>
      </c>
      <c r="BB335" s="6">
        <f t="shared" si="27"/>
        <v>0</v>
      </c>
      <c r="BC335" s="9" t="str">
        <f t="shared" si="28"/>
        <v/>
      </c>
      <c r="BD335" s="6">
        <f t="shared" si="29"/>
        <v>0</v>
      </c>
      <c r="BE335" s="6">
        <f t="shared" si="30"/>
        <v>0</v>
      </c>
      <c r="BF335" s="9" t="str">
        <f t="shared" si="31"/>
        <v/>
      </c>
      <c r="BG335" s="6">
        <f t="shared" si="32"/>
        <v>0</v>
      </c>
      <c r="BH335" s="6">
        <f t="shared" si="33"/>
        <v>0</v>
      </c>
      <c r="BI335" s="9" t="str">
        <f t="shared" si="34"/>
        <v/>
      </c>
      <c r="BJ335" s="6">
        <f t="shared" si="35"/>
        <v>0</v>
      </c>
      <c r="BK335" s="6">
        <f t="shared" si="36"/>
        <v>0</v>
      </c>
      <c r="BL335" s="6">
        <f t="shared" si="37"/>
        <v>0</v>
      </c>
      <c r="BM335" s="6">
        <f t="shared" si="38"/>
        <v>0</v>
      </c>
      <c r="BN335" s="6">
        <f t="shared" si="39"/>
        <v>0</v>
      </c>
      <c r="BP335" s="6">
        <f t="shared" si="40"/>
        <v>0</v>
      </c>
      <c r="BQ335" s="6" t="b">
        <f ca="1">IFERROR(__xludf.DUMMYFUNCTION("IF(AND(ISERROR(FILTER('Items by Team'!D$2:D3410,'Items by Team'!C$2:C3410 = D335,'Items by Team'!B$2:B3410 = B335)),NOT(A335=""Practice"")),TRUE,FALSE)"),FALSE)</f>
        <v>0</v>
      </c>
      <c r="BR335" s="6">
        <f t="shared" ca="1" si="41"/>
        <v>0</v>
      </c>
    </row>
    <row r="336" spans="1:70">
      <c r="A336" s="6"/>
      <c r="B336" s="6"/>
      <c r="C336" s="6"/>
      <c r="D336" s="6"/>
      <c r="E336" s="6"/>
      <c r="F336" s="6"/>
      <c r="G336" s="6"/>
      <c r="H336" s="6"/>
      <c r="I336" s="6"/>
      <c r="J336" s="6"/>
      <c r="K336" s="6"/>
      <c r="L336" s="6"/>
      <c r="M336" s="6"/>
      <c r="N336" s="6"/>
      <c r="O336" s="6"/>
      <c r="P336" s="6"/>
      <c r="R336" s="6"/>
      <c r="S336" s="6"/>
      <c r="T336" s="6"/>
      <c r="U336" s="6"/>
      <c r="V336" s="6"/>
      <c r="W336" s="6"/>
      <c r="X336" s="6"/>
      <c r="Y336" s="6"/>
      <c r="Z336" s="6"/>
      <c r="AA336" s="6"/>
      <c r="AB336" s="6"/>
      <c r="AD336" s="6"/>
      <c r="AE336" s="6"/>
      <c r="AF336" s="6"/>
      <c r="AG336" s="6"/>
      <c r="AH336" s="6"/>
      <c r="AI336" s="6"/>
      <c r="AK336" s="6"/>
      <c r="AL336" s="6"/>
      <c r="AM336" s="6"/>
      <c r="AN336" s="6"/>
      <c r="AO336" s="6"/>
      <c r="AP336" s="6"/>
      <c r="AQ336" s="6"/>
      <c r="AR336" s="6"/>
      <c r="AS336" s="15"/>
      <c r="AT336" s="6" t="str">
        <f ca="1">IFERROR(__xludf.DUMMYFUNCTION("SWITCH(IF(A336=""Practice"",AN336,FILTER('Items by Team'!E$2:E3410,'Items by Team'!C$2:C3410=D336,B336='Items by Team'!B$2:B3410)),""None"",""No"",""Parked"",""P"",""ShallowCage"",""Sc"",""DeepCage"",""Dc"",""No"",""No"",""P"",""P"",""Sc"",""Sc"",""Dc"","&amp;"""Dc"")"),"#REF!")</f>
        <v>#REF!</v>
      </c>
      <c r="AU336" s="6" t="str">
        <f ca="1">IFERROR(__xludf.DUMMYFUNCTION("SWITCH(IF(A336 = ""Practice"", H336, FILTER('Items by Team'!D$2:D3410,'Items by Team'!C$2:C3410 = D336,'Items by Team'!B$2:B3410 = B336)), ""Yes"", ""TRUE"", ""No"", ""FALSE"",TRUE, ""TRUE"", FALSE, ""FALSE"")"),"#REF!")</f>
        <v>#REF!</v>
      </c>
      <c r="AV336" s="6">
        <f t="shared" si="21"/>
        <v>0</v>
      </c>
      <c r="AW336" s="6">
        <f t="shared" si="22"/>
        <v>0</v>
      </c>
      <c r="AX336" s="6">
        <f t="shared" si="23"/>
        <v>0</v>
      </c>
      <c r="AY336" s="6">
        <f t="shared" si="24"/>
        <v>0</v>
      </c>
      <c r="AZ336" s="9" t="str">
        <f t="shared" si="25"/>
        <v/>
      </c>
      <c r="BA336" s="6">
        <f t="shared" si="26"/>
        <v>0</v>
      </c>
      <c r="BB336" s="6">
        <f t="shared" si="27"/>
        <v>0</v>
      </c>
      <c r="BC336" s="9" t="str">
        <f t="shared" si="28"/>
        <v/>
      </c>
      <c r="BD336" s="6">
        <f t="shared" si="29"/>
        <v>0</v>
      </c>
      <c r="BE336" s="6">
        <f t="shared" si="30"/>
        <v>0</v>
      </c>
      <c r="BF336" s="9" t="str">
        <f t="shared" si="31"/>
        <v/>
      </c>
      <c r="BG336" s="6">
        <f t="shared" si="32"/>
        <v>0</v>
      </c>
      <c r="BH336" s="6">
        <f t="shared" si="33"/>
        <v>0</v>
      </c>
      <c r="BI336" s="9" t="str">
        <f t="shared" si="34"/>
        <v/>
      </c>
      <c r="BJ336" s="6">
        <f t="shared" si="35"/>
        <v>0</v>
      </c>
      <c r="BK336" s="6">
        <f t="shared" si="36"/>
        <v>0</v>
      </c>
      <c r="BL336" s="6">
        <f t="shared" si="37"/>
        <v>0</v>
      </c>
      <c r="BM336" s="6">
        <f t="shared" si="38"/>
        <v>0</v>
      </c>
      <c r="BN336" s="6">
        <f t="shared" si="39"/>
        <v>0</v>
      </c>
      <c r="BP336" s="6">
        <f t="shared" si="40"/>
        <v>0</v>
      </c>
      <c r="BQ336" s="6" t="b">
        <f ca="1">IFERROR(__xludf.DUMMYFUNCTION("IF(AND(ISERROR(FILTER('Items by Team'!D$2:D3410,'Items by Team'!C$2:C3410 = D336,'Items by Team'!B$2:B3410 = B336)),NOT(A336=""Practice"")),TRUE,FALSE)"),FALSE)</f>
        <v>0</v>
      </c>
      <c r="BR336" s="6">
        <f t="shared" ca="1" si="41"/>
        <v>0</v>
      </c>
    </row>
    <row r="337" spans="1:70">
      <c r="A337" s="6"/>
      <c r="B337" s="6"/>
      <c r="C337" s="6"/>
      <c r="D337" s="6"/>
      <c r="E337" s="6"/>
      <c r="F337" s="6"/>
      <c r="G337" s="6"/>
      <c r="H337" s="6"/>
      <c r="I337" s="6"/>
      <c r="J337" s="6"/>
      <c r="K337" s="6"/>
      <c r="L337" s="6"/>
      <c r="M337" s="6"/>
      <c r="N337" s="6"/>
      <c r="O337" s="6"/>
      <c r="P337" s="6"/>
      <c r="R337" s="6"/>
      <c r="S337" s="6"/>
      <c r="T337" s="6"/>
      <c r="U337" s="6"/>
      <c r="V337" s="6"/>
      <c r="W337" s="6"/>
      <c r="X337" s="6"/>
      <c r="Y337" s="6"/>
      <c r="Z337" s="6"/>
      <c r="AA337" s="6"/>
      <c r="AB337" s="6"/>
      <c r="AD337" s="6"/>
      <c r="AE337" s="6"/>
      <c r="AF337" s="6"/>
      <c r="AG337" s="6"/>
      <c r="AH337" s="6"/>
      <c r="AI337" s="6"/>
      <c r="AK337" s="6"/>
      <c r="AL337" s="6"/>
      <c r="AM337" s="6"/>
      <c r="AN337" s="6"/>
      <c r="AO337" s="6"/>
      <c r="AP337" s="6"/>
      <c r="AQ337" s="6"/>
      <c r="AR337" s="6"/>
      <c r="AS337" s="15"/>
      <c r="AT337" s="6" t="str">
        <f ca="1">IFERROR(__xludf.DUMMYFUNCTION("SWITCH(IF(A337=""Practice"",AN337,FILTER('Items by Team'!E$2:E3410,'Items by Team'!C$2:C3410=D337,B337='Items by Team'!B$2:B3410)),""None"",""No"",""Parked"",""P"",""ShallowCage"",""Sc"",""DeepCage"",""Dc"",""No"",""No"",""P"",""P"",""Sc"",""Sc"",""Dc"","&amp;"""Dc"")"),"#REF!")</f>
        <v>#REF!</v>
      </c>
      <c r="AU337" s="6" t="str">
        <f ca="1">IFERROR(__xludf.DUMMYFUNCTION("SWITCH(IF(A337 = ""Practice"", H337, FILTER('Items by Team'!D$2:D3410,'Items by Team'!C$2:C3410 = D337,'Items by Team'!B$2:B3410 = B337)), ""Yes"", ""TRUE"", ""No"", ""FALSE"",TRUE, ""TRUE"", FALSE, ""FALSE"")"),"#REF!")</f>
        <v>#REF!</v>
      </c>
      <c r="AV337" s="6">
        <f t="shared" si="21"/>
        <v>0</v>
      </c>
      <c r="AW337" s="6">
        <f t="shared" si="22"/>
        <v>0</v>
      </c>
      <c r="AX337" s="6">
        <f t="shared" si="23"/>
        <v>0</v>
      </c>
      <c r="AY337" s="6">
        <f t="shared" si="24"/>
        <v>0</v>
      </c>
      <c r="AZ337" s="9" t="str">
        <f t="shared" si="25"/>
        <v/>
      </c>
      <c r="BA337" s="6">
        <f t="shared" si="26"/>
        <v>0</v>
      </c>
      <c r="BB337" s="6">
        <f t="shared" si="27"/>
        <v>0</v>
      </c>
      <c r="BC337" s="9" t="str">
        <f t="shared" si="28"/>
        <v/>
      </c>
      <c r="BD337" s="6">
        <f t="shared" si="29"/>
        <v>0</v>
      </c>
      <c r="BE337" s="6">
        <f t="shared" si="30"/>
        <v>0</v>
      </c>
      <c r="BF337" s="9" t="str">
        <f t="shared" si="31"/>
        <v/>
      </c>
      <c r="BG337" s="6">
        <f t="shared" si="32"/>
        <v>0</v>
      </c>
      <c r="BH337" s="6">
        <f t="shared" si="33"/>
        <v>0</v>
      </c>
      <c r="BI337" s="9" t="str">
        <f t="shared" si="34"/>
        <v/>
      </c>
      <c r="BJ337" s="6">
        <f t="shared" si="35"/>
        <v>0</v>
      </c>
      <c r="BK337" s="6">
        <f t="shared" si="36"/>
        <v>0</v>
      </c>
      <c r="BL337" s="6">
        <f t="shared" si="37"/>
        <v>0</v>
      </c>
      <c r="BM337" s="6">
        <f t="shared" si="38"/>
        <v>0</v>
      </c>
      <c r="BN337" s="6">
        <f t="shared" si="39"/>
        <v>0</v>
      </c>
      <c r="BP337" s="6">
        <f t="shared" si="40"/>
        <v>0</v>
      </c>
      <c r="BQ337" s="6" t="b">
        <f ca="1">IFERROR(__xludf.DUMMYFUNCTION("IF(AND(ISERROR(FILTER('Items by Team'!D$2:D3410,'Items by Team'!C$2:C3410 = D337,'Items by Team'!B$2:B3410 = B337)),NOT(A337=""Practice"")),TRUE,FALSE)"),FALSE)</f>
        <v>0</v>
      </c>
      <c r="BR337" s="6">
        <f t="shared" ca="1" si="41"/>
        <v>0</v>
      </c>
    </row>
    <row r="338" spans="1:70">
      <c r="A338" s="6"/>
      <c r="B338" s="6"/>
      <c r="C338" s="6"/>
      <c r="D338" s="6"/>
      <c r="E338" s="6"/>
      <c r="F338" s="6"/>
      <c r="G338" s="6"/>
      <c r="H338" s="6"/>
      <c r="I338" s="6"/>
      <c r="J338" s="6"/>
      <c r="K338" s="6"/>
      <c r="L338" s="6"/>
      <c r="M338" s="6"/>
      <c r="N338" s="6"/>
      <c r="O338" s="6"/>
      <c r="P338" s="6"/>
      <c r="R338" s="6"/>
      <c r="S338" s="6"/>
      <c r="T338" s="6"/>
      <c r="U338" s="6"/>
      <c r="V338" s="6"/>
      <c r="W338" s="6"/>
      <c r="X338" s="6"/>
      <c r="Y338" s="6"/>
      <c r="Z338" s="6"/>
      <c r="AA338" s="6"/>
      <c r="AB338" s="6"/>
      <c r="AD338" s="6"/>
      <c r="AE338" s="6"/>
      <c r="AF338" s="6"/>
      <c r="AG338" s="6"/>
      <c r="AH338" s="6"/>
      <c r="AI338" s="6"/>
      <c r="AK338" s="6"/>
      <c r="AL338" s="6"/>
      <c r="AM338" s="6"/>
      <c r="AN338" s="6"/>
      <c r="AO338" s="6"/>
      <c r="AP338" s="6"/>
      <c r="AQ338" s="6"/>
      <c r="AR338" s="6"/>
      <c r="AS338" s="15"/>
      <c r="AT338" s="6" t="str">
        <f ca="1">IFERROR(__xludf.DUMMYFUNCTION("SWITCH(IF(A338=""Practice"",AN338,FILTER('Items by Team'!E$2:E3410,'Items by Team'!C$2:C3410=D338,B338='Items by Team'!B$2:B3410)),""None"",""No"",""Parked"",""P"",""ShallowCage"",""Sc"",""DeepCage"",""Dc"",""No"",""No"",""P"",""P"",""Sc"",""Sc"",""Dc"","&amp;"""Dc"")"),"#REF!")</f>
        <v>#REF!</v>
      </c>
      <c r="AU338" s="6" t="str">
        <f ca="1">IFERROR(__xludf.DUMMYFUNCTION("SWITCH(IF(A338 = ""Practice"", H338, FILTER('Items by Team'!D$2:D3410,'Items by Team'!C$2:C3410 = D338,'Items by Team'!B$2:B3410 = B338)), ""Yes"", ""TRUE"", ""No"", ""FALSE"",TRUE, ""TRUE"", FALSE, ""FALSE"")"),"#REF!")</f>
        <v>#REF!</v>
      </c>
      <c r="AV338" s="6">
        <f t="shared" si="21"/>
        <v>0</v>
      </c>
      <c r="AW338" s="6">
        <f t="shared" si="22"/>
        <v>0</v>
      </c>
      <c r="AX338" s="6">
        <f t="shared" si="23"/>
        <v>0</v>
      </c>
      <c r="AY338" s="6">
        <f t="shared" si="24"/>
        <v>0</v>
      </c>
      <c r="AZ338" s="9" t="str">
        <f t="shared" si="25"/>
        <v/>
      </c>
      <c r="BA338" s="6">
        <f t="shared" si="26"/>
        <v>0</v>
      </c>
      <c r="BB338" s="6">
        <f t="shared" si="27"/>
        <v>0</v>
      </c>
      <c r="BC338" s="9" t="str">
        <f t="shared" si="28"/>
        <v/>
      </c>
      <c r="BD338" s="6">
        <f t="shared" si="29"/>
        <v>0</v>
      </c>
      <c r="BE338" s="6">
        <f t="shared" si="30"/>
        <v>0</v>
      </c>
      <c r="BF338" s="9" t="str">
        <f t="shared" si="31"/>
        <v/>
      </c>
      <c r="BG338" s="6">
        <f t="shared" si="32"/>
        <v>0</v>
      </c>
      <c r="BH338" s="6">
        <f t="shared" si="33"/>
        <v>0</v>
      </c>
      <c r="BI338" s="9" t="str">
        <f t="shared" si="34"/>
        <v/>
      </c>
      <c r="BJ338" s="6">
        <f t="shared" si="35"/>
        <v>0</v>
      </c>
      <c r="BK338" s="6">
        <f t="shared" si="36"/>
        <v>0</v>
      </c>
      <c r="BL338" s="6">
        <f t="shared" si="37"/>
        <v>0</v>
      </c>
      <c r="BM338" s="6">
        <f t="shared" si="38"/>
        <v>0</v>
      </c>
      <c r="BN338" s="6">
        <f t="shared" si="39"/>
        <v>0</v>
      </c>
      <c r="BP338" s="6">
        <f t="shared" si="40"/>
        <v>0</v>
      </c>
      <c r="BQ338" s="6" t="b">
        <f ca="1">IFERROR(__xludf.DUMMYFUNCTION("IF(AND(ISERROR(FILTER('Items by Team'!D$2:D3410,'Items by Team'!C$2:C3410 = D338,'Items by Team'!B$2:B3410 = B338)),NOT(A338=""Practice"")),TRUE,FALSE)"),FALSE)</f>
        <v>0</v>
      </c>
      <c r="BR338" s="6">
        <f t="shared" ca="1" si="41"/>
        <v>0</v>
      </c>
    </row>
    <row r="339" spans="1:70">
      <c r="A339" s="6"/>
      <c r="B339" s="6"/>
      <c r="C339" s="6"/>
      <c r="D339" s="6"/>
      <c r="E339" s="6"/>
      <c r="F339" s="6"/>
      <c r="G339" s="6"/>
      <c r="H339" s="6"/>
      <c r="I339" s="6"/>
      <c r="J339" s="6"/>
      <c r="K339" s="6"/>
      <c r="L339" s="6"/>
      <c r="M339" s="6"/>
      <c r="N339" s="6"/>
      <c r="O339" s="6"/>
      <c r="P339" s="6"/>
      <c r="R339" s="6"/>
      <c r="S339" s="6"/>
      <c r="T339" s="6"/>
      <c r="U339" s="6"/>
      <c r="V339" s="6"/>
      <c r="W339" s="6"/>
      <c r="X339" s="6"/>
      <c r="Y339" s="6"/>
      <c r="Z339" s="6"/>
      <c r="AA339" s="6"/>
      <c r="AB339" s="6"/>
      <c r="AD339" s="6"/>
      <c r="AE339" s="6"/>
      <c r="AF339" s="6"/>
      <c r="AG339" s="6"/>
      <c r="AH339" s="6"/>
      <c r="AI339" s="6"/>
      <c r="AK339" s="6"/>
      <c r="AL339" s="6"/>
      <c r="AM339" s="6"/>
      <c r="AN339" s="6"/>
      <c r="AO339" s="6"/>
      <c r="AP339" s="6"/>
      <c r="AQ339" s="6"/>
      <c r="AR339" s="6"/>
      <c r="AS339" s="15"/>
      <c r="AT339" s="6" t="str">
        <f ca="1">IFERROR(__xludf.DUMMYFUNCTION("SWITCH(IF(A339=""Practice"",AN339,FILTER('Items by Team'!E$2:E3410,'Items by Team'!C$2:C3410=D339,B339='Items by Team'!B$2:B3410)),""None"",""No"",""Parked"",""P"",""ShallowCage"",""Sc"",""DeepCage"",""Dc"",""No"",""No"",""P"",""P"",""Sc"",""Sc"",""Dc"","&amp;"""Dc"")"),"#REF!")</f>
        <v>#REF!</v>
      </c>
      <c r="AU339" s="6" t="str">
        <f ca="1">IFERROR(__xludf.DUMMYFUNCTION("SWITCH(IF(A339 = ""Practice"", H339, FILTER('Items by Team'!D$2:D3410,'Items by Team'!C$2:C3410 = D339,'Items by Team'!B$2:B3410 = B339)), ""Yes"", ""TRUE"", ""No"", ""FALSE"",TRUE, ""TRUE"", FALSE, ""FALSE"")"),"#REF!")</f>
        <v>#REF!</v>
      </c>
      <c r="AV339" s="6">
        <f t="shared" si="21"/>
        <v>0</v>
      </c>
      <c r="AW339" s="6">
        <f t="shared" si="22"/>
        <v>0</v>
      </c>
      <c r="AX339" s="6">
        <f t="shared" si="23"/>
        <v>0</v>
      </c>
      <c r="AY339" s="6">
        <f t="shared" si="24"/>
        <v>0</v>
      </c>
      <c r="AZ339" s="9" t="str">
        <f t="shared" si="25"/>
        <v/>
      </c>
      <c r="BA339" s="6">
        <f t="shared" si="26"/>
        <v>0</v>
      </c>
      <c r="BB339" s="6">
        <f t="shared" si="27"/>
        <v>0</v>
      </c>
      <c r="BC339" s="9" t="str">
        <f t="shared" si="28"/>
        <v/>
      </c>
      <c r="BD339" s="6">
        <f t="shared" si="29"/>
        <v>0</v>
      </c>
      <c r="BE339" s="6">
        <f t="shared" si="30"/>
        <v>0</v>
      </c>
      <c r="BF339" s="9" t="str">
        <f t="shared" si="31"/>
        <v/>
      </c>
      <c r="BG339" s="6">
        <f t="shared" si="32"/>
        <v>0</v>
      </c>
      <c r="BH339" s="6">
        <f t="shared" si="33"/>
        <v>0</v>
      </c>
      <c r="BI339" s="9" t="str">
        <f t="shared" si="34"/>
        <v/>
      </c>
      <c r="BJ339" s="6">
        <f t="shared" si="35"/>
        <v>0</v>
      </c>
      <c r="BK339" s="6">
        <f t="shared" si="36"/>
        <v>0</v>
      </c>
      <c r="BL339" s="6">
        <f t="shared" si="37"/>
        <v>0</v>
      </c>
      <c r="BM339" s="6">
        <f t="shared" si="38"/>
        <v>0</v>
      </c>
      <c r="BN339" s="6">
        <f t="shared" si="39"/>
        <v>0</v>
      </c>
      <c r="BP339" s="6">
        <f t="shared" si="40"/>
        <v>0</v>
      </c>
      <c r="BQ339" s="6" t="b">
        <f ca="1">IFERROR(__xludf.DUMMYFUNCTION("IF(AND(ISERROR(FILTER('Items by Team'!D$2:D3410,'Items by Team'!C$2:C3410 = D339,'Items by Team'!B$2:B3410 = B339)),NOT(A339=""Practice"")),TRUE,FALSE)"),FALSE)</f>
        <v>0</v>
      </c>
      <c r="BR339" s="6">
        <f t="shared" ca="1" si="41"/>
        <v>0</v>
      </c>
    </row>
    <row r="340" spans="1:70">
      <c r="A340" s="6"/>
      <c r="B340" s="6"/>
      <c r="C340" s="6"/>
      <c r="D340" s="6"/>
      <c r="E340" s="6"/>
      <c r="F340" s="6"/>
      <c r="G340" s="6"/>
      <c r="H340" s="6"/>
      <c r="I340" s="6"/>
      <c r="J340" s="6"/>
      <c r="K340" s="6"/>
      <c r="L340" s="6"/>
      <c r="M340" s="6"/>
      <c r="N340" s="6"/>
      <c r="O340" s="6"/>
      <c r="P340" s="6"/>
      <c r="R340" s="6"/>
      <c r="S340" s="6"/>
      <c r="T340" s="6"/>
      <c r="U340" s="6"/>
      <c r="V340" s="6"/>
      <c r="W340" s="6"/>
      <c r="X340" s="6"/>
      <c r="Y340" s="6"/>
      <c r="Z340" s="6"/>
      <c r="AA340" s="6"/>
      <c r="AB340" s="6"/>
      <c r="AD340" s="6"/>
      <c r="AE340" s="6"/>
      <c r="AF340" s="6"/>
      <c r="AG340" s="6"/>
      <c r="AH340" s="6"/>
      <c r="AI340" s="6"/>
      <c r="AK340" s="6"/>
      <c r="AL340" s="6"/>
      <c r="AM340" s="6"/>
      <c r="AN340" s="6"/>
      <c r="AO340" s="6"/>
      <c r="AP340" s="6"/>
      <c r="AQ340" s="6"/>
      <c r="AR340" s="6"/>
      <c r="AS340" s="15"/>
      <c r="AT340" s="6" t="str">
        <f ca="1">IFERROR(__xludf.DUMMYFUNCTION("SWITCH(IF(A340=""Practice"",AN340,FILTER('Items by Team'!E$2:E3410,'Items by Team'!C$2:C3410=D340,B340='Items by Team'!B$2:B3410)),""None"",""No"",""Parked"",""P"",""ShallowCage"",""Sc"",""DeepCage"",""Dc"",""No"",""No"",""P"",""P"",""Sc"",""Sc"",""Dc"","&amp;"""Dc"")"),"#REF!")</f>
        <v>#REF!</v>
      </c>
      <c r="AU340" s="6" t="str">
        <f ca="1">IFERROR(__xludf.DUMMYFUNCTION("SWITCH(IF(A340 = ""Practice"", H340, FILTER('Items by Team'!D$2:D3410,'Items by Team'!C$2:C3410 = D340,'Items by Team'!B$2:B3410 = B340)), ""Yes"", ""TRUE"", ""No"", ""FALSE"",TRUE, ""TRUE"", FALSE, ""FALSE"")"),"#REF!")</f>
        <v>#REF!</v>
      </c>
      <c r="AV340" s="6">
        <f t="shared" si="21"/>
        <v>0</v>
      </c>
      <c r="AW340" s="6">
        <f t="shared" si="22"/>
        <v>0</v>
      </c>
      <c r="AX340" s="6">
        <f t="shared" si="23"/>
        <v>0</v>
      </c>
      <c r="AY340" s="6">
        <f t="shared" si="24"/>
        <v>0</v>
      </c>
      <c r="AZ340" s="9" t="str">
        <f t="shared" si="25"/>
        <v/>
      </c>
      <c r="BA340" s="6">
        <f t="shared" si="26"/>
        <v>0</v>
      </c>
      <c r="BB340" s="6">
        <f t="shared" si="27"/>
        <v>0</v>
      </c>
      <c r="BC340" s="9" t="str">
        <f t="shared" si="28"/>
        <v/>
      </c>
      <c r="BD340" s="6">
        <f t="shared" si="29"/>
        <v>0</v>
      </c>
      <c r="BE340" s="6">
        <f t="shared" si="30"/>
        <v>0</v>
      </c>
      <c r="BF340" s="9" t="str">
        <f t="shared" si="31"/>
        <v/>
      </c>
      <c r="BG340" s="6">
        <f t="shared" si="32"/>
        <v>0</v>
      </c>
      <c r="BH340" s="6">
        <f t="shared" si="33"/>
        <v>0</v>
      </c>
      <c r="BI340" s="9" t="str">
        <f t="shared" si="34"/>
        <v/>
      </c>
      <c r="BJ340" s="6">
        <f t="shared" si="35"/>
        <v>0</v>
      </c>
      <c r="BK340" s="6">
        <f t="shared" si="36"/>
        <v>0</v>
      </c>
      <c r="BL340" s="6">
        <f t="shared" si="37"/>
        <v>0</v>
      </c>
      <c r="BM340" s="6">
        <f t="shared" si="38"/>
        <v>0</v>
      </c>
      <c r="BN340" s="6">
        <f t="shared" si="39"/>
        <v>0</v>
      </c>
      <c r="BP340" s="6">
        <f t="shared" si="40"/>
        <v>0</v>
      </c>
      <c r="BQ340" s="6" t="b">
        <f ca="1">IFERROR(__xludf.DUMMYFUNCTION("IF(AND(ISERROR(FILTER('Items by Team'!D$2:D3410,'Items by Team'!C$2:C3410 = D340,'Items by Team'!B$2:B3410 = B340)),NOT(A340=""Practice"")),TRUE,FALSE)"),FALSE)</f>
        <v>0</v>
      </c>
      <c r="BR340" s="6">
        <f t="shared" ca="1" si="41"/>
        <v>0</v>
      </c>
    </row>
    <row r="341" spans="1:70">
      <c r="A341" s="6"/>
      <c r="B341" s="6"/>
      <c r="C341" s="6"/>
      <c r="D341" s="6"/>
      <c r="E341" s="6"/>
      <c r="F341" s="6"/>
      <c r="G341" s="6"/>
      <c r="H341" s="6"/>
      <c r="I341" s="6"/>
      <c r="J341" s="6"/>
      <c r="K341" s="6"/>
      <c r="L341" s="6"/>
      <c r="M341" s="6"/>
      <c r="N341" s="6"/>
      <c r="O341" s="6"/>
      <c r="P341" s="6"/>
      <c r="R341" s="6"/>
      <c r="S341" s="6"/>
      <c r="T341" s="6"/>
      <c r="U341" s="6"/>
      <c r="V341" s="6"/>
      <c r="W341" s="6"/>
      <c r="X341" s="6"/>
      <c r="Y341" s="6"/>
      <c r="Z341" s="6"/>
      <c r="AA341" s="6"/>
      <c r="AB341" s="6"/>
      <c r="AD341" s="6"/>
      <c r="AE341" s="6"/>
      <c r="AF341" s="6"/>
      <c r="AG341" s="6"/>
      <c r="AH341" s="6"/>
      <c r="AI341" s="6"/>
      <c r="AK341" s="6"/>
      <c r="AL341" s="6"/>
      <c r="AM341" s="6"/>
      <c r="AN341" s="6"/>
      <c r="AO341" s="6"/>
      <c r="AP341" s="6"/>
      <c r="AQ341" s="6"/>
      <c r="AR341" s="6"/>
      <c r="AS341" s="15"/>
      <c r="AT341" s="6" t="str">
        <f ca="1">IFERROR(__xludf.DUMMYFUNCTION("SWITCH(IF(A341=""Practice"",AN341,FILTER('Items by Team'!E$2:E3410,'Items by Team'!C$2:C3410=D341,B341='Items by Team'!B$2:B3410)),""None"",""No"",""Parked"",""P"",""ShallowCage"",""Sc"",""DeepCage"",""Dc"",""No"",""No"",""P"",""P"",""Sc"",""Sc"",""Dc"","&amp;"""Dc"")"),"#REF!")</f>
        <v>#REF!</v>
      </c>
      <c r="AU341" s="6" t="str">
        <f ca="1">IFERROR(__xludf.DUMMYFUNCTION("SWITCH(IF(A341 = ""Practice"", H341, FILTER('Items by Team'!D$2:D3410,'Items by Team'!C$2:C3410 = D341,'Items by Team'!B$2:B3410 = B341)), ""Yes"", ""TRUE"", ""No"", ""FALSE"",TRUE, ""TRUE"", FALSE, ""FALSE"")"),"#REF!")</f>
        <v>#REF!</v>
      </c>
      <c r="AV341" s="6">
        <f t="shared" si="21"/>
        <v>0</v>
      </c>
      <c r="AW341" s="6">
        <f t="shared" si="22"/>
        <v>0</v>
      </c>
      <c r="AX341" s="6">
        <f t="shared" si="23"/>
        <v>0</v>
      </c>
      <c r="AY341" s="6">
        <f t="shared" si="24"/>
        <v>0</v>
      </c>
      <c r="AZ341" s="9" t="str">
        <f t="shared" si="25"/>
        <v/>
      </c>
      <c r="BA341" s="6">
        <f t="shared" si="26"/>
        <v>0</v>
      </c>
      <c r="BB341" s="6">
        <f t="shared" si="27"/>
        <v>0</v>
      </c>
      <c r="BC341" s="9" t="str">
        <f t="shared" si="28"/>
        <v/>
      </c>
      <c r="BD341" s="6">
        <f t="shared" si="29"/>
        <v>0</v>
      </c>
      <c r="BE341" s="6">
        <f t="shared" si="30"/>
        <v>0</v>
      </c>
      <c r="BF341" s="9" t="str">
        <f t="shared" si="31"/>
        <v/>
      </c>
      <c r="BG341" s="6">
        <f t="shared" si="32"/>
        <v>0</v>
      </c>
      <c r="BH341" s="6">
        <f t="shared" si="33"/>
        <v>0</v>
      </c>
      <c r="BI341" s="9" t="str">
        <f t="shared" si="34"/>
        <v/>
      </c>
      <c r="BJ341" s="6">
        <f t="shared" si="35"/>
        <v>0</v>
      </c>
      <c r="BK341" s="6">
        <f t="shared" si="36"/>
        <v>0</v>
      </c>
      <c r="BL341" s="6">
        <f t="shared" si="37"/>
        <v>0</v>
      </c>
      <c r="BM341" s="6">
        <f t="shared" si="38"/>
        <v>0</v>
      </c>
      <c r="BN341" s="6">
        <f t="shared" si="39"/>
        <v>0</v>
      </c>
      <c r="BP341" s="6">
        <f t="shared" si="40"/>
        <v>0</v>
      </c>
      <c r="BQ341" s="6" t="b">
        <f ca="1">IFERROR(__xludf.DUMMYFUNCTION("IF(AND(ISERROR(FILTER('Items by Team'!D$2:D3410,'Items by Team'!C$2:C3410 = D341,'Items by Team'!B$2:B3410 = B341)),NOT(A341=""Practice"")),TRUE,FALSE)"),FALSE)</f>
        <v>0</v>
      </c>
      <c r="BR341" s="6">
        <f t="shared" ca="1" si="41"/>
        <v>0</v>
      </c>
    </row>
    <row r="342" spans="1:70">
      <c r="A342" s="6"/>
      <c r="B342" s="6"/>
      <c r="C342" s="6"/>
      <c r="D342" s="6"/>
      <c r="E342" s="6"/>
      <c r="F342" s="6"/>
      <c r="G342" s="6"/>
      <c r="H342" s="6"/>
      <c r="I342" s="6"/>
      <c r="J342" s="6"/>
      <c r="K342" s="6"/>
      <c r="L342" s="6"/>
      <c r="M342" s="6"/>
      <c r="N342" s="6"/>
      <c r="O342" s="6"/>
      <c r="P342" s="6"/>
      <c r="R342" s="6"/>
      <c r="S342" s="6"/>
      <c r="T342" s="6"/>
      <c r="U342" s="6"/>
      <c r="V342" s="6"/>
      <c r="W342" s="6"/>
      <c r="X342" s="6"/>
      <c r="Y342" s="6"/>
      <c r="Z342" s="6"/>
      <c r="AA342" s="6"/>
      <c r="AB342" s="6"/>
      <c r="AD342" s="6"/>
      <c r="AE342" s="6"/>
      <c r="AF342" s="6"/>
      <c r="AG342" s="6"/>
      <c r="AH342" s="6"/>
      <c r="AI342" s="6"/>
      <c r="AK342" s="6"/>
      <c r="AL342" s="6"/>
      <c r="AM342" s="6"/>
      <c r="AN342" s="6"/>
      <c r="AO342" s="6"/>
      <c r="AP342" s="6"/>
      <c r="AQ342" s="6"/>
      <c r="AR342" s="6"/>
      <c r="AS342" s="15"/>
      <c r="AT342" s="6" t="str">
        <f ca="1">IFERROR(__xludf.DUMMYFUNCTION("SWITCH(IF(A342=""Practice"",AN342,FILTER('Items by Team'!E$2:E3410,'Items by Team'!C$2:C3410=D342,B342='Items by Team'!B$2:B3410)),""None"",""No"",""Parked"",""P"",""ShallowCage"",""Sc"",""DeepCage"",""Dc"",""No"",""No"",""P"",""P"",""Sc"",""Sc"",""Dc"","&amp;"""Dc"")"),"#REF!")</f>
        <v>#REF!</v>
      </c>
      <c r="AU342" s="6" t="str">
        <f ca="1">IFERROR(__xludf.DUMMYFUNCTION("SWITCH(IF(A342 = ""Practice"", H342, FILTER('Items by Team'!D$2:D3410,'Items by Team'!C$2:C3410 = D342,'Items by Team'!B$2:B3410 = B342)), ""Yes"", ""TRUE"", ""No"", ""FALSE"",TRUE, ""TRUE"", FALSE, ""FALSE"")"),"#REF!")</f>
        <v>#REF!</v>
      </c>
      <c r="AV342" s="6">
        <f t="shared" si="21"/>
        <v>0</v>
      </c>
      <c r="AW342" s="6">
        <f t="shared" si="22"/>
        <v>0</v>
      </c>
      <c r="AX342" s="6">
        <f t="shared" si="23"/>
        <v>0</v>
      </c>
      <c r="AY342" s="6">
        <f t="shared" si="24"/>
        <v>0</v>
      </c>
      <c r="AZ342" s="9" t="str">
        <f t="shared" si="25"/>
        <v/>
      </c>
      <c r="BA342" s="6">
        <f t="shared" si="26"/>
        <v>0</v>
      </c>
      <c r="BB342" s="6">
        <f t="shared" si="27"/>
        <v>0</v>
      </c>
      <c r="BC342" s="9" t="str">
        <f t="shared" si="28"/>
        <v/>
      </c>
      <c r="BD342" s="6">
        <f t="shared" si="29"/>
        <v>0</v>
      </c>
      <c r="BE342" s="6">
        <f t="shared" si="30"/>
        <v>0</v>
      </c>
      <c r="BF342" s="9" t="str">
        <f t="shared" si="31"/>
        <v/>
      </c>
      <c r="BG342" s="6">
        <f t="shared" si="32"/>
        <v>0</v>
      </c>
      <c r="BH342" s="6">
        <f t="shared" si="33"/>
        <v>0</v>
      </c>
      <c r="BI342" s="9" t="str">
        <f t="shared" si="34"/>
        <v/>
      </c>
      <c r="BJ342" s="6">
        <f t="shared" si="35"/>
        <v>0</v>
      </c>
      <c r="BK342" s="6">
        <f t="shared" si="36"/>
        <v>0</v>
      </c>
      <c r="BL342" s="6">
        <f t="shared" si="37"/>
        <v>0</v>
      </c>
      <c r="BM342" s="6">
        <f t="shared" si="38"/>
        <v>0</v>
      </c>
      <c r="BN342" s="6">
        <f t="shared" si="39"/>
        <v>0</v>
      </c>
      <c r="BP342" s="6">
        <f t="shared" si="40"/>
        <v>0</v>
      </c>
      <c r="BQ342" s="6" t="b">
        <f ca="1">IFERROR(__xludf.DUMMYFUNCTION("IF(AND(ISERROR(FILTER('Items by Team'!D$2:D3410,'Items by Team'!C$2:C3410 = D342,'Items by Team'!B$2:B3410 = B342)),NOT(A342=""Practice"")),TRUE,FALSE)"),FALSE)</f>
        <v>0</v>
      </c>
      <c r="BR342" s="6">
        <f t="shared" ca="1" si="41"/>
        <v>0</v>
      </c>
    </row>
    <row r="343" spans="1:70">
      <c r="A343" s="6"/>
      <c r="B343" s="6"/>
      <c r="C343" s="6"/>
      <c r="D343" s="6"/>
      <c r="E343" s="6"/>
      <c r="F343" s="6"/>
      <c r="G343" s="6"/>
      <c r="H343" s="6"/>
      <c r="I343" s="6"/>
      <c r="J343" s="6"/>
      <c r="K343" s="6"/>
      <c r="L343" s="6"/>
      <c r="M343" s="6"/>
      <c r="N343" s="6"/>
      <c r="O343" s="6"/>
      <c r="P343" s="6"/>
      <c r="R343" s="6"/>
      <c r="S343" s="6"/>
      <c r="T343" s="6"/>
      <c r="U343" s="6"/>
      <c r="V343" s="6"/>
      <c r="W343" s="6"/>
      <c r="X343" s="6"/>
      <c r="Y343" s="6"/>
      <c r="Z343" s="6"/>
      <c r="AA343" s="6"/>
      <c r="AB343" s="6"/>
      <c r="AD343" s="6"/>
      <c r="AE343" s="6"/>
      <c r="AF343" s="6"/>
      <c r="AG343" s="6"/>
      <c r="AH343" s="6"/>
      <c r="AI343" s="6"/>
      <c r="AK343" s="6"/>
      <c r="AL343" s="6"/>
      <c r="AM343" s="6"/>
      <c r="AN343" s="6"/>
      <c r="AO343" s="6"/>
      <c r="AP343" s="6"/>
      <c r="AQ343" s="6"/>
      <c r="AR343" s="6"/>
      <c r="AS343" s="15"/>
      <c r="AT343" s="6" t="str">
        <f ca="1">IFERROR(__xludf.DUMMYFUNCTION("SWITCH(IF(A343=""Practice"",AN343,FILTER('Items by Team'!E$2:E3410,'Items by Team'!C$2:C3410=D343,B343='Items by Team'!B$2:B3410)),""None"",""No"",""Parked"",""P"",""ShallowCage"",""Sc"",""DeepCage"",""Dc"",""No"",""No"",""P"",""P"",""Sc"",""Sc"",""Dc"","&amp;"""Dc"")"),"#REF!")</f>
        <v>#REF!</v>
      </c>
      <c r="AU343" s="6" t="str">
        <f ca="1">IFERROR(__xludf.DUMMYFUNCTION("SWITCH(IF(A343 = ""Practice"", H343, FILTER('Items by Team'!D$2:D3410,'Items by Team'!C$2:C3410 = D343,'Items by Team'!B$2:B3410 = B343)), ""Yes"", ""TRUE"", ""No"", ""FALSE"",TRUE, ""TRUE"", FALSE, ""FALSE"")"),"#REF!")</f>
        <v>#REF!</v>
      </c>
      <c r="AV343" s="6">
        <f t="shared" si="21"/>
        <v>0</v>
      </c>
      <c r="AW343" s="6">
        <f t="shared" si="22"/>
        <v>0</v>
      </c>
      <c r="AX343" s="6">
        <f t="shared" si="23"/>
        <v>0</v>
      </c>
      <c r="AY343" s="6">
        <f t="shared" si="24"/>
        <v>0</v>
      </c>
      <c r="AZ343" s="9" t="str">
        <f t="shared" si="25"/>
        <v/>
      </c>
      <c r="BA343" s="6">
        <f t="shared" si="26"/>
        <v>0</v>
      </c>
      <c r="BB343" s="6">
        <f t="shared" si="27"/>
        <v>0</v>
      </c>
      <c r="BC343" s="9" t="str">
        <f t="shared" si="28"/>
        <v/>
      </c>
      <c r="BD343" s="6">
        <f t="shared" si="29"/>
        <v>0</v>
      </c>
      <c r="BE343" s="6">
        <f t="shared" si="30"/>
        <v>0</v>
      </c>
      <c r="BF343" s="9" t="str">
        <f t="shared" si="31"/>
        <v/>
      </c>
      <c r="BG343" s="6">
        <f t="shared" si="32"/>
        <v>0</v>
      </c>
      <c r="BH343" s="6">
        <f t="shared" si="33"/>
        <v>0</v>
      </c>
      <c r="BI343" s="9" t="str">
        <f t="shared" si="34"/>
        <v/>
      </c>
      <c r="BJ343" s="6">
        <f t="shared" si="35"/>
        <v>0</v>
      </c>
      <c r="BK343" s="6">
        <f t="shared" si="36"/>
        <v>0</v>
      </c>
      <c r="BL343" s="6">
        <f t="shared" si="37"/>
        <v>0</v>
      </c>
      <c r="BM343" s="6">
        <f t="shared" si="38"/>
        <v>0</v>
      </c>
      <c r="BN343" s="6">
        <f t="shared" si="39"/>
        <v>0</v>
      </c>
      <c r="BP343" s="6">
        <f t="shared" si="40"/>
        <v>0</v>
      </c>
      <c r="BQ343" s="6" t="b">
        <f ca="1">IFERROR(__xludf.DUMMYFUNCTION("IF(AND(ISERROR(FILTER('Items by Team'!D$2:D3410,'Items by Team'!C$2:C3410 = D343,'Items by Team'!B$2:B3410 = B343)),NOT(A343=""Practice"")),TRUE,FALSE)"),FALSE)</f>
        <v>0</v>
      </c>
      <c r="BR343" s="6">
        <f t="shared" ca="1" si="41"/>
        <v>0</v>
      </c>
    </row>
    <row r="344" spans="1:70">
      <c r="A344" s="6"/>
      <c r="B344" s="6"/>
      <c r="C344" s="6"/>
      <c r="D344" s="6"/>
      <c r="E344" s="6"/>
      <c r="F344" s="6"/>
      <c r="G344" s="6"/>
      <c r="H344" s="6"/>
      <c r="I344" s="6"/>
      <c r="J344" s="6"/>
      <c r="K344" s="6"/>
      <c r="L344" s="6"/>
      <c r="M344" s="6"/>
      <c r="N344" s="6"/>
      <c r="O344" s="6"/>
      <c r="P344" s="6"/>
      <c r="R344" s="6"/>
      <c r="S344" s="6"/>
      <c r="T344" s="6"/>
      <c r="U344" s="6"/>
      <c r="V344" s="6"/>
      <c r="W344" s="6"/>
      <c r="X344" s="6"/>
      <c r="Y344" s="6"/>
      <c r="Z344" s="6"/>
      <c r="AA344" s="6"/>
      <c r="AB344" s="6"/>
      <c r="AD344" s="6"/>
      <c r="AE344" s="6"/>
      <c r="AF344" s="6"/>
      <c r="AG344" s="6"/>
      <c r="AH344" s="6"/>
      <c r="AI344" s="6"/>
      <c r="AK344" s="6"/>
      <c r="AL344" s="6"/>
      <c r="AM344" s="6"/>
      <c r="AN344" s="6"/>
      <c r="AO344" s="6"/>
      <c r="AP344" s="6"/>
      <c r="AQ344" s="6"/>
      <c r="AR344" s="6"/>
      <c r="AS344" s="15"/>
      <c r="AT344" s="6" t="str">
        <f ca="1">IFERROR(__xludf.DUMMYFUNCTION("SWITCH(IF(A344=""Practice"",AN344,FILTER('Items by Team'!E$2:E3410,'Items by Team'!C$2:C3410=D344,B344='Items by Team'!B$2:B3410)),""None"",""No"",""Parked"",""P"",""ShallowCage"",""Sc"",""DeepCage"",""Dc"",""No"",""No"",""P"",""P"",""Sc"",""Sc"",""Dc"","&amp;"""Dc"")"),"#REF!")</f>
        <v>#REF!</v>
      </c>
      <c r="AU344" s="6" t="str">
        <f ca="1">IFERROR(__xludf.DUMMYFUNCTION("SWITCH(IF(A344 = ""Practice"", H344, FILTER('Items by Team'!D$2:D3410,'Items by Team'!C$2:C3410 = D344,'Items by Team'!B$2:B3410 = B344)), ""Yes"", ""TRUE"", ""No"", ""FALSE"",TRUE, ""TRUE"", FALSE, ""FALSE"")"),"#REF!")</f>
        <v>#REF!</v>
      </c>
      <c r="AV344" s="6">
        <f t="shared" si="21"/>
        <v>0</v>
      </c>
      <c r="AW344" s="6">
        <f t="shared" si="22"/>
        <v>0</v>
      </c>
      <c r="AX344" s="6">
        <f t="shared" si="23"/>
        <v>0</v>
      </c>
      <c r="AY344" s="6">
        <f t="shared" si="24"/>
        <v>0</v>
      </c>
      <c r="AZ344" s="9" t="str">
        <f t="shared" si="25"/>
        <v/>
      </c>
      <c r="BA344" s="6">
        <f t="shared" si="26"/>
        <v>0</v>
      </c>
      <c r="BB344" s="6">
        <f t="shared" si="27"/>
        <v>0</v>
      </c>
      <c r="BC344" s="9" t="str">
        <f t="shared" si="28"/>
        <v/>
      </c>
      <c r="BD344" s="6">
        <f t="shared" si="29"/>
        <v>0</v>
      </c>
      <c r="BE344" s="6">
        <f t="shared" si="30"/>
        <v>0</v>
      </c>
      <c r="BF344" s="9" t="str">
        <f t="shared" si="31"/>
        <v/>
      </c>
      <c r="BG344" s="6">
        <f t="shared" si="32"/>
        <v>0</v>
      </c>
      <c r="BH344" s="6">
        <f t="shared" si="33"/>
        <v>0</v>
      </c>
      <c r="BI344" s="9" t="str">
        <f t="shared" si="34"/>
        <v/>
      </c>
      <c r="BJ344" s="6">
        <f t="shared" si="35"/>
        <v>0</v>
      </c>
      <c r="BK344" s="6">
        <f t="shared" si="36"/>
        <v>0</v>
      </c>
      <c r="BL344" s="6">
        <f t="shared" si="37"/>
        <v>0</v>
      </c>
      <c r="BM344" s="6">
        <f t="shared" si="38"/>
        <v>0</v>
      </c>
      <c r="BN344" s="6">
        <f t="shared" si="39"/>
        <v>0</v>
      </c>
      <c r="BP344" s="6">
        <f t="shared" si="40"/>
        <v>0</v>
      </c>
      <c r="BQ344" s="6" t="b">
        <f ca="1">IFERROR(__xludf.DUMMYFUNCTION("IF(AND(ISERROR(FILTER('Items by Team'!D$2:D3410,'Items by Team'!C$2:C3410 = D344,'Items by Team'!B$2:B3410 = B344)),NOT(A344=""Practice"")),TRUE,FALSE)"),FALSE)</f>
        <v>0</v>
      </c>
      <c r="BR344" s="6">
        <f t="shared" ca="1" si="41"/>
        <v>0</v>
      </c>
    </row>
    <row r="345" spans="1:70">
      <c r="A345" s="6"/>
      <c r="B345" s="6"/>
      <c r="C345" s="6"/>
      <c r="D345" s="6"/>
      <c r="E345" s="6"/>
      <c r="F345" s="6"/>
      <c r="G345" s="6"/>
      <c r="H345" s="6"/>
      <c r="I345" s="6"/>
      <c r="J345" s="6"/>
      <c r="K345" s="6"/>
      <c r="L345" s="6"/>
      <c r="M345" s="6"/>
      <c r="N345" s="6"/>
      <c r="O345" s="6"/>
      <c r="P345" s="6"/>
      <c r="R345" s="6"/>
      <c r="S345" s="6"/>
      <c r="T345" s="6"/>
      <c r="U345" s="6"/>
      <c r="V345" s="6"/>
      <c r="W345" s="6"/>
      <c r="X345" s="6"/>
      <c r="Y345" s="6"/>
      <c r="Z345" s="6"/>
      <c r="AA345" s="6"/>
      <c r="AB345" s="6"/>
      <c r="AD345" s="6"/>
      <c r="AE345" s="6"/>
      <c r="AF345" s="6"/>
      <c r="AG345" s="6"/>
      <c r="AH345" s="6"/>
      <c r="AI345" s="6"/>
      <c r="AK345" s="6"/>
      <c r="AL345" s="6"/>
      <c r="AM345" s="6"/>
      <c r="AN345" s="6"/>
      <c r="AO345" s="6"/>
      <c r="AP345" s="6"/>
      <c r="AQ345" s="6"/>
      <c r="AR345" s="6"/>
      <c r="AS345" s="15"/>
      <c r="AT345" s="6" t="str">
        <f ca="1">IFERROR(__xludf.DUMMYFUNCTION("SWITCH(IF(A345=""Practice"",AN345,FILTER('Items by Team'!E$2:E3410,'Items by Team'!C$2:C3410=D345,B345='Items by Team'!B$2:B3410)),""None"",""No"",""Parked"",""P"",""ShallowCage"",""Sc"",""DeepCage"",""Dc"",""No"",""No"",""P"",""P"",""Sc"",""Sc"",""Dc"","&amp;"""Dc"")"),"#REF!")</f>
        <v>#REF!</v>
      </c>
      <c r="AU345" s="6" t="str">
        <f ca="1">IFERROR(__xludf.DUMMYFUNCTION("SWITCH(IF(A345 = ""Practice"", H345, FILTER('Items by Team'!D$2:D3410,'Items by Team'!C$2:C3410 = D345,'Items by Team'!B$2:B3410 = B345)), ""Yes"", ""TRUE"", ""No"", ""FALSE"",TRUE, ""TRUE"", FALSE, ""FALSE"")"),"#REF!")</f>
        <v>#REF!</v>
      </c>
      <c r="AV345" s="6">
        <f t="shared" si="21"/>
        <v>0</v>
      </c>
      <c r="AW345" s="6">
        <f t="shared" si="22"/>
        <v>0</v>
      </c>
      <c r="AX345" s="6">
        <f t="shared" si="23"/>
        <v>0</v>
      </c>
      <c r="AY345" s="6">
        <f t="shared" si="24"/>
        <v>0</v>
      </c>
      <c r="AZ345" s="9" t="str">
        <f t="shared" si="25"/>
        <v/>
      </c>
      <c r="BA345" s="6">
        <f t="shared" si="26"/>
        <v>0</v>
      </c>
      <c r="BB345" s="6">
        <f t="shared" si="27"/>
        <v>0</v>
      </c>
      <c r="BC345" s="9" t="str">
        <f t="shared" si="28"/>
        <v/>
      </c>
      <c r="BD345" s="6">
        <f t="shared" si="29"/>
        <v>0</v>
      </c>
      <c r="BE345" s="6">
        <f t="shared" si="30"/>
        <v>0</v>
      </c>
      <c r="BF345" s="9" t="str">
        <f t="shared" si="31"/>
        <v/>
      </c>
      <c r="BG345" s="6">
        <f t="shared" si="32"/>
        <v>0</v>
      </c>
      <c r="BH345" s="6">
        <f t="shared" si="33"/>
        <v>0</v>
      </c>
      <c r="BI345" s="9" t="str">
        <f t="shared" si="34"/>
        <v/>
      </c>
      <c r="BJ345" s="6">
        <f t="shared" si="35"/>
        <v>0</v>
      </c>
      <c r="BK345" s="6">
        <f t="shared" si="36"/>
        <v>0</v>
      </c>
      <c r="BL345" s="6">
        <f t="shared" si="37"/>
        <v>0</v>
      </c>
      <c r="BM345" s="6">
        <f t="shared" si="38"/>
        <v>0</v>
      </c>
      <c r="BN345" s="6">
        <f t="shared" si="39"/>
        <v>0</v>
      </c>
      <c r="BP345" s="6">
        <f t="shared" si="40"/>
        <v>0</v>
      </c>
      <c r="BQ345" s="6" t="b">
        <f ca="1">IFERROR(__xludf.DUMMYFUNCTION("IF(AND(ISERROR(FILTER('Items by Team'!D$2:D3410,'Items by Team'!C$2:C3410 = D345,'Items by Team'!B$2:B3410 = B345)),NOT(A345=""Practice"")),TRUE,FALSE)"),FALSE)</f>
        <v>0</v>
      </c>
      <c r="BR345" s="6">
        <f t="shared" ca="1" si="41"/>
        <v>0</v>
      </c>
    </row>
    <row r="346" spans="1:70">
      <c r="A346" s="6"/>
      <c r="B346" s="6"/>
      <c r="C346" s="6"/>
      <c r="D346" s="6"/>
      <c r="E346" s="6"/>
      <c r="F346" s="6"/>
      <c r="G346" s="6"/>
      <c r="H346" s="6"/>
      <c r="I346" s="6"/>
      <c r="J346" s="6"/>
      <c r="K346" s="6"/>
      <c r="L346" s="6"/>
      <c r="M346" s="6"/>
      <c r="N346" s="6"/>
      <c r="O346" s="6"/>
      <c r="P346" s="6"/>
      <c r="R346" s="6"/>
      <c r="S346" s="6"/>
      <c r="T346" s="6"/>
      <c r="U346" s="6"/>
      <c r="V346" s="6"/>
      <c r="W346" s="6"/>
      <c r="X346" s="6"/>
      <c r="Y346" s="6"/>
      <c r="Z346" s="6"/>
      <c r="AA346" s="6"/>
      <c r="AB346" s="6"/>
      <c r="AD346" s="6"/>
      <c r="AE346" s="6"/>
      <c r="AF346" s="6"/>
      <c r="AG346" s="6"/>
      <c r="AH346" s="6"/>
      <c r="AI346" s="6"/>
      <c r="AK346" s="6"/>
      <c r="AL346" s="6"/>
      <c r="AM346" s="6"/>
      <c r="AN346" s="6"/>
      <c r="AO346" s="6"/>
      <c r="AP346" s="6"/>
      <c r="AQ346" s="6"/>
      <c r="AR346" s="6"/>
      <c r="AS346" s="15"/>
      <c r="AT346" s="6" t="str">
        <f ca="1">IFERROR(__xludf.DUMMYFUNCTION("SWITCH(IF(A346=""Practice"",AN346,FILTER('Items by Team'!E$2:E3410,'Items by Team'!C$2:C3410=D346,B346='Items by Team'!B$2:B3410)),""None"",""No"",""Parked"",""P"",""ShallowCage"",""Sc"",""DeepCage"",""Dc"",""No"",""No"",""P"",""P"",""Sc"",""Sc"",""Dc"","&amp;"""Dc"")"),"#REF!")</f>
        <v>#REF!</v>
      </c>
      <c r="AU346" s="6" t="str">
        <f ca="1">IFERROR(__xludf.DUMMYFUNCTION("SWITCH(IF(A346 = ""Practice"", H346, FILTER('Items by Team'!D$2:D3410,'Items by Team'!C$2:C3410 = D346,'Items by Team'!B$2:B3410 = B346)), ""Yes"", ""TRUE"", ""No"", ""FALSE"",TRUE, ""TRUE"", FALSE, ""FALSE"")"),"#REF!")</f>
        <v>#REF!</v>
      </c>
      <c r="AV346" s="6">
        <f t="shared" si="21"/>
        <v>0</v>
      </c>
      <c r="AW346" s="6">
        <f t="shared" si="22"/>
        <v>0</v>
      </c>
      <c r="AX346" s="6">
        <f t="shared" si="23"/>
        <v>0</v>
      </c>
      <c r="AY346" s="6">
        <f t="shared" si="24"/>
        <v>0</v>
      </c>
      <c r="AZ346" s="9" t="str">
        <f t="shared" si="25"/>
        <v/>
      </c>
      <c r="BA346" s="6">
        <f t="shared" si="26"/>
        <v>0</v>
      </c>
      <c r="BB346" s="6">
        <f t="shared" si="27"/>
        <v>0</v>
      </c>
      <c r="BC346" s="9" t="str">
        <f t="shared" si="28"/>
        <v/>
      </c>
      <c r="BD346" s="6">
        <f t="shared" si="29"/>
        <v>0</v>
      </c>
      <c r="BE346" s="6">
        <f t="shared" si="30"/>
        <v>0</v>
      </c>
      <c r="BF346" s="9" t="str">
        <f t="shared" si="31"/>
        <v/>
      </c>
      <c r="BG346" s="6">
        <f t="shared" si="32"/>
        <v>0</v>
      </c>
      <c r="BH346" s="6">
        <f t="shared" si="33"/>
        <v>0</v>
      </c>
      <c r="BI346" s="9" t="str">
        <f t="shared" si="34"/>
        <v/>
      </c>
      <c r="BJ346" s="6">
        <f t="shared" si="35"/>
        <v>0</v>
      </c>
      <c r="BK346" s="6">
        <f t="shared" si="36"/>
        <v>0</v>
      </c>
      <c r="BL346" s="6">
        <f t="shared" si="37"/>
        <v>0</v>
      </c>
      <c r="BM346" s="6">
        <f t="shared" si="38"/>
        <v>0</v>
      </c>
      <c r="BN346" s="6">
        <f t="shared" si="39"/>
        <v>0</v>
      </c>
      <c r="BP346" s="6">
        <f t="shared" si="40"/>
        <v>0</v>
      </c>
      <c r="BQ346" s="6" t="b">
        <f ca="1">IFERROR(__xludf.DUMMYFUNCTION("IF(AND(ISERROR(FILTER('Items by Team'!D$2:D3410,'Items by Team'!C$2:C3410 = D346,'Items by Team'!B$2:B3410 = B346)),NOT(A346=""Practice"")),TRUE,FALSE)"),FALSE)</f>
        <v>0</v>
      </c>
      <c r="BR346" s="6">
        <f t="shared" ca="1" si="41"/>
        <v>0</v>
      </c>
    </row>
    <row r="347" spans="1:70">
      <c r="A347" s="6"/>
      <c r="B347" s="6"/>
      <c r="C347" s="6"/>
      <c r="D347" s="6"/>
      <c r="E347" s="6"/>
      <c r="F347" s="6"/>
      <c r="G347" s="6"/>
      <c r="H347" s="6"/>
      <c r="I347" s="6"/>
      <c r="J347" s="6"/>
      <c r="K347" s="6"/>
      <c r="L347" s="6"/>
      <c r="M347" s="6"/>
      <c r="N347" s="6"/>
      <c r="O347" s="6"/>
      <c r="P347" s="6"/>
      <c r="R347" s="6"/>
      <c r="S347" s="6"/>
      <c r="T347" s="6"/>
      <c r="U347" s="6"/>
      <c r="V347" s="6"/>
      <c r="W347" s="6"/>
      <c r="X347" s="6"/>
      <c r="Y347" s="6"/>
      <c r="Z347" s="6"/>
      <c r="AA347" s="6"/>
      <c r="AB347" s="6"/>
      <c r="AD347" s="6"/>
      <c r="AE347" s="6"/>
      <c r="AF347" s="6"/>
      <c r="AG347" s="6"/>
      <c r="AH347" s="6"/>
      <c r="AI347" s="6"/>
      <c r="AK347" s="6"/>
      <c r="AL347" s="6"/>
      <c r="AM347" s="6"/>
      <c r="AN347" s="6"/>
      <c r="AO347" s="6"/>
      <c r="AP347" s="6"/>
      <c r="AQ347" s="6"/>
      <c r="AR347" s="6"/>
      <c r="AS347" s="15"/>
      <c r="AT347" s="6" t="str">
        <f ca="1">IFERROR(__xludf.DUMMYFUNCTION("SWITCH(IF(A347=""Practice"",AN347,FILTER('Items by Team'!E$2:E3410,'Items by Team'!C$2:C3410=D347,B347='Items by Team'!B$2:B3410)),""None"",""No"",""Parked"",""P"",""ShallowCage"",""Sc"",""DeepCage"",""Dc"",""No"",""No"",""P"",""P"",""Sc"",""Sc"",""Dc"","&amp;"""Dc"")"),"#REF!")</f>
        <v>#REF!</v>
      </c>
      <c r="AU347" s="6" t="str">
        <f ca="1">IFERROR(__xludf.DUMMYFUNCTION("SWITCH(IF(A347 = ""Practice"", H347, FILTER('Items by Team'!D$2:D3410,'Items by Team'!C$2:C3410 = D347,'Items by Team'!B$2:B3410 = B347)), ""Yes"", ""TRUE"", ""No"", ""FALSE"",TRUE, ""TRUE"", FALSE, ""FALSE"")"),"#REF!")</f>
        <v>#REF!</v>
      </c>
      <c r="AV347" s="6">
        <f t="shared" si="21"/>
        <v>0</v>
      </c>
      <c r="AW347" s="6">
        <f t="shared" si="22"/>
        <v>0</v>
      </c>
      <c r="AX347" s="6">
        <f t="shared" si="23"/>
        <v>0</v>
      </c>
      <c r="AY347" s="6">
        <f t="shared" si="24"/>
        <v>0</v>
      </c>
      <c r="AZ347" s="9" t="str">
        <f t="shared" si="25"/>
        <v/>
      </c>
      <c r="BA347" s="6">
        <f t="shared" si="26"/>
        <v>0</v>
      </c>
      <c r="BB347" s="6">
        <f t="shared" si="27"/>
        <v>0</v>
      </c>
      <c r="BC347" s="9" t="str">
        <f t="shared" si="28"/>
        <v/>
      </c>
      <c r="BD347" s="6">
        <f t="shared" si="29"/>
        <v>0</v>
      </c>
      <c r="BE347" s="6">
        <f t="shared" si="30"/>
        <v>0</v>
      </c>
      <c r="BF347" s="9" t="str">
        <f t="shared" si="31"/>
        <v/>
      </c>
      <c r="BG347" s="6">
        <f t="shared" si="32"/>
        <v>0</v>
      </c>
      <c r="BH347" s="6">
        <f t="shared" si="33"/>
        <v>0</v>
      </c>
      <c r="BI347" s="9" t="str">
        <f t="shared" si="34"/>
        <v/>
      </c>
      <c r="BJ347" s="6">
        <f t="shared" si="35"/>
        <v>0</v>
      </c>
      <c r="BK347" s="6">
        <f t="shared" si="36"/>
        <v>0</v>
      </c>
      <c r="BL347" s="6">
        <f t="shared" si="37"/>
        <v>0</v>
      </c>
      <c r="BM347" s="6">
        <f t="shared" si="38"/>
        <v>0</v>
      </c>
      <c r="BN347" s="6">
        <f t="shared" si="39"/>
        <v>0</v>
      </c>
      <c r="BP347" s="6">
        <f t="shared" si="40"/>
        <v>0</v>
      </c>
      <c r="BQ347" s="6" t="b">
        <f ca="1">IFERROR(__xludf.DUMMYFUNCTION("IF(AND(ISERROR(FILTER('Items by Team'!D$2:D3410,'Items by Team'!C$2:C3410 = D347,'Items by Team'!B$2:B3410 = B347)),NOT(A347=""Practice"")),TRUE,FALSE)"),FALSE)</f>
        <v>0</v>
      </c>
      <c r="BR347" s="6">
        <f t="shared" ca="1" si="41"/>
        <v>0</v>
      </c>
    </row>
    <row r="348" spans="1:70">
      <c r="A348" s="6"/>
      <c r="B348" s="6"/>
      <c r="C348" s="6"/>
      <c r="D348" s="6"/>
      <c r="E348" s="6"/>
      <c r="F348" s="6"/>
      <c r="G348" s="6"/>
      <c r="H348" s="6"/>
      <c r="I348" s="6"/>
      <c r="J348" s="6"/>
      <c r="K348" s="6"/>
      <c r="L348" s="6"/>
      <c r="M348" s="6"/>
      <c r="N348" s="6"/>
      <c r="O348" s="6"/>
      <c r="P348" s="6"/>
      <c r="R348" s="6"/>
      <c r="S348" s="6"/>
      <c r="T348" s="6"/>
      <c r="U348" s="6"/>
      <c r="V348" s="6"/>
      <c r="W348" s="6"/>
      <c r="X348" s="6"/>
      <c r="Y348" s="6"/>
      <c r="Z348" s="6"/>
      <c r="AA348" s="6"/>
      <c r="AB348" s="6"/>
      <c r="AD348" s="6"/>
      <c r="AE348" s="6"/>
      <c r="AF348" s="6"/>
      <c r="AG348" s="6"/>
      <c r="AH348" s="6"/>
      <c r="AI348" s="6"/>
      <c r="AK348" s="6"/>
      <c r="AL348" s="6"/>
      <c r="AM348" s="6"/>
      <c r="AN348" s="6"/>
      <c r="AO348" s="6"/>
      <c r="AP348" s="6"/>
      <c r="AQ348" s="6"/>
      <c r="AR348" s="6"/>
      <c r="AS348" s="15"/>
      <c r="AT348" s="6" t="str">
        <f ca="1">IFERROR(__xludf.DUMMYFUNCTION("SWITCH(IF(A348=""Practice"",AN348,FILTER('Items by Team'!E$2:E3410,'Items by Team'!C$2:C3410=D348,B348='Items by Team'!B$2:B3410)),""None"",""No"",""Parked"",""P"",""ShallowCage"",""Sc"",""DeepCage"",""Dc"",""No"",""No"",""P"",""P"",""Sc"",""Sc"",""Dc"","&amp;"""Dc"")"),"#REF!")</f>
        <v>#REF!</v>
      </c>
      <c r="AU348" s="6" t="str">
        <f ca="1">IFERROR(__xludf.DUMMYFUNCTION("SWITCH(IF(A348 = ""Practice"", H348, FILTER('Items by Team'!D$2:D3410,'Items by Team'!C$2:C3410 = D348,'Items by Team'!B$2:B3410 = B348)), ""Yes"", ""TRUE"", ""No"", ""FALSE"",TRUE, ""TRUE"", FALSE, ""FALSE"")"),"#REF!")</f>
        <v>#REF!</v>
      </c>
      <c r="AV348" s="6">
        <f t="shared" si="21"/>
        <v>0</v>
      </c>
      <c r="AW348" s="6">
        <f t="shared" si="22"/>
        <v>0</v>
      </c>
      <c r="AX348" s="6">
        <f t="shared" si="23"/>
        <v>0</v>
      </c>
      <c r="AY348" s="6">
        <f t="shared" si="24"/>
        <v>0</v>
      </c>
      <c r="AZ348" s="9" t="str">
        <f t="shared" si="25"/>
        <v/>
      </c>
      <c r="BA348" s="6">
        <f t="shared" si="26"/>
        <v>0</v>
      </c>
      <c r="BB348" s="6">
        <f t="shared" si="27"/>
        <v>0</v>
      </c>
      <c r="BC348" s="9" t="str">
        <f t="shared" si="28"/>
        <v/>
      </c>
      <c r="BD348" s="6">
        <f t="shared" si="29"/>
        <v>0</v>
      </c>
      <c r="BE348" s="6">
        <f t="shared" si="30"/>
        <v>0</v>
      </c>
      <c r="BF348" s="9" t="str">
        <f t="shared" si="31"/>
        <v/>
      </c>
      <c r="BG348" s="6">
        <f t="shared" si="32"/>
        <v>0</v>
      </c>
      <c r="BH348" s="6">
        <f t="shared" si="33"/>
        <v>0</v>
      </c>
      <c r="BI348" s="9" t="str">
        <f t="shared" si="34"/>
        <v/>
      </c>
      <c r="BJ348" s="6">
        <f t="shared" si="35"/>
        <v>0</v>
      </c>
      <c r="BK348" s="6">
        <f t="shared" si="36"/>
        <v>0</v>
      </c>
      <c r="BL348" s="6">
        <f t="shared" si="37"/>
        <v>0</v>
      </c>
      <c r="BM348" s="6">
        <f t="shared" si="38"/>
        <v>0</v>
      </c>
      <c r="BN348" s="6">
        <f t="shared" si="39"/>
        <v>0</v>
      </c>
      <c r="BP348" s="6">
        <f t="shared" si="40"/>
        <v>0</v>
      </c>
      <c r="BQ348" s="6" t="b">
        <f ca="1">IFERROR(__xludf.DUMMYFUNCTION("IF(AND(ISERROR(FILTER('Items by Team'!D$2:D3410,'Items by Team'!C$2:C3410 = D348,'Items by Team'!B$2:B3410 = B348)),NOT(A348=""Practice"")),TRUE,FALSE)"),FALSE)</f>
        <v>0</v>
      </c>
      <c r="BR348" s="6">
        <f t="shared" ca="1" si="41"/>
        <v>0</v>
      </c>
    </row>
    <row r="349" spans="1:70">
      <c r="A349" s="6"/>
      <c r="B349" s="6"/>
      <c r="C349" s="6"/>
      <c r="D349" s="6"/>
      <c r="E349" s="6"/>
      <c r="F349" s="6"/>
      <c r="G349" s="6"/>
      <c r="H349" s="6"/>
      <c r="I349" s="6"/>
      <c r="J349" s="6"/>
      <c r="K349" s="6"/>
      <c r="L349" s="6"/>
      <c r="M349" s="6"/>
      <c r="N349" s="6"/>
      <c r="O349" s="6"/>
      <c r="P349" s="6"/>
      <c r="R349" s="6"/>
      <c r="S349" s="6"/>
      <c r="T349" s="6"/>
      <c r="U349" s="6"/>
      <c r="V349" s="6"/>
      <c r="W349" s="6"/>
      <c r="X349" s="6"/>
      <c r="Y349" s="6"/>
      <c r="Z349" s="6"/>
      <c r="AA349" s="6"/>
      <c r="AB349" s="6"/>
      <c r="AD349" s="6"/>
      <c r="AE349" s="6"/>
      <c r="AF349" s="6"/>
      <c r="AG349" s="6"/>
      <c r="AH349" s="6"/>
      <c r="AI349" s="6"/>
      <c r="AK349" s="6"/>
      <c r="AL349" s="6"/>
      <c r="AM349" s="6"/>
      <c r="AN349" s="6"/>
      <c r="AO349" s="6"/>
      <c r="AP349" s="6"/>
      <c r="AQ349" s="6"/>
      <c r="AR349" s="6"/>
      <c r="AS349" s="15"/>
      <c r="AT349" s="6" t="str">
        <f ca="1">IFERROR(__xludf.DUMMYFUNCTION("SWITCH(IF(A349=""Practice"",AN349,FILTER('Items by Team'!E$2:E3410,'Items by Team'!C$2:C3410=D349,B349='Items by Team'!B$2:B3410)),""None"",""No"",""Parked"",""P"",""ShallowCage"",""Sc"",""DeepCage"",""Dc"",""No"",""No"",""P"",""P"",""Sc"",""Sc"",""Dc"","&amp;"""Dc"")"),"#REF!")</f>
        <v>#REF!</v>
      </c>
      <c r="AU349" s="6" t="str">
        <f ca="1">IFERROR(__xludf.DUMMYFUNCTION("SWITCH(IF(A349 = ""Practice"", H349, FILTER('Items by Team'!D$2:D3410,'Items by Team'!C$2:C3410 = D349,'Items by Team'!B$2:B3410 = B349)), ""Yes"", ""TRUE"", ""No"", ""FALSE"",TRUE, ""TRUE"", FALSE, ""FALSE"")"),"#REF!")</f>
        <v>#REF!</v>
      </c>
      <c r="AV349" s="6">
        <f t="shared" si="21"/>
        <v>0</v>
      </c>
      <c r="AW349" s="6">
        <f t="shared" si="22"/>
        <v>0</v>
      </c>
      <c r="AX349" s="6">
        <f t="shared" si="23"/>
        <v>0</v>
      </c>
      <c r="AY349" s="6">
        <f t="shared" si="24"/>
        <v>0</v>
      </c>
      <c r="AZ349" s="9" t="str">
        <f t="shared" si="25"/>
        <v/>
      </c>
      <c r="BA349" s="6">
        <f t="shared" si="26"/>
        <v>0</v>
      </c>
      <c r="BB349" s="6">
        <f t="shared" si="27"/>
        <v>0</v>
      </c>
      <c r="BC349" s="9" t="str">
        <f t="shared" si="28"/>
        <v/>
      </c>
      <c r="BD349" s="6">
        <f t="shared" si="29"/>
        <v>0</v>
      </c>
      <c r="BE349" s="6">
        <f t="shared" si="30"/>
        <v>0</v>
      </c>
      <c r="BF349" s="9" t="str">
        <f t="shared" si="31"/>
        <v/>
      </c>
      <c r="BG349" s="6">
        <f t="shared" si="32"/>
        <v>0</v>
      </c>
      <c r="BH349" s="6">
        <f t="shared" si="33"/>
        <v>0</v>
      </c>
      <c r="BI349" s="9" t="str">
        <f t="shared" si="34"/>
        <v/>
      </c>
      <c r="BJ349" s="6">
        <f t="shared" si="35"/>
        <v>0</v>
      </c>
      <c r="BK349" s="6">
        <f t="shared" si="36"/>
        <v>0</v>
      </c>
      <c r="BL349" s="6">
        <f t="shared" si="37"/>
        <v>0</v>
      </c>
      <c r="BM349" s="6">
        <f t="shared" si="38"/>
        <v>0</v>
      </c>
      <c r="BN349" s="6">
        <f t="shared" si="39"/>
        <v>0</v>
      </c>
      <c r="BP349" s="6">
        <f t="shared" si="40"/>
        <v>0</v>
      </c>
      <c r="BQ349" s="6" t="b">
        <f ca="1">IFERROR(__xludf.DUMMYFUNCTION("IF(AND(ISERROR(FILTER('Items by Team'!D$2:D3410,'Items by Team'!C$2:C3410 = D349,'Items by Team'!B$2:B3410 = B349)),NOT(A349=""Practice"")),TRUE,FALSE)"),FALSE)</f>
        <v>0</v>
      </c>
      <c r="BR349" s="6">
        <f t="shared" ca="1" si="41"/>
        <v>0</v>
      </c>
    </row>
    <row r="350" spans="1:70">
      <c r="A350" s="6"/>
      <c r="B350" s="6"/>
      <c r="C350" s="6"/>
      <c r="D350" s="6"/>
      <c r="E350" s="6"/>
      <c r="F350" s="6"/>
      <c r="G350" s="6"/>
      <c r="H350" s="6"/>
      <c r="I350" s="6"/>
      <c r="J350" s="6"/>
      <c r="K350" s="6"/>
      <c r="L350" s="6"/>
      <c r="M350" s="6"/>
      <c r="N350" s="6"/>
      <c r="O350" s="6"/>
      <c r="P350" s="6"/>
      <c r="R350" s="6"/>
      <c r="S350" s="6"/>
      <c r="T350" s="6"/>
      <c r="U350" s="6"/>
      <c r="V350" s="6"/>
      <c r="W350" s="6"/>
      <c r="X350" s="6"/>
      <c r="Y350" s="6"/>
      <c r="Z350" s="6"/>
      <c r="AA350" s="6"/>
      <c r="AB350" s="6"/>
      <c r="AD350" s="6"/>
      <c r="AE350" s="6"/>
      <c r="AF350" s="6"/>
      <c r="AG350" s="6"/>
      <c r="AH350" s="6"/>
      <c r="AI350" s="6"/>
      <c r="AK350" s="6"/>
      <c r="AL350" s="6"/>
      <c r="AM350" s="6"/>
      <c r="AN350" s="6"/>
      <c r="AO350" s="6"/>
      <c r="AP350" s="6"/>
      <c r="AQ350" s="6"/>
      <c r="AR350" s="6"/>
      <c r="AS350" s="15"/>
      <c r="AT350" s="6" t="str">
        <f ca="1">IFERROR(__xludf.DUMMYFUNCTION("SWITCH(IF(A350=""Practice"",AN350,FILTER('Items by Team'!E$2:E3410,'Items by Team'!C$2:C3410=D350,B350='Items by Team'!B$2:B3410)),""None"",""No"",""Parked"",""P"",""ShallowCage"",""Sc"",""DeepCage"",""Dc"",""No"",""No"",""P"",""P"",""Sc"",""Sc"",""Dc"","&amp;"""Dc"")"),"#REF!")</f>
        <v>#REF!</v>
      </c>
      <c r="AU350" s="6" t="str">
        <f ca="1">IFERROR(__xludf.DUMMYFUNCTION("SWITCH(IF(A350 = ""Practice"", H350, FILTER('Items by Team'!D$2:D3410,'Items by Team'!C$2:C3410 = D350,'Items by Team'!B$2:B3410 = B350)), ""Yes"", ""TRUE"", ""No"", ""FALSE"",TRUE, ""TRUE"", FALSE, ""FALSE"")"),"#REF!")</f>
        <v>#REF!</v>
      </c>
      <c r="AV350" s="6">
        <f t="shared" si="21"/>
        <v>0</v>
      </c>
      <c r="AW350" s="6">
        <f t="shared" si="22"/>
        <v>0</v>
      </c>
      <c r="AX350" s="6">
        <f t="shared" si="23"/>
        <v>0</v>
      </c>
      <c r="AY350" s="6">
        <f t="shared" si="24"/>
        <v>0</v>
      </c>
      <c r="AZ350" s="9" t="str">
        <f t="shared" si="25"/>
        <v/>
      </c>
      <c r="BA350" s="6">
        <f t="shared" si="26"/>
        <v>0</v>
      </c>
      <c r="BB350" s="6">
        <f t="shared" si="27"/>
        <v>0</v>
      </c>
      <c r="BC350" s="9" t="str">
        <f t="shared" si="28"/>
        <v/>
      </c>
      <c r="BD350" s="6">
        <f t="shared" si="29"/>
        <v>0</v>
      </c>
      <c r="BE350" s="6">
        <f t="shared" si="30"/>
        <v>0</v>
      </c>
      <c r="BF350" s="9" t="str">
        <f t="shared" si="31"/>
        <v/>
      </c>
      <c r="BG350" s="6">
        <f t="shared" si="32"/>
        <v>0</v>
      </c>
      <c r="BH350" s="6">
        <f t="shared" si="33"/>
        <v>0</v>
      </c>
      <c r="BI350" s="9" t="str">
        <f t="shared" si="34"/>
        <v/>
      </c>
      <c r="BJ350" s="6">
        <f t="shared" si="35"/>
        <v>0</v>
      </c>
      <c r="BK350" s="6">
        <f t="shared" si="36"/>
        <v>0</v>
      </c>
      <c r="BL350" s="6">
        <f t="shared" si="37"/>
        <v>0</v>
      </c>
      <c r="BM350" s="6">
        <f t="shared" si="38"/>
        <v>0</v>
      </c>
      <c r="BN350" s="6">
        <f t="shared" si="39"/>
        <v>0</v>
      </c>
      <c r="BP350" s="6">
        <f t="shared" si="40"/>
        <v>0</v>
      </c>
      <c r="BQ350" s="6" t="b">
        <f ca="1">IFERROR(__xludf.DUMMYFUNCTION("IF(AND(ISERROR(FILTER('Items by Team'!D$2:D3410,'Items by Team'!C$2:C3410 = D350,'Items by Team'!B$2:B3410 = B350)),NOT(A350=""Practice"")),TRUE,FALSE)"),FALSE)</f>
        <v>0</v>
      </c>
      <c r="BR350" s="6">
        <f t="shared" ca="1" si="41"/>
        <v>0</v>
      </c>
    </row>
    <row r="351" spans="1:70">
      <c r="A351" s="6"/>
      <c r="B351" s="6"/>
      <c r="C351" s="6"/>
      <c r="D351" s="6"/>
      <c r="E351" s="6"/>
      <c r="F351" s="6"/>
      <c r="G351" s="6"/>
      <c r="H351" s="6"/>
      <c r="I351" s="6"/>
      <c r="J351" s="6"/>
      <c r="K351" s="6"/>
      <c r="L351" s="6"/>
      <c r="M351" s="6"/>
      <c r="N351" s="6"/>
      <c r="O351" s="6"/>
      <c r="P351" s="6"/>
      <c r="R351" s="6"/>
      <c r="S351" s="6"/>
      <c r="T351" s="6"/>
      <c r="U351" s="6"/>
      <c r="V351" s="6"/>
      <c r="W351" s="6"/>
      <c r="X351" s="6"/>
      <c r="Y351" s="6"/>
      <c r="Z351" s="6"/>
      <c r="AA351" s="6"/>
      <c r="AB351" s="6"/>
      <c r="AD351" s="6"/>
      <c r="AE351" s="6"/>
      <c r="AF351" s="6"/>
      <c r="AG351" s="6"/>
      <c r="AH351" s="6"/>
      <c r="AI351" s="6"/>
      <c r="AK351" s="6"/>
      <c r="AL351" s="6"/>
      <c r="AM351" s="6"/>
      <c r="AN351" s="6"/>
      <c r="AO351" s="6"/>
      <c r="AP351" s="6"/>
      <c r="AQ351" s="6"/>
      <c r="AR351" s="6"/>
      <c r="AS351" s="15"/>
      <c r="AT351" s="6" t="str">
        <f ca="1">IFERROR(__xludf.DUMMYFUNCTION("SWITCH(IF(A351=""Practice"",AN351,FILTER('Items by Team'!E$2:E3410,'Items by Team'!C$2:C3410=D351,B351='Items by Team'!B$2:B3410)),""None"",""No"",""Parked"",""P"",""ShallowCage"",""Sc"",""DeepCage"",""Dc"",""No"",""No"",""P"",""P"",""Sc"",""Sc"",""Dc"","&amp;"""Dc"")"),"#REF!")</f>
        <v>#REF!</v>
      </c>
      <c r="AU351" s="6" t="str">
        <f ca="1">IFERROR(__xludf.DUMMYFUNCTION("SWITCH(IF(A351 = ""Practice"", H351, FILTER('Items by Team'!D$2:D3410,'Items by Team'!C$2:C3410 = D351,'Items by Team'!B$2:B3410 = B351)), ""Yes"", ""TRUE"", ""No"", ""FALSE"",TRUE, ""TRUE"", FALSE, ""FALSE"")"),"#REF!")</f>
        <v>#REF!</v>
      </c>
      <c r="AV351" s="6">
        <f t="shared" si="21"/>
        <v>0</v>
      </c>
      <c r="AW351" s="6">
        <f t="shared" si="22"/>
        <v>0</v>
      </c>
      <c r="AX351" s="6">
        <f t="shared" si="23"/>
        <v>0</v>
      </c>
      <c r="AY351" s="6">
        <f t="shared" si="24"/>
        <v>0</v>
      </c>
      <c r="AZ351" s="9" t="str">
        <f t="shared" si="25"/>
        <v/>
      </c>
      <c r="BA351" s="6">
        <f t="shared" si="26"/>
        <v>0</v>
      </c>
      <c r="BB351" s="6">
        <f t="shared" si="27"/>
        <v>0</v>
      </c>
      <c r="BC351" s="9" t="str">
        <f t="shared" si="28"/>
        <v/>
      </c>
      <c r="BD351" s="6">
        <f t="shared" si="29"/>
        <v>0</v>
      </c>
      <c r="BE351" s="6">
        <f t="shared" si="30"/>
        <v>0</v>
      </c>
      <c r="BF351" s="9" t="str">
        <f t="shared" si="31"/>
        <v/>
      </c>
      <c r="BG351" s="6">
        <f t="shared" si="32"/>
        <v>0</v>
      </c>
      <c r="BH351" s="6">
        <f t="shared" si="33"/>
        <v>0</v>
      </c>
      <c r="BI351" s="9" t="str">
        <f t="shared" si="34"/>
        <v/>
      </c>
      <c r="BJ351" s="6">
        <f t="shared" si="35"/>
        <v>0</v>
      </c>
      <c r="BK351" s="6">
        <f t="shared" si="36"/>
        <v>0</v>
      </c>
      <c r="BL351" s="6">
        <f t="shared" si="37"/>
        <v>0</v>
      </c>
      <c r="BM351" s="6">
        <f t="shared" si="38"/>
        <v>0</v>
      </c>
      <c r="BN351" s="6">
        <f t="shared" si="39"/>
        <v>0</v>
      </c>
      <c r="BP351" s="6">
        <f t="shared" si="40"/>
        <v>0</v>
      </c>
      <c r="BQ351" s="6" t="b">
        <f ca="1">IFERROR(__xludf.DUMMYFUNCTION("IF(AND(ISERROR(FILTER('Items by Team'!D$2:D3410,'Items by Team'!C$2:C3410 = D351,'Items by Team'!B$2:B3410 = B351)),NOT(A351=""Practice"")),TRUE,FALSE)"),FALSE)</f>
        <v>0</v>
      </c>
      <c r="BR351" s="6">
        <f t="shared" ca="1" si="41"/>
        <v>0</v>
      </c>
    </row>
    <row r="352" spans="1:70">
      <c r="A352" s="6"/>
      <c r="B352" s="6"/>
      <c r="C352" s="6"/>
      <c r="D352" s="6"/>
      <c r="E352" s="6"/>
      <c r="F352" s="6"/>
      <c r="G352" s="6"/>
      <c r="H352" s="6"/>
      <c r="I352" s="6"/>
      <c r="J352" s="6"/>
      <c r="K352" s="6"/>
      <c r="L352" s="6"/>
      <c r="M352" s="6"/>
      <c r="N352" s="6"/>
      <c r="O352" s="6"/>
      <c r="P352" s="6"/>
      <c r="R352" s="6"/>
      <c r="S352" s="6"/>
      <c r="T352" s="6"/>
      <c r="U352" s="6"/>
      <c r="V352" s="6"/>
      <c r="W352" s="6"/>
      <c r="X352" s="6"/>
      <c r="Y352" s="6"/>
      <c r="Z352" s="6"/>
      <c r="AA352" s="6"/>
      <c r="AB352" s="6"/>
      <c r="AD352" s="6"/>
      <c r="AE352" s="6"/>
      <c r="AF352" s="6"/>
      <c r="AG352" s="6"/>
      <c r="AH352" s="6"/>
      <c r="AI352" s="6"/>
      <c r="AK352" s="6"/>
      <c r="AL352" s="6"/>
      <c r="AM352" s="6"/>
      <c r="AN352" s="6"/>
      <c r="AO352" s="6"/>
      <c r="AP352" s="6"/>
      <c r="AQ352" s="6"/>
      <c r="AR352" s="6"/>
      <c r="AS352" s="15"/>
      <c r="AT352" s="6" t="str">
        <f ca="1">IFERROR(__xludf.DUMMYFUNCTION("SWITCH(IF(A352=""Practice"",AN352,FILTER('Items by Team'!E$2:E3410,'Items by Team'!C$2:C3410=D352,B352='Items by Team'!B$2:B3410)),""None"",""No"",""Parked"",""P"",""ShallowCage"",""Sc"",""DeepCage"",""Dc"",""No"",""No"",""P"",""P"",""Sc"",""Sc"",""Dc"","&amp;"""Dc"")"),"#REF!")</f>
        <v>#REF!</v>
      </c>
      <c r="AU352" s="6" t="str">
        <f ca="1">IFERROR(__xludf.DUMMYFUNCTION("SWITCH(IF(A352 = ""Practice"", H352, FILTER('Items by Team'!D$2:D3410,'Items by Team'!C$2:C3410 = D352,'Items by Team'!B$2:B3410 = B352)), ""Yes"", ""TRUE"", ""No"", ""FALSE"",TRUE, ""TRUE"", FALSE, ""FALSE"")"),"#REF!")</f>
        <v>#REF!</v>
      </c>
      <c r="AV352" s="6">
        <f t="shared" si="21"/>
        <v>0</v>
      </c>
      <c r="AW352" s="6">
        <f t="shared" si="22"/>
        <v>0</v>
      </c>
      <c r="AX352" s="6">
        <f t="shared" si="23"/>
        <v>0</v>
      </c>
      <c r="AY352" s="6">
        <f t="shared" si="24"/>
        <v>0</v>
      </c>
      <c r="AZ352" s="9" t="str">
        <f t="shared" si="25"/>
        <v/>
      </c>
      <c r="BA352" s="6">
        <f t="shared" si="26"/>
        <v>0</v>
      </c>
      <c r="BB352" s="6">
        <f t="shared" si="27"/>
        <v>0</v>
      </c>
      <c r="BC352" s="9" t="str">
        <f t="shared" si="28"/>
        <v/>
      </c>
      <c r="BD352" s="6">
        <f t="shared" si="29"/>
        <v>0</v>
      </c>
      <c r="BE352" s="6">
        <f t="shared" si="30"/>
        <v>0</v>
      </c>
      <c r="BF352" s="9" t="str">
        <f t="shared" si="31"/>
        <v/>
      </c>
      <c r="BG352" s="6">
        <f t="shared" si="32"/>
        <v>0</v>
      </c>
      <c r="BH352" s="6">
        <f t="shared" si="33"/>
        <v>0</v>
      </c>
      <c r="BI352" s="9" t="str">
        <f t="shared" si="34"/>
        <v/>
      </c>
      <c r="BJ352" s="6">
        <f t="shared" si="35"/>
        <v>0</v>
      </c>
      <c r="BK352" s="6">
        <f t="shared" si="36"/>
        <v>0</v>
      </c>
      <c r="BL352" s="6">
        <f t="shared" si="37"/>
        <v>0</v>
      </c>
      <c r="BM352" s="6">
        <f t="shared" si="38"/>
        <v>0</v>
      </c>
      <c r="BN352" s="6">
        <f t="shared" si="39"/>
        <v>0</v>
      </c>
      <c r="BP352" s="6">
        <f t="shared" si="40"/>
        <v>0</v>
      </c>
      <c r="BQ352" s="6" t="b">
        <f ca="1">IFERROR(__xludf.DUMMYFUNCTION("IF(AND(ISERROR(FILTER('Items by Team'!D$2:D3410,'Items by Team'!C$2:C3410 = D352,'Items by Team'!B$2:B3410 = B352)),NOT(A352=""Practice"")),TRUE,FALSE)"),FALSE)</f>
        <v>0</v>
      </c>
      <c r="BR352" s="6">
        <f t="shared" ca="1" si="41"/>
        <v>0</v>
      </c>
    </row>
    <row r="353" spans="1:70">
      <c r="A353" s="6"/>
      <c r="B353" s="6"/>
      <c r="C353" s="6"/>
      <c r="D353" s="6"/>
      <c r="E353" s="6"/>
      <c r="F353" s="6"/>
      <c r="G353" s="6"/>
      <c r="H353" s="6"/>
      <c r="I353" s="6"/>
      <c r="J353" s="6"/>
      <c r="K353" s="6"/>
      <c r="L353" s="6"/>
      <c r="M353" s="6"/>
      <c r="N353" s="6"/>
      <c r="O353" s="6"/>
      <c r="P353" s="6"/>
      <c r="R353" s="6"/>
      <c r="S353" s="6"/>
      <c r="T353" s="6"/>
      <c r="U353" s="6"/>
      <c r="V353" s="6"/>
      <c r="W353" s="6"/>
      <c r="X353" s="6"/>
      <c r="Y353" s="6"/>
      <c r="Z353" s="6"/>
      <c r="AA353" s="6"/>
      <c r="AB353" s="6"/>
      <c r="AD353" s="6"/>
      <c r="AE353" s="6"/>
      <c r="AF353" s="6"/>
      <c r="AG353" s="6"/>
      <c r="AH353" s="6"/>
      <c r="AI353" s="6"/>
      <c r="AK353" s="6"/>
      <c r="AL353" s="6"/>
      <c r="AM353" s="6"/>
      <c r="AN353" s="6"/>
      <c r="AO353" s="6"/>
      <c r="AP353" s="6"/>
      <c r="AQ353" s="6"/>
      <c r="AR353" s="6"/>
      <c r="AS353" s="15"/>
      <c r="AT353" s="6" t="str">
        <f ca="1">IFERROR(__xludf.DUMMYFUNCTION("SWITCH(IF(A353=""Practice"",AN353,FILTER('Items by Team'!E$2:E3410,'Items by Team'!C$2:C3410=D353,B353='Items by Team'!B$2:B3410)),""None"",""No"",""Parked"",""P"",""ShallowCage"",""Sc"",""DeepCage"",""Dc"",""No"",""No"",""P"",""P"",""Sc"",""Sc"",""Dc"","&amp;"""Dc"")"),"#REF!")</f>
        <v>#REF!</v>
      </c>
      <c r="AU353" s="6" t="str">
        <f ca="1">IFERROR(__xludf.DUMMYFUNCTION("SWITCH(IF(A353 = ""Practice"", H353, FILTER('Items by Team'!D$2:D3410,'Items by Team'!C$2:C3410 = D353,'Items by Team'!B$2:B3410 = B353)), ""Yes"", ""TRUE"", ""No"", ""FALSE"",TRUE, ""TRUE"", FALSE, ""FALSE"")"),"#REF!")</f>
        <v>#REF!</v>
      </c>
      <c r="AV353" s="6">
        <f t="shared" si="21"/>
        <v>0</v>
      </c>
      <c r="AW353" s="6">
        <f t="shared" si="22"/>
        <v>0</v>
      </c>
      <c r="AX353" s="6">
        <f t="shared" si="23"/>
        <v>0</v>
      </c>
      <c r="AY353" s="6">
        <f t="shared" si="24"/>
        <v>0</v>
      </c>
      <c r="AZ353" s="9" t="str">
        <f t="shared" si="25"/>
        <v/>
      </c>
      <c r="BA353" s="6">
        <f t="shared" si="26"/>
        <v>0</v>
      </c>
      <c r="BB353" s="6">
        <f t="shared" si="27"/>
        <v>0</v>
      </c>
      <c r="BC353" s="9" t="str">
        <f t="shared" si="28"/>
        <v/>
      </c>
      <c r="BD353" s="6">
        <f t="shared" si="29"/>
        <v>0</v>
      </c>
      <c r="BE353" s="6">
        <f t="shared" si="30"/>
        <v>0</v>
      </c>
      <c r="BF353" s="9" t="str">
        <f t="shared" si="31"/>
        <v/>
      </c>
      <c r="BG353" s="6">
        <f t="shared" si="32"/>
        <v>0</v>
      </c>
      <c r="BH353" s="6">
        <f t="shared" si="33"/>
        <v>0</v>
      </c>
      <c r="BI353" s="9" t="str">
        <f t="shared" si="34"/>
        <v/>
      </c>
      <c r="BJ353" s="6">
        <f t="shared" si="35"/>
        <v>0</v>
      </c>
      <c r="BK353" s="6">
        <f t="shared" si="36"/>
        <v>0</v>
      </c>
      <c r="BL353" s="6">
        <f t="shared" si="37"/>
        <v>0</v>
      </c>
      <c r="BM353" s="6">
        <f t="shared" si="38"/>
        <v>0</v>
      </c>
      <c r="BN353" s="6">
        <f t="shared" si="39"/>
        <v>0</v>
      </c>
      <c r="BP353" s="6">
        <f t="shared" si="40"/>
        <v>0</v>
      </c>
      <c r="BQ353" s="6" t="b">
        <f ca="1">IFERROR(__xludf.DUMMYFUNCTION("IF(AND(ISERROR(FILTER('Items by Team'!D$2:D3410,'Items by Team'!C$2:C3410 = D353,'Items by Team'!B$2:B3410 = B353)),NOT(A353=""Practice"")),TRUE,FALSE)"),FALSE)</f>
        <v>0</v>
      </c>
      <c r="BR353" s="6">
        <f t="shared" ca="1" si="41"/>
        <v>0</v>
      </c>
    </row>
    <row r="354" spans="1:70">
      <c r="A354" s="6"/>
      <c r="B354" s="6"/>
      <c r="C354" s="6"/>
      <c r="D354" s="6"/>
      <c r="E354" s="6"/>
      <c r="F354" s="6"/>
      <c r="G354" s="6"/>
      <c r="H354" s="6"/>
      <c r="I354" s="6"/>
      <c r="J354" s="6"/>
      <c r="K354" s="6"/>
      <c r="L354" s="6"/>
      <c r="M354" s="6"/>
      <c r="N354" s="6"/>
      <c r="O354" s="6"/>
      <c r="P354" s="6"/>
      <c r="R354" s="6"/>
      <c r="S354" s="6"/>
      <c r="T354" s="6"/>
      <c r="U354" s="6"/>
      <c r="V354" s="6"/>
      <c r="W354" s="6"/>
      <c r="X354" s="6"/>
      <c r="Y354" s="6"/>
      <c r="Z354" s="6"/>
      <c r="AA354" s="6"/>
      <c r="AB354" s="6"/>
      <c r="AD354" s="6"/>
      <c r="AE354" s="6"/>
      <c r="AF354" s="6"/>
      <c r="AG354" s="6"/>
      <c r="AH354" s="6"/>
      <c r="AI354" s="6"/>
      <c r="AK354" s="6"/>
      <c r="AL354" s="6"/>
      <c r="AM354" s="6"/>
      <c r="AN354" s="6"/>
      <c r="AO354" s="6"/>
      <c r="AP354" s="6"/>
      <c r="AQ354" s="6"/>
      <c r="AR354" s="6"/>
      <c r="AS354" s="15"/>
      <c r="AT354" s="6" t="str">
        <f ca="1">IFERROR(__xludf.DUMMYFUNCTION("SWITCH(IF(A354=""Practice"",AN354,FILTER('Items by Team'!E$2:E3410,'Items by Team'!C$2:C3410=D354,B354='Items by Team'!B$2:B3410)),""None"",""No"",""Parked"",""P"",""ShallowCage"",""Sc"",""DeepCage"",""Dc"",""No"",""No"",""P"",""P"",""Sc"",""Sc"",""Dc"","&amp;"""Dc"")"),"#REF!")</f>
        <v>#REF!</v>
      </c>
      <c r="AU354" s="6" t="str">
        <f ca="1">IFERROR(__xludf.DUMMYFUNCTION("SWITCH(IF(A354 = ""Practice"", H354, FILTER('Items by Team'!D$2:D3410,'Items by Team'!C$2:C3410 = D354,'Items by Team'!B$2:B3410 = B354)), ""Yes"", ""TRUE"", ""No"", ""FALSE"",TRUE, ""TRUE"", FALSE, ""FALSE"")"),"#REF!")</f>
        <v>#REF!</v>
      </c>
      <c r="AV354" s="6">
        <f t="shared" si="21"/>
        <v>0</v>
      </c>
      <c r="AW354" s="6">
        <f t="shared" si="22"/>
        <v>0</v>
      </c>
      <c r="AX354" s="6">
        <f t="shared" si="23"/>
        <v>0</v>
      </c>
      <c r="AY354" s="6">
        <f t="shared" si="24"/>
        <v>0</v>
      </c>
      <c r="AZ354" s="9" t="str">
        <f t="shared" si="25"/>
        <v/>
      </c>
      <c r="BA354" s="6">
        <f t="shared" si="26"/>
        <v>0</v>
      </c>
      <c r="BB354" s="6">
        <f t="shared" si="27"/>
        <v>0</v>
      </c>
      <c r="BC354" s="9" t="str">
        <f t="shared" si="28"/>
        <v/>
      </c>
      <c r="BD354" s="6">
        <f t="shared" si="29"/>
        <v>0</v>
      </c>
      <c r="BE354" s="6">
        <f t="shared" si="30"/>
        <v>0</v>
      </c>
      <c r="BF354" s="9" t="str">
        <f t="shared" si="31"/>
        <v/>
      </c>
      <c r="BG354" s="6">
        <f t="shared" si="32"/>
        <v>0</v>
      </c>
      <c r="BH354" s="6">
        <f t="shared" si="33"/>
        <v>0</v>
      </c>
      <c r="BI354" s="9" t="str">
        <f t="shared" si="34"/>
        <v/>
      </c>
      <c r="BJ354" s="6">
        <f t="shared" si="35"/>
        <v>0</v>
      </c>
      <c r="BK354" s="6">
        <f t="shared" si="36"/>
        <v>0</v>
      </c>
      <c r="BL354" s="6">
        <f t="shared" si="37"/>
        <v>0</v>
      </c>
      <c r="BM354" s="6">
        <f t="shared" si="38"/>
        <v>0</v>
      </c>
      <c r="BN354" s="6">
        <f t="shared" si="39"/>
        <v>0</v>
      </c>
      <c r="BP354" s="6">
        <f t="shared" si="40"/>
        <v>0</v>
      </c>
      <c r="BQ354" s="6" t="b">
        <f ca="1">IFERROR(__xludf.DUMMYFUNCTION("IF(AND(ISERROR(FILTER('Items by Team'!D$2:D3410,'Items by Team'!C$2:C3410 = D354,'Items by Team'!B$2:B3410 = B354)),NOT(A354=""Practice"")),TRUE,FALSE)"),FALSE)</f>
        <v>0</v>
      </c>
      <c r="BR354" s="6">
        <f t="shared" ca="1" si="41"/>
        <v>0</v>
      </c>
    </row>
    <row r="355" spans="1:70">
      <c r="A355" s="6"/>
      <c r="B355" s="6"/>
      <c r="C355" s="6"/>
      <c r="D355" s="6"/>
      <c r="E355" s="6"/>
      <c r="F355" s="6"/>
      <c r="G355" s="6"/>
      <c r="H355" s="6"/>
      <c r="I355" s="6"/>
      <c r="J355" s="6"/>
      <c r="K355" s="6"/>
      <c r="L355" s="6"/>
      <c r="M355" s="6"/>
      <c r="N355" s="6"/>
      <c r="O355" s="6"/>
      <c r="P355" s="6"/>
      <c r="R355" s="6"/>
      <c r="S355" s="6"/>
      <c r="T355" s="6"/>
      <c r="U355" s="6"/>
      <c r="V355" s="6"/>
      <c r="W355" s="6"/>
      <c r="X355" s="6"/>
      <c r="Y355" s="6"/>
      <c r="Z355" s="6"/>
      <c r="AA355" s="6"/>
      <c r="AB355" s="6"/>
      <c r="AD355" s="6"/>
      <c r="AE355" s="6"/>
      <c r="AF355" s="6"/>
      <c r="AG355" s="6"/>
      <c r="AH355" s="6"/>
      <c r="AI355" s="6"/>
      <c r="AK355" s="6"/>
      <c r="AL355" s="6"/>
      <c r="AM355" s="6"/>
      <c r="AN355" s="6"/>
      <c r="AO355" s="6"/>
      <c r="AP355" s="6"/>
      <c r="AQ355" s="6"/>
      <c r="AR355" s="6"/>
      <c r="AS355" s="15"/>
      <c r="AT355" s="6" t="str">
        <f ca="1">IFERROR(__xludf.DUMMYFUNCTION("SWITCH(IF(A355=""Practice"",AN355,FILTER('Items by Team'!E$2:E3410,'Items by Team'!C$2:C3410=D355,B355='Items by Team'!B$2:B3410)),""None"",""No"",""Parked"",""P"",""ShallowCage"",""Sc"",""DeepCage"",""Dc"",""No"",""No"",""P"",""P"",""Sc"",""Sc"",""Dc"","&amp;"""Dc"")"),"#REF!")</f>
        <v>#REF!</v>
      </c>
      <c r="AU355" s="6" t="str">
        <f ca="1">IFERROR(__xludf.DUMMYFUNCTION("SWITCH(IF(A355 = ""Practice"", H355, FILTER('Items by Team'!D$2:D3410,'Items by Team'!C$2:C3410 = D355,'Items by Team'!B$2:B3410 = B355)), ""Yes"", ""TRUE"", ""No"", ""FALSE"",TRUE, ""TRUE"", FALSE, ""FALSE"")"),"#REF!")</f>
        <v>#REF!</v>
      </c>
      <c r="AV355" s="6">
        <f t="shared" si="21"/>
        <v>0</v>
      </c>
      <c r="AW355" s="6">
        <f t="shared" si="22"/>
        <v>0</v>
      </c>
      <c r="AX355" s="6">
        <f t="shared" si="23"/>
        <v>0</v>
      </c>
      <c r="AY355" s="6">
        <f t="shared" si="24"/>
        <v>0</v>
      </c>
      <c r="AZ355" s="9" t="str">
        <f t="shared" si="25"/>
        <v/>
      </c>
      <c r="BA355" s="6">
        <f t="shared" si="26"/>
        <v>0</v>
      </c>
      <c r="BB355" s="6">
        <f t="shared" si="27"/>
        <v>0</v>
      </c>
      <c r="BC355" s="9" t="str">
        <f t="shared" si="28"/>
        <v/>
      </c>
      <c r="BD355" s="6">
        <f t="shared" si="29"/>
        <v>0</v>
      </c>
      <c r="BE355" s="6">
        <f t="shared" si="30"/>
        <v>0</v>
      </c>
      <c r="BF355" s="9" t="str">
        <f t="shared" si="31"/>
        <v/>
      </c>
      <c r="BG355" s="6">
        <f t="shared" si="32"/>
        <v>0</v>
      </c>
      <c r="BH355" s="6">
        <f t="shared" si="33"/>
        <v>0</v>
      </c>
      <c r="BI355" s="9" t="str">
        <f t="shared" si="34"/>
        <v/>
      </c>
      <c r="BJ355" s="6">
        <f t="shared" si="35"/>
        <v>0</v>
      </c>
      <c r="BK355" s="6">
        <f t="shared" si="36"/>
        <v>0</v>
      </c>
      <c r="BL355" s="6">
        <f t="shared" si="37"/>
        <v>0</v>
      </c>
      <c r="BM355" s="6">
        <f t="shared" si="38"/>
        <v>0</v>
      </c>
      <c r="BN355" s="6">
        <f t="shared" si="39"/>
        <v>0</v>
      </c>
      <c r="BP355" s="6">
        <f t="shared" si="40"/>
        <v>0</v>
      </c>
      <c r="BQ355" s="6" t="b">
        <f ca="1">IFERROR(__xludf.DUMMYFUNCTION("IF(AND(ISERROR(FILTER('Items by Team'!D$2:D3410,'Items by Team'!C$2:C3410 = D355,'Items by Team'!B$2:B3410 = B355)),NOT(A355=""Practice"")),TRUE,FALSE)"),FALSE)</f>
        <v>0</v>
      </c>
      <c r="BR355" s="6">
        <f t="shared" ca="1" si="41"/>
        <v>0</v>
      </c>
    </row>
    <row r="356" spans="1:70">
      <c r="A356" s="6"/>
      <c r="B356" s="6"/>
      <c r="C356" s="6"/>
      <c r="D356" s="6"/>
      <c r="E356" s="6"/>
      <c r="F356" s="6"/>
      <c r="G356" s="6"/>
      <c r="H356" s="6"/>
      <c r="I356" s="6"/>
      <c r="J356" s="6"/>
      <c r="K356" s="6"/>
      <c r="L356" s="6"/>
      <c r="M356" s="6"/>
      <c r="N356" s="6"/>
      <c r="O356" s="6"/>
      <c r="P356" s="6"/>
      <c r="R356" s="6"/>
      <c r="S356" s="6"/>
      <c r="T356" s="6"/>
      <c r="U356" s="6"/>
      <c r="V356" s="6"/>
      <c r="W356" s="6"/>
      <c r="X356" s="6"/>
      <c r="Y356" s="6"/>
      <c r="Z356" s="6"/>
      <c r="AA356" s="6"/>
      <c r="AB356" s="6"/>
      <c r="AD356" s="6"/>
      <c r="AE356" s="6"/>
      <c r="AF356" s="6"/>
      <c r="AG356" s="6"/>
      <c r="AH356" s="6"/>
      <c r="AI356" s="6"/>
      <c r="AK356" s="6"/>
      <c r="AL356" s="6"/>
      <c r="AM356" s="6"/>
      <c r="AN356" s="6"/>
      <c r="AO356" s="6"/>
      <c r="AP356" s="6"/>
      <c r="AQ356" s="6"/>
      <c r="AR356" s="6"/>
      <c r="AS356" s="15"/>
      <c r="AT356" s="6" t="str">
        <f ca="1">IFERROR(__xludf.DUMMYFUNCTION("SWITCH(IF(A356=""Practice"",AN356,FILTER('Items by Team'!E$2:E3410,'Items by Team'!C$2:C3410=D356,B356='Items by Team'!B$2:B3410)),""None"",""No"",""Parked"",""P"",""ShallowCage"",""Sc"",""DeepCage"",""Dc"",""No"",""No"",""P"",""P"",""Sc"",""Sc"",""Dc"","&amp;"""Dc"")"),"#REF!")</f>
        <v>#REF!</v>
      </c>
      <c r="AU356" s="6" t="str">
        <f ca="1">IFERROR(__xludf.DUMMYFUNCTION("SWITCH(IF(A356 = ""Practice"", H356, FILTER('Items by Team'!D$2:D3410,'Items by Team'!C$2:C3410 = D356,'Items by Team'!B$2:B3410 = B356)), ""Yes"", ""TRUE"", ""No"", ""FALSE"",TRUE, ""TRUE"", FALSE, ""FALSE"")"),"#REF!")</f>
        <v>#REF!</v>
      </c>
      <c r="AV356" s="6">
        <f t="shared" si="21"/>
        <v>0</v>
      </c>
      <c r="AW356" s="6">
        <f t="shared" si="22"/>
        <v>0</v>
      </c>
      <c r="AX356" s="6">
        <f t="shared" si="23"/>
        <v>0</v>
      </c>
      <c r="AY356" s="6">
        <f t="shared" si="24"/>
        <v>0</v>
      </c>
      <c r="AZ356" s="9" t="str">
        <f t="shared" si="25"/>
        <v/>
      </c>
      <c r="BA356" s="6">
        <f t="shared" si="26"/>
        <v>0</v>
      </c>
      <c r="BB356" s="6">
        <f t="shared" si="27"/>
        <v>0</v>
      </c>
      <c r="BC356" s="9" t="str">
        <f t="shared" si="28"/>
        <v/>
      </c>
      <c r="BD356" s="6">
        <f t="shared" si="29"/>
        <v>0</v>
      </c>
      <c r="BE356" s="6">
        <f t="shared" si="30"/>
        <v>0</v>
      </c>
      <c r="BF356" s="9" t="str">
        <f t="shared" si="31"/>
        <v/>
      </c>
      <c r="BG356" s="6">
        <f t="shared" si="32"/>
        <v>0</v>
      </c>
      <c r="BH356" s="6">
        <f t="shared" si="33"/>
        <v>0</v>
      </c>
      <c r="BI356" s="9" t="str">
        <f t="shared" si="34"/>
        <v/>
      </c>
      <c r="BJ356" s="6">
        <f t="shared" si="35"/>
        <v>0</v>
      </c>
      <c r="BK356" s="6">
        <f t="shared" si="36"/>
        <v>0</v>
      </c>
      <c r="BL356" s="6">
        <f t="shared" si="37"/>
        <v>0</v>
      </c>
      <c r="BM356" s="6">
        <f t="shared" si="38"/>
        <v>0</v>
      </c>
      <c r="BN356" s="6">
        <f t="shared" si="39"/>
        <v>0</v>
      </c>
      <c r="BP356" s="6">
        <f t="shared" si="40"/>
        <v>0</v>
      </c>
      <c r="BQ356" s="6" t="b">
        <f ca="1">IFERROR(__xludf.DUMMYFUNCTION("IF(AND(ISERROR(FILTER('Items by Team'!D$2:D3410,'Items by Team'!C$2:C3410 = D356,'Items by Team'!B$2:B3410 = B356)),NOT(A356=""Practice"")),TRUE,FALSE)"),FALSE)</f>
        <v>0</v>
      </c>
      <c r="BR356" s="6">
        <f t="shared" ca="1" si="41"/>
        <v>0</v>
      </c>
    </row>
    <row r="357" spans="1:70">
      <c r="A357" s="6"/>
      <c r="B357" s="6"/>
      <c r="C357" s="6"/>
      <c r="D357" s="6"/>
      <c r="E357" s="6"/>
      <c r="F357" s="6"/>
      <c r="G357" s="6"/>
      <c r="H357" s="6"/>
      <c r="I357" s="6"/>
      <c r="J357" s="6"/>
      <c r="K357" s="6"/>
      <c r="L357" s="6"/>
      <c r="M357" s="6"/>
      <c r="N357" s="6"/>
      <c r="O357" s="6"/>
      <c r="P357" s="6"/>
      <c r="R357" s="6"/>
      <c r="S357" s="6"/>
      <c r="T357" s="6"/>
      <c r="U357" s="6"/>
      <c r="V357" s="6"/>
      <c r="W357" s="6"/>
      <c r="X357" s="6"/>
      <c r="Y357" s="6"/>
      <c r="Z357" s="6"/>
      <c r="AA357" s="6"/>
      <c r="AB357" s="6"/>
      <c r="AD357" s="6"/>
      <c r="AE357" s="6"/>
      <c r="AF357" s="6"/>
      <c r="AG357" s="6"/>
      <c r="AH357" s="6"/>
      <c r="AI357" s="6"/>
      <c r="AK357" s="6"/>
      <c r="AL357" s="6"/>
      <c r="AM357" s="6"/>
      <c r="AN357" s="6"/>
      <c r="AO357" s="6"/>
      <c r="AP357" s="6"/>
      <c r="AQ357" s="6"/>
      <c r="AR357" s="6"/>
      <c r="AS357" s="15"/>
      <c r="AT357" s="6" t="str">
        <f ca="1">IFERROR(__xludf.DUMMYFUNCTION("SWITCH(IF(A357=""Practice"",AN357,FILTER('Items by Team'!E$2:E3410,'Items by Team'!C$2:C3410=D357,B357='Items by Team'!B$2:B3410)),""None"",""No"",""Parked"",""P"",""ShallowCage"",""Sc"",""DeepCage"",""Dc"",""No"",""No"",""P"",""P"",""Sc"",""Sc"",""Dc"","&amp;"""Dc"")"),"#REF!")</f>
        <v>#REF!</v>
      </c>
      <c r="AU357" s="6" t="str">
        <f ca="1">IFERROR(__xludf.DUMMYFUNCTION("SWITCH(IF(A357 = ""Practice"", H357, FILTER('Items by Team'!D$2:D3410,'Items by Team'!C$2:C3410 = D357,'Items by Team'!B$2:B3410 = B357)), ""Yes"", ""TRUE"", ""No"", ""FALSE"",TRUE, ""TRUE"", FALSE, ""FALSE"")"),"#REF!")</f>
        <v>#REF!</v>
      </c>
      <c r="AV357" s="6">
        <f t="shared" si="21"/>
        <v>0</v>
      </c>
      <c r="AW357" s="6">
        <f t="shared" si="22"/>
        <v>0</v>
      </c>
      <c r="AX357" s="6">
        <f t="shared" si="23"/>
        <v>0</v>
      </c>
      <c r="AY357" s="6">
        <f t="shared" si="24"/>
        <v>0</v>
      </c>
      <c r="AZ357" s="9" t="str">
        <f t="shared" si="25"/>
        <v/>
      </c>
      <c r="BA357" s="6">
        <f t="shared" si="26"/>
        <v>0</v>
      </c>
      <c r="BB357" s="6">
        <f t="shared" si="27"/>
        <v>0</v>
      </c>
      <c r="BC357" s="9" t="str">
        <f t="shared" si="28"/>
        <v/>
      </c>
      <c r="BD357" s="6">
        <f t="shared" si="29"/>
        <v>0</v>
      </c>
      <c r="BE357" s="6">
        <f t="shared" si="30"/>
        <v>0</v>
      </c>
      <c r="BF357" s="9" t="str">
        <f t="shared" si="31"/>
        <v/>
      </c>
      <c r="BG357" s="6">
        <f t="shared" si="32"/>
        <v>0</v>
      </c>
      <c r="BH357" s="6">
        <f t="shared" si="33"/>
        <v>0</v>
      </c>
      <c r="BI357" s="9" t="str">
        <f t="shared" si="34"/>
        <v/>
      </c>
      <c r="BJ357" s="6">
        <f t="shared" si="35"/>
        <v>0</v>
      </c>
      <c r="BK357" s="6">
        <f t="shared" si="36"/>
        <v>0</v>
      </c>
      <c r="BL357" s="6">
        <f t="shared" si="37"/>
        <v>0</v>
      </c>
      <c r="BM357" s="6">
        <f t="shared" si="38"/>
        <v>0</v>
      </c>
      <c r="BN357" s="6">
        <f t="shared" si="39"/>
        <v>0</v>
      </c>
      <c r="BP357" s="6">
        <f t="shared" si="40"/>
        <v>0</v>
      </c>
      <c r="BQ357" s="6" t="b">
        <f ca="1">IFERROR(__xludf.DUMMYFUNCTION("IF(AND(ISERROR(FILTER('Items by Team'!D$2:D3410,'Items by Team'!C$2:C3410 = D357,'Items by Team'!B$2:B3410 = B357)),NOT(A357=""Practice"")),TRUE,FALSE)"),FALSE)</f>
        <v>0</v>
      </c>
      <c r="BR357" s="6">
        <f t="shared" ca="1" si="41"/>
        <v>0</v>
      </c>
    </row>
    <row r="358" spans="1:70">
      <c r="A358" s="6"/>
      <c r="B358" s="6"/>
      <c r="C358" s="6"/>
      <c r="D358" s="6"/>
      <c r="E358" s="6"/>
      <c r="F358" s="6"/>
      <c r="G358" s="6"/>
      <c r="H358" s="6"/>
      <c r="I358" s="6"/>
      <c r="J358" s="6"/>
      <c r="K358" s="6"/>
      <c r="L358" s="6"/>
      <c r="M358" s="6"/>
      <c r="N358" s="6"/>
      <c r="O358" s="6"/>
      <c r="P358" s="6"/>
      <c r="R358" s="6"/>
      <c r="S358" s="6"/>
      <c r="T358" s="6"/>
      <c r="U358" s="6"/>
      <c r="V358" s="6"/>
      <c r="W358" s="6"/>
      <c r="X358" s="6"/>
      <c r="Y358" s="6"/>
      <c r="Z358" s="6"/>
      <c r="AA358" s="6"/>
      <c r="AB358" s="6"/>
      <c r="AD358" s="6"/>
      <c r="AE358" s="6"/>
      <c r="AF358" s="6"/>
      <c r="AG358" s="6"/>
      <c r="AH358" s="6"/>
      <c r="AI358" s="6"/>
      <c r="AK358" s="6"/>
      <c r="AL358" s="6"/>
      <c r="AM358" s="6"/>
      <c r="AN358" s="6"/>
      <c r="AO358" s="6"/>
      <c r="AP358" s="6"/>
      <c r="AQ358" s="6"/>
      <c r="AR358" s="6"/>
      <c r="AS358" s="15"/>
      <c r="AT358" s="6" t="str">
        <f ca="1">IFERROR(__xludf.DUMMYFUNCTION("SWITCH(IF(A358=""Practice"",AN358,FILTER('Items by Team'!E$2:E3410,'Items by Team'!C$2:C3410=D358,B358='Items by Team'!B$2:B3410)),""None"",""No"",""Parked"",""P"",""ShallowCage"",""Sc"",""DeepCage"",""Dc"",""No"",""No"",""P"",""P"",""Sc"",""Sc"",""Dc"","&amp;"""Dc"")"),"#REF!")</f>
        <v>#REF!</v>
      </c>
      <c r="AU358" s="6" t="str">
        <f ca="1">IFERROR(__xludf.DUMMYFUNCTION("SWITCH(IF(A358 = ""Practice"", H358, FILTER('Items by Team'!D$2:D3410,'Items by Team'!C$2:C3410 = D358,'Items by Team'!B$2:B3410 = B358)), ""Yes"", ""TRUE"", ""No"", ""FALSE"",TRUE, ""TRUE"", FALSE, ""FALSE"")"),"#REF!")</f>
        <v>#REF!</v>
      </c>
      <c r="AV358" s="6">
        <f t="shared" si="21"/>
        <v>0</v>
      </c>
      <c r="AW358" s="6">
        <f t="shared" si="22"/>
        <v>0</v>
      </c>
      <c r="AX358" s="6">
        <f t="shared" si="23"/>
        <v>0</v>
      </c>
      <c r="AY358" s="6">
        <f t="shared" si="24"/>
        <v>0</v>
      </c>
      <c r="AZ358" s="9" t="str">
        <f t="shared" si="25"/>
        <v/>
      </c>
      <c r="BA358" s="6">
        <f t="shared" si="26"/>
        <v>0</v>
      </c>
      <c r="BB358" s="6">
        <f t="shared" si="27"/>
        <v>0</v>
      </c>
      <c r="BC358" s="9" t="str">
        <f t="shared" si="28"/>
        <v/>
      </c>
      <c r="BD358" s="6">
        <f t="shared" si="29"/>
        <v>0</v>
      </c>
      <c r="BE358" s="6">
        <f t="shared" si="30"/>
        <v>0</v>
      </c>
      <c r="BF358" s="9" t="str">
        <f t="shared" si="31"/>
        <v/>
      </c>
      <c r="BG358" s="6">
        <f t="shared" si="32"/>
        <v>0</v>
      </c>
      <c r="BH358" s="6">
        <f t="shared" si="33"/>
        <v>0</v>
      </c>
      <c r="BI358" s="9" t="str">
        <f t="shared" si="34"/>
        <v/>
      </c>
      <c r="BJ358" s="6">
        <f t="shared" si="35"/>
        <v>0</v>
      </c>
      <c r="BK358" s="6">
        <f t="shared" si="36"/>
        <v>0</v>
      </c>
      <c r="BL358" s="6">
        <f t="shared" si="37"/>
        <v>0</v>
      </c>
      <c r="BM358" s="6">
        <f t="shared" si="38"/>
        <v>0</v>
      </c>
      <c r="BN358" s="6">
        <f t="shared" si="39"/>
        <v>0</v>
      </c>
      <c r="BP358" s="6">
        <f t="shared" si="40"/>
        <v>0</v>
      </c>
      <c r="BQ358" s="6" t="b">
        <f ca="1">IFERROR(__xludf.DUMMYFUNCTION("IF(AND(ISERROR(FILTER('Items by Team'!D$2:D3410,'Items by Team'!C$2:C3410 = D358,'Items by Team'!B$2:B3410 = B358)),NOT(A358=""Practice"")),TRUE,FALSE)"),FALSE)</f>
        <v>0</v>
      </c>
      <c r="BR358" s="6">
        <f t="shared" ca="1" si="41"/>
        <v>0</v>
      </c>
    </row>
    <row r="359" spans="1:70">
      <c r="A359" s="6"/>
      <c r="B359" s="6"/>
      <c r="C359" s="6"/>
      <c r="D359" s="6"/>
      <c r="E359" s="6"/>
      <c r="F359" s="6"/>
      <c r="G359" s="6"/>
      <c r="H359" s="6"/>
      <c r="I359" s="6"/>
      <c r="J359" s="6"/>
      <c r="K359" s="6"/>
      <c r="L359" s="6"/>
      <c r="M359" s="6"/>
      <c r="N359" s="6"/>
      <c r="O359" s="6"/>
      <c r="P359" s="6"/>
      <c r="R359" s="6"/>
      <c r="S359" s="6"/>
      <c r="T359" s="6"/>
      <c r="U359" s="6"/>
      <c r="V359" s="6"/>
      <c r="W359" s="6"/>
      <c r="X359" s="6"/>
      <c r="Y359" s="6"/>
      <c r="Z359" s="6"/>
      <c r="AA359" s="6"/>
      <c r="AB359" s="6"/>
      <c r="AD359" s="6"/>
      <c r="AE359" s="6"/>
      <c r="AF359" s="6"/>
      <c r="AG359" s="6"/>
      <c r="AH359" s="6"/>
      <c r="AI359" s="6"/>
      <c r="AK359" s="6"/>
      <c r="AL359" s="6"/>
      <c r="AM359" s="6"/>
      <c r="AN359" s="6"/>
      <c r="AO359" s="6"/>
      <c r="AP359" s="6"/>
      <c r="AQ359" s="6"/>
      <c r="AR359" s="6"/>
      <c r="AS359" s="15"/>
      <c r="AT359" s="6" t="str">
        <f ca="1">IFERROR(__xludf.DUMMYFUNCTION("SWITCH(IF(A359=""Practice"",AN359,FILTER('Items by Team'!E$2:E3410,'Items by Team'!C$2:C3410=D359,B359='Items by Team'!B$2:B3410)),""None"",""No"",""Parked"",""P"",""ShallowCage"",""Sc"",""DeepCage"",""Dc"",""No"",""No"",""P"",""P"",""Sc"",""Sc"",""Dc"","&amp;"""Dc"")"),"#REF!")</f>
        <v>#REF!</v>
      </c>
      <c r="AU359" s="6" t="str">
        <f ca="1">IFERROR(__xludf.DUMMYFUNCTION("SWITCH(IF(A359 = ""Practice"", H359, FILTER('Items by Team'!D$2:D3410,'Items by Team'!C$2:C3410 = D359,'Items by Team'!B$2:B3410 = B359)), ""Yes"", ""TRUE"", ""No"", ""FALSE"",TRUE, ""TRUE"", FALSE, ""FALSE"")"),"#REF!")</f>
        <v>#REF!</v>
      </c>
      <c r="AV359" s="6">
        <f t="shared" si="21"/>
        <v>0</v>
      </c>
      <c r="AW359" s="6">
        <f t="shared" si="22"/>
        <v>0</v>
      </c>
      <c r="AX359" s="6">
        <f t="shared" si="23"/>
        <v>0</v>
      </c>
      <c r="AY359" s="6">
        <f t="shared" si="24"/>
        <v>0</v>
      </c>
      <c r="AZ359" s="9" t="str">
        <f t="shared" si="25"/>
        <v/>
      </c>
      <c r="BA359" s="6">
        <f t="shared" si="26"/>
        <v>0</v>
      </c>
      <c r="BB359" s="6">
        <f t="shared" si="27"/>
        <v>0</v>
      </c>
      <c r="BC359" s="9" t="str">
        <f t="shared" si="28"/>
        <v/>
      </c>
      <c r="BD359" s="6">
        <f t="shared" si="29"/>
        <v>0</v>
      </c>
      <c r="BE359" s="6">
        <f t="shared" si="30"/>
        <v>0</v>
      </c>
      <c r="BF359" s="9" t="str">
        <f t="shared" si="31"/>
        <v/>
      </c>
      <c r="BG359" s="6">
        <f t="shared" si="32"/>
        <v>0</v>
      </c>
      <c r="BH359" s="6">
        <f t="shared" si="33"/>
        <v>0</v>
      </c>
      <c r="BI359" s="9" t="str">
        <f t="shared" si="34"/>
        <v/>
      </c>
      <c r="BJ359" s="6">
        <f t="shared" si="35"/>
        <v>0</v>
      </c>
      <c r="BK359" s="6">
        <f t="shared" si="36"/>
        <v>0</v>
      </c>
      <c r="BL359" s="6">
        <f t="shared" si="37"/>
        <v>0</v>
      </c>
      <c r="BM359" s="6">
        <f t="shared" si="38"/>
        <v>0</v>
      </c>
      <c r="BN359" s="6">
        <f t="shared" si="39"/>
        <v>0</v>
      </c>
      <c r="BP359" s="6">
        <f t="shared" si="40"/>
        <v>0</v>
      </c>
      <c r="BQ359" s="6" t="b">
        <f ca="1">IFERROR(__xludf.DUMMYFUNCTION("IF(AND(ISERROR(FILTER('Items by Team'!D$2:D3410,'Items by Team'!C$2:C3410 = D359,'Items by Team'!B$2:B3410 = B359)),NOT(A359=""Practice"")),TRUE,FALSE)"),FALSE)</f>
        <v>0</v>
      </c>
      <c r="BR359" s="6">
        <f t="shared" ca="1" si="41"/>
        <v>0</v>
      </c>
    </row>
    <row r="360" spans="1:70">
      <c r="A360" s="6"/>
      <c r="B360" s="6"/>
      <c r="C360" s="6"/>
      <c r="D360" s="6"/>
      <c r="E360" s="6"/>
      <c r="F360" s="6"/>
      <c r="G360" s="6"/>
      <c r="H360" s="6"/>
      <c r="I360" s="6"/>
      <c r="J360" s="6"/>
      <c r="K360" s="6"/>
      <c r="L360" s="6"/>
      <c r="M360" s="6"/>
      <c r="N360" s="6"/>
      <c r="O360" s="6"/>
      <c r="P360" s="6"/>
      <c r="R360" s="6"/>
      <c r="S360" s="6"/>
      <c r="T360" s="6"/>
      <c r="U360" s="6"/>
      <c r="V360" s="6"/>
      <c r="W360" s="6"/>
      <c r="X360" s="6"/>
      <c r="Y360" s="6"/>
      <c r="Z360" s="6"/>
      <c r="AA360" s="6"/>
      <c r="AB360" s="6"/>
      <c r="AD360" s="6"/>
      <c r="AE360" s="6"/>
      <c r="AF360" s="6"/>
      <c r="AG360" s="6"/>
      <c r="AH360" s="6"/>
      <c r="AI360" s="6"/>
      <c r="AK360" s="6"/>
      <c r="AL360" s="6"/>
      <c r="AM360" s="6"/>
      <c r="AN360" s="6"/>
      <c r="AO360" s="6"/>
      <c r="AP360" s="6"/>
      <c r="AQ360" s="6"/>
      <c r="AR360" s="6"/>
      <c r="AS360" s="15"/>
      <c r="AT360" s="6" t="str">
        <f ca="1">IFERROR(__xludf.DUMMYFUNCTION("SWITCH(IF(A360=""Practice"",AN360,FILTER('Items by Team'!E$2:E3410,'Items by Team'!C$2:C3410=D360,B360='Items by Team'!B$2:B3410)),""None"",""No"",""Parked"",""P"",""ShallowCage"",""Sc"",""DeepCage"",""Dc"",""No"",""No"",""P"",""P"",""Sc"",""Sc"",""Dc"","&amp;"""Dc"")"),"#REF!")</f>
        <v>#REF!</v>
      </c>
      <c r="AU360" s="6" t="str">
        <f ca="1">IFERROR(__xludf.DUMMYFUNCTION("SWITCH(IF(A360 = ""Practice"", H360, FILTER('Items by Team'!D$2:D3410,'Items by Team'!C$2:C3410 = D360,'Items by Team'!B$2:B3410 = B360)), ""Yes"", ""TRUE"", ""No"", ""FALSE"",TRUE, ""TRUE"", FALSE, ""FALSE"")"),"#REF!")</f>
        <v>#REF!</v>
      </c>
      <c r="AV360" s="6">
        <f t="shared" si="21"/>
        <v>0</v>
      </c>
      <c r="AW360" s="6">
        <f t="shared" si="22"/>
        <v>0</v>
      </c>
      <c r="AX360" s="6">
        <f t="shared" si="23"/>
        <v>0</v>
      </c>
      <c r="AY360" s="6">
        <f t="shared" si="24"/>
        <v>0</v>
      </c>
      <c r="AZ360" s="9" t="str">
        <f t="shared" si="25"/>
        <v/>
      </c>
      <c r="BA360" s="6">
        <f t="shared" si="26"/>
        <v>0</v>
      </c>
      <c r="BB360" s="6">
        <f t="shared" si="27"/>
        <v>0</v>
      </c>
      <c r="BC360" s="9" t="str">
        <f t="shared" si="28"/>
        <v/>
      </c>
      <c r="BD360" s="6">
        <f t="shared" si="29"/>
        <v>0</v>
      </c>
      <c r="BE360" s="6">
        <f t="shared" si="30"/>
        <v>0</v>
      </c>
      <c r="BF360" s="9" t="str">
        <f t="shared" si="31"/>
        <v/>
      </c>
      <c r="BG360" s="6">
        <f t="shared" si="32"/>
        <v>0</v>
      </c>
      <c r="BH360" s="6">
        <f t="shared" si="33"/>
        <v>0</v>
      </c>
      <c r="BI360" s="9" t="str">
        <f t="shared" si="34"/>
        <v/>
      </c>
      <c r="BJ360" s="6">
        <f t="shared" si="35"/>
        <v>0</v>
      </c>
      <c r="BK360" s="6">
        <f t="shared" si="36"/>
        <v>0</v>
      </c>
      <c r="BL360" s="6">
        <f t="shared" si="37"/>
        <v>0</v>
      </c>
      <c r="BM360" s="6">
        <f t="shared" si="38"/>
        <v>0</v>
      </c>
      <c r="BN360" s="6">
        <f t="shared" si="39"/>
        <v>0</v>
      </c>
      <c r="BP360" s="6">
        <f t="shared" si="40"/>
        <v>0</v>
      </c>
      <c r="BQ360" s="6" t="b">
        <f ca="1">IFERROR(__xludf.DUMMYFUNCTION("IF(AND(ISERROR(FILTER('Items by Team'!D$2:D3410,'Items by Team'!C$2:C3410 = D360,'Items by Team'!B$2:B3410 = B360)),NOT(A360=""Practice"")),TRUE,FALSE)"),FALSE)</f>
        <v>0</v>
      </c>
      <c r="BR360" s="6">
        <f t="shared" ca="1" si="41"/>
        <v>0</v>
      </c>
    </row>
    <row r="361" spans="1:70">
      <c r="A361" s="6"/>
      <c r="B361" s="6"/>
      <c r="C361" s="6"/>
      <c r="D361" s="6"/>
      <c r="E361" s="6"/>
      <c r="F361" s="6"/>
      <c r="G361" s="6"/>
      <c r="H361" s="6"/>
      <c r="I361" s="6"/>
      <c r="J361" s="6"/>
      <c r="K361" s="6"/>
      <c r="L361" s="6"/>
      <c r="M361" s="6"/>
      <c r="N361" s="6"/>
      <c r="O361" s="6"/>
      <c r="P361" s="6"/>
      <c r="R361" s="6"/>
      <c r="S361" s="6"/>
      <c r="T361" s="6"/>
      <c r="U361" s="6"/>
      <c r="V361" s="6"/>
      <c r="W361" s="6"/>
      <c r="X361" s="6"/>
      <c r="Y361" s="6"/>
      <c r="Z361" s="6"/>
      <c r="AA361" s="6"/>
      <c r="AB361" s="6"/>
      <c r="AD361" s="6"/>
      <c r="AE361" s="6"/>
      <c r="AF361" s="6"/>
      <c r="AG361" s="6"/>
      <c r="AH361" s="6"/>
      <c r="AI361" s="6"/>
      <c r="AK361" s="6"/>
      <c r="AL361" s="6"/>
      <c r="AM361" s="6"/>
      <c r="AN361" s="6"/>
      <c r="AO361" s="6"/>
      <c r="AP361" s="6"/>
      <c r="AQ361" s="6"/>
      <c r="AR361" s="6"/>
      <c r="AS361" s="15"/>
      <c r="AT361" s="6" t="str">
        <f ca="1">IFERROR(__xludf.DUMMYFUNCTION("SWITCH(IF(A361=""Practice"",AN361,FILTER('Items by Team'!E$2:E3410,'Items by Team'!C$2:C3410=D361,B361='Items by Team'!B$2:B3410)),""None"",""No"",""Parked"",""P"",""ShallowCage"",""Sc"",""DeepCage"",""Dc"",""No"",""No"",""P"",""P"",""Sc"",""Sc"",""Dc"","&amp;"""Dc"")"),"#REF!")</f>
        <v>#REF!</v>
      </c>
      <c r="AU361" s="6" t="str">
        <f ca="1">IFERROR(__xludf.DUMMYFUNCTION("SWITCH(IF(A361 = ""Practice"", H361, FILTER('Items by Team'!D$2:D3410,'Items by Team'!C$2:C3410 = D361,'Items by Team'!B$2:B3410 = B361)), ""Yes"", ""TRUE"", ""No"", ""FALSE"",TRUE, ""TRUE"", FALSE, ""FALSE"")"),"#REF!")</f>
        <v>#REF!</v>
      </c>
      <c r="AV361" s="6">
        <f t="shared" si="21"/>
        <v>0</v>
      </c>
      <c r="AW361" s="6">
        <f t="shared" si="22"/>
        <v>0</v>
      </c>
      <c r="AX361" s="6">
        <f t="shared" si="23"/>
        <v>0</v>
      </c>
      <c r="AY361" s="6">
        <f t="shared" si="24"/>
        <v>0</v>
      </c>
      <c r="AZ361" s="9" t="str">
        <f t="shared" si="25"/>
        <v/>
      </c>
      <c r="BA361" s="6">
        <f t="shared" si="26"/>
        <v>0</v>
      </c>
      <c r="BB361" s="6">
        <f t="shared" si="27"/>
        <v>0</v>
      </c>
      <c r="BC361" s="9" t="str">
        <f t="shared" si="28"/>
        <v/>
      </c>
      <c r="BD361" s="6">
        <f t="shared" si="29"/>
        <v>0</v>
      </c>
      <c r="BE361" s="6">
        <f t="shared" si="30"/>
        <v>0</v>
      </c>
      <c r="BF361" s="9" t="str">
        <f t="shared" si="31"/>
        <v/>
      </c>
      <c r="BG361" s="6">
        <f t="shared" si="32"/>
        <v>0</v>
      </c>
      <c r="BH361" s="6">
        <f t="shared" si="33"/>
        <v>0</v>
      </c>
      <c r="BI361" s="9" t="str">
        <f t="shared" si="34"/>
        <v/>
      </c>
      <c r="BJ361" s="6">
        <f t="shared" si="35"/>
        <v>0</v>
      </c>
      <c r="BK361" s="6">
        <f t="shared" si="36"/>
        <v>0</v>
      </c>
      <c r="BL361" s="6">
        <f t="shared" si="37"/>
        <v>0</v>
      </c>
      <c r="BM361" s="6">
        <f t="shared" si="38"/>
        <v>0</v>
      </c>
      <c r="BN361" s="6">
        <f t="shared" si="39"/>
        <v>0</v>
      </c>
      <c r="BP361" s="6">
        <f t="shared" si="40"/>
        <v>0</v>
      </c>
      <c r="BQ361" s="6" t="b">
        <f ca="1">IFERROR(__xludf.DUMMYFUNCTION("IF(AND(ISERROR(FILTER('Items by Team'!D$2:D3410,'Items by Team'!C$2:C3410 = D361,'Items by Team'!B$2:B3410 = B361)),NOT(A361=""Practice"")),TRUE,FALSE)"),FALSE)</f>
        <v>0</v>
      </c>
      <c r="BR361" s="6">
        <f t="shared" ca="1" si="41"/>
        <v>0</v>
      </c>
    </row>
    <row r="362" spans="1:70">
      <c r="A362" s="6"/>
      <c r="B362" s="6"/>
      <c r="C362" s="6"/>
      <c r="D362" s="6"/>
      <c r="E362" s="6"/>
      <c r="F362" s="6"/>
      <c r="G362" s="6"/>
      <c r="H362" s="6"/>
      <c r="I362" s="6"/>
      <c r="J362" s="6"/>
      <c r="K362" s="6"/>
      <c r="L362" s="6"/>
      <c r="M362" s="6"/>
      <c r="N362" s="6"/>
      <c r="O362" s="6"/>
      <c r="P362" s="6"/>
      <c r="R362" s="6"/>
      <c r="S362" s="6"/>
      <c r="T362" s="6"/>
      <c r="U362" s="6"/>
      <c r="V362" s="6"/>
      <c r="W362" s="6"/>
      <c r="X362" s="6"/>
      <c r="Y362" s="6"/>
      <c r="Z362" s="6"/>
      <c r="AA362" s="6"/>
      <c r="AB362" s="6"/>
      <c r="AD362" s="6"/>
      <c r="AE362" s="6"/>
      <c r="AF362" s="6"/>
      <c r="AG362" s="6"/>
      <c r="AH362" s="6"/>
      <c r="AI362" s="6"/>
      <c r="AK362" s="6"/>
      <c r="AL362" s="6"/>
      <c r="AM362" s="6"/>
      <c r="AN362" s="6"/>
      <c r="AO362" s="6"/>
      <c r="AP362" s="6"/>
      <c r="AQ362" s="6"/>
      <c r="AR362" s="6"/>
      <c r="AS362" s="15"/>
      <c r="AT362" s="6" t="str">
        <f ca="1">IFERROR(__xludf.DUMMYFUNCTION("SWITCH(IF(A362=""Practice"",AN362,FILTER('Items by Team'!E$2:E3410,'Items by Team'!C$2:C3410=D362,B362='Items by Team'!B$2:B3410)),""None"",""No"",""Parked"",""P"",""ShallowCage"",""Sc"",""DeepCage"",""Dc"",""No"",""No"",""P"",""P"",""Sc"",""Sc"",""Dc"","&amp;"""Dc"")"),"#REF!")</f>
        <v>#REF!</v>
      </c>
      <c r="AU362" s="6" t="str">
        <f ca="1">IFERROR(__xludf.DUMMYFUNCTION("SWITCH(IF(A362 = ""Practice"", H362, FILTER('Items by Team'!D$2:D3410,'Items by Team'!C$2:C3410 = D362,'Items by Team'!B$2:B3410 = B362)), ""Yes"", ""TRUE"", ""No"", ""FALSE"",TRUE, ""TRUE"", FALSE, ""FALSE"")"),"#REF!")</f>
        <v>#REF!</v>
      </c>
      <c r="AV362" s="6">
        <f t="shared" si="21"/>
        <v>0</v>
      </c>
      <c r="AW362" s="6">
        <f t="shared" si="22"/>
        <v>0</v>
      </c>
      <c r="AX362" s="6">
        <f t="shared" si="23"/>
        <v>0</v>
      </c>
      <c r="AY362" s="6">
        <f t="shared" si="24"/>
        <v>0</v>
      </c>
      <c r="AZ362" s="9" t="str">
        <f t="shared" si="25"/>
        <v/>
      </c>
      <c r="BA362" s="6">
        <f t="shared" si="26"/>
        <v>0</v>
      </c>
      <c r="BB362" s="6">
        <f t="shared" si="27"/>
        <v>0</v>
      </c>
      <c r="BC362" s="9" t="str">
        <f t="shared" si="28"/>
        <v/>
      </c>
      <c r="BD362" s="6">
        <f t="shared" si="29"/>
        <v>0</v>
      </c>
      <c r="BE362" s="6">
        <f t="shared" si="30"/>
        <v>0</v>
      </c>
      <c r="BF362" s="9" t="str">
        <f t="shared" si="31"/>
        <v/>
      </c>
      <c r="BG362" s="6">
        <f t="shared" si="32"/>
        <v>0</v>
      </c>
      <c r="BH362" s="6">
        <f t="shared" si="33"/>
        <v>0</v>
      </c>
      <c r="BI362" s="9" t="str">
        <f t="shared" si="34"/>
        <v/>
      </c>
      <c r="BJ362" s="6">
        <f t="shared" si="35"/>
        <v>0</v>
      </c>
      <c r="BK362" s="6">
        <f t="shared" si="36"/>
        <v>0</v>
      </c>
      <c r="BL362" s="6">
        <f t="shared" si="37"/>
        <v>0</v>
      </c>
      <c r="BM362" s="6">
        <f t="shared" si="38"/>
        <v>0</v>
      </c>
      <c r="BN362" s="6">
        <f t="shared" si="39"/>
        <v>0</v>
      </c>
      <c r="BP362" s="6">
        <f t="shared" si="40"/>
        <v>0</v>
      </c>
      <c r="BQ362" s="6" t="b">
        <f ca="1">IFERROR(__xludf.DUMMYFUNCTION("IF(AND(ISERROR(FILTER('Items by Team'!D$2:D3410,'Items by Team'!C$2:C3410 = D362,'Items by Team'!B$2:B3410 = B362)),NOT(A362=""Practice"")),TRUE,FALSE)"),FALSE)</f>
        <v>0</v>
      </c>
      <c r="BR362" s="6">
        <f t="shared" ca="1" si="41"/>
        <v>0</v>
      </c>
    </row>
    <row r="363" spans="1:70">
      <c r="A363" s="6"/>
      <c r="B363" s="6"/>
      <c r="C363" s="6"/>
      <c r="D363" s="6"/>
      <c r="E363" s="6"/>
      <c r="F363" s="6"/>
      <c r="G363" s="6"/>
      <c r="H363" s="6"/>
      <c r="I363" s="6"/>
      <c r="J363" s="6"/>
      <c r="K363" s="6"/>
      <c r="L363" s="6"/>
      <c r="M363" s="6"/>
      <c r="N363" s="6"/>
      <c r="O363" s="6"/>
      <c r="P363" s="6"/>
      <c r="R363" s="6"/>
      <c r="S363" s="6"/>
      <c r="T363" s="6"/>
      <c r="U363" s="6"/>
      <c r="V363" s="6"/>
      <c r="W363" s="6"/>
      <c r="X363" s="6"/>
      <c r="Y363" s="6"/>
      <c r="Z363" s="6"/>
      <c r="AA363" s="6"/>
      <c r="AB363" s="6"/>
      <c r="AD363" s="6"/>
      <c r="AE363" s="6"/>
      <c r="AF363" s="6"/>
      <c r="AG363" s="6"/>
      <c r="AH363" s="6"/>
      <c r="AI363" s="6"/>
      <c r="AK363" s="6"/>
      <c r="AL363" s="6"/>
      <c r="AM363" s="6"/>
      <c r="AN363" s="6"/>
      <c r="AO363" s="6"/>
      <c r="AP363" s="6"/>
      <c r="AQ363" s="6"/>
      <c r="AR363" s="6"/>
      <c r="AS363" s="15"/>
      <c r="AT363" s="6" t="str">
        <f ca="1">IFERROR(__xludf.DUMMYFUNCTION("SWITCH(IF(A363=""Practice"",AN363,FILTER('Items by Team'!E$2:E3410,'Items by Team'!C$2:C3410=D363,B363='Items by Team'!B$2:B3410)),""None"",""No"",""Parked"",""P"",""ShallowCage"",""Sc"",""DeepCage"",""Dc"",""No"",""No"",""P"",""P"",""Sc"",""Sc"",""Dc"","&amp;"""Dc"")"),"#REF!")</f>
        <v>#REF!</v>
      </c>
      <c r="AU363" s="6" t="str">
        <f ca="1">IFERROR(__xludf.DUMMYFUNCTION("SWITCH(IF(A363 = ""Practice"", H363, FILTER('Items by Team'!D$2:D3410,'Items by Team'!C$2:C3410 = D363,'Items by Team'!B$2:B3410 = B363)), ""Yes"", ""TRUE"", ""No"", ""FALSE"",TRUE, ""TRUE"", FALSE, ""FALSE"")"),"#REF!")</f>
        <v>#REF!</v>
      </c>
      <c r="AV363" s="6">
        <f t="shared" si="21"/>
        <v>0</v>
      </c>
      <c r="AW363" s="6">
        <f t="shared" si="22"/>
        <v>0</v>
      </c>
      <c r="AX363" s="6">
        <f t="shared" si="23"/>
        <v>0</v>
      </c>
      <c r="AY363" s="6">
        <f t="shared" si="24"/>
        <v>0</v>
      </c>
      <c r="AZ363" s="9" t="str">
        <f t="shared" si="25"/>
        <v/>
      </c>
      <c r="BA363" s="6">
        <f t="shared" si="26"/>
        <v>0</v>
      </c>
      <c r="BB363" s="6">
        <f t="shared" si="27"/>
        <v>0</v>
      </c>
      <c r="BC363" s="9" t="str">
        <f t="shared" si="28"/>
        <v/>
      </c>
      <c r="BD363" s="6">
        <f t="shared" si="29"/>
        <v>0</v>
      </c>
      <c r="BE363" s="6">
        <f t="shared" si="30"/>
        <v>0</v>
      </c>
      <c r="BF363" s="9" t="str">
        <f t="shared" si="31"/>
        <v/>
      </c>
      <c r="BG363" s="6">
        <f t="shared" si="32"/>
        <v>0</v>
      </c>
      <c r="BH363" s="6">
        <f t="shared" si="33"/>
        <v>0</v>
      </c>
      <c r="BI363" s="9" t="str">
        <f t="shared" si="34"/>
        <v/>
      </c>
      <c r="BJ363" s="6">
        <f t="shared" si="35"/>
        <v>0</v>
      </c>
      <c r="BK363" s="6">
        <f t="shared" si="36"/>
        <v>0</v>
      </c>
      <c r="BL363" s="6">
        <f t="shared" si="37"/>
        <v>0</v>
      </c>
      <c r="BM363" s="6">
        <f t="shared" si="38"/>
        <v>0</v>
      </c>
      <c r="BN363" s="6">
        <f t="shared" si="39"/>
        <v>0</v>
      </c>
      <c r="BP363" s="6">
        <f t="shared" si="40"/>
        <v>0</v>
      </c>
      <c r="BQ363" s="6" t="b">
        <f ca="1">IFERROR(__xludf.DUMMYFUNCTION("IF(AND(ISERROR(FILTER('Items by Team'!D$2:D3410,'Items by Team'!C$2:C3410 = D363,'Items by Team'!B$2:B3410 = B363)),NOT(A363=""Practice"")),TRUE,FALSE)"),FALSE)</f>
        <v>0</v>
      </c>
      <c r="BR363" s="6">
        <f t="shared" ca="1" si="41"/>
        <v>0</v>
      </c>
    </row>
    <row r="364" spans="1:70">
      <c r="A364" s="6"/>
      <c r="B364" s="6"/>
      <c r="C364" s="6"/>
      <c r="D364" s="6"/>
      <c r="E364" s="6"/>
      <c r="F364" s="6"/>
      <c r="G364" s="6"/>
      <c r="H364" s="6"/>
      <c r="I364" s="6"/>
      <c r="J364" s="6"/>
      <c r="K364" s="6"/>
      <c r="L364" s="6"/>
      <c r="M364" s="6"/>
      <c r="N364" s="6"/>
      <c r="O364" s="6"/>
      <c r="P364" s="6"/>
      <c r="R364" s="6"/>
      <c r="S364" s="6"/>
      <c r="T364" s="6"/>
      <c r="U364" s="6"/>
      <c r="V364" s="6"/>
      <c r="W364" s="6"/>
      <c r="X364" s="6"/>
      <c r="Y364" s="6"/>
      <c r="Z364" s="6"/>
      <c r="AA364" s="6"/>
      <c r="AB364" s="6"/>
      <c r="AD364" s="6"/>
      <c r="AE364" s="6"/>
      <c r="AF364" s="6"/>
      <c r="AG364" s="6"/>
      <c r="AH364" s="6"/>
      <c r="AI364" s="6"/>
      <c r="AK364" s="6"/>
      <c r="AL364" s="6"/>
      <c r="AM364" s="6"/>
      <c r="AN364" s="6"/>
      <c r="AO364" s="6"/>
      <c r="AP364" s="6"/>
      <c r="AQ364" s="6"/>
      <c r="AR364" s="6"/>
      <c r="AS364" s="15"/>
      <c r="AT364" s="6" t="str">
        <f ca="1">IFERROR(__xludf.DUMMYFUNCTION("SWITCH(IF(A364=""Practice"",AN364,FILTER('Items by Team'!E$2:E3410,'Items by Team'!C$2:C3410=D364,B364='Items by Team'!B$2:B3410)),""None"",""No"",""Parked"",""P"",""ShallowCage"",""Sc"",""DeepCage"",""Dc"",""No"",""No"",""P"",""P"",""Sc"",""Sc"",""Dc"","&amp;"""Dc"")"),"#REF!")</f>
        <v>#REF!</v>
      </c>
      <c r="AU364" s="6" t="str">
        <f ca="1">IFERROR(__xludf.DUMMYFUNCTION("SWITCH(IF(A364 = ""Practice"", H364, FILTER('Items by Team'!D$2:D3410,'Items by Team'!C$2:C3410 = D364,'Items by Team'!B$2:B3410 = B364)), ""Yes"", ""TRUE"", ""No"", ""FALSE"",TRUE, ""TRUE"", FALSE, ""FALSE"")"),"#REF!")</f>
        <v>#REF!</v>
      </c>
      <c r="AV364" s="6">
        <f t="shared" si="21"/>
        <v>0</v>
      </c>
      <c r="AW364" s="6">
        <f t="shared" si="22"/>
        <v>0</v>
      </c>
      <c r="AX364" s="6">
        <f t="shared" si="23"/>
        <v>0</v>
      </c>
      <c r="AY364" s="6">
        <f t="shared" si="24"/>
        <v>0</v>
      </c>
      <c r="AZ364" s="9" t="str">
        <f t="shared" si="25"/>
        <v/>
      </c>
      <c r="BA364" s="6">
        <f t="shared" si="26"/>
        <v>0</v>
      </c>
      <c r="BB364" s="6">
        <f t="shared" si="27"/>
        <v>0</v>
      </c>
      <c r="BC364" s="9" t="str">
        <f t="shared" si="28"/>
        <v/>
      </c>
      <c r="BD364" s="6">
        <f t="shared" si="29"/>
        <v>0</v>
      </c>
      <c r="BE364" s="6">
        <f t="shared" si="30"/>
        <v>0</v>
      </c>
      <c r="BF364" s="9" t="str">
        <f t="shared" si="31"/>
        <v/>
      </c>
      <c r="BG364" s="6">
        <f t="shared" si="32"/>
        <v>0</v>
      </c>
      <c r="BH364" s="6">
        <f t="shared" si="33"/>
        <v>0</v>
      </c>
      <c r="BI364" s="9" t="str">
        <f t="shared" si="34"/>
        <v/>
      </c>
      <c r="BJ364" s="6">
        <f t="shared" si="35"/>
        <v>0</v>
      </c>
      <c r="BK364" s="6">
        <f t="shared" si="36"/>
        <v>0</v>
      </c>
      <c r="BL364" s="6">
        <f t="shared" si="37"/>
        <v>0</v>
      </c>
      <c r="BM364" s="6">
        <f t="shared" si="38"/>
        <v>0</v>
      </c>
      <c r="BN364" s="6">
        <f t="shared" si="39"/>
        <v>0</v>
      </c>
      <c r="BP364" s="6">
        <f t="shared" si="40"/>
        <v>0</v>
      </c>
      <c r="BQ364" s="6" t="b">
        <f ca="1">IFERROR(__xludf.DUMMYFUNCTION("IF(AND(ISERROR(FILTER('Items by Team'!D$2:D3410,'Items by Team'!C$2:C3410 = D364,'Items by Team'!B$2:B3410 = B364)),NOT(A364=""Practice"")),TRUE,FALSE)"),FALSE)</f>
        <v>0</v>
      </c>
      <c r="BR364" s="6">
        <f t="shared" ca="1" si="41"/>
        <v>0</v>
      </c>
    </row>
    <row r="365" spans="1:70">
      <c r="A365" s="6"/>
      <c r="B365" s="6"/>
      <c r="C365" s="6"/>
      <c r="D365" s="6"/>
      <c r="E365" s="6"/>
      <c r="F365" s="6"/>
      <c r="G365" s="6"/>
      <c r="H365" s="6"/>
      <c r="I365" s="6"/>
      <c r="J365" s="6"/>
      <c r="K365" s="6"/>
      <c r="L365" s="6"/>
      <c r="M365" s="6"/>
      <c r="N365" s="6"/>
      <c r="O365" s="6"/>
      <c r="P365" s="6"/>
      <c r="R365" s="6"/>
      <c r="S365" s="6"/>
      <c r="T365" s="6"/>
      <c r="U365" s="6"/>
      <c r="V365" s="6"/>
      <c r="W365" s="6"/>
      <c r="X365" s="6"/>
      <c r="Y365" s="6"/>
      <c r="Z365" s="6"/>
      <c r="AA365" s="6"/>
      <c r="AB365" s="6"/>
      <c r="AD365" s="6"/>
      <c r="AE365" s="6"/>
      <c r="AF365" s="6"/>
      <c r="AG365" s="6"/>
      <c r="AH365" s="6"/>
      <c r="AI365" s="6"/>
      <c r="AK365" s="6"/>
      <c r="AL365" s="6"/>
      <c r="AM365" s="6"/>
      <c r="AN365" s="6"/>
      <c r="AO365" s="6"/>
      <c r="AP365" s="6"/>
      <c r="AQ365" s="6"/>
      <c r="AR365" s="6"/>
      <c r="AS365" s="15"/>
      <c r="AT365" s="6" t="str">
        <f ca="1">IFERROR(__xludf.DUMMYFUNCTION("SWITCH(IF(A365=""Practice"",AN365,FILTER('Items by Team'!E$2:E3410,'Items by Team'!C$2:C3410=D365,B365='Items by Team'!B$2:B3410)),""None"",""No"",""Parked"",""P"",""ShallowCage"",""Sc"",""DeepCage"",""Dc"",""No"",""No"",""P"",""P"",""Sc"",""Sc"",""Dc"","&amp;"""Dc"")"),"#REF!")</f>
        <v>#REF!</v>
      </c>
      <c r="AU365" s="6" t="str">
        <f ca="1">IFERROR(__xludf.DUMMYFUNCTION("SWITCH(IF(A365 = ""Practice"", H365, FILTER('Items by Team'!D$2:D3410,'Items by Team'!C$2:C3410 = D365,'Items by Team'!B$2:B3410 = B365)), ""Yes"", ""TRUE"", ""No"", ""FALSE"",TRUE, ""TRUE"", FALSE, ""FALSE"")"),"#REF!")</f>
        <v>#REF!</v>
      </c>
      <c r="AV365" s="6">
        <f t="shared" si="21"/>
        <v>0</v>
      </c>
      <c r="AW365" s="6">
        <f t="shared" si="22"/>
        <v>0</v>
      </c>
      <c r="AX365" s="6">
        <f t="shared" si="23"/>
        <v>0</v>
      </c>
      <c r="AY365" s="6">
        <f t="shared" si="24"/>
        <v>0</v>
      </c>
      <c r="AZ365" s="9" t="str">
        <f t="shared" si="25"/>
        <v/>
      </c>
      <c r="BA365" s="6">
        <f t="shared" si="26"/>
        <v>0</v>
      </c>
      <c r="BB365" s="6">
        <f t="shared" si="27"/>
        <v>0</v>
      </c>
      <c r="BC365" s="9" t="str">
        <f t="shared" si="28"/>
        <v/>
      </c>
      <c r="BD365" s="6">
        <f t="shared" si="29"/>
        <v>0</v>
      </c>
      <c r="BE365" s="6">
        <f t="shared" si="30"/>
        <v>0</v>
      </c>
      <c r="BF365" s="9" t="str">
        <f t="shared" si="31"/>
        <v/>
      </c>
      <c r="BG365" s="6">
        <f t="shared" si="32"/>
        <v>0</v>
      </c>
      <c r="BH365" s="6">
        <f t="shared" si="33"/>
        <v>0</v>
      </c>
      <c r="BI365" s="9" t="str">
        <f t="shared" si="34"/>
        <v/>
      </c>
      <c r="BJ365" s="6">
        <f t="shared" si="35"/>
        <v>0</v>
      </c>
      <c r="BK365" s="6">
        <f t="shared" si="36"/>
        <v>0</v>
      </c>
      <c r="BL365" s="6">
        <f t="shared" si="37"/>
        <v>0</v>
      </c>
      <c r="BM365" s="6">
        <f t="shared" si="38"/>
        <v>0</v>
      </c>
      <c r="BN365" s="6">
        <f t="shared" si="39"/>
        <v>0</v>
      </c>
      <c r="BP365" s="6">
        <f t="shared" si="40"/>
        <v>0</v>
      </c>
      <c r="BQ365" s="6" t="b">
        <f ca="1">IFERROR(__xludf.DUMMYFUNCTION("IF(AND(ISERROR(FILTER('Items by Team'!D$2:D3410,'Items by Team'!C$2:C3410 = D365,'Items by Team'!B$2:B3410 = B365)),NOT(A365=""Practice"")),TRUE,FALSE)"),FALSE)</f>
        <v>0</v>
      </c>
      <c r="BR365" s="6">
        <f t="shared" ca="1" si="41"/>
        <v>0</v>
      </c>
    </row>
    <row r="366" spans="1:70">
      <c r="A366" s="6"/>
      <c r="B366" s="6"/>
      <c r="C366" s="6"/>
      <c r="D366" s="6"/>
      <c r="E366" s="6"/>
      <c r="F366" s="6"/>
      <c r="G366" s="6"/>
      <c r="H366" s="6"/>
      <c r="I366" s="6"/>
      <c r="J366" s="6"/>
      <c r="K366" s="6"/>
      <c r="L366" s="6"/>
      <c r="M366" s="6"/>
      <c r="N366" s="6"/>
      <c r="O366" s="6"/>
      <c r="P366" s="6"/>
      <c r="R366" s="6"/>
      <c r="S366" s="6"/>
      <c r="T366" s="6"/>
      <c r="U366" s="6"/>
      <c r="V366" s="6"/>
      <c r="W366" s="6"/>
      <c r="X366" s="6"/>
      <c r="Y366" s="6"/>
      <c r="Z366" s="6"/>
      <c r="AA366" s="6"/>
      <c r="AB366" s="6"/>
      <c r="AD366" s="6"/>
      <c r="AE366" s="6"/>
      <c r="AF366" s="6"/>
      <c r="AG366" s="6"/>
      <c r="AH366" s="6"/>
      <c r="AI366" s="6"/>
      <c r="AK366" s="6"/>
      <c r="AL366" s="6"/>
      <c r="AM366" s="6"/>
      <c r="AN366" s="6"/>
      <c r="AO366" s="6"/>
      <c r="AP366" s="6"/>
      <c r="AQ366" s="6"/>
      <c r="AR366" s="6"/>
      <c r="AS366" s="15"/>
      <c r="AT366" s="6" t="str">
        <f ca="1">IFERROR(__xludf.DUMMYFUNCTION("SWITCH(IF(A366=""Practice"",AN366,FILTER('Items by Team'!E$2:E3410,'Items by Team'!C$2:C3410=D366,B366='Items by Team'!B$2:B3410)),""None"",""No"",""Parked"",""P"",""ShallowCage"",""Sc"",""DeepCage"",""Dc"",""No"",""No"",""P"",""P"",""Sc"",""Sc"",""Dc"","&amp;"""Dc"")"),"#REF!")</f>
        <v>#REF!</v>
      </c>
      <c r="AU366" s="6" t="str">
        <f ca="1">IFERROR(__xludf.DUMMYFUNCTION("SWITCH(IF(A366 = ""Practice"", H366, FILTER('Items by Team'!D$2:D3410,'Items by Team'!C$2:C3410 = D366,'Items by Team'!B$2:B3410 = B366)), ""Yes"", ""TRUE"", ""No"", ""FALSE"",TRUE, ""TRUE"", FALSE, ""FALSE"")"),"#REF!")</f>
        <v>#REF!</v>
      </c>
      <c r="AV366" s="6">
        <f t="shared" si="21"/>
        <v>0</v>
      </c>
      <c r="AW366" s="6">
        <f t="shared" si="22"/>
        <v>0</v>
      </c>
      <c r="AX366" s="6">
        <f t="shared" si="23"/>
        <v>0</v>
      </c>
      <c r="AY366" s="6">
        <f t="shared" si="24"/>
        <v>0</v>
      </c>
      <c r="AZ366" s="9" t="str">
        <f t="shared" si="25"/>
        <v/>
      </c>
      <c r="BA366" s="6">
        <f t="shared" si="26"/>
        <v>0</v>
      </c>
      <c r="BB366" s="6">
        <f t="shared" si="27"/>
        <v>0</v>
      </c>
      <c r="BC366" s="9" t="str">
        <f t="shared" si="28"/>
        <v/>
      </c>
      <c r="BD366" s="6">
        <f t="shared" si="29"/>
        <v>0</v>
      </c>
      <c r="BE366" s="6">
        <f t="shared" si="30"/>
        <v>0</v>
      </c>
      <c r="BF366" s="9" t="str">
        <f t="shared" si="31"/>
        <v/>
      </c>
      <c r="BG366" s="6">
        <f t="shared" si="32"/>
        <v>0</v>
      </c>
      <c r="BH366" s="6">
        <f t="shared" si="33"/>
        <v>0</v>
      </c>
      <c r="BI366" s="9" t="str">
        <f t="shared" si="34"/>
        <v/>
      </c>
      <c r="BJ366" s="6">
        <f t="shared" si="35"/>
        <v>0</v>
      </c>
      <c r="BK366" s="6">
        <f t="shared" si="36"/>
        <v>0</v>
      </c>
      <c r="BL366" s="6">
        <f t="shared" si="37"/>
        <v>0</v>
      </c>
      <c r="BM366" s="6">
        <f t="shared" si="38"/>
        <v>0</v>
      </c>
      <c r="BN366" s="6">
        <f t="shared" si="39"/>
        <v>0</v>
      </c>
      <c r="BP366" s="6">
        <f t="shared" si="40"/>
        <v>0</v>
      </c>
      <c r="BQ366" s="6" t="b">
        <f ca="1">IFERROR(__xludf.DUMMYFUNCTION("IF(AND(ISERROR(FILTER('Items by Team'!D$2:D3410,'Items by Team'!C$2:C3410 = D366,'Items by Team'!B$2:B3410 = B366)),NOT(A366=""Practice"")),TRUE,FALSE)"),FALSE)</f>
        <v>0</v>
      </c>
      <c r="BR366" s="6">
        <f t="shared" ca="1" si="41"/>
        <v>0</v>
      </c>
    </row>
    <row r="367" spans="1:70">
      <c r="A367" s="6"/>
      <c r="B367" s="6"/>
      <c r="C367" s="6"/>
      <c r="D367" s="6"/>
      <c r="E367" s="6"/>
      <c r="F367" s="6"/>
      <c r="G367" s="6"/>
      <c r="H367" s="6"/>
      <c r="I367" s="6"/>
      <c r="J367" s="6"/>
      <c r="K367" s="6"/>
      <c r="L367" s="6"/>
      <c r="M367" s="6"/>
      <c r="N367" s="6"/>
      <c r="O367" s="6"/>
      <c r="P367" s="6"/>
      <c r="R367" s="6"/>
      <c r="S367" s="6"/>
      <c r="T367" s="6"/>
      <c r="U367" s="6"/>
      <c r="V367" s="6"/>
      <c r="W367" s="6"/>
      <c r="X367" s="6"/>
      <c r="Y367" s="6"/>
      <c r="Z367" s="6"/>
      <c r="AA367" s="6"/>
      <c r="AB367" s="6"/>
      <c r="AD367" s="6"/>
      <c r="AE367" s="6"/>
      <c r="AF367" s="6"/>
      <c r="AG367" s="6"/>
      <c r="AH367" s="6"/>
      <c r="AI367" s="6"/>
      <c r="AK367" s="6"/>
      <c r="AL367" s="6"/>
      <c r="AM367" s="6"/>
      <c r="AN367" s="6"/>
      <c r="AO367" s="6"/>
      <c r="AP367" s="6"/>
      <c r="AQ367" s="6"/>
      <c r="AR367" s="6"/>
      <c r="AS367" s="15"/>
      <c r="AT367" s="6" t="str">
        <f ca="1">IFERROR(__xludf.DUMMYFUNCTION("SWITCH(IF(A367=""Practice"",AN367,FILTER('Items by Team'!E$2:E3410,'Items by Team'!C$2:C3410=D367,B367='Items by Team'!B$2:B3410)),""None"",""No"",""Parked"",""P"",""ShallowCage"",""Sc"",""DeepCage"",""Dc"",""No"",""No"",""P"",""P"",""Sc"",""Sc"",""Dc"","&amp;"""Dc"")"),"#REF!")</f>
        <v>#REF!</v>
      </c>
      <c r="AU367" s="6" t="str">
        <f ca="1">IFERROR(__xludf.DUMMYFUNCTION("SWITCH(IF(A367 = ""Practice"", H367, FILTER('Items by Team'!D$2:D3410,'Items by Team'!C$2:C3410 = D367,'Items by Team'!B$2:B3410 = B367)), ""Yes"", ""TRUE"", ""No"", ""FALSE"",TRUE, ""TRUE"", FALSE, ""FALSE"")"),"#REF!")</f>
        <v>#REF!</v>
      </c>
      <c r="AV367" s="6">
        <f t="shared" si="21"/>
        <v>0</v>
      </c>
      <c r="AW367" s="6">
        <f t="shared" si="22"/>
        <v>0</v>
      </c>
      <c r="AX367" s="6">
        <f t="shared" si="23"/>
        <v>0</v>
      </c>
      <c r="AY367" s="6">
        <f t="shared" si="24"/>
        <v>0</v>
      </c>
      <c r="AZ367" s="9" t="str">
        <f t="shared" si="25"/>
        <v/>
      </c>
      <c r="BA367" s="6">
        <f t="shared" si="26"/>
        <v>0</v>
      </c>
      <c r="BB367" s="6">
        <f t="shared" si="27"/>
        <v>0</v>
      </c>
      <c r="BC367" s="9" t="str">
        <f t="shared" si="28"/>
        <v/>
      </c>
      <c r="BD367" s="6">
        <f t="shared" si="29"/>
        <v>0</v>
      </c>
      <c r="BE367" s="6">
        <f t="shared" si="30"/>
        <v>0</v>
      </c>
      <c r="BF367" s="9" t="str">
        <f t="shared" si="31"/>
        <v/>
      </c>
      <c r="BG367" s="6">
        <f t="shared" si="32"/>
        <v>0</v>
      </c>
      <c r="BH367" s="6">
        <f t="shared" si="33"/>
        <v>0</v>
      </c>
      <c r="BI367" s="9" t="str">
        <f t="shared" si="34"/>
        <v/>
      </c>
      <c r="BJ367" s="6">
        <f t="shared" si="35"/>
        <v>0</v>
      </c>
      <c r="BK367" s="6">
        <f t="shared" si="36"/>
        <v>0</v>
      </c>
      <c r="BL367" s="6">
        <f t="shared" si="37"/>
        <v>0</v>
      </c>
      <c r="BM367" s="6">
        <f t="shared" si="38"/>
        <v>0</v>
      </c>
      <c r="BN367" s="6">
        <f t="shared" si="39"/>
        <v>0</v>
      </c>
      <c r="BP367" s="6">
        <f t="shared" si="40"/>
        <v>0</v>
      </c>
      <c r="BQ367" s="6" t="b">
        <f ca="1">IFERROR(__xludf.DUMMYFUNCTION("IF(AND(ISERROR(FILTER('Items by Team'!D$2:D3410,'Items by Team'!C$2:C3410 = D367,'Items by Team'!B$2:B3410 = B367)),NOT(A367=""Practice"")),TRUE,FALSE)"),FALSE)</f>
        <v>0</v>
      </c>
      <c r="BR367" s="6">
        <f t="shared" ca="1" si="41"/>
        <v>0</v>
      </c>
    </row>
    <row r="368" spans="1:70">
      <c r="A368" s="6"/>
      <c r="B368" s="6"/>
      <c r="C368" s="6"/>
      <c r="D368" s="6"/>
      <c r="E368" s="6"/>
      <c r="F368" s="6"/>
      <c r="G368" s="6"/>
      <c r="H368" s="6"/>
      <c r="I368" s="6"/>
      <c r="J368" s="6"/>
      <c r="K368" s="6"/>
      <c r="L368" s="6"/>
      <c r="M368" s="6"/>
      <c r="N368" s="6"/>
      <c r="O368" s="6"/>
      <c r="P368" s="6"/>
      <c r="R368" s="6"/>
      <c r="S368" s="6"/>
      <c r="T368" s="6"/>
      <c r="U368" s="6"/>
      <c r="V368" s="6"/>
      <c r="W368" s="6"/>
      <c r="X368" s="6"/>
      <c r="Y368" s="6"/>
      <c r="Z368" s="6"/>
      <c r="AA368" s="6"/>
      <c r="AB368" s="6"/>
      <c r="AD368" s="6"/>
      <c r="AE368" s="6"/>
      <c r="AF368" s="6"/>
      <c r="AG368" s="6"/>
      <c r="AH368" s="6"/>
      <c r="AI368" s="6"/>
      <c r="AK368" s="6"/>
      <c r="AL368" s="6"/>
      <c r="AM368" s="6"/>
      <c r="AN368" s="6"/>
      <c r="AO368" s="6"/>
      <c r="AP368" s="6"/>
      <c r="AQ368" s="6"/>
      <c r="AR368" s="6"/>
      <c r="AS368" s="15"/>
      <c r="AT368" s="6" t="str">
        <f ca="1">IFERROR(__xludf.DUMMYFUNCTION("SWITCH(IF(A368=""Practice"",AN368,FILTER('Items by Team'!E$2:E3410,'Items by Team'!C$2:C3410=D368,B368='Items by Team'!B$2:B3410)),""None"",""No"",""Parked"",""P"",""ShallowCage"",""Sc"",""DeepCage"",""Dc"",""No"",""No"",""P"",""P"",""Sc"",""Sc"",""Dc"","&amp;"""Dc"")"),"#REF!")</f>
        <v>#REF!</v>
      </c>
      <c r="AU368" s="6" t="str">
        <f ca="1">IFERROR(__xludf.DUMMYFUNCTION("SWITCH(IF(A368 = ""Practice"", H368, FILTER('Items by Team'!D$2:D3410,'Items by Team'!C$2:C3410 = D368,'Items by Team'!B$2:B3410 = B368)), ""Yes"", ""TRUE"", ""No"", ""FALSE"",TRUE, ""TRUE"", FALSE, ""FALSE"")"),"#REF!")</f>
        <v>#REF!</v>
      </c>
      <c r="AV368" s="6">
        <f t="shared" si="21"/>
        <v>0</v>
      </c>
      <c r="AW368" s="6">
        <f t="shared" si="22"/>
        <v>0</v>
      </c>
      <c r="AX368" s="6">
        <f t="shared" si="23"/>
        <v>0</v>
      </c>
      <c r="AY368" s="6">
        <f t="shared" si="24"/>
        <v>0</v>
      </c>
      <c r="AZ368" s="9" t="str">
        <f t="shared" si="25"/>
        <v/>
      </c>
      <c r="BA368" s="6">
        <f t="shared" si="26"/>
        <v>0</v>
      </c>
      <c r="BB368" s="6">
        <f t="shared" si="27"/>
        <v>0</v>
      </c>
      <c r="BC368" s="9" t="str">
        <f t="shared" si="28"/>
        <v/>
      </c>
      <c r="BD368" s="6">
        <f t="shared" si="29"/>
        <v>0</v>
      </c>
      <c r="BE368" s="6">
        <f t="shared" si="30"/>
        <v>0</v>
      </c>
      <c r="BF368" s="9" t="str">
        <f t="shared" si="31"/>
        <v/>
      </c>
      <c r="BG368" s="6">
        <f t="shared" si="32"/>
        <v>0</v>
      </c>
      <c r="BH368" s="6">
        <f t="shared" si="33"/>
        <v>0</v>
      </c>
      <c r="BI368" s="9" t="str">
        <f t="shared" si="34"/>
        <v/>
      </c>
      <c r="BJ368" s="6">
        <f t="shared" si="35"/>
        <v>0</v>
      </c>
      <c r="BK368" s="6">
        <f t="shared" si="36"/>
        <v>0</v>
      </c>
      <c r="BL368" s="6">
        <f t="shared" si="37"/>
        <v>0</v>
      </c>
      <c r="BM368" s="6">
        <f t="shared" si="38"/>
        <v>0</v>
      </c>
      <c r="BN368" s="6">
        <f t="shared" si="39"/>
        <v>0</v>
      </c>
      <c r="BP368" s="6">
        <f t="shared" si="40"/>
        <v>0</v>
      </c>
      <c r="BQ368" s="6" t="b">
        <f ca="1">IFERROR(__xludf.DUMMYFUNCTION("IF(AND(ISERROR(FILTER('Items by Team'!D$2:D3410,'Items by Team'!C$2:C3410 = D368,'Items by Team'!B$2:B3410 = B368)),NOT(A368=""Practice"")),TRUE,FALSE)"),FALSE)</f>
        <v>0</v>
      </c>
      <c r="BR368" s="6">
        <f t="shared" ca="1" si="41"/>
        <v>0</v>
      </c>
    </row>
    <row r="369" spans="1:70">
      <c r="A369" s="6"/>
      <c r="B369" s="6"/>
      <c r="C369" s="6"/>
      <c r="D369" s="6"/>
      <c r="E369" s="6"/>
      <c r="F369" s="6"/>
      <c r="G369" s="6"/>
      <c r="H369" s="6"/>
      <c r="I369" s="6"/>
      <c r="J369" s="6"/>
      <c r="K369" s="6"/>
      <c r="L369" s="6"/>
      <c r="M369" s="6"/>
      <c r="N369" s="6"/>
      <c r="O369" s="6"/>
      <c r="P369" s="6"/>
      <c r="R369" s="6"/>
      <c r="S369" s="6"/>
      <c r="T369" s="6"/>
      <c r="U369" s="6"/>
      <c r="V369" s="6"/>
      <c r="W369" s="6"/>
      <c r="X369" s="6"/>
      <c r="Y369" s="6"/>
      <c r="Z369" s="6"/>
      <c r="AA369" s="6"/>
      <c r="AB369" s="6"/>
      <c r="AD369" s="6"/>
      <c r="AE369" s="6"/>
      <c r="AF369" s="6"/>
      <c r="AG369" s="6"/>
      <c r="AH369" s="6"/>
      <c r="AI369" s="6"/>
      <c r="AK369" s="6"/>
      <c r="AL369" s="6"/>
      <c r="AM369" s="6"/>
      <c r="AN369" s="6"/>
      <c r="AO369" s="6"/>
      <c r="AP369" s="6"/>
      <c r="AQ369" s="6"/>
      <c r="AR369" s="6"/>
      <c r="AS369" s="15"/>
      <c r="AT369" s="6" t="str">
        <f ca="1">IFERROR(__xludf.DUMMYFUNCTION("SWITCH(IF(A369=""Practice"",AN369,FILTER('Items by Team'!E$2:E3410,'Items by Team'!C$2:C3410=D369,B369='Items by Team'!B$2:B3410)),""None"",""No"",""Parked"",""P"",""ShallowCage"",""Sc"",""DeepCage"",""Dc"",""No"",""No"",""P"",""P"",""Sc"",""Sc"",""Dc"","&amp;"""Dc"")"),"#REF!")</f>
        <v>#REF!</v>
      </c>
      <c r="AU369" s="6" t="str">
        <f ca="1">IFERROR(__xludf.DUMMYFUNCTION("SWITCH(IF(A369 = ""Practice"", H369, FILTER('Items by Team'!D$2:D3410,'Items by Team'!C$2:C3410 = D369,'Items by Team'!B$2:B3410 = B369)), ""Yes"", ""TRUE"", ""No"", ""FALSE"",TRUE, ""TRUE"", FALSE, ""FALSE"")"),"#REF!")</f>
        <v>#REF!</v>
      </c>
      <c r="AV369" s="6">
        <f t="shared" si="21"/>
        <v>0</v>
      </c>
      <c r="AW369" s="6">
        <f t="shared" si="22"/>
        <v>0</v>
      </c>
      <c r="AX369" s="6">
        <f t="shared" si="23"/>
        <v>0</v>
      </c>
      <c r="AY369" s="6">
        <f t="shared" si="24"/>
        <v>0</v>
      </c>
      <c r="AZ369" s="9" t="str">
        <f t="shared" si="25"/>
        <v/>
      </c>
      <c r="BA369" s="6">
        <f t="shared" si="26"/>
        <v>0</v>
      </c>
      <c r="BB369" s="6">
        <f t="shared" si="27"/>
        <v>0</v>
      </c>
      <c r="BC369" s="9" t="str">
        <f t="shared" si="28"/>
        <v/>
      </c>
      <c r="BD369" s="6">
        <f t="shared" si="29"/>
        <v>0</v>
      </c>
      <c r="BE369" s="6">
        <f t="shared" si="30"/>
        <v>0</v>
      </c>
      <c r="BF369" s="9" t="str">
        <f t="shared" si="31"/>
        <v/>
      </c>
      <c r="BG369" s="6">
        <f t="shared" si="32"/>
        <v>0</v>
      </c>
      <c r="BH369" s="6">
        <f t="shared" si="33"/>
        <v>0</v>
      </c>
      <c r="BI369" s="9" t="str">
        <f t="shared" si="34"/>
        <v/>
      </c>
      <c r="BJ369" s="6">
        <f t="shared" si="35"/>
        <v>0</v>
      </c>
      <c r="BK369" s="6">
        <f t="shared" si="36"/>
        <v>0</v>
      </c>
      <c r="BL369" s="6">
        <f t="shared" si="37"/>
        <v>0</v>
      </c>
      <c r="BM369" s="6">
        <f t="shared" si="38"/>
        <v>0</v>
      </c>
      <c r="BN369" s="6">
        <f t="shared" si="39"/>
        <v>0</v>
      </c>
      <c r="BP369" s="6">
        <f t="shared" si="40"/>
        <v>0</v>
      </c>
      <c r="BQ369" s="6" t="b">
        <f ca="1">IFERROR(__xludf.DUMMYFUNCTION("IF(AND(ISERROR(FILTER('Items by Team'!D$2:D3410,'Items by Team'!C$2:C3410 = D369,'Items by Team'!B$2:B3410 = B369)),NOT(A369=""Practice"")),TRUE,FALSE)"),FALSE)</f>
        <v>0</v>
      </c>
      <c r="BR369" s="6">
        <f t="shared" ca="1" si="41"/>
        <v>0</v>
      </c>
    </row>
    <row r="370" spans="1:70">
      <c r="A370" s="6"/>
      <c r="B370" s="6"/>
      <c r="C370" s="6"/>
      <c r="D370" s="6"/>
      <c r="E370" s="6"/>
      <c r="F370" s="6"/>
      <c r="G370" s="6"/>
      <c r="H370" s="6"/>
      <c r="I370" s="6"/>
      <c r="J370" s="6"/>
      <c r="K370" s="6"/>
      <c r="L370" s="6"/>
      <c r="M370" s="6"/>
      <c r="N370" s="6"/>
      <c r="O370" s="6"/>
      <c r="P370" s="6"/>
      <c r="R370" s="6"/>
      <c r="S370" s="6"/>
      <c r="T370" s="6"/>
      <c r="U370" s="6"/>
      <c r="V370" s="6"/>
      <c r="W370" s="6"/>
      <c r="X370" s="6"/>
      <c r="Y370" s="6"/>
      <c r="Z370" s="6"/>
      <c r="AA370" s="6"/>
      <c r="AB370" s="6"/>
      <c r="AD370" s="6"/>
      <c r="AE370" s="6"/>
      <c r="AF370" s="6"/>
      <c r="AG370" s="6"/>
      <c r="AH370" s="6"/>
      <c r="AI370" s="6"/>
      <c r="AK370" s="6"/>
      <c r="AL370" s="6"/>
      <c r="AM370" s="6"/>
      <c r="AN370" s="6"/>
      <c r="AO370" s="6"/>
      <c r="AP370" s="6"/>
      <c r="AQ370" s="6"/>
      <c r="AR370" s="6"/>
      <c r="AS370" s="15"/>
      <c r="AT370" s="6" t="str">
        <f ca="1">IFERROR(__xludf.DUMMYFUNCTION("SWITCH(IF(A370=""Practice"",AN370,FILTER('Items by Team'!E$2:E3410,'Items by Team'!C$2:C3410=D370,B370='Items by Team'!B$2:B3410)),""None"",""No"",""Parked"",""P"",""ShallowCage"",""Sc"",""DeepCage"",""Dc"",""No"",""No"",""P"",""P"",""Sc"",""Sc"",""Dc"","&amp;"""Dc"")"),"#REF!")</f>
        <v>#REF!</v>
      </c>
      <c r="AU370" s="6" t="str">
        <f ca="1">IFERROR(__xludf.DUMMYFUNCTION("SWITCH(IF(A370 = ""Practice"", H370, FILTER('Items by Team'!D$2:D3410,'Items by Team'!C$2:C3410 = D370,'Items by Team'!B$2:B3410 = B370)), ""Yes"", ""TRUE"", ""No"", ""FALSE"",TRUE, ""TRUE"", FALSE, ""FALSE"")"),"#REF!")</f>
        <v>#REF!</v>
      </c>
      <c r="AV370" s="6">
        <f t="shared" si="21"/>
        <v>0</v>
      </c>
      <c r="AW370" s="6">
        <f t="shared" si="22"/>
        <v>0</v>
      </c>
      <c r="AX370" s="6">
        <f t="shared" si="23"/>
        <v>0</v>
      </c>
      <c r="AY370" s="6">
        <f t="shared" si="24"/>
        <v>0</v>
      </c>
      <c r="AZ370" s="9" t="str">
        <f t="shared" si="25"/>
        <v/>
      </c>
      <c r="BA370" s="6">
        <f t="shared" si="26"/>
        <v>0</v>
      </c>
      <c r="BB370" s="6">
        <f t="shared" si="27"/>
        <v>0</v>
      </c>
      <c r="BC370" s="9" t="str">
        <f t="shared" si="28"/>
        <v/>
      </c>
      <c r="BD370" s="6">
        <f t="shared" si="29"/>
        <v>0</v>
      </c>
      <c r="BE370" s="6">
        <f t="shared" si="30"/>
        <v>0</v>
      </c>
      <c r="BF370" s="9" t="str">
        <f t="shared" si="31"/>
        <v/>
      </c>
      <c r="BG370" s="6">
        <f t="shared" si="32"/>
        <v>0</v>
      </c>
      <c r="BH370" s="6">
        <f t="shared" si="33"/>
        <v>0</v>
      </c>
      <c r="BI370" s="9" t="str">
        <f t="shared" si="34"/>
        <v/>
      </c>
      <c r="BJ370" s="6">
        <f t="shared" si="35"/>
        <v>0</v>
      </c>
      <c r="BK370" s="6">
        <f t="shared" si="36"/>
        <v>0</v>
      </c>
      <c r="BL370" s="6">
        <f t="shared" si="37"/>
        <v>0</v>
      </c>
      <c r="BM370" s="6">
        <f t="shared" si="38"/>
        <v>0</v>
      </c>
      <c r="BN370" s="6">
        <f t="shared" si="39"/>
        <v>0</v>
      </c>
      <c r="BP370" s="6">
        <f t="shared" si="40"/>
        <v>0</v>
      </c>
      <c r="BQ370" s="6" t="b">
        <f ca="1">IFERROR(__xludf.DUMMYFUNCTION("IF(AND(ISERROR(FILTER('Items by Team'!D$2:D3410,'Items by Team'!C$2:C3410 = D370,'Items by Team'!B$2:B3410 = B370)),NOT(A370=""Practice"")),TRUE,FALSE)"),FALSE)</f>
        <v>0</v>
      </c>
      <c r="BR370" s="6">
        <f t="shared" ca="1" si="41"/>
        <v>0</v>
      </c>
    </row>
    <row r="371" spans="1:70">
      <c r="A371" s="6"/>
      <c r="B371" s="6"/>
      <c r="C371" s="6"/>
      <c r="D371" s="6"/>
      <c r="E371" s="6"/>
      <c r="F371" s="6"/>
      <c r="G371" s="6"/>
      <c r="H371" s="6"/>
      <c r="I371" s="6"/>
      <c r="J371" s="6"/>
      <c r="K371" s="6"/>
      <c r="L371" s="6"/>
      <c r="M371" s="6"/>
      <c r="N371" s="6"/>
      <c r="O371" s="6"/>
      <c r="P371" s="6"/>
      <c r="R371" s="6"/>
      <c r="S371" s="6"/>
      <c r="T371" s="6"/>
      <c r="U371" s="6"/>
      <c r="V371" s="6"/>
      <c r="W371" s="6"/>
      <c r="X371" s="6"/>
      <c r="Y371" s="6"/>
      <c r="Z371" s="6"/>
      <c r="AA371" s="6"/>
      <c r="AB371" s="6"/>
      <c r="AD371" s="6"/>
      <c r="AE371" s="6"/>
      <c r="AF371" s="6"/>
      <c r="AG371" s="6"/>
      <c r="AH371" s="6"/>
      <c r="AI371" s="6"/>
      <c r="AK371" s="6"/>
      <c r="AL371" s="6"/>
      <c r="AM371" s="6"/>
      <c r="AN371" s="6"/>
      <c r="AO371" s="6"/>
      <c r="AP371" s="6"/>
      <c r="AQ371" s="6"/>
      <c r="AR371" s="6"/>
      <c r="AS371" s="15"/>
      <c r="AT371" s="6" t="str">
        <f ca="1">IFERROR(__xludf.DUMMYFUNCTION("SWITCH(IF(A371=""Practice"",AN371,FILTER('Items by Team'!E$2:E3410,'Items by Team'!C$2:C3410=D371,B371='Items by Team'!B$2:B3410)),""None"",""No"",""Parked"",""P"",""ShallowCage"",""Sc"",""DeepCage"",""Dc"",""No"",""No"",""P"",""P"",""Sc"",""Sc"",""Dc"","&amp;"""Dc"")"),"#REF!")</f>
        <v>#REF!</v>
      </c>
      <c r="AU371" s="6" t="str">
        <f ca="1">IFERROR(__xludf.DUMMYFUNCTION("SWITCH(IF(A371 = ""Practice"", H371, FILTER('Items by Team'!D$2:D3410,'Items by Team'!C$2:C3410 = D371,'Items by Team'!B$2:B3410 = B371)), ""Yes"", ""TRUE"", ""No"", ""FALSE"",TRUE, ""TRUE"", FALSE, ""FALSE"")"),"#REF!")</f>
        <v>#REF!</v>
      </c>
      <c r="AV371" s="6">
        <f t="shared" si="21"/>
        <v>0</v>
      </c>
      <c r="AW371" s="6">
        <f t="shared" si="22"/>
        <v>0</v>
      </c>
      <c r="AX371" s="6">
        <f t="shared" si="23"/>
        <v>0</v>
      </c>
      <c r="AY371" s="6">
        <f t="shared" si="24"/>
        <v>0</v>
      </c>
      <c r="AZ371" s="9" t="str">
        <f t="shared" si="25"/>
        <v/>
      </c>
      <c r="BA371" s="6">
        <f t="shared" si="26"/>
        <v>0</v>
      </c>
      <c r="BB371" s="6">
        <f t="shared" si="27"/>
        <v>0</v>
      </c>
      <c r="BC371" s="9" t="str">
        <f t="shared" si="28"/>
        <v/>
      </c>
      <c r="BD371" s="6">
        <f t="shared" si="29"/>
        <v>0</v>
      </c>
      <c r="BE371" s="6">
        <f t="shared" si="30"/>
        <v>0</v>
      </c>
      <c r="BF371" s="9" t="str">
        <f t="shared" si="31"/>
        <v/>
      </c>
      <c r="BG371" s="6">
        <f t="shared" si="32"/>
        <v>0</v>
      </c>
      <c r="BH371" s="6">
        <f t="shared" si="33"/>
        <v>0</v>
      </c>
      <c r="BI371" s="9" t="str">
        <f t="shared" si="34"/>
        <v/>
      </c>
      <c r="BJ371" s="6">
        <f t="shared" si="35"/>
        <v>0</v>
      </c>
      <c r="BK371" s="6">
        <f t="shared" si="36"/>
        <v>0</v>
      </c>
      <c r="BL371" s="6">
        <f t="shared" si="37"/>
        <v>0</v>
      </c>
      <c r="BM371" s="6">
        <f t="shared" si="38"/>
        <v>0</v>
      </c>
      <c r="BN371" s="6">
        <f t="shared" si="39"/>
        <v>0</v>
      </c>
      <c r="BP371" s="6">
        <f t="shared" si="40"/>
        <v>0</v>
      </c>
      <c r="BQ371" s="6" t="b">
        <f ca="1">IFERROR(__xludf.DUMMYFUNCTION("IF(AND(ISERROR(FILTER('Items by Team'!D$2:D3410,'Items by Team'!C$2:C3410 = D371,'Items by Team'!B$2:B3410 = B371)),NOT(A371=""Practice"")),TRUE,FALSE)"),FALSE)</f>
        <v>0</v>
      </c>
      <c r="BR371" s="6">
        <f t="shared" ca="1" si="41"/>
        <v>0</v>
      </c>
    </row>
    <row r="372" spans="1:70">
      <c r="A372" s="6"/>
      <c r="B372" s="6"/>
      <c r="C372" s="6"/>
      <c r="D372" s="6"/>
      <c r="E372" s="6"/>
      <c r="F372" s="6"/>
      <c r="G372" s="6"/>
      <c r="H372" s="6"/>
      <c r="I372" s="6"/>
      <c r="J372" s="6"/>
      <c r="K372" s="6"/>
      <c r="L372" s="6"/>
      <c r="M372" s="6"/>
      <c r="N372" s="6"/>
      <c r="O372" s="6"/>
      <c r="P372" s="6"/>
      <c r="R372" s="6"/>
      <c r="S372" s="6"/>
      <c r="T372" s="6"/>
      <c r="U372" s="6"/>
      <c r="V372" s="6"/>
      <c r="W372" s="6"/>
      <c r="X372" s="6"/>
      <c r="Y372" s="6"/>
      <c r="Z372" s="6"/>
      <c r="AA372" s="6"/>
      <c r="AB372" s="6"/>
      <c r="AD372" s="6"/>
      <c r="AE372" s="6"/>
      <c r="AF372" s="6"/>
      <c r="AG372" s="6"/>
      <c r="AH372" s="6"/>
      <c r="AI372" s="6"/>
      <c r="AK372" s="6"/>
      <c r="AL372" s="6"/>
      <c r="AM372" s="6"/>
      <c r="AN372" s="6"/>
      <c r="AO372" s="6"/>
      <c r="AP372" s="6"/>
      <c r="AQ372" s="6"/>
      <c r="AR372" s="6"/>
      <c r="AS372" s="15"/>
      <c r="AT372" s="6" t="str">
        <f ca="1">IFERROR(__xludf.DUMMYFUNCTION("SWITCH(IF(A372=""Practice"",AN372,FILTER('Items by Team'!E$2:E3410,'Items by Team'!C$2:C3410=D372,B372='Items by Team'!B$2:B3410)),""None"",""No"",""Parked"",""P"",""ShallowCage"",""Sc"",""DeepCage"",""Dc"",""No"",""No"",""P"",""P"",""Sc"",""Sc"",""Dc"","&amp;"""Dc"")"),"#REF!")</f>
        <v>#REF!</v>
      </c>
      <c r="AU372" s="6" t="str">
        <f ca="1">IFERROR(__xludf.DUMMYFUNCTION("SWITCH(IF(A372 = ""Practice"", H372, FILTER('Items by Team'!D$2:D3410,'Items by Team'!C$2:C3410 = D372,'Items by Team'!B$2:B3410 = B372)), ""Yes"", ""TRUE"", ""No"", ""FALSE"",TRUE, ""TRUE"", FALSE, ""FALSE"")"),"#REF!")</f>
        <v>#REF!</v>
      </c>
      <c r="AV372" s="6">
        <f t="shared" si="21"/>
        <v>0</v>
      </c>
      <c r="AW372" s="6">
        <f t="shared" si="22"/>
        <v>0</v>
      </c>
      <c r="AX372" s="6">
        <f t="shared" si="23"/>
        <v>0</v>
      </c>
      <c r="AY372" s="6">
        <f t="shared" si="24"/>
        <v>0</v>
      </c>
      <c r="AZ372" s="9" t="str">
        <f t="shared" si="25"/>
        <v/>
      </c>
      <c r="BA372" s="6">
        <f t="shared" si="26"/>
        <v>0</v>
      </c>
      <c r="BB372" s="6">
        <f t="shared" si="27"/>
        <v>0</v>
      </c>
      <c r="BC372" s="9" t="str">
        <f t="shared" si="28"/>
        <v/>
      </c>
      <c r="BD372" s="6">
        <f t="shared" si="29"/>
        <v>0</v>
      </c>
      <c r="BE372" s="6">
        <f t="shared" si="30"/>
        <v>0</v>
      </c>
      <c r="BF372" s="9" t="str">
        <f t="shared" si="31"/>
        <v/>
      </c>
      <c r="BG372" s="6">
        <f t="shared" si="32"/>
        <v>0</v>
      </c>
      <c r="BH372" s="6">
        <f t="shared" si="33"/>
        <v>0</v>
      </c>
      <c r="BI372" s="9" t="str">
        <f t="shared" si="34"/>
        <v/>
      </c>
      <c r="BJ372" s="6">
        <f t="shared" si="35"/>
        <v>0</v>
      </c>
      <c r="BK372" s="6">
        <f t="shared" si="36"/>
        <v>0</v>
      </c>
      <c r="BL372" s="6">
        <f t="shared" si="37"/>
        <v>0</v>
      </c>
      <c r="BM372" s="6">
        <f t="shared" si="38"/>
        <v>0</v>
      </c>
      <c r="BN372" s="6">
        <f t="shared" si="39"/>
        <v>0</v>
      </c>
      <c r="BP372" s="6">
        <f t="shared" si="40"/>
        <v>0</v>
      </c>
      <c r="BQ372" s="6" t="b">
        <f ca="1">IFERROR(__xludf.DUMMYFUNCTION("IF(AND(ISERROR(FILTER('Items by Team'!D$2:D3410,'Items by Team'!C$2:C3410 = D372,'Items by Team'!B$2:B3410 = B372)),NOT(A372=""Practice"")),TRUE,FALSE)"),FALSE)</f>
        <v>0</v>
      </c>
      <c r="BR372" s="6">
        <f t="shared" ca="1" si="41"/>
        <v>0</v>
      </c>
    </row>
    <row r="373" spans="1:70">
      <c r="A373" s="6"/>
      <c r="B373" s="6"/>
      <c r="C373" s="6"/>
      <c r="D373" s="6"/>
      <c r="E373" s="6"/>
      <c r="F373" s="6"/>
      <c r="G373" s="6"/>
      <c r="H373" s="6"/>
      <c r="I373" s="6"/>
      <c r="J373" s="6"/>
      <c r="K373" s="6"/>
      <c r="L373" s="6"/>
      <c r="M373" s="6"/>
      <c r="N373" s="6"/>
      <c r="O373" s="6"/>
      <c r="P373" s="6"/>
      <c r="R373" s="6"/>
      <c r="S373" s="6"/>
      <c r="T373" s="6"/>
      <c r="U373" s="6"/>
      <c r="V373" s="6"/>
      <c r="W373" s="6"/>
      <c r="X373" s="6"/>
      <c r="Y373" s="6"/>
      <c r="Z373" s="6"/>
      <c r="AA373" s="6"/>
      <c r="AB373" s="6"/>
      <c r="AD373" s="6"/>
      <c r="AE373" s="6"/>
      <c r="AF373" s="6"/>
      <c r="AG373" s="6"/>
      <c r="AH373" s="6"/>
      <c r="AI373" s="6"/>
      <c r="AK373" s="6"/>
      <c r="AL373" s="6"/>
      <c r="AM373" s="6"/>
      <c r="AN373" s="6"/>
      <c r="AO373" s="6"/>
      <c r="AP373" s="6"/>
      <c r="AQ373" s="6"/>
      <c r="AR373" s="6"/>
      <c r="AS373" s="15"/>
      <c r="AT373" s="6" t="str">
        <f ca="1">IFERROR(__xludf.DUMMYFUNCTION("SWITCH(IF(A373=""Practice"",AN373,FILTER('Items by Team'!E$2:E3410,'Items by Team'!C$2:C3410=D373,B373='Items by Team'!B$2:B3410)),""None"",""No"",""Parked"",""P"",""ShallowCage"",""Sc"",""DeepCage"",""Dc"",""No"",""No"",""P"",""P"",""Sc"",""Sc"",""Dc"","&amp;"""Dc"")"),"#REF!")</f>
        <v>#REF!</v>
      </c>
      <c r="AU373" s="6" t="str">
        <f ca="1">IFERROR(__xludf.DUMMYFUNCTION("SWITCH(IF(A373 = ""Practice"", H373, FILTER('Items by Team'!D$2:D3410,'Items by Team'!C$2:C3410 = D373,'Items by Team'!B$2:B3410 = B373)), ""Yes"", ""TRUE"", ""No"", ""FALSE"",TRUE, ""TRUE"", FALSE, ""FALSE"")"),"#REF!")</f>
        <v>#REF!</v>
      </c>
      <c r="AV373" s="6">
        <f t="shared" si="21"/>
        <v>0</v>
      </c>
      <c r="AW373" s="6">
        <f t="shared" si="22"/>
        <v>0</v>
      </c>
      <c r="AX373" s="6">
        <f t="shared" si="23"/>
        <v>0</v>
      </c>
      <c r="AY373" s="6">
        <f t="shared" si="24"/>
        <v>0</v>
      </c>
      <c r="AZ373" s="9" t="str">
        <f t="shared" si="25"/>
        <v/>
      </c>
      <c r="BA373" s="6">
        <f t="shared" si="26"/>
        <v>0</v>
      </c>
      <c r="BB373" s="6">
        <f t="shared" si="27"/>
        <v>0</v>
      </c>
      <c r="BC373" s="9" t="str">
        <f t="shared" si="28"/>
        <v/>
      </c>
      <c r="BD373" s="6">
        <f t="shared" si="29"/>
        <v>0</v>
      </c>
      <c r="BE373" s="6">
        <f t="shared" si="30"/>
        <v>0</v>
      </c>
      <c r="BF373" s="9" t="str">
        <f t="shared" si="31"/>
        <v/>
      </c>
      <c r="BG373" s="6">
        <f t="shared" si="32"/>
        <v>0</v>
      </c>
      <c r="BH373" s="6">
        <f t="shared" si="33"/>
        <v>0</v>
      </c>
      <c r="BI373" s="9" t="str">
        <f t="shared" si="34"/>
        <v/>
      </c>
      <c r="BJ373" s="6">
        <f t="shared" si="35"/>
        <v>0</v>
      </c>
      <c r="BK373" s="6">
        <f t="shared" si="36"/>
        <v>0</v>
      </c>
      <c r="BL373" s="6">
        <f t="shared" si="37"/>
        <v>0</v>
      </c>
      <c r="BM373" s="6">
        <f t="shared" si="38"/>
        <v>0</v>
      </c>
      <c r="BN373" s="6">
        <f t="shared" si="39"/>
        <v>0</v>
      </c>
      <c r="BP373" s="6">
        <f t="shared" si="40"/>
        <v>0</v>
      </c>
      <c r="BQ373" s="6" t="b">
        <f ca="1">IFERROR(__xludf.DUMMYFUNCTION("IF(AND(ISERROR(FILTER('Items by Team'!D$2:D3410,'Items by Team'!C$2:C3410 = D373,'Items by Team'!B$2:B3410 = B373)),NOT(A373=""Practice"")),TRUE,FALSE)"),FALSE)</f>
        <v>0</v>
      </c>
      <c r="BR373" s="6">
        <f t="shared" ca="1" si="41"/>
        <v>0</v>
      </c>
    </row>
    <row r="374" spans="1:70">
      <c r="A374" s="6"/>
      <c r="B374" s="6"/>
      <c r="C374" s="6"/>
      <c r="D374" s="6"/>
      <c r="E374" s="6"/>
      <c r="F374" s="6"/>
      <c r="G374" s="6"/>
      <c r="H374" s="6"/>
      <c r="I374" s="6"/>
      <c r="J374" s="6"/>
      <c r="K374" s="6"/>
      <c r="L374" s="6"/>
      <c r="M374" s="6"/>
      <c r="N374" s="6"/>
      <c r="O374" s="6"/>
      <c r="P374" s="6"/>
      <c r="R374" s="6"/>
      <c r="S374" s="6"/>
      <c r="T374" s="6"/>
      <c r="U374" s="6"/>
      <c r="V374" s="6"/>
      <c r="W374" s="6"/>
      <c r="X374" s="6"/>
      <c r="Y374" s="6"/>
      <c r="Z374" s="6"/>
      <c r="AA374" s="6"/>
      <c r="AB374" s="6"/>
      <c r="AD374" s="6"/>
      <c r="AE374" s="6"/>
      <c r="AF374" s="6"/>
      <c r="AG374" s="6"/>
      <c r="AH374" s="6"/>
      <c r="AI374" s="6"/>
      <c r="AK374" s="6"/>
      <c r="AL374" s="6"/>
      <c r="AM374" s="6"/>
      <c r="AN374" s="6"/>
      <c r="AO374" s="6"/>
      <c r="AP374" s="6"/>
      <c r="AQ374" s="6"/>
      <c r="AR374" s="6"/>
      <c r="AS374" s="15"/>
      <c r="AT374" s="6" t="str">
        <f ca="1">IFERROR(__xludf.DUMMYFUNCTION("SWITCH(IF(A374=""Practice"",AN374,FILTER('Items by Team'!E$2:E3410,'Items by Team'!C$2:C3410=D374,B374='Items by Team'!B$2:B3410)),""None"",""No"",""Parked"",""P"",""ShallowCage"",""Sc"",""DeepCage"",""Dc"",""No"",""No"",""P"",""P"",""Sc"",""Sc"",""Dc"","&amp;"""Dc"")"),"#REF!")</f>
        <v>#REF!</v>
      </c>
      <c r="AU374" s="6" t="str">
        <f ca="1">IFERROR(__xludf.DUMMYFUNCTION("SWITCH(IF(A374 = ""Practice"", H374, FILTER('Items by Team'!D$2:D3410,'Items by Team'!C$2:C3410 = D374,'Items by Team'!B$2:B3410 = B374)), ""Yes"", ""TRUE"", ""No"", ""FALSE"",TRUE, ""TRUE"", FALSE, ""FALSE"")"),"#REF!")</f>
        <v>#REF!</v>
      </c>
      <c r="AV374" s="6">
        <f t="shared" si="21"/>
        <v>0</v>
      </c>
      <c r="AW374" s="6">
        <f t="shared" si="22"/>
        <v>0</v>
      </c>
      <c r="AX374" s="6">
        <f t="shared" si="23"/>
        <v>0</v>
      </c>
      <c r="AY374" s="6">
        <f t="shared" si="24"/>
        <v>0</v>
      </c>
      <c r="AZ374" s="9" t="str">
        <f t="shared" si="25"/>
        <v/>
      </c>
      <c r="BA374" s="6">
        <f t="shared" si="26"/>
        <v>0</v>
      </c>
      <c r="BB374" s="6">
        <f t="shared" si="27"/>
        <v>0</v>
      </c>
      <c r="BC374" s="9" t="str">
        <f t="shared" si="28"/>
        <v/>
      </c>
      <c r="BD374" s="6">
        <f t="shared" si="29"/>
        <v>0</v>
      </c>
      <c r="BE374" s="6">
        <f t="shared" si="30"/>
        <v>0</v>
      </c>
      <c r="BF374" s="9" t="str">
        <f t="shared" si="31"/>
        <v/>
      </c>
      <c r="BG374" s="6">
        <f t="shared" si="32"/>
        <v>0</v>
      </c>
      <c r="BH374" s="6">
        <f t="shared" si="33"/>
        <v>0</v>
      </c>
      <c r="BI374" s="9" t="str">
        <f t="shared" si="34"/>
        <v/>
      </c>
      <c r="BJ374" s="6">
        <f t="shared" si="35"/>
        <v>0</v>
      </c>
      <c r="BK374" s="6">
        <f t="shared" si="36"/>
        <v>0</v>
      </c>
      <c r="BL374" s="6">
        <f t="shared" si="37"/>
        <v>0</v>
      </c>
      <c r="BM374" s="6">
        <f t="shared" si="38"/>
        <v>0</v>
      </c>
      <c r="BN374" s="6">
        <f t="shared" si="39"/>
        <v>0</v>
      </c>
      <c r="BP374" s="6">
        <f t="shared" si="40"/>
        <v>0</v>
      </c>
      <c r="BQ374" s="6" t="b">
        <f ca="1">IFERROR(__xludf.DUMMYFUNCTION("IF(AND(ISERROR(FILTER('Items by Team'!D$2:D3410,'Items by Team'!C$2:C3410 = D374,'Items by Team'!B$2:B3410 = B374)),NOT(A374=""Practice"")),TRUE,FALSE)"),FALSE)</f>
        <v>0</v>
      </c>
      <c r="BR374" s="6">
        <f t="shared" ca="1" si="41"/>
        <v>0</v>
      </c>
    </row>
    <row r="375" spans="1:70">
      <c r="A375" s="6"/>
      <c r="B375" s="6"/>
      <c r="C375" s="6"/>
      <c r="D375" s="6"/>
      <c r="E375" s="6"/>
      <c r="F375" s="6"/>
      <c r="G375" s="6"/>
      <c r="H375" s="6"/>
      <c r="I375" s="6"/>
      <c r="J375" s="6"/>
      <c r="K375" s="6"/>
      <c r="L375" s="6"/>
      <c r="M375" s="6"/>
      <c r="N375" s="6"/>
      <c r="O375" s="6"/>
      <c r="P375" s="6"/>
      <c r="R375" s="6"/>
      <c r="S375" s="6"/>
      <c r="T375" s="6"/>
      <c r="U375" s="6"/>
      <c r="V375" s="6"/>
      <c r="W375" s="6"/>
      <c r="X375" s="6"/>
      <c r="Y375" s="6"/>
      <c r="Z375" s="6"/>
      <c r="AA375" s="6"/>
      <c r="AB375" s="6"/>
      <c r="AD375" s="6"/>
      <c r="AE375" s="6"/>
      <c r="AF375" s="6"/>
      <c r="AG375" s="6"/>
      <c r="AH375" s="6"/>
      <c r="AI375" s="6"/>
      <c r="AK375" s="6"/>
      <c r="AL375" s="6"/>
      <c r="AM375" s="6"/>
      <c r="AN375" s="6"/>
      <c r="AO375" s="6"/>
      <c r="AP375" s="6"/>
      <c r="AQ375" s="6"/>
      <c r="AR375" s="6"/>
      <c r="AS375" s="15"/>
      <c r="AT375" s="6" t="str">
        <f ca="1">IFERROR(__xludf.DUMMYFUNCTION("SWITCH(IF(A375=""Practice"",AN375,FILTER('Items by Team'!E$2:E3410,'Items by Team'!C$2:C3410=D375,B375='Items by Team'!B$2:B3410)),""None"",""No"",""Parked"",""P"",""ShallowCage"",""Sc"",""DeepCage"",""Dc"",""No"",""No"",""P"",""P"",""Sc"",""Sc"",""Dc"","&amp;"""Dc"")"),"#REF!")</f>
        <v>#REF!</v>
      </c>
      <c r="AU375" s="6" t="str">
        <f ca="1">IFERROR(__xludf.DUMMYFUNCTION("SWITCH(IF(A375 = ""Practice"", H375, FILTER('Items by Team'!D$2:D3410,'Items by Team'!C$2:C3410 = D375,'Items by Team'!B$2:B3410 = B375)), ""Yes"", ""TRUE"", ""No"", ""FALSE"",TRUE, ""TRUE"", FALSE, ""FALSE"")"),"#REF!")</f>
        <v>#REF!</v>
      </c>
      <c r="AV375" s="6">
        <f t="shared" si="21"/>
        <v>0</v>
      </c>
      <c r="AW375" s="6">
        <f t="shared" si="22"/>
        <v>0</v>
      </c>
      <c r="AX375" s="6">
        <f t="shared" si="23"/>
        <v>0</v>
      </c>
      <c r="AY375" s="6">
        <f t="shared" si="24"/>
        <v>0</v>
      </c>
      <c r="AZ375" s="9" t="str">
        <f t="shared" si="25"/>
        <v/>
      </c>
      <c r="BA375" s="6">
        <f t="shared" si="26"/>
        <v>0</v>
      </c>
      <c r="BB375" s="6">
        <f t="shared" si="27"/>
        <v>0</v>
      </c>
      <c r="BC375" s="9" t="str">
        <f t="shared" si="28"/>
        <v/>
      </c>
      <c r="BD375" s="6">
        <f t="shared" si="29"/>
        <v>0</v>
      </c>
      <c r="BE375" s="6">
        <f t="shared" si="30"/>
        <v>0</v>
      </c>
      <c r="BF375" s="9" t="str">
        <f t="shared" si="31"/>
        <v/>
      </c>
      <c r="BG375" s="6">
        <f t="shared" si="32"/>
        <v>0</v>
      </c>
      <c r="BH375" s="6">
        <f t="shared" si="33"/>
        <v>0</v>
      </c>
      <c r="BI375" s="9" t="str">
        <f t="shared" si="34"/>
        <v/>
      </c>
      <c r="BJ375" s="6">
        <f t="shared" si="35"/>
        <v>0</v>
      </c>
      <c r="BK375" s="6">
        <f t="shared" si="36"/>
        <v>0</v>
      </c>
      <c r="BL375" s="6">
        <f t="shared" si="37"/>
        <v>0</v>
      </c>
      <c r="BM375" s="6">
        <f t="shared" si="38"/>
        <v>0</v>
      </c>
      <c r="BN375" s="6">
        <f t="shared" si="39"/>
        <v>0</v>
      </c>
      <c r="BP375" s="6">
        <f t="shared" si="40"/>
        <v>0</v>
      </c>
      <c r="BQ375" s="6" t="b">
        <f ca="1">IFERROR(__xludf.DUMMYFUNCTION("IF(AND(ISERROR(FILTER('Items by Team'!D$2:D3410,'Items by Team'!C$2:C3410 = D375,'Items by Team'!B$2:B3410 = B375)),NOT(A375=""Practice"")),TRUE,FALSE)"),FALSE)</f>
        <v>0</v>
      </c>
      <c r="BR375" s="6">
        <f t="shared" ca="1" si="41"/>
        <v>0</v>
      </c>
    </row>
    <row r="376" spans="1:70">
      <c r="A376" s="6"/>
      <c r="B376" s="6"/>
      <c r="C376" s="6"/>
      <c r="D376" s="6"/>
      <c r="E376" s="6"/>
      <c r="F376" s="6"/>
      <c r="G376" s="6"/>
      <c r="H376" s="6"/>
      <c r="I376" s="6"/>
      <c r="J376" s="6"/>
      <c r="K376" s="6"/>
      <c r="L376" s="6"/>
      <c r="M376" s="6"/>
      <c r="N376" s="6"/>
      <c r="O376" s="6"/>
      <c r="P376" s="6"/>
      <c r="R376" s="6"/>
      <c r="S376" s="6"/>
      <c r="T376" s="6"/>
      <c r="U376" s="6"/>
      <c r="V376" s="6"/>
      <c r="W376" s="6"/>
      <c r="X376" s="6"/>
      <c r="Y376" s="6"/>
      <c r="Z376" s="6"/>
      <c r="AA376" s="6"/>
      <c r="AB376" s="6"/>
      <c r="AD376" s="6"/>
      <c r="AE376" s="6"/>
      <c r="AF376" s="6"/>
      <c r="AG376" s="6"/>
      <c r="AH376" s="6"/>
      <c r="AI376" s="6"/>
      <c r="AK376" s="6"/>
      <c r="AL376" s="6"/>
      <c r="AM376" s="6"/>
      <c r="AN376" s="6"/>
      <c r="AO376" s="6"/>
      <c r="AP376" s="6"/>
      <c r="AQ376" s="6"/>
      <c r="AR376" s="6"/>
      <c r="AS376" s="15"/>
      <c r="AT376" s="6" t="str">
        <f ca="1">IFERROR(__xludf.DUMMYFUNCTION("SWITCH(IF(A376=""Practice"",AN376,FILTER('Items by Team'!E$2:E3410,'Items by Team'!C$2:C3410=D376,B376='Items by Team'!B$2:B3410)),""None"",""No"",""Parked"",""P"",""ShallowCage"",""Sc"",""DeepCage"",""Dc"",""No"",""No"",""P"",""P"",""Sc"",""Sc"",""Dc"","&amp;"""Dc"")"),"#REF!")</f>
        <v>#REF!</v>
      </c>
      <c r="AU376" s="6" t="str">
        <f ca="1">IFERROR(__xludf.DUMMYFUNCTION("SWITCH(IF(A376 = ""Practice"", H376, FILTER('Items by Team'!D$2:D3410,'Items by Team'!C$2:C3410 = D376,'Items by Team'!B$2:B3410 = B376)), ""Yes"", ""TRUE"", ""No"", ""FALSE"",TRUE, ""TRUE"", FALSE, ""FALSE"")"),"#REF!")</f>
        <v>#REF!</v>
      </c>
      <c r="AV376" s="6">
        <f t="shared" si="21"/>
        <v>0</v>
      </c>
      <c r="AW376" s="6">
        <f t="shared" si="22"/>
        <v>0</v>
      </c>
      <c r="AX376" s="6">
        <f t="shared" si="23"/>
        <v>0</v>
      </c>
      <c r="AY376" s="6">
        <f t="shared" si="24"/>
        <v>0</v>
      </c>
      <c r="AZ376" s="9" t="str">
        <f t="shared" si="25"/>
        <v/>
      </c>
      <c r="BA376" s="6">
        <f t="shared" si="26"/>
        <v>0</v>
      </c>
      <c r="BB376" s="6">
        <f t="shared" si="27"/>
        <v>0</v>
      </c>
      <c r="BC376" s="9" t="str">
        <f t="shared" si="28"/>
        <v/>
      </c>
      <c r="BD376" s="6">
        <f t="shared" si="29"/>
        <v>0</v>
      </c>
      <c r="BE376" s="6">
        <f t="shared" si="30"/>
        <v>0</v>
      </c>
      <c r="BF376" s="9" t="str">
        <f t="shared" si="31"/>
        <v/>
      </c>
      <c r="BG376" s="6">
        <f t="shared" si="32"/>
        <v>0</v>
      </c>
      <c r="BH376" s="6">
        <f t="shared" si="33"/>
        <v>0</v>
      </c>
      <c r="BI376" s="9" t="str">
        <f t="shared" si="34"/>
        <v/>
      </c>
      <c r="BJ376" s="6">
        <f t="shared" si="35"/>
        <v>0</v>
      </c>
      <c r="BK376" s="6">
        <f t="shared" si="36"/>
        <v>0</v>
      </c>
      <c r="BL376" s="6">
        <f t="shared" si="37"/>
        <v>0</v>
      </c>
      <c r="BM376" s="6">
        <f t="shared" si="38"/>
        <v>0</v>
      </c>
      <c r="BN376" s="6">
        <f t="shared" si="39"/>
        <v>0</v>
      </c>
      <c r="BP376" s="6">
        <f t="shared" si="40"/>
        <v>0</v>
      </c>
      <c r="BQ376" s="6" t="b">
        <f ca="1">IFERROR(__xludf.DUMMYFUNCTION("IF(AND(ISERROR(FILTER('Items by Team'!D$2:D3410,'Items by Team'!C$2:C3410 = D376,'Items by Team'!B$2:B3410 = B376)),NOT(A376=""Practice"")),TRUE,FALSE)"),FALSE)</f>
        <v>0</v>
      </c>
      <c r="BR376" s="6">
        <f t="shared" ca="1" si="41"/>
        <v>0</v>
      </c>
    </row>
    <row r="377" spans="1:70">
      <c r="A377" s="6"/>
      <c r="B377" s="6"/>
      <c r="C377" s="6"/>
      <c r="D377" s="6"/>
      <c r="E377" s="6"/>
      <c r="F377" s="6"/>
      <c r="G377" s="6"/>
      <c r="H377" s="6"/>
      <c r="I377" s="6"/>
      <c r="J377" s="6"/>
      <c r="K377" s="6"/>
      <c r="L377" s="6"/>
      <c r="M377" s="6"/>
      <c r="N377" s="6"/>
      <c r="O377" s="6"/>
      <c r="P377" s="6"/>
      <c r="R377" s="6"/>
      <c r="S377" s="6"/>
      <c r="T377" s="6"/>
      <c r="U377" s="6"/>
      <c r="V377" s="6"/>
      <c r="W377" s="6"/>
      <c r="X377" s="6"/>
      <c r="Y377" s="6"/>
      <c r="Z377" s="6"/>
      <c r="AA377" s="6"/>
      <c r="AB377" s="6"/>
      <c r="AD377" s="6"/>
      <c r="AE377" s="6"/>
      <c r="AF377" s="6"/>
      <c r="AG377" s="6"/>
      <c r="AH377" s="6"/>
      <c r="AI377" s="6"/>
      <c r="AK377" s="6"/>
      <c r="AL377" s="6"/>
      <c r="AM377" s="6"/>
      <c r="AN377" s="6"/>
      <c r="AO377" s="6"/>
      <c r="AP377" s="6"/>
      <c r="AQ377" s="6"/>
      <c r="AR377" s="6"/>
      <c r="AS377" s="15"/>
      <c r="AT377" s="6" t="str">
        <f ca="1">IFERROR(__xludf.DUMMYFUNCTION("SWITCH(IF(A377=""Practice"",AN377,FILTER('Items by Team'!E$2:E3410,'Items by Team'!C$2:C3410=D377,B377='Items by Team'!B$2:B3410)),""None"",""No"",""Parked"",""P"",""ShallowCage"",""Sc"",""DeepCage"",""Dc"",""No"",""No"",""P"",""P"",""Sc"",""Sc"",""Dc"","&amp;"""Dc"")"),"#REF!")</f>
        <v>#REF!</v>
      </c>
      <c r="AU377" s="6" t="str">
        <f ca="1">IFERROR(__xludf.DUMMYFUNCTION("SWITCH(IF(A377 = ""Practice"", H377, FILTER('Items by Team'!D$2:D3410,'Items by Team'!C$2:C3410 = D377,'Items by Team'!B$2:B3410 = B377)), ""Yes"", ""TRUE"", ""No"", ""FALSE"",TRUE, ""TRUE"", FALSE, ""FALSE"")"),"#REF!")</f>
        <v>#REF!</v>
      </c>
      <c r="AV377" s="6">
        <f t="shared" si="21"/>
        <v>0</v>
      </c>
      <c r="AW377" s="6">
        <f t="shared" si="22"/>
        <v>0</v>
      </c>
      <c r="AX377" s="6">
        <f t="shared" si="23"/>
        <v>0</v>
      </c>
      <c r="AY377" s="6">
        <f t="shared" si="24"/>
        <v>0</v>
      </c>
      <c r="AZ377" s="9" t="str">
        <f t="shared" si="25"/>
        <v/>
      </c>
      <c r="BA377" s="6">
        <f t="shared" si="26"/>
        <v>0</v>
      </c>
      <c r="BB377" s="6">
        <f t="shared" si="27"/>
        <v>0</v>
      </c>
      <c r="BC377" s="9" t="str">
        <f t="shared" si="28"/>
        <v/>
      </c>
      <c r="BD377" s="6">
        <f t="shared" si="29"/>
        <v>0</v>
      </c>
      <c r="BE377" s="6">
        <f t="shared" si="30"/>
        <v>0</v>
      </c>
      <c r="BF377" s="9" t="str">
        <f t="shared" si="31"/>
        <v/>
      </c>
      <c r="BG377" s="6">
        <f t="shared" si="32"/>
        <v>0</v>
      </c>
      <c r="BH377" s="6">
        <f t="shared" si="33"/>
        <v>0</v>
      </c>
      <c r="BI377" s="9" t="str">
        <f t="shared" si="34"/>
        <v/>
      </c>
      <c r="BJ377" s="6">
        <f t="shared" si="35"/>
        <v>0</v>
      </c>
      <c r="BK377" s="6">
        <f t="shared" si="36"/>
        <v>0</v>
      </c>
      <c r="BL377" s="6">
        <f t="shared" si="37"/>
        <v>0</v>
      </c>
      <c r="BM377" s="6">
        <f t="shared" si="38"/>
        <v>0</v>
      </c>
      <c r="BN377" s="6">
        <f t="shared" si="39"/>
        <v>0</v>
      </c>
      <c r="BP377" s="6">
        <f t="shared" si="40"/>
        <v>0</v>
      </c>
      <c r="BQ377" s="6" t="b">
        <f ca="1">IFERROR(__xludf.DUMMYFUNCTION("IF(AND(ISERROR(FILTER('Items by Team'!D$2:D3410,'Items by Team'!C$2:C3410 = D377,'Items by Team'!B$2:B3410 = B377)),NOT(A377=""Practice"")),TRUE,FALSE)"),FALSE)</f>
        <v>0</v>
      </c>
      <c r="BR377" s="6">
        <f t="shared" ca="1" si="41"/>
        <v>0</v>
      </c>
    </row>
    <row r="378" spans="1:70">
      <c r="A378" s="6"/>
      <c r="B378" s="6"/>
      <c r="C378" s="6"/>
      <c r="D378" s="6"/>
      <c r="E378" s="6"/>
      <c r="F378" s="6"/>
      <c r="G378" s="6"/>
      <c r="H378" s="6"/>
      <c r="I378" s="6"/>
      <c r="J378" s="6"/>
      <c r="K378" s="6"/>
      <c r="L378" s="6"/>
      <c r="M378" s="6"/>
      <c r="N378" s="6"/>
      <c r="O378" s="6"/>
      <c r="P378" s="6"/>
      <c r="R378" s="6"/>
      <c r="S378" s="6"/>
      <c r="T378" s="6"/>
      <c r="U378" s="6"/>
      <c r="V378" s="6"/>
      <c r="W378" s="6"/>
      <c r="X378" s="6"/>
      <c r="Y378" s="6"/>
      <c r="Z378" s="6"/>
      <c r="AA378" s="6"/>
      <c r="AB378" s="6"/>
      <c r="AD378" s="6"/>
      <c r="AE378" s="6"/>
      <c r="AF378" s="6"/>
      <c r="AG378" s="6"/>
      <c r="AH378" s="6"/>
      <c r="AI378" s="6"/>
      <c r="AK378" s="6"/>
      <c r="AL378" s="6"/>
      <c r="AM378" s="6"/>
      <c r="AN378" s="6"/>
      <c r="AO378" s="6"/>
      <c r="AP378" s="6"/>
      <c r="AQ378" s="6"/>
      <c r="AR378" s="6"/>
      <c r="AS378" s="15"/>
      <c r="AT378" s="6" t="str">
        <f ca="1">IFERROR(__xludf.DUMMYFUNCTION("SWITCH(IF(A378=""Practice"",AN378,FILTER('Items by Team'!E$2:E3410,'Items by Team'!C$2:C3410=D378,B378='Items by Team'!B$2:B3410)),""None"",""No"",""Parked"",""P"",""ShallowCage"",""Sc"",""DeepCage"",""Dc"",""No"",""No"",""P"",""P"",""Sc"",""Sc"",""Dc"","&amp;"""Dc"")"),"#REF!")</f>
        <v>#REF!</v>
      </c>
      <c r="AU378" s="6" t="str">
        <f ca="1">IFERROR(__xludf.DUMMYFUNCTION("SWITCH(IF(A378 = ""Practice"", H378, FILTER('Items by Team'!D$2:D3410,'Items by Team'!C$2:C3410 = D378,'Items by Team'!B$2:B3410 = B378)), ""Yes"", ""TRUE"", ""No"", ""FALSE"",TRUE, ""TRUE"", FALSE, ""FALSE"")"),"#REF!")</f>
        <v>#REF!</v>
      </c>
      <c r="AV378" s="6">
        <f t="shared" si="21"/>
        <v>0</v>
      </c>
      <c r="AW378" s="6">
        <f t="shared" si="22"/>
        <v>0</v>
      </c>
      <c r="AX378" s="6">
        <f t="shared" si="23"/>
        <v>0</v>
      </c>
      <c r="AY378" s="6">
        <f t="shared" si="24"/>
        <v>0</v>
      </c>
      <c r="AZ378" s="9" t="str">
        <f t="shared" si="25"/>
        <v/>
      </c>
      <c r="BA378" s="6">
        <f t="shared" si="26"/>
        <v>0</v>
      </c>
      <c r="BB378" s="6">
        <f t="shared" si="27"/>
        <v>0</v>
      </c>
      <c r="BC378" s="9" t="str">
        <f t="shared" si="28"/>
        <v/>
      </c>
      <c r="BD378" s="6">
        <f t="shared" si="29"/>
        <v>0</v>
      </c>
      <c r="BE378" s="6">
        <f t="shared" si="30"/>
        <v>0</v>
      </c>
      <c r="BF378" s="9" t="str">
        <f t="shared" si="31"/>
        <v/>
      </c>
      <c r="BG378" s="6">
        <f t="shared" si="32"/>
        <v>0</v>
      </c>
      <c r="BH378" s="6">
        <f t="shared" si="33"/>
        <v>0</v>
      </c>
      <c r="BI378" s="9" t="str">
        <f t="shared" si="34"/>
        <v/>
      </c>
      <c r="BJ378" s="6">
        <f t="shared" si="35"/>
        <v>0</v>
      </c>
      <c r="BK378" s="6">
        <f t="shared" si="36"/>
        <v>0</v>
      </c>
      <c r="BL378" s="6">
        <f t="shared" si="37"/>
        <v>0</v>
      </c>
      <c r="BM378" s="6">
        <f t="shared" si="38"/>
        <v>0</v>
      </c>
      <c r="BN378" s="6">
        <f t="shared" si="39"/>
        <v>0</v>
      </c>
      <c r="BP378" s="6">
        <f t="shared" si="40"/>
        <v>0</v>
      </c>
      <c r="BQ378" s="6" t="b">
        <f ca="1">IFERROR(__xludf.DUMMYFUNCTION("IF(AND(ISERROR(FILTER('Items by Team'!D$2:D3410,'Items by Team'!C$2:C3410 = D378,'Items by Team'!B$2:B3410 = B378)),NOT(A378=""Practice"")),TRUE,FALSE)"),FALSE)</f>
        <v>0</v>
      </c>
      <c r="BR378" s="6">
        <f t="shared" ca="1" si="41"/>
        <v>0</v>
      </c>
    </row>
    <row r="379" spans="1:70">
      <c r="A379" s="6"/>
      <c r="B379" s="6"/>
      <c r="C379" s="6"/>
      <c r="D379" s="6"/>
      <c r="E379" s="6"/>
      <c r="F379" s="6"/>
      <c r="G379" s="6"/>
      <c r="H379" s="6"/>
      <c r="I379" s="6"/>
      <c r="J379" s="6"/>
      <c r="K379" s="6"/>
      <c r="L379" s="6"/>
      <c r="M379" s="6"/>
      <c r="N379" s="6"/>
      <c r="O379" s="6"/>
      <c r="P379" s="6"/>
      <c r="R379" s="6"/>
      <c r="S379" s="6"/>
      <c r="T379" s="6"/>
      <c r="U379" s="6"/>
      <c r="V379" s="6"/>
      <c r="W379" s="6"/>
      <c r="X379" s="6"/>
      <c r="Y379" s="6"/>
      <c r="Z379" s="6"/>
      <c r="AA379" s="6"/>
      <c r="AB379" s="6"/>
      <c r="AD379" s="6"/>
      <c r="AE379" s="6"/>
      <c r="AF379" s="6"/>
      <c r="AG379" s="6"/>
      <c r="AH379" s="6"/>
      <c r="AI379" s="6"/>
      <c r="AK379" s="6"/>
      <c r="AL379" s="6"/>
      <c r="AM379" s="6"/>
      <c r="AN379" s="6"/>
      <c r="AO379" s="6"/>
      <c r="AP379" s="6"/>
      <c r="AQ379" s="6"/>
      <c r="AR379" s="6"/>
      <c r="AS379" s="15"/>
      <c r="AT379" s="6" t="str">
        <f ca="1">IFERROR(__xludf.DUMMYFUNCTION("SWITCH(IF(A379=""Practice"",AN379,FILTER('Items by Team'!E$2:E3410,'Items by Team'!C$2:C3410=D379,B379='Items by Team'!B$2:B3410)),""None"",""No"",""Parked"",""P"",""ShallowCage"",""Sc"",""DeepCage"",""Dc"",""No"",""No"",""P"",""P"",""Sc"",""Sc"",""Dc"","&amp;"""Dc"")"),"#REF!")</f>
        <v>#REF!</v>
      </c>
      <c r="AU379" s="6" t="str">
        <f ca="1">IFERROR(__xludf.DUMMYFUNCTION("SWITCH(IF(A379 = ""Practice"", H379, FILTER('Items by Team'!D$2:D3410,'Items by Team'!C$2:C3410 = D379,'Items by Team'!B$2:B3410 = B379)), ""Yes"", ""TRUE"", ""No"", ""FALSE"",TRUE, ""TRUE"", FALSE, ""FALSE"")"),"#REF!")</f>
        <v>#REF!</v>
      </c>
      <c r="AV379" s="6">
        <f t="shared" si="21"/>
        <v>0</v>
      </c>
      <c r="AW379" s="6">
        <f t="shared" si="22"/>
        <v>0</v>
      </c>
      <c r="AX379" s="6">
        <f t="shared" si="23"/>
        <v>0</v>
      </c>
      <c r="AY379" s="6">
        <f t="shared" si="24"/>
        <v>0</v>
      </c>
      <c r="AZ379" s="9" t="str">
        <f t="shared" si="25"/>
        <v/>
      </c>
      <c r="BA379" s="6">
        <f t="shared" si="26"/>
        <v>0</v>
      </c>
      <c r="BB379" s="6">
        <f t="shared" si="27"/>
        <v>0</v>
      </c>
      <c r="BC379" s="9" t="str">
        <f t="shared" si="28"/>
        <v/>
      </c>
      <c r="BD379" s="6">
        <f t="shared" si="29"/>
        <v>0</v>
      </c>
      <c r="BE379" s="6">
        <f t="shared" si="30"/>
        <v>0</v>
      </c>
      <c r="BF379" s="9" t="str">
        <f t="shared" si="31"/>
        <v/>
      </c>
      <c r="BG379" s="6">
        <f t="shared" si="32"/>
        <v>0</v>
      </c>
      <c r="BH379" s="6">
        <f t="shared" si="33"/>
        <v>0</v>
      </c>
      <c r="BI379" s="9" t="str">
        <f t="shared" si="34"/>
        <v/>
      </c>
      <c r="BJ379" s="6">
        <f t="shared" si="35"/>
        <v>0</v>
      </c>
      <c r="BK379" s="6">
        <f t="shared" si="36"/>
        <v>0</v>
      </c>
      <c r="BL379" s="6">
        <f t="shared" si="37"/>
        <v>0</v>
      </c>
      <c r="BM379" s="6">
        <f t="shared" si="38"/>
        <v>0</v>
      </c>
      <c r="BN379" s="6">
        <f t="shared" si="39"/>
        <v>0</v>
      </c>
      <c r="BP379" s="6">
        <f t="shared" si="40"/>
        <v>0</v>
      </c>
      <c r="BQ379" s="6" t="b">
        <f ca="1">IFERROR(__xludf.DUMMYFUNCTION("IF(AND(ISERROR(FILTER('Items by Team'!D$2:D3410,'Items by Team'!C$2:C3410 = D379,'Items by Team'!B$2:B3410 = B379)),NOT(A379=""Practice"")),TRUE,FALSE)"),FALSE)</f>
        <v>0</v>
      </c>
      <c r="BR379" s="6">
        <f t="shared" ca="1" si="41"/>
        <v>0</v>
      </c>
    </row>
    <row r="380" spans="1:70">
      <c r="A380" s="6"/>
      <c r="B380" s="6"/>
      <c r="C380" s="6"/>
      <c r="D380" s="6"/>
      <c r="E380" s="6"/>
      <c r="F380" s="6"/>
      <c r="G380" s="6"/>
      <c r="H380" s="6"/>
      <c r="I380" s="6"/>
      <c r="J380" s="6"/>
      <c r="K380" s="6"/>
      <c r="L380" s="6"/>
      <c r="M380" s="6"/>
      <c r="N380" s="6"/>
      <c r="O380" s="6"/>
      <c r="P380" s="6"/>
      <c r="R380" s="6"/>
      <c r="S380" s="6"/>
      <c r="T380" s="6"/>
      <c r="U380" s="6"/>
      <c r="V380" s="6"/>
      <c r="W380" s="6"/>
      <c r="X380" s="6"/>
      <c r="Y380" s="6"/>
      <c r="Z380" s="6"/>
      <c r="AA380" s="6"/>
      <c r="AB380" s="6"/>
      <c r="AD380" s="6"/>
      <c r="AE380" s="6"/>
      <c r="AF380" s="6"/>
      <c r="AG380" s="6"/>
      <c r="AH380" s="6"/>
      <c r="AI380" s="6"/>
      <c r="AK380" s="6"/>
      <c r="AL380" s="6"/>
      <c r="AM380" s="6"/>
      <c r="AN380" s="6"/>
      <c r="AO380" s="6"/>
      <c r="AP380" s="6"/>
      <c r="AQ380" s="6"/>
      <c r="AR380" s="6"/>
      <c r="AS380" s="15"/>
      <c r="AT380" s="6" t="str">
        <f ca="1">IFERROR(__xludf.DUMMYFUNCTION("SWITCH(IF(A380=""Practice"",AN380,FILTER('Items by Team'!E$2:E3410,'Items by Team'!C$2:C3410=D380,B380='Items by Team'!B$2:B3410)),""None"",""No"",""Parked"",""P"",""ShallowCage"",""Sc"",""DeepCage"",""Dc"",""No"",""No"",""P"",""P"",""Sc"",""Sc"",""Dc"","&amp;"""Dc"")"),"#REF!")</f>
        <v>#REF!</v>
      </c>
      <c r="AU380" s="6" t="str">
        <f ca="1">IFERROR(__xludf.DUMMYFUNCTION("SWITCH(IF(A380 = ""Practice"", H380, FILTER('Items by Team'!D$2:D3410,'Items by Team'!C$2:C3410 = D380,'Items by Team'!B$2:B3410 = B380)), ""Yes"", ""TRUE"", ""No"", ""FALSE"",TRUE, ""TRUE"", FALSE, ""FALSE"")"),"#REF!")</f>
        <v>#REF!</v>
      </c>
      <c r="AV380" s="6">
        <f t="shared" si="21"/>
        <v>0</v>
      </c>
      <c r="AW380" s="6">
        <f t="shared" si="22"/>
        <v>0</v>
      </c>
      <c r="AX380" s="6">
        <f t="shared" si="23"/>
        <v>0</v>
      </c>
      <c r="AY380" s="6">
        <f t="shared" si="24"/>
        <v>0</v>
      </c>
      <c r="AZ380" s="9" t="str">
        <f t="shared" si="25"/>
        <v/>
      </c>
      <c r="BA380" s="6">
        <f t="shared" si="26"/>
        <v>0</v>
      </c>
      <c r="BB380" s="6">
        <f t="shared" si="27"/>
        <v>0</v>
      </c>
      <c r="BC380" s="9" t="str">
        <f t="shared" si="28"/>
        <v/>
      </c>
      <c r="BD380" s="6">
        <f t="shared" si="29"/>
        <v>0</v>
      </c>
      <c r="BE380" s="6">
        <f t="shared" si="30"/>
        <v>0</v>
      </c>
      <c r="BF380" s="9" t="str">
        <f t="shared" si="31"/>
        <v/>
      </c>
      <c r="BG380" s="6">
        <f t="shared" si="32"/>
        <v>0</v>
      </c>
      <c r="BH380" s="6">
        <f t="shared" si="33"/>
        <v>0</v>
      </c>
      <c r="BI380" s="9" t="str">
        <f t="shared" si="34"/>
        <v/>
      </c>
      <c r="BJ380" s="6">
        <f t="shared" si="35"/>
        <v>0</v>
      </c>
      <c r="BK380" s="6">
        <f t="shared" si="36"/>
        <v>0</v>
      </c>
      <c r="BL380" s="6">
        <f t="shared" si="37"/>
        <v>0</v>
      </c>
      <c r="BM380" s="6">
        <f t="shared" si="38"/>
        <v>0</v>
      </c>
      <c r="BN380" s="6">
        <f t="shared" si="39"/>
        <v>0</v>
      </c>
      <c r="BP380" s="6">
        <f t="shared" si="40"/>
        <v>0</v>
      </c>
      <c r="BQ380" s="6" t="b">
        <f ca="1">IFERROR(__xludf.DUMMYFUNCTION("IF(AND(ISERROR(FILTER('Items by Team'!D$2:D3410,'Items by Team'!C$2:C3410 = D380,'Items by Team'!B$2:B3410 = B380)),NOT(A380=""Practice"")),TRUE,FALSE)"),FALSE)</f>
        <v>0</v>
      </c>
      <c r="BR380" s="6">
        <f t="shared" ca="1" si="41"/>
        <v>0</v>
      </c>
    </row>
    <row r="381" spans="1:70">
      <c r="A381" s="6"/>
      <c r="B381" s="6"/>
      <c r="C381" s="6"/>
      <c r="D381" s="6"/>
      <c r="E381" s="6"/>
      <c r="F381" s="6"/>
      <c r="G381" s="6"/>
      <c r="H381" s="6"/>
      <c r="I381" s="6"/>
      <c r="J381" s="6"/>
      <c r="K381" s="6"/>
      <c r="L381" s="6"/>
      <c r="M381" s="6"/>
      <c r="N381" s="6"/>
      <c r="O381" s="6"/>
      <c r="P381" s="6"/>
      <c r="R381" s="6"/>
      <c r="S381" s="6"/>
      <c r="T381" s="6"/>
      <c r="U381" s="6"/>
      <c r="V381" s="6"/>
      <c r="W381" s="6"/>
      <c r="X381" s="6"/>
      <c r="Y381" s="6"/>
      <c r="Z381" s="6"/>
      <c r="AA381" s="6"/>
      <c r="AB381" s="6"/>
      <c r="AD381" s="6"/>
      <c r="AE381" s="6"/>
      <c r="AF381" s="6"/>
      <c r="AG381" s="6"/>
      <c r="AH381" s="6"/>
      <c r="AI381" s="6"/>
      <c r="AK381" s="6"/>
      <c r="AL381" s="6"/>
      <c r="AM381" s="6"/>
      <c r="AN381" s="6"/>
      <c r="AO381" s="6"/>
      <c r="AP381" s="6"/>
      <c r="AQ381" s="6"/>
      <c r="AR381" s="6"/>
      <c r="AS381" s="15"/>
      <c r="AT381" s="6" t="str">
        <f ca="1">IFERROR(__xludf.DUMMYFUNCTION("SWITCH(IF(A381=""Practice"",AN381,FILTER('Items by Team'!E$2:E3410,'Items by Team'!C$2:C3410=D381,B381='Items by Team'!B$2:B3410)),""None"",""No"",""Parked"",""P"",""ShallowCage"",""Sc"",""DeepCage"",""Dc"",""No"",""No"",""P"",""P"",""Sc"",""Sc"",""Dc"","&amp;"""Dc"")"),"#REF!")</f>
        <v>#REF!</v>
      </c>
      <c r="AU381" s="6" t="str">
        <f ca="1">IFERROR(__xludf.DUMMYFUNCTION("SWITCH(IF(A381 = ""Practice"", H381, FILTER('Items by Team'!D$2:D3410,'Items by Team'!C$2:C3410 = D381,'Items by Team'!B$2:B3410 = B381)), ""Yes"", ""TRUE"", ""No"", ""FALSE"",TRUE, ""TRUE"", FALSE, ""FALSE"")"),"#REF!")</f>
        <v>#REF!</v>
      </c>
      <c r="AV381" s="6">
        <f t="shared" si="21"/>
        <v>0</v>
      </c>
      <c r="AW381" s="6">
        <f t="shared" si="22"/>
        <v>0</v>
      </c>
      <c r="AX381" s="6">
        <f t="shared" si="23"/>
        <v>0</v>
      </c>
      <c r="AY381" s="6">
        <f t="shared" si="24"/>
        <v>0</v>
      </c>
      <c r="AZ381" s="9" t="str">
        <f t="shared" si="25"/>
        <v/>
      </c>
      <c r="BA381" s="6">
        <f t="shared" si="26"/>
        <v>0</v>
      </c>
      <c r="BB381" s="6">
        <f t="shared" si="27"/>
        <v>0</v>
      </c>
      <c r="BC381" s="9" t="str">
        <f t="shared" si="28"/>
        <v/>
      </c>
      <c r="BD381" s="6">
        <f t="shared" si="29"/>
        <v>0</v>
      </c>
      <c r="BE381" s="6">
        <f t="shared" si="30"/>
        <v>0</v>
      </c>
      <c r="BF381" s="9" t="str">
        <f t="shared" si="31"/>
        <v/>
      </c>
      <c r="BG381" s="6">
        <f t="shared" si="32"/>
        <v>0</v>
      </c>
      <c r="BH381" s="6">
        <f t="shared" si="33"/>
        <v>0</v>
      </c>
      <c r="BI381" s="9" t="str">
        <f t="shared" si="34"/>
        <v/>
      </c>
      <c r="BJ381" s="6">
        <f t="shared" si="35"/>
        <v>0</v>
      </c>
      <c r="BK381" s="6">
        <f t="shared" si="36"/>
        <v>0</v>
      </c>
      <c r="BL381" s="6">
        <f t="shared" si="37"/>
        <v>0</v>
      </c>
      <c r="BM381" s="6">
        <f t="shared" si="38"/>
        <v>0</v>
      </c>
      <c r="BN381" s="6">
        <f t="shared" si="39"/>
        <v>0</v>
      </c>
      <c r="BP381" s="6">
        <f t="shared" si="40"/>
        <v>0</v>
      </c>
      <c r="BQ381" s="6" t="b">
        <f ca="1">IFERROR(__xludf.DUMMYFUNCTION("IF(AND(ISERROR(FILTER('Items by Team'!D$2:D3410,'Items by Team'!C$2:C3410 = D381,'Items by Team'!B$2:B3410 = B381)),NOT(A381=""Practice"")),TRUE,FALSE)"),FALSE)</f>
        <v>0</v>
      </c>
      <c r="BR381" s="6">
        <f t="shared" ca="1" si="41"/>
        <v>0</v>
      </c>
    </row>
    <row r="382" spans="1:70">
      <c r="A382" s="6"/>
      <c r="B382" s="6"/>
      <c r="C382" s="6"/>
      <c r="D382" s="6"/>
      <c r="E382" s="6"/>
      <c r="F382" s="6"/>
      <c r="G382" s="6"/>
      <c r="H382" s="6"/>
      <c r="I382" s="6"/>
      <c r="J382" s="6"/>
      <c r="K382" s="6"/>
      <c r="L382" s="6"/>
      <c r="M382" s="6"/>
      <c r="N382" s="6"/>
      <c r="O382" s="6"/>
      <c r="P382" s="6"/>
      <c r="R382" s="6"/>
      <c r="S382" s="6"/>
      <c r="T382" s="6"/>
      <c r="U382" s="6"/>
      <c r="V382" s="6"/>
      <c r="W382" s="6"/>
      <c r="X382" s="6"/>
      <c r="Y382" s="6"/>
      <c r="Z382" s="6"/>
      <c r="AA382" s="6"/>
      <c r="AB382" s="6"/>
      <c r="AD382" s="6"/>
      <c r="AE382" s="6"/>
      <c r="AF382" s="6"/>
      <c r="AG382" s="6"/>
      <c r="AH382" s="6"/>
      <c r="AI382" s="6"/>
      <c r="AK382" s="6"/>
      <c r="AL382" s="6"/>
      <c r="AM382" s="6"/>
      <c r="AN382" s="6"/>
      <c r="AO382" s="6"/>
      <c r="AP382" s="6"/>
      <c r="AQ382" s="6"/>
      <c r="AR382" s="6"/>
      <c r="AS382" s="15"/>
      <c r="AT382" s="6" t="str">
        <f ca="1">IFERROR(__xludf.DUMMYFUNCTION("SWITCH(IF(A382=""Practice"",AN382,FILTER('Items by Team'!E$2:E3410,'Items by Team'!C$2:C3410=D382,B382='Items by Team'!B$2:B3410)),""None"",""No"",""Parked"",""P"",""ShallowCage"",""Sc"",""DeepCage"",""Dc"",""No"",""No"",""P"",""P"",""Sc"",""Sc"",""Dc"","&amp;"""Dc"")"),"#REF!")</f>
        <v>#REF!</v>
      </c>
      <c r="AU382" s="6" t="str">
        <f ca="1">IFERROR(__xludf.DUMMYFUNCTION("SWITCH(IF(A382 = ""Practice"", H382, FILTER('Items by Team'!D$2:D3410,'Items by Team'!C$2:C3410 = D382,'Items by Team'!B$2:B3410 = B382)), ""Yes"", ""TRUE"", ""No"", ""FALSE"",TRUE, ""TRUE"", FALSE, ""FALSE"")"),"#REF!")</f>
        <v>#REF!</v>
      </c>
      <c r="AV382" s="6">
        <f t="shared" si="21"/>
        <v>0</v>
      </c>
      <c r="AW382" s="6">
        <f t="shared" si="22"/>
        <v>0</v>
      </c>
      <c r="AX382" s="6">
        <f t="shared" si="23"/>
        <v>0</v>
      </c>
      <c r="AY382" s="6">
        <f t="shared" si="24"/>
        <v>0</v>
      </c>
      <c r="AZ382" s="9" t="str">
        <f t="shared" si="25"/>
        <v/>
      </c>
      <c r="BA382" s="6">
        <f t="shared" si="26"/>
        <v>0</v>
      </c>
      <c r="BB382" s="6">
        <f t="shared" si="27"/>
        <v>0</v>
      </c>
      <c r="BC382" s="9" t="str">
        <f t="shared" si="28"/>
        <v/>
      </c>
      <c r="BD382" s="6">
        <f t="shared" si="29"/>
        <v>0</v>
      </c>
      <c r="BE382" s="6">
        <f t="shared" si="30"/>
        <v>0</v>
      </c>
      <c r="BF382" s="9" t="str">
        <f t="shared" si="31"/>
        <v/>
      </c>
      <c r="BG382" s="6">
        <f t="shared" si="32"/>
        <v>0</v>
      </c>
      <c r="BH382" s="6">
        <f t="shared" si="33"/>
        <v>0</v>
      </c>
      <c r="BI382" s="9" t="str">
        <f t="shared" si="34"/>
        <v/>
      </c>
      <c r="BJ382" s="6">
        <f t="shared" si="35"/>
        <v>0</v>
      </c>
      <c r="BK382" s="6">
        <f t="shared" si="36"/>
        <v>0</v>
      </c>
      <c r="BL382" s="6">
        <f t="shared" si="37"/>
        <v>0</v>
      </c>
      <c r="BM382" s="6">
        <f t="shared" si="38"/>
        <v>0</v>
      </c>
      <c r="BN382" s="6">
        <f t="shared" si="39"/>
        <v>0</v>
      </c>
      <c r="BP382" s="6">
        <f t="shared" si="40"/>
        <v>0</v>
      </c>
      <c r="BQ382" s="6" t="b">
        <f ca="1">IFERROR(__xludf.DUMMYFUNCTION("IF(AND(ISERROR(FILTER('Items by Team'!D$2:D3410,'Items by Team'!C$2:C3410 = D382,'Items by Team'!B$2:B3410 = B382)),NOT(A382=""Practice"")),TRUE,FALSE)"),FALSE)</f>
        <v>0</v>
      </c>
      <c r="BR382" s="6">
        <f t="shared" ca="1" si="41"/>
        <v>0</v>
      </c>
    </row>
    <row r="383" spans="1:70">
      <c r="A383" s="6"/>
      <c r="B383" s="6"/>
      <c r="C383" s="6"/>
      <c r="D383" s="6"/>
      <c r="E383" s="6"/>
      <c r="F383" s="6"/>
      <c r="G383" s="6"/>
      <c r="H383" s="6"/>
      <c r="I383" s="6"/>
      <c r="J383" s="6"/>
      <c r="K383" s="6"/>
      <c r="L383" s="6"/>
      <c r="M383" s="6"/>
      <c r="N383" s="6"/>
      <c r="O383" s="6"/>
      <c r="P383" s="6"/>
      <c r="R383" s="6"/>
      <c r="S383" s="6"/>
      <c r="T383" s="6"/>
      <c r="U383" s="6"/>
      <c r="V383" s="6"/>
      <c r="W383" s="6"/>
      <c r="X383" s="6"/>
      <c r="Y383" s="6"/>
      <c r="Z383" s="6"/>
      <c r="AA383" s="6"/>
      <c r="AB383" s="6"/>
      <c r="AD383" s="6"/>
      <c r="AE383" s="6"/>
      <c r="AF383" s="6"/>
      <c r="AG383" s="6"/>
      <c r="AH383" s="6"/>
      <c r="AI383" s="6"/>
      <c r="AK383" s="6"/>
      <c r="AL383" s="6"/>
      <c r="AM383" s="6"/>
      <c r="AN383" s="6"/>
      <c r="AO383" s="6"/>
      <c r="AP383" s="6"/>
      <c r="AQ383" s="6"/>
      <c r="AR383" s="6"/>
      <c r="AS383" s="15"/>
      <c r="AT383" s="6" t="str">
        <f ca="1">IFERROR(__xludf.DUMMYFUNCTION("SWITCH(IF(A383=""Practice"",AN383,FILTER('Items by Team'!E$2:E3410,'Items by Team'!C$2:C3410=D383,B383='Items by Team'!B$2:B3410)),""None"",""No"",""Parked"",""P"",""ShallowCage"",""Sc"",""DeepCage"",""Dc"",""No"",""No"",""P"",""P"",""Sc"",""Sc"",""Dc"","&amp;"""Dc"")"),"#REF!")</f>
        <v>#REF!</v>
      </c>
      <c r="AU383" s="6" t="str">
        <f ca="1">IFERROR(__xludf.DUMMYFUNCTION("SWITCH(IF(A383 = ""Practice"", H383, FILTER('Items by Team'!D$2:D3410,'Items by Team'!C$2:C3410 = D383,'Items by Team'!B$2:B3410 = B383)), ""Yes"", ""TRUE"", ""No"", ""FALSE"",TRUE, ""TRUE"", FALSE, ""FALSE"")"),"#REF!")</f>
        <v>#REF!</v>
      </c>
      <c r="AV383" s="6">
        <f t="shared" si="21"/>
        <v>0</v>
      </c>
      <c r="AW383" s="6">
        <f t="shared" si="22"/>
        <v>0</v>
      </c>
      <c r="AX383" s="6">
        <f t="shared" si="23"/>
        <v>0</v>
      </c>
      <c r="AY383" s="6">
        <f t="shared" si="24"/>
        <v>0</v>
      </c>
      <c r="AZ383" s="9" t="str">
        <f t="shared" si="25"/>
        <v/>
      </c>
      <c r="BA383" s="6">
        <f t="shared" si="26"/>
        <v>0</v>
      </c>
      <c r="BB383" s="6">
        <f t="shared" si="27"/>
        <v>0</v>
      </c>
      <c r="BC383" s="9" t="str">
        <f t="shared" si="28"/>
        <v/>
      </c>
      <c r="BD383" s="6">
        <f t="shared" si="29"/>
        <v>0</v>
      </c>
      <c r="BE383" s="6">
        <f t="shared" si="30"/>
        <v>0</v>
      </c>
      <c r="BF383" s="9" t="str">
        <f t="shared" si="31"/>
        <v/>
      </c>
      <c r="BG383" s="6">
        <f t="shared" si="32"/>
        <v>0</v>
      </c>
      <c r="BH383" s="6">
        <f t="shared" si="33"/>
        <v>0</v>
      </c>
      <c r="BI383" s="9" t="str">
        <f t="shared" si="34"/>
        <v/>
      </c>
      <c r="BJ383" s="6">
        <f t="shared" si="35"/>
        <v>0</v>
      </c>
      <c r="BK383" s="6">
        <f t="shared" si="36"/>
        <v>0</v>
      </c>
      <c r="BL383" s="6">
        <f t="shared" si="37"/>
        <v>0</v>
      </c>
      <c r="BM383" s="6">
        <f t="shared" si="38"/>
        <v>0</v>
      </c>
      <c r="BN383" s="6">
        <f t="shared" si="39"/>
        <v>0</v>
      </c>
      <c r="BP383" s="6">
        <f t="shared" si="40"/>
        <v>0</v>
      </c>
      <c r="BQ383" s="6" t="b">
        <f ca="1">IFERROR(__xludf.DUMMYFUNCTION("IF(AND(ISERROR(FILTER('Items by Team'!D$2:D3410,'Items by Team'!C$2:C3410 = D383,'Items by Team'!B$2:B3410 = B383)),NOT(A383=""Practice"")),TRUE,FALSE)"),FALSE)</f>
        <v>0</v>
      </c>
      <c r="BR383" s="6">
        <f t="shared" ca="1" si="41"/>
        <v>0</v>
      </c>
    </row>
    <row r="384" spans="1:70">
      <c r="A384" s="6"/>
      <c r="B384" s="6"/>
      <c r="C384" s="6"/>
      <c r="D384" s="6"/>
      <c r="E384" s="6"/>
      <c r="F384" s="6"/>
      <c r="G384" s="6"/>
      <c r="H384" s="6"/>
      <c r="I384" s="6"/>
      <c r="J384" s="6"/>
      <c r="K384" s="6"/>
      <c r="L384" s="6"/>
      <c r="M384" s="6"/>
      <c r="N384" s="6"/>
      <c r="O384" s="6"/>
      <c r="P384" s="6"/>
      <c r="R384" s="6"/>
      <c r="S384" s="6"/>
      <c r="T384" s="6"/>
      <c r="U384" s="6"/>
      <c r="V384" s="6"/>
      <c r="W384" s="6"/>
      <c r="X384" s="6"/>
      <c r="Y384" s="6"/>
      <c r="Z384" s="6"/>
      <c r="AA384" s="6"/>
      <c r="AB384" s="6"/>
      <c r="AD384" s="6"/>
      <c r="AE384" s="6"/>
      <c r="AF384" s="6"/>
      <c r="AG384" s="6"/>
      <c r="AH384" s="6"/>
      <c r="AI384" s="6"/>
      <c r="AK384" s="6"/>
      <c r="AL384" s="6"/>
      <c r="AM384" s="6"/>
      <c r="AN384" s="6"/>
      <c r="AO384" s="6"/>
      <c r="AP384" s="6"/>
      <c r="AQ384" s="6"/>
      <c r="AR384" s="6"/>
      <c r="AS384" s="15"/>
      <c r="AT384" s="6" t="str">
        <f ca="1">IFERROR(__xludf.DUMMYFUNCTION("SWITCH(IF(A384=""Practice"",AN384,FILTER('Items by Team'!E$2:E3410,'Items by Team'!C$2:C3410=D384,B384='Items by Team'!B$2:B3410)),""None"",""No"",""Parked"",""P"",""ShallowCage"",""Sc"",""DeepCage"",""Dc"",""No"",""No"",""P"",""P"",""Sc"",""Sc"",""Dc"","&amp;"""Dc"")"),"#REF!")</f>
        <v>#REF!</v>
      </c>
      <c r="AU384" s="6" t="str">
        <f ca="1">IFERROR(__xludf.DUMMYFUNCTION("SWITCH(IF(A384 = ""Practice"", H384, FILTER('Items by Team'!D$2:D3410,'Items by Team'!C$2:C3410 = D384,'Items by Team'!B$2:B3410 = B384)), ""Yes"", ""TRUE"", ""No"", ""FALSE"",TRUE, ""TRUE"", FALSE, ""FALSE"")"),"#REF!")</f>
        <v>#REF!</v>
      </c>
      <c r="AV384" s="6">
        <f t="shared" si="21"/>
        <v>0</v>
      </c>
      <c r="AW384" s="6">
        <f t="shared" si="22"/>
        <v>0</v>
      </c>
      <c r="AX384" s="6">
        <f t="shared" si="23"/>
        <v>0</v>
      </c>
      <c r="AY384" s="6">
        <f t="shared" si="24"/>
        <v>0</v>
      </c>
      <c r="AZ384" s="9" t="str">
        <f t="shared" si="25"/>
        <v/>
      </c>
      <c r="BA384" s="6">
        <f t="shared" si="26"/>
        <v>0</v>
      </c>
      <c r="BB384" s="6">
        <f t="shared" si="27"/>
        <v>0</v>
      </c>
      <c r="BC384" s="9" t="str">
        <f t="shared" si="28"/>
        <v/>
      </c>
      <c r="BD384" s="6">
        <f t="shared" si="29"/>
        <v>0</v>
      </c>
      <c r="BE384" s="6">
        <f t="shared" si="30"/>
        <v>0</v>
      </c>
      <c r="BF384" s="9" t="str">
        <f t="shared" si="31"/>
        <v/>
      </c>
      <c r="BG384" s="6">
        <f t="shared" si="32"/>
        <v>0</v>
      </c>
      <c r="BH384" s="6">
        <f t="shared" si="33"/>
        <v>0</v>
      </c>
      <c r="BI384" s="9" t="str">
        <f t="shared" si="34"/>
        <v/>
      </c>
      <c r="BJ384" s="6">
        <f t="shared" si="35"/>
        <v>0</v>
      </c>
      <c r="BK384" s="6">
        <f t="shared" si="36"/>
        <v>0</v>
      </c>
      <c r="BL384" s="6">
        <f t="shared" si="37"/>
        <v>0</v>
      </c>
      <c r="BM384" s="6">
        <f t="shared" si="38"/>
        <v>0</v>
      </c>
      <c r="BN384" s="6">
        <f t="shared" si="39"/>
        <v>0</v>
      </c>
      <c r="BP384" s="6">
        <f t="shared" si="40"/>
        <v>0</v>
      </c>
      <c r="BQ384" s="6" t="b">
        <f ca="1">IFERROR(__xludf.DUMMYFUNCTION("IF(AND(ISERROR(FILTER('Items by Team'!D$2:D3410,'Items by Team'!C$2:C3410 = D384,'Items by Team'!B$2:B3410 = B384)),NOT(A384=""Practice"")),TRUE,FALSE)"),FALSE)</f>
        <v>0</v>
      </c>
      <c r="BR384" s="6">
        <f t="shared" ca="1" si="41"/>
        <v>0</v>
      </c>
    </row>
    <row r="385" spans="1:70">
      <c r="A385" s="6"/>
      <c r="B385" s="6"/>
      <c r="C385" s="6"/>
      <c r="D385" s="6"/>
      <c r="E385" s="6"/>
      <c r="F385" s="6"/>
      <c r="G385" s="6"/>
      <c r="H385" s="6"/>
      <c r="I385" s="6"/>
      <c r="J385" s="6"/>
      <c r="K385" s="6"/>
      <c r="L385" s="6"/>
      <c r="M385" s="6"/>
      <c r="N385" s="6"/>
      <c r="O385" s="6"/>
      <c r="P385" s="6"/>
      <c r="R385" s="6"/>
      <c r="S385" s="6"/>
      <c r="T385" s="6"/>
      <c r="U385" s="6"/>
      <c r="V385" s="6"/>
      <c r="W385" s="6"/>
      <c r="X385" s="6"/>
      <c r="Y385" s="6"/>
      <c r="Z385" s="6"/>
      <c r="AA385" s="6"/>
      <c r="AB385" s="6"/>
      <c r="AD385" s="6"/>
      <c r="AE385" s="6"/>
      <c r="AF385" s="6"/>
      <c r="AG385" s="6"/>
      <c r="AH385" s="6"/>
      <c r="AI385" s="6"/>
      <c r="AK385" s="6"/>
      <c r="AL385" s="6"/>
      <c r="AM385" s="6"/>
      <c r="AN385" s="6"/>
      <c r="AO385" s="6"/>
      <c r="AP385" s="6"/>
      <c r="AQ385" s="6"/>
      <c r="AR385" s="6"/>
      <c r="AS385" s="15"/>
      <c r="AT385" s="6" t="str">
        <f ca="1">IFERROR(__xludf.DUMMYFUNCTION("SWITCH(IF(A385=""Practice"",AN385,FILTER('Items by Team'!E$2:E3410,'Items by Team'!C$2:C3410=D385,B385='Items by Team'!B$2:B3410)),""None"",""No"",""Parked"",""P"",""ShallowCage"",""Sc"",""DeepCage"",""Dc"",""No"",""No"",""P"",""P"",""Sc"",""Sc"",""Dc"","&amp;"""Dc"")"),"#REF!")</f>
        <v>#REF!</v>
      </c>
      <c r="AU385" s="6" t="str">
        <f ca="1">IFERROR(__xludf.DUMMYFUNCTION("SWITCH(IF(A385 = ""Practice"", H385, FILTER('Items by Team'!D$2:D3410,'Items by Team'!C$2:C3410 = D385,'Items by Team'!B$2:B3410 = B385)), ""Yes"", ""TRUE"", ""No"", ""FALSE"",TRUE, ""TRUE"", FALSE, ""FALSE"")"),"#REF!")</f>
        <v>#REF!</v>
      </c>
      <c r="AV385" s="6">
        <f t="shared" si="21"/>
        <v>0</v>
      </c>
      <c r="AW385" s="6">
        <f t="shared" si="22"/>
        <v>0</v>
      </c>
      <c r="AX385" s="6">
        <f t="shared" si="23"/>
        <v>0</v>
      </c>
      <c r="AY385" s="6">
        <f t="shared" si="24"/>
        <v>0</v>
      </c>
      <c r="AZ385" s="9" t="str">
        <f t="shared" si="25"/>
        <v/>
      </c>
      <c r="BA385" s="6">
        <f t="shared" si="26"/>
        <v>0</v>
      </c>
      <c r="BB385" s="6">
        <f t="shared" si="27"/>
        <v>0</v>
      </c>
      <c r="BC385" s="9" t="str">
        <f t="shared" si="28"/>
        <v/>
      </c>
      <c r="BD385" s="6">
        <f t="shared" si="29"/>
        <v>0</v>
      </c>
      <c r="BE385" s="6">
        <f t="shared" si="30"/>
        <v>0</v>
      </c>
      <c r="BF385" s="9" t="str">
        <f t="shared" si="31"/>
        <v/>
      </c>
      <c r="BG385" s="6">
        <f t="shared" si="32"/>
        <v>0</v>
      </c>
      <c r="BH385" s="6">
        <f t="shared" si="33"/>
        <v>0</v>
      </c>
      <c r="BI385" s="9" t="str">
        <f t="shared" si="34"/>
        <v/>
      </c>
      <c r="BJ385" s="6">
        <f t="shared" si="35"/>
        <v>0</v>
      </c>
      <c r="BK385" s="6">
        <f t="shared" si="36"/>
        <v>0</v>
      </c>
      <c r="BL385" s="6">
        <f t="shared" si="37"/>
        <v>0</v>
      </c>
      <c r="BM385" s="6">
        <f t="shared" si="38"/>
        <v>0</v>
      </c>
      <c r="BN385" s="6">
        <f t="shared" si="39"/>
        <v>0</v>
      </c>
      <c r="BP385" s="6">
        <f t="shared" si="40"/>
        <v>0</v>
      </c>
      <c r="BQ385" s="6" t="b">
        <f ca="1">IFERROR(__xludf.DUMMYFUNCTION("IF(AND(ISERROR(FILTER('Items by Team'!D$2:D3410,'Items by Team'!C$2:C3410 = D385,'Items by Team'!B$2:B3410 = B385)),NOT(A385=""Practice"")),TRUE,FALSE)"),FALSE)</f>
        <v>0</v>
      </c>
      <c r="BR385" s="6">
        <f t="shared" ca="1" si="41"/>
        <v>0</v>
      </c>
    </row>
    <row r="386" spans="1:70">
      <c r="A386" s="6"/>
      <c r="B386" s="6"/>
      <c r="C386" s="6"/>
      <c r="D386" s="6"/>
      <c r="E386" s="6"/>
      <c r="F386" s="6"/>
      <c r="G386" s="6"/>
      <c r="H386" s="6"/>
      <c r="I386" s="6"/>
      <c r="J386" s="6"/>
      <c r="K386" s="6"/>
      <c r="L386" s="6"/>
      <c r="M386" s="6"/>
      <c r="N386" s="6"/>
      <c r="O386" s="6"/>
      <c r="P386" s="6"/>
      <c r="R386" s="6"/>
      <c r="S386" s="6"/>
      <c r="T386" s="6"/>
      <c r="U386" s="6"/>
      <c r="V386" s="6"/>
      <c r="W386" s="6"/>
      <c r="X386" s="6"/>
      <c r="Y386" s="6"/>
      <c r="Z386" s="6"/>
      <c r="AA386" s="6"/>
      <c r="AB386" s="6"/>
      <c r="AD386" s="6"/>
      <c r="AE386" s="6"/>
      <c r="AF386" s="6"/>
      <c r="AG386" s="6"/>
      <c r="AH386" s="6"/>
      <c r="AI386" s="6"/>
      <c r="AK386" s="6"/>
      <c r="AL386" s="6"/>
      <c r="AM386" s="6"/>
      <c r="AN386" s="6"/>
      <c r="AO386" s="6"/>
      <c r="AP386" s="6"/>
      <c r="AQ386" s="6"/>
      <c r="AR386" s="6"/>
      <c r="AS386" s="15"/>
      <c r="AT386" s="6" t="str">
        <f ca="1">IFERROR(__xludf.DUMMYFUNCTION("SWITCH(IF(A386=""Practice"",AN386,FILTER('Items by Team'!E$2:E3410,'Items by Team'!C$2:C3410=D386,B386='Items by Team'!B$2:B3410)),""None"",""No"",""Parked"",""P"",""ShallowCage"",""Sc"",""DeepCage"",""Dc"",""No"",""No"",""P"",""P"",""Sc"",""Sc"",""Dc"","&amp;"""Dc"")"),"#REF!")</f>
        <v>#REF!</v>
      </c>
      <c r="AU386" s="6" t="str">
        <f ca="1">IFERROR(__xludf.DUMMYFUNCTION("SWITCH(IF(A386 = ""Practice"", H386, FILTER('Items by Team'!D$2:D3410,'Items by Team'!C$2:C3410 = D386,'Items by Team'!B$2:B3410 = B386)), ""Yes"", ""TRUE"", ""No"", ""FALSE"",TRUE, ""TRUE"", FALSE, ""FALSE"")"),"#REF!")</f>
        <v>#REF!</v>
      </c>
      <c r="AV386" s="6">
        <f t="shared" si="21"/>
        <v>0</v>
      </c>
      <c r="AW386" s="6">
        <f t="shared" si="22"/>
        <v>0</v>
      </c>
      <c r="AX386" s="6">
        <f t="shared" si="23"/>
        <v>0</v>
      </c>
      <c r="AY386" s="6">
        <f t="shared" si="24"/>
        <v>0</v>
      </c>
      <c r="AZ386" s="9" t="str">
        <f t="shared" si="25"/>
        <v/>
      </c>
      <c r="BA386" s="6">
        <f t="shared" si="26"/>
        <v>0</v>
      </c>
      <c r="BB386" s="6">
        <f t="shared" si="27"/>
        <v>0</v>
      </c>
      <c r="BC386" s="9" t="str">
        <f t="shared" si="28"/>
        <v/>
      </c>
      <c r="BD386" s="6">
        <f t="shared" si="29"/>
        <v>0</v>
      </c>
      <c r="BE386" s="6">
        <f t="shared" si="30"/>
        <v>0</v>
      </c>
      <c r="BF386" s="9" t="str">
        <f t="shared" si="31"/>
        <v/>
      </c>
      <c r="BG386" s="6">
        <f t="shared" si="32"/>
        <v>0</v>
      </c>
      <c r="BH386" s="6">
        <f t="shared" si="33"/>
        <v>0</v>
      </c>
      <c r="BI386" s="9" t="str">
        <f t="shared" si="34"/>
        <v/>
      </c>
      <c r="BJ386" s="6">
        <f t="shared" si="35"/>
        <v>0</v>
      </c>
      <c r="BK386" s="6">
        <f t="shared" si="36"/>
        <v>0</v>
      </c>
      <c r="BL386" s="6">
        <f t="shared" si="37"/>
        <v>0</v>
      </c>
      <c r="BM386" s="6">
        <f t="shared" si="38"/>
        <v>0</v>
      </c>
      <c r="BN386" s="6">
        <f t="shared" si="39"/>
        <v>0</v>
      </c>
      <c r="BP386" s="6">
        <f t="shared" si="40"/>
        <v>0</v>
      </c>
      <c r="BQ386" s="6" t="b">
        <f ca="1">IFERROR(__xludf.DUMMYFUNCTION("IF(AND(ISERROR(FILTER('Items by Team'!D$2:D3410,'Items by Team'!C$2:C3410 = D386,'Items by Team'!B$2:B3410 = B386)),NOT(A386=""Practice"")),TRUE,FALSE)"),FALSE)</f>
        <v>0</v>
      </c>
      <c r="BR386" s="6">
        <f t="shared" ca="1" si="41"/>
        <v>0</v>
      </c>
    </row>
    <row r="387" spans="1:70">
      <c r="A387" s="6"/>
      <c r="B387" s="6"/>
      <c r="C387" s="6"/>
      <c r="D387" s="6"/>
      <c r="E387" s="6"/>
      <c r="F387" s="6"/>
      <c r="G387" s="6"/>
      <c r="H387" s="6"/>
      <c r="I387" s="6"/>
      <c r="J387" s="6"/>
      <c r="K387" s="6"/>
      <c r="L387" s="6"/>
      <c r="M387" s="6"/>
      <c r="N387" s="6"/>
      <c r="O387" s="6"/>
      <c r="P387" s="6"/>
      <c r="R387" s="6"/>
      <c r="S387" s="6"/>
      <c r="T387" s="6"/>
      <c r="U387" s="6"/>
      <c r="V387" s="6"/>
      <c r="W387" s="6"/>
      <c r="X387" s="6"/>
      <c r="Y387" s="6"/>
      <c r="Z387" s="6"/>
      <c r="AA387" s="6"/>
      <c r="AB387" s="6"/>
      <c r="AD387" s="6"/>
      <c r="AE387" s="6"/>
      <c r="AF387" s="6"/>
      <c r="AG387" s="6"/>
      <c r="AH387" s="6"/>
      <c r="AI387" s="6"/>
      <c r="AK387" s="6"/>
      <c r="AL387" s="6"/>
      <c r="AM387" s="6"/>
      <c r="AN387" s="6"/>
      <c r="AO387" s="6"/>
      <c r="AP387" s="6"/>
      <c r="AQ387" s="6"/>
      <c r="AR387" s="6"/>
      <c r="AS387" s="15"/>
      <c r="AT387" s="6" t="str">
        <f ca="1">IFERROR(__xludf.DUMMYFUNCTION("SWITCH(IF(A387=""Practice"",AN387,FILTER('Items by Team'!E$2:E3410,'Items by Team'!C$2:C3410=D387,B387='Items by Team'!B$2:B3410)),""None"",""No"",""Parked"",""P"",""ShallowCage"",""Sc"",""DeepCage"",""Dc"",""No"",""No"",""P"",""P"",""Sc"",""Sc"",""Dc"","&amp;"""Dc"")"),"#REF!")</f>
        <v>#REF!</v>
      </c>
      <c r="AU387" s="6" t="str">
        <f ca="1">IFERROR(__xludf.DUMMYFUNCTION("SWITCH(IF(A387 = ""Practice"", H387, FILTER('Items by Team'!D$2:D3410,'Items by Team'!C$2:C3410 = D387,'Items by Team'!B$2:B3410 = B387)), ""Yes"", ""TRUE"", ""No"", ""FALSE"",TRUE, ""TRUE"", FALSE, ""FALSE"")"),"#REF!")</f>
        <v>#REF!</v>
      </c>
      <c r="AV387" s="6">
        <f t="shared" si="21"/>
        <v>0</v>
      </c>
      <c r="AW387" s="6">
        <f t="shared" si="22"/>
        <v>0</v>
      </c>
      <c r="AX387" s="6">
        <f t="shared" si="23"/>
        <v>0</v>
      </c>
      <c r="AY387" s="6">
        <f t="shared" si="24"/>
        <v>0</v>
      </c>
      <c r="AZ387" s="9" t="str">
        <f t="shared" si="25"/>
        <v/>
      </c>
      <c r="BA387" s="6">
        <f t="shared" si="26"/>
        <v>0</v>
      </c>
      <c r="BB387" s="6">
        <f t="shared" si="27"/>
        <v>0</v>
      </c>
      <c r="BC387" s="9" t="str">
        <f t="shared" si="28"/>
        <v/>
      </c>
      <c r="BD387" s="6">
        <f t="shared" si="29"/>
        <v>0</v>
      </c>
      <c r="BE387" s="6">
        <f t="shared" si="30"/>
        <v>0</v>
      </c>
      <c r="BF387" s="9" t="str">
        <f t="shared" si="31"/>
        <v/>
      </c>
      <c r="BG387" s="6">
        <f t="shared" si="32"/>
        <v>0</v>
      </c>
      <c r="BH387" s="6">
        <f t="shared" si="33"/>
        <v>0</v>
      </c>
      <c r="BI387" s="9" t="str">
        <f t="shared" si="34"/>
        <v/>
      </c>
      <c r="BJ387" s="6">
        <f t="shared" si="35"/>
        <v>0</v>
      </c>
      <c r="BK387" s="6">
        <f t="shared" si="36"/>
        <v>0</v>
      </c>
      <c r="BL387" s="6">
        <f t="shared" si="37"/>
        <v>0</v>
      </c>
      <c r="BM387" s="6">
        <f t="shared" si="38"/>
        <v>0</v>
      </c>
      <c r="BN387" s="6">
        <f t="shared" si="39"/>
        <v>0</v>
      </c>
      <c r="BP387" s="6">
        <f t="shared" si="40"/>
        <v>0</v>
      </c>
      <c r="BQ387" s="6" t="b">
        <f ca="1">IFERROR(__xludf.DUMMYFUNCTION("IF(AND(ISERROR(FILTER('Items by Team'!D$2:D3410,'Items by Team'!C$2:C3410 = D387,'Items by Team'!B$2:B3410 = B387)),NOT(A387=""Practice"")),TRUE,FALSE)"),FALSE)</f>
        <v>0</v>
      </c>
      <c r="BR387" s="6">
        <f t="shared" ca="1" si="41"/>
        <v>0</v>
      </c>
    </row>
    <row r="388" spans="1:70">
      <c r="A388" s="6"/>
      <c r="B388" s="6"/>
      <c r="C388" s="6"/>
      <c r="D388" s="6"/>
      <c r="E388" s="6"/>
      <c r="F388" s="6"/>
      <c r="G388" s="6"/>
      <c r="H388" s="6"/>
      <c r="I388" s="6"/>
      <c r="J388" s="6"/>
      <c r="K388" s="6"/>
      <c r="L388" s="6"/>
      <c r="M388" s="6"/>
      <c r="N388" s="6"/>
      <c r="O388" s="6"/>
      <c r="P388" s="6"/>
      <c r="R388" s="6"/>
      <c r="S388" s="6"/>
      <c r="T388" s="6"/>
      <c r="U388" s="6"/>
      <c r="V388" s="6"/>
      <c r="W388" s="6"/>
      <c r="X388" s="6"/>
      <c r="Y388" s="6"/>
      <c r="Z388" s="6"/>
      <c r="AA388" s="6"/>
      <c r="AB388" s="6"/>
      <c r="AD388" s="6"/>
      <c r="AE388" s="6"/>
      <c r="AF388" s="6"/>
      <c r="AG388" s="6"/>
      <c r="AH388" s="6"/>
      <c r="AI388" s="6"/>
      <c r="AK388" s="6"/>
      <c r="AL388" s="6"/>
      <c r="AM388" s="6"/>
      <c r="AN388" s="6"/>
      <c r="AO388" s="6"/>
      <c r="AP388" s="6"/>
      <c r="AQ388" s="6"/>
      <c r="AR388" s="6"/>
      <c r="AS388" s="15"/>
      <c r="AT388" s="6" t="str">
        <f ca="1">IFERROR(__xludf.DUMMYFUNCTION("SWITCH(IF(A388=""Practice"",AN388,FILTER('Items by Team'!E$2:E3410,'Items by Team'!C$2:C3410=D388,B388='Items by Team'!B$2:B3410)),""None"",""No"",""Parked"",""P"",""ShallowCage"",""Sc"",""DeepCage"",""Dc"",""No"",""No"",""P"",""P"",""Sc"",""Sc"",""Dc"","&amp;"""Dc"")"),"#REF!")</f>
        <v>#REF!</v>
      </c>
      <c r="AU388" s="6" t="str">
        <f ca="1">IFERROR(__xludf.DUMMYFUNCTION("SWITCH(IF(A388 = ""Practice"", H388, FILTER('Items by Team'!D$2:D3410,'Items by Team'!C$2:C3410 = D388,'Items by Team'!B$2:B3410 = B388)), ""Yes"", ""TRUE"", ""No"", ""FALSE"",TRUE, ""TRUE"", FALSE, ""FALSE"")"),"#REF!")</f>
        <v>#REF!</v>
      </c>
      <c r="AV388" s="6">
        <f t="shared" si="21"/>
        <v>0</v>
      </c>
      <c r="AW388" s="6">
        <f t="shared" si="22"/>
        <v>0</v>
      </c>
      <c r="AX388" s="6">
        <f t="shared" si="23"/>
        <v>0</v>
      </c>
      <c r="AY388" s="6">
        <f t="shared" si="24"/>
        <v>0</v>
      </c>
      <c r="AZ388" s="9" t="str">
        <f t="shared" si="25"/>
        <v/>
      </c>
      <c r="BA388" s="6">
        <f t="shared" si="26"/>
        <v>0</v>
      </c>
      <c r="BB388" s="6">
        <f t="shared" si="27"/>
        <v>0</v>
      </c>
      <c r="BC388" s="9" t="str">
        <f t="shared" si="28"/>
        <v/>
      </c>
      <c r="BD388" s="6">
        <f t="shared" si="29"/>
        <v>0</v>
      </c>
      <c r="BE388" s="6">
        <f t="shared" si="30"/>
        <v>0</v>
      </c>
      <c r="BF388" s="9" t="str">
        <f t="shared" si="31"/>
        <v/>
      </c>
      <c r="BG388" s="6">
        <f t="shared" si="32"/>
        <v>0</v>
      </c>
      <c r="BH388" s="6">
        <f t="shared" si="33"/>
        <v>0</v>
      </c>
      <c r="BI388" s="9" t="str">
        <f t="shared" si="34"/>
        <v/>
      </c>
      <c r="BJ388" s="6">
        <f t="shared" si="35"/>
        <v>0</v>
      </c>
      <c r="BK388" s="6">
        <f t="shared" si="36"/>
        <v>0</v>
      </c>
      <c r="BL388" s="6">
        <f t="shared" si="37"/>
        <v>0</v>
      </c>
      <c r="BM388" s="6">
        <f t="shared" si="38"/>
        <v>0</v>
      </c>
      <c r="BN388" s="6">
        <f t="shared" si="39"/>
        <v>0</v>
      </c>
      <c r="BP388" s="6">
        <f t="shared" si="40"/>
        <v>0</v>
      </c>
      <c r="BQ388" s="6" t="b">
        <f ca="1">IFERROR(__xludf.DUMMYFUNCTION("IF(AND(ISERROR(FILTER('Items by Team'!D$2:D3410,'Items by Team'!C$2:C3410 = D388,'Items by Team'!B$2:B3410 = B388)),NOT(A388=""Practice"")),TRUE,FALSE)"),FALSE)</f>
        <v>0</v>
      </c>
      <c r="BR388" s="6">
        <f t="shared" ca="1" si="41"/>
        <v>0</v>
      </c>
    </row>
    <row r="389" spans="1:70">
      <c r="A389" s="6"/>
      <c r="B389" s="6"/>
      <c r="C389" s="6"/>
      <c r="D389" s="6"/>
      <c r="E389" s="6"/>
      <c r="F389" s="6"/>
      <c r="G389" s="6"/>
      <c r="H389" s="6"/>
      <c r="I389" s="6"/>
      <c r="J389" s="6"/>
      <c r="K389" s="6"/>
      <c r="L389" s="6"/>
      <c r="M389" s="6"/>
      <c r="N389" s="6"/>
      <c r="O389" s="6"/>
      <c r="P389" s="6"/>
      <c r="R389" s="6"/>
      <c r="S389" s="6"/>
      <c r="T389" s="6"/>
      <c r="U389" s="6"/>
      <c r="V389" s="6"/>
      <c r="W389" s="6"/>
      <c r="X389" s="6"/>
      <c r="Y389" s="6"/>
      <c r="Z389" s="6"/>
      <c r="AA389" s="6"/>
      <c r="AB389" s="6"/>
      <c r="AD389" s="6"/>
      <c r="AE389" s="6"/>
      <c r="AF389" s="6"/>
      <c r="AG389" s="6"/>
      <c r="AH389" s="6"/>
      <c r="AI389" s="6"/>
      <c r="AK389" s="6"/>
      <c r="AL389" s="6"/>
      <c r="AM389" s="6"/>
      <c r="AN389" s="6"/>
      <c r="AO389" s="6"/>
      <c r="AP389" s="6"/>
      <c r="AQ389" s="6"/>
      <c r="AR389" s="6"/>
      <c r="AS389" s="15"/>
      <c r="AT389" s="6" t="str">
        <f ca="1">IFERROR(__xludf.DUMMYFUNCTION("SWITCH(IF(A389=""Practice"",AN389,FILTER('Items by Team'!E$2:E3410,'Items by Team'!C$2:C3410=D389,B389='Items by Team'!B$2:B3410)),""None"",""No"",""Parked"",""P"",""ShallowCage"",""Sc"",""DeepCage"",""Dc"",""No"",""No"",""P"",""P"",""Sc"",""Sc"",""Dc"","&amp;"""Dc"")"),"#REF!")</f>
        <v>#REF!</v>
      </c>
      <c r="AU389" s="6" t="str">
        <f ca="1">IFERROR(__xludf.DUMMYFUNCTION("SWITCH(IF(A389 = ""Practice"", H389, FILTER('Items by Team'!D$2:D3410,'Items by Team'!C$2:C3410 = D389,'Items by Team'!B$2:B3410 = B389)), ""Yes"", ""TRUE"", ""No"", ""FALSE"",TRUE, ""TRUE"", FALSE, ""FALSE"")"),"#REF!")</f>
        <v>#REF!</v>
      </c>
      <c r="AV389" s="6">
        <f t="shared" si="21"/>
        <v>0</v>
      </c>
      <c r="AW389" s="6">
        <f t="shared" si="22"/>
        <v>0</v>
      </c>
      <c r="AX389" s="6">
        <f t="shared" si="23"/>
        <v>0</v>
      </c>
      <c r="AY389" s="6">
        <f t="shared" si="24"/>
        <v>0</v>
      </c>
      <c r="AZ389" s="9" t="str">
        <f t="shared" si="25"/>
        <v/>
      </c>
      <c r="BA389" s="6">
        <f t="shared" si="26"/>
        <v>0</v>
      </c>
      <c r="BB389" s="6">
        <f t="shared" si="27"/>
        <v>0</v>
      </c>
      <c r="BC389" s="9" t="str">
        <f t="shared" si="28"/>
        <v/>
      </c>
      <c r="BD389" s="6">
        <f t="shared" si="29"/>
        <v>0</v>
      </c>
      <c r="BE389" s="6">
        <f t="shared" si="30"/>
        <v>0</v>
      </c>
      <c r="BF389" s="9" t="str">
        <f t="shared" si="31"/>
        <v/>
      </c>
      <c r="BG389" s="6">
        <f t="shared" si="32"/>
        <v>0</v>
      </c>
      <c r="BH389" s="6">
        <f t="shared" si="33"/>
        <v>0</v>
      </c>
      <c r="BI389" s="9" t="str">
        <f t="shared" si="34"/>
        <v/>
      </c>
      <c r="BJ389" s="6">
        <f t="shared" si="35"/>
        <v>0</v>
      </c>
      <c r="BK389" s="6">
        <f t="shared" si="36"/>
        <v>0</v>
      </c>
      <c r="BL389" s="6">
        <f t="shared" si="37"/>
        <v>0</v>
      </c>
      <c r="BM389" s="6">
        <f t="shared" si="38"/>
        <v>0</v>
      </c>
      <c r="BN389" s="6">
        <f t="shared" si="39"/>
        <v>0</v>
      </c>
      <c r="BP389" s="6">
        <f t="shared" si="40"/>
        <v>0</v>
      </c>
      <c r="BQ389" s="6" t="b">
        <f ca="1">IFERROR(__xludf.DUMMYFUNCTION("IF(AND(ISERROR(FILTER('Items by Team'!D$2:D3410,'Items by Team'!C$2:C3410 = D389,'Items by Team'!B$2:B3410 = B389)),NOT(A389=""Practice"")),TRUE,FALSE)"),FALSE)</f>
        <v>0</v>
      </c>
      <c r="BR389" s="6">
        <f t="shared" ca="1" si="41"/>
        <v>0</v>
      </c>
    </row>
    <row r="390" spans="1:70">
      <c r="A390" s="6"/>
      <c r="B390" s="6"/>
      <c r="C390" s="6"/>
      <c r="D390" s="6"/>
      <c r="E390" s="6"/>
      <c r="F390" s="6"/>
      <c r="G390" s="6"/>
      <c r="H390" s="6"/>
      <c r="I390" s="6"/>
      <c r="J390" s="6"/>
      <c r="K390" s="6"/>
      <c r="L390" s="6"/>
      <c r="M390" s="6"/>
      <c r="N390" s="6"/>
      <c r="O390" s="6"/>
      <c r="P390" s="6"/>
      <c r="R390" s="6"/>
      <c r="S390" s="6"/>
      <c r="T390" s="6"/>
      <c r="U390" s="6"/>
      <c r="V390" s="6"/>
      <c r="W390" s="6"/>
      <c r="X390" s="6"/>
      <c r="Y390" s="6"/>
      <c r="Z390" s="6"/>
      <c r="AA390" s="6"/>
      <c r="AB390" s="6"/>
      <c r="AD390" s="6"/>
      <c r="AE390" s="6"/>
      <c r="AF390" s="6"/>
      <c r="AG390" s="6"/>
      <c r="AH390" s="6"/>
      <c r="AI390" s="6"/>
      <c r="AK390" s="6"/>
      <c r="AL390" s="6"/>
      <c r="AM390" s="6"/>
      <c r="AN390" s="6"/>
      <c r="AO390" s="6"/>
      <c r="AP390" s="6"/>
      <c r="AQ390" s="6"/>
      <c r="AR390" s="6"/>
      <c r="AS390" s="15"/>
      <c r="AT390" s="6" t="str">
        <f ca="1">IFERROR(__xludf.DUMMYFUNCTION("SWITCH(IF(A390=""Practice"",AN390,FILTER('Items by Team'!E$2:E3410,'Items by Team'!C$2:C3410=D390,B390='Items by Team'!B$2:B3410)),""None"",""No"",""Parked"",""P"",""ShallowCage"",""Sc"",""DeepCage"",""Dc"",""No"",""No"",""P"",""P"",""Sc"",""Sc"",""Dc"","&amp;"""Dc"")"),"#REF!")</f>
        <v>#REF!</v>
      </c>
      <c r="AU390" s="6" t="str">
        <f ca="1">IFERROR(__xludf.DUMMYFUNCTION("SWITCH(IF(A390 = ""Practice"", H390, FILTER('Items by Team'!D$2:D3410,'Items by Team'!C$2:C3410 = D390,'Items by Team'!B$2:B3410 = B390)), ""Yes"", ""TRUE"", ""No"", ""FALSE"",TRUE, ""TRUE"", FALSE, ""FALSE"")"),"#REF!")</f>
        <v>#REF!</v>
      </c>
      <c r="AV390" s="6">
        <f t="shared" si="21"/>
        <v>0</v>
      </c>
      <c r="AW390" s="6">
        <f t="shared" si="22"/>
        <v>0</v>
      </c>
      <c r="AX390" s="6">
        <f t="shared" si="23"/>
        <v>0</v>
      </c>
      <c r="AY390" s="6">
        <f t="shared" si="24"/>
        <v>0</v>
      </c>
      <c r="AZ390" s="9" t="str">
        <f t="shared" si="25"/>
        <v/>
      </c>
      <c r="BA390" s="6">
        <f t="shared" si="26"/>
        <v>0</v>
      </c>
      <c r="BB390" s="6">
        <f t="shared" si="27"/>
        <v>0</v>
      </c>
      <c r="BC390" s="9" t="str">
        <f t="shared" si="28"/>
        <v/>
      </c>
      <c r="BD390" s="6">
        <f t="shared" si="29"/>
        <v>0</v>
      </c>
      <c r="BE390" s="6">
        <f t="shared" si="30"/>
        <v>0</v>
      </c>
      <c r="BF390" s="9" t="str">
        <f t="shared" si="31"/>
        <v/>
      </c>
      <c r="BG390" s="6">
        <f t="shared" si="32"/>
        <v>0</v>
      </c>
      <c r="BH390" s="6">
        <f t="shared" si="33"/>
        <v>0</v>
      </c>
      <c r="BI390" s="9" t="str">
        <f t="shared" si="34"/>
        <v/>
      </c>
      <c r="BJ390" s="6">
        <f t="shared" si="35"/>
        <v>0</v>
      </c>
      <c r="BK390" s="6">
        <f t="shared" si="36"/>
        <v>0</v>
      </c>
      <c r="BL390" s="6">
        <f t="shared" si="37"/>
        <v>0</v>
      </c>
      <c r="BM390" s="6">
        <f t="shared" si="38"/>
        <v>0</v>
      </c>
      <c r="BN390" s="6">
        <f t="shared" si="39"/>
        <v>0</v>
      </c>
      <c r="BP390" s="6">
        <f t="shared" si="40"/>
        <v>0</v>
      </c>
      <c r="BQ390" s="6" t="b">
        <f ca="1">IFERROR(__xludf.DUMMYFUNCTION("IF(AND(ISERROR(FILTER('Items by Team'!D$2:D3410,'Items by Team'!C$2:C3410 = D390,'Items by Team'!B$2:B3410 = B390)),NOT(A390=""Practice"")),TRUE,FALSE)"),FALSE)</f>
        <v>0</v>
      </c>
      <c r="BR390" s="6">
        <f t="shared" ca="1" si="41"/>
        <v>0</v>
      </c>
    </row>
    <row r="391" spans="1:70">
      <c r="A391" s="6"/>
      <c r="B391" s="6"/>
      <c r="C391" s="6"/>
      <c r="D391" s="6"/>
      <c r="E391" s="6"/>
      <c r="F391" s="6"/>
      <c r="G391" s="6"/>
      <c r="H391" s="6"/>
      <c r="I391" s="6"/>
      <c r="J391" s="6"/>
      <c r="K391" s="6"/>
      <c r="L391" s="6"/>
      <c r="M391" s="6"/>
      <c r="N391" s="6"/>
      <c r="O391" s="6"/>
      <c r="P391" s="6"/>
      <c r="R391" s="6"/>
      <c r="S391" s="6"/>
      <c r="T391" s="6"/>
      <c r="U391" s="6"/>
      <c r="V391" s="6"/>
      <c r="W391" s="6"/>
      <c r="X391" s="6"/>
      <c r="Y391" s="6"/>
      <c r="Z391" s="6"/>
      <c r="AA391" s="6"/>
      <c r="AB391" s="6"/>
      <c r="AD391" s="6"/>
      <c r="AE391" s="6"/>
      <c r="AF391" s="6"/>
      <c r="AG391" s="6"/>
      <c r="AH391" s="6"/>
      <c r="AI391" s="6"/>
      <c r="AK391" s="6"/>
      <c r="AL391" s="6"/>
      <c r="AM391" s="6"/>
      <c r="AN391" s="6"/>
      <c r="AO391" s="6"/>
      <c r="AP391" s="6"/>
      <c r="AQ391" s="6"/>
      <c r="AR391" s="6"/>
      <c r="AS391" s="15"/>
      <c r="AT391" s="6" t="str">
        <f ca="1">IFERROR(__xludf.DUMMYFUNCTION("SWITCH(IF(A391=""Practice"",AN391,FILTER('Items by Team'!E$2:E3410,'Items by Team'!C$2:C3410=D391,B391='Items by Team'!B$2:B3410)),""None"",""No"",""Parked"",""P"",""ShallowCage"",""Sc"",""DeepCage"",""Dc"",""No"",""No"",""P"",""P"",""Sc"",""Sc"",""Dc"","&amp;"""Dc"")"),"#REF!")</f>
        <v>#REF!</v>
      </c>
      <c r="AU391" s="6" t="str">
        <f ca="1">IFERROR(__xludf.DUMMYFUNCTION("SWITCH(IF(A391 = ""Practice"", H391, FILTER('Items by Team'!D$2:D3410,'Items by Team'!C$2:C3410 = D391,'Items by Team'!B$2:B3410 = B391)), ""Yes"", ""TRUE"", ""No"", ""FALSE"",TRUE, ""TRUE"", FALSE, ""FALSE"")"),"#REF!")</f>
        <v>#REF!</v>
      </c>
      <c r="AV391" s="6">
        <f t="shared" si="21"/>
        <v>0</v>
      </c>
      <c r="AW391" s="6">
        <f t="shared" si="22"/>
        <v>0</v>
      </c>
      <c r="AX391" s="6">
        <f t="shared" si="23"/>
        <v>0</v>
      </c>
      <c r="AY391" s="6">
        <f t="shared" si="24"/>
        <v>0</v>
      </c>
      <c r="AZ391" s="9" t="str">
        <f t="shared" si="25"/>
        <v/>
      </c>
      <c r="BA391" s="6">
        <f t="shared" si="26"/>
        <v>0</v>
      </c>
      <c r="BB391" s="6">
        <f t="shared" si="27"/>
        <v>0</v>
      </c>
      <c r="BC391" s="9" t="str">
        <f t="shared" si="28"/>
        <v/>
      </c>
      <c r="BD391" s="6">
        <f t="shared" si="29"/>
        <v>0</v>
      </c>
      <c r="BE391" s="6">
        <f t="shared" si="30"/>
        <v>0</v>
      </c>
      <c r="BF391" s="9" t="str">
        <f t="shared" si="31"/>
        <v/>
      </c>
      <c r="BG391" s="6">
        <f t="shared" si="32"/>
        <v>0</v>
      </c>
      <c r="BH391" s="6">
        <f t="shared" si="33"/>
        <v>0</v>
      </c>
      <c r="BI391" s="9" t="str">
        <f t="shared" si="34"/>
        <v/>
      </c>
      <c r="BJ391" s="6">
        <f t="shared" si="35"/>
        <v>0</v>
      </c>
      <c r="BK391" s="6">
        <f t="shared" si="36"/>
        <v>0</v>
      </c>
      <c r="BL391" s="6">
        <f t="shared" si="37"/>
        <v>0</v>
      </c>
      <c r="BM391" s="6">
        <f t="shared" si="38"/>
        <v>0</v>
      </c>
      <c r="BN391" s="6">
        <f t="shared" si="39"/>
        <v>0</v>
      </c>
      <c r="BP391" s="6">
        <f t="shared" si="40"/>
        <v>0</v>
      </c>
      <c r="BQ391" s="6" t="b">
        <f ca="1">IFERROR(__xludf.DUMMYFUNCTION("IF(AND(ISERROR(FILTER('Items by Team'!D$2:D3410,'Items by Team'!C$2:C3410 = D391,'Items by Team'!B$2:B3410 = B391)),NOT(A391=""Practice"")),TRUE,FALSE)"),FALSE)</f>
        <v>0</v>
      </c>
      <c r="BR391" s="6">
        <f t="shared" ca="1" si="41"/>
        <v>0</v>
      </c>
    </row>
    <row r="392" spans="1:70">
      <c r="A392" s="6"/>
      <c r="B392" s="6"/>
      <c r="C392" s="6"/>
      <c r="D392" s="6"/>
      <c r="E392" s="6"/>
      <c r="F392" s="6"/>
      <c r="G392" s="6"/>
      <c r="H392" s="6"/>
      <c r="I392" s="6"/>
      <c r="J392" s="6"/>
      <c r="K392" s="6"/>
      <c r="L392" s="6"/>
      <c r="M392" s="6"/>
      <c r="N392" s="6"/>
      <c r="O392" s="6"/>
      <c r="P392" s="6"/>
      <c r="R392" s="6"/>
      <c r="S392" s="6"/>
      <c r="T392" s="6"/>
      <c r="U392" s="6"/>
      <c r="V392" s="6"/>
      <c r="W392" s="6"/>
      <c r="X392" s="6"/>
      <c r="Y392" s="6"/>
      <c r="Z392" s="6"/>
      <c r="AA392" s="6"/>
      <c r="AB392" s="6"/>
      <c r="AD392" s="6"/>
      <c r="AE392" s="6"/>
      <c r="AF392" s="6"/>
      <c r="AG392" s="6"/>
      <c r="AH392" s="6"/>
      <c r="AI392" s="6"/>
      <c r="AK392" s="6"/>
      <c r="AL392" s="6"/>
      <c r="AM392" s="6"/>
      <c r="AN392" s="6"/>
      <c r="AO392" s="6"/>
      <c r="AP392" s="6"/>
      <c r="AQ392" s="6"/>
      <c r="AR392" s="6"/>
      <c r="AS392" s="15"/>
      <c r="AT392" s="6" t="str">
        <f ca="1">IFERROR(__xludf.DUMMYFUNCTION("SWITCH(IF(A392=""Practice"",AN392,FILTER('Items by Team'!E$2:E3410,'Items by Team'!C$2:C3410=D392,B392='Items by Team'!B$2:B3410)),""None"",""No"",""Parked"",""P"",""ShallowCage"",""Sc"",""DeepCage"",""Dc"",""No"",""No"",""P"",""P"",""Sc"",""Sc"",""Dc"","&amp;"""Dc"")"),"#REF!")</f>
        <v>#REF!</v>
      </c>
      <c r="AU392" s="6" t="str">
        <f ca="1">IFERROR(__xludf.DUMMYFUNCTION("SWITCH(IF(A392 = ""Practice"", H392, FILTER('Items by Team'!D$2:D3410,'Items by Team'!C$2:C3410 = D392,'Items by Team'!B$2:B3410 = B392)), ""Yes"", ""TRUE"", ""No"", ""FALSE"",TRUE, ""TRUE"", FALSE, ""FALSE"")"),"#REF!")</f>
        <v>#REF!</v>
      </c>
      <c r="AV392" s="6">
        <f t="shared" si="21"/>
        <v>0</v>
      </c>
      <c r="AW392" s="6">
        <f t="shared" si="22"/>
        <v>0</v>
      </c>
      <c r="AX392" s="6">
        <f t="shared" si="23"/>
        <v>0</v>
      </c>
      <c r="AY392" s="6">
        <f t="shared" si="24"/>
        <v>0</v>
      </c>
      <c r="AZ392" s="9" t="str">
        <f t="shared" si="25"/>
        <v/>
      </c>
      <c r="BA392" s="6">
        <f t="shared" si="26"/>
        <v>0</v>
      </c>
      <c r="BB392" s="6">
        <f t="shared" si="27"/>
        <v>0</v>
      </c>
      <c r="BC392" s="9" t="str">
        <f t="shared" si="28"/>
        <v/>
      </c>
      <c r="BD392" s="6">
        <f t="shared" si="29"/>
        <v>0</v>
      </c>
      <c r="BE392" s="6">
        <f t="shared" si="30"/>
        <v>0</v>
      </c>
      <c r="BF392" s="9" t="str">
        <f t="shared" si="31"/>
        <v/>
      </c>
      <c r="BG392" s="6">
        <f t="shared" si="32"/>
        <v>0</v>
      </c>
      <c r="BH392" s="6">
        <f t="shared" si="33"/>
        <v>0</v>
      </c>
      <c r="BI392" s="9" t="str">
        <f t="shared" si="34"/>
        <v/>
      </c>
      <c r="BJ392" s="6">
        <f t="shared" si="35"/>
        <v>0</v>
      </c>
      <c r="BK392" s="6">
        <f t="shared" si="36"/>
        <v>0</v>
      </c>
      <c r="BL392" s="6">
        <f t="shared" si="37"/>
        <v>0</v>
      </c>
      <c r="BM392" s="6">
        <f t="shared" si="38"/>
        <v>0</v>
      </c>
      <c r="BN392" s="6">
        <f t="shared" si="39"/>
        <v>0</v>
      </c>
      <c r="BP392" s="6">
        <f t="shared" si="40"/>
        <v>0</v>
      </c>
      <c r="BQ392" s="6" t="b">
        <f ca="1">IFERROR(__xludf.DUMMYFUNCTION("IF(AND(ISERROR(FILTER('Items by Team'!D$2:D3410,'Items by Team'!C$2:C3410 = D392,'Items by Team'!B$2:B3410 = B392)),NOT(A392=""Practice"")),TRUE,FALSE)"),FALSE)</f>
        <v>0</v>
      </c>
      <c r="BR392" s="6">
        <f t="shared" ca="1" si="41"/>
        <v>0</v>
      </c>
    </row>
    <row r="393" spans="1:70">
      <c r="A393" s="6"/>
      <c r="B393" s="6"/>
      <c r="C393" s="6"/>
      <c r="D393" s="6"/>
      <c r="E393" s="6"/>
      <c r="F393" s="6"/>
      <c r="G393" s="6"/>
      <c r="H393" s="6"/>
      <c r="I393" s="6"/>
      <c r="J393" s="6"/>
      <c r="K393" s="6"/>
      <c r="L393" s="6"/>
      <c r="M393" s="6"/>
      <c r="N393" s="6"/>
      <c r="O393" s="6"/>
      <c r="P393" s="6"/>
      <c r="R393" s="6"/>
      <c r="S393" s="6"/>
      <c r="T393" s="6"/>
      <c r="U393" s="6"/>
      <c r="V393" s="6"/>
      <c r="W393" s="6"/>
      <c r="X393" s="6"/>
      <c r="Y393" s="6"/>
      <c r="Z393" s="6"/>
      <c r="AA393" s="6"/>
      <c r="AB393" s="6"/>
      <c r="AD393" s="6"/>
      <c r="AE393" s="6"/>
      <c r="AF393" s="6"/>
      <c r="AG393" s="6"/>
      <c r="AH393" s="6"/>
      <c r="AI393" s="6"/>
      <c r="AK393" s="6"/>
      <c r="AL393" s="6"/>
      <c r="AM393" s="6"/>
      <c r="AN393" s="6"/>
      <c r="AO393" s="6"/>
      <c r="AP393" s="6"/>
      <c r="AQ393" s="6"/>
      <c r="AR393" s="6"/>
      <c r="AS393" s="15"/>
      <c r="AT393" s="6" t="str">
        <f ca="1">IFERROR(__xludf.DUMMYFUNCTION("SWITCH(IF(A393=""Practice"",AN393,FILTER('Items by Team'!E$2:E3410,'Items by Team'!C$2:C3410=D393,B393='Items by Team'!B$2:B3410)),""None"",""No"",""Parked"",""P"",""ShallowCage"",""Sc"",""DeepCage"",""Dc"",""No"",""No"",""P"",""P"",""Sc"",""Sc"",""Dc"","&amp;"""Dc"")"),"#REF!")</f>
        <v>#REF!</v>
      </c>
      <c r="AU393" s="6" t="str">
        <f ca="1">IFERROR(__xludf.DUMMYFUNCTION("SWITCH(IF(A393 = ""Practice"", H393, FILTER('Items by Team'!D$2:D3410,'Items by Team'!C$2:C3410 = D393,'Items by Team'!B$2:B3410 = B393)), ""Yes"", ""TRUE"", ""No"", ""FALSE"",TRUE, ""TRUE"", FALSE, ""FALSE"")"),"#REF!")</f>
        <v>#REF!</v>
      </c>
      <c r="AV393" s="6">
        <f t="shared" si="21"/>
        <v>0</v>
      </c>
      <c r="AW393" s="6">
        <f t="shared" si="22"/>
        <v>0</v>
      </c>
      <c r="AX393" s="6">
        <f t="shared" si="23"/>
        <v>0</v>
      </c>
      <c r="AY393" s="6">
        <f t="shared" si="24"/>
        <v>0</v>
      </c>
      <c r="AZ393" s="9" t="str">
        <f t="shared" si="25"/>
        <v/>
      </c>
      <c r="BA393" s="6">
        <f t="shared" si="26"/>
        <v>0</v>
      </c>
      <c r="BB393" s="6">
        <f t="shared" si="27"/>
        <v>0</v>
      </c>
      <c r="BC393" s="9" t="str">
        <f t="shared" si="28"/>
        <v/>
      </c>
      <c r="BD393" s="6">
        <f t="shared" si="29"/>
        <v>0</v>
      </c>
      <c r="BE393" s="6">
        <f t="shared" si="30"/>
        <v>0</v>
      </c>
      <c r="BF393" s="9" t="str">
        <f t="shared" si="31"/>
        <v/>
      </c>
      <c r="BG393" s="6">
        <f t="shared" si="32"/>
        <v>0</v>
      </c>
      <c r="BH393" s="6">
        <f t="shared" si="33"/>
        <v>0</v>
      </c>
      <c r="BI393" s="9" t="str">
        <f t="shared" si="34"/>
        <v/>
      </c>
      <c r="BJ393" s="6">
        <f t="shared" si="35"/>
        <v>0</v>
      </c>
      <c r="BK393" s="6">
        <f t="shared" si="36"/>
        <v>0</v>
      </c>
      <c r="BL393" s="6">
        <f t="shared" si="37"/>
        <v>0</v>
      </c>
      <c r="BM393" s="6">
        <f t="shared" si="38"/>
        <v>0</v>
      </c>
      <c r="BN393" s="6">
        <f t="shared" si="39"/>
        <v>0</v>
      </c>
      <c r="BP393" s="6">
        <f t="shared" si="40"/>
        <v>0</v>
      </c>
      <c r="BQ393" s="6" t="b">
        <f ca="1">IFERROR(__xludf.DUMMYFUNCTION("IF(AND(ISERROR(FILTER('Items by Team'!D$2:D3410,'Items by Team'!C$2:C3410 = D393,'Items by Team'!B$2:B3410 = B393)),NOT(A393=""Practice"")),TRUE,FALSE)"),FALSE)</f>
        <v>0</v>
      </c>
      <c r="BR393" s="6">
        <f t="shared" ca="1" si="41"/>
        <v>0</v>
      </c>
    </row>
    <row r="394" spans="1:70">
      <c r="A394" s="6"/>
      <c r="B394" s="6"/>
      <c r="C394" s="6"/>
      <c r="D394" s="6"/>
      <c r="E394" s="6"/>
      <c r="F394" s="6"/>
      <c r="G394" s="6"/>
      <c r="H394" s="6"/>
      <c r="I394" s="6"/>
      <c r="J394" s="6"/>
      <c r="K394" s="6"/>
      <c r="L394" s="6"/>
      <c r="M394" s="6"/>
      <c r="N394" s="6"/>
      <c r="O394" s="6"/>
      <c r="P394" s="6"/>
      <c r="R394" s="6"/>
      <c r="S394" s="6"/>
      <c r="T394" s="6"/>
      <c r="U394" s="6"/>
      <c r="V394" s="6"/>
      <c r="W394" s="6"/>
      <c r="X394" s="6"/>
      <c r="Y394" s="6"/>
      <c r="Z394" s="6"/>
      <c r="AA394" s="6"/>
      <c r="AB394" s="6"/>
      <c r="AD394" s="6"/>
      <c r="AE394" s="6"/>
      <c r="AF394" s="6"/>
      <c r="AG394" s="6"/>
      <c r="AH394" s="6"/>
      <c r="AI394" s="6"/>
      <c r="AK394" s="6"/>
      <c r="AL394" s="6"/>
      <c r="AM394" s="6"/>
      <c r="AN394" s="6"/>
      <c r="AO394" s="6"/>
      <c r="AP394" s="6"/>
      <c r="AQ394" s="6"/>
      <c r="AR394" s="6"/>
      <c r="AS394" s="15"/>
      <c r="AT394" s="6" t="str">
        <f ca="1">IFERROR(__xludf.DUMMYFUNCTION("SWITCH(IF(A394=""Practice"",AN394,FILTER('Items by Team'!E$2:E3410,'Items by Team'!C$2:C3410=D394,B394='Items by Team'!B$2:B3410)),""None"",""No"",""Parked"",""P"",""ShallowCage"",""Sc"",""DeepCage"",""Dc"",""No"",""No"",""P"",""P"",""Sc"",""Sc"",""Dc"","&amp;"""Dc"")"),"#REF!")</f>
        <v>#REF!</v>
      </c>
      <c r="AU394" s="6" t="str">
        <f ca="1">IFERROR(__xludf.DUMMYFUNCTION("SWITCH(IF(A394 = ""Practice"", H394, FILTER('Items by Team'!D$2:D3410,'Items by Team'!C$2:C3410 = D394,'Items by Team'!B$2:B3410 = B394)), ""Yes"", ""TRUE"", ""No"", ""FALSE"",TRUE, ""TRUE"", FALSE, ""FALSE"")"),"#REF!")</f>
        <v>#REF!</v>
      </c>
      <c r="AV394" s="6">
        <f t="shared" si="21"/>
        <v>0</v>
      </c>
      <c r="AW394" s="6">
        <f t="shared" si="22"/>
        <v>0</v>
      </c>
      <c r="AX394" s="6">
        <f t="shared" si="23"/>
        <v>0</v>
      </c>
      <c r="AY394" s="6">
        <f t="shared" si="24"/>
        <v>0</v>
      </c>
      <c r="AZ394" s="9" t="str">
        <f t="shared" si="25"/>
        <v/>
      </c>
      <c r="BA394" s="6">
        <f t="shared" si="26"/>
        <v>0</v>
      </c>
      <c r="BB394" s="6">
        <f t="shared" si="27"/>
        <v>0</v>
      </c>
      <c r="BC394" s="9" t="str">
        <f t="shared" si="28"/>
        <v/>
      </c>
      <c r="BD394" s="6">
        <f t="shared" si="29"/>
        <v>0</v>
      </c>
      <c r="BE394" s="6">
        <f t="shared" si="30"/>
        <v>0</v>
      </c>
      <c r="BF394" s="9" t="str">
        <f t="shared" si="31"/>
        <v/>
      </c>
      <c r="BG394" s="6">
        <f t="shared" si="32"/>
        <v>0</v>
      </c>
      <c r="BH394" s="6">
        <f t="shared" si="33"/>
        <v>0</v>
      </c>
      <c r="BI394" s="9" t="str">
        <f t="shared" si="34"/>
        <v/>
      </c>
      <c r="BJ394" s="6">
        <f t="shared" si="35"/>
        <v>0</v>
      </c>
      <c r="BK394" s="6">
        <f t="shared" si="36"/>
        <v>0</v>
      </c>
      <c r="BL394" s="6">
        <f t="shared" si="37"/>
        <v>0</v>
      </c>
      <c r="BM394" s="6">
        <f t="shared" si="38"/>
        <v>0</v>
      </c>
      <c r="BN394" s="6">
        <f t="shared" si="39"/>
        <v>0</v>
      </c>
      <c r="BP394" s="6">
        <f t="shared" si="40"/>
        <v>0</v>
      </c>
      <c r="BQ394" s="6" t="b">
        <f ca="1">IFERROR(__xludf.DUMMYFUNCTION("IF(AND(ISERROR(FILTER('Items by Team'!D$2:D3410,'Items by Team'!C$2:C3410 = D394,'Items by Team'!B$2:B3410 = B394)),NOT(A394=""Practice"")),TRUE,FALSE)"),FALSE)</f>
        <v>0</v>
      </c>
      <c r="BR394" s="6">
        <f t="shared" ca="1" si="41"/>
        <v>0</v>
      </c>
    </row>
    <row r="395" spans="1:70">
      <c r="A395" s="6"/>
      <c r="B395" s="6"/>
      <c r="C395" s="6"/>
      <c r="D395" s="6"/>
      <c r="E395" s="6"/>
      <c r="F395" s="6"/>
      <c r="G395" s="6"/>
      <c r="H395" s="6"/>
      <c r="I395" s="6"/>
      <c r="J395" s="6"/>
      <c r="K395" s="6"/>
      <c r="L395" s="6"/>
      <c r="M395" s="6"/>
      <c r="N395" s="6"/>
      <c r="O395" s="6"/>
      <c r="P395" s="6"/>
      <c r="R395" s="6"/>
      <c r="S395" s="6"/>
      <c r="T395" s="6"/>
      <c r="U395" s="6"/>
      <c r="V395" s="6"/>
      <c r="W395" s="6"/>
      <c r="X395" s="6"/>
      <c r="Y395" s="6"/>
      <c r="Z395" s="6"/>
      <c r="AA395" s="6"/>
      <c r="AB395" s="6"/>
      <c r="AD395" s="6"/>
      <c r="AE395" s="6"/>
      <c r="AF395" s="6"/>
      <c r="AG395" s="6"/>
      <c r="AH395" s="6"/>
      <c r="AI395" s="6"/>
      <c r="AK395" s="6"/>
      <c r="AL395" s="6"/>
      <c r="AM395" s="6"/>
      <c r="AN395" s="6"/>
      <c r="AO395" s="6"/>
      <c r="AP395" s="6"/>
      <c r="AQ395" s="6"/>
      <c r="AR395" s="6"/>
      <c r="AS395" s="15"/>
      <c r="AT395" s="6" t="str">
        <f ca="1">IFERROR(__xludf.DUMMYFUNCTION("SWITCH(IF(A395=""Practice"",AN395,FILTER('Items by Team'!E$2:E3410,'Items by Team'!C$2:C3410=D395,B395='Items by Team'!B$2:B3410)),""None"",""No"",""Parked"",""P"",""ShallowCage"",""Sc"",""DeepCage"",""Dc"",""No"",""No"",""P"",""P"",""Sc"",""Sc"",""Dc"","&amp;"""Dc"")"),"#REF!")</f>
        <v>#REF!</v>
      </c>
      <c r="AU395" s="6" t="str">
        <f ca="1">IFERROR(__xludf.DUMMYFUNCTION("SWITCH(IF(A395 = ""Practice"", H395, FILTER('Items by Team'!D$2:D3410,'Items by Team'!C$2:C3410 = D395,'Items by Team'!B$2:B3410 = B395)), ""Yes"", ""TRUE"", ""No"", ""FALSE"",TRUE, ""TRUE"", FALSE, ""FALSE"")"),"#REF!")</f>
        <v>#REF!</v>
      </c>
      <c r="AV395" s="6">
        <f t="shared" si="21"/>
        <v>0</v>
      </c>
      <c r="AW395" s="6">
        <f t="shared" si="22"/>
        <v>0</v>
      </c>
      <c r="AX395" s="6">
        <f t="shared" si="23"/>
        <v>0</v>
      </c>
      <c r="AY395" s="6">
        <f t="shared" si="24"/>
        <v>0</v>
      </c>
      <c r="AZ395" s="9" t="str">
        <f t="shared" si="25"/>
        <v/>
      </c>
      <c r="BA395" s="6">
        <f t="shared" si="26"/>
        <v>0</v>
      </c>
      <c r="BB395" s="6">
        <f t="shared" si="27"/>
        <v>0</v>
      </c>
      <c r="BC395" s="9" t="str">
        <f t="shared" si="28"/>
        <v/>
      </c>
      <c r="BD395" s="6">
        <f t="shared" si="29"/>
        <v>0</v>
      </c>
      <c r="BE395" s="6">
        <f t="shared" si="30"/>
        <v>0</v>
      </c>
      <c r="BF395" s="9" t="str">
        <f t="shared" si="31"/>
        <v/>
      </c>
      <c r="BG395" s="6">
        <f t="shared" si="32"/>
        <v>0</v>
      </c>
      <c r="BH395" s="6">
        <f t="shared" si="33"/>
        <v>0</v>
      </c>
      <c r="BI395" s="9" t="str">
        <f t="shared" si="34"/>
        <v/>
      </c>
      <c r="BJ395" s="6">
        <f t="shared" si="35"/>
        <v>0</v>
      </c>
      <c r="BK395" s="6">
        <f t="shared" si="36"/>
        <v>0</v>
      </c>
      <c r="BL395" s="6">
        <f t="shared" si="37"/>
        <v>0</v>
      </c>
      <c r="BM395" s="6">
        <f t="shared" si="38"/>
        <v>0</v>
      </c>
      <c r="BN395" s="6">
        <f t="shared" si="39"/>
        <v>0</v>
      </c>
      <c r="BP395" s="6">
        <f t="shared" si="40"/>
        <v>0</v>
      </c>
      <c r="BQ395" s="6" t="b">
        <f ca="1">IFERROR(__xludf.DUMMYFUNCTION("IF(AND(ISERROR(FILTER('Items by Team'!D$2:D3410,'Items by Team'!C$2:C3410 = D395,'Items by Team'!B$2:B3410 = B395)),NOT(A395=""Practice"")),TRUE,FALSE)"),FALSE)</f>
        <v>0</v>
      </c>
      <c r="BR395" s="6">
        <f t="shared" ca="1" si="41"/>
        <v>0</v>
      </c>
    </row>
    <row r="396" spans="1:70">
      <c r="A396" s="6"/>
      <c r="B396" s="6"/>
      <c r="C396" s="6"/>
      <c r="D396" s="6"/>
      <c r="E396" s="6"/>
      <c r="F396" s="6"/>
      <c r="G396" s="6"/>
      <c r="H396" s="6"/>
      <c r="I396" s="6"/>
      <c r="J396" s="6"/>
      <c r="K396" s="6"/>
      <c r="L396" s="6"/>
      <c r="M396" s="6"/>
      <c r="N396" s="6"/>
      <c r="O396" s="6"/>
      <c r="P396" s="6"/>
      <c r="R396" s="6"/>
      <c r="S396" s="6"/>
      <c r="T396" s="6"/>
      <c r="U396" s="6"/>
      <c r="V396" s="6"/>
      <c r="W396" s="6"/>
      <c r="X396" s="6"/>
      <c r="Y396" s="6"/>
      <c r="Z396" s="6"/>
      <c r="AA396" s="6"/>
      <c r="AB396" s="6"/>
      <c r="AD396" s="6"/>
      <c r="AE396" s="6"/>
      <c r="AF396" s="6"/>
      <c r="AG396" s="6"/>
      <c r="AH396" s="6"/>
      <c r="AI396" s="6"/>
      <c r="AK396" s="6"/>
      <c r="AL396" s="6"/>
      <c r="AM396" s="6"/>
      <c r="AN396" s="6"/>
      <c r="AO396" s="6"/>
      <c r="AP396" s="6"/>
      <c r="AQ396" s="6"/>
      <c r="AR396" s="6"/>
      <c r="AS396" s="15"/>
      <c r="AT396" s="6" t="str">
        <f ca="1">IFERROR(__xludf.DUMMYFUNCTION("SWITCH(IF(A396=""Practice"",AN396,FILTER('Items by Team'!E$2:E3410,'Items by Team'!C$2:C3410=D396,B396='Items by Team'!B$2:B3410)),""None"",""No"",""Parked"",""P"",""ShallowCage"",""Sc"",""DeepCage"",""Dc"",""No"",""No"",""P"",""P"",""Sc"",""Sc"",""Dc"","&amp;"""Dc"")"),"#REF!")</f>
        <v>#REF!</v>
      </c>
      <c r="AU396" s="6" t="str">
        <f ca="1">IFERROR(__xludf.DUMMYFUNCTION("SWITCH(IF(A396 = ""Practice"", H396, FILTER('Items by Team'!D$2:D3410,'Items by Team'!C$2:C3410 = D396,'Items by Team'!B$2:B3410 = B396)), ""Yes"", ""TRUE"", ""No"", ""FALSE"",TRUE, ""TRUE"", FALSE, ""FALSE"")"),"#REF!")</f>
        <v>#REF!</v>
      </c>
      <c r="AV396" s="6">
        <f t="shared" si="21"/>
        <v>0</v>
      </c>
      <c r="AW396" s="6">
        <f t="shared" si="22"/>
        <v>0</v>
      </c>
      <c r="AX396" s="6">
        <f t="shared" si="23"/>
        <v>0</v>
      </c>
      <c r="AY396" s="6">
        <f t="shared" si="24"/>
        <v>0</v>
      </c>
      <c r="AZ396" s="9" t="str">
        <f t="shared" si="25"/>
        <v/>
      </c>
      <c r="BA396" s="6">
        <f t="shared" si="26"/>
        <v>0</v>
      </c>
      <c r="BB396" s="6">
        <f t="shared" si="27"/>
        <v>0</v>
      </c>
      <c r="BC396" s="9" t="str">
        <f t="shared" si="28"/>
        <v/>
      </c>
      <c r="BD396" s="6">
        <f t="shared" si="29"/>
        <v>0</v>
      </c>
      <c r="BE396" s="6">
        <f t="shared" si="30"/>
        <v>0</v>
      </c>
      <c r="BF396" s="9" t="str">
        <f t="shared" si="31"/>
        <v/>
      </c>
      <c r="BG396" s="6">
        <f t="shared" si="32"/>
        <v>0</v>
      </c>
      <c r="BH396" s="6">
        <f t="shared" si="33"/>
        <v>0</v>
      </c>
      <c r="BI396" s="9" t="str">
        <f t="shared" si="34"/>
        <v/>
      </c>
      <c r="BJ396" s="6">
        <f t="shared" si="35"/>
        <v>0</v>
      </c>
      <c r="BK396" s="6">
        <f t="shared" si="36"/>
        <v>0</v>
      </c>
      <c r="BL396" s="6">
        <f t="shared" si="37"/>
        <v>0</v>
      </c>
      <c r="BM396" s="6">
        <f t="shared" si="38"/>
        <v>0</v>
      </c>
      <c r="BN396" s="6">
        <f t="shared" si="39"/>
        <v>0</v>
      </c>
      <c r="BP396" s="6">
        <f t="shared" si="40"/>
        <v>0</v>
      </c>
      <c r="BQ396" s="6" t="b">
        <f ca="1">IFERROR(__xludf.DUMMYFUNCTION("IF(AND(ISERROR(FILTER('Items by Team'!D$2:D3410,'Items by Team'!C$2:C3410 = D396,'Items by Team'!B$2:B3410 = B396)),NOT(A396=""Practice"")),TRUE,FALSE)"),FALSE)</f>
        <v>0</v>
      </c>
      <c r="BR396" s="6">
        <f t="shared" ca="1" si="41"/>
        <v>0</v>
      </c>
    </row>
    <row r="397" spans="1:70">
      <c r="A397" s="6"/>
      <c r="B397" s="6"/>
      <c r="C397" s="6"/>
      <c r="D397" s="6"/>
      <c r="E397" s="6"/>
      <c r="F397" s="6"/>
      <c r="G397" s="6"/>
      <c r="H397" s="6"/>
      <c r="I397" s="6"/>
      <c r="J397" s="6"/>
      <c r="K397" s="6"/>
      <c r="L397" s="6"/>
      <c r="M397" s="6"/>
      <c r="N397" s="6"/>
      <c r="O397" s="6"/>
      <c r="P397" s="6"/>
      <c r="R397" s="6"/>
      <c r="S397" s="6"/>
      <c r="T397" s="6"/>
      <c r="U397" s="6"/>
      <c r="V397" s="6"/>
      <c r="W397" s="6"/>
      <c r="X397" s="6"/>
      <c r="Y397" s="6"/>
      <c r="Z397" s="6"/>
      <c r="AA397" s="6"/>
      <c r="AB397" s="6"/>
      <c r="AD397" s="6"/>
      <c r="AE397" s="6"/>
      <c r="AF397" s="6"/>
      <c r="AG397" s="6"/>
      <c r="AH397" s="6"/>
      <c r="AI397" s="6"/>
      <c r="AK397" s="6"/>
      <c r="AL397" s="6"/>
      <c r="AM397" s="6"/>
      <c r="AN397" s="6"/>
      <c r="AO397" s="6"/>
      <c r="AP397" s="6"/>
      <c r="AQ397" s="6"/>
      <c r="AR397" s="6"/>
      <c r="AS397" s="15"/>
      <c r="AT397" s="6" t="str">
        <f ca="1">IFERROR(__xludf.DUMMYFUNCTION("SWITCH(IF(A397=""Practice"",AN397,FILTER('Items by Team'!E$2:E3410,'Items by Team'!C$2:C3410=D397,B397='Items by Team'!B$2:B3410)),""None"",""No"",""Parked"",""P"",""ShallowCage"",""Sc"",""DeepCage"",""Dc"",""No"",""No"",""P"",""P"",""Sc"",""Sc"",""Dc"","&amp;"""Dc"")"),"#REF!")</f>
        <v>#REF!</v>
      </c>
      <c r="AU397" s="6" t="str">
        <f ca="1">IFERROR(__xludf.DUMMYFUNCTION("SWITCH(IF(A397 = ""Practice"", H397, FILTER('Items by Team'!D$2:D3410,'Items by Team'!C$2:C3410 = D397,'Items by Team'!B$2:B3410 = B397)), ""Yes"", ""TRUE"", ""No"", ""FALSE"",TRUE, ""TRUE"", FALSE, ""FALSE"")"),"#REF!")</f>
        <v>#REF!</v>
      </c>
      <c r="AV397" s="6">
        <f t="shared" si="21"/>
        <v>0</v>
      </c>
      <c r="AW397" s="6">
        <f t="shared" si="22"/>
        <v>0</v>
      </c>
      <c r="AX397" s="6">
        <f t="shared" si="23"/>
        <v>0</v>
      </c>
      <c r="AY397" s="6">
        <f t="shared" si="24"/>
        <v>0</v>
      </c>
      <c r="AZ397" s="9" t="str">
        <f t="shared" si="25"/>
        <v/>
      </c>
      <c r="BA397" s="6">
        <f t="shared" si="26"/>
        <v>0</v>
      </c>
      <c r="BB397" s="6">
        <f t="shared" si="27"/>
        <v>0</v>
      </c>
      <c r="BC397" s="9" t="str">
        <f t="shared" si="28"/>
        <v/>
      </c>
      <c r="BD397" s="6">
        <f t="shared" si="29"/>
        <v>0</v>
      </c>
      <c r="BE397" s="6">
        <f t="shared" si="30"/>
        <v>0</v>
      </c>
      <c r="BF397" s="9" t="str">
        <f t="shared" si="31"/>
        <v/>
      </c>
      <c r="BG397" s="6">
        <f t="shared" si="32"/>
        <v>0</v>
      </c>
      <c r="BH397" s="6">
        <f t="shared" si="33"/>
        <v>0</v>
      </c>
      <c r="BI397" s="9" t="str">
        <f t="shared" si="34"/>
        <v/>
      </c>
      <c r="BJ397" s="6">
        <f t="shared" si="35"/>
        <v>0</v>
      </c>
      <c r="BK397" s="6">
        <f t="shared" si="36"/>
        <v>0</v>
      </c>
      <c r="BL397" s="6">
        <f t="shared" si="37"/>
        <v>0</v>
      </c>
      <c r="BM397" s="6">
        <f t="shared" si="38"/>
        <v>0</v>
      </c>
      <c r="BN397" s="6">
        <f t="shared" si="39"/>
        <v>0</v>
      </c>
      <c r="BP397" s="6">
        <f t="shared" si="40"/>
        <v>0</v>
      </c>
      <c r="BQ397" s="6" t="b">
        <f ca="1">IFERROR(__xludf.DUMMYFUNCTION("IF(AND(ISERROR(FILTER('Items by Team'!D$2:D3410,'Items by Team'!C$2:C3410 = D397,'Items by Team'!B$2:B3410 = B397)),NOT(A397=""Practice"")),TRUE,FALSE)"),FALSE)</f>
        <v>0</v>
      </c>
      <c r="BR397" s="6">
        <f t="shared" ca="1" si="41"/>
        <v>0</v>
      </c>
    </row>
    <row r="398" spans="1:70">
      <c r="A398" s="6"/>
      <c r="B398" s="6"/>
      <c r="C398" s="6"/>
      <c r="D398" s="6"/>
      <c r="E398" s="6"/>
      <c r="F398" s="6"/>
      <c r="G398" s="6"/>
      <c r="H398" s="6"/>
      <c r="I398" s="6"/>
      <c r="J398" s="6"/>
      <c r="K398" s="6"/>
      <c r="L398" s="6"/>
      <c r="M398" s="6"/>
      <c r="N398" s="6"/>
      <c r="O398" s="6"/>
      <c r="P398" s="6"/>
      <c r="R398" s="6"/>
      <c r="S398" s="6"/>
      <c r="T398" s="6"/>
      <c r="U398" s="6"/>
      <c r="V398" s="6"/>
      <c r="W398" s="6"/>
      <c r="X398" s="6"/>
      <c r="Y398" s="6"/>
      <c r="Z398" s="6"/>
      <c r="AA398" s="6"/>
      <c r="AB398" s="6"/>
      <c r="AD398" s="6"/>
      <c r="AE398" s="6"/>
      <c r="AF398" s="6"/>
      <c r="AG398" s="6"/>
      <c r="AH398" s="6"/>
      <c r="AI398" s="6"/>
      <c r="AK398" s="6"/>
      <c r="AL398" s="6"/>
      <c r="AM398" s="6"/>
      <c r="AN398" s="6"/>
      <c r="AO398" s="6"/>
      <c r="AP398" s="6"/>
      <c r="AQ398" s="6"/>
      <c r="AR398" s="6"/>
      <c r="AS398" s="15"/>
      <c r="AT398" s="6" t="str">
        <f ca="1">IFERROR(__xludf.DUMMYFUNCTION("SWITCH(IF(A398=""Practice"",AN398,FILTER('Items by Team'!E$2:E3410,'Items by Team'!C$2:C3410=D398,B398='Items by Team'!B$2:B3410)),""None"",""No"",""Parked"",""P"",""ShallowCage"",""Sc"",""DeepCage"",""Dc"",""No"",""No"",""P"",""P"",""Sc"",""Sc"",""Dc"","&amp;"""Dc"")"),"#REF!")</f>
        <v>#REF!</v>
      </c>
      <c r="AU398" s="6" t="str">
        <f ca="1">IFERROR(__xludf.DUMMYFUNCTION("SWITCH(IF(A398 = ""Practice"", H398, FILTER('Items by Team'!D$2:D3410,'Items by Team'!C$2:C3410 = D398,'Items by Team'!B$2:B3410 = B398)), ""Yes"", ""TRUE"", ""No"", ""FALSE"",TRUE, ""TRUE"", FALSE, ""FALSE"")"),"#REF!")</f>
        <v>#REF!</v>
      </c>
      <c r="AV398" s="6">
        <f t="shared" si="21"/>
        <v>0</v>
      </c>
      <c r="AW398" s="6">
        <f t="shared" si="22"/>
        <v>0</v>
      </c>
      <c r="AX398" s="6">
        <f t="shared" si="23"/>
        <v>0</v>
      </c>
      <c r="AY398" s="6">
        <f t="shared" si="24"/>
        <v>0</v>
      </c>
      <c r="AZ398" s="9" t="str">
        <f t="shared" si="25"/>
        <v/>
      </c>
      <c r="BA398" s="6">
        <f t="shared" si="26"/>
        <v>0</v>
      </c>
      <c r="BB398" s="6">
        <f t="shared" si="27"/>
        <v>0</v>
      </c>
      <c r="BC398" s="9" t="str">
        <f t="shared" si="28"/>
        <v/>
      </c>
      <c r="BD398" s="6">
        <f t="shared" si="29"/>
        <v>0</v>
      </c>
      <c r="BE398" s="6">
        <f t="shared" si="30"/>
        <v>0</v>
      </c>
      <c r="BF398" s="9" t="str">
        <f t="shared" si="31"/>
        <v/>
      </c>
      <c r="BG398" s="6">
        <f t="shared" si="32"/>
        <v>0</v>
      </c>
      <c r="BH398" s="6">
        <f t="shared" si="33"/>
        <v>0</v>
      </c>
      <c r="BI398" s="9" t="str">
        <f t="shared" si="34"/>
        <v/>
      </c>
      <c r="BJ398" s="6">
        <f t="shared" si="35"/>
        <v>0</v>
      </c>
      <c r="BK398" s="6">
        <f t="shared" si="36"/>
        <v>0</v>
      </c>
      <c r="BL398" s="6">
        <f t="shared" si="37"/>
        <v>0</v>
      </c>
      <c r="BM398" s="6">
        <f t="shared" si="38"/>
        <v>0</v>
      </c>
      <c r="BN398" s="6">
        <f t="shared" si="39"/>
        <v>0</v>
      </c>
      <c r="BP398" s="6">
        <f t="shared" si="40"/>
        <v>0</v>
      </c>
      <c r="BQ398" s="6" t="b">
        <f ca="1">IFERROR(__xludf.DUMMYFUNCTION("IF(AND(ISERROR(FILTER('Items by Team'!D$2:D3410,'Items by Team'!C$2:C3410 = D398,'Items by Team'!B$2:B3410 = B398)),NOT(A398=""Practice"")),TRUE,FALSE)"),FALSE)</f>
        <v>0</v>
      </c>
      <c r="BR398" s="6">
        <f t="shared" ca="1" si="41"/>
        <v>0</v>
      </c>
    </row>
    <row r="399" spans="1:70">
      <c r="A399" s="6"/>
      <c r="B399" s="6"/>
      <c r="C399" s="6"/>
      <c r="D399" s="6"/>
      <c r="E399" s="6"/>
      <c r="F399" s="6"/>
      <c r="G399" s="6"/>
      <c r="H399" s="6"/>
      <c r="I399" s="6"/>
      <c r="J399" s="6"/>
      <c r="K399" s="6"/>
      <c r="L399" s="6"/>
      <c r="M399" s="6"/>
      <c r="N399" s="6"/>
      <c r="O399" s="6"/>
      <c r="P399" s="6"/>
      <c r="R399" s="6"/>
      <c r="S399" s="6"/>
      <c r="T399" s="6"/>
      <c r="U399" s="6"/>
      <c r="V399" s="6"/>
      <c r="W399" s="6"/>
      <c r="X399" s="6"/>
      <c r="Y399" s="6"/>
      <c r="Z399" s="6"/>
      <c r="AA399" s="6"/>
      <c r="AB399" s="6"/>
      <c r="AD399" s="6"/>
      <c r="AE399" s="6"/>
      <c r="AF399" s="6"/>
      <c r="AG399" s="6"/>
      <c r="AH399" s="6"/>
      <c r="AI399" s="6"/>
      <c r="AK399" s="6"/>
      <c r="AL399" s="6"/>
      <c r="AM399" s="6"/>
      <c r="AN399" s="6"/>
      <c r="AO399" s="6"/>
      <c r="AP399" s="6"/>
      <c r="AQ399" s="6"/>
      <c r="AR399" s="6"/>
      <c r="AS399" s="15"/>
      <c r="AT399" s="6" t="str">
        <f ca="1">IFERROR(__xludf.DUMMYFUNCTION("SWITCH(IF(A399=""Practice"",AN399,FILTER('Items by Team'!E$2:E3410,'Items by Team'!C$2:C3410=D399,B399='Items by Team'!B$2:B3410)),""None"",""No"",""Parked"",""P"",""ShallowCage"",""Sc"",""DeepCage"",""Dc"",""No"",""No"",""P"",""P"",""Sc"",""Sc"",""Dc"","&amp;"""Dc"")"),"#REF!")</f>
        <v>#REF!</v>
      </c>
      <c r="AU399" s="6" t="str">
        <f ca="1">IFERROR(__xludf.DUMMYFUNCTION("SWITCH(IF(A399 = ""Practice"", H399, FILTER('Items by Team'!D$2:D3410,'Items by Team'!C$2:C3410 = D399,'Items by Team'!B$2:B3410 = B399)), ""Yes"", ""TRUE"", ""No"", ""FALSE"",TRUE, ""TRUE"", FALSE, ""FALSE"")"),"#REF!")</f>
        <v>#REF!</v>
      </c>
      <c r="AV399" s="6">
        <f t="shared" si="21"/>
        <v>0</v>
      </c>
      <c r="AW399" s="6">
        <f t="shared" si="22"/>
        <v>0</v>
      </c>
      <c r="AX399" s="6">
        <f t="shared" si="23"/>
        <v>0</v>
      </c>
      <c r="AY399" s="6">
        <f t="shared" si="24"/>
        <v>0</v>
      </c>
      <c r="AZ399" s="9" t="str">
        <f t="shared" si="25"/>
        <v/>
      </c>
      <c r="BA399" s="6">
        <f t="shared" si="26"/>
        <v>0</v>
      </c>
      <c r="BB399" s="6">
        <f t="shared" si="27"/>
        <v>0</v>
      </c>
      <c r="BC399" s="9" t="str">
        <f t="shared" si="28"/>
        <v/>
      </c>
      <c r="BD399" s="6">
        <f t="shared" si="29"/>
        <v>0</v>
      </c>
      <c r="BE399" s="6">
        <f t="shared" si="30"/>
        <v>0</v>
      </c>
      <c r="BF399" s="9" t="str">
        <f t="shared" si="31"/>
        <v/>
      </c>
      <c r="BG399" s="6">
        <f t="shared" si="32"/>
        <v>0</v>
      </c>
      <c r="BH399" s="6">
        <f t="shared" si="33"/>
        <v>0</v>
      </c>
      <c r="BI399" s="9" t="str">
        <f t="shared" si="34"/>
        <v/>
      </c>
      <c r="BJ399" s="6">
        <f t="shared" si="35"/>
        <v>0</v>
      </c>
      <c r="BK399" s="6">
        <f t="shared" si="36"/>
        <v>0</v>
      </c>
      <c r="BL399" s="6">
        <f t="shared" si="37"/>
        <v>0</v>
      </c>
      <c r="BM399" s="6">
        <f t="shared" si="38"/>
        <v>0</v>
      </c>
      <c r="BN399" s="6">
        <f t="shared" si="39"/>
        <v>0</v>
      </c>
      <c r="BP399" s="6">
        <f t="shared" si="40"/>
        <v>0</v>
      </c>
      <c r="BQ399" s="6" t="b">
        <f ca="1">IFERROR(__xludf.DUMMYFUNCTION("IF(AND(ISERROR(FILTER('Items by Team'!D$2:D3410,'Items by Team'!C$2:C3410 = D399,'Items by Team'!B$2:B3410 = B399)),NOT(A399=""Practice"")),TRUE,FALSE)"),FALSE)</f>
        <v>0</v>
      </c>
      <c r="BR399" s="6">
        <f t="shared" ca="1" si="41"/>
        <v>0</v>
      </c>
    </row>
    <row r="400" spans="1:70">
      <c r="A400" s="6"/>
      <c r="B400" s="6"/>
      <c r="C400" s="6"/>
      <c r="D400" s="6"/>
      <c r="E400" s="6"/>
      <c r="F400" s="6"/>
      <c r="G400" s="6"/>
      <c r="H400" s="6"/>
      <c r="I400" s="6"/>
      <c r="J400" s="6"/>
      <c r="K400" s="6"/>
      <c r="L400" s="6"/>
      <c r="M400" s="6"/>
      <c r="N400" s="6"/>
      <c r="O400" s="6"/>
      <c r="P400" s="6"/>
      <c r="R400" s="6"/>
      <c r="S400" s="6"/>
      <c r="T400" s="6"/>
      <c r="U400" s="6"/>
      <c r="V400" s="6"/>
      <c r="W400" s="6"/>
      <c r="X400" s="6"/>
      <c r="Y400" s="6"/>
      <c r="Z400" s="6"/>
      <c r="AA400" s="6"/>
      <c r="AB400" s="6"/>
      <c r="AD400" s="6"/>
      <c r="AE400" s="6"/>
      <c r="AF400" s="6"/>
      <c r="AG400" s="6"/>
      <c r="AH400" s="6"/>
      <c r="AI400" s="6"/>
      <c r="AK400" s="6"/>
      <c r="AL400" s="6"/>
      <c r="AM400" s="6"/>
      <c r="AN400" s="6"/>
      <c r="AO400" s="6"/>
      <c r="AP400" s="6"/>
      <c r="AQ400" s="6"/>
      <c r="AR400" s="6"/>
      <c r="AS400" s="15"/>
      <c r="AT400" s="6" t="str">
        <f ca="1">IFERROR(__xludf.DUMMYFUNCTION("SWITCH(IF(A400=""Practice"",AN400,FILTER('Items by Team'!E$2:E3410,'Items by Team'!C$2:C3410=D400,B400='Items by Team'!B$2:B3410)),""None"",""No"",""Parked"",""P"",""ShallowCage"",""Sc"",""DeepCage"",""Dc"",""No"",""No"",""P"",""P"",""Sc"",""Sc"",""Dc"","&amp;"""Dc"")"),"#REF!")</f>
        <v>#REF!</v>
      </c>
      <c r="AU400" s="6" t="str">
        <f ca="1">IFERROR(__xludf.DUMMYFUNCTION("SWITCH(IF(A400 = ""Practice"", H400, FILTER('Items by Team'!D$2:D3410,'Items by Team'!C$2:C3410 = D400,'Items by Team'!B$2:B3410 = B400)), ""Yes"", ""TRUE"", ""No"", ""FALSE"",TRUE, ""TRUE"", FALSE, ""FALSE"")"),"#REF!")</f>
        <v>#REF!</v>
      </c>
      <c r="AV400" s="6">
        <f t="shared" si="21"/>
        <v>0</v>
      </c>
      <c r="AW400" s="6">
        <f t="shared" si="22"/>
        <v>0</v>
      </c>
      <c r="AX400" s="6">
        <f t="shared" si="23"/>
        <v>0</v>
      </c>
      <c r="AY400" s="6">
        <f t="shared" si="24"/>
        <v>0</v>
      </c>
      <c r="AZ400" s="9" t="str">
        <f t="shared" si="25"/>
        <v/>
      </c>
      <c r="BA400" s="6">
        <f t="shared" si="26"/>
        <v>0</v>
      </c>
      <c r="BB400" s="6">
        <f t="shared" si="27"/>
        <v>0</v>
      </c>
      <c r="BC400" s="9" t="str">
        <f t="shared" si="28"/>
        <v/>
      </c>
      <c r="BD400" s="6">
        <f t="shared" si="29"/>
        <v>0</v>
      </c>
      <c r="BE400" s="6">
        <f t="shared" si="30"/>
        <v>0</v>
      </c>
      <c r="BF400" s="9" t="str">
        <f t="shared" si="31"/>
        <v/>
      </c>
      <c r="BG400" s="6">
        <f t="shared" si="32"/>
        <v>0</v>
      </c>
      <c r="BH400" s="6">
        <f t="shared" si="33"/>
        <v>0</v>
      </c>
      <c r="BI400" s="9" t="str">
        <f t="shared" si="34"/>
        <v/>
      </c>
      <c r="BJ400" s="6">
        <f t="shared" si="35"/>
        <v>0</v>
      </c>
      <c r="BK400" s="6">
        <f t="shared" si="36"/>
        <v>0</v>
      </c>
      <c r="BL400" s="6">
        <f t="shared" si="37"/>
        <v>0</v>
      </c>
      <c r="BM400" s="6">
        <f t="shared" si="38"/>
        <v>0</v>
      </c>
      <c r="BN400" s="6">
        <f t="shared" si="39"/>
        <v>0</v>
      </c>
      <c r="BP400" s="6">
        <f t="shared" si="40"/>
        <v>0</v>
      </c>
      <c r="BQ400" s="6" t="b">
        <f ca="1">IFERROR(__xludf.DUMMYFUNCTION("IF(AND(ISERROR(FILTER('Items by Team'!D$2:D3410,'Items by Team'!C$2:C3410 = D400,'Items by Team'!B$2:B3410 = B400)),NOT(A400=""Practice"")),TRUE,FALSE)"),FALSE)</f>
        <v>0</v>
      </c>
      <c r="BR400" s="6">
        <f t="shared" ca="1" si="41"/>
        <v>0</v>
      </c>
    </row>
    <row r="401" spans="1:70">
      <c r="A401" s="6"/>
      <c r="B401" s="6"/>
      <c r="C401" s="6"/>
      <c r="D401" s="6"/>
      <c r="E401" s="6"/>
      <c r="F401" s="6"/>
      <c r="G401" s="6"/>
      <c r="H401" s="6"/>
      <c r="I401" s="6"/>
      <c r="J401" s="6"/>
      <c r="K401" s="6"/>
      <c r="L401" s="6"/>
      <c r="M401" s="6"/>
      <c r="N401" s="6"/>
      <c r="O401" s="6"/>
      <c r="P401" s="6"/>
      <c r="R401" s="6"/>
      <c r="S401" s="6"/>
      <c r="T401" s="6"/>
      <c r="U401" s="6"/>
      <c r="V401" s="6"/>
      <c r="W401" s="6"/>
      <c r="X401" s="6"/>
      <c r="Y401" s="6"/>
      <c r="Z401" s="6"/>
      <c r="AA401" s="6"/>
      <c r="AB401" s="6"/>
      <c r="AD401" s="6"/>
      <c r="AE401" s="6"/>
      <c r="AF401" s="6"/>
      <c r="AG401" s="6"/>
      <c r="AH401" s="6"/>
      <c r="AI401" s="6"/>
      <c r="AK401" s="6"/>
      <c r="AL401" s="6"/>
      <c r="AM401" s="6"/>
      <c r="AN401" s="6"/>
      <c r="AO401" s="6"/>
      <c r="AP401" s="6"/>
      <c r="AQ401" s="6"/>
      <c r="AR401" s="6"/>
      <c r="AS401" s="15"/>
      <c r="AT401" s="6" t="str">
        <f ca="1">IFERROR(__xludf.DUMMYFUNCTION("SWITCH(IF(A401=""Practice"",AN401,FILTER('Items by Team'!E$2:E3410,'Items by Team'!C$2:C3410=D401,B401='Items by Team'!B$2:B3410)),""None"",""No"",""Parked"",""P"",""ShallowCage"",""Sc"",""DeepCage"",""Dc"",""No"",""No"",""P"",""P"",""Sc"",""Sc"",""Dc"","&amp;"""Dc"")"),"#REF!")</f>
        <v>#REF!</v>
      </c>
      <c r="AU401" s="6" t="str">
        <f ca="1">IFERROR(__xludf.DUMMYFUNCTION("SWITCH(IF(A401 = ""Practice"", H401, FILTER('Items by Team'!D$2:D3410,'Items by Team'!C$2:C3410 = D401,'Items by Team'!B$2:B3410 = B401)), ""Yes"", ""TRUE"", ""No"", ""FALSE"",TRUE, ""TRUE"", FALSE, ""FALSE"")"),"#REF!")</f>
        <v>#REF!</v>
      </c>
      <c r="AV401" s="6">
        <f t="shared" si="21"/>
        <v>0</v>
      </c>
      <c r="AW401" s="6">
        <f t="shared" si="22"/>
        <v>0</v>
      </c>
      <c r="AX401" s="6">
        <f t="shared" si="23"/>
        <v>0</v>
      </c>
      <c r="AY401" s="6">
        <f t="shared" si="24"/>
        <v>0</v>
      </c>
      <c r="AZ401" s="9" t="str">
        <f t="shared" si="25"/>
        <v/>
      </c>
      <c r="BA401" s="6">
        <f t="shared" si="26"/>
        <v>0</v>
      </c>
      <c r="BB401" s="6">
        <f t="shared" si="27"/>
        <v>0</v>
      </c>
      <c r="BC401" s="9" t="str">
        <f t="shared" si="28"/>
        <v/>
      </c>
      <c r="BD401" s="6">
        <f t="shared" si="29"/>
        <v>0</v>
      </c>
      <c r="BE401" s="6">
        <f t="shared" si="30"/>
        <v>0</v>
      </c>
      <c r="BF401" s="9" t="str">
        <f t="shared" si="31"/>
        <v/>
      </c>
      <c r="BG401" s="6">
        <f t="shared" si="32"/>
        <v>0</v>
      </c>
      <c r="BH401" s="6">
        <f t="shared" si="33"/>
        <v>0</v>
      </c>
      <c r="BI401" s="9" t="str">
        <f t="shared" si="34"/>
        <v/>
      </c>
      <c r="BJ401" s="6">
        <f t="shared" si="35"/>
        <v>0</v>
      </c>
      <c r="BK401" s="6">
        <f t="shared" si="36"/>
        <v>0</v>
      </c>
      <c r="BL401" s="6">
        <f t="shared" si="37"/>
        <v>0</v>
      </c>
      <c r="BM401" s="6">
        <f t="shared" si="38"/>
        <v>0</v>
      </c>
      <c r="BN401" s="6">
        <f t="shared" si="39"/>
        <v>0</v>
      </c>
      <c r="BP401" s="6">
        <f t="shared" si="40"/>
        <v>0</v>
      </c>
      <c r="BQ401" s="6" t="b">
        <f ca="1">IFERROR(__xludf.DUMMYFUNCTION("IF(AND(ISERROR(FILTER('Items by Team'!D$2:D3410,'Items by Team'!C$2:C3410 = D401,'Items by Team'!B$2:B3410 = B401)),NOT(A401=""Practice"")),TRUE,FALSE)"),FALSE)</f>
        <v>0</v>
      </c>
      <c r="BR401" s="6">
        <f t="shared" ca="1" si="41"/>
        <v>0</v>
      </c>
    </row>
    <row r="402" spans="1:70">
      <c r="A402" s="6"/>
      <c r="B402" s="6"/>
      <c r="C402" s="6"/>
      <c r="D402" s="6"/>
      <c r="E402" s="6"/>
      <c r="F402" s="6"/>
      <c r="G402" s="6"/>
      <c r="H402" s="6"/>
      <c r="I402" s="6"/>
      <c r="J402" s="6"/>
      <c r="K402" s="6"/>
      <c r="L402" s="6"/>
      <c r="M402" s="6"/>
      <c r="N402" s="6"/>
      <c r="O402" s="6"/>
      <c r="P402" s="6"/>
      <c r="R402" s="6"/>
      <c r="S402" s="6"/>
      <c r="T402" s="6"/>
      <c r="U402" s="6"/>
      <c r="V402" s="6"/>
      <c r="W402" s="6"/>
      <c r="X402" s="6"/>
      <c r="Y402" s="6"/>
      <c r="Z402" s="6"/>
      <c r="AA402" s="6"/>
      <c r="AB402" s="6"/>
      <c r="AD402" s="6"/>
      <c r="AE402" s="6"/>
      <c r="AF402" s="6"/>
      <c r="AG402" s="6"/>
      <c r="AH402" s="6"/>
      <c r="AI402" s="6"/>
      <c r="AK402" s="6"/>
      <c r="AL402" s="6"/>
      <c r="AM402" s="6"/>
      <c r="AN402" s="6"/>
      <c r="AO402" s="6"/>
      <c r="AP402" s="6"/>
      <c r="AQ402" s="6"/>
      <c r="AR402" s="6"/>
      <c r="AS402" s="15"/>
      <c r="AT402" s="6" t="str">
        <f ca="1">IFERROR(__xludf.DUMMYFUNCTION("SWITCH(IF(A402=""Practice"",AN402,FILTER('Items by Team'!E$2:E3410,'Items by Team'!C$2:C3410=D402,B402='Items by Team'!B$2:B3410)),""None"",""No"",""Parked"",""P"",""ShallowCage"",""Sc"",""DeepCage"",""Dc"",""No"",""No"",""P"",""P"",""Sc"",""Sc"",""Dc"","&amp;"""Dc"")"),"#REF!")</f>
        <v>#REF!</v>
      </c>
      <c r="AU402" s="6" t="str">
        <f ca="1">IFERROR(__xludf.DUMMYFUNCTION("SWITCH(IF(A402 = ""Practice"", H402, FILTER('Items by Team'!D$2:D3410,'Items by Team'!C$2:C3410 = D402,'Items by Team'!B$2:B3410 = B402)), ""Yes"", ""TRUE"", ""No"", ""FALSE"",TRUE, ""TRUE"", FALSE, ""FALSE"")"),"#REF!")</f>
        <v>#REF!</v>
      </c>
      <c r="AV402" s="6">
        <f t="shared" si="21"/>
        <v>0</v>
      </c>
      <c r="AW402" s="6">
        <f t="shared" si="22"/>
        <v>0</v>
      </c>
      <c r="AX402" s="6">
        <f t="shared" si="23"/>
        <v>0</v>
      </c>
      <c r="AY402" s="6">
        <f t="shared" si="24"/>
        <v>0</v>
      </c>
      <c r="AZ402" s="9" t="str">
        <f t="shared" si="25"/>
        <v/>
      </c>
      <c r="BA402" s="6">
        <f t="shared" si="26"/>
        <v>0</v>
      </c>
      <c r="BB402" s="6">
        <f t="shared" si="27"/>
        <v>0</v>
      </c>
      <c r="BC402" s="9" t="str">
        <f t="shared" si="28"/>
        <v/>
      </c>
      <c r="BD402" s="6">
        <f t="shared" si="29"/>
        <v>0</v>
      </c>
      <c r="BE402" s="6">
        <f t="shared" si="30"/>
        <v>0</v>
      </c>
      <c r="BF402" s="9" t="str">
        <f t="shared" si="31"/>
        <v/>
      </c>
      <c r="BG402" s="6">
        <f t="shared" si="32"/>
        <v>0</v>
      </c>
      <c r="BH402" s="6">
        <f t="shared" si="33"/>
        <v>0</v>
      </c>
      <c r="BI402" s="9" t="str">
        <f t="shared" si="34"/>
        <v/>
      </c>
      <c r="BJ402" s="6">
        <f t="shared" si="35"/>
        <v>0</v>
      </c>
      <c r="BK402" s="6">
        <f t="shared" si="36"/>
        <v>0</v>
      </c>
      <c r="BL402" s="6">
        <f t="shared" si="37"/>
        <v>0</v>
      </c>
      <c r="BM402" s="6">
        <f t="shared" si="38"/>
        <v>0</v>
      </c>
      <c r="BN402" s="6">
        <f t="shared" si="39"/>
        <v>0</v>
      </c>
      <c r="BP402" s="6">
        <f t="shared" si="40"/>
        <v>0</v>
      </c>
      <c r="BQ402" s="6" t="b">
        <f ca="1">IFERROR(__xludf.DUMMYFUNCTION("IF(AND(ISERROR(FILTER('Items by Team'!D$2:D3410,'Items by Team'!C$2:C3410 = D402,'Items by Team'!B$2:B3410 = B402)),NOT(A402=""Practice"")),TRUE,FALSE)"),FALSE)</f>
        <v>0</v>
      </c>
      <c r="BR402" s="6">
        <f t="shared" ca="1" si="41"/>
        <v>0</v>
      </c>
    </row>
    <row r="403" spans="1:70">
      <c r="A403" s="6"/>
      <c r="B403" s="6"/>
      <c r="C403" s="6"/>
      <c r="D403" s="6"/>
      <c r="E403" s="6"/>
      <c r="F403" s="6"/>
      <c r="G403" s="6"/>
      <c r="H403" s="6"/>
      <c r="I403" s="6"/>
      <c r="J403" s="6"/>
      <c r="K403" s="6"/>
      <c r="L403" s="6"/>
      <c r="M403" s="6"/>
      <c r="N403" s="6"/>
      <c r="O403" s="6"/>
      <c r="P403" s="6"/>
      <c r="R403" s="6"/>
      <c r="S403" s="6"/>
      <c r="T403" s="6"/>
      <c r="U403" s="6"/>
      <c r="V403" s="6"/>
      <c r="W403" s="6"/>
      <c r="X403" s="6"/>
      <c r="Y403" s="6"/>
      <c r="Z403" s="6"/>
      <c r="AA403" s="6"/>
      <c r="AB403" s="6"/>
      <c r="AD403" s="6"/>
      <c r="AE403" s="6"/>
      <c r="AF403" s="6"/>
      <c r="AG403" s="6"/>
      <c r="AH403" s="6"/>
      <c r="AI403" s="6"/>
      <c r="AK403" s="6"/>
      <c r="AL403" s="6"/>
      <c r="AM403" s="6"/>
      <c r="AN403" s="6"/>
      <c r="AO403" s="6"/>
      <c r="AP403" s="6"/>
      <c r="AQ403" s="6"/>
      <c r="AR403" s="6"/>
      <c r="AS403" s="15"/>
      <c r="AT403" s="6" t="str">
        <f ca="1">IFERROR(__xludf.DUMMYFUNCTION("SWITCH(IF(A403=""Practice"",AN403,FILTER('Items by Team'!E$2:E3410,'Items by Team'!C$2:C3410=D403,B403='Items by Team'!B$2:B3410)),""None"",""No"",""Parked"",""P"",""ShallowCage"",""Sc"",""DeepCage"",""Dc"",""No"",""No"",""P"",""P"",""Sc"",""Sc"",""Dc"","&amp;"""Dc"")"),"#REF!")</f>
        <v>#REF!</v>
      </c>
      <c r="AU403" s="6" t="str">
        <f ca="1">IFERROR(__xludf.DUMMYFUNCTION("SWITCH(IF(A403 = ""Practice"", H403, FILTER('Items by Team'!D$2:D3410,'Items by Team'!C$2:C3410 = D403,'Items by Team'!B$2:B3410 = B403)), ""Yes"", ""TRUE"", ""No"", ""FALSE"",TRUE, ""TRUE"", FALSE, ""FALSE"")"),"#REF!")</f>
        <v>#REF!</v>
      </c>
      <c r="AV403" s="6">
        <f t="shared" si="21"/>
        <v>0</v>
      </c>
      <c r="AW403" s="6">
        <f t="shared" si="22"/>
        <v>0</v>
      </c>
      <c r="AX403" s="6">
        <f t="shared" si="23"/>
        <v>0</v>
      </c>
      <c r="AY403" s="6">
        <f t="shared" si="24"/>
        <v>0</v>
      </c>
      <c r="AZ403" s="9" t="str">
        <f t="shared" si="25"/>
        <v/>
      </c>
      <c r="BA403" s="6">
        <f t="shared" si="26"/>
        <v>0</v>
      </c>
      <c r="BB403" s="6">
        <f t="shared" si="27"/>
        <v>0</v>
      </c>
      <c r="BC403" s="9" t="str">
        <f t="shared" si="28"/>
        <v/>
      </c>
      <c r="BD403" s="6">
        <f t="shared" si="29"/>
        <v>0</v>
      </c>
      <c r="BE403" s="6">
        <f t="shared" si="30"/>
        <v>0</v>
      </c>
      <c r="BF403" s="9" t="str">
        <f t="shared" si="31"/>
        <v/>
      </c>
      <c r="BG403" s="6">
        <f t="shared" si="32"/>
        <v>0</v>
      </c>
      <c r="BH403" s="6">
        <f t="shared" si="33"/>
        <v>0</v>
      </c>
      <c r="BI403" s="9" t="str">
        <f t="shared" si="34"/>
        <v/>
      </c>
      <c r="BJ403" s="6">
        <f t="shared" si="35"/>
        <v>0</v>
      </c>
      <c r="BK403" s="6">
        <f t="shared" si="36"/>
        <v>0</v>
      </c>
      <c r="BL403" s="6">
        <f t="shared" si="37"/>
        <v>0</v>
      </c>
      <c r="BM403" s="6">
        <f t="shared" si="38"/>
        <v>0</v>
      </c>
      <c r="BN403" s="6">
        <f t="shared" si="39"/>
        <v>0</v>
      </c>
      <c r="BP403" s="6">
        <f t="shared" si="40"/>
        <v>0</v>
      </c>
      <c r="BQ403" s="6" t="b">
        <f ca="1">IFERROR(__xludf.DUMMYFUNCTION("IF(AND(ISERROR(FILTER('Items by Team'!D$2:D3410,'Items by Team'!C$2:C3410 = D403,'Items by Team'!B$2:B3410 = B403)),NOT(A403=""Practice"")),TRUE,FALSE)"),FALSE)</f>
        <v>0</v>
      </c>
      <c r="BR403" s="6">
        <f t="shared" ca="1" si="41"/>
        <v>0</v>
      </c>
    </row>
    <row r="404" spans="1:70">
      <c r="A404" s="6"/>
      <c r="B404" s="6"/>
      <c r="C404" s="6"/>
      <c r="D404" s="6"/>
      <c r="E404" s="6"/>
      <c r="F404" s="6"/>
      <c r="G404" s="6"/>
      <c r="H404" s="6"/>
      <c r="I404" s="6"/>
      <c r="J404" s="6"/>
      <c r="K404" s="6"/>
      <c r="L404" s="6"/>
      <c r="M404" s="6"/>
      <c r="N404" s="6"/>
      <c r="O404" s="6"/>
      <c r="P404" s="6"/>
      <c r="R404" s="6"/>
      <c r="S404" s="6"/>
      <c r="T404" s="6"/>
      <c r="U404" s="6"/>
      <c r="V404" s="6"/>
      <c r="W404" s="6"/>
      <c r="X404" s="6"/>
      <c r="Y404" s="6"/>
      <c r="Z404" s="6"/>
      <c r="AA404" s="6"/>
      <c r="AB404" s="6"/>
      <c r="AD404" s="6"/>
      <c r="AE404" s="6"/>
      <c r="AF404" s="6"/>
      <c r="AG404" s="6"/>
      <c r="AH404" s="6"/>
      <c r="AI404" s="6"/>
      <c r="AK404" s="6"/>
      <c r="AL404" s="6"/>
      <c r="AM404" s="6"/>
      <c r="AN404" s="6"/>
      <c r="AO404" s="6"/>
      <c r="AP404" s="6"/>
      <c r="AQ404" s="6"/>
      <c r="AR404" s="6"/>
      <c r="AS404" s="15"/>
      <c r="AT404" s="6" t="str">
        <f ca="1">IFERROR(__xludf.DUMMYFUNCTION("SWITCH(IF(A404=""Practice"",AN404,FILTER('Items by Team'!E$2:E3410,'Items by Team'!C$2:C3410=D404,B404='Items by Team'!B$2:B3410)),""None"",""No"",""Parked"",""P"",""ShallowCage"",""Sc"",""DeepCage"",""Dc"",""No"",""No"",""P"",""P"",""Sc"",""Sc"",""Dc"","&amp;"""Dc"")"),"#REF!")</f>
        <v>#REF!</v>
      </c>
      <c r="AU404" s="6" t="str">
        <f ca="1">IFERROR(__xludf.DUMMYFUNCTION("SWITCH(IF(A404 = ""Practice"", H404, FILTER('Items by Team'!D$2:D3410,'Items by Team'!C$2:C3410 = D404,'Items by Team'!B$2:B3410 = B404)), ""Yes"", ""TRUE"", ""No"", ""FALSE"",TRUE, ""TRUE"", FALSE, ""FALSE"")"),"#REF!")</f>
        <v>#REF!</v>
      </c>
      <c r="AV404" s="6">
        <f t="shared" si="21"/>
        <v>0</v>
      </c>
      <c r="AW404" s="6">
        <f t="shared" si="22"/>
        <v>0</v>
      </c>
      <c r="AX404" s="6">
        <f t="shared" si="23"/>
        <v>0</v>
      </c>
      <c r="AY404" s="6">
        <f t="shared" si="24"/>
        <v>0</v>
      </c>
      <c r="AZ404" s="9" t="str">
        <f t="shared" si="25"/>
        <v/>
      </c>
      <c r="BA404" s="6">
        <f t="shared" si="26"/>
        <v>0</v>
      </c>
      <c r="BB404" s="6">
        <f t="shared" si="27"/>
        <v>0</v>
      </c>
      <c r="BC404" s="9" t="str">
        <f t="shared" si="28"/>
        <v/>
      </c>
      <c r="BD404" s="6">
        <f t="shared" si="29"/>
        <v>0</v>
      </c>
      <c r="BE404" s="6">
        <f t="shared" si="30"/>
        <v>0</v>
      </c>
      <c r="BF404" s="9" t="str">
        <f t="shared" si="31"/>
        <v/>
      </c>
      <c r="BG404" s="6">
        <f t="shared" si="32"/>
        <v>0</v>
      </c>
      <c r="BH404" s="6">
        <f t="shared" si="33"/>
        <v>0</v>
      </c>
      <c r="BI404" s="9" t="str">
        <f t="shared" si="34"/>
        <v/>
      </c>
      <c r="BJ404" s="6">
        <f t="shared" si="35"/>
        <v>0</v>
      </c>
      <c r="BK404" s="6">
        <f t="shared" si="36"/>
        <v>0</v>
      </c>
      <c r="BL404" s="6">
        <f t="shared" si="37"/>
        <v>0</v>
      </c>
      <c r="BM404" s="6">
        <f t="shared" si="38"/>
        <v>0</v>
      </c>
      <c r="BN404" s="6">
        <f t="shared" si="39"/>
        <v>0</v>
      </c>
      <c r="BP404" s="6">
        <f t="shared" si="40"/>
        <v>0</v>
      </c>
      <c r="BQ404" s="6" t="b">
        <f ca="1">IFERROR(__xludf.DUMMYFUNCTION("IF(AND(ISERROR(FILTER('Items by Team'!D$2:D3410,'Items by Team'!C$2:C3410 = D404,'Items by Team'!B$2:B3410 = B404)),NOT(A404=""Practice"")),TRUE,FALSE)"),FALSE)</f>
        <v>0</v>
      </c>
      <c r="BR404" s="6">
        <f t="shared" ca="1" si="41"/>
        <v>0</v>
      </c>
    </row>
    <row r="405" spans="1:70">
      <c r="A405" s="6"/>
      <c r="B405" s="6"/>
      <c r="C405" s="6"/>
      <c r="D405" s="6"/>
      <c r="E405" s="6"/>
      <c r="F405" s="6"/>
      <c r="G405" s="6"/>
      <c r="H405" s="6"/>
      <c r="I405" s="6"/>
      <c r="J405" s="6"/>
      <c r="K405" s="6"/>
      <c r="L405" s="6"/>
      <c r="M405" s="6"/>
      <c r="N405" s="6"/>
      <c r="O405" s="6"/>
      <c r="P405" s="6"/>
      <c r="R405" s="6"/>
      <c r="S405" s="6"/>
      <c r="T405" s="6"/>
      <c r="U405" s="6"/>
      <c r="V405" s="6"/>
      <c r="W405" s="6"/>
      <c r="X405" s="6"/>
      <c r="Y405" s="6"/>
      <c r="Z405" s="6"/>
      <c r="AA405" s="6"/>
      <c r="AB405" s="6"/>
      <c r="AD405" s="6"/>
      <c r="AE405" s="6"/>
      <c r="AF405" s="6"/>
      <c r="AG405" s="6"/>
      <c r="AH405" s="6"/>
      <c r="AI405" s="6"/>
      <c r="AK405" s="6"/>
      <c r="AL405" s="6"/>
      <c r="AM405" s="6"/>
      <c r="AN405" s="6"/>
      <c r="AO405" s="6"/>
      <c r="AP405" s="6"/>
      <c r="AQ405" s="6"/>
      <c r="AR405" s="6"/>
      <c r="AS405" s="15"/>
      <c r="AT405" s="6" t="str">
        <f ca="1">IFERROR(__xludf.DUMMYFUNCTION("SWITCH(IF(A405=""Practice"",AN405,FILTER('Items by Team'!E$2:E3410,'Items by Team'!C$2:C3410=D405,B405='Items by Team'!B$2:B3410)),""None"",""No"",""Parked"",""P"",""ShallowCage"",""Sc"",""DeepCage"",""Dc"",""No"",""No"",""P"",""P"",""Sc"",""Sc"",""Dc"","&amp;"""Dc"")"),"#REF!")</f>
        <v>#REF!</v>
      </c>
      <c r="AU405" s="6" t="str">
        <f ca="1">IFERROR(__xludf.DUMMYFUNCTION("SWITCH(IF(A405 = ""Practice"", H405, FILTER('Items by Team'!D$2:D3410,'Items by Team'!C$2:C3410 = D405,'Items by Team'!B$2:B3410 = B405)), ""Yes"", ""TRUE"", ""No"", ""FALSE"",TRUE, ""TRUE"", FALSE, ""FALSE"")"),"#REF!")</f>
        <v>#REF!</v>
      </c>
      <c r="AV405" s="6">
        <f t="shared" si="21"/>
        <v>0</v>
      </c>
      <c r="AW405" s="6">
        <f t="shared" si="22"/>
        <v>0</v>
      </c>
      <c r="AX405" s="6">
        <f t="shared" si="23"/>
        <v>0</v>
      </c>
      <c r="AY405" s="6">
        <f t="shared" si="24"/>
        <v>0</v>
      </c>
      <c r="AZ405" s="9" t="str">
        <f t="shared" si="25"/>
        <v/>
      </c>
      <c r="BA405" s="6">
        <f t="shared" si="26"/>
        <v>0</v>
      </c>
      <c r="BB405" s="6">
        <f t="shared" si="27"/>
        <v>0</v>
      </c>
      <c r="BC405" s="9" t="str">
        <f t="shared" si="28"/>
        <v/>
      </c>
      <c r="BD405" s="6">
        <f t="shared" si="29"/>
        <v>0</v>
      </c>
      <c r="BE405" s="6">
        <f t="shared" si="30"/>
        <v>0</v>
      </c>
      <c r="BF405" s="9" t="str">
        <f t="shared" si="31"/>
        <v/>
      </c>
      <c r="BG405" s="6">
        <f t="shared" si="32"/>
        <v>0</v>
      </c>
      <c r="BH405" s="6">
        <f t="shared" si="33"/>
        <v>0</v>
      </c>
      <c r="BI405" s="9" t="str">
        <f t="shared" si="34"/>
        <v/>
      </c>
      <c r="BJ405" s="6">
        <f t="shared" si="35"/>
        <v>0</v>
      </c>
      <c r="BK405" s="6">
        <f t="shared" si="36"/>
        <v>0</v>
      </c>
      <c r="BL405" s="6">
        <f t="shared" si="37"/>
        <v>0</v>
      </c>
      <c r="BM405" s="6">
        <f t="shared" si="38"/>
        <v>0</v>
      </c>
      <c r="BN405" s="6">
        <f t="shared" si="39"/>
        <v>0</v>
      </c>
      <c r="BP405" s="6">
        <f t="shared" si="40"/>
        <v>0</v>
      </c>
      <c r="BQ405" s="6" t="b">
        <f ca="1">IFERROR(__xludf.DUMMYFUNCTION("IF(AND(ISERROR(FILTER('Items by Team'!D$2:D3410,'Items by Team'!C$2:C3410 = D405,'Items by Team'!B$2:B3410 = B405)),NOT(A405=""Practice"")),TRUE,FALSE)"),FALSE)</f>
        <v>0</v>
      </c>
      <c r="BR405" s="6">
        <f t="shared" ca="1" si="41"/>
        <v>0</v>
      </c>
    </row>
    <row r="406" spans="1:70">
      <c r="A406" s="6"/>
      <c r="B406" s="6"/>
      <c r="C406" s="6"/>
      <c r="D406" s="6"/>
      <c r="E406" s="6"/>
      <c r="F406" s="6"/>
      <c r="G406" s="6"/>
      <c r="H406" s="6"/>
      <c r="I406" s="6"/>
      <c r="J406" s="6"/>
      <c r="K406" s="6"/>
      <c r="L406" s="6"/>
      <c r="M406" s="6"/>
      <c r="N406" s="6"/>
      <c r="O406" s="6"/>
      <c r="P406" s="6"/>
      <c r="R406" s="6"/>
      <c r="S406" s="6"/>
      <c r="T406" s="6"/>
      <c r="U406" s="6"/>
      <c r="V406" s="6"/>
      <c r="W406" s="6"/>
      <c r="X406" s="6"/>
      <c r="Y406" s="6"/>
      <c r="Z406" s="6"/>
      <c r="AA406" s="6"/>
      <c r="AB406" s="6"/>
      <c r="AD406" s="6"/>
      <c r="AE406" s="6"/>
      <c r="AF406" s="6"/>
      <c r="AG406" s="6"/>
      <c r="AH406" s="6"/>
      <c r="AI406" s="6"/>
      <c r="AK406" s="6"/>
      <c r="AL406" s="6"/>
      <c r="AM406" s="6"/>
      <c r="AN406" s="6"/>
      <c r="AO406" s="6"/>
      <c r="AP406" s="6"/>
      <c r="AQ406" s="6"/>
      <c r="AR406" s="6"/>
      <c r="AS406" s="15"/>
      <c r="AT406" s="6" t="str">
        <f ca="1">IFERROR(__xludf.DUMMYFUNCTION("SWITCH(IF(A406=""Practice"",AN406,FILTER('Items by Team'!E$2:E3410,'Items by Team'!C$2:C3410=D406,B406='Items by Team'!B$2:B3410)),""None"",""No"",""Parked"",""P"",""ShallowCage"",""Sc"",""DeepCage"",""Dc"",""No"",""No"",""P"",""P"",""Sc"",""Sc"",""Dc"","&amp;"""Dc"")"),"#REF!")</f>
        <v>#REF!</v>
      </c>
      <c r="AU406" s="6" t="str">
        <f ca="1">IFERROR(__xludf.DUMMYFUNCTION("SWITCH(IF(A406 = ""Practice"", H406, FILTER('Items by Team'!D$2:D3410,'Items by Team'!C$2:C3410 = D406,'Items by Team'!B$2:B3410 = B406)), ""Yes"", ""TRUE"", ""No"", ""FALSE"",TRUE, ""TRUE"", FALSE, ""FALSE"")"),"#REF!")</f>
        <v>#REF!</v>
      </c>
      <c r="AV406" s="6">
        <f t="shared" si="21"/>
        <v>0</v>
      </c>
      <c r="AW406" s="6">
        <f t="shared" si="22"/>
        <v>0</v>
      </c>
      <c r="AX406" s="6">
        <f t="shared" si="23"/>
        <v>0</v>
      </c>
      <c r="AY406" s="6">
        <f t="shared" si="24"/>
        <v>0</v>
      </c>
      <c r="AZ406" s="9" t="str">
        <f t="shared" si="25"/>
        <v/>
      </c>
      <c r="BA406" s="6">
        <f t="shared" si="26"/>
        <v>0</v>
      </c>
      <c r="BB406" s="6">
        <f t="shared" si="27"/>
        <v>0</v>
      </c>
      <c r="BC406" s="9" t="str">
        <f t="shared" si="28"/>
        <v/>
      </c>
      <c r="BD406" s="6">
        <f t="shared" si="29"/>
        <v>0</v>
      </c>
      <c r="BE406" s="6">
        <f t="shared" si="30"/>
        <v>0</v>
      </c>
      <c r="BF406" s="9" t="str">
        <f t="shared" si="31"/>
        <v/>
      </c>
      <c r="BG406" s="6">
        <f t="shared" si="32"/>
        <v>0</v>
      </c>
      <c r="BH406" s="6">
        <f t="shared" si="33"/>
        <v>0</v>
      </c>
      <c r="BI406" s="9" t="str">
        <f t="shared" si="34"/>
        <v/>
      </c>
      <c r="BJ406" s="6">
        <f t="shared" si="35"/>
        <v>0</v>
      </c>
      <c r="BK406" s="6">
        <f t="shared" si="36"/>
        <v>0</v>
      </c>
      <c r="BL406" s="6">
        <f t="shared" si="37"/>
        <v>0</v>
      </c>
      <c r="BM406" s="6">
        <f t="shared" si="38"/>
        <v>0</v>
      </c>
      <c r="BN406" s="6">
        <f t="shared" si="39"/>
        <v>0</v>
      </c>
      <c r="BP406" s="6">
        <f t="shared" si="40"/>
        <v>0</v>
      </c>
      <c r="BQ406" s="6" t="b">
        <f ca="1">IFERROR(__xludf.DUMMYFUNCTION("IF(AND(ISERROR(FILTER('Items by Team'!D$2:D3410,'Items by Team'!C$2:C3410 = D406,'Items by Team'!B$2:B3410 = B406)),NOT(A406=""Practice"")),TRUE,FALSE)"),FALSE)</f>
        <v>0</v>
      </c>
      <c r="BR406" s="6">
        <f t="shared" ca="1" si="41"/>
        <v>0</v>
      </c>
    </row>
    <row r="407" spans="1:70">
      <c r="A407" s="6"/>
      <c r="B407" s="6"/>
      <c r="C407" s="6"/>
      <c r="D407" s="6"/>
      <c r="E407" s="6"/>
      <c r="F407" s="6"/>
      <c r="G407" s="6"/>
      <c r="H407" s="6"/>
      <c r="I407" s="6"/>
      <c r="J407" s="6"/>
      <c r="K407" s="6"/>
      <c r="L407" s="6"/>
      <c r="M407" s="6"/>
      <c r="N407" s="6"/>
      <c r="O407" s="6"/>
      <c r="P407" s="6"/>
      <c r="R407" s="6"/>
      <c r="S407" s="6"/>
      <c r="T407" s="6"/>
      <c r="U407" s="6"/>
      <c r="V407" s="6"/>
      <c r="W407" s="6"/>
      <c r="X407" s="6"/>
      <c r="Y407" s="6"/>
      <c r="Z407" s="6"/>
      <c r="AA407" s="6"/>
      <c r="AB407" s="6"/>
      <c r="AD407" s="6"/>
      <c r="AE407" s="6"/>
      <c r="AF407" s="6"/>
      <c r="AG407" s="6"/>
      <c r="AH407" s="6"/>
      <c r="AI407" s="6"/>
      <c r="AK407" s="6"/>
      <c r="AL407" s="6"/>
      <c r="AM407" s="6"/>
      <c r="AN407" s="6"/>
      <c r="AO407" s="6"/>
      <c r="AP407" s="6"/>
      <c r="AQ407" s="6"/>
      <c r="AR407" s="6"/>
      <c r="AS407" s="15"/>
      <c r="AT407" s="6" t="str">
        <f ca="1">IFERROR(__xludf.DUMMYFUNCTION("SWITCH(IF(A407=""Practice"",AN407,FILTER('Items by Team'!E$2:E3410,'Items by Team'!C$2:C3410=D407,B407='Items by Team'!B$2:B3410)),""None"",""No"",""Parked"",""P"",""ShallowCage"",""Sc"",""DeepCage"",""Dc"",""No"",""No"",""P"",""P"",""Sc"",""Sc"",""Dc"","&amp;"""Dc"")"),"#REF!")</f>
        <v>#REF!</v>
      </c>
      <c r="AU407" s="6" t="str">
        <f ca="1">IFERROR(__xludf.DUMMYFUNCTION("SWITCH(IF(A407 = ""Practice"", H407, FILTER('Items by Team'!D$2:D3410,'Items by Team'!C$2:C3410 = D407,'Items by Team'!B$2:B3410 = B407)), ""Yes"", ""TRUE"", ""No"", ""FALSE"",TRUE, ""TRUE"", FALSE, ""FALSE"")"),"#REF!")</f>
        <v>#REF!</v>
      </c>
      <c r="AV407" s="6">
        <f t="shared" si="21"/>
        <v>0</v>
      </c>
      <c r="AW407" s="6">
        <f t="shared" si="22"/>
        <v>0</v>
      </c>
      <c r="AX407" s="6">
        <f t="shared" si="23"/>
        <v>0</v>
      </c>
      <c r="AY407" s="6">
        <f t="shared" si="24"/>
        <v>0</v>
      </c>
      <c r="AZ407" s="9" t="str">
        <f t="shared" si="25"/>
        <v/>
      </c>
      <c r="BA407" s="6">
        <f t="shared" si="26"/>
        <v>0</v>
      </c>
      <c r="BB407" s="6">
        <f t="shared" si="27"/>
        <v>0</v>
      </c>
      <c r="BC407" s="9" t="str">
        <f t="shared" si="28"/>
        <v/>
      </c>
      <c r="BD407" s="6">
        <f t="shared" si="29"/>
        <v>0</v>
      </c>
      <c r="BE407" s="6">
        <f t="shared" si="30"/>
        <v>0</v>
      </c>
      <c r="BF407" s="9" t="str">
        <f t="shared" si="31"/>
        <v/>
      </c>
      <c r="BG407" s="6">
        <f t="shared" si="32"/>
        <v>0</v>
      </c>
      <c r="BH407" s="6">
        <f t="shared" si="33"/>
        <v>0</v>
      </c>
      <c r="BI407" s="9" t="str">
        <f t="shared" si="34"/>
        <v/>
      </c>
      <c r="BJ407" s="6">
        <f t="shared" si="35"/>
        <v>0</v>
      </c>
      <c r="BK407" s="6">
        <f t="shared" si="36"/>
        <v>0</v>
      </c>
      <c r="BL407" s="6">
        <f t="shared" si="37"/>
        <v>0</v>
      </c>
      <c r="BM407" s="6">
        <f t="shared" si="38"/>
        <v>0</v>
      </c>
      <c r="BN407" s="6">
        <f t="shared" si="39"/>
        <v>0</v>
      </c>
      <c r="BP407" s="6">
        <f t="shared" si="40"/>
        <v>0</v>
      </c>
      <c r="BQ407" s="6" t="b">
        <f ca="1">IFERROR(__xludf.DUMMYFUNCTION("IF(AND(ISERROR(FILTER('Items by Team'!D$2:D3410,'Items by Team'!C$2:C3410 = D407,'Items by Team'!B$2:B3410 = B407)),NOT(A407=""Practice"")),TRUE,FALSE)"),FALSE)</f>
        <v>0</v>
      </c>
      <c r="BR407" s="6">
        <f t="shared" ca="1" si="41"/>
        <v>0</v>
      </c>
    </row>
    <row r="408" spans="1:70">
      <c r="A408" s="6"/>
      <c r="B408" s="6"/>
      <c r="C408" s="6"/>
      <c r="D408" s="6"/>
      <c r="E408" s="6"/>
      <c r="F408" s="6"/>
      <c r="G408" s="6"/>
      <c r="H408" s="6"/>
      <c r="I408" s="6"/>
      <c r="J408" s="6"/>
      <c r="K408" s="6"/>
      <c r="L408" s="6"/>
      <c r="M408" s="6"/>
      <c r="N408" s="6"/>
      <c r="O408" s="6"/>
      <c r="P408" s="6"/>
      <c r="R408" s="6"/>
      <c r="S408" s="6"/>
      <c r="T408" s="6"/>
      <c r="U408" s="6"/>
      <c r="V408" s="6"/>
      <c r="W408" s="6"/>
      <c r="X408" s="6"/>
      <c r="Y408" s="6"/>
      <c r="Z408" s="6"/>
      <c r="AA408" s="6"/>
      <c r="AB408" s="6"/>
      <c r="AD408" s="6"/>
      <c r="AE408" s="6"/>
      <c r="AF408" s="6"/>
      <c r="AG408" s="6"/>
      <c r="AH408" s="6"/>
      <c r="AI408" s="6"/>
      <c r="AK408" s="6"/>
      <c r="AL408" s="6"/>
      <c r="AM408" s="6"/>
      <c r="AN408" s="6"/>
      <c r="AO408" s="6"/>
      <c r="AP408" s="6"/>
      <c r="AQ408" s="6"/>
      <c r="AR408" s="6"/>
      <c r="AS408" s="15"/>
      <c r="AT408" s="6" t="str">
        <f ca="1">IFERROR(__xludf.DUMMYFUNCTION("SWITCH(IF(A408=""Practice"",AN408,FILTER('Items by Team'!E$2:E3410,'Items by Team'!C$2:C3410=D408,B408='Items by Team'!B$2:B3410)),""None"",""No"",""Parked"",""P"",""ShallowCage"",""Sc"",""DeepCage"",""Dc"",""No"",""No"",""P"",""P"",""Sc"",""Sc"",""Dc"","&amp;"""Dc"")"),"#REF!")</f>
        <v>#REF!</v>
      </c>
      <c r="AU408" s="6" t="str">
        <f ca="1">IFERROR(__xludf.DUMMYFUNCTION("SWITCH(IF(A408 = ""Practice"", H408, FILTER('Items by Team'!D$2:D3410,'Items by Team'!C$2:C3410 = D408,'Items by Team'!B$2:B3410 = B408)), ""Yes"", ""TRUE"", ""No"", ""FALSE"",TRUE, ""TRUE"", FALSE, ""FALSE"")"),"#REF!")</f>
        <v>#REF!</v>
      </c>
      <c r="AV408" s="6">
        <f t="shared" si="21"/>
        <v>0</v>
      </c>
      <c r="AW408" s="6">
        <f t="shared" si="22"/>
        <v>0</v>
      </c>
      <c r="AX408" s="6">
        <f t="shared" si="23"/>
        <v>0</v>
      </c>
      <c r="AY408" s="6">
        <f t="shared" si="24"/>
        <v>0</v>
      </c>
      <c r="AZ408" s="9" t="str">
        <f t="shared" si="25"/>
        <v/>
      </c>
      <c r="BA408" s="6">
        <f t="shared" si="26"/>
        <v>0</v>
      </c>
      <c r="BB408" s="6">
        <f t="shared" si="27"/>
        <v>0</v>
      </c>
      <c r="BC408" s="9" t="str">
        <f t="shared" si="28"/>
        <v/>
      </c>
      <c r="BD408" s="6">
        <f t="shared" si="29"/>
        <v>0</v>
      </c>
      <c r="BE408" s="6">
        <f t="shared" si="30"/>
        <v>0</v>
      </c>
      <c r="BF408" s="9" t="str">
        <f t="shared" si="31"/>
        <v/>
      </c>
      <c r="BG408" s="6">
        <f t="shared" si="32"/>
        <v>0</v>
      </c>
      <c r="BH408" s="6">
        <f t="shared" si="33"/>
        <v>0</v>
      </c>
      <c r="BI408" s="9" t="str">
        <f t="shared" si="34"/>
        <v/>
      </c>
      <c r="BJ408" s="6">
        <f t="shared" si="35"/>
        <v>0</v>
      </c>
      <c r="BK408" s="6">
        <f t="shared" si="36"/>
        <v>0</v>
      </c>
      <c r="BL408" s="6">
        <f t="shared" si="37"/>
        <v>0</v>
      </c>
      <c r="BM408" s="6">
        <f t="shared" si="38"/>
        <v>0</v>
      </c>
      <c r="BN408" s="6">
        <f t="shared" si="39"/>
        <v>0</v>
      </c>
      <c r="BP408" s="6">
        <f t="shared" si="40"/>
        <v>0</v>
      </c>
      <c r="BQ408" s="6" t="b">
        <f ca="1">IFERROR(__xludf.DUMMYFUNCTION("IF(AND(ISERROR(FILTER('Items by Team'!D$2:D3410,'Items by Team'!C$2:C3410 = D408,'Items by Team'!B$2:B3410 = B408)),NOT(A408=""Practice"")),TRUE,FALSE)"),FALSE)</f>
        <v>0</v>
      </c>
      <c r="BR408" s="6">
        <f t="shared" ca="1" si="41"/>
        <v>0</v>
      </c>
    </row>
    <row r="409" spans="1:70">
      <c r="A409" s="6"/>
      <c r="B409" s="6"/>
      <c r="C409" s="6"/>
      <c r="D409" s="6"/>
      <c r="E409" s="6"/>
      <c r="F409" s="6"/>
      <c r="G409" s="6"/>
      <c r="H409" s="6"/>
      <c r="I409" s="6"/>
      <c r="J409" s="6"/>
      <c r="K409" s="6"/>
      <c r="L409" s="6"/>
      <c r="M409" s="6"/>
      <c r="N409" s="6"/>
      <c r="O409" s="6"/>
      <c r="P409" s="6"/>
      <c r="R409" s="6"/>
      <c r="S409" s="6"/>
      <c r="T409" s="6"/>
      <c r="U409" s="6"/>
      <c r="V409" s="6"/>
      <c r="W409" s="6"/>
      <c r="X409" s="6"/>
      <c r="Y409" s="6"/>
      <c r="Z409" s="6"/>
      <c r="AA409" s="6"/>
      <c r="AB409" s="6"/>
      <c r="AD409" s="6"/>
      <c r="AE409" s="6"/>
      <c r="AF409" s="6"/>
      <c r="AG409" s="6"/>
      <c r="AH409" s="6"/>
      <c r="AI409" s="6"/>
      <c r="AK409" s="6"/>
      <c r="AL409" s="6"/>
      <c r="AM409" s="6"/>
      <c r="AN409" s="6"/>
      <c r="AO409" s="6"/>
      <c r="AP409" s="6"/>
      <c r="AQ409" s="6"/>
      <c r="AR409" s="6"/>
      <c r="AS409" s="15"/>
      <c r="AT409" s="6" t="str">
        <f ca="1">IFERROR(__xludf.DUMMYFUNCTION("SWITCH(IF(A409=""Practice"",AN409,FILTER('Items by Team'!E$2:E3410,'Items by Team'!C$2:C3410=D409,B409='Items by Team'!B$2:B3410)),""None"",""No"",""Parked"",""P"",""ShallowCage"",""Sc"",""DeepCage"",""Dc"",""No"",""No"",""P"",""P"",""Sc"",""Sc"",""Dc"","&amp;"""Dc"")"),"#REF!")</f>
        <v>#REF!</v>
      </c>
      <c r="AU409" s="6" t="str">
        <f ca="1">IFERROR(__xludf.DUMMYFUNCTION("SWITCH(IF(A409 = ""Practice"", H409, FILTER('Items by Team'!D$2:D3410,'Items by Team'!C$2:C3410 = D409,'Items by Team'!B$2:B3410 = B409)), ""Yes"", ""TRUE"", ""No"", ""FALSE"",TRUE, ""TRUE"", FALSE, ""FALSE"")"),"#REF!")</f>
        <v>#REF!</v>
      </c>
      <c r="AV409" s="6">
        <f t="shared" si="21"/>
        <v>0</v>
      </c>
      <c r="AW409" s="6">
        <f t="shared" si="22"/>
        <v>0</v>
      </c>
      <c r="AX409" s="6">
        <f t="shared" si="23"/>
        <v>0</v>
      </c>
      <c r="AY409" s="6">
        <f t="shared" si="24"/>
        <v>0</v>
      </c>
      <c r="AZ409" s="9" t="str">
        <f t="shared" si="25"/>
        <v/>
      </c>
      <c r="BA409" s="6">
        <f t="shared" si="26"/>
        <v>0</v>
      </c>
      <c r="BB409" s="6">
        <f t="shared" si="27"/>
        <v>0</v>
      </c>
      <c r="BC409" s="9" t="str">
        <f t="shared" si="28"/>
        <v/>
      </c>
      <c r="BD409" s="6">
        <f t="shared" si="29"/>
        <v>0</v>
      </c>
      <c r="BE409" s="6">
        <f t="shared" si="30"/>
        <v>0</v>
      </c>
      <c r="BF409" s="9" t="str">
        <f t="shared" si="31"/>
        <v/>
      </c>
      <c r="BG409" s="6">
        <f t="shared" si="32"/>
        <v>0</v>
      </c>
      <c r="BH409" s="6">
        <f t="shared" si="33"/>
        <v>0</v>
      </c>
      <c r="BI409" s="9" t="str">
        <f t="shared" si="34"/>
        <v/>
      </c>
      <c r="BJ409" s="6">
        <f t="shared" si="35"/>
        <v>0</v>
      </c>
      <c r="BK409" s="6">
        <f t="shared" si="36"/>
        <v>0</v>
      </c>
      <c r="BL409" s="6">
        <f t="shared" si="37"/>
        <v>0</v>
      </c>
      <c r="BM409" s="6">
        <f t="shared" si="38"/>
        <v>0</v>
      </c>
      <c r="BN409" s="6">
        <f t="shared" si="39"/>
        <v>0</v>
      </c>
      <c r="BP409" s="6">
        <f t="shared" si="40"/>
        <v>0</v>
      </c>
      <c r="BQ409" s="6" t="b">
        <f ca="1">IFERROR(__xludf.DUMMYFUNCTION("IF(AND(ISERROR(FILTER('Items by Team'!D$2:D3410,'Items by Team'!C$2:C3410 = D409,'Items by Team'!B$2:B3410 = B409)),NOT(A409=""Practice"")),TRUE,FALSE)"),FALSE)</f>
        <v>0</v>
      </c>
      <c r="BR409" s="6">
        <f t="shared" ca="1" si="41"/>
        <v>0</v>
      </c>
    </row>
    <row r="410" spans="1:70">
      <c r="A410" s="6"/>
      <c r="B410" s="6"/>
      <c r="C410" s="6"/>
      <c r="D410" s="6"/>
      <c r="E410" s="6"/>
      <c r="F410" s="6"/>
      <c r="G410" s="6"/>
      <c r="H410" s="6"/>
      <c r="I410" s="6"/>
      <c r="J410" s="6"/>
      <c r="K410" s="6"/>
      <c r="L410" s="6"/>
      <c r="M410" s="6"/>
      <c r="N410" s="6"/>
      <c r="O410" s="6"/>
      <c r="P410" s="6"/>
      <c r="R410" s="6"/>
      <c r="S410" s="6"/>
      <c r="T410" s="6"/>
      <c r="U410" s="6"/>
      <c r="V410" s="6"/>
      <c r="W410" s="6"/>
      <c r="X410" s="6"/>
      <c r="Y410" s="6"/>
      <c r="Z410" s="6"/>
      <c r="AA410" s="6"/>
      <c r="AB410" s="6"/>
      <c r="AD410" s="6"/>
      <c r="AE410" s="6"/>
      <c r="AF410" s="6"/>
      <c r="AG410" s="6"/>
      <c r="AH410" s="6"/>
      <c r="AI410" s="6"/>
      <c r="AK410" s="6"/>
      <c r="AL410" s="6"/>
      <c r="AM410" s="6"/>
      <c r="AN410" s="6"/>
      <c r="AO410" s="6"/>
      <c r="AP410" s="6"/>
      <c r="AQ410" s="6"/>
      <c r="AR410" s="6"/>
      <c r="AS410" s="15"/>
      <c r="AT410" s="6" t="str">
        <f ca="1">IFERROR(__xludf.DUMMYFUNCTION("SWITCH(IF(A410=""Practice"",AN410,FILTER('Items by Team'!E$2:E3410,'Items by Team'!C$2:C3410=D410,B410='Items by Team'!B$2:B3410)),""None"",""No"",""Parked"",""P"",""ShallowCage"",""Sc"",""DeepCage"",""Dc"",""No"",""No"",""P"",""P"",""Sc"",""Sc"",""Dc"","&amp;"""Dc"")"),"#REF!")</f>
        <v>#REF!</v>
      </c>
      <c r="AU410" s="6" t="str">
        <f ca="1">IFERROR(__xludf.DUMMYFUNCTION("SWITCH(IF(A410 = ""Practice"", H410, FILTER('Items by Team'!D$2:D3410,'Items by Team'!C$2:C3410 = D410,'Items by Team'!B$2:B3410 = B410)), ""Yes"", ""TRUE"", ""No"", ""FALSE"",TRUE, ""TRUE"", FALSE, ""FALSE"")"),"#REF!")</f>
        <v>#REF!</v>
      </c>
      <c r="AV410" s="6">
        <f t="shared" si="21"/>
        <v>0</v>
      </c>
      <c r="AW410" s="6">
        <f t="shared" si="22"/>
        <v>0</v>
      </c>
      <c r="AX410" s="6">
        <f t="shared" si="23"/>
        <v>0</v>
      </c>
      <c r="AY410" s="6">
        <f t="shared" si="24"/>
        <v>0</v>
      </c>
      <c r="AZ410" s="9" t="str">
        <f t="shared" si="25"/>
        <v/>
      </c>
      <c r="BA410" s="6">
        <f t="shared" si="26"/>
        <v>0</v>
      </c>
      <c r="BB410" s="6">
        <f t="shared" si="27"/>
        <v>0</v>
      </c>
      <c r="BC410" s="9" t="str">
        <f t="shared" si="28"/>
        <v/>
      </c>
      <c r="BD410" s="6">
        <f t="shared" si="29"/>
        <v>0</v>
      </c>
      <c r="BE410" s="6">
        <f t="shared" si="30"/>
        <v>0</v>
      </c>
      <c r="BF410" s="9" t="str">
        <f t="shared" si="31"/>
        <v/>
      </c>
      <c r="BG410" s="6">
        <f t="shared" si="32"/>
        <v>0</v>
      </c>
      <c r="BH410" s="6">
        <f t="shared" si="33"/>
        <v>0</v>
      </c>
      <c r="BI410" s="9" t="str">
        <f t="shared" si="34"/>
        <v/>
      </c>
      <c r="BJ410" s="6">
        <f t="shared" si="35"/>
        <v>0</v>
      </c>
      <c r="BK410" s="6">
        <f t="shared" si="36"/>
        <v>0</v>
      </c>
      <c r="BL410" s="6">
        <f t="shared" si="37"/>
        <v>0</v>
      </c>
      <c r="BM410" s="6">
        <f t="shared" si="38"/>
        <v>0</v>
      </c>
      <c r="BN410" s="6">
        <f t="shared" si="39"/>
        <v>0</v>
      </c>
      <c r="BP410" s="6">
        <f t="shared" si="40"/>
        <v>0</v>
      </c>
      <c r="BQ410" s="6" t="b">
        <f ca="1">IFERROR(__xludf.DUMMYFUNCTION("IF(AND(ISERROR(FILTER('Items by Team'!D$2:D3410,'Items by Team'!C$2:C3410 = D410,'Items by Team'!B$2:B3410 = B410)),NOT(A410=""Practice"")),TRUE,FALSE)"),FALSE)</f>
        <v>0</v>
      </c>
      <c r="BR410" s="6">
        <f t="shared" ca="1" si="41"/>
        <v>0</v>
      </c>
    </row>
    <row r="411" spans="1:70">
      <c r="A411" s="6"/>
      <c r="B411" s="6"/>
      <c r="C411" s="6"/>
      <c r="D411" s="6"/>
      <c r="E411" s="6"/>
      <c r="F411" s="6"/>
      <c r="G411" s="6"/>
      <c r="H411" s="6"/>
      <c r="I411" s="6"/>
      <c r="J411" s="6"/>
      <c r="K411" s="6"/>
      <c r="L411" s="6"/>
      <c r="M411" s="6"/>
      <c r="N411" s="6"/>
      <c r="O411" s="6"/>
      <c r="P411" s="6"/>
      <c r="R411" s="6"/>
      <c r="S411" s="6"/>
      <c r="T411" s="6"/>
      <c r="U411" s="6"/>
      <c r="V411" s="6"/>
      <c r="W411" s="6"/>
      <c r="X411" s="6"/>
      <c r="Y411" s="6"/>
      <c r="Z411" s="6"/>
      <c r="AA411" s="6"/>
      <c r="AB411" s="6"/>
      <c r="AD411" s="6"/>
      <c r="AE411" s="6"/>
      <c r="AF411" s="6"/>
      <c r="AG411" s="6"/>
      <c r="AH411" s="6"/>
      <c r="AI411" s="6"/>
      <c r="AK411" s="6"/>
      <c r="AL411" s="6"/>
      <c r="AM411" s="6"/>
      <c r="AN411" s="6"/>
      <c r="AO411" s="6"/>
      <c r="AP411" s="6"/>
      <c r="AQ411" s="6"/>
      <c r="AR411" s="6"/>
      <c r="AS411" s="15"/>
      <c r="AT411" s="6" t="str">
        <f ca="1">IFERROR(__xludf.DUMMYFUNCTION("SWITCH(IF(A411=""Practice"",AN411,FILTER('Items by Team'!E$2:E3410,'Items by Team'!C$2:C3410=D411,B411='Items by Team'!B$2:B3410)),""None"",""No"",""Parked"",""P"",""ShallowCage"",""Sc"",""DeepCage"",""Dc"",""No"",""No"",""P"",""P"",""Sc"",""Sc"",""Dc"","&amp;"""Dc"")"),"#REF!")</f>
        <v>#REF!</v>
      </c>
      <c r="AU411" s="6" t="str">
        <f ca="1">IFERROR(__xludf.DUMMYFUNCTION("SWITCH(IF(A411 = ""Practice"", H411, FILTER('Items by Team'!D$2:D3410,'Items by Team'!C$2:C3410 = D411,'Items by Team'!B$2:B3410 = B411)), ""Yes"", ""TRUE"", ""No"", ""FALSE"",TRUE, ""TRUE"", FALSE, ""FALSE"")"),"#REF!")</f>
        <v>#REF!</v>
      </c>
      <c r="AV411" s="6">
        <f t="shared" si="21"/>
        <v>0</v>
      </c>
      <c r="AW411" s="6">
        <f t="shared" si="22"/>
        <v>0</v>
      </c>
      <c r="AX411" s="6">
        <f t="shared" si="23"/>
        <v>0</v>
      </c>
      <c r="AY411" s="6">
        <f t="shared" si="24"/>
        <v>0</v>
      </c>
      <c r="AZ411" s="9" t="str">
        <f t="shared" si="25"/>
        <v/>
      </c>
      <c r="BA411" s="6">
        <f t="shared" si="26"/>
        <v>0</v>
      </c>
      <c r="BB411" s="6">
        <f t="shared" si="27"/>
        <v>0</v>
      </c>
      <c r="BC411" s="9" t="str">
        <f t="shared" si="28"/>
        <v/>
      </c>
      <c r="BD411" s="6">
        <f t="shared" si="29"/>
        <v>0</v>
      </c>
      <c r="BE411" s="6">
        <f t="shared" si="30"/>
        <v>0</v>
      </c>
      <c r="BF411" s="9" t="str">
        <f t="shared" si="31"/>
        <v/>
      </c>
      <c r="BG411" s="6">
        <f t="shared" si="32"/>
        <v>0</v>
      </c>
      <c r="BH411" s="6">
        <f t="shared" si="33"/>
        <v>0</v>
      </c>
      <c r="BI411" s="9" t="str">
        <f t="shared" si="34"/>
        <v/>
      </c>
      <c r="BJ411" s="6">
        <f t="shared" si="35"/>
        <v>0</v>
      </c>
      <c r="BK411" s="6">
        <f t="shared" si="36"/>
        <v>0</v>
      </c>
      <c r="BL411" s="6">
        <f t="shared" si="37"/>
        <v>0</v>
      </c>
      <c r="BM411" s="6">
        <f t="shared" si="38"/>
        <v>0</v>
      </c>
      <c r="BN411" s="6">
        <f t="shared" si="39"/>
        <v>0</v>
      </c>
      <c r="BP411" s="6">
        <f t="shared" si="40"/>
        <v>0</v>
      </c>
      <c r="BQ411" s="6" t="b">
        <f ca="1">IFERROR(__xludf.DUMMYFUNCTION("IF(AND(ISERROR(FILTER('Items by Team'!D$2:D3410,'Items by Team'!C$2:C3410 = D411,'Items by Team'!B$2:B3410 = B411)),NOT(A411=""Practice"")),TRUE,FALSE)"),FALSE)</f>
        <v>0</v>
      </c>
      <c r="BR411" s="6">
        <f t="shared" ca="1" si="41"/>
        <v>0</v>
      </c>
    </row>
    <row r="412" spans="1:70">
      <c r="A412" s="6"/>
      <c r="B412" s="6"/>
      <c r="C412" s="6"/>
      <c r="D412" s="6"/>
      <c r="E412" s="6"/>
      <c r="F412" s="6"/>
      <c r="G412" s="6"/>
      <c r="H412" s="6"/>
      <c r="I412" s="6"/>
      <c r="J412" s="6"/>
      <c r="K412" s="6"/>
      <c r="L412" s="6"/>
      <c r="M412" s="6"/>
      <c r="N412" s="6"/>
      <c r="O412" s="6"/>
      <c r="P412" s="6"/>
      <c r="R412" s="6"/>
      <c r="S412" s="6"/>
      <c r="T412" s="6"/>
      <c r="U412" s="6"/>
      <c r="V412" s="6"/>
      <c r="W412" s="6"/>
      <c r="X412" s="6"/>
      <c r="Y412" s="6"/>
      <c r="Z412" s="6"/>
      <c r="AA412" s="6"/>
      <c r="AB412" s="6"/>
      <c r="AD412" s="6"/>
      <c r="AE412" s="6"/>
      <c r="AF412" s="6"/>
      <c r="AG412" s="6"/>
      <c r="AH412" s="6"/>
      <c r="AI412" s="6"/>
      <c r="AK412" s="6"/>
      <c r="AL412" s="6"/>
      <c r="AM412" s="6"/>
      <c r="AN412" s="6"/>
      <c r="AO412" s="6"/>
      <c r="AP412" s="6"/>
      <c r="AQ412" s="6"/>
      <c r="AR412" s="6"/>
      <c r="AS412" s="15"/>
      <c r="AT412" s="6" t="str">
        <f ca="1">IFERROR(__xludf.DUMMYFUNCTION("SWITCH(IF(A412=""Practice"",AN412,FILTER('Items by Team'!E$2:E3410,'Items by Team'!C$2:C3410=D412,B412='Items by Team'!B$2:B3410)),""None"",""No"",""Parked"",""P"",""ShallowCage"",""Sc"",""DeepCage"",""Dc"",""No"",""No"",""P"",""P"",""Sc"",""Sc"",""Dc"","&amp;"""Dc"")"),"#REF!")</f>
        <v>#REF!</v>
      </c>
      <c r="AU412" s="6" t="str">
        <f ca="1">IFERROR(__xludf.DUMMYFUNCTION("SWITCH(IF(A412 = ""Practice"", H412, FILTER('Items by Team'!D$2:D3410,'Items by Team'!C$2:C3410 = D412,'Items by Team'!B$2:B3410 = B412)), ""Yes"", ""TRUE"", ""No"", ""FALSE"",TRUE, ""TRUE"", FALSE, ""FALSE"")"),"#REF!")</f>
        <v>#REF!</v>
      </c>
      <c r="AV412" s="6">
        <f t="shared" si="21"/>
        <v>0</v>
      </c>
      <c r="AW412" s="6">
        <f t="shared" si="22"/>
        <v>0</v>
      </c>
      <c r="AX412" s="6">
        <f t="shared" si="23"/>
        <v>0</v>
      </c>
      <c r="AY412" s="6">
        <f t="shared" si="24"/>
        <v>0</v>
      </c>
      <c r="AZ412" s="9" t="str">
        <f t="shared" si="25"/>
        <v/>
      </c>
      <c r="BA412" s="6">
        <f t="shared" si="26"/>
        <v>0</v>
      </c>
      <c r="BB412" s="6">
        <f t="shared" si="27"/>
        <v>0</v>
      </c>
      <c r="BC412" s="9" t="str">
        <f t="shared" si="28"/>
        <v/>
      </c>
      <c r="BD412" s="6">
        <f t="shared" si="29"/>
        <v>0</v>
      </c>
      <c r="BE412" s="6">
        <f t="shared" si="30"/>
        <v>0</v>
      </c>
      <c r="BF412" s="9" t="str">
        <f t="shared" si="31"/>
        <v/>
      </c>
      <c r="BG412" s="6">
        <f t="shared" si="32"/>
        <v>0</v>
      </c>
      <c r="BH412" s="6">
        <f t="shared" si="33"/>
        <v>0</v>
      </c>
      <c r="BI412" s="9" t="str">
        <f t="shared" si="34"/>
        <v/>
      </c>
      <c r="BJ412" s="6">
        <f t="shared" si="35"/>
        <v>0</v>
      </c>
      <c r="BK412" s="6">
        <f t="shared" si="36"/>
        <v>0</v>
      </c>
      <c r="BL412" s="6">
        <f t="shared" si="37"/>
        <v>0</v>
      </c>
      <c r="BM412" s="6">
        <f t="shared" si="38"/>
        <v>0</v>
      </c>
      <c r="BN412" s="6">
        <f t="shared" si="39"/>
        <v>0</v>
      </c>
      <c r="BP412" s="6">
        <f t="shared" si="40"/>
        <v>0</v>
      </c>
      <c r="BQ412" s="6" t="b">
        <f ca="1">IFERROR(__xludf.DUMMYFUNCTION("IF(AND(ISERROR(FILTER('Items by Team'!D$2:D3410,'Items by Team'!C$2:C3410 = D412,'Items by Team'!B$2:B3410 = B412)),NOT(A412=""Practice"")),TRUE,FALSE)"),FALSE)</f>
        <v>0</v>
      </c>
      <c r="BR412" s="6">
        <f t="shared" ca="1" si="41"/>
        <v>0</v>
      </c>
    </row>
    <row r="413" spans="1:70">
      <c r="A413" s="6"/>
      <c r="B413" s="6"/>
      <c r="C413" s="6"/>
      <c r="D413" s="6"/>
      <c r="E413" s="6"/>
      <c r="F413" s="6"/>
      <c r="G413" s="6"/>
      <c r="H413" s="6"/>
      <c r="I413" s="6"/>
      <c r="J413" s="6"/>
      <c r="K413" s="6"/>
      <c r="L413" s="6"/>
      <c r="M413" s="6"/>
      <c r="N413" s="6"/>
      <c r="O413" s="6"/>
      <c r="P413" s="6"/>
      <c r="R413" s="6"/>
      <c r="S413" s="6"/>
      <c r="T413" s="6"/>
      <c r="U413" s="6"/>
      <c r="V413" s="6"/>
      <c r="W413" s="6"/>
      <c r="X413" s="6"/>
      <c r="Y413" s="6"/>
      <c r="Z413" s="6"/>
      <c r="AA413" s="6"/>
      <c r="AB413" s="6"/>
      <c r="AD413" s="6"/>
      <c r="AE413" s="6"/>
      <c r="AF413" s="6"/>
      <c r="AG413" s="6"/>
      <c r="AH413" s="6"/>
      <c r="AI413" s="6"/>
      <c r="AK413" s="6"/>
      <c r="AL413" s="6"/>
      <c r="AM413" s="6"/>
      <c r="AN413" s="6"/>
      <c r="AO413" s="6"/>
      <c r="AP413" s="6"/>
      <c r="AQ413" s="6"/>
      <c r="AR413" s="6"/>
      <c r="AS413" s="15"/>
      <c r="AT413" s="6" t="str">
        <f ca="1">IFERROR(__xludf.DUMMYFUNCTION("SWITCH(IF(A413=""Practice"",AN413,FILTER('Items by Team'!E$2:E3410,'Items by Team'!C$2:C3410=D413,B413='Items by Team'!B$2:B3410)),""None"",""No"",""Parked"",""P"",""ShallowCage"",""Sc"",""DeepCage"",""Dc"",""No"",""No"",""P"",""P"",""Sc"",""Sc"",""Dc"","&amp;"""Dc"")"),"#REF!")</f>
        <v>#REF!</v>
      </c>
      <c r="AU413" s="6" t="str">
        <f ca="1">IFERROR(__xludf.DUMMYFUNCTION("SWITCH(IF(A413 = ""Practice"", H413, FILTER('Items by Team'!D$2:D3410,'Items by Team'!C$2:C3410 = D413,'Items by Team'!B$2:B3410 = B413)), ""Yes"", ""TRUE"", ""No"", ""FALSE"",TRUE, ""TRUE"", FALSE, ""FALSE"")"),"#REF!")</f>
        <v>#REF!</v>
      </c>
      <c r="AV413" s="6">
        <f t="shared" si="21"/>
        <v>0</v>
      </c>
      <c r="AW413" s="6">
        <f t="shared" si="22"/>
        <v>0</v>
      </c>
      <c r="AX413" s="6">
        <f t="shared" si="23"/>
        <v>0</v>
      </c>
      <c r="AY413" s="6">
        <f t="shared" si="24"/>
        <v>0</v>
      </c>
      <c r="AZ413" s="9" t="str">
        <f t="shared" si="25"/>
        <v/>
      </c>
      <c r="BA413" s="6">
        <f t="shared" si="26"/>
        <v>0</v>
      </c>
      <c r="BB413" s="6">
        <f t="shared" si="27"/>
        <v>0</v>
      </c>
      <c r="BC413" s="9" t="str">
        <f t="shared" si="28"/>
        <v/>
      </c>
      <c r="BD413" s="6">
        <f t="shared" si="29"/>
        <v>0</v>
      </c>
      <c r="BE413" s="6">
        <f t="shared" si="30"/>
        <v>0</v>
      </c>
      <c r="BF413" s="9" t="str">
        <f t="shared" si="31"/>
        <v/>
      </c>
      <c r="BG413" s="6">
        <f t="shared" si="32"/>
        <v>0</v>
      </c>
      <c r="BH413" s="6">
        <f t="shared" si="33"/>
        <v>0</v>
      </c>
      <c r="BI413" s="9" t="str">
        <f t="shared" si="34"/>
        <v/>
      </c>
      <c r="BJ413" s="6">
        <f t="shared" si="35"/>
        <v>0</v>
      </c>
      <c r="BK413" s="6">
        <f t="shared" si="36"/>
        <v>0</v>
      </c>
      <c r="BL413" s="6">
        <f t="shared" si="37"/>
        <v>0</v>
      </c>
      <c r="BM413" s="6">
        <f t="shared" si="38"/>
        <v>0</v>
      </c>
      <c r="BN413" s="6">
        <f t="shared" si="39"/>
        <v>0</v>
      </c>
      <c r="BP413" s="6">
        <f t="shared" si="40"/>
        <v>0</v>
      </c>
      <c r="BQ413" s="6" t="b">
        <f ca="1">IFERROR(__xludf.DUMMYFUNCTION("IF(AND(ISERROR(FILTER('Items by Team'!D$2:D3410,'Items by Team'!C$2:C3410 = D413,'Items by Team'!B$2:B3410 = B413)),NOT(A413=""Practice"")),TRUE,FALSE)"),FALSE)</f>
        <v>0</v>
      </c>
      <c r="BR413" s="6">
        <f t="shared" ca="1" si="41"/>
        <v>0</v>
      </c>
    </row>
    <row r="414" spans="1:70">
      <c r="A414" s="6"/>
      <c r="B414" s="6"/>
      <c r="C414" s="6"/>
      <c r="D414" s="6"/>
      <c r="E414" s="6"/>
      <c r="F414" s="6"/>
      <c r="G414" s="6"/>
      <c r="H414" s="6"/>
      <c r="I414" s="6"/>
      <c r="J414" s="6"/>
      <c r="K414" s="6"/>
      <c r="L414" s="6"/>
      <c r="M414" s="6"/>
      <c r="N414" s="6"/>
      <c r="O414" s="6"/>
      <c r="P414" s="6"/>
      <c r="R414" s="6"/>
      <c r="S414" s="6"/>
      <c r="T414" s="6"/>
      <c r="U414" s="6"/>
      <c r="V414" s="6"/>
      <c r="W414" s="6"/>
      <c r="X414" s="6"/>
      <c r="Y414" s="6"/>
      <c r="Z414" s="6"/>
      <c r="AA414" s="6"/>
      <c r="AB414" s="6"/>
      <c r="AD414" s="6"/>
      <c r="AE414" s="6"/>
      <c r="AF414" s="6"/>
      <c r="AG414" s="6"/>
      <c r="AH414" s="6"/>
      <c r="AI414" s="6"/>
      <c r="AK414" s="6"/>
      <c r="AL414" s="6"/>
      <c r="AM414" s="6"/>
      <c r="AN414" s="6"/>
      <c r="AO414" s="6"/>
      <c r="AP414" s="6"/>
      <c r="AQ414" s="6"/>
      <c r="AR414" s="6"/>
      <c r="AS414" s="15"/>
      <c r="AT414" s="6" t="str">
        <f ca="1">IFERROR(__xludf.DUMMYFUNCTION("SWITCH(IF(A414=""Practice"",AN414,FILTER('Items by Team'!E$2:E3410,'Items by Team'!C$2:C3410=D414,B414='Items by Team'!B$2:B3410)),""None"",""No"",""Parked"",""P"",""ShallowCage"",""Sc"",""DeepCage"",""Dc"",""No"",""No"",""P"",""P"",""Sc"",""Sc"",""Dc"","&amp;"""Dc"")"),"#REF!")</f>
        <v>#REF!</v>
      </c>
      <c r="AU414" s="6" t="str">
        <f ca="1">IFERROR(__xludf.DUMMYFUNCTION("SWITCH(IF(A414 = ""Practice"", H414, FILTER('Items by Team'!D$2:D3410,'Items by Team'!C$2:C3410 = D414,'Items by Team'!B$2:B3410 = B414)), ""Yes"", ""TRUE"", ""No"", ""FALSE"",TRUE, ""TRUE"", FALSE, ""FALSE"")"),"#REF!")</f>
        <v>#REF!</v>
      </c>
      <c r="AV414" s="6">
        <f t="shared" si="21"/>
        <v>0</v>
      </c>
      <c r="AW414" s="6">
        <f t="shared" si="22"/>
        <v>0</v>
      </c>
      <c r="AX414" s="6">
        <f t="shared" si="23"/>
        <v>0</v>
      </c>
      <c r="AY414" s="6">
        <f t="shared" si="24"/>
        <v>0</v>
      </c>
      <c r="AZ414" s="9" t="str">
        <f t="shared" si="25"/>
        <v/>
      </c>
      <c r="BA414" s="6">
        <f t="shared" si="26"/>
        <v>0</v>
      </c>
      <c r="BB414" s="6">
        <f t="shared" si="27"/>
        <v>0</v>
      </c>
      <c r="BC414" s="9" t="str">
        <f t="shared" si="28"/>
        <v/>
      </c>
      <c r="BD414" s="6">
        <f t="shared" si="29"/>
        <v>0</v>
      </c>
      <c r="BE414" s="6">
        <f t="shared" si="30"/>
        <v>0</v>
      </c>
      <c r="BF414" s="9" t="str">
        <f t="shared" si="31"/>
        <v/>
      </c>
      <c r="BG414" s="6">
        <f t="shared" si="32"/>
        <v>0</v>
      </c>
      <c r="BH414" s="6">
        <f t="shared" si="33"/>
        <v>0</v>
      </c>
      <c r="BI414" s="9" t="str">
        <f t="shared" si="34"/>
        <v/>
      </c>
      <c r="BJ414" s="6">
        <f t="shared" si="35"/>
        <v>0</v>
      </c>
      <c r="BK414" s="6">
        <f t="shared" si="36"/>
        <v>0</v>
      </c>
      <c r="BL414" s="6">
        <f t="shared" si="37"/>
        <v>0</v>
      </c>
      <c r="BM414" s="6">
        <f t="shared" si="38"/>
        <v>0</v>
      </c>
      <c r="BN414" s="6">
        <f t="shared" si="39"/>
        <v>0</v>
      </c>
      <c r="BP414" s="6">
        <f t="shared" si="40"/>
        <v>0</v>
      </c>
      <c r="BQ414" s="6" t="b">
        <f ca="1">IFERROR(__xludf.DUMMYFUNCTION("IF(AND(ISERROR(FILTER('Items by Team'!D$2:D3410,'Items by Team'!C$2:C3410 = D414,'Items by Team'!B$2:B3410 = B414)),NOT(A414=""Practice"")),TRUE,FALSE)"),FALSE)</f>
        <v>0</v>
      </c>
      <c r="BR414" s="6">
        <f t="shared" ca="1" si="41"/>
        <v>0</v>
      </c>
    </row>
    <row r="415" spans="1:70">
      <c r="A415" s="6"/>
      <c r="B415" s="6"/>
      <c r="C415" s="6"/>
      <c r="D415" s="6"/>
      <c r="E415" s="6"/>
      <c r="F415" s="6"/>
      <c r="G415" s="6"/>
      <c r="H415" s="6"/>
      <c r="I415" s="6"/>
      <c r="J415" s="6"/>
      <c r="K415" s="6"/>
      <c r="L415" s="6"/>
      <c r="M415" s="6"/>
      <c r="N415" s="6"/>
      <c r="O415" s="6"/>
      <c r="P415" s="6"/>
      <c r="R415" s="6"/>
      <c r="S415" s="6"/>
      <c r="T415" s="6"/>
      <c r="U415" s="6"/>
      <c r="V415" s="6"/>
      <c r="W415" s="6"/>
      <c r="X415" s="6"/>
      <c r="Y415" s="6"/>
      <c r="Z415" s="6"/>
      <c r="AA415" s="6"/>
      <c r="AB415" s="6"/>
      <c r="AD415" s="6"/>
      <c r="AE415" s="6"/>
      <c r="AF415" s="6"/>
      <c r="AG415" s="6"/>
      <c r="AH415" s="6"/>
      <c r="AI415" s="6"/>
      <c r="AK415" s="6"/>
      <c r="AL415" s="6"/>
      <c r="AM415" s="6"/>
      <c r="AN415" s="6"/>
      <c r="AO415" s="6"/>
      <c r="AP415" s="6"/>
      <c r="AQ415" s="6"/>
      <c r="AR415" s="6"/>
      <c r="AS415" s="15"/>
      <c r="AT415" s="6" t="str">
        <f ca="1">IFERROR(__xludf.DUMMYFUNCTION("SWITCH(IF(A415=""Practice"",AN415,FILTER('Items by Team'!E$2:E3410,'Items by Team'!C$2:C3410=D415,B415='Items by Team'!B$2:B3410)),""None"",""No"",""Parked"",""P"",""ShallowCage"",""Sc"",""DeepCage"",""Dc"",""No"",""No"",""P"",""P"",""Sc"",""Sc"",""Dc"","&amp;"""Dc"")"),"#REF!")</f>
        <v>#REF!</v>
      </c>
      <c r="AU415" s="6" t="str">
        <f ca="1">IFERROR(__xludf.DUMMYFUNCTION("SWITCH(IF(A415 = ""Practice"", H415, FILTER('Items by Team'!D$2:D3410,'Items by Team'!C$2:C3410 = D415,'Items by Team'!B$2:B3410 = B415)), ""Yes"", ""TRUE"", ""No"", ""FALSE"",TRUE, ""TRUE"", FALSE, ""FALSE"")"),"#REF!")</f>
        <v>#REF!</v>
      </c>
      <c r="AV415" s="6">
        <f t="shared" si="21"/>
        <v>0</v>
      </c>
      <c r="AW415" s="6">
        <f t="shared" si="22"/>
        <v>0</v>
      </c>
      <c r="AX415" s="6">
        <f t="shared" si="23"/>
        <v>0</v>
      </c>
      <c r="AY415" s="6">
        <f t="shared" si="24"/>
        <v>0</v>
      </c>
      <c r="AZ415" s="9" t="str">
        <f t="shared" si="25"/>
        <v/>
      </c>
      <c r="BA415" s="6">
        <f t="shared" si="26"/>
        <v>0</v>
      </c>
      <c r="BB415" s="6">
        <f t="shared" si="27"/>
        <v>0</v>
      </c>
      <c r="BC415" s="9" t="str">
        <f t="shared" si="28"/>
        <v/>
      </c>
      <c r="BD415" s="6">
        <f t="shared" si="29"/>
        <v>0</v>
      </c>
      <c r="BE415" s="6">
        <f t="shared" si="30"/>
        <v>0</v>
      </c>
      <c r="BF415" s="9" t="str">
        <f t="shared" si="31"/>
        <v/>
      </c>
      <c r="BG415" s="6">
        <f t="shared" si="32"/>
        <v>0</v>
      </c>
      <c r="BH415" s="6">
        <f t="shared" si="33"/>
        <v>0</v>
      </c>
      <c r="BI415" s="9" t="str">
        <f t="shared" si="34"/>
        <v/>
      </c>
      <c r="BJ415" s="6">
        <f t="shared" si="35"/>
        <v>0</v>
      </c>
      <c r="BK415" s="6">
        <f t="shared" si="36"/>
        <v>0</v>
      </c>
      <c r="BL415" s="6">
        <f t="shared" si="37"/>
        <v>0</v>
      </c>
      <c r="BM415" s="6">
        <f t="shared" si="38"/>
        <v>0</v>
      </c>
      <c r="BN415" s="6">
        <f t="shared" si="39"/>
        <v>0</v>
      </c>
      <c r="BP415" s="6">
        <f t="shared" si="40"/>
        <v>0</v>
      </c>
      <c r="BQ415" s="6" t="b">
        <f ca="1">IFERROR(__xludf.DUMMYFUNCTION("IF(AND(ISERROR(FILTER('Items by Team'!D$2:D3410,'Items by Team'!C$2:C3410 = D415,'Items by Team'!B$2:B3410 = B415)),NOT(A415=""Practice"")),TRUE,FALSE)"),FALSE)</f>
        <v>0</v>
      </c>
      <c r="BR415" s="6">
        <f t="shared" ca="1" si="41"/>
        <v>0</v>
      </c>
    </row>
    <row r="416" spans="1:70">
      <c r="A416" s="6"/>
      <c r="B416" s="6"/>
      <c r="C416" s="6"/>
      <c r="D416" s="6"/>
      <c r="E416" s="6"/>
      <c r="F416" s="6"/>
      <c r="G416" s="6"/>
      <c r="H416" s="6"/>
      <c r="I416" s="6"/>
      <c r="J416" s="6"/>
      <c r="K416" s="6"/>
      <c r="L416" s="6"/>
      <c r="M416" s="6"/>
      <c r="N416" s="6"/>
      <c r="O416" s="6"/>
      <c r="P416" s="6"/>
      <c r="R416" s="6"/>
      <c r="S416" s="6"/>
      <c r="T416" s="6"/>
      <c r="U416" s="6"/>
      <c r="V416" s="6"/>
      <c r="W416" s="6"/>
      <c r="X416" s="6"/>
      <c r="Y416" s="6"/>
      <c r="Z416" s="6"/>
      <c r="AA416" s="6"/>
      <c r="AB416" s="6"/>
      <c r="AD416" s="6"/>
      <c r="AE416" s="6"/>
      <c r="AF416" s="6"/>
      <c r="AG416" s="6"/>
      <c r="AH416" s="6"/>
      <c r="AI416" s="6"/>
      <c r="AK416" s="6"/>
      <c r="AL416" s="6"/>
      <c r="AM416" s="6"/>
      <c r="AN416" s="6"/>
      <c r="AO416" s="6"/>
      <c r="AP416" s="6"/>
      <c r="AQ416" s="6"/>
      <c r="AR416" s="6"/>
      <c r="AS416" s="15"/>
      <c r="AT416" s="6" t="str">
        <f ca="1">IFERROR(__xludf.DUMMYFUNCTION("SWITCH(IF(A416=""Practice"",AN416,FILTER('Items by Team'!E$2:E3410,'Items by Team'!C$2:C3410=D416,B416='Items by Team'!B$2:B3410)),""None"",""No"",""Parked"",""P"",""ShallowCage"",""Sc"",""DeepCage"",""Dc"",""No"",""No"",""P"",""P"",""Sc"",""Sc"",""Dc"","&amp;"""Dc"")"),"#REF!")</f>
        <v>#REF!</v>
      </c>
      <c r="AU416" s="6" t="str">
        <f ca="1">IFERROR(__xludf.DUMMYFUNCTION("SWITCH(IF(A416 = ""Practice"", H416, FILTER('Items by Team'!D$2:D3410,'Items by Team'!C$2:C3410 = D416,'Items by Team'!B$2:B3410 = B416)), ""Yes"", ""TRUE"", ""No"", ""FALSE"",TRUE, ""TRUE"", FALSE, ""FALSE"")"),"#REF!")</f>
        <v>#REF!</v>
      </c>
      <c r="AV416" s="6">
        <f t="shared" si="21"/>
        <v>0</v>
      </c>
      <c r="AW416" s="6">
        <f t="shared" si="22"/>
        <v>0</v>
      </c>
      <c r="AX416" s="6">
        <f t="shared" si="23"/>
        <v>0</v>
      </c>
      <c r="AY416" s="6">
        <f t="shared" si="24"/>
        <v>0</v>
      </c>
      <c r="AZ416" s="9" t="str">
        <f t="shared" si="25"/>
        <v/>
      </c>
      <c r="BA416" s="6">
        <f t="shared" si="26"/>
        <v>0</v>
      </c>
      <c r="BB416" s="6">
        <f t="shared" si="27"/>
        <v>0</v>
      </c>
      <c r="BC416" s="9" t="str">
        <f t="shared" si="28"/>
        <v/>
      </c>
      <c r="BD416" s="6">
        <f t="shared" si="29"/>
        <v>0</v>
      </c>
      <c r="BE416" s="6">
        <f t="shared" si="30"/>
        <v>0</v>
      </c>
      <c r="BF416" s="9" t="str">
        <f t="shared" si="31"/>
        <v/>
      </c>
      <c r="BG416" s="6">
        <f t="shared" si="32"/>
        <v>0</v>
      </c>
      <c r="BH416" s="6">
        <f t="shared" si="33"/>
        <v>0</v>
      </c>
      <c r="BI416" s="9" t="str">
        <f t="shared" si="34"/>
        <v/>
      </c>
      <c r="BJ416" s="6">
        <f t="shared" si="35"/>
        <v>0</v>
      </c>
      <c r="BK416" s="6">
        <f t="shared" si="36"/>
        <v>0</v>
      </c>
      <c r="BL416" s="6">
        <f t="shared" si="37"/>
        <v>0</v>
      </c>
      <c r="BM416" s="6">
        <f t="shared" si="38"/>
        <v>0</v>
      </c>
      <c r="BN416" s="6">
        <f t="shared" si="39"/>
        <v>0</v>
      </c>
      <c r="BP416" s="6">
        <f t="shared" si="40"/>
        <v>0</v>
      </c>
      <c r="BQ416" s="6" t="b">
        <f ca="1">IFERROR(__xludf.DUMMYFUNCTION("IF(AND(ISERROR(FILTER('Items by Team'!D$2:D3410,'Items by Team'!C$2:C3410 = D416,'Items by Team'!B$2:B3410 = B416)),NOT(A416=""Practice"")),TRUE,FALSE)"),FALSE)</f>
        <v>0</v>
      </c>
      <c r="BR416" s="6">
        <f t="shared" ca="1" si="41"/>
        <v>0</v>
      </c>
    </row>
    <row r="417" spans="1:70">
      <c r="A417" s="6"/>
      <c r="B417" s="6"/>
      <c r="C417" s="6"/>
      <c r="D417" s="6"/>
      <c r="E417" s="6"/>
      <c r="F417" s="6"/>
      <c r="G417" s="6"/>
      <c r="H417" s="6"/>
      <c r="I417" s="6"/>
      <c r="J417" s="6"/>
      <c r="K417" s="6"/>
      <c r="L417" s="6"/>
      <c r="M417" s="6"/>
      <c r="N417" s="6"/>
      <c r="O417" s="6"/>
      <c r="P417" s="6"/>
      <c r="R417" s="6"/>
      <c r="S417" s="6"/>
      <c r="T417" s="6"/>
      <c r="U417" s="6"/>
      <c r="V417" s="6"/>
      <c r="W417" s="6"/>
      <c r="X417" s="6"/>
      <c r="Y417" s="6"/>
      <c r="Z417" s="6"/>
      <c r="AA417" s="6"/>
      <c r="AB417" s="6"/>
      <c r="AD417" s="6"/>
      <c r="AE417" s="6"/>
      <c r="AF417" s="6"/>
      <c r="AG417" s="6"/>
      <c r="AH417" s="6"/>
      <c r="AI417" s="6"/>
      <c r="AK417" s="6"/>
      <c r="AL417" s="6"/>
      <c r="AM417" s="6"/>
      <c r="AN417" s="6"/>
      <c r="AO417" s="6"/>
      <c r="AP417" s="6"/>
      <c r="AQ417" s="6"/>
      <c r="AR417" s="6"/>
      <c r="AS417" s="15"/>
      <c r="AT417" s="6" t="str">
        <f ca="1">IFERROR(__xludf.DUMMYFUNCTION("SWITCH(IF(A417=""Practice"",AN417,FILTER('Items by Team'!E$2:E3410,'Items by Team'!C$2:C3410=D417,B417='Items by Team'!B$2:B3410)),""None"",""No"",""Parked"",""P"",""ShallowCage"",""Sc"",""DeepCage"",""Dc"",""No"",""No"",""P"",""P"",""Sc"",""Sc"",""Dc"","&amp;"""Dc"")"),"#REF!")</f>
        <v>#REF!</v>
      </c>
      <c r="AU417" s="6" t="str">
        <f ca="1">IFERROR(__xludf.DUMMYFUNCTION("SWITCH(IF(A417 = ""Practice"", H417, FILTER('Items by Team'!D$2:D3410,'Items by Team'!C$2:C3410 = D417,'Items by Team'!B$2:B3410 = B417)), ""Yes"", ""TRUE"", ""No"", ""FALSE"",TRUE, ""TRUE"", FALSE, ""FALSE"")"),"#REF!")</f>
        <v>#REF!</v>
      </c>
      <c r="AV417" s="6">
        <f t="shared" si="21"/>
        <v>0</v>
      </c>
      <c r="AW417" s="6">
        <f t="shared" si="22"/>
        <v>0</v>
      </c>
      <c r="AX417" s="6">
        <f t="shared" si="23"/>
        <v>0</v>
      </c>
      <c r="AY417" s="6">
        <f t="shared" si="24"/>
        <v>0</v>
      </c>
      <c r="AZ417" s="9" t="str">
        <f t="shared" si="25"/>
        <v/>
      </c>
      <c r="BA417" s="6">
        <f t="shared" si="26"/>
        <v>0</v>
      </c>
      <c r="BB417" s="6">
        <f t="shared" si="27"/>
        <v>0</v>
      </c>
      <c r="BC417" s="9" t="str">
        <f t="shared" si="28"/>
        <v/>
      </c>
      <c r="BD417" s="6">
        <f t="shared" si="29"/>
        <v>0</v>
      </c>
      <c r="BE417" s="6">
        <f t="shared" si="30"/>
        <v>0</v>
      </c>
      <c r="BF417" s="9" t="str">
        <f t="shared" si="31"/>
        <v/>
      </c>
      <c r="BG417" s="6">
        <f t="shared" si="32"/>
        <v>0</v>
      </c>
      <c r="BH417" s="6">
        <f t="shared" si="33"/>
        <v>0</v>
      </c>
      <c r="BI417" s="9" t="str">
        <f t="shared" si="34"/>
        <v/>
      </c>
      <c r="BJ417" s="6">
        <f t="shared" si="35"/>
        <v>0</v>
      </c>
      <c r="BK417" s="6">
        <f t="shared" si="36"/>
        <v>0</v>
      </c>
      <c r="BL417" s="6">
        <f t="shared" si="37"/>
        <v>0</v>
      </c>
      <c r="BM417" s="6">
        <f t="shared" si="38"/>
        <v>0</v>
      </c>
      <c r="BN417" s="6">
        <f t="shared" si="39"/>
        <v>0</v>
      </c>
      <c r="BP417" s="6">
        <f t="shared" si="40"/>
        <v>0</v>
      </c>
      <c r="BQ417" s="6" t="b">
        <f ca="1">IFERROR(__xludf.DUMMYFUNCTION("IF(AND(ISERROR(FILTER('Items by Team'!D$2:D3410,'Items by Team'!C$2:C3410 = D417,'Items by Team'!B$2:B3410 = B417)),NOT(A417=""Practice"")),TRUE,FALSE)"),FALSE)</f>
        <v>0</v>
      </c>
      <c r="BR417" s="6">
        <f t="shared" ca="1" si="41"/>
        <v>0</v>
      </c>
    </row>
    <row r="418" spans="1:70">
      <c r="A418" s="6"/>
      <c r="B418" s="6"/>
      <c r="C418" s="6"/>
      <c r="D418" s="6"/>
      <c r="E418" s="6"/>
      <c r="F418" s="6"/>
      <c r="G418" s="6"/>
      <c r="H418" s="6"/>
      <c r="I418" s="6"/>
      <c r="J418" s="6"/>
      <c r="K418" s="6"/>
      <c r="L418" s="6"/>
      <c r="M418" s="6"/>
      <c r="N418" s="6"/>
      <c r="O418" s="6"/>
      <c r="P418" s="6"/>
      <c r="R418" s="6"/>
      <c r="S418" s="6"/>
      <c r="T418" s="6"/>
      <c r="U418" s="6"/>
      <c r="V418" s="6"/>
      <c r="W418" s="6"/>
      <c r="X418" s="6"/>
      <c r="Y418" s="6"/>
      <c r="Z418" s="6"/>
      <c r="AA418" s="6"/>
      <c r="AB418" s="6"/>
      <c r="AD418" s="6"/>
      <c r="AE418" s="6"/>
      <c r="AF418" s="6"/>
      <c r="AG418" s="6"/>
      <c r="AH418" s="6"/>
      <c r="AI418" s="6"/>
      <c r="AK418" s="6"/>
      <c r="AL418" s="6"/>
      <c r="AM418" s="6"/>
      <c r="AN418" s="6"/>
      <c r="AO418" s="6"/>
      <c r="AP418" s="6"/>
      <c r="AQ418" s="6"/>
      <c r="AR418" s="6"/>
      <c r="AS418" s="15"/>
      <c r="AT418" s="6" t="str">
        <f ca="1">IFERROR(__xludf.DUMMYFUNCTION("SWITCH(IF(A418=""Practice"",AN418,FILTER('Items by Team'!E$2:E3410,'Items by Team'!C$2:C3410=D418,B418='Items by Team'!B$2:B3410)),""None"",""No"",""Parked"",""P"",""ShallowCage"",""Sc"",""DeepCage"",""Dc"",""No"",""No"",""P"",""P"",""Sc"",""Sc"",""Dc"","&amp;"""Dc"")"),"#REF!")</f>
        <v>#REF!</v>
      </c>
      <c r="AU418" s="6" t="str">
        <f ca="1">IFERROR(__xludf.DUMMYFUNCTION("SWITCH(IF(A418 = ""Practice"", H418, FILTER('Items by Team'!D$2:D3410,'Items by Team'!C$2:C3410 = D418,'Items by Team'!B$2:B3410 = B418)), ""Yes"", ""TRUE"", ""No"", ""FALSE"",TRUE, ""TRUE"", FALSE, ""FALSE"")"),"#REF!")</f>
        <v>#REF!</v>
      </c>
      <c r="AV418" s="6">
        <f t="shared" si="21"/>
        <v>0</v>
      </c>
      <c r="AW418" s="6">
        <f t="shared" si="22"/>
        <v>0</v>
      </c>
      <c r="AX418" s="6">
        <f t="shared" si="23"/>
        <v>0</v>
      </c>
      <c r="AY418" s="6">
        <f t="shared" si="24"/>
        <v>0</v>
      </c>
      <c r="AZ418" s="9" t="str">
        <f t="shared" si="25"/>
        <v/>
      </c>
      <c r="BA418" s="6">
        <f t="shared" si="26"/>
        <v>0</v>
      </c>
      <c r="BB418" s="6">
        <f t="shared" si="27"/>
        <v>0</v>
      </c>
      <c r="BC418" s="9" t="str">
        <f t="shared" si="28"/>
        <v/>
      </c>
      <c r="BD418" s="6">
        <f t="shared" si="29"/>
        <v>0</v>
      </c>
      <c r="BE418" s="6">
        <f t="shared" si="30"/>
        <v>0</v>
      </c>
      <c r="BF418" s="9" t="str">
        <f t="shared" si="31"/>
        <v/>
      </c>
      <c r="BG418" s="6">
        <f t="shared" si="32"/>
        <v>0</v>
      </c>
      <c r="BH418" s="6">
        <f t="shared" si="33"/>
        <v>0</v>
      </c>
      <c r="BI418" s="9" t="str">
        <f t="shared" si="34"/>
        <v/>
      </c>
      <c r="BJ418" s="6">
        <f t="shared" si="35"/>
        <v>0</v>
      </c>
      <c r="BK418" s="6">
        <f t="shared" si="36"/>
        <v>0</v>
      </c>
      <c r="BL418" s="6">
        <f t="shared" si="37"/>
        <v>0</v>
      </c>
      <c r="BM418" s="6">
        <f t="shared" si="38"/>
        <v>0</v>
      </c>
      <c r="BN418" s="6">
        <f t="shared" si="39"/>
        <v>0</v>
      </c>
      <c r="BP418" s="6">
        <f t="shared" si="40"/>
        <v>0</v>
      </c>
      <c r="BQ418" s="6" t="b">
        <f ca="1">IFERROR(__xludf.DUMMYFUNCTION("IF(AND(ISERROR(FILTER('Items by Team'!D$2:D3410,'Items by Team'!C$2:C3410 = D418,'Items by Team'!B$2:B3410 = B418)),NOT(A418=""Practice"")),TRUE,FALSE)"),FALSE)</f>
        <v>0</v>
      </c>
      <c r="BR418" s="6">
        <f t="shared" ca="1" si="41"/>
        <v>0</v>
      </c>
    </row>
    <row r="419" spans="1:70">
      <c r="A419" s="6"/>
      <c r="B419" s="6"/>
      <c r="C419" s="6"/>
      <c r="D419" s="6"/>
      <c r="E419" s="6"/>
      <c r="F419" s="6"/>
      <c r="G419" s="6"/>
      <c r="H419" s="6"/>
      <c r="I419" s="6"/>
      <c r="J419" s="6"/>
      <c r="K419" s="6"/>
      <c r="L419" s="6"/>
      <c r="M419" s="6"/>
      <c r="N419" s="6"/>
      <c r="O419" s="6"/>
      <c r="P419" s="6"/>
      <c r="R419" s="6"/>
      <c r="S419" s="6"/>
      <c r="T419" s="6"/>
      <c r="U419" s="6"/>
      <c r="V419" s="6"/>
      <c r="W419" s="6"/>
      <c r="X419" s="6"/>
      <c r="Y419" s="6"/>
      <c r="Z419" s="6"/>
      <c r="AA419" s="6"/>
      <c r="AB419" s="6"/>
      <c r="AD419" s="6"/>
      <c r="AE419" s="6"/>
      <c r="AF419" s="6"/>
      <c r="AG419" s="6"/>
      <c r="AH419" s="6"/>
      <c r="AI419" s="6"/>
      <c r="AK419" s="6"/>
      <c r="AL419" s="6"/>
      <c r="AM419" s="6"/>
      <c r="AN419" s="6"/>
      <c r="AO419" s="6"/>
      <c r="AP419" s="6"/>
      <c r="AQ419" s="6"/>
      <c r="AR419" s="6"/>
      <c r="AS419" s="15"/>
      <c r="AT419" s="6" t="str">
        <f ca="1">IFERROR(__xludf.DUMMYFUNCTION("SWITCH(IF(A419=""Practice"",AN419,FILTER('Items by Team'!E$2:E3410,'Items by Team'!C$2:C3410=D419,B419='Items by Team'!B$2:B3410)),""None"",""No"",""Parked"",""P"",""ShallowCage"",""Sc"",""DeepCage"",""Dc"",""No"",""No"",""P"",""P"",""Sc"",""Sc"",""Dc"","&amp;"""Dc"")"),"#REF!")</f>
        <v>#REF!</v>
      </c>
      <c r="AU419" s="6" t="str">
        <f ca="1">IFERROR(__xludf.DUMMYFUNCTION("SWITCH(IF(A419 = ""Practice"", H419, FILTER('Items by Team'!D$2:D3410,'Items by Team'!C$2:C3410 = D419,'Items by Team'!B$2:B3410 = B419)), ""Yes"", ""TRUE"", ""No"", ""FALSE"",TRUE, ""TRUE"", FALSE, ""FALSE"")"),"#REF!")</f>
        <v>#REF!</v>
      </c>
      <c r="AV419" s="6">
        <f t="shared" si="21"/>
        <v>0</v>
      </c>
      <c r="AW419" s="6">
        <f t="shared" si="22"/>
        <v>0</v>
      </c>
      <c r="AX419" s="6">
        <f t="shared" si="23"/>
        <v>0</v>
      </c>
      <c r="AY419" s="6">
        <f t="shared" si="24"/>
        <v>0</v>
      </c>
      <c r="AZ419" s="9" t="str">
        <f t="shared" si="25"/>
        <v/>
      </c>
      <c r="BA419" s="6">
        <f t="shared" si="26"/>
        <v>0</v>
      </c>
      <c r="BB419" s="6">
        <f t="shared" si="27"/>
        <v>0</v>
      </c>
      <c r="BC419" s="9" t="str">
        <f t="shared" si="28"/>
        <v/>
      </c>
      <c r="BD419" s="6">
        <f t="shared" si="29"/>
        <v>0</v>
      </c>
      <c r="BE419" s="6">
        <f t="shared" si="30"/>
        <v>0</v>
      </c>
      <c r="BF419" s="9" t="str">
        <f t="shared" si="31"/>
        <v/>
      </c>
      <c r="BG419" s="6">
        <f t="shared" si="32"/>
        <v>0</v>
      </c>
      <c r="BH419" s="6">
        <f t="shared" si="33"/>
        <v>0</v>
      </c>
      <c r="BI419" s="9" t="str">
        <f t="shared" si="34"/>
        <v/>
      </c>
      <c r="BJ419" s="6">
        <f t="shared" si="35"/>
        <v>0</v>
      </c>
      <c r="BK419" s="6">
        <f t="shared" si="36"/>
        <v>0</v>
      </c>
      <c r="BL419" s="6">
        <f t="shared" si="37"/>
        <v>0</v>
      </c>
      <c r="BM419" s="6">
        <f t="shared" si="38"/>
        <v>0</v>
      </c>
      <c r="BN419" s="6">
        <f t="shared" si="39"/>
        <v>0</v>
      </c>
      <c r="BP419" s="6">
        <f t="shared" si="40"/>
        <v>0</v>
      </c>
      <c r="BQ419" s="6" t="b">
        <f ca="1">IFERROR(__xludf.DUMMYFUNCTION("IF(AND(ISERROR(FILTER('Items by Team'!D$2:D3410,'Items by Team'!C$2:C3410 = D419,'Items by Team'!B$2:B3410 = B419)),NOT(A419=""Practice"")),TRUE,FALSE)"),FALSE)</f>
        <v>0</v>
      </c>
      <c r="BR419" s="6">
        <f t="shared" ca="1" si="41"/>
        <v>0</v>
      </c>
    </row>
    <row r="420" spans="1:70">
      <c r="A420" s="6"/>
      <c r="B420" s="6"/>
      <c r="C420" s="6"/>
      <c r="D420" s="6"/>
      <c r="E420" s="6"/>
      <c r="F420" s="6"/>
      <c r="G420" s="6"/>
      <c r="H420" s="6"/>
      <c r="I420" s="6"/>
      <c r="J420" s="6"/>
      <c r="K420" s="6"/>
      <c r="L420" s="6"/>
      <c r="M420" s="6"/>
      <c r="N420" s="6"/>
      <c r="O420" s="6"/>
      <c r="P420" s="6"/>
      <c r="R420" s="6"/>
      <c r="S420" s="6"/>
      <c r="T420" s="6"/>
      <c r="U420" s="6"/>
      <c r="V420" s="6"/>
      <c r="W420" s="6"/>
      <c r="X420" s="6"/>
      <c r="Y420" s="6"/>
      <c r="Z420" s="6"/>
      <c r="AA420" s="6"/>
      <c r="AB420" s="6"/>
      <c r="AD420" s="6"/>
      <c r="AE420" s="6"/>
      <c r="AF420" s="6"/>
      <c r="AG420" s="6"/>
      <c r="AH420" s="6"/>
      <c r="AI420" s="6"/>
      <c r="AK420" s="6"/>
      <c r="AL420" s="6"/>
      <c r="AM420" s="6"/>
      <c r="AN420" s="6"/>
      <c r="AO420" s="6"/>
      <c r="AP420" s="6"/>
      <c r="AQ420" s="6"/>
      <c r="AR420" s="6"/>
      <c r="AS420" s="15"/>
      <c r="AT420" s="6" t="str">
        <f ca="1">IFERROR(__xludf.DUMMYFUNCTION("SWITCH(IF(A420=""Practice"",AN420,FILTER('Items by Team'!E$2:E3410,'Items by Team'!C$2:C3410=D420,B420='Items by Team'!B$2:B3410)),""None"",""No"",""Parked"",""P"",""ShallowCage"",""Sc"",""DeepCage"",""Dc"",""No"",""No"",""P"",""P"",""Sc"",""Sc"",""Dc"","&amp;"""Dc"")"),"#REF!")</f>
        <v>#REF!</v>
      </c>
      <c r="AU420" s="6" t="str">
        <f ca="1">IFERROR(__xludf.DUMMYFUNCTION("SWITCH(IF(A420 = ""Practice"", H420, FILTER('Items by Team'!D$2:D3410,'Items by Team'!C$2:C3410 = D420,'Items by Team'!B$2:B3410 = B420)), ""Yes"", ""TRUE"", ""No"", ""FALSE"",TRUE, ""TRUE"", FALSE, ""FALSE"")"),"#REF!")</f>
        <v>#REF!</v>
      </c>
      <c r="AV420" s="6">
        <f t="shared" si="21"/>
        <v>0</v>
      </c>
      <c r="AW420" s="6">
        <f t="shared" si="22"/>
        <v>0</v>
      </c>
      <c r="AX420" s="6">
        <f t="shared" si="23"/>
        <v>0</v>
      </c>
      <c r="AY420" s="6">
        <f t="shared" si="24"/>
        <v>0</v>
      </c>
      <c r="AZ420" s="9" t="str">
        <f t="shared" si="25"/>
        <v/>
      </c>
      <c r="BA420" s="6">
        <f t="shared" si="26"/>
        <v>0</v>
      </c>
      <c r="BB420" s="6">
        <f t="shared" si="27"/>
        <v>0</v>
      </c>
      <c r="BC420" s="9" t="str">
        <f t="shared" si="28"/>
        <v/>
      </c>
      <c r="BD420" s="6">
        <f t="shared" si="29"/>
        <v>0</v>
      </c>
      <c r="BE420" s="6">
        <f t="shared" si="30"/>
        <v>0</v>
      </c>
      <c r="BF420" s="9" t="str">
        <f t="shared" si="31"/>
        <v/>
      </c>
      <c r="BG420" s="6">
        <f t="shared" si="32"/>
        <v>0</v>
      </c>
      <c r="BH420" s="6">
        <f t="shared" si="33"/>
        <v>0</v>
      </c>
      <c r="BI420" s="9" t="str">
        <f t="shared" si="34"/>
        <v/>
      </c>
      <c r="BJ420" s="6">
        <f t="shared" si="35"/>
        <v>0</v>
      </c>
      <c r="BK420" s="6">
        <f t="shared" si="36"/>
        <v>0</v>
      </c>
      <c r="BL420" s="6">
        <f t="shared" si="37"/>
        <v>0</v>
      </c>
      <c r="BM420" s="6">
        <f t="shared" si="38"/>
        <v>0</v>
      </c>
      <c r="BN420" s="6">
        <f t="shared" si="39"/>
        <v>0</v>
      </c>
      <c r="BP420" s="6">
        <f t="shared" si="40"/>
        <v>0</v>
      </c>
      <c r="BQ420" s="6" t="b">
        <f ca="1">IFERROR(__xludf.DUMMYFUNCTION("IF(AND(ISERROR(FILTER('Items by Team'!D$2:D3410,'Items by Team'!C$2:C3410 = D420,'Items by Team'!B$2:B3410 = B420)),NOT(A420=""Practice"")),TRUE,FALSE)"),FALSE)</f>
        <v>0</v>
      </c>
      <c r="BR420" s="6">
        <f t="shared" ca="1" si="41"/>
        <v>0</v>
      </c>
    </row>
    <row r="421" spans="1:70">
      <c r="A421" s="6"/>
      <c r="B421" s="6"/>
      <c r="C421" s="6"/>
      <c r="D421" s="6"/>
      <c r="E421" s="6"/>
      <c r="F421" s="6"/>
      <c r="G421" s="6"/>
      <c r="H421" s="6"/>
      <c r="I421" s="6"/>
      <c r="J421" s="6"/>
      <c r="K421" s="6"/>
      <c r="L421" s="6"/>
      <c r="M421" s="6"/>
      <c r="N421" s="6"/>
      <c r="O421" s="6"/>
      <c r="P421" s="6"/>
      <c r="R421" s="6"/>
      <c r="S421" s="6"/>
      <c r="T421" s="6"/>
      <c r="U421" s="6"/>
      <c r="V421" s="6"/>
      <c r="W421" s="6"/>
      <c r="X421" s="6"/>
      <c r="Y421" s="6"/>
      <c r="Z421" s="6"/>
      <c r="AA421" s="6"/>
      <c r="AB421" s="6"/>
      <c r="AD421" s="6"/>
      <c r="AE421" s="6"/>
      <c r="AF421" s="6"/>
      <c r="AG421" s="6"/>
      <c r="AH421" s="6"/>
      <c r="AI421" s="6"/>
      <c r="AK421" s="6"/>
      <c r="AL421" s="6"/>
      <c r="AM421" s="6"/>
      <c r="AN421" s="6"/>
      <c r="AO421" s="6"/>
      <c r="AP421" s="6"/>
      <c r="AQ421" s="6"/>
      <c r="AR421" s="6"/>
      <c r="AS421" s="15"/>
      <c r="AT421" s="6" t="str">
        <f ca="1">IFERROR(__xludf.DUMMYFUNCTION("SWITCH(IF(A421=""Practice"",AN421,FILTER('Items by Team'!E$2:E3410,'Items by Team'!C$2:C3410=D421,B421='Items by Team'!B$2:B3410)),""None"",""No"",""Parked"",""P"",""ShallowCage"",""Sc"",""DeepCage"",""Dc"",""No"",""No"",""P"",""P"",""Sc"",""Sc"",""Dc"","&amp;"""Dc"")"),"#REF!")</f>
        <v>#REF!</v>
      </c>
      <c r="AU421" s="6" t="str">
        <f ca="1">IFERROR(__xludf.DUMMYFUNCTION("SWITCH(IF(A421 = ""Practice"", H421, FILTER('Items by Team'!D$2:D3410,'Items by Team'!C$2:C3410 = D421,'Items by Team'!B$2:B3410 = B421)), ""Yes"", ""TRUE"", ""No"", ""FALSE"",TRUE, ""TRUE"", FALSE, ""FALSE"")"),"#REF!")</f>
        <v>#REF!</v>
      </c>
      <c r="AV421" s="6">
        <f t="shared" si="21"/>
        <v>0</v>
      </c>
      <c r="AW421" s="6">
        <f t="shared" si="22"/>
        <v>0</v>
      </c>
      <c r="AX421" s="6">
        <f t="shared" si="23"/>
        <v>0</v>
      </c>
      <c r="AY421" s="6">
        <f t="shared" si="24"/>
        <v>0</v>
      </c>
      <c r="AZ421" s="9" t="str">
        <f t="shared" si="25"/>
        <v/>
      </c>
      <c r="BA421" s="6">
        <f t="shared" si="26"/>
        <v>0</v>
      </c>
      <c r="BB421" s="6">
        <f t="shared" si="27"/>
        <v>0</v>
      </c>
      <c r="BC421" s="9" t="str">
        <f t="shared" si="28"/>
        <v/>
      </c>
      <c r="BD421" s="6">
        <f t="shared" si="29"/>
        <v>0</v>
      </c>
      <c r="BE421" s="6">
        <f t="shared" si="30"/>
        <v>0</v>
      </c>
      <c r="BF421" s="9" t="str">
        <f t="shared" si="31"/>
        <v/>
      </c>
      <c r="BG421" s="6">
        <f t="shared" si="32"/>
        <v>0</v>
      </c>
      <c r="BH421" s="6">
        <f t="shared" si="33"/>
        <v>0</v>
      </c>
      <c r="BI421" s="9" t="str">
        <f t="shared" si="34"/>
        <v/>
      </c>
      <c r="BJ421" s="6">
        <f t="shared" si="35"/>
        <v>0</v>
      </c>
      <c r="BK421" s="6">
        <f t="shared" si="36"/>
        <v>0</v>
      </c>
      <c r="BL421" s="6">
        <f t="shared" si="37"/>
        <v>0</v>
      </c>
      <c r="BM421" s="6">
        <f t="shared" si="38"/>
        <v>0</v>
      </c>
      <c r="BN421" s="6">
        <f t="shared" si="39"/>
        <v>0</v>
      </c>
      <c r="BP421" s="6">
        <f t="shared" si="40"/>
        <v>0</v>
      </c>
      <c r="BQ421" s="6" t="b">
        <f ca="1">IFERROR(__xludf.DUMMYFUNCTION("IF(AND(ISERROR(FILTER('Items by Team'!D$2:D3410,'Items by Team'!C$2:C3410 = D421,'Items by Team'!B$2:B3410 = B421)),NOT(A421=""Practice"")),TRUE,FALSE)"),FALSE)</f>
        <v>0</v>
      </c>
      <c r="BR421" s="6">
        <f t="shared" ca="1" si="41"/>
        <v>0</v>
      </c>
    </row>
    <row r="422" spans="1:70">
      <c r="A422" s="6"/>
      <c r="B422" s="6"/>
      <c r="C422" s="6"/>
      <c r="D422" s="6"/>
      <c r="E422" s="6"/>
      <c r="F422" s="6"/>
      <c r="G422" s="6"/>
      <c r="H422" s="6"/>
      <c r="I422" s="6"/>
      <c r="J422" s="6"/>
      <c r="K422" s="6"/>
      <c r="L422" s="6"/>
      <c r="M422" s="6"/>
      <c r="N422" s="6"/>
      <c r="O422" s="6"/>
      <c r="P422" s="6"/>
      <c r="R422" s="6"/>
      <c r="S422" s="6"/>
      <c r="T422" s="6"/>
      <c r="U422" s="6"/>
      <c r="V422" s="6"/>
      <c r="W422" s="6"/>
      <c r="X422" s="6"/>
      <c r="Y422" s="6"/>
      <c r="Z422" s="6"/>
      <c r="AA422" s="6"/>
      <c r="AB422" s="6"/>
      <c r="AD422" s="6"/>
      <c r="AE422" s="6"/>
      <c r="AF422" s="6"/>
      <c r="AG422" s="6"/>
      <c r="AH422" s="6"/>
      <c r="AI422" s="6"/>
      <c r="AK422" s="6"/>
      <c r="AL422" s="6"/>
      <c r="AM422" s="6"/>
      <c r="AN422" s="6"/>
      <c r="AO422" s="6"/>
      <c r="AP422" s="6"/>
      <c r="AQ422" s="6"/>
      <c r="AR422" s="6"/>
      <c r="AS422" s="15"/>
      <c r="AT422" s="6" t="str">
        <f ca="1">IFERROR(__xludf.DUMMYFUNCTION("SWITCH(IF(A422=""Practice"",AN422,FILTER('Items by Team'!E$2:E3410,'Items by Team'!C$2:C3410=D422,B422='Items by Team'!B$2:B3410)),""None"",""No"",""Parked"",""P"",""ShallowCage"",""Sc"",""DeepCage"",""Dc"",""No"",""No"",""P"",""P"",""Sc"",""Sc"",""Dc"","&amp;"""Dc"")"),"#REF!")</f>
        <v>#REF!</v>
      </c>
      <c r="AU422" s="6" t="str">
        <f ca="1">IFERROR(__xludf.DUMMYFUNCTION("SWITCH(IF(A422 = ""Practice"", H422, FILTER('Items by Team'!D$2:D3410,'Items by Team'!C$2:C3410 = D422,'Items by Team'!B$2:B3410 = B422)), ""Yes"", ""TRUE"", ""No"", ""FALSE"",TRUE, ""TRUE"", FALSE, ""FALSE"")"),"#REF!")</f>
        <v>#REF!</v>
      </c>
      <c r="AV422" s="6">
        <f t="shared" si="21"/>
        <v>0</v>
      </c>
      <c r="AW422" s="6">
        <f t="shared" si="22"/>
        <v>0</v>
      </c>
      <c r="AX422" s="6">
        <f t="shared" si="23"/>
        <v>0</v>
      </c>
      <c r="AY422" s="6">
        <f t="shared" si="24"/>
        <v>0</v>
      </c>
      <c r="AZ422" s="9" t="str">
        <f t="shared" si="25"/>
        <v/>
      </c>
      <c r="BA422" s="6">
        <f t="shared" si="26"/>
        <v>0</v>
      </c>
      <c r="BB422" s="6">
        <f t="shared" si="27"/>
        <v>0</v>
      </c>
      <c r="BC422" s="9" t="str">
        <f t="shared" si="28"/>
        <v/>
      </c>
      <c r="BD422" s="6">
        <f t="shared" si="29"/>
        <v>0</v>
      </c>
      <c r="BE422" s="6">
        <f t="shared" si="30"/>
        <v>0</v>
      </c>
      <c r="BF422" s="9" t="str">
        <f t="shared" si="31"/>
        <v/>
      </c>
      <c r="BG422" s="6">
        <f t="shared" si="32"/>
        <v>0</v>
      </c>
      <c r="BH422" s="6">
        <f t="shared" si="33"/>
        <v>0</v>
      </c>
      <c r="BI422" s="9" t="str">
        <f t="shared" si="34"/>
        <v/>
      </c>
      <c r="BJ422" s="6">
        <f t="shared" si="35"/>
        <v>0</v>
      </c>
      <c r="BK422" s="6">
        <f t="shared" si="36"/>
        <v>0</v>
      </c>
      <c r="BL422" s="6">
        <f t="shared" si="37"/>
        <v>0</v>
      </c>
      <c r="BM422" s="6">
        <f t="shared" si="38"/>
        <v>0</v>
      </c>
      <c r="BN422" s="6">
        <f t="shared" si="39"/>
        <v>0</v>
      </c>
      <c r="BP422" s="6">
        <f t="shared" si="40"/>
        <v>0</v>
      </c>
      <c r="BQ422" s="6" t="b">
        <f ca="1">IFERROR(__xludf.DUMMYFUNCTION("IF(AND(ISERROR(FILTER('Items by Team'!D$2:D3410,'Items by Team'!C$2:C3410 = D422,'Items by Team'!B$2:B3410 = B422)),NOT(A422=""Practice"")),TRUE,FALSE)"),FALSE)</f>
        <v>0</v>
      </c>
      <c r="BR422" s="6">
        <f t="shared" ca="1" si="41"/>
        <v>0</v>
      </c>
    </row>
    <row r="423" spans="1:70">
      <c r="A423" s="6"/>
      <c r="B423" s="6"/>
      <c r="C423" s="6"/>
      <c r="D423" s="6"/>
      <c r="E423" s="6"/>
      <c r="F423" s="6"/>
      <c r="G423" s="6"/>
      <c r="H423" s="6"/>
      <c r="I423" s="6"/>
      <c r="J423" s="6"/>
      <c r="K423" s="6"/>
      <c r="L423" s="6"/>
      <c r="M423" s="6"/>
      <c r="N423" s="6"/>
      <c r="O423" s="6"/>
      <c r="P423" s="6"/>
      <c r="R423" s="6"/>
      <c r="S423" s="6"/>
      <c r="T423" s="6"/>
      <c r="U423" s="6"/>
      <c r="V423" s="6"/>
      <c r="W423" s="6"/>
      <c r="X423" s="6"/>
      <c r="Y423" s="6"/>
      <c r="Z423" s="6"/>
      <c r="AA423" s="6"/>
      <c r="AB423" s="6"/>
      <c r="AD423" s="6"/>
      <c r="AE423" s="6"/>
      <c r="AF423" s="6"/>
      <c r="AG423" s="6"/>
      <c r="AH423" s="6"/>
      <c r="AI423" s="6"/>
      <c r="AK423" s="6"/>
      <c r="AL423" s="6"/>
      <c r="AM423" s="6"/>
      <c r="AN423" s="6"/>
      <c r="AO423" s="6"/>
      <c r="AP423" s="6"/>
      <c r="AQ423" s="6"/>
      <c r="AR423" s="6"/>
      <c r="AS423" s="15"/>
      <c r="AT423" s="6" t="str">
        <f ca="1">IFERROR(__xludf.DUMMYFUNCTION("SWITCH(IF(A423=""Practice"",AN423,FILTER('Items by Team'!E$2:E3410,'Items by Team'!C$2:C3410=D423,B423='Items by Team'!B$2:B3410)),""None"",""No"",""Parked"",""P"",""ShallowCage"",""Sc"",""DeepCage"",""Dc"",""No"",""No"",""P"",""P"",""Sc"",""Sc"",""Dc"","&amp;"""Dc"")"),"#REF!")</f>
        <v>#REF!</v>
      </c>
      <c r="AU423" s="6" t="str">
        <f ca="1">IFERROR(__xludf.DUMMYFUNCTION("SWITCH(IF(A423 = ""Practice"", H423, FILTER('Items by Team'!D$2:D3410,'Items by Team'!C$2:C3410 = D423,'Items by Team'!B$2:B3410 = B423)), ""Yes"", ""TRUE"", ""No"", ""FALSE"",TRUE, ""TRUE"", FALSE, ""FALSE"")"),"#REF!")</f>
        <v>#REF!</v>
      </c>
      <c r="AV423" s="6">
        <f t="shared" si="21"/>
        <v>0</v>
      </c>
      <c r="AW423" s="6">
        <f t="shared" si="22"/>
        <v>0</v>
      </c>
      <c r="AX423" s="6">
        <f t="shared" si="23"/>
        <v>0</v>
      </c>
      <c r="AY423" s="6">
        <f t="shared" si="24"/>
        <v>0</v>
      </c>
      <c r="AZ423" s="9" t="str">
        <f t="shared" si="25"/>
        <v/>
      </c>
      <c r="BA423" s="6">
        <f t="shared" si="26"/>
        <v>0</v>
      </c>
      <c r="BB423" s="6">
        <f t="shared" si="27"/>
        <v>0</v>
      </c>
      <c r="BC423" s="9" t="str">
        <f t="shared" si="28"/>
        <v/>
      </c>
      <c r="BD423" s="6">
        <f t="shared" si="29"/>
        <v>0</v>
      </c>
      <c r="BE423" s="6">
        <f t="shared" si="30"/>
        <v>0</v>
      </c>
      <c r="BF423" s="9" t="str">
        <f t="shared" si="31"/>
        <v/>
      </c>
      <c r="BG423" s="6">
        <f t="shared" si="32"/>
        <v>0</v>
      </c>
      <c r="BH423" s="6">
        <f t="shared" si="33"/>
        <v>0</v>
      </c>
      <c r="BI423" s="9" t="str">
        <f t="shared" si="34"/>
        <v/>
      </c>
      <c r="BJ423" s="6">
        <f t="shared" si="35"/>
        <v>0</v>
      </c>
      <c r="BK423" s="6">
        <f t="shared" si="36"/>
        <v>0</v>
      </c>
      <c r="BL423" s="6">
        <f t="shared" si="37"/>
        <v>0</v>
      </c>
      <c r="BM423" s="6">
        <f t="shared" si="38"/>
        <v>0</v>
      </c>
      <c r="BN423" s="6">
        <f t="shared" si="39"/>
        <v>0</v>
      </c>
      <c r="BP423" s="6">
        <f t="shared" si="40"/>
        <v>0</v>
      </c>
      <c r="BQ423" s="6" t="b">
        <f ca="1">IFERROR(__xludf.DUMMYFUNCTION("IF(AND(ISERROR(FILTER('Items by Team'!D$2:D3410,'Items by Team'!C$2:C3410 = D423,'Items by Team'!B$2:B3410 = B423)),NOT(A423=""Practice"")),TRUE,FALSE)"),FALSE)</f>
        <v>0</v>
      </c>
      <c r="BR423" s="6">
        <f t="shared" ca="1" si="41"/>
        <v>0</v>
      </c>
    </row>
    <row r="424" spans="1:70">
      <c r="A424" s="6"/>
      <c r="B424" s="6"/>
      <c r="C424" s="6"/>
      <c r="D424" s="6"/>
      <c r="E424" s="6"/>
      <c r="F424" s="6"/>
      <c r="G424" s="6"/>
      <c r="H424" s="6"/>
      <c r="I424" s="6"/>
      <c r="J424" s="6"/>
      <c r="K424" s="6"/>
      <c r="L424" s="6"/>
      <c r="M424" s="6"/>
      <c r="N424" s="6"/>
      <c r="O424" s="6"/>
      <c r="P424" s="6"/>
      <c r="R424" s="6"/>
      <c r="S424" s="6"/>
      <c r="T424" s="6"/>
      <c r="U424" s="6"/>
      <c r="V424" s="6"/>
      <c r="W424" s="6"/>
      <c r="X424" s="6"/>
      <c r="Y424" s="6"/>
      <c r="Z424" s="6"/>
      <c r="AA424" s="6"/>
      <c r="AB424" s="6"/>
      <c r="AD424" s="6"/>
      <c r="AE424" s="6"/>
      <c r="AF424" s="6"/>
      <c r="AG424" s="6"/>
      <c r="AH424" s="6"/>
      <c r="AI424" s="6"/>
      <c r="AK424" s="6"/>
      <c r="AL424" s="6"/>
      <c r="AM424" s="6"/>
      <c r="AN424" s="6"/>
      <c r="AO424" s="6"/>
      <c r="AP424" s="6"/>
      <c r="AQ424" s="6"/>
      <c r="AR424" s="6"/>
      <c r="AS424" s="15"/>
      <c r="AT424" s="6" t="str">
        <f ca="1">IFERROR(__xludf.DUMMYFUNCTION("SWITCH(IF(A424=""Practice"",AN424,FILTER('Items by Team'!E$2:E3410,'Items by Team'!C$2:C3410=D424,B424='Items by Team'!B$2:B3410)),""None"",""No"",""Parked"",""P"",""ShallowCage"",""Sc"",""DeepCage"",""Dc"",""No"",""No"",""P"",""P"",""Sc"",""Sc"",""Dc"","&amp;"""Dc"")"),"#REF!")</f>
        <v>#REF!</v>
      </c>
      <c r="AU424" s="6" t="str">
        <f ca="1">IFERROR(__xludf.DUMMYFUNCTION("SWITCH(IF(A424 = ""Practice"", H424, FILTER('Items by Team'!D$2:D3410,'Items by Team'!C$2:C3410 = D424,'Items by Team'!B$2:B3410 = B424)), ""Yes"", ""TRUE"", ""No"", ""FALSE"",TRUE, ""TRUE"", FALSE, ""FALSE"")"),"#REF!")</f>
        <v>#REF!</v>
      </c>
      <c r="AV424" s="6">
        <f t="shared" si="21"/>
        <v>0</v>
      </c>
      <c r="AW424" s="6">
        <f t="shared" si="22"/>
        <v>0</v>
      </c>
      <c r="AX424" s="6">
        <f t="shared" si="23"/>
        <v>0</v>
      </c>
      <c r="AY424" s="6">
        <f t="shared" si="24"/>
        <v>0</v>
      </c>
      <c r="AZ424" s="9" t="str">
        <f t="shared" si="25"/>
        <v/>
      </c>
      <c r="BA424" s="6">
        <f t="shared" si="26"/>
        <v>0</v>
      </c>
      <c r="BB424" s="6">
        <f t="shared" si="27"/>
        <v>0</v>
      </c>
      <c r="BC424" s="9" t="str">
        <f t="shared" si="28"/>
        <v/>
      </c>
      <c r="BD424" s="6">
        <f t="shared" si="29"/>
        <v>0</v>
      </c>
      <c r="BE424" s="6">
        <f t="shared" si="30"/>
        <v>0</v>
      </c>
      <c r="BF424" s="9" t="str">
        <f t="shared" si="31"/>
        <v/>
      </c>
      <c r="BG424" s="6">
        <f t="shared" si="32"/>
        <v>0</v>
      </c>
      <c r="BH424" s="6">
        <f t="shared" si="33"/>
        <v>0</v>
      </c>
      <c r="BI424" s="9" t="str">
        <f t="shared" si="34"/>
        <v/>
      </c>
      <c r="BJ424" s="6">
        <f t="shared" si="35"/>
        <v>0</v>
      </c>
      <c r="BK424" s="6">
        <f t="shared" si="36"/>
        <v>0</v>
      </c>
      <c r="BL424" s="6">
        <f t="shared" si="37"/>
        <v>0</v>
      </c>
      <c r="BM424" s="6">
        <f t="shared" si="38"/>
        <v>0</v>
      </c>
      <c r="BN424" s="6">
        <f t="shared" si="39"/>
        <v>0</v>
      </c>
      <c r="BP424" s="6">
        <f t="shared" si="40"/>
        <v>0</v>
      </c>
      <c r="BQ424" s="6" t="b">
        <f ca="1">IFERROR(__xludf.DUMMYFUNCTION("IF(AND(ISERROR(FILTER('Items by Team'!D$2:D3410,'Items by Team'!C$2:C3410 = D424,'Items by Team'!B$2:B3410 = B424)),NOT(A424=""Practice"")),TRUE,FALSE)"),FALSE)</f>
        <v>0</v>
      </c>
      <c r="BR424" s="6">
        <f t="shared" ca="1" si="41"/>
        <v>0</v>
      </c>
    </row>
    <row r="425" spans="1:70">
      <c r="A425" s="6"/>
      <c r="B425" s="6"/>
      <c r="C425" s="6"/>
      <c r="D425" s="6"/>
      <c r="E425" s="6"/>
      <c r="F425" s="6"/>
      <c r="G425" s="6"/>
      <c r="H425" s="6"/>
      <c r="I425" s="6"/>
      <c r="J425" s="6"/>
      <c r="K425" s="6"/>
      <c r="L425" s="6"/>
      <c r="M425" s="6"/>
      <c r="N425" s="6"/>
      <c r="O425" s="6"/>
      <c r="P425" s="6"/>
      <c r="R425" s="6"/>
      <c r="S425" s="6"/>
      <c r="T425" s="6"/>
      <c r="U425" s="6"/>
      <c r="V425" s="6"/>
      <c r="W425" s="6"/>
      <c r="X425" s="6"/>
      <c r="Y425" s="6"/>
      <c r="Z425" s="6"/>
      <c r="AA425" s="6"/>
      <c r="AB425" s="6"/>
      <c r="AD425" s="6"/>
      <c r="AE425" s="6"/>
      <c r="AF425" s="6"/>
      <c r="AG425" s="6"/>
      <c r="AH425" s="6"/>
      <c r="AI425" s="6"/>
      <c r="AK425" s="6"/>
      <c r="AL425" s="6"/>
      <c r="AM425" s="6"/>
      <c r="AN425" s="6"/>
      <c r="AO425" s="6"/>
      <c r="AP425" s="6"/>
      <c r="AQ425" s="6"/>
      <c r="AR425" s="6"/>
      <c r="AS425" s="15"/>
      <c r="AT425" s="6" t="str">
        <f ca="1">IFERROR(__xludf.DUMMYFUNCTION("SWITCH(IF(A425=""Practice"",AN425,FILTER('Items by Team'!E$2:E3410,'Items by Team'!C$2:C3410=D425,B425='Items by Team'!B$2:B3410)),""None"",""No"",""Parked"",""P"",""ShallowCage"",""Sc"",""DeepCage"",""Dc"",""No"",""No"",""P"",""P"",""Sc"",""Sc"",""Dc"","&amp;"""Dc"")"),"#REF!")</f>
        <v>#REF!</v>
      </c>
      <c r="AU425" s="6" t="str">
        <f ca="1">IFERROR(__xludf.DUMMYFUNCTION("SWITCH(IF(A425 = ""Practice"", H425, FILTER('Items by Team'!D$2:D3410,'Items by Team'!C$2:C3410 = D425,'Items by Team'!B$2:B3410 = B425)), ""Yes"", ""TRUE"", ""No"", ""FALSE"",TRUE, ""TRUE"", FALSE, ""FALSE"")"),"#REF!")</f>
        <v>#REF!</v>
      </c>
      <c r="AV425" s="6">
        <f t="shared" si="21"/>
        <v>0</v>
      </c>
      <c r="AW425" s="6">
        <f t="shared" si="22"/>
        <v>0</v>
      </c>
      <c r="AX425" s="6">
        <f t="shared" si="23"/>
        <v>0</v>
      </c>
      <c r="AY425" s="6">
        <f t="shared" si="24"/>
        <v>0</v>
      </c>
      <c r="AZ425" s="9" t="str">
        <f t="shared" si="25"/>
        <v/>
      </c>
      <c r="BA425" s="6">
        <f t="shared" si="26"/>
        <v>0</v>
      </c>
      <c r="BB425" s="6">
        <f t="shared" si="27"/>
        <v>0</v>
      </c>
      <c r="BC425" s="9" t="str">
        <f t="shared" si="28"/>
        <v/>
      </c>
      <c r="BD425" s="6">
        <f t="shared" si="29"/>
        <v>0</v>
      </c>
      <c r="BE425" s="6">
        <f t="shared" si="30"/>
        <v>0</v>
      </c>
      <c r="BF425" s="9" t="str">
        <f t="shared" si="31"/>
        <v/>
      </c>
      <c r="BG425" s="6">
        <f t="shared" si="32"/>
        <v>0</v>
      </c>
      <c r="BH425" s="6">
        <f t="shared" si="33"/>
        <v>0</v>
      </c>
      <c r="BI425" s="9" t="str">
        <f t="shared" si="34"/>
        <v/>
      </c>
      <c r="BJ425" s="6">
        <f t="shared" si="35"/>
        <v>0</v>
      </c>
      <c r="BK425" s="6">
        <f t="shared" si="36"/>
        <v>0</v>
      </c>
      <c r="BL425" s="6">
        <f t="shared" si="37"/>
        <v>0</v>
      </c>
      <c r="BM425" s="6">
        <f t="shared" si="38"/>
        <v>0</v>
      </c>
      <c r="BN425" s="6">
        <f t="shared" si="39"/>
        <v>0</v>
      </c>
      <c r="BP425" s="6">
        <f t="shared" si="40"/>
        <v>0</v>
      </c>
      <c r="BQ425" s="6" t="b">
        <f ca="1">IFERROR(__xludf.DUMMYFUNCTION("IF(AND(ISERROR(FILTER('Items by Team'!D$2:D3410,'Items by Team'!C$2:C3410 = D425,'Items by Team'!B$2:B3410 = B425)),NOT(A425=""Practice"")),TRUE,FALSE)"),FALSE)</f>
        <v>0</v>
      </c>
      <c r="BR425" s="6">
        <f t="shared" ca="1" si="41"/>
        <v>0</v>
      </c>
    </row>
    <row r="426" spans="1:70">
      <c r="A426" s="6"/>
      <c r="B426" s="6"/>
      <c r="C426" s="6"/>
      <c r="D426" s="6"/>
      <c r="E426" s="6"/>
      <c r="F426" s="6"/>
      <c r="G426" s="6"/>
      <c r="H426" s="6"/>
      <c r="I426" s="6"/>
      <c r="J426" s="6"/>
      <c r="K426" s="6"/>
      <c r="L426" s="6"/>
      <c r="M426" s="6"/>
      <c r="N426" s="6"/>
      <c r="O426" s="6"/>
      <c r="P426" s="6"/>
      <c r="R426" s="6"/>
      <c r="S426" s="6"/>
      <c r="T426" s="6"/>
      <c r="U426" s="6"/>
      <c r="V426" s="6"/>
      <c r="W426" s="6"/>
      <c r="X426" s="6"/>
      <c r="Y426" s="6"/>
      <c r="Z426" s="6"/>
      <c r="AA426" s="6"/>
      <c r="AB426" s="6"/>
      <c r="AD426" s="6"/>
      <c r="AE426" s="6"/>
      <c r="AF426" s="6"/>
      <c r="AG426" s="6"/>
      <c r="AH426" s="6"/>
      <c r="AI426" s="6"/>
      <c r="AK426" s="6"/>
      <c r="AL426" s="6"/>
      <c r="AM426" s="6"/>
      <c r="AN426" s="6"/>
      <c r="AO426" s="6"/>
      <c r="AP426" s="6"/>
      <c r="AQ426" s="6"/>
      <c r="AR426" s="6"/>
      <c r="AS426" s="15"/>
      <c r="AT426" s="6" t="str">
        <f ca="1">IFERROR(__xludf.DUMMYFUNCTION("SWITCH(IF(A426=""Practice"",AN426,FILTER('Items by Team'!E$2:E3410,'Items by Team'!C$2:C3410=D426,B426='Items by Team'!B$2:B3410)),""None"",""No"",""Parked"",""P"",""ShallowCage"",""Sc"",""DeepCage"",""Dc"",""No"",""No"",""P"",""P"",""Sc"",""Sc"",""Dc"","&amp;"""Dc"")"),"#REF!")</f>
        <v>#REF!</v>
      </c>
      <c r="AU426" s="6" t="str">
        <f ca="1">IFERROR(__xludf.DUMMYFUNCTION("SWITCH(IF(A426 = ""Practice"", H426, FILTER('Items by Team'!D$2:D3410,'Items by Team'!C$2:C3410 = D426,'Items by Team'!B$2:B3410 = B426)), ""Yes"", ""TRUE"", ""No"", ""FALSE"",TRUE, ""TRUE"", FALSE, ""FALSE"")"),"#REF!")</f>
        <v>#REF!</v>
      </c>
      <c r="AV426" s="6">
        <f t="shared" si="21"/>
        <v>0</v>
      </c>
      <c r="AW426" s="6">
        <f t="shared" si="22"/>
        <v>0</v>
      </c>
      <c r="AX426" s="6">
        <f t="shared" si="23"/>
        <v>0</v>
      </c>
      <c r="AY426" s="6">
        <f t="shared" si="24"/>
        <v>0</v>
      </c>
      <c r="AZ426" s="9" t="str">
        <f t="shared" si="25"/>
        <v/>
      </c>
      <c r="BA426" s="6">
        <f t="shared" si="26"/>
        <v>0</v>
      </c>
      <c r="BB426" s="6">
        <f t="shared" si="27"/>
        <v>0</v>
      </c>
      <c r="BC426" s="9" t="str">
        <f t="shared" si="28"/>
        <v/>
      </c>
      <c r="BD426" s="6">
        <f t="shared" si="29"/>
        <v>0</v>
      </c>
      <c r="BE426" s="6">
        <f t="shared" si="30"/>
        <v>0</v>
      </c>
      <c r="BF426" s="9" t="str">
        <f t="shared" si="31"/>
        <v/>
      </c>
      <c r="BG426" s="6">
        <f t="shared" si="32"/>
        <v>0</v>
      </c>
      <c r="BH426" s="6">
        <f t="shared" si="33"/>
        <v>0</v>
      </c>
      <c r="BI426" s="9" t="str">
        <f t="shared" si="34"/>
        <v/>
      </c>
      <c r="BJ426" s="6">
        <f t="shared" si="35"/>
        <v>0</v>
      </c>
      <c r="BK426" s="6">
        <f t="shared" si="36"/>
        <v>0</v>
      </c>
      <c r="BL426" s="6">
        <f t="shared" si="37"/>
        <v>0</v>
      </c>
      <c r="BM426" s="6">
        <f t="shared" si="38"/>
        <v>0</v>
      </c>
      <c r="BN426" s="6">
        <f t="shared" si="39"/>
        <v>0</v>
      </c>
      <c r="BP426" s="6">
        <f t="shared" si="40"/>
        <v>0</v>
      </c>
      <c r="BQ426" s="6" t="b">
        <f ca="1">IFERROR(__xludf.DUMMYFUNCTION("IF(AND(ISERROR(FILTER('Items by Team'!D$2:D3410,'Items by Team'!C$2:C3410 = D426,'Items by Team'!B$2:B3410 = B426)),NOT(A426=""Practice"")),TRUE,FALSE)"),FALSE)</f>
        <v>0</v>
      </c>
      <c r="BR426" s="6">
        <f t="shared" ca="1" si="41"/>
        <v>0</v>
      </c>
    </row>
    <row r="427" spans="1:70">
      <c r="A427" s="6"/>
      <c r="B427" s="6"/>
      <c r="C427" s="6"/>
      <c r="D427" s="6"/>
      <c r="E427" s="6"/>
      <c r="F427" s="6"/>
      <c r="G427" s="6"/>
      <c r="H427" s="6"/>
      <c r="I427" s="6"/>
      <c r="J427" s="6"/>
      <c r="K427" s="6"/>
      <c r="L427" s="6"/>
      <c r="M427" s="6"/>
      <c r="N427" s="6"/>
      <c r="O427" s="6"/>
      <c r="P427" s="6"/>
      <c r="R427" s="6"/>
      <c r="S427" s="6"/>
      <c r="T427" s="6"/>
      <c r="U427" s="6"/>
      <c r="V427" s="6"/>
      <c r="W427" s="6"/>
      <c r="X427" s="6"/>
      <c r="Y427" s="6"/>
      <c r="Z427" s="6"/>
      <c r="AA427" s="6"/>
      <c r="AB427" s="6"/>
      <c r="AD427" s="6"/>
      <c r="AE427" s="6"/>
      <c r="AF427" s="6"/>
      <c r="AG427" s="6"/>
      <c r="AH427" s="6"/>
      <c r="AI427" s="6"/>
      <c r="AK427" s="6"/>
      <c r="AL427" s="6"/>
      <c r="AM427" s="6"/>
      <c r="AN427" s="6"/>
      <c r="AO427" s="6"/>
      <c r="AP427" s="6"/>
      <c r="AQ427" s="6"/>
      <c r="AR427" s="6"/>
      <c r="AS427" s="15"/>
      <c r="AT427" s="6" t="str">
        <f ca="1">IFERROR(__xludf.DUMMYFUNCTION("SWITCH(IF(A427=""Practice"",AN427,FILTER('Items by Team'!E$2:E3410,'Items by Team'!C$2:C3410=D427,B427='Items by Team'!B$2:B3410)),""None"",""No"",""Parked"",""P"",""ShallowCage"",""Sc"",""DeepCage"",""Dc"",""No"",""No"",""P"",""P"",""Sc"",""Sc"",""Dc"","&amp;"""Dc"")"),"#REF!")</f>
        <v>#REF!</v>
      </c>
      <c r="AU427" s="6" t="str">
        <f ca="1">IFERROR(__xludf.DUMMYFUNCTION("SWITCH(IF(A427 = ""Practice"", H427, FILTER('Items by Team'!D$2:D3410,'Items by Team'!C$2:C3410 = D427,'Items by Team'!B$2:B3410 = B427)), ""Yes"", ""TRUE"", ""No"", ""FALSE"",TRUE, ""TRUE"", FALSE, ""FALSE"")"),"#REF!")</f>
        <v>#REF!</v>
      </c>
      <c r="AV427" s="6">
        <f t="shared" si="21"/>
        <v>0</v>
      </c>
      <c r="AW427" s="6">
        <f t="shared" si="22"/>
        <v>0</v>
      </c>
      <c r="AX427" s="6">
        <f t="shared" si="23"/>
        <v>0</v>
      </c>
      <c r="AY427" s="6">
        <f t="shared" si="24"/>
        <v>0</v>
      </c>
      <c r="AZ427" s="9" t="str">
        <f t="shared" si="25"/>
        <v/>
      </c>
      <c r="BA427" s="6">
        <f t="shared" si="26"/>
        <v>0</v>
      </c>
      <c r="BB427" s="6">
        <f t="shared" si="27"/>
        <v>0</v>
      </c>
      <c r="BC427" s="9" t="str">
        <f t="shared" si="28"/>
        <v/>
      </c>
      <c r="BD427" s="6">
        <f t="shared" si="29"/>
        <v>0</v>
      </c>
      <c r="BE427" s="6">
        <f t="shared" si="30"/>
        <v>0</v>
      </c>
      <c r="BF427" s="9" t="str">
        <f t="shared" si="31"/>
        <v/>
      </c>
      <c r="BG427" s="6">
        <f t="shared" si="32"/>
        <v>0</v>
      </c>
      <c r="BH427" s="6">
        <f t="shared" si="33"/>
        <v>0</v>
      </c>
      <c r="BI427" s="9" t="str">
        <f t="shared" si="34"/>
        <v/>
      </c>
      <c r="BJ427" s="6">
        <f t="shared" si="35"/>
        <v>0</v>
      </c>
      <c r="BK427" s="6">
        <f t="shared" si="36"/>
        <v>0</v>
      </c>
      <c r="BL427" s="6">
        <f t="shared" si="37"/>
        <v>0</v>
      </c>
      <c r="BM427" s="6">
        <f t="shared" si="38"/>
        <v>0</v>
      </c>
      <c r="BN427" s="6">
        <f t="shared" si="39"/>
        <v>0</v>
      </c>
      <c r="BP427" s="6">
        <f t="shared" si="40"/>
        <v>0</v>
      </c>
      <c r="BQ427" s="6" t="b">
        <f ca="1">IFERROR(__xludf.DUMMYFUNCTION("IF(AND(ISERROR(FILTER('Items by Team'!D$2:D3410,'Items by Team'!C$2:C3410 = D427,'Items by Team'!B$2:B3410 = B427)),NOT(A427=""Practice"")),TRUE,FALSE)"),FALSE)</f>
        <v>0</v>
      </c>
      <c r="BR427" s="6">
        <f t="shared" ca="1" si="41"/>
        <v>0</v>
      </c>
    </row>
    <row r="428" spans="1:70">
      <c r="A428" s="6"/>
      <c r="B428" s="6"/>
      <c r="C428" s="6"/>
      <c r="D428" s="6"/>
      <c r="E428" s="6"/>
      <c r="F428" s="6"/>
      <c r="G428" s="6"/>
      <c r="H428" s="6"/>
      <c r="I428" s="6"/>
      <c r="J428" s="6"/>
      <c r="K428" s="6"/>
      <c r="L428" s="6"/>
      <c r="M428" s="6"/>
      <c r="N428" s="6"/>
      <c r="O428" s="6"/>
      <c r="P428" s="6"/>
      <c r="R428" s="6"/>
      <c r="S428" s="6"/>
      <c r="T428" s="6"/>
      <c r="U428" s="6"/>
      <c r="V428" s="6"/>
      <c r="W428" s="6"/>
      <c r="X428" s="6"/>
      <c r="Y428" s="6"/>
      <c r="Z428" s="6"/>
      <c r="AA428" s="6"/>
      <c r="AB428" s="6"/>
      <c r="AD428" s="6"/>
      <c r="AE428" s="6"/>
      <c r="AF428" s="6"/>
      <c r="AG428" s="6"/>
      <c r="AH428" s="6"/>
      <c r="AI428" s="6"/>
      <c r="AK428" s="6"/>
      <c r="AL428" s="6"/>
      <c r="AM428" s="6"/>
      <c r="AN428" s="6"/>
      <c r="AO428" s="6"/>
      <c r="AP428" s="6"/>
      <c r="AQ428" s="6"/>
      <c r="AR428" s="6"/>
      <c r="AS428" s="15"/>
      <c r="AT428" s="6" t="str">
        <f ca="1">IFERROR(__xludf.DUMMYFUNCTION("SWITCH(IF(A428=""Practice"",AN428,FILTER('Items by Team'!E$2:E3410,'Items by Team'!C$2:C3410=D428,B428='Items by Team'!B$2:B3410)),""None"",""No"",""Parked"",""P"",""ShallowCage"",""Sc"",""DeepCage"",""Dc"",""No"",""No"",""P"",""P"",""Sc"",""Sc"",""Dc"","&amp;"""Dc"")"),"#REF!")</f>
        <v>#REF!</v>
      </c>
      <c r="AU428" s="6" t="str">
        <f ca="1">IFERROR(__xludf.DUMMYFUNCTION("SWITCH(IF(A428 = ""Practice"", H428, FILTER('Items by Team'!D$2:D3410,'Items by Team'!C$2:C3410 = D428,'Items by Team'!B$2:B3410 = B428)), ""Yes"", ""TRUE"", ""No"", ""FALSE"",TRUE, ""TRUE"", FALSE, ""FALSE"")"),"#REF!")</f>
        <v>#REF!</v>
      </c>
      <c r="AV428" s="6">
        <f t="shared" si="21"/>
        <v>0</v>
      </c>
      <c r="AW428" s="6">
        <f t="shared" si="22"/>
        <v>0</v>
      </c>
      <c r="AX428" s="6">
        <f t="shared" si="23"/>
        <v>0</v>
      </c>
      <c r="AY428" s="6">
        <f t="shared" si="24"/>
        <v>0</v>
      </c>
      <c r="AZ428" s="9" t="str">
        <f t="shared" si="25"/>
        <v/>
      </c>
      <c r="BA428" s="6">
        <f t="shared" si="26"/>
        <v>0</v>
      </c>
      <c r="BB428" s="6">
        <f t="shared" si="27"/>
        <v>0</v>
      </c>
      <c r="BC428" s="9" t="str">
        <f t="shared" si="28"/>
        <v/>
      </c>
      <c r="BD428" s="6">
        <f t="shared" si="29"/>
        <v>0</v>
      </c>
      <c r="BE428" s="6">
        <f t="shared" si="30"/>
        <v>0</v>
      </c>
      <c r="BF428" s="9" t="str">
        <f t="shared" si="31"/>
        <v/>
      </c>
      <c r="BG428" s="6">
        <f t="shared" si="32"/>
        <v>0</v>
      </c>
      <c r="BH428" s="6">
        <f t="shared" si="33"/>
        <v>0</v>
      </c>
      <c r="BI428" s="9" t="str">
        <f t="shared" si="34"/>
        <v/>
      </c>
      <c r="BJ428" s="6">
        <f t="shared" si="35"/>
        <v>0</v>
      </c>
      <c r="BK428" s="6">
        <f t="shared" si="36"/>
        <v>0</v>
      </c>
      <c r="BL428" s="6">
        <f t="shared" si="37"/>
        <v>0</v>
      </c>
      <c r="BM428" s="6">
        <f t="shared" si="38"/>
        <v>0</v>
      </c>
      <c r="BN428" s="6">
        <f t="shared" si="39"/>
        <v>0</v>
      </c>
      <c r="BP428" s="6">
        <f t="shared" si="40"/>
        <v>0</v>
      </c>
      <c r="BQ428" s="6" t="b">
        <f ca="1">IFERROR(__xludf.DUMMYFUNCTION("IF(AND(ISERROR(FILTER('Items by Team'!D$2:D3410,'Items by Team'!C$2:C3410 = D428,'Items by Team'!B$2:B3410 = B428)),NOT(A428=""Practice"")),TRUE,FALSE)"),FALSE)</f>
        <v>0</v>
      </c>
      <c r="BR428" s="6">
        <f t="shared" ca="1" si="41"/>
        <v>0</v>
      </c>
    </row>
    <row r="429" spans="1:70">
      <c r="A429" s="6"/>
      <c r="B429" s="6"/>
      <c r="C429" s="6"/>
      <c r="D429" s="6"/>
      <c r="E429" s="6"/>
      <c r="F429" s="6"/>
      <c r="G429" s="6"/>
      <c r="H429" s="6"/>
      <c r="I429" s="6"/>
      <c r="J429" s="6"/>
      <c r="K429" s="6"/>
      <c r="L429" s="6"/>
      <c r="M429" s="6"/>
      <c r="N429" s="6"/>
      <c r="O429" s="6"/>
      <c r="P429" s="6"/>
      <c r="R429" s="6"/>
      <c r="S429" s="6"/>
      <c r="T429" s="6"/>
      <c r="U429" s="6"/>
      <c r="V429" s="6"/>
      <c r="W429" s="6"/>
      <c r="X429" s="6"/>
      <c r="Y429" s="6"/>
      <c r="Z429" s="6"/>
      <c r="AA429" s="6"/>
      <c r="AB429" s="6"/>
      <c r="AD429" s="6"/>
      <c r="AE429" s="6"/>
      <c r="AF429" s="6"/>
      <c r="AG429" s="6"/>
      <c r="AH429" s="6"/>
      <c r="AI429" s="6"/>
      <c r="AK429" s="6"/>
      <c r="AL429" s="6"/>
      <c r="AM429" s="6"/>
      <c r="AN429" s="6"/>
      <c r="AO429" s="6"/>
      <c r="AP429" s="6"/>
      <c r="AQ429" s="6"/>
      <c r="AR429" s="6"/>
      <c r="AS429" s="15"/>
      <c r="AT429" s="6" t="str">
        <f ca="1">IFERROR(__xludf.DUMMYFUNCTION("SWITCH(IF(A429=""Practice"",AN429,FILTER('Items by Team'!E$2:E3410,'Items by Team'!C$2:C3410=D429,B429='Items by Team'!B$2:B3410)),""None"",""No"",""Parked"",""P"",""ShallowCage"",""Sc"",""DeepCage"",""Dc"",""No"",""No"",""P"",""P"",""Sc"",""Sc"",""Dc"","&amp;"""Dc"")"),"#REF!")</f>
        <v>#REF!</v>
      </c>
      <c r="AU429" s="6" t="str">
        <f ca="1">IFERROR(__xludf.DUMMYFUNCTION("SWITCH(IF(A429 = ""Practice"", H429, FILTER('Items by Team'!D$2:D3410,'Items by Team'!C$2:C3410 = D429,'Items by Team'!B$2:B3410 = B429)), ""Yes"", ""TRUE"", ""No"", ""FALSE"",TRUE, ""TRUE"", FALSE, ""FALSE"")"),"#REF!")</f>
        <v>#REF!</v>
      </c>
      <c r="AV429" s="6">
        <f t="shared" si="21"/>
        <v>0</v>
      </c>
      <c r="AW429" s="6">
        <f t="shared" si="22"/>
        <v>0</v>
      </c>
      <c r="AX429" s="6">
        <f t="shared" si="23"/>
        <v>0</v>
      </c>
      <c r="AY429" s="6">
        <f t="shared" si="24"/>
        <v>0</v>
      </c>
      <c r="AZ429" s="9" t="str">
        <f t="shared" si="25"/>
        <v/>
      </c>
      <c r="BA429" s="6">
        <f t="shared" si="26"/>
        <v>0</v>
      </c>
      <c r="BB429" s="6">
        <f t="shared" si="27"/>
        <v>0</v>
      </c>
      <c r="BC429" s="9" t="str">
        <f t="shared" si="28"/>
        <v/>
      </c>
      <c r="BD429" s="6">
        <f t="shared" si="29"/>
        <v>0</v>
      </c>
      <c r="BE429" s="6">
        <f t="shared" si="30"/>
        <v>0</v>
      </c>
      <c r="BF429" s="9" t="str">
        <f t="shared" si="31"/>
        <v/>
      </c>
      <c r="BG429" s="6">
        <f t="shared" si="32"/>
        <v>0</v>
      </c>
      <c r="BH429" s="6">
        <f t="shared" si="33"/>
        <v>0</v>
      </c>
      <c r="BI429" s="9" t="str">
        <f t="shared" si="34"/>
        <v/>
      </c>
      <c r="BJ429" s="6">
        <f t="shared" si="35"/>
        <v>0</v>
      </c>
      <c r="BK429" s="6">
        <f t="shared" si="36"/>
        <v>0</v>
      </c>
      <c r="BL429" s="6">
        <f t="shared" si="37"/>
        <v>0</v>
      </c>
      <c r="BM429" s="6">
        <f t="shared" si="38"/>
        <v>0</v>
      </c>
      <c r="BN429" s="6">
        <f t="shared" si="39"/>
        <v>0</v>
      </c>
      <c r="BP429" s="6">
        <f t="shared" si="40"/>
        <v>0</v>
      </c>
      <c r="BQ429" s="6" t="b">
        <f ca="1">IFERROR(__xludf.DUMMYFUNCTION("IF(AND(ISERROR(FILTER('Items by Team'!D$2:D3410,'Items by Team'!C$2:C3410 = D429,'Items by Team'!B$2:B3410 = B429)),NOT(A429=""Practice"")),TRUE,FALSE)"),FALSE)</f>
        <v>0</v>
      </c>
      <c r="BR429" s="6">
        <f t="shared" ca="1" si="41"/>
        <v>0</v>
      </c>
    </row>
    <row r="430" spans="1:70">
      <c r="A430" s="6"/>
      <c r="B430" s="6"/>
      <c r="C430" s="6"/>
      <c r="D430" s="6"/>
      <c r="E430" s="6"/>
      <c r="F430" s="6"/>
      <c r="G430" s="6"/>
      <c r="H430" s="6"/>
      <c r="I430" s="6"/>
      <c r="J430" s="6"/>
      <c r="K430" s="6"/>
      <c r="L430" s="6"/>
      <c r="M430" s="6"/>
      <c r="N430" s="6"/>
      <c r="O430" s="6"/>
      <c r="P430" s="6"/>
      <c r="R430" s="6"/>
      <c r="S430" s="6"/>
      <c r="T430" s="6"/>
      <c r="U430" s="6"/>
      <c r="V430" s="6"/>
      <c r="W430" s="6"/>
      <c r="X430" s="6"/>
      <c r="Y430" s="6"/>
      <c r="Z430" s="6"/>
      <c r="AA430" s="6"/>
      <c r="AB430" s="6"/>
      <c r="AD430" s="6"/>
      <c r="AE430" s="6"/>
      <c r="AF430" s="6"/>
      <c r="AG430" s="6"/>
      <c r="AH430" s="6"/>
      <c r="AI430" s="6"/>
      <c r="AK430" s="6"/>
      <c r="AL430" s="6"/>
      <c r="AM430" s="6"/>
      <c r="AN430" s="6"/>
      <c r="AO430" s="6"/>
      <c r="AP430" s="6"/>
      <c r="AQ430" s="6"/>
      <c r="AR430" s="6"/>
      <c r="AS430" s="15"/>
      <c r="AT430" s="6" t="str">
        <f ca="1">IFERROR(__xludf.DUMMYFUNCTION("SWITCH(IF(A430=""Practice"",AN430,FILTER('Items by Team'!E$2:E3410,'Items by Team'!C$2:C3410=D430,B430='Items by Team'!B$2:B3410)),""None"",""No"",""Parked"",""P"",""ShallowCage"",""Sc"",""DeepCage"",""Dc"",""No"",""No"",""P"",""P"",""Sc"",""Sc"",""Dc"","&amp;"""Dc"")"),"#REF!")</f>
        <v>#REF!</v>
      </c>
      <c r="AU430" s="6" t="str">
        <f ca="1">IFERROR(__xludf.DUMMYFUNCTION("SWITCH(IF(A430 = ""Practice"", H430, FILTER('Items by Team'!D$2:D3410,'Items by Team'!C$2:C3410 = D430,'Items by Team'!B$2:B3410 = B430)), ""Yes"", ""TRUE"", ""No"", ""FALSE"",TRUE, ""TRUE"", FALSE, ""FALSE"")"),"#REF!")</f>
        <v>#REF!</v>
      </c>
      <c r="AV430" s="6">
        <f t="shared" si="21"/>
        <v>0</v>
      </c>
      <c r="AW430" s="6">
        <f t="shared" si="22"/>
        <v>0</v>
      </c>
      <c r="AX430" s="6">
        <f t="shared" si="23"/>
        <v>0</v>
      </c>
      <c r="AY430" s="6">
        <f t="shared" si="24"/>
        <v>0</v>
      </c>
      <c r="AZ430" s="9" t="str">
        <f t="shared" si="25"/>
        <v/>
      </c>
      <c r="BA430" s="6">
        <f t="shared" si="26"/>
        <v>0</v>
      </c>
      <c r="BB430" s="6">
        <f t="shared" si="27"/>
        <v>0</v>
      </c>
      <c r="BC430" s="9" t="str">
        <f t="shared" si="28"/>
        <v/>
      </c>
      <c r="BD430" s="6">
        <f t="shared" si="29"/>
        <v>0</v>
      </c>
      <c r="BE430" s="6">
        <f t="shared" si="30"/>
        <v>0</v>
      </c>
      <c r="BF430" s="9" t="str">
        <f t="shared" si="31"/>
        <v/>
      </c>
      <c r="BG430" s="6">
        <f t="shared" si="32"/>
        <v>0</v>
      </c>
      <c r="BH430" s="6">
        <f t="shared" si="33"/>
        <v>0</v>
      </c>
      <c r="BI430" s="9" t="str">
        <f t="shared" si="34"/>
        <v/>
      </c>
      <c r="BJ430" s="6">
        <f t="shared" si="35"/>
        <v>0</v>
      </c>
      <c r="BK430" s="6">
        <f t="shared" si="36"/>
        <v>0</v>
      </c>
      <c r="BL430" s="6">
        <f t="shared" si="37"/>
        <v>0</v>
      </c>
      <c r="BM430" s="6">
        <f t="shared" si="38"/>
        <v>0</v>
      </c>
      <c r="BN430" s="6">
        <f t="shared" si="39"/>
        <v>0</v>
      </c>
      <c r="BP430" s="6">
        <f t="shared" si="40"/>
        <v>0</v>
      </c>
      <c r="BQ430" s="6" t="b">
        <f ca="1">IFERROR(__xludf.DUMMYFUNCTION("IF(AND(ISERROR(FILTER('Items by Team'!D$2:D3410,'Items by Team'!C$2:C3410 = D430,'Items by Team'!B$2:B3410 = B430)),NOT(A430=""Practice"")),TRUE,FALSE)"),FALSE)</f>
        <v>0</v>
      </c>
      <c r="BR430" s="6">
        <f t="shared" ca="1" si="41"/>
        <v>0</v>
      </c>
    </row>
    <row r="431" spans="1:70">
      <c r="A431" s="6"/>
      <c r="B431" s="6"/>
      <c r="C431" s="6"/>
      <c r="D431" s="6"/>
      <c r="E431" s="6"/>
      <c r="F431" s="6"/>
      <c r="G431" s="6"/>
      <c r="H431" s="6"/>
      <c r="I431" s="6"/>
      <c r="J431" s="6"/>
      <c r="K431" s="6"/>
      <c r="L431" s="6"/>
      <c r="M431" s="6"/>
      <c r="N431" s="6"/>
      <c r="O431" s="6"/>
      <c r="P431" s="6"/>
      <c r="R431" s="6"/>
      <c r="S431" s="6"/>
      <c r="T431" s="6"/>
      <c r="U431" s="6"/>
      <c r="V431" s="6"/>
      <c r="W431" s="6"/>
      <c r="X431" s="6"/>
      <c r="Y431" s="6"/>
      <c r="Z431" s="6"/>
      <c r="AA431" s="6"/>
      <c r="AB431" s="6"/>
      <c r="AD431" s="6"/>
      <c r="AE431" s="6"/>
      <c r="AF431" s="6"/>
      <c r="AG431" s="6"/>
      <c r="AH431" s="6"/>
      <c r="AI431" s="6"/>
      <c r="AK431" s="6"/>
      <c r="AL431" s="6"/>
      <c r="AM431" s="6"/>
      <c r="AN431" s="6"/>
      <c r="AO431" s="6"/>
      <c r="AP431" s="6"/>
      <c r="AQ431" s="6"/>
      <c r="AR431" s="6"/>
      <c r="AS431" s="15"/>
      <c r="AT431" s="6" t="str">
        <f ca="1">IFERROR(__xludf.DUMMYFUNCTION("SWITCH(IF(A431=""Practice"",AN431,FILTER('Items by Team'!E$2:E3410,'Items by Team'!C$2:C3410=D431,B431='Items by Team'!B$2:B3410)),""None"",""No"",""Parked"",""P"",""ShallowCage"",""Sc"",""DeepCage"",""Dc"",""No"",""No"",""P"",""P"",""Sc"",""Sc"",""Dc"","&amp;"""Dc"")"),"#REF!")</f>
        <v>#REF!</v>
      </c>
      <c r="AU431" s="6" t="str">
        <f ca="1">IFERROR(__xludf.DUMMYFUNCTION("SWITCH(IF(A431 = ""Practice"", H431, FILTER('Items by Team'!D$2:D3410,'Items by Team'!C$2:C3410 = D431,'Items by Team'!B$2:B3410 = B431)), ""Yes"", ""TRUE"", ""No"", ""FALSE"",TRUE, ""TRUE"", FALSE, ""FALSE"")"),"#REF!")</f>
        <v>#REF!</v>
      </c>
      <c r="AV431" s="6">
        <f t="shared" si="21"/>
        <v>0</v>
      </c>
      <c r="AW431" s="6">
        <f t="shared" si="22"/>
        <v>0</v>
      </c>
      <c r="AX431" s="6">
        <f t="shared" si="23"/>
        <v>0</v>
      </c>
      <c r="AY431" s="6">
        <f t="shared" si="24"/>
        <v>0</v>
      </c>
      <c r="AZ431" s="9" t="str">
        <f t="shared" si="25"/>
        <v/>
      </c>
      <c r="BA431" s="6">
        <f t="shared" si="26"/>
        <v>0</v>
      </c>
      <c r="BB431" s="6">
        <f t="shared" si="27"/>
        <v>0</v>
      </c>
      <c r="BC431" s="9" t="str">
        <f t="shared" si="28"/>
        <v/>
      </c>
      <c r="BD431" s="6">
        <f t="shared" si="29"/>
        <v>0</v>
      </c>
      <c r="BE431" s="6">
        <f t="shared" si="30"/>
        <v>0</v>
      </c>
      <c r="BF431" s="9" t="str">
        <f t="shared" si="31"/>
        <v/>
      </c>
      <c r="BG431" s="6">
        <f t="shared" si="32"/>
        <v>0</v>
      </c>
      <c r="BH431" s="6">
        <f t="shared" si="33"/>
        <v>0</v>
      </c>
      <c r="BI431" s="9" t="str">
        <f t="shared" si="34"/>
        <v/>
      </c>
      <c r="BJ431" s="6">
        <f t="shared" si="35"/>
        <v>0</v>
      </c>
      <c r="BK431" s="6">
        <f t="shared" si="36"/>
        <v>0</v>
      </c>
      <c r="BL431" s="6">
        <f t="shared" si="37"/>
        <v>0</v>
      </c>
      <c r="BM431" s="6">
        <f t="shared" si="38"/>
        <v>0</v>
      </c>
      <c r="BN431" s="6">
        <f t="shared" si="39"/>
        <v>0</v>
      </c>
      <c r="BP431" s="6">
        <f t="shared" si="40"/>
        <v>0</v>
      </c>
      <c r="BQ431" s="6" t="b">
        <f ca="1">IFERROR(__xludf.DUMMYFUNCTION("IF(AND(ISERROR(FILTER('Items by Team'!D$2:D3410,'Items by Team'!C$2:C3410 = D431,'Items by Team'!B$2:B3410 = B431)),NOT(A431=""Practice"")),TRUE,FALSE)"),FALSE)</f>
        <v>0</v>
      </c>
      <c r="BR431" s="6">
        <f t="shared" ca="1" si="41"/>
        <v>0</v>
      </c>
    </row>
    <row r="432" spans="1:70">
      <c r="A432" s="6"/>
      <c r="B432" s="6"/>
      <c r="C432" s="6"/>
      <c r="D432" s="6"/>
      <c r="E432" s="6"/>
      <c r="F432" s="6"/>
      <c r="G432" s="6"/>
      <c r="H432" s="6"/>
      <c r="I432" s="6"/>
      <c r="J432" s="6"/>
      <c r="K432" s="6"/>
      <c r="L432" s="6"/>
      <c r="M432" s="6"/>
      <c r="N432" s="6"/>
      <c r="O432" s="6"/>
      <c r="P432" s="6"/>
      <c r="R432" s="6"/>
      <c r="S432" s="6"/>
      <c r="T432" s="6"/>
      <c r="U432" s="6"/>
      <c r="V432" s="6"/>
      <c r="W432" s="6"/>
      <c r="X432" s="6"/>
      <c r="Y432" s="6"/>
      <c r="Z432" s="6"/>
      <c r="AA432" s="6"/>
      <c r="AB432" s="6"/>
      <c r="AD432" s="6"/>
      <c r="AE432" s="6"/>
      <c r="AF432" s="6"/>
      <c r="AG432" s="6"/>
      <c r="AH432" s="6"/>
      <c r="AI432" s="6"/>
      <c r="AK432" s="6"/>
      <c r="AL432" s="6"/>
      <c r="AM432" s="6"/>
      <c r="AN432" s="6"/>
      <c r="AO432" s="6"/>
      <c r="AP432" s="6"/>
      <c r="AQ432" s="6"/>
      <c r="AR432" s="6"/>
      <c r="AS432" s="15"/>
      <c r="AT432" s="6" t="str">
        <f ca="1">IFERROR(__xludf.DUMMYFUNCTION("SWITCH(IF(A432=""Practice"",AN432,FILTER('Items by Team'!E$2:E3410,'Items by Team'!C$2:C3410=D432,B432='Items by Team'!B$2:B3410)),""None"",""No"",""Parked"",""P"",""ShallowCage"",""Sc"",""DeepCage"",""Dc"",""No"",""No"",""P"",""P"",""Sc"",""Sc"",""Dc"","&amp;"""Dc"")"),"#REF!")</f>
        <v>#REF!</v>
      </c>
      <c r="AU432" s="6" t="str">
        <f ca="1">IFERROR(__xludf.DUMMYFUNCTION("SWITCH(IF(A432 = ""Practice"", H432, FILTER('Items by Team'!D$2:D3410,'Items by Team'!C$2:C3410 = D432,'Items by Team'!B$2:B3410 = B432)), ""Yes"", ""TRUE"", ""No"", ""FALSE"",TRUE, ""TRUE"", FALSE, ""FALSE"")"),"#REF!")</f>
        <v>#REF!</v>
      </c>
      <c r="AV432" s="6">
        <f t="shared" si="21"/>
        <v>0</v>
      </c>
      <c r="AW432" s="6">
        <f t="shared" si="22"/>
        <v>0</v>
      </c>
      <c r="AX432" s="6">
        <f t="shared" si="23"/>
        <v>0</v>
      </c>
      <c r="AY432" s="6">
        <f t="shared" si="24"/>
        <v>0</v>
      </c>
      <c r="AZ432" s="9" t="str">
        <f t="shared" si="25"/>
        <v/>
      </c>
      <c r="BA432" s="6">
        <f t="shared" si="26"/>
        <v>0</v>
      </c>
      <c r="BB432" s="6">
        <f t="shared" si="27"/>
        <v>0</v>
      </c>
      <c r="BC432" s="9" t="str">
        <f t="shared" si="28"/>
        <v/>
      </c>
      <c r="BD432" s="6">
        <f t="shared" si="29"/>
        <v>0</v>
      </c>
      <c r="BE432" s="6">
        <f t="shared" si="30"/>
        <v>0</v>
      </c>
      <c r="BF432" s="9" t="str">
        <f t="shared" si="31"/>
        <v/>
      </c>
      <c r="BG432" s="6">
        <f t="shared" si="32"/>
        <v>0</v>
      </c>
      <c r="BH432" s="6">
        <f t="shared" si="33"/>
        <v>0</v>
      </c>
      <c r="BI432" s="9" t="str">
        <f t="shared" si="34"/>
        <v/>
      </c>
      <c r="BJ432" s="6">
        <f t="shared" si="35"/>
        <v>0</v>
      </c>
      <c r="BK432" s="6">
        <f t="shared" si="36"/>
        <v>0</v>
      </c>
      <c r="BL432" s="6">
        <f t="shared" si="37"/>
        <v>0</v>
      </c>
      <c r="BM432" s="6">
        <f t="shared" si="38"/>
        <v>0</v>
      </c>
      <c r="BN432" s="6">
        <f t="shared" si="39"/>
        <v>0</v>
      </c>
      <c r="BP432" s="6">
        <f t="shared" si="40"/>
        <v>0</v>
      </c>
      <c r="BQ432" s="6" t="b">
        <f ca="1">IFERROR(__xludf.DUMMYFUNCTION("IF(AND(ISERROR(FILTER('Items by Team'!D$2:D3410,'Items by Team'!C$2:C3410 = D432,'Items by Team'!B$2:B3410 = B432)),NOT(A432=""Practice"")),TRUE,FALSE)"),FALSE)</f>
        <v>0</v>
      </c>
      <c r="BR432" s="6">
        <f t="shared" ca="1" si="41"/>
        <v>0</v>
      </c>
    </row>
    <row r="433" spans="1:70">
      <c r="A433" s="6"/>
      <c r="B433" s="6"/>
      <c r="C433" s="6"/>
      <c r="D433" s="6"/>
      <c r="E433" s="6"/>
      <c r="F433" s="6"/>
      <c r="G433" s="6"/>
      <c r="H433" s="6"/>
      <c r="I433" s="6"/>
      <c r="J433" s="6"/>
      <c r="K433" s="6"/>
      <c r="L433" s="6"/>
      <c r="M433" s="6"/>
      <c r="N433" s="6"/>
      <c r="O433" s="6"/>
      <c r="P433" s="6"/>
      <c r="R433" s="6"/>
      <c r="S433" s="6"/>
      <c r="T433" s="6"/>
      <c r="U433" s="6"/>
      <c r="V433" s="6"/>
      <c r="W433" s="6"/>
      <c r="X433" s="6"/>
      <c r="Y433" s="6"/>
      <c r="Z433" s="6"/>
      <c r="AA433" s="6"/>
      <c r="AB433" s="6"/>
      <c r="AD433" s="6"/>
      <c r="AE433" s="6"/>
      <c r="AF433" s="6"/>
      <c r="AG433" s="6"/>
      <c r="AH433" s="6"/>
      <c r="AI433" s="6"/>
      <c r="AK433" s="6"/>
      <c r="AL433" s="6"/>
      <c r="AM433" s="6"/>
      <c r="AN433" s="6"/>
      <c r="AO433" s="6"/>
      <c r="AP433" s="6"/>
      <c r="AQ433" s="6"/>
      <c r="AR433" s="6"/>
      <c r="AS433" s="15"/>
      <c r="AT433" s="6" t="str">
        <f ca="1">IFERROR(__xludf.DUMMYFUNCTION("SWITCH(IF(A433=""Practice"",AN433,FILTER('Items by Team'!E$2:E3410,'Items by Team'!C$2:C3410=D433,B433='Items by Team'!B$2:B3410)),""None"",""No"",""Parked"",""P"",""ShallowCage"",""Sc"",""DeepCage"",""Dc"",""No"",""No"",""P"",""P"",""Sc"",""Sc"",""Dc"","&amp;"""Dc"")"),"#REF!")</f>
        <v>#REF!</v>
      </c>
      <c r="AU433" s="6" t="str">
        <f ca="1">IFERROR(__xludf.DUMMYFUNCTION("SWITCH(IF(A433 = ""Practice"", H433, FILTER('Items by Team'!D$2:D3410,'Items by Team'!C$2:C3410 = D433,'Items by Team'!B$2:B3410 = B433)), ""Yes"", ""TRUE"", ""No"", ""FALSE"",TRUE, ""TRUE"", FALSE, ""FALSE"")"),"#REF!")</f>
        <v>#REF!</v>
      </c>
      <c r="AV433" s="6">
        <f t="shared" si="21"/>
        <v>0</v>
      </c>
      <c r="AW433" s="6">
        <f t="shared" si="22"/>
        <v>0</v>
      </c>
      <c r="AX433" s="6">
        <f t="shared" si="23"/>
        <v>0</v>
      </c>
      <c r="AY433" s="6">
        <f t="shared" si="24"/>
        <v>0</v>
      </c>
      <c r="AZ433" s="9" t="str">
        <f t="shared" si="25"/>
        <v/>
      </c>
      <c r="BA433" s="6">
        <f t="shared" si="26"/>
        <v>0</v>
      </c>
      <c r="BB433" s="6">
        <f t="shared" si="27"/>
        <v>0</v>
      </c>
      <c r="BC433" s="9" t="str">
        <f t="shared" si="28"/>
        <v/>
      </c>
      <c r="BD433" s="6">
        <f t="shared" si="29"/>
        <v>0</v>
      </c>
      <c r="BE433" s="6">
        <f t="shared" si="30"/>
        <v>0</v>
      </c>
      <c r="BF433" s="9" t="str">
        <f t="shared" si="31"/>
        <v/>
      </c>
      <c r="BG433" s="6">
        <f t="shared" si="32"/>
        <v>0</v>
      </c>
      <c r="BH433" s="6">
        <f t="shared" si="33"/>
        <v>0</v>
      </c>
      <c r="BI433" s="9" t="str">
        <f t="shared" si="34"/>
        <v/>
      </c>
      <c r="BJ433" s="6">
        <f t="shared" si="35"/>
        <v>0</v>
      </c>
      <c r="BK433" s="6">
        <f t="shared" si="36"/>
        <v>0</v>
      </c>
      <c r="BL433" s="6">
        <f t="shared" si="37"/>
        <v>0</v>
      </c>
      <c r="BM433" s="6">
        <f t="shared" si="38"/>
        <v>0</v>
      </c>
      <c r="BN433" s="6">
        <f t="shared" si="39"/>
        <v>0</v>
      </c>
      <c r="BP433" s="6">
        <f t="shared" si="40"/>
        <v>0</v>
      </c>
      <c r="BQ433" s="6" t="b">
        <f ca="1">IFERROR(__xludf.DUMMYFUNCTION("IF(AND(ISERROR(FILTER('Items by Team'!D$2:D3410,'Items by Team'!C$2:C3410 = D433,'Items by Team'!B$2:B3410 = B433)),NOT(A433=""Practice"")),TRUE,FALSE)"),FALSE)</f>
        <v>0</v>
      </c>
      <c r="BR433" s="6">
        <f t="shared" ca="1" si="41"/>
        <v>0</v>
      </c>
    </row>
    <row r="434" spans="1:70">
      <c r="A434" s="6"/>
      <c r="B434" s="6"/>
      <c r="C434" s="6"/>
      <c r="D434" s="6"/>
      <c r="E434" s="6"/>
      <c r="F434" s="6"/>
      <c r="G434" s="6"/>
      <c r="H434" s="6"/>
      <c r="I434" s="6"/>
      <c r="J434" s="6"/>
      <c r="K434" s="6"/>
      <c r="L434" s="6"/>
      <c r="M434" s="6"/>
      <c r="N434" s="6"/>
      <c r="O434" s="6"/>
      <c r="P434" s="6"/>
      <c r="R434" s="6"/>
      <c r="S434" s="6"/>
      <c r="T434" s="6"/>
      <c r="U434" s="6"/>
      <c r="V434" s="6"/>
      <c r="W434" s="6"/>
      <c r="X434" s="6"/>
      <c r="Y434" s="6"/>
      <c r="Z434" s="6"/>
      <c r="AA434" s="6"/>
      <c r="AB434" s="6"/>
      <c r="AD434" s="6"/>
      <c r="AE434" s="6"/>
      <c r="AF434" s="6"/>
      <c r="AG434" s="6"/>
      <c r="AH434" s="6"/>
      <c r="AI434" s="6"/>
      <c r="AK434" s="6"/>
      <c r="AL434" s="6"/>
      <c r="AM434" s="6"/>
      <c r="AN434" s="6"/>
      <c r="AO434" s="6"/>
      <c r="AP434" s="6"/>
      <c r="AQ434" s="6"/>
      <c r="AR434" s="6"/>
      <c r="AS434" s="15"/>
      <c r="AT434" s="6" t="str">
        <f ca="1">IFERROR(__xludf.DUMMYFUNCTION("SWITCH(IF(A434=""Practice"",AN434,FILTER('Items by Team'!E$2:E3410,'Items by Team'!C$2:C3410=D434,B434='Items by Team'!B$2:B3410)),""None"",""No"",""Parked"",""P"",""ShallowCage"",""Sc"",""DeepCage"",""Dc"",""No"",""No"",""P"",""P"",""Sc"",""Sc"",""Dc"","&amp;"""Dc"")"),"#REF!")</f>
        <v>#REF!</v>
      </c>
      <c r="AU434" s="6" t="str">
        <f ca="1">IFERROR(__xludf.DUMMYFUNCTION("SWITCH(IF(A434 = ""Practice"", H434, FILTER('Items by Team'!D$2:D3410,'Items by Team'!C$2:C3410 = D434,'Items by Team'!B$2:B3410 = B434)), ""Yes"", ""TRUE"", ""No"", ""FALSE"",TRUE, ""TRUE"", FALSE, ""FALSE"")"),"#REF!")</f>
        <v>#REF!</v>
      </c>
      <c r="AV434" s="6">
        <f t="shared" si="21"/>
        <v>0</v>
      </c>
      <c r="AW434" s="6">
        <f t="shared" si="22"/>
        <v>0</v>
      </c>
      <c r="AX434" s="6">
        <f t="shared" si="23"/>
        <v>0</v>
      </c>
      <c r="AY434" s="6">
        <f t="shared" si="24"/>
        <v>0</v>
      </c>
      <c r="AZ434" s="9" t="str">
        <f t="shared" si="25"/>
        <v/>
      </c>
      <c r="BA434" s="6">
        <f t="shared" si="26"/>
        <v>0</v>
      </c>
      <c r="BB434" s="6">
        <f t="shared" si="27"/>
        <v>0</v>
      </c>
      <c r="BC434" s="9" t="str">
        <f t="shared" si="28"/>
        <v/>
      </c>
      <c r="BD434" s="6">
        <f t="shared" si="29"/>
        <v>0</v>
      </c>
      <c r="BE434" s="6">
        <f t="shared" si="30"/>
        <v>0</v>
      </c>
      <c r="BF434" s="9" t="str">
        <f t="shared" si="31"/>
        <v/>
      </c>
      <c r="BG434" s="6">
        <f t="shared" si="32"/>
        <v>0</v>
      </c>
      <c r="BH434" s="6">
        <f t="shared" si="33"/>
        <v>0</v>
      </c>
      <c r="BI434" s="9" t="str">
        <f t="shared" si="34"/>
        <v/>
      </c>
      <c r="BJ434" s="6">
        <f t="shared" si="35"/>
        <v>0</v>
      </c>
      <c r="BK434" s="6">
        <f t="shared" si="36"/>
        <v>0</v>
      </c>
      <c r="BL434" s="6">
        <f t="shared" si="37"/>
        <v>0</v>
      </c>
      <c r="BM434" s="6">
        <f t="shared" si="38"/>
        <v>0</v>
      </c>
      <c r="BN434" s="6">
        <f t="shared" si="39"/>
        <v>0</v>
      </c>
      <c r="BP434" s="6">
        <f t="shared" si="40"/>
        <v>0</v>
      </c>
      <c r="BQ434" s="6" t="b">
        <f ca="1">IFERROR(__xludf.DUMMYFUNCTION("IF(AND(ISERROR(FILTER('Items by Team'!D$2:D3410,'Items by Team'!C$2:C3410 = D434,'Items by Team'!B$2:B3410 = B434)),NOT(A434=""Practice"")),TRUE,FALSE)"),FALSE)</f>
        <v>0</v>
      </c>
      <c r="BR434" s="6">
        <f t="shared" ca="1" si="41"/>
        <v>0</v>
      </c>
    </row>
    <row r="435" spans="1:70">
      <c r="A435" s="6"/>
      <c r="B435" s="6"/>
      <c r="C435" s="6"/>
      <c r="D435" s="6"/>
      <c r="E435" s="6"/>
      <c r="F435" s="6"/>
      <c r="G435" s="6"/>
      <c r="H435" s="6"/>
      <c r="I435" s="6"/>
      <c r="J435" s="6"/>
      <c r="K435" s="6"/>
      <c r="L435" s="6"/>
      <c r="M435" s="6"/>
      <c r="N435" s="6"/>
      <c r="O435" s="6"/>
      <c r="P435" s="6"/>
      <c r="R435" s="6"/>
      <c r="S435" s="6"/>
      <c r="T435" s="6"/>
      <c r="U435" s="6"/>
      <c r="V435" s="6"/>
      <c r="W435" s="6"/>
      <c r="X435" s="6"/>
      <c r="Y435" s="6"/>
      <c r="Z435" s="6"/>
      <c r="AA435" s="6"/>
      <c r="AB435" s="6"/>
      <c r="AD435" s="6"/>
      <c r="AE435" s="6"/>
      <c r="AF435" s="6"/>
      <c r="AG435" s="6"/>
      <c r="AH435" s="6"/>
      <c r="AI435" s="6"/>
      <c r="AK435" s="6"/>
      <c r="AL435" s="6"/>
      <c r="AM435" s="6"/>
      <c r="AN435" s="6"/>
      <c r="AO435" s="6"/>
      <c r="AP435" s="6"/>
      <c r="AQ435" s="6"/>
      <c r="AR435" s="6"/>
      <c r="AS435" s="15"/>
      <c r="AT435" s="6" t="str">
        <f ca="1">IFERROR(__xludf.DUMMYFUNCTION("SWITCH(IF(A435=""Practice"",AN435,FILTER('Items by Team'!E$2:E3410,'Items by Team'!C$2:C3410=D435,B435='Items by Team'!B$2:B3410)),""None"",""No"",""Parked"",""P"",""ShallowCage"",""Sc"",""DeepCage"",""Dc"",""No"",""No"",""P"",""P"",""Sc"",""Sc"",""Dc"","&amp;"""Dc"")"),"#REF!")</f>
        <v>#REF!</v>
      </c>
      <c r="AU435" s="6" t="str">
        <f ca="1">IFERROR(__xludf.DUMMYFUNCTION("SWITCH(IF(A435 = ""Practice"", H435, FILTER('Items by Team'!D$2:D3410,'Items by Team'!C$2:C3410 = D435,'Items by Team'!B$2:B3410 = B435)), ""Yes"", ""TRUE"", ""No"", ""FALSE"",TRUE, ""TRUE"", FALSE, ""FALSE"")"),"#REF!")</f>
        <v>#REF!</v>
      </c>
      <c r="AV435" s="6">
        <f t="shared" si="21"/>
        <v>0</v>
      </c>
      <c r="AW435" s="6">
        <f t="shared" si="22"/>
        <v>0</v>
      </c>
      <c r="AX435" s="6">
        <f t="shared" si="23"/>
        <v>0</v>
      </c>
      <c r="AY435" s="6">
        <f t="shared" si="24"/>
        <v>0</v>
      </c>
      <c r="AZ435" s="9" t="str">
        <f t="shared" si="25"/>
        <v/>
      </c>
      <c r="BA435" s="6">
        <f t="shared" si="26"/>
        <v>0</v>
      </c>
      <c r="BB435" s="6">
        <f t="shared" si="27"/>
        <v>0</v>
      </c>
      <c r="BC435" s="9" t="str">
        <f t="shared" si="28"/>
        <v/>
      </c>
      <c r="BD435" s="6">
        <f t="shared" si="29"/>
        <v>0</v>
      </c>
      <c r="BE435" s="6">
        <f t="shared" si="30"/>
        <v>0</v>
      </c>
      <c r="BF435" s="9" t="str">
        <f t="shared" si="31"/>
        <v/>
      </c>
      <c r="BG435" s="6">
        <f t="shared" si="32"/>
        <v>0</v>
      </c>
      <c r="BH435" s="6">
        <f t="shared" si="33"/>
        <v>0</v>
      </c>
      <c r="BI435" s="9" t="str">
        <f t="shared" si="34"/>
        <v/>
      </c>
      <c r="BJ435" s="6">
        <f t="shared" si="35"/>
        <v>0</v>
      </c>
      <c r="BK435" s="6">
        <f t="shared" si="36"/>
        <v>0</v>
      </c>
      <c r="BL435" s="6">
        <f t="shared" si="37"/>
        <v>0</v>
      </c>
      <c r="BM435" s="6">
        <f t="shared" si="38"/>
        <v>0</v>
      </c>
      <c r="BN435" s="6">
        <f t="shared" si="39"/>
        <v>0</v>
      </c>
      <c r="BP435" s="6">
        <f t="shared" si="40"/>
        <v>0</v>
      </c>
      <c r="BQ435" s="6" t="b">
        <f ca="1">IFERROR(__xludf.DUMMYFUNCTION("IF(AND(ISERROR(FILTER('Items by Team'!D$2:D3410,'Items by Team'!C$2:C3410 = D435,'Items by Team'!B$2:B3410 = B435)),NOT(A435=""Practice"")),TRUE,FALSE)"),FALSE)</f>
        <v>0</v>
      </c>
      <c r="BR435" s="6">
        <f t="shared" ca="1" si="41"/>
        <v>0</v>
      </c>
    </row>
    <row r="436" spans="1:70">
      <c r="A436" s="6"/>
      <c r="B436" s="6"/>
      <c r="C436" s="6"/>
      <c r="D436" s="6"/>
      <c r="E436" s="6"/>
      <c r="F436" s="6"/>
      <c r="G436" s="6"/>
      <c r="H436" s="6"/>
      <c r="I436" s="6"/>
      <c r="J436" s="6"/>
      <c r="K436" s="6"/>
      <c r="L436" s="6"/>
      <c r="M436" s="6"/>
      <c r="N436" s="6"/>
      <c r="O436" s="6"/>
      <c r="P436" s="6"/>
      <c r="R436" s="6"/>
      <c r="S436" s="6"/>
      <c r="T436" s="6"/>
      <c r="U436" s="6"/>
      <c r="V436" s="6"/>
      <c r="W436" s="6"/>
      <c r="X436" s="6"/>
      <c r="Y436" s="6"/>
      <c r="Z436" s="6"/>
      <c r="AA436" s="6"/>
      <c r="AB436" s="6"/>
      <c r="AD436" s="6"/>
      <c r="AE436" s="6"/>
      <c r="AF436" s="6"/>
      <c r="AG436" s="6"/>
      <c r="AH436" s="6"/>
      <c r="AI436" s="6"/>
      <c r="AK436" s="6"/>
      <c r="AL436" s="6"/>
      <c r="AM436" s="6"/>
      <c r="AN436" s="6"/>
      <c r="AO436" s="6"/>
      <c r="AP436" s="6"/>
      <c r="AQ436" s="6"/>
      <c r="AR436" s="6"/>
      <c r="AS436" s="15"/>
      <c r="AT436" s="6" t="str">
        <f ca="1">IFERROR(__xludf.DUMMYFUNCTION("SWITCH(IF(A436=""Practice"",AN436,FILTER('Items by Team'!E$2:E3410,'Items by Team'!C$2:C3410=D436,B436='Items by Team'!B$2:B3410)),""None"",""No"",""Parked"",""P"",""ShallowCage"",""Sc"",""DeepCage"",""Dc"",""No"",""No"",""P"",""P"",""Sc"",""Sc"",""Dc"","&amp;"""Dc"")"),"#REF!")</f>
        <v>#REF!</v>
      </c>
      <c r="AU436" s="6" t="str">
        <f ca="1">IFERROR(__xludf.DUMMYFUNCTION("SWITCH(IF(A436 = ""Practice"", H436, FILTER('Items by Team'!D$2:D3410,'Items by Team'!C$2:C3410 = D436,'Items by Team'!B$2:B3410 = B436)), ""Yes"", ""TRUE"", ""No"", ""FALSE"",TRUE, ""TRUE"", FALSE, ""FALSE"")"),"#REF!")</f>
        <v>#REF!</v>
      </c>
      <c r="AV436" s="6">
        <f t="shared" si="21"/>
        <v>0</v>
      </c>
      <c r="AW436" s="6">
        <f t="shared" si="22"/>
        <v>0</v>
      </c>
      <c r="AX436" s="6">
        <f t="shared" si="23"/>
        <v>0</v>
      </c>
      <c r="AY436" s="6">
        <f t="shared" si="24"/>
        <v>0</v>
      </c>
      <c r="AZ436" s="9" t="str">
        <f t="shared" si="25"/>
        <v/>
      </c>
      <c r="BA436" s="6">
        <f t="shared" si="26"/>
        <v>0</v>
      </c>
      <c r="BB436" s="6">
        <f t="shared" si="27"/>
        <v>0</v>
      </c>
      <c r="BC436" s="9" t="str">
        <f t="shared" si="28"/>
        <v/>
      </c>
      <c r="BD436" s="6">
        <f t="shared" si="29"/>
        <v>0</v>
      </c>
      <c r="BE436" s="6">
        <f t="shared" si="30"/>
        <v>0</v>
      </c>
      <c r="BF436" s="9" t="str">
        <f t="shared" si="31"/>
        <v/>
      </c>
      <c r="BG436" s="6">
        <f t="shared" si="32"/>
        <v>0</v>
      </c>
      <c r="BH436" s="6">
        <f t="shared" si="33"/>
        <v>0</v>
      </c>
      <c r="BI436" s="9" t="str">
        <f t="shared" si="34"/>
        <v/>
      </c>
      <c r="BJ436" s="6">
        <f t="shared" si="35"/>
        <v>0</v>
      </c>
      <c r="BK436" s="6">
        <f t="shared" si="36"/>
        <v>0</v>
      </c>
      <c r="BL436" s="6">
        <f t="shared" si="37"/>
        <v>0</v>
      </c>
      <c r="BM436" s="6">
        <f t="shared" si="38"/>
        <v>0</v>
      </c>
      <c r="BN436" s="6">
        <f t="shared" si="39"/>
        <v>0</v>
      </c>
      <c r="BP436" s="6">
        <f t="shared" si="40"/>
        <v>0</v>
      </c>
      <c r="BQ436" s="6" t="b">
        <f ca="1">IFERROR(__xludf.DUMMYFUNCTION("IF(AND(ISERROR(FILTER('Items by Team'!D$2:D3410,'Items by Team'!C$2:C3410 = D436,'Items by Team'!B$2:B3410 = B436)),NOT(A436=""Practice"")),TRUE,FALSE)"),FALSE)</f>
        <v>0</v>
      </c>
      <c r="BR436" s="6">
        <f t="shared" ca="1" si="41"/>
        <v>0</v>
      </c>
    </row>
    <row r="437" spans="1:70">
      <c r="A437" s="6"/>
      <c r="B437" s="6"/>
      <c r="C437" s="6"/>
      <c r="D437" s="6"/>
      <c r="E437" s="6"/>
      <c r="F437" s="6"/>
      <c r="G437" s="6"/>
      <c r="H437" s="6"/>
      <c r="I437" s="6"/>
      <c r="J437" s="6"/>
      <c r="K437" s="6"/>
      <c r="L437" s="6"/>
      <c r="M437" s="6"/>
      <c r="N437" s="6"/>
      <c r="O437" s="6"/>
      <c r="P437" s="6"/>
      <c r="R437" s="6"/>
      <c r="S437" s="6"/>
      <c r="T437" s="6"/>
      <c r="U437" s="6"/>
      <c r="V437" s="6"/>
      <c r="W437" s="6"/>
      <c r="X437" s="6"/>
      <c r="Y437" s="6"/>
      <c r="Z437" s="6"/>
      <c r="AA437" s="6"/>
      <c r="AB437" s="6"/>
      <c r="AD437" s="6"/>
      <c r="AE437" s="6"/>
      <c r="AF437" s="6"/>
      <c r="AG437" s="6"/>
      <c r="AH437" s="6"/>
      <c r="AI437" s="6"/>
      <c r="AK437" s="6"/>
      <c r="AL437" s="6"/>
      <c r="AM437" s="6"/>
      <c r="AN437" s="6"/>
      <c r="AO437" s="6"/>
      <c r="AP437" s="6"/>
      <c r="AQ437" s="6"/>
      <c r="AR437" s="6"/>
      <c r="AS437" s="15"/>
      <c r="AT437" s="6" t="str">
        <f ca="1">IFERROR(__xludf.DUMMYFUNCTION("SWITCH(IF(A437=""Practice"",AN437,FILTER('Items by Team'!E$2:E3410,'Items by Team'!C$2:C3410=D437,B437='Items by Team'!B$2:B3410)),""None"",""No"",""Parked"",""P"",""ShallowCage"",""Sc"",""DeepCage"",""Dc"",""No"",""No"",""P"",""P"",""Sc"",""Sc"",""Dc"","&amp;"""Dc"")"),"#REF!")</f>
        <v>#REF!</v>
      </c>
      <c r="AU437" s="6" t="str">
        <f ca="1">IFERROR(__xludf.DUMMYFUNCTION("SWITCH(IF(A437 = ""Practice"", H437, FILTER('Items by Team'!D$2:D3410,'Items by Team'!C$2:C3410 = D437,'Items by Team'!B$2:B3410 = B437)), ""Yes"", ""TRUE"", ""No"", ""FALSE"",TRUE, ""TRUE"", FALSE, ""FALSE"")"),"#REF!")</f>
        <v>#REF!</v>
      </c>
      <c r="AV437" s="6">
        <f t="shared" si="21"/>
        <v>0</v>
      </c>
      <c r="AW437" s="6">
        <f t="shared" si="22"/>
        <v>0</v>
      </c>
      <c r="AX437" s="6">
        <f t="shared" si="23"/>
        <v>0</v>
      </c>
      <c r="AY437" s="6">
        <f t="shared" si="24"/>
        <v>0</v>
      </c>
      <c r="AZ437" s="9" t="str">
        <f t="shared" si="25"/>
        <v/>
      </c>
      <c r="BA437" s="6">
        <f t="shared" si="26"/>
        <v>0</v>
      </c>
      <c r="BB437" s="6">
        <f t="shared" si="27"/>
        <v>0</v>
      </c>
      <c r="BC437" s="9" t="str">
        <f t="shared" si="28"/>
        <v/>
      </c>
      <c r="BD437" s="6">
        <f t="shared" si="29"/>
        <v>0</v>
      </c>
      <c r="BE437" s="6">
        <f t="shared" si="30"/>
        <v>0</v>
      </c>
      <c r="BF437" s="9" t="str">
        <f t="shared" si="31"/>
        <v/>
      </c>
      <c r="BG437" s="6">
        <f t="shared" si="32"/>
        <v>0</v>
      </c>
      <c r="BH437" s="6">
        <f t="shared" si="33"/>
        <v>0</v>
      </c>
      <c r="BI437" s="9" t="str">
        <f t="shared" si="34"/>
        <v/>
      </c>
      <c r="BJ437" s="6">
        <f t="shared" si="35"/>
        <v>0</v>
      </c>
      <c r="BK437" s="6">
        <f t="shared" si="36"/>
        <v>0</v>
      </c>
      <c r="BL437" s="6">
        <f t="shared" si="37"/>
        <v>0</v>
      </c>
      <c r="BM437" s="6">
        <f t="shared" si="38"/>
        <v>0</v>
      </c>
      <c r="BN437" s="6">
        <f t="shared" si="39"/>
        <v>0</v>
      </c>
      <c r="BP437" s="6">
        <f t="shared" si="40"/>
        <v>0</v>
      </c>
      <c r="BQ437" s="6" t="b">
        <f ca="1">IFERROR(__xludf.DUMMYFUNCTION("IF(AND(ISERROR(FILTER('Items by Team'!D$2:D3410,'Items by Team'!C$2:C3410 = D437,'Items by Team'!B$2:B3410 = B437)),NOT(A437=""Practice"")),TRUE,FALSE)"),FALSE)</f>
        <v>0</v>
      </c>
      <c r="BR437" s="6">
        <f t="shared" ca="1" si="41"/>
        <v>0</v>
      </c>
    </row>
    <row r="438" spans="1:70">
      <c r="A438" s="6"/>
      <c r="B438" s="6"/>
      <c r="C438" s="6"/>
      <c r="D438" s="6"/>
      <c r="E438" s="6"/>
      <c r="F438" s="6"/>
      <c r="G438" s="6"/>
      <c r="H438" s="6"/>
      <c r="I438" s="6"/>
      <c r="J438" s="6"/>
      <c r="K438" s="6"/>
      <c r="L438" s="6"/>
      <c r="M438" s="6"/>
      <c r="N438" s="6"/>
      <c r="O438" s="6"/>
      <c r="P438" s="6"/>
      <c r="R438" s="6"/>
      <c r="S438" s="6"/>
      <c r="T438" s="6"/>
      <c r="U438" s="6"/>
      <c r="V438" s="6"/>
      <c r="W438" s="6"/>
      <c r="X438" s="6"/>
      <c r="Y438" s="6"/>
      <c r="Z438" s="6"/>
      <c r="AA438" s="6"/>
      <c r="AB438" s="6"/>
      <c r="AD438" s="6"/>
      <c r="AE438" s="6"/>
      <c r="AF438" s="6"/>
      <c r="AG438" s="6"/>
      <c r="AH438" s="6"/>
      <c r="AI438" s="6"/>
      <c r="AK438" s="6"/>
      <c r="AL438" s="6"/>
      <c r="AM438" s="6"/>
      <c r="AN438" s="6"/>
      <c r="AO438" s="6"/>
      <c r="AP438" s="6"/>
      <c r="AQ438" s="6"/>
      <c r="AR438" s="6"/>
      <c r="AS438" s="15"/>
      <c r="AT438" s="6" t="str">
        <f ca="1">IFERROR(__xludf.DUMMYFUNCTION("SWITCH(IF(A438=""Practice"",AN438,FILTER('Items by Team'!E$2:E3410,'Items by Team'!C$2:C3410=D438,B438='Items by Team'!B$2:B3410)),""None"",""No"",""Parked"",""P"",""ShallowCage"",""Sc"",""DeepCage"",""Dc"",""No"",""No"",""P"",""P"",""Sc"",""Sc"",""Dc"","&amp;"""Dc"")"),"#REF!")</f>
        <v>#REF!</v>
      </c>
      <c r="AU438" s="6" t="str">
        <f ca="1">IFERROR(__xludf.DUMMYFUNCTION("SWITCH(IF(A438 = ""Practice"", H438, FILTER('Items by Team'!D$2:D3410,'Items by Team'!C$2:C3410 = D438,'Items by Team'!B$2:B3410 = B438)), ""Yes"", ""TRUE"", ""No"", ""FALSE"",TRUE, ""TRUE"", FALSE, ""FALSE"")"),"#REF!")</f>
        <v>#REF!</v>
      </c>
      <c r="AV438" s="6">
        <f t="shared" si="21"/>
        <v>0</v>
      </c>
      <c r="AW438" s="6">
        <f t="shared" si="22"/>
        <v>0</v>
      </c>
      <c r="AX438" s="6">
        <f t="shared" si="23"/>
        <v>0</v>
      </c>
      <c r="AY438" s="6">
        <f t="shared" si="24"/>
        <v>0</v>
      </c>
      <c r="AZ438" s="9" t="str">
        <f t="shared" si="25"/>
        <v/>
      </c>
      <c r="BA438" s="6">
        <f t="shared" si="26"/>
        <v>0</v>
      </c>
      <c r="BB438" s="6">
        <f t="shared" si="27"/>
        <v>0</v>
      </c>
      <c r="BC438" s="9" t="str">
        <f t="shared" si="28"/>
        <v/>
      </c>
      <c r="BD438" s="6">
        <f t="shared" si="29"/>
        <v>0</v>
      </c>
      <c r="BE438" s="6">
        <f t="shared" si="30"/>
        <v>0</v>
      </c>
      <c r="BF438" s="9" t="str">
        <f t="shared" si="31"/>
        <v/>
      </c>
      <c r="BG438" s="6">
        <f t="shared" si="32"/>
        <v>0</v>
      </c>
      <c r="BH438" s="6">
        <f t="shared" si="33"/>
        <v>0</v>
      </c>
      <c r="BI438" s="9" t="str">
        <f t="shared" si="34"/>
        <v/>
      </c>
      <c r="BJ438" s="6">
        <f t="shared" si="35"/>
        <v>0</v>
      </c>
      <c r="BK438" s="6">
        <f t="shared" si="36"/>
        <v>0</v>
      </c>
      <c r="BL438" s="6">
        <f t="shared" si="37"/>
        <v>0</v>
      </c>
      <c r="BM438" s="6">
        <f t="shared" si="38"/>
        <v>0</v>
      </c>
      <c r="BN438" s="6">
        <f t="shared" si="39"/>
        <v>0</v>
      </c>
      <c r="BP438" s="6">
        <f t="shared" si="40"/>
        <v>0</v>
      </c>
      <c r="BQ438" s="6" t="b">
        <f ca="1">IFERROR(__xludf.DUMMYFUNCTION("IF(AND(ISERROR(FILTER('Items by Team'!D$2:D3410,'Items by Team'!C$2:C3410 = D438,'Items by Team'!B$2:B3410 = B438)),NOT(A438=""Practice"")),TRUE,FALSE)"),FALSE)</f>
        <v>0</v>
      </c>
      <c r="BR438" s="6">
        <f t="shared" ca="1" si="41"/>
        <v>0</v>
      </c>
    </row>
    <row r="439" spans="1:70">
      <c r="A439" s="6"/>
      <c r="B439" s="6"/>
      <c r="C439" s="6"/>
      <c r="D439" s="6"/>
      <c r="E439" s="6"/>
      <c r="F439" s="6"/>
      <c r="G439" s="6"/>
      <c r="H439" s="6"/>
      <c r="I439" s="6"/>
      <c r="J439" s="6"/>
      <c r="K439" s="6"/>
      <c r="L439" s="6"/>
      <c r="M439" s="6"/>
      <c r="N439" s="6"/>
      <c r="O439" s="6"/>
      <c r="P439" s="6"/>
      <c r="R439" s="6"/>
      <c r="S439" s="6"/>
      <c r="T439" s="6"/>
      <c r="U439" s="6"/>
      <c r="V439" s="6"/>
      <c r="W439" s="6"/>
      <c r="X439" s="6"/>
      <c r="Y439" s="6"/>
      <c r="Z439" s="6"/>
      <c r="AA439" s="6"/>
      <c r="AB439" s="6"/>
      <c r="AD439" s="6"/>
      <c r="AE439" s="6"/>
      <c r="AF439" s="6"/>
      <c r="AG439" s="6"/>
      <c r="AH439" s="6"/>
      <c r="AI439" s="6"/>
      <c r="AK439" s="6"/>
      <c r="AL439" s="6"/>
      <c r="AM439" s="6"/>
      <c r="AN439" s="6"/>
      <c r="AO439" s="6"/>
      <c r="AP439" s="6"/>
      <c r="AQ439" s="6"/>
      <c r="AR439" s="6"/>
      <c r="AS439" s="15"/>
      <c r="AT439" s="6" t="str">
        <f ca="1">IFERROR(__xludf.DUMMYFUNCTION("SWITCH(IF(A439=""Practice"",AN439,FILTER('Items by Team'!E$2:E3410,'Items by Team'!C$2:C3410=D439,B439='Items by Team'!B$2:B3410)),""None"",""No"",""Parked"",""P"",""ShallowCage"",""Sc"",""DeepCage"",""Dc"",""No"",""No"",""P"",""P"",""Sc"",""Sc"",""Dc"","&amp;"""Dc"")"),"#REF!")</f>
        <v>#REF!</v>
      </c>
      <c r="AU439" s="6" t="str">
        <f ca="1">IFERROR(__xludf.DUMMYFUNCTION("SWITCH(IF(A439 = ""Practice"", H439, FILTER('Items by Team'!D$2:D3410,'Items by Team'!C$2:C3410 = D439,'Items by Team'!B$2:B3410 = B439)), ""Yes"", ""TRUE"", ""No"", ""FALSE"",TRUE, ""TRUE"", FALSE, ""FALSE"")"),"#REF!")</f>
        <v>#REF!</v>
      </c>
      <c r="AV439" s="6">
        <f t="shared" si="21"/>
        <v>0</v>
      </c>
      <c r="AW439" s="6">
        <f t="shared" si="22"/>
        <v>0</v>
      </c>
      <c r="AX439" s="6">
        <f t="shared" si="23"/>
        <v>0</v>
      </c>
      <c r="AY439" s="6">
        <f t="shared" si="24"/>
        <v>0</v>
      </c>
      <c r="AZ439" s="9" t="str">
        <f t="shared" si="25"/>
        <v/>
      </c>
      <c r="BA439" s="6">
        <f t="shared" si="26"/>
        <v>0</v>
      </c>
      <c r="BB439" s="6">
        <f t="shared" si="27"/>
        <v>0</v>
      </c>
      <c r="BC439" s="9" t="str">
        <f t="shared" si="28"/>
        <v/>
      </c>
      <c r="BD439" s="6">
        <f t="shared" si="29"/>
        <v>0</v>
      </c>
      <c r="BE439" s="6">
        <f t="shared" si="30"/>
        <v>0</v>
      </c>
      <c r="BF439" s="9" t="str">
        <f t="shared" si="31"/>
        <v/>
      </c>
      <c r="BG439" s="6">
        <f t="shared" si="32"/>
        <v>0</v>
      </c>
      <c r="BH439" s="6">
        <f t="shared" si="33"/>
        <v>0</v>
      </c>
      <c r="BI439" s="9" t="str">
        <f t="shared" si="34"/>
        <v/>
      </c>
      <c r="BJ439" s="6">
        <f t="shared" si="35"/>
        <v>0</v>
      </c>
      <c r="BK439" s="6">
        <f t="shared" si="36"/>
        <v>0</v>
      </c>
      <c r="BL439" s="6">
        <f t="shared" si="37"/>
        <v>0</v>
      </c>
      <c r="BM439" s="6">
        <f t="shared" si="38"/>
        <v>0</v>
      </c>
      <c r="BN439" s="6">
        <f t="shared" si="39"/>
        <v>0</v>
      </c>
      <c r="BP439" s="6">
        <f t="shared" si="40"/>
        <v>0</v>
      </c>
      <c r="BQ439" s="6" t="b">
        <f ca="1">IFERROR(__xludf.DUMMYFUNCTION("IF(AND(ISERROR(FILTER('Items by Team'!D$2:D3410,'Items by Team'!C$2:C3410 = D439,'Items by Team'!B$2:B3410 = B439)),NOT(A439=""Practice"")),TRUE,FALSE)"),FALSE)</f>
        <v>0</v>
      </c>
      <c r="BR439" s="6">
        <f t="shared" ca="1" si="41"/>
        <v>0</v>
      </c>
    </row>
    <row r="440" spans="1:70">
      <c r="A440" s="6"/>
      <c r="B440" s="6"/>
      <c r="C440" s="6"/>
      <c r="D440" s="6"/>
      <c r="E440" s="6"/>
      <c r="F440" s="6"/>
      <c r="G440" s="6"/>
      <c r="H440" s="6"/>
      <c r="I440" s="6"/>
      <c r="J440" s="6"/>
      <c r="K440" s="6"/>
      <c r="L440" s="6"/>
      <c r="M440" s="6"/>
      <c r="N440" s="6"/>
      <c r="O440" s="6"/>
      <c r="P440" s="6"/>
      <c r="R440" s="6"/>
      <c r="S440" s="6"/>
      <c r="T440" s="6"/>
      <c r="U440" s="6"/>
      <c r="V440" s="6"/>
      <c r="W440" s="6"/>
      <c r="X440" s="6"/>
      <c r="Y440" s="6"/>
      <c r="Z440" s="6"/>
      <c r="AA440" s="6"/>
      <c r="AB440" s="6"/>
      <c r="AD440" s="6"/>
      <c r="AE440" s="6"/>
      <c r="AF440" s="6"/>
      <c r="AG440" s="6"/>
      <c r="AH440" s="6"/>
      <c r="AI440" s="6"/>
      <c r="AK440" s="6"/>
      <c r="AL440" s="6"/>
      <c r="AM440" s="6"/>
      <c r="AN440" s="6"/>
      <c r="AO440" s="6"/>
      <c r="AP440" s="6"/>
      <c r="AQ440" s="6"/>
      <c r="AR440" s="6"/>
      <c r="AS440" s="15"/>
      <c r="AT440" s="6" t="str">
        <f ca="1">IFERROR(__xludf.DUMMYFUNCTION("SWITCH(IF(A440=""Practice"",AN440,FILTER('Items by Team'!E$2:E3410,'Items by Team'!C$2:C3410=D440,B440='Items by Team'!B$2:B3410)),""None"",""No"",""Parked"",""P"",""ShallowCage"",""Sc"",""DeepCage"",""Dc"",""No"",""No"",""P"",""P"",""Sc"",""Sc"",""Dc"","&amp;"""Dc"")"),"#REF!")</f>
        <v>#REF!</v>
      </c>
      <c r="AU440" s="6" t="str">
        <f ca="1">IFERROR(__xludf.DUMMYFUNCTION("SWITCH(IF(A440 = ""Practice"", H440, FILTER('Items by Team'!D$2:D3410,'Items by Team'!C$2:C3410 = D440,'Items by Team'!B$2:B3410 = B440)), ""Yes"", ""TRUE"", ""No"", ""FALSE"",TRUE, ""TRUE"", FALSE, ""FALSE"")"),"#REF!")</f>
        <v>#REF!</v>
      </c>
      <c r="AV440" s="6">
        <f t="shared" si="21"/>
        <v>0</v>
      </c>
      <c r="AW440" s="6">
        <f t="shared" si="22"/>
        <v>0</v>
      </c>
      <c r="AX440" s="6">
        <f t="shared" si="23"/>
        <v>0</v>
      </c>
      <c r="AY440" s="6">
        <f t="shared" si="24"/>
        <v>0</v>
      </c>
      <c r="AZ440" s="9" t="str">
        <f t="shared" si="25"/>
        <v/>
      </c>
      <c r="BA440" s="6">
        <f t="shared" si="26"/>
        <v>0</v>
      </c>
      <c r="BB440" s="6">
        <f t="shared" si="27"/>
        <v>0</v>
      </c>
      <c r="BC440" s="9" t="str">
        <f t="shared" si="28"/>
        <v/>
      </c>
      <c r="BD440" s="6">
        <f t="shared" si="29"/>
        <v>0</v>
      </c>
      <c r="BE440" s="6">
        <f t="shared" si="30"/>
        <v>0</v>
      </c>
      <c r="BF440" s="9" t="str">
        <f t="shared" si="31"/>
        <v/>
      </c>
      <c r="BG440" s="6">
        <f t="shared" si="32"/>
        <v>0</v>
      </c>
      <c r="BH440" s="6">
        <f t="shared" si="33"/>
        <v>0</v>
      </c>
      <c r="BI440" s="9" t="str">
        <f t="shared" si="34"/>
        <v/>
      </c>
      <c r="BJ440" s="6">
        <f t="shared" si="35"/>
        <v>0</v>
      </c>
      <c r="BK440" s="6">
        <f t="shared" si="36"/>
        <v>0</v>
      </c>
      <c r="BL440" s="6">
        <f t="shared" si="37"/>
        <v>0</v>
      </c>
      <c r="BM440" s="6">
        <f t="shared" si="38"/>
        <v>0</v>
      </c>
      <c r="BN440" s="6">
        <f t="shared" si="39"/>
        <v>0</v>
      </c>
      <c r="BP440" s="6">
        <f t="shared" si="40"/>
        <v>0</v>
      </c>
      <c r="BQ440" s="6" t="b">
        <f ca="1">IFERROR(__xludf.DUMMYFUNCTION("IF(AND(ISERROR(FILTER('Items by Team'!D$2:D3410,'Items by Team'!C$2:C3410 = D440,'Items by Team'!B$2:B3410 = B440)),NOT(A440=""Practice"")),TRUE,FALSE)"),FALSE)</f>
        <v>0</v>
      </c>
      <c r="BR440" s="6">
        <f t="shared" ca="1" si="41"/>
        <v>0</v>
      </c>
    </row>
    <row r="441" spans="1:70">
      <c r="A441" s="6"/>
      <c r="B441" s="6"/>
      <c r="C441" s="6"/>
      <c r="D441" s="6"/>
      <c r="E441" s="6"/>
      <c r="F441" s="6"/>
      <c r="G441" s="6"/>
      <c r="H441" s="6"/>
      <c r="I441" s="6"/>
      <c r="J441" s="6"/>
      <c r="K441" s="6"/>
      <c r="L441" s="6"/>
      <c r="M441" s="6"/>
      <c r="N441" s="6"/>
      <c r="O441" s="6"/>
      <c r="P441" s="6"/>
      <c r="R441" s="6"/>
      <c r="S441" s="6"/>
      <c r="T441" s="6"/>
      <c r="U441" s="6"/>
      <c r="V441" s="6"/>
      <c r="W441" s="6"/>
      <c r="X441" s="6"/>
      <c r="Y441" s="6"/>
      <c r="Z441" s="6"/>
      <c r="AA441" s="6"/>
      <c r="AB441" s="6"/>
      <c r="AD441" s="6"/>
      <c r="AE441" s="6"/>
      <c r="AF441" s="6"/>
      <c r="AG441" s="6"/>
      <c r="AH441" s="6"/>
      <c r="AI441" s="6"/>
      <c r="AK441" s="6"/>
      <c r="AL441" s="6"/>
      <c r="AM441" s="6"/>
      <c r="AN441" s="6"/>
      <c r="AO441" s="6"/>
      <c r="AP441" s="6"/>
      <c r="AQ441" s="6"/>
      <c r="AR441" s="6"/>
      <c r="AS441" s="15"/>
      <c r="AT441" s="6" t="str">
        <f ca="1">IFERROR(__xludf.DUMMYFUNCTION("SWITCH(IF(A441=""Practice"",AN441,FILTER('Items by Team'!E$2:E3410,'Items by Team'!C$2:C3410=D441,B441='Items by Team'!B$2:B3410)),""None"",""No"",""Parked"",""P"",""ShallowCage"",""Sc"",""DeepCage"",""Dc"",""No"",""No"",""P"",""P"",""Sc"",""Sc"",""Dc"","&amp;"""Dc"")"),"#REF!")</f>
        <v>#REF!</v>
      </c>
      <c r="AU441" s="6" t="str">
        <f ca="1">IFERROR(__xludf.DUMMYFUNCTION("SWITCH(IF(A441 = ""Practice"", H441, FILTER('Items by Team'!D$2:D3410,'Items by Team'!C$2:C3410 = D441,'Items by Team'!B$2:B3410 = B441)), ""Yes"", ""TRUE"", ""No"", ""FALSE"",TRUE, ""TRUE"", FALSE, ""FALSE"")"),"#REF!")</f>
        <v>#REF!</v>
      </c>
      <c r="AV441" s="6">
        <f t="shared" si="21"/>
        <v>0</v>
      </c>
      <c r="AW441" s="6">
        <f t="shared" si="22"/>
        <v>0</v>
      </c>
      <c r="AX441" s="6">
        <f t="shared" si="23"/>
        <v>0</v>
      </c>
      <c r="AY441" s="6">
        <f t="shared" si="24"/>
        <v>0</v>
      </c>
      <c r="AZ441" s="9" t="str">
        <f t="shared" si="25"/>
        <v/>
      </c>
      <c r="BA441" s="6">
        <f t="shared" si="26"/>
        <v>0</v>
      </c>
      <c r="BB441" s="6">
        <f t="shared" si="27"/>
        <v>0</v>
      </c>
      <c r="BC441" s="9" t="str">
        <f t="shared" si="28"/>
        <v/>
      </c>
      <c r="BD441" s="6">
        <f t="shared" si="29"/>
        <v>0</v>
      </c>
      <c r="BE441" s="6">
        <f t="shared" si="30"/>
        <v>0</v>
      </c>
      <c r="BF441" s="9" t="str">
        <f t="shared" si="31"/>
        <v/>
      </c>
      <c r="BG441" s="6">
        <f t="shared" si="32"/>
        <v>0</v>
      </c>
      <c r="BH441" s="6">
        <f t="shared" si="33"/>
        <v>0</v>
      </c>
      <c r="BI441" s="9" t="str">
        <f t="shared" si="34"/>
        <v/>
      </c>
      <c r="BJ441" s="6">
        <f t="shared" si="35"/>
        <v>0</v>
      </c>
      <c r="BK441" s="6">
        <f t="shared" si="36"/>
        <v>0</v>
      </c>
      <c r="BL441" s="6">
        <f t="shared" si="37"/>
        <v>0</v>
      </c>
      <c r="BM441" s="6">
        <f t="shared" si="38"/>
        <v>0</v>
      </c>
      <c r="BN441" s="6">
        <f t="shared" si="39"/>
        <v>0</v>
      </c>
      <c r="BP441" s="6">
        <f t="shared" si="40"/>
        <v>0</v>
      </c>
      <c r="BQ441" s="6" t="b">
        <f ca="1">IFERROR(__xludf.DUMMYFUNCTION("IF(AND(ISERROR(FILTER('Items by Team'!D$2:D3410,'Items by Team'!C$2:C3410 = D441,'Items by Team'!B$2:B3410 = B441)),NOT(A441=""Practice"")),TRUE,FALSE)"),FALSE)</f>
        <v>0</v>
      </c>
      <c r="BR441" s="6">
        <f t="shared" ca="1" si="41"/>
        <v>0</v>
      </c>
    </row>
    <row r="442" spans="1:70">
      <c r="A442" s="6"/>
      <c r="B442" s="6"/>
      <c r="C442" s="6"/>
      <c r="D442" s="6"/>
      <c r="E442" s="6"/>
      <c r="F442" s="6"/>
      <c r="G442" s="6"/>
      <c r="H442" s="6"/>
      <c r="I442" s="6"/>
      <c r="J442" s="6"/>
      <c r="K442" s="6"/>
      <c r="L442" s="6"/>
      <c r="M442" s="6"/>
      <c r="N442" s="6"/>
      <c r="O442" s="6"/>
      <c r="P442" s="6"/>
      <c r="R442" s="6"/>
      <c r="S442" s="6"/>
      <c r="T442" s="6"/>
      <c r="U442" s="6"/>
      <c r="V442" s="6"/>
      <c r="W442" s="6"/>
      <c r="X442" s="6"/>
      <c r="Y442" s="6"/>
      <c r="Z442" s="6"/>
      <c r="AA442" s="6"/>
      <c r="AB442" s="6"/>
      <c r="AD442" s="6"/>
      <c r="AE442" s="6"/>
      <c r="AF442" s="6"/>
      <c r="AG442" s="6"/>
      <c r="AH442" s="6"/>
      <c r="AI442" s="6"/>
      <c r="AK442" s="6"/>
      <c r="AL442" s="6"/>
      <c r="AM442" s="6"/>
      <c r="AN442" s="6"/>
      <c r="AO442" s="6"/>
      <c r="AP442" s="6"/>
      <c r="AQ442" s="6"/>
      <c r="AR442" s="6"/>
      <c r="AS442" s="15"/>
      <c r="AT442" s="6" t="str">
        <f ca="1">IFERROR(__xludf.DUMMYFUNCTION("SWITCH(IF(A442=""Practice"",AN442,FILTER('Items by Team'!E$2:E3410,'Items by Team'!C$2:C3410=D442,B442='Items by Team'!B$2:B3410)),""None"",""No"",""Parked"",""P"",""ShallowCage"",""Sc"",""DeepCage"",""Dc"",""No"",""No"",""P"",""P"",""Sc"",""Sc"",""Dc"","&amp;"""Dc"")"),"#REF!")</f>
        <v>#REF!</v>
      </c>
      <c r="AU442" s="6" t="str">
        <f ca="1">IFERROR(__xludf.DUMMYFUNCTION("SWITCH(IF(A442 = ""Practice"", H442, FILTER('Items by Team'!D$2:D3410,'Items by Team'!C$2:C3410 = D442,'Items by Team'!B$2:B3410 = B442)), ""Yes"", ""TRUE"", ""No"", ""FALSE"",TRUE, ""TRUE"", FALSE, ""FALSE"")"),"#REF!")</f>
        <v>#REF!</v>
      </c>
      <c r="AV442" s="6">
        <f t="shared" si="21"/>
        <v>0</v>
      </c>
      <c r="AW442" s="6">
        <f t="shared" si="22"/>
        <v>0</v>
      </c>
      <c r="AX442" s="6">
        <f t="shared" si="23"/>
        <v>0</v>
      </c>
      <c r="AY442" s="6">
        <f t="shared" si="24"/>
        <v>0</v>
      </c>
      <c r="AZ442" s="9" t="str">
        <f t="shared" si="25"/>
        <v/>
      </c>
      <c r="BA442" s="6">
        <f t="shared" si="26"/>
        <v>0</v>
      </c>
      <c r="BB442" s="6">
        <f t="shared" si="27"/>
        <v>0</v>
      </c>
      <c r="BC442" s="9" t="str">
        <f t="shared" si="28"/>
        <v/>
      </c>
      <c r="BD442" s="6">
        <f t="shared" si="29"/>
        <v>0</v>
      </c>
      <c r="BE442" s="6">
        <f t="shared" si="30"/>
        <v>0</v>
      </c>
      <c r="BF442" s="9" t="str">
        <f t="shared" si="31"/>
        <v/>
      </c>
      <c r="BG442" s="6">
        <f t="shared" si="32"/>
        <v>0</v>
      </c>
      <c r="BH442" s="6">
        <f t="shared" si="33"/>
        <v>0</v>
      </c>
      <c r="BI442" s="9" t="str">
        <f t="shared" si="34"/>
        <v/>
      </c>
      <c r="BJ442" s="6">
        <f t="shared" si="35"/>
        <v>0</v>
      </c>
      <c r="BK442" s="6">
        <f t="shared" si="36"/>
        <v>0</v>
      </c>
      <c r="BL442" s="6">
        <f t="shared" si="37"/>
        <v>0</v>
      </c>
      <c r="BM442" s="6">
        <f t="shared" si="38"/>
        <v>0</v>
      </c>
      <c r="BN442" s="6">
        <f t="shared" si="39"/>
        <v>0</v>
      </c>
      <c r="BP442" s="6">
        <f t="shared" si="40"/>
        <v>0</v>
      </c>
      <c r="BQ442" s="6" t="b">
        <f ca="1">IFERROR(__xludf.DUMMYFUNCTION("IF(AND(ISERROR(FILTER('Items by Team'!D$2:D3410,'Items by Team'!C$2:C3410 = D442,'Items by Team'!B$2:B3410 = B442)),NOT(A442=""Practice"")),TRUE,FALSE)"),FALSE)</f>
        <v>0</v>
      </c>
      <c r="BR442" s="6">
        <f t="shared" ca="1" si="41"/>
        <v>0</v>
      </c>
    </row>
    <row r="443" spans="1:70">
      <c r="A443" s="6"/>
      <c r="B443" s="6"/>
      <c r="C443" s="6"/>
      <c r="D443" s="6"/>
      <c r="E443" s="6"/>
      <c r="F443" s="6"/>
      <c r="G443" s="6"/>
      <c r="H443" s="6"/>
      <c r="I443" s="6"/>
      <c r="J443" s="6"/>
      <c r="K443" s="6"/>
      <c r="L443" s="6"/>
      <c r="M443" s="6"/>
      <c r="N443" s="6"/>
      <c r="O443" s="6"/>
      <c r="P443" s="6"/>
      <c r="R443" s="6"/>
      <c r="S443" s="6"/>
      <c r="T443" s="6"/>
      <c r="U443" s="6"/>
      <c r="V443" s="6"/>
      <c r="W443" s="6"/>
      <c r="X443" s="6"/>
      <c r="Y443" s="6"/>
      <c r="Z443" s="6"/>
      <c r="AA443" s="6"/>
      <c r="AB443" s="6"/>
      <c r="AD443" s="6"/>
      <c r="AE443" s="6"/>
      <c r="AF443" s="6"/>
      <c r="AG443" s="6"/>
      <c r="AH443" s="6"/>
      <c r="AI443" s="6"/>
      <c r="AK443" s="6"/>
      <c r="AL443" s="6"/>
      <c r="AM443" s="6"/>
      <c r="AN443" s="6"/>
      <c r="AO443" s="6"/>
      <c r="AP443" s="6"/>
      <c r="AQ443" s="6"/>
      <c r="AR443" s="6"/>
      <c r="AS443" s="15"/>
      <c r="AT443" s="6" t="str">
        <f ca="1">IFERROR(__xludf.DUMMYFUNCTION("SWITCH(IF(A443=""Practice"",AN443,FILTER('Items by Team'!E$2:E3410,'Items by Team'!C$2:C3410=D443,B443='Items by Team'!B$2:B3410)),""None"",""No"",""Parked"",""P"",""ShallowCage"",""Sc"",""DeepCage"",""Dc"",""No"",""No"",""P"",""P"",""Sc"",""Sc"",""Dc"","&amp;"""Dc"")"),"#REF!")</f>
        <v>#REF!</v>
      </c>
      <c r="AU443" s="6" t="str">
        <f ca="1">IFERROR(__xludf.DUMMYFUNCTION("SWITCH(IF(A443 = ""Practice"", H443, FILTER('Items by Team'!D$2:D3410,'Items by Team'!C$2:C3410 = D443,'Items by Team'!B$2:B3410 = B443)), ""Yes"", ""TRUE"", ""No"", ""FALSE"",TRUE, ""TRUE"", FALSE, ""FALSE"")"),"#REF!")</f>
        <v>#REF!</v>
      </c>
      <c r="AV443" s="6">
        <f t="shared" si="21"/>
        <v>0</v>
      </c>
      <c r="AW443" s="6">
        <f t="shared" si="22"/>
        <v>0</v>
      </c>
      <c r="AX443" s="6">
        <f t="shared" si="23"/>
        <v>0</v>
      </c>
      <c r="AY443" s="6">
        <f t="shared" si="24"/>
        <v>0</v>
      </c>
      <c r="AZ443" s="9" t="str">
        <f t="shared" si="25"/>
        <v/>
      </c>
      <c r="BA443" s="6">
        <f t="shared" si="26"/>
        <v>0</v>
      </c>
      <c r="BB443" s="6">
        <f t="shared" si="27"/>
        <v>0</v>
      </c>
      <c r="BC443" s="9" t="str">
        <f t="shared" si="28"/>
        <v/>
      </c>
      <c r="BD443" s="6">
        <f t="shared" si="29"/>
        <v>0</v>
      </c>
      <c r="BE443" s="6">
        <f t="shared" si="30"/>
        <v>0</v>
      </c>
      <c r="BF443" s="9" t="str">
        <f t="shared" si="31"/>
        <v/>
      </c>
      <c r="BG443" s="6">
        <f t="shared" si="32"/>
        <v>0</v>
      </c>
      <c r="BH443" s="6">
        <f t="shared" si="33"/>
        <v>0</v>
      </c>
      <c r="BI443" s="9" t="str">
        <f t="shared" si="34"/>
        <v/>
      </c>
      <c r="BJ443" s="6">
        <f t="shared" si="35"/>
        <v>0</v>
      </c>
      <c r="BK443" s="6">
        <f t="shared" si="36"/>
        <v>0</v>
      </c>
      <c r="BL443" s="6">
        <f t="shared" si="37"/>
        <v>0</v>
      </c>
      <c r="BM443" s="6">
        <f t="shared" si="38"/>
        <v>0</v>
      </c>
      <c r="BN443" s="6">
        <f t="shared" si="39"/>
        <v>0</v>
      </c>
      <c r="BP443" s="6">
        <f t="shared" si="40"/>
        <v>0</v>
      </c>
      <c r="BQ443" s="6" t="b">
        <f ca="1">IFERROR(__xludf.DUMMYFUNCTION("IF(AND(ISERROR(FILTER('Items by Team'!D$2:D3410,'Items by Team'!C$2:C3410 = D443,'Items by Team'!B$2:B3410 = B443)),NOT(A443=""Practice"")),TRUE,FALSE)"),FALSE)</f>
        <v>0</v>
      </c>
      <c r="BR443" s="6">
        <f t="shared" ca="1" si="41"/>
        <v>0</v>
      </c>
    </row>
    <row r="444" spans="1:70">
      <c r="A444" s="6"/>
      <c r="B444" s="6"/>
      <c r="C444" s="6"/>
      <c r="D444" s="6"/>
      <c r="E444" s="6"/>
      <c r="F444" s="6"/>
      <c r="G444" s="6"/>
      <c r="H444" s="6"/>
      <c r="I444" s="6"/>
      <c r="J444" s="6"/>
      <c r="K444" s="6"/>
      <c r="L444" s="6"/>
      <c r="M444" s="6"/>
      <c r="N444" s="6"/>
      <c r="O444" s="6"/>
      <c r="P444" s="6"/>
      <c r="R444" s="6"/>
      <c r="S444" s="6"/>
      <c r="T444" s="6"/>
      <c r="U444" s="6"/>
      <c r="V444" s="6"/>
      <c r="W444" s="6"/>
      <c r="X444" s="6"/>
      <c r="Y444" s="6"/>
      <c r="Z444" s="6"/>
      <c r="AA444" s="6"/>
      <c r="AB444" s="6"/>
      <c r="AD444" s="6"/>
      <c r="AE444" s="6"/>
      <c r="AF444" s="6"/>
      <c r="AG444" s="6"/>
      <c r="AH444" s="6"/>
      <c r="AI444" s="6"/>
      <c r="AK444" s="6"/>
      <c r="AL444" s="6"/>
      <c r="AM444" s="6"/>
      <c r="AN444" s="6"/>
      <c r="AO444" s="6"/>
      <c r="AP444" s="6"/>
      <c r="AQ444" s="6"/>
      <c r="AR444" s="6"/>
      <c r="AS444" s="15"/>
      <c r="AT444" s="6" t="str">
        <f ca="1">IFERROR(__xludf.DUMMYFUNCTION("SWITCH(IF(A444=""Practice"",AN444,FILTER('Items by Team'!E$2:E3410,'Items by Team'!C$2:C3410=D444,B444='Items by Team'!B$2:B3410)),""None"",""No"",""Parked"",""P"",""ShallowCage"",""Sc"",""DeepCage"",""Dc"",""No"",""No"",""P"",""P"",""Sc"",""Sc"",""Dc"","&amp;"""Dc"")"),"#REF!")</f>
        <v>#REF!</v>
      </c>
      <c r="AU444" s="6" t="str">
        <f ca="1">IFERROR(__xludf.DUMMYFUNCTION("SWITCH(IF(A444 = ""Practice"", H444, FILTER('Items by Team'!D$2:D3410,'Items by Team'!C$2:C3410 = D444,'Items by Team'!B$2:B3410 = B444)), ""Yes"", ""TRUE"", ""No"", ""FALSE"",TRUE, ""TRUE"", FALSE, ""FALSE"")"),"#REF!")</f>
        <v>#REF!</v>
      </c>
      <c r="AV444" s="6">
        <f t="shared" si="21"/>
        <v>0</v>
      </c>
      <c r="AW444" s="6">
        <f t="shared" si="22"/>
        <v>0</v>
      </c>
      <c r="AX444" s="6">
        <f t="shared" si="23"/>
        <v>0</v>
      </c>
      <c r="AY444" s="6">
        <f t="shared" si="24"/>
        <v>0</v>
      </c>
      <c r="AZ444" s="9" t="str">
        <f t="shared" si="25"/>
        <v/>
      </c>
      <c r="BA444" s="6">
        <f t="shared" si="26"/>
        <v>0</v>
      </c>
      <c r="BB444" s="6">
        <f t="shared" si="27"/>
        <v>0</v>
      </c>
      <c r="BC444" s="9" t="str">
        <f t="shared" si="28"/>
        <v/>
      </c>
      <c r="BD444" s="6">
        <f t="shared" si="29"/>
        <v>0</v>
      </c>
      <c r="BE444" s="6">
        <f t="shared" si="30"/>
        <v>0</v>
      </c>
      <c r="BF444" s="9" t="str">
        <f t="shared" si="31"/>
        <v/>
      </c>
      <c r="BG444" s="6">
        <f t="shared" si="32"/>
        <v>0</v>
      </c>
      <c r="BH444" s="6">
        <f t="shared" si="33"/>
        <v>0</v>
      </c>
      <c r="BI444" s="9" t="str">
        <f t="shared" si="34"/>
        <v/>
      </c>
      <c r="BJ444" s="6">
        <f t="shared" si="35"/>
        <v>0</v>
      </c>
      <c r="BK444" s="6">
        <f t="shared" si="36"/>
        <v>0</v>
      </c>
      <c r="BL444" s="6">
        <f t="shared" si="37"/>
        <v>0</v>
      </c>
      <c r="BM444" s="6">
        <f t="shared" si="38"/>
        <v>0</v>
      </c>
      <c r="BN444" s="6">
        <f t="shared" si="39"/>
        <v>0</v>
      </c>
      <c r="BP444" s="6">
        <f t="shared" si="40"/>
        <v>0</v>
      </c>
      <c r="BQ444" s="6" t="b">
        <f ca="1">IFERROR(__xludf.DUMMYFUNCTION("IF(AND(ISERROR(FILTER('Items by Team'!D$2:D3410,'Items by Team'!C$2:C3410 = D444,'Items by Team'!B$2:B3410 = B444)),NOT(A444=""Practice"")),TRUE,FALSE)"),FALSE)</f>
        <v>0</v>
      </c>
      <c r="BR444" s="6">
        <f t="shared" ca="1" si="41"/>
        <v>0</v>
      </c>
    </row>
    <row r="445" spans="1:70">
      <c r="A445" s="6"/>
      <c r="B445" s="6"/>
      <c r="C445" s="6"/>
      <c r="D445" s="6"/>
      <c r="E445" s="6"/>
      <c r="F445" s="6"/>
      <c r="G445" s="6"/>
      <c r="H445" s="6"/>
      <c r="I445" s="6"/>
      <c r="J445" s="6"/>
      <c r="K445" s="6"/>
      <c r="L445" s="6"/>
      <c r="M445" s="6"/>
      <c r="N445" s="6"/>
      <c r="O445" s="6"/>
      <c r="P445" s="6"/>
      <c r="R445" s="6"/>
      <c r="S445" s="6"/>
      <c r="T445" s="6"/>
      <c r="U445" s="6"/>
      <c r="V445" s="6"/>
      <c r="W445" s="6"/>
      <c r="X445" s="6"/>
      <c r="Y445" s="6"/>
      <c r="Z445" s="6"/>
      <c r="AA445" s="6"/>
      <c r="AB445" s="6"/>
      <c r="AD445" s="6"/>
      <c r="AE445" s="6"/>
      <c r="AF445" s="6"/>
      <c r="AG445" s="6"/>
      <c r="AH445" s="6"/>
      <c r="AI445" s="6"/>
      <c r="AK445" s="6"/>
      <c r="AL445" s="6"/>
      <c r="AM445" s="6"/>
      <c r="AN445" s="6"/>
      <c r="AO445" s="6"/>
      <c r="AP445" s="6"/>
      <c r="AQ445" s="6"/>
      <c r="AR445" s="6"/>
      <c r="AS445" s="15"/>
      <c r="AT445" s="6" t="str">
        <f ca="1">IFERROR(__xludf.DUMMYFUNCTION("SWITCH(IF(A445=""Practice"",AN445,FILTER('Items by Team'!E$2:E3410,'Items by Team'!C$2:C3410=D445,B445='Items by Team'!B$2:B3410)),""None"",""No"",""Parked"",""P"",""ShallowCage"",""Sc"",""DeepCage"",""Dc"",""No"",""No"",""P"",""P"",""Sc"",""Sc"",""Dc"","&amp;"""Dc"")"),"#REF!")</f>
        <v>#REF!</v>
      </c>
      <c r="AU445" s="6" t="str">
        <f ca="1">IFERROR(__xludf.DUMMYFUNCTION("SWITCH(IF(A445 = ""Practice"", H445, FILTER('Items by Team'!D$2:D3410,'Items by Team'!C$2:C3410 = D445,'Items by Team'!B$2:B3410 = B445)), ""Yes"", ""TRUE"", ""No"", ""FALSE"",TRUE, ""TRUE"", FALSE, ""FALSE"")"),"#REF!")</f>
        <v>#REF!</v>
      </c>
      <c r="AV445" s="6">
        <f t="shared" si="21"/>
        <v>0</v>
      </c>
      <c r="AW445" s="6">
        <f t="shared" si="22"/>
        <v>0</v>
      </c>
      <c r="AX445" s="6">
        <f t="shared" si="23"/>
        <v>0</v>
      </c>
      <c r="AY445" s="6">
        <f t="shared" si="24"/>
        <v>0</v>
      </c>
      <c r="AZ445" s="9" t="str">
        <f t="shared" si="25"/>
        <v/>
      </c>
      <c r="BA445" s="6">
        <f t="shared" si="26"/>
        <v>0</v>
      </c>
      <c r="BB445" s="6">
        <f t="shared" si="27"/>
        <v>0</v>
      </c>
      <c r="BC445" s="9" t="str">
        <f t="shared" si="28"/>
        <v/>
      </c>
      <c r="BD445" s="6">
        <f t="shared" si="29"/>
        <v>0</v>
      </c>
      <c r="BE445" s="6">
        <f t="shared" si="30"/>
        <v>0</v>
      </c>
      <c r="BF445" s="9" t="str">
        <f t="shared" si="31"/>
        <v/>
      </c>
      <c r="BG445" s="6">
        <f t="shared" si="32"/>
        <v>0</v>
      </c>
      <c r="BH445" s="6">
        <f t="shared" si="33"/>
        <v>0</v>
      </c>
      <c r="BI445" s="9" t="str">
        <f t="shared" si="34"/>
        <v/>
      </c>
      <c r="BJ445" s="6">
        <f t="shared" si="35"/>
        <v>0</v>
      </c>
      <c r="BK445" s="6">
        <f t="shared" si="36"/>
        <v>0</v>
      </c>
      <c r="BL445" s="6">
        <f t="shared" si="37"/>
        <v>0</v>
      </c>
      <c r="BM445" s="6">
        <f t="shared" si="38"/>
        <v>0</v>
      </c>
      <c r="BN445" s="6">
        <f t="shared" si="39"/>
        <v>0</v>
      </c>
      <c r="BP445" s="6">
        <f t="shared" si="40"/>
        <v>0</v>
      </c>
      <c r="BQ445" s="6" t="b">
        <f ca="1">IFERROR(__xludf.DUMMYFUNCTION("IF(AND(ISERROR(FILTER('Items by Team'!D$2:D3410,'Items by Team'!C$2:C3410 = D445,'Items by Team'!B$2:B3410 = B445)),NOT(A445=""Practice"")),TRUE,FALSE)"),FALSE)</f>
        <v>0</v>
      </c>
      <c r="BR445" s="6">
        <f t="shared" ca="1" si="41"/>
        <v>0</v>
      </c>
    </row>
    <row r="446" spans="1:70">
      <c r="A446" s="6"/>
      <c r="B446" s="6"/>
      <c r="C446" s="6"/>
      <c r="D446" s="6"/>
      <c r="E446" s="6"/>
      <c r="F446" s="6"/>
      <c r="G446" s="6"/>
      <c r="H446" s="6"/>
      <c r="I446" s="6"/>
      <c r="J446" s="6"/>
      <c r="K446" s="6"/>
      <c r="L446" s="6"/>
      <c r="M446" s="6"/>
      <c r="N446" s="6"/>
      <c r="O446" s="6"/>
      <c r="P446" s="6"/>
      <c r="R446" s="6"/>
      <c r="S446" s="6"/>
      <c r="T446" s="6"/>
      <c r="U446" s="6"/>
      <c r="V446" s="6"/>
      <c r="W446" s="6"/>
      <c r="X446" s="6"/>
      <c r="Y446" s="6"/>
      <c r="Z446" s="6"/>
      <c r="AA446" s="6"/>
      <c r="AB446" s="6"/>
      <c r="AD446" s="6"/>
      <c r="AE446" s="6"/>
      <c r="AF446" s="6"/>
      <c r="AG446" s="6"/>
      <c r="AH446" s="6"/>
      <c r="AI446" s="6"/>
      <c r="AK446" s="6"/>
      <c r="AL446" s="6"/>
      <c r="AM446" s="6"/>
      <c r="AN446" s="6"/>
      <c r="AO446" s="6"/>
      <c r="AP446" s="6"/>
      <c r="AQ446" s="6"/>
      <c r="AR446" s="6"/>
      <c r="AS446" s="15"/>
      <c r="AT446" s="6" t="str">
        <f ca="1">IFERROR(__xludf.DUMMYFUNCTION("SWITCH(IF(A446=""Practice"",AN446,FILTER('Items by Team'!E$2:E3410,'Items by Team'!C$2:C3410=D446,B446='Items by Team'!B$2:B3410)),""None"",""No"",""Parked"",""P"",""ShallowCage"",""Sc"",""DeepCage"",""Dc"",""No"",""No"",""P"",""P"",""Sc"",""Sc"",""Dc"","&amp;"""Dc"")"),"#REF!")</f>
        <v>#REF!</v>
      </c>
      <c r="AU446" s="6" t="str">
        <f ca="1">IFERROR(__xludf.DUMMYFUNCTION("SWITCH(IF(A446 = ""Practice"", H446, FILTER('Items by Team'!D$2:D3410,'Items by Team'!C$2:C3410 = D446,'Items by Team'!B$2:B3410 = B446)), ""Yes"", ""TRUE"", ""No"", ""FALSE"",TRUE, ""TRUE"", FALSE, ""FALSE"")"),"#REF!")</f>
        <v>#REF!</v>
      </c>
      <c r="AV446" s="6">
        <f t="shared" si="21"/>
        <v>0</v>
      </c>
      <c r="AW446" s="6">
        <f t="shared" si="22"/>
        <v>0</v>
      </c>
      <c r="AX446" s="6">
        <f t="shared" si="23"/>
        <v>0</v>
      </c>
      <c r="AY446" s="6">
        <f t="shared" si="24"/>
        <v>0</v>
      </c>
      <c r="AZ446" s="9" t="str">
        <f t="shared" si="25"/>
        <v/>
      </c>
      <c r="BA446" s="6">
        <f t="shared" si="26"/>
        <v>0</v>
      </c>
      <c r="BB446" s="6">
        <f t="shared" si="27"/>
        <v>0</v>
      </c>
      <c r="BC446" s="9" t="str">
        <f t="shared" si="28"/>
        <v/>
      </c>
      <c r="BD446" s="6">
        <f t="shared" si="29"/>
        <v>0</v>
      </c>
      <c r="BE446" s="6">
        <f t="shared" si="30"/>
        <v>0</v>
      </c>
      <c r="BF446" s="9" t="str">
        <f t="shared" si="31"/>
        <v/>
      </c>
      <c r="BG446" s="6">
        <f t="shared" si="32"/>
        <v>0</v>
      </c>
      <c r="BH446" s="6">
        <f t="shared" si="33"/>
        <v>0</v>
      </c>
      <c r="BI446" s="9" t="str">
        <f t="shared" si="34"/>
        <v/>
      </c>
      <c r="BJ446" s="6">
        <f t="shared" si="35"/>
        <v>0</v>
      </c>
      <c r="BK446" s="6">
        <f t="shared" si="36"/>
        <v>0</v>
      </c>
      <c r="BL446" s="6">
        <f t="shared" si="37"/>
        <v>0</v>
      </c>
      <c r="BM446" s="6">
        <f t="shared" si="38"/>
        <v>0</v>
      </c>
      <c r="BN446" s="6">
        <f t="shared" si="39"/>
        <v>0</v>
      </c>
      <c r="BP446" s="6">
        <f t="shared" si="40"/>
        <v>0</v>
      </c>
      <c r="BQ446" s="6" t="b">
        <f ca="1">IFERROR(__xludf.DUMMYFUNCTION("IF(AND(ISERROR(FILTER('Items by Team'!D$2:D3410,'Items by Team'!C$2:C3410 = D446,'Items by Team'!B$2:B3410 = B446)),NOT(A446=""Practice"")),TRUE,FALSE)"),FALSE)</f>
        <v>0</v>
      </c>
      <c r="BR446" s="6">
        <f t="shared" ca="1" si="41"/>
        <v>0</v>
      </c>
    </row>
    <row r="447" spans="1:70">
      <c r="A447" s="6"/>
      <c r="B447" s="6"/>
      <c r="C447" s="6"/>
      <c r="D447" s="6"/>
      <c r="E447" s="6"/>
      <c r="F447" s="6"/>
      <c r="G447" s="6"/>
      <c r="H447" s="6"/>
      <c r="I447" s="6"/>
      <c r="J447" s="6"/>
      <c r="K447" s="6"/>
      <c r="L447" s="6"/>
      <c r="M447" s="6"/>
      <c r="N447" s="6"/>
      <c r="O447" s="6"/>
      <c r="P447" s="6"/>
      <c r="R447" s="6"/>
      <c r="S447" s="6"/>
      <c r="T447" s="6"/>
      <c r="U447" s="6"/>
      <c r="V447" s="6"/>
      <c r="W447" s="6"/>
      <c r="X447" s="6"/>
      <c r="Y447" s="6"/>
      <c r="Z447" s="6"/>
      <c r="AA447" s="6"/>
      <c r="AB447" s="6"/>
      <c r="AD447" s="6"/>
      <c r="AE447" s="6"/>
      <c r="AF447" s="6"/>
      <c r="AG447" s="6"/>
      <c r="AH447" s="6"/>
      <c r="AI447" s="6"/>
      <c r="AK447" s="6"/>
      <c r="AL447" s="6"/>
      <c r="AM447" s="6"/>
      <c r="AN447" s="6"/>
      <c r="AO447" s="6"/>
      <c r="AP447" s="6"/>
      <c r="AQ447" s="6"/>
      <c r="AR447" s="6"/>
      <c r="AS447" s="15"/>
      <c r="AT447" s="6" t="str">
        <f ca="1">IFERROR(__xludf.DUMMYFUNCTION("SWITCH(IF(A447=""Practice"",AN447,FILTER('Items by Team'!E$2:E3410,'Items by Team'!C$2:C3410=D447,B447='Items by Team'!B$2:B3410)),""None"",""No"",""Parked"",""P"",""ShallowCage"",""Sc"",""DeepCage"",""Dc"",""No"",""No"",""P"",""P"",""Sc"",""Sc"",""Dc"","&amp;"""Dc"")"),"#REF!")</f>
        <v>#REF!</v>
      </c>
      <c r="AU447" s="6" t="str">
        <f ca="1">IFERROR(__xludf.DUMMYFUNCTION("SWITCH(IF(A447 = ""Practice"", H447, FILTER('Items by Team'!D$2:D3410,'Items by Team'!C$2:C3410 = D447,'Items by Team'!B$2:B3410 = B447)), ""Yes"", ""TRUE"", ""No"", ""FALSE"",TRUE, ""TRUE"", FALSE, ""FALSE"")"),"#REF!")</f>
        <v>#REF!</v>
      </c>
      <c r="AV447" s="6">
        <f t="shared" si="21"/>
        <v>0</v>
      </c>
      <c r="AW447" s="6">
        <f t="shared" si="22"/>
        <v>0</v>
      </c>
      <c r="AX447" s="6">
        <f t="shared" si="23"/>
        <v>0</v>
      </c>
      <c r="AY447" s="6">
        <f t="shared" si="24"/>
        <v>0</v>
      </c>
      <c r="AZ447" s="9" t="str">
        <f t="shared" si="25"/>
        <v/>
      </c>
      <c r="BA447" s="6">
        <f t="shared" si="26"/>
        <v>0</v>
      </c>
      <c r="BB447" s="6">
        <f t="shared" si="27"/>
        <v>0</v>
      </c>
      <c r="BC447" s="9" t="str">
        <f t="shared" si="28"/>
        <v/>
      </c>
      <c r="BD447" s="6">
        <f t="shared" si="29"/>
        <v>0</v>
      </c>
      <c r="BE447" s="6">
        <f t="shared" si="30"/>
        <v>0</v>
      </c>
      <c r="BF447" s="9" t="str">
        <f t="shared" si="31"/>
        <v/>
      </c>
      <c r="BG447" s="6">
        <f t="shared" si="32"/>
        <v>0</v>
      </c>
      <c r="BH447" s="6">
        <f t="shared" si="33"/>
        <v>0</v>
      </c>
      <c r="BI447" s="9" t="str">
        <f t="shared" si="34"/>
        <v/>
      </c>
      <c r="BJ447" s="6">
        <f t="shared" si="35"/>
        <v>0</v>
      </c>
      <c r="BK447" s="6">
        <f t="shared" si="36"/>
        <v>0</v>
      </c>
      <c r="BL447" s="6">
        <f t="shared" si="37"/>
        <v>0</v>
      </c>
      <c r="BM447" s="6">
        <f t="shared" si="38"/>
        <v>0</v>
      </c>
      <c r="BN447" s="6">
        <f t="shared" si="39"/>
        <v>0</v>
      </c>
      <c r="BP447" s="6">
        <f t="shared" si="40"/>
        <v>0</v>
      </c>
      <c r="BQ447" s="6" t="b">
        <f ca="1">IFERROR(__xludf.DUMMYFUNCTION("IF(AND(ISERROR(FILTER('Items by Team'!D$2:D3410,'Items by Team'!C$2:C3410 = D447,'Items by Team'!B$2:B3410 = B447)),NOT(A447=""Practice"")),TRUE,FALSE)"),FALSE)</f>
        <v>0</v>
      </c>
      <c r="BR447" s="6">
        <f t="shared" ca="1" si="41"/>
        <v>0</v>
      </c>
    </row>
    <row r="448" spans="1:70">
      <c r="A448" s="6"/>
      <c r="B448" s="6"/>
      <c r="C448" s="6"/>
      <c r="D448" s="6"/>
      <c r="E448" s="6"/>
      <c r="F448" s="6"/>
      <c r="G448" s="6"/>
      <c r="H448" s="6"/>
      <c r="I448" s="6"/>
      <c r="J448" s="6"/>
      <c r="K448" s="6"/>
      <c r="L448" s="6"/>
      <c r="M448" s="6"/>
      <c r="N448" s="6"/>
      <c r="O448" s="6"/>
      <c r="P448" s="6"/>
      <c r="R448" s="6"/>
      <c r="S448" s="6"/>
      <c r="T448" s="6"/>
      <c r="U448" s="6"/>
      <c r="V448" s="6"/>
      <c r="W448" s="6"/>
      <c r="X448" s="6"/>
      <c r="Y448" s="6"/>
      <c r="Z448" s="6"/>
      <c r="AA448" s="6"/>
      <c r="AB448" s="6"/>
      <c r="AD448" s="6"/>
      <c r="AE448" s="6"/>
      <c r="AF448" s="6"/>
      <c r="AG448" s="6"/>
      <c r="AH448" s="6"/>
      <c r="AI448" s="6"/>
      <c r="AK448" s="6"/>
      <c r="AL448" s="6"/>
      <c r="AM448" s="6"/>
      <c r="AN448" s="6"/>
      <c r="AO448" s="6"/>
      <c r="AP448" s="6"/>
      <c r="AQ448" s="6"/>
      <c r="AR448" s="6"/>
      <c r="AS448" s="15"/>
      <c r="AT448" s="6" t="str">
        <f ca="1">IFERROR(__xludf.DUMMYFUNCTION("SWITCH(IF(A448=""Practice"",AN448,FILTER('Items by Team'!E$2:E3410,'Items by Team'!C$2:C3410=D448,B448='Items by Team'!B$2:B3410)),""None"",""No"",""Parked"",""P"",""ShallowCage"",""Sc"",""DeepCage"",""Dc"",""No"",""No"",""P"",""P"",""Sc"",""Sc"",""Dc"","&amp;"""Dc"")"),"#REF!")</f>
        <v>#REF!</v>
      </c>
      <c r="AU448" s="6" t="str">
        <f ca="1">IFERROR(__xludf.DUMMYFUNCTION("SWITCH(IF(A448 = ""Practice"", H448, FILTER('Items by Team'!D$2:D3410,'Items by Team'!C$2:C3410 = D448,'Items by Team'!B$2:B3410 = B448)), ""Yes"", ""TRUE"", ""No"", ""FALSE"",TRUE, ""TRUE"", FALSE, ""FALSE"")"),"#REF!")</f>
        <v>#REF!</v>
      </c>
      <c r="AV448" s="6">
        <f t="shared" si="21"/>
        <v>0</v>
      </c>
      <c r="AW448" s="6">
        <f t="shared" si="22"/>
        <v>0</v>
      </c>
      <c r="AX448" s="6">
        <f t="shared" si="23"/>
        <v>0</v>
      </c>
      <c r="AY448" s="6">
        <f t="shared" si="24"/>
        <v>0</v>
      </c>
      <c r="AZ448" s="9" t="str">
        <f t="shared" si="25"/>
        <v/>
      </c>
      <c r="BA448" s="6">
        <f t="shared" si="26"/>
        <v>0</v>
      </c>
      <c r="BB448" s="6">
        <f t="shared" si="27"/>
        <v>0</v>
      </c>
      <c r="BC448" s="9" t="str">
        <f t="shared" si="28"/>
        <v/>
      </c>
      <c r="BD448" s="6">
        <f t="shared" si="29"/>
        <v>0</v>
      </c>
      <c r="BE448" s="6">
        <f t="shared" si="30"/>
        <v>0</v>
      </c>
      <c r="BF448" s="9" t="str">
        <f t="shared" si="31"/>
        <v/>
      </c>
      <c r="BG448" s="6">
        <f t="shared" si="32"/>
        <v>0</v>
      </c>
      <c r="BH448" s="6">
        <f t="shared" si="33"/>
        <v>0</v>
      </c>
      <c r="BI448" s="9" t="str">
        <f t="shared" si="34"/>
        <v/>
      </c>
      <c r="BJ448" s="6">
        <f t="shared" si="35"/>
        <v>0</v>
      </c>
      <c r="BK448" s="6">
        <f t="shared" si="36"/>
        <v>0</v>
      </c>
      <c r="BL448" s="6">
        <f t="shared" si="37"/>
        <v>0</v>
      </c>
      <c r="BM448" s="6">
        <f t="shared" si="38"/>
        <v>0</v>
      </c>
      <c r="BN448" s="6">
        <f t="shared" si="39"/>
        <v>0</v>
      </c>
      <c r="BP448" s="6">
        <f t="shared" si="40"/>
        <v>0</v>
      </c>
      <c r="BQ448" s="6" t="b">
        <f ca="1">IFERROR(__xludf.DUMMYFUNCTION("IF(AND(ISERROR(FILTER('Items by Team'!D$2:D3410,'Items by Team'!C$2:C3410 = D448,'Items by Team'!B$2:B3410 = B448)),NOT(A448=""Practice"")),TRUE,FALSE)"),FALSE)</f>
        <v>0</v>
      </c>
      <c r="BR448" s="6">
        <f t="shared" ca="1" si="41"/>
        <v>0</v>
      </c>
    </row>
    <row r="449" spans="1:70">
      <c r="A449" s="6"/>
      <c r="B449" s="6"/>
      <c r="C449" s="6"/>
      <c r="D449" s="6"/>
      <c r="E449" s="6"/>
      <c r="F449" s="6"/>
      <c r="G449" s="6"/>
      <c r="H449" s="6"/>
      <c r="I449" s="6"/>
      <c r="J449" s="6"/>
      <c r="K449" s="6"/>
      <c r="L449" s="6"/>
      <c r="M449" s="6"/>
      <c r="N449" s="6"/>
      <c r="O449" s="6"/>
      <c r="P449" s="6"/>
      <c r="R449" s="6"/>
      <c r="S449" s="6"/>
      <c r="T449" s="6"/>
      <c r="U449" s="6"/>
      <c r="V449" s="6"/>
      <c r="W449" s="6"/>
      <c r="X449" s="6"/>
      <c r="Y449" s="6"/>
      <c r="Z449" s="6"/>
      <c r="AA449" s="6"/>
      <c r="AB449" s="6"/>
      <c r="AD449" s="6"/>
      <c r="AE449" s="6"/>
      <c r="AF449" s="6"/>
      <c r="AG449" s="6"/>
      <c r="AH449" s="6"/>
      <c r="AI449" s="6"/>
      <c r="AK449" s="6"/>
      <c r="AL449" s="6"/>
      <c r="AM449" s="6"/>
      <c r="AN449" s="6"/>
      <c r="AO449" s="6"/>
      <c r="AP449" s="6"/>
      <c r="AQ449" s="6"/>
      <c r="AR449" s="6"/>
      <c r="AS449" s="15"/>
      <c r="AT449" s="6" t="str">
        <f ca="1">IFERROR(__xludf.DUMMYFUNCTION("SWITCH(IF(A449=""Practice"",AN449,FILTER('Items by Team'!E$2:E3410,'Items by Team'!C$2:C3410=D449,B449='Items by Team'!B$2:B3410)),""None"",""No"",""Parked"",""P"",""ShallowCage"",""Sc"",""DeepCage"",""Dc"",""No"",""No"",""P"",""P"",""Sc"",""Sc"",""Dc"","&amp;"""Dc"")"),"#REF!")</f>
        <v>#REF!</v>
      </c>
      <c r="AU449" s="6" t="str">
        <f ca="1">IFERROR(__xludf.DUMMYFUNCTION("SWITCH(IF(A449 = ""Practice"", H449, FILTER('Items by Team'!D$2:D3410,'Items by Team'!C$2:C3410 = D449,'Items by Team'!B$2:B3410 = B449)), ""Yes"", ""TRUE"", ""No"", ""FALSE"",TRUE, ""TRUE"", FALSE, ""FALSE"")"),"#REF!")</f>
        <v>#REF!</v>
      </c>
      <c r="AV449" s="6">
        <f t="shared" si="21"/>
        <v>0</v>
      </c>
      <c r="AW449" s="6">
        <f t="shared" si="22"/>
        <v>0</v>
      </c>
      <c r="AX449" s="6">
        <f t="shared" si="23"/>
        <v>0</v>
      </c>
      <c r="AY449" s="6">
        <f t="shared" si="24"/>
        <v>0</v>
      </c>
      <c r="AZ449" s="9" t="str">
        <f t="shared" si="25"/>
        <v/>
      </c>
      <c r="BA449" s="6">
        <f t="shared" si="26"/>
        <v>0</v>
      </c>
      <c r="BB449" s="6">
        <f t="shared" si="27"/>
        <v>0</v>
      </c>
      <c r="BC449" s="9" t="str">
        <f t="shared" si="28"/>
        <v/>
      </c>
      <c r="BD449" s="6">
        <f t="shared" si="29"/>
        <v>0</v>
      </c>
      <c r="BE449" s="6">
        <f t="shared" si="30"/>
        <v>0</v>
      </c>
      <c r="BF449" s="9" t="str">
        <f t="shared" si="31"/>
        <v/>
      </c>
      <c r="BG449" s="6">
        <f t="shared" si="32"/>
        <v>0</v>
      </c>
      <c r="BH449" s="6">
        <f t="shared" si="33"/>
        <v>0</v>
      </c>
      <c r="BI449" s="9" t="str">
        <f t="shared" si="34"/>
        <v/>
      </c>
      <c r="BJ449" s="6">
        <f t="shared" si="35"/>
        <v>0</v>
      </c>
      <c r="BK449" s="6">
        <f t="shared" si="36"/>
        <v>0</v>
      </c>
      <c r="BL449" s="6">
        <f t="shared" si="37"/>
        <v>0</v>
      </c>
      <c r="BM449" s="6">
        <f t="shared" si="38"/>
        <v>0</v>
      </c>
      <c r="BN449" s="6">
        <f t="shared" si="39"/>
        <v>0</v>
      </c>
      <c r="BP449" s="6">
        <f t="shared" si="40"/>
        <v>0</v>
      </c>
      <c r="BQ449" s="6" t="b">
        <f ca="1">IFERROR(__xludf.DUMMYFUNCTION("IF(AND(ISERROR(FILTER('Items by Team'!D$2:D3410,'Items by Team'!C$2:C3410 = D449,'Items by Team'!B$2:B3410 = B449)),NOT(A449=""Practice"")),TRUE,FALSE)"),FALSE)</f>
        <v>0</v>
      </c>
      <c r="BR449" s="6">
        <f t="shared" ca="1" si="41"/>
        <v>0</v>
      </c>
    </row>
    <row r="450" spans="1:70">
      <c r="A450" s="6"/>
      <c r="B450" s="6"/>
      <c r="C450" s="6"/>
      <c r="D450" s="6"/>
      <c r="E450" s="6"/>
      <c r="F450" s="6"/>
      <c r="G450" s="6"/>
      <c r="H450" s="6"/>
      <c r="I450" s="6"/>
      <c r="J450" s="6"/>
      <c r="K450" s="6"/>
      <c r="L450" s="6"/>
      <c r="M450" s="6"/>
      <c r="N450" s="6"/>
      <c r="O450" s="6"/>
      <c r="P450" s="6"/>
      <c r="R450" s="6"/>
      <c r="S450" s="6"/>
      <c r="T450" s="6"/>
      <c r="U450" s="6"/>
      <c r="V450" s="6"/>
      <c r="W450" s="6"/>
      <c r="X450" s="6"/>
      <c r="Y450" s="6"/>
      <c r="Z450" s="6"/>
      <c r="AA450" s="6"/>
      <c r="AB450" s="6"/>
      <c r="AD450" s="6"/>
      <c r="AE450" s="6"/>
      <c r="AF450" s="6"/>
      <c r="AG450" s="6"/>
      <c r="AH450" s="6"/>
      <c r="AI450" s="6"/>
      <c r="AK450" s="6"/>
      <c r="AL450" s="6"/>
      <c r="AM450" s="6"/>
      <c r="AN450" s="6"/>
      <c r="AO450" s="6"/>
      <c r="AP450" s="6"/>
      <c r="AQ450" s="6"/>
      <c r="AR450" s="6"/>
      <c r="AS450" s="15"/>
      <c r="AT450" s="6" t="str">
        <f ca="1">IFERROR(__xludf.DUMMYFUNCTION("SWITCH(IF(A450=""Practice"",AN450,FILTER('Items by Team'!E$2:E3410,'Items by Team'!C$2:C3410=D450,B450='Items by Team'!B$2:B3410)),""None"",""No"",""Parked"",""P"",""ShallowCage"",""Sc"",""DeepCage"",""Dc"",""No"",""No"",""P"",""P"",""Sc"",""Sc"",""Dc"","&amp;"""Dc"")"),"#REF!")</f>
        <v>#REF!</v>
      </c>
      <c r="AU450" s="6" t="str">
        <f ca="1">IFERROR(__xludf.DUMMYFUNCTION("SWITCH(IF(A450 = ""Practice"", H450, FILTER('Items by Team'!D$2:D3410,'Items by Team'!C$2:C3410 = D450,'Items by Team'!B$2:B3410 = B450)), ""Yes"", ""TRUE"", ""No"", ""FALSE"",TRUE, ""TRUE"", FALSE, ""FALSE"")"),"#REF!")</f>
        <v>#REF!</v>
      </c>
      <c r="AV450" s="6">
        <f t="shared" si="21"/>
        <v>0</v>
      </c>
      <c r="AW450" s="6">
        <f t="shared" si="22"/>
        <v>0</v>
      </c>
      <c r="AX450" s="6">
        <f t="shared" si="23"/>
        <v>0</v>
      </c>
      <c r="AY450" s="6">
        <f t="shared" si="24"/>
        <v>0</v>
      </c>
      <c r="AZ450" s="9" t="str">
        <f t="shared" si="25"/>
        <v/>
      </c>
      <c r="BA450" s="6">
        <f t="shared" si="26"/>
        <v>0</v>
      </c>
      <c r="BB450" s="6">
        <f t="shared" si="27"/>
        <v>0</v>
      </c>
      <c r="BC450" s="9" t="str">
        <f t="shared" si="28"/>
        <v/>
      </c>
      <c r="BD450" s="6">
        <f t="shared" si="29"/>
        <v>0</v>
      </c>
      <c r="BE450" s="6">
        <f t="shared" si="30"/>
        <v>0</v>
      </c>
      <c r="BF450" s="9" t="str">
        <f t="shared" si="31"/>
        <v/>
      </c>
      <c r="BG450" s="6">
        <f t="shared" si="32"/>
        <v>0</v>
      </c>
      <c r="BH450" s="6">
        <f t="shared" si="33"/>
        <v>0</v>
      </c>
      <c r="BI450" s="9" t="str">
        <f t="shared" si="34"/>
        <v/>
      </c>
      <c r="BJ450" s="6">
        <f t="shared" si="35"/>
        <v>0</v>
      </c>
      <c r="BK450" s="6">
        <f t="shared" si="36"/>
        <v>0</v>
      </c>
      <c r="BL450" s="6">
        <f t="shared" si="37"/>
        <v>0</v>
      </c>
      <c r="BM450" s="6">
        <f t="shared" si="38"/>
        <v>0</v>
      </c>
      <c r="BN450" s="6">
        <f t="shared" si="39"/>
        <v>0</v>
      </c>
      <c r="BP450" s="6">
        <f t="shared" si="40"/>
        <v>0</v>
      </c>
      <c r="BQ450" s="6" t="b">
        <f ca="1">IFERROR(__xludf.DUMMYFUNCTION("IF(AND(ISERROR(FILTER('Items by Team'!D$2:D3410,'Items by Team'!C$2:C3410 = D450,'Items by Team'!B$2:B3410 = B450)),NOT(A450=""Practice"")),TRUE,FALSE)"),FALSE)</f>
        <v>0</v>
      </c>
      <c r="BR450" s="6">
        <f t="shared" ca="1" si="41"/>
        <v>0</v>
      </c>
    </row>
    <row r="451" spans="1:70">
      <c r="A451" s="6"/>
      <c r="B451" s="6"/>
      <c r="C451" s="6"/>
      <c r="D451" s="6"/>
      <c r="E451" s="6"/>
      <c r="F451" s="6"/>
      <c r="G451" s="6"/>
      <c r="H451" s="6"/>
      <c r="I451" s="6"/>
      <c r="J451" s="6"/>
      <c r="K451" s="6"/>
      <c r="L451" s="6"/>
      <c r="M451" s="6"/>
      <c r="N451" s="6"/>
      <c r="O451" s="6"/>
      <c r="P451" s="6"/>
      <c r="R451" s="6"/>
      <c r="S451" s="6"/>
      <c r="T451" s="6"/>
      <c r="U451" s="6"/>
      <c r="V451" s="6"/>
      <c r="W451" s="6"/>
      <c r="X451" s="6"/>
      <c r="Y451" s="6"/>
      <c r="Z451" s="6"/>
      <c r="AA451" s="6"/>
      <c r="AB451" s="6"/>
      <c r="AD451" s="6"/>
      <c r="AE451" s="6"/>
      <c r="AF451" s="6"/>
      <c r="AG451" s="6"/>
      <c r="AH451" s="6"/>
      <c r="AI451" s="6"/>
      <c r="AK451" s="6"/>
      <c r="AL451" s="6"/>
      <c r="AM451" s="6"/>
      <c r="AN451" s="6"/>
      <c r="AO451" s="6"/>
      <c r="AP451" s="6"/>
      <c r="AQ451" s="6"/>
      <c r="AR451" s="6"/>
      <c r="AS451" s="15"/>
      <c r="AT451" s="6" t="str">
        <f ca="1">IFERROR(__xludf.DUMMYFUNCTION("SWITCH(IF(A451=""Practice"",AN451,FILTER('Items by Team'!E$2:E3410,'Items by Team'!C$2:C3410=D451,B451='Items by Team'!B$2:B3410)),""None"",""No"",""Parked"",""P"",""ShallowCage"",""Sc"",""DeepCage"",""Dc"",""No"",""No"",""P"",""P"",""Sc"",""Sc"",""Dc"","&amp;"""Dc"")"),"#REF!")</f>
        <v>#REF!</v>
      </c>
      <c r="AU451" s="6" t="str">
        <f ca="1">IFERROR(__xludf.DUMMYFUNCTION("SWITCH(IF(A451 = ""Practice"", H451, FILTER('Items by Team'!D$2:D3410,'Items by Team'!C$2:C3410 = D451,'Items by Team'!B$2:B3410 = B451)), ""Yes"", ""TRUE"", ""No"", ""FALSE"",TRUE, ""TRUE"", FALSE, ""FALSE"")"),"#REF!")</f>
        <v>#REF!</v>
      </c>
      <c r="AV451" s="6">
        <f t="shared" si="21"/>
        <v>0</v>
      </c>
      <c r="AW451" s="6">
        <f t="shared" si="22"/>
        <v>0</v>
      </c>
      <c r="AX451" s="6">
        <f t="shared" si="23"/>
        <v>0</v>
      </c>
      <c r="AY451" s="6">
        <f t="shared" si="24"/>
        <v>0</v>
      </c>
      <c r="AZ451" s="9" t="str">
        <f t="shared" si="25"/>
        <v/>
      </c>
      <c r="BA451" s="6">
        <f t="shared" si="26"/>
        <v>0</v>
      </c>
      <c r="BB451" s="6">
        <f t="shared" si="27"/>
        <v>0</v>
      </c>
      <c r="BC451" s="9" t="str">
        <f t="shared" si="28"/>
        <v/>
      </c>
      <c r="BD451" s="6">
        <f t="shared" si="29"/>
        <v>0</v>
      </c>
      <c r="BE451" s="6">
        <f t="shared" si="30"/>
        <v>0</v>
      </c>
      <c r="BF451" s="9" t="str">
        <f t="shared" si="31"/>
        <v/>
      </c>
      <c r="BG451" s="6">
        <f t="shared" si="32"/>
        <v>0</v>
      </c>
      <c r="BH451" s="6">
        <f t="shared" si="33"/>
        <v>0</v>
      </c>
      <c r="BI451" s="9" t="str">
        <f t="shared" si="34"/>
        <v/>
      </c>
      <c r="BJ451" s="6">
        <f t="shared" si="35"/>
        <v>0</v>
      </c>
      <c r="BK451" s="6">
        <f t="shared" si="36"/>
        <v>0</v>
      </c>
      <c r="BL451" s="6">
        <f t="shared" si="37"/>
        <v>0</v>
      </c>
      <c r="BM451" s="6">
        <f t="shared" si="38"/>
        <v>0</v>
      </c>
      <c r="BN451" s="6">
        <f t="shared" si="39"/>
        <v>0</v>
      </c>
      <c r="BP451" s="6">
        <f t="shared" si="40"/>
        <v>0</v>
      </c>
      <c r="BQ451" s="6" t="b">
        <f ca="1">IFERROR(__xludf.DUMMYFUNCTION("IF(AND(ISERROR(FILTER('Items by Team'!D$2:D3410,'Items by Team'!C$2:C3410 = D451,'Items by Team'!B$2:B3410 = B451)),NOT(A451=""Practice"")),TRUE,FALSE)"),FALSE)</f>
        <v>0</v>
      </c>
      <c r="BR451" s="6">
        <f t="shared" ca="1" si="41"/>
        <v>0</v>
      </c>
    </row>
    <row r="452" spans="1:70">
      <c r="A452" s="6"/>
      <c r="B452" s="6"/>
      <c r="C452" s="6"/>
      <c r="D452" s="6"/>
      <c r="E452" s="6"/>
      <c r="F452" s="6"/>
      <c r="G452" s="6"/>
      <c r="H452" s="6"/>
      <c r="I452" s="6"/>
      <c r="J452" s="6"/>
      <c r="K452" s="6"/>
      <c r="L452" s="6"/>
      <c r="M452" s="6"/>
      <c r="N452" s="6"/>
      <c r="O452" s="6"/>
      <c r="P452" s="6"/>
      <c r="R452" s="6"/>
      <c r="S452" s="6"/>
      <c r="T452" s="6"/>
      <c r="U452" s="6"/>
      <c r="V452" s="6"/>
      <c r="W452" s="6"/>
      <c r="X452" s="6"/>
      <c r="Y452" s="6"/>
      <c r="Z452" s="6"/>
      <c r="AA452" s="6"/>
      <c r="AB452" s="6"/>
      <c r="AD452" s="6"/>
      <c r="AE452" s="6"/>
      <c r="AF452" s="6"/>
      <c r="AG452" s="6"/>
      <c r="AH452" s="6"/>
      <c r="AI452" s="6"/>
      <c r="AK452" s="6"/>
      <c r="AL452" s="6"/>
      <c r="AM452" s="6"/>
      <c r="AN452" s="6"/>
      <c r="AO452" s="6"/>
      <c r="AP452" s="6"/>
      <c r="AQ452" s="6"/>
      <c r="AR452" s="6"/>
      <c r="AS452" s="15"/>
      <c r="AT452" s="6" t="str">
        <f ca="1">IFERROR(__xludf.DUMMYFUNCTION("SWITCH(IF(A452=""Practice"",AN452,FILTER('Items by Team'!E$2:E3410,'Items by Team'!C$2:C3410=D452,B452='Items by Team'!B$2:B3410)),""None"",""No"",""Parked"",""P"",""ShallowCage"",""Sc"",""DeepCage"",""Dc"",""No"",""No"",""P"",""P"",""Sc"",""Sc"",""Dc"","&amp;"""Dc"")"),"#REF!")</f>
        <v>#REF!</v>
      </c>
      <c r="AU452" s="6" t="str">
        <f ca="1">IFERROR(__xludf.DUMMYFUNCTION("SWITCH(IF(A452 = ""Practice"", H452, FILTER('Items by Team'!D$2:D3410,'Items by Team'!C$2:C3410 = D452,'Items by Team'!B$2:B3410 = B452)), ""Yes"", ""TRUE"", ""No"", ""FALSE"",TRUE, ""TRUE"", FALSE, ""FALSE"")"),"#REF!")</f>
        <v>#REF!</v>
      </c>
      <c r="AV452" s="6">
        <f t="shared" si="21"/>
        <v>0</v>
      </c>
      <c r="AW452" s="6">
        <f t="shared" si="22"/>
        <v>0</v>
      </c>
      <c r="AX452" s="6">
        <f t="shared" si="23"/>
        <v>0</v>
      </c>
      <c r="AY452" s="6">
        <f t="shared" si="24"/>
        <v>0</v>
      </c>
      <c r="AZ452" s="9" t="str">
        <f t="shared" si="25"/>
        <v/>
      </c>
      <c r="BA452" s="6">
        <f t="shared" si="26"/>
        <v>0</v>
      </c>
      <c r="BB452" s="6">
        <f t="shared" si="27"/>
        <v>0</v>
      </c>
      <c r="BC452" s="9" t="str">
        <f t="shared" si="28"/>
        <v/>
      </c>
      <c r="BD452" s="6">
        <f t="shared" si="29"/>
        <v>0</v>
      </c>
      <c r="BE452" s="6">
        <f t="shared" si="30"/>
        <v>0</v>
      </c>
      <c r="BF452" s="9" t="str">
        <f t="shared" si="31"/>
        <v/>
      </c>
      <c r="BG452" s="6">
        <f t="shared" si="32"/>
        <v>0</v>
      </c>
      <c r="BH452" s="6">
        <f t="shared" si="33"/>
        <v>0</v>
      </c>
      <c r="BI452" s="9" t="str">
        <f t="shared" si="34"/>
        <v/>
      </c>
      <c r="BJ452" s="6">
        <f t="shared" si="35"/>
        <v>0</v>
      </c>
      <c r="BK452" s="6">
        <f t="shared" si="36"/>
        <v>0</v>
      </c>
      <c r="BL452" s="6">
        <f t="shared" si="37"/>
        <v>0</v>
      </c>
      <c r="BM452" s="6">
        <f t="shared" si="38"/>
        <v>0</v>
      </c>
      <c r="BN452" s="6">
        <f t="shared" si="39"/>
        <v>0</v>
      </c>
      <c r="BP452" s="6">
        <f t="shared" si="40"/>
        <v>0</v>
      </c>
      <c r="BQ452" s="6" t="b">
        <f ca="1">IFERROR(__xludf.DUMMYFUNCTION("IF(AND(ISERROR(FILTER('Items by Team'!D$2:D3410,'Items by Team'!C$2:C3410 = D452,'Items by Team'!B$2:B3410 = B452)),NOT(A452=""Practice"")),TRUE,FALSE)"),FALSE)</f>
        <v>0</v>
      </c>
      <c r="BR452" s="6">
        <f t="shared" ca="1" si="41"/>
        <v>0</v>
      </c>
    </row>
    <row r="453" spans="1:70">
      <c r="A453" s="6"/>
      <c r="B453" s="6"/>
      <c r="C453" s="6"/>
      <c r="D453" s="6"/>
      <c r="E453" s="6"/>
      <c r="F453" s="6"/>
      <c r="G453" s="6"/>
      <c r="H453" s="6"/>
      <c r="I453" s="6"/>
      <c r="J453" s="6"/>
      <c r="K453" s="6"/>
      <c r="L453" s="6"/>
      <c r="M453" s="6"/>
      <c r="N453" s="6"/>
      <c r="O453" s="6"/>
      <c r="P453" s="6"/>
      <c r="R453" s="6"/>
      <c r="S453" s="6"/>
      <c r="T453" s="6"/>
      <c r="U453" s="6"/>
      <c r="V453" s="6"/>
      <c r="W453" s="6"/>
      <c r="X453" s="6"/>
      <c r="Y453" s="6"/>
      <c r="Z453" s="6"/>
      <c r="AA453" s="6"/>
      <c r="AB453" s="6"/>
      <c r="AD453" s="6"/>
      <c r="AE453" s="6"/>
      <c r="AF453" s="6"/>
      <c r="AG453" s="6"/>
      <c r="AH453" s="6"/>
      <c r="AI453" s="6"/>
      <c r="AK453" s="6"/>
      <c r="AL453" s="6"/>
      <c r="AM453" s="6"/>
      <c r="AN453" s="6"/>
      <c r="AO453" s="6"/>
      <c r="AP453" s="6"/>
      <c r="AQ453" s="6"/>
      <c r="AR453" s="6"/>
      <c r="AS453" s="15"/>
      <c r="AT453" s="6" t="str">
        <f ca="1">IFERROR(__xludf.DUMMYFUNCTION("SWITCH(IF(A453=""Practice"",AN453,FILTER('Items by Team'!E$2:E3410,'Items by Team'!C$2:C3410=D453,B453='Items by Team'!B$2:B3410)),""None"",""No"",""Parked"",""P"",""ShallowCage"",""Sc"",""DeepCage"",""Dc"",""No"",""No"",""P"",""P"",""Sc"",""Sc"",""Dc"","&amp;"""Dc"")"),"#REF!")</f>
        <v>#REF!</v>
      </c>
      <c r="AU453" s="6" t="str">
        <f ca="1">IFERROR(__xludf.DUMMYFUNCTION("SWITCH(IF(A453 = ""Practice"", H453, FILTER('Items by Team'!D$2:D3410,'Items by Team'!C$2:C3410 = D453,'Items by Team'!B$2:B3410 = B453)), ""Yes"", ""TRUE"", ""No"", ""FALSE"",TRUE, ""TRUE"", FALSE, ""FALSE"")"),"#REF!")</f>
        <v>#REF!</v>
      </c>
      <c r="AV453" s="6">
        <f t="shared" si="21"/>
        <v>0</v>
      </c>
      <c r="AW453" s="6">
        <f t="shared" si="22"/>
        <v>0</v>
      </c>
      <c r="AX453" s="6">
        <f t="shared" si="23"/>
        <v>0</v>
      </c>
      <c r="AY453" s="6">
        <f t="shared" si="24"/>
        <v>0</v>
      </c>
      <c r="AZ453" s="9" t="str">
        <f t="shared" si="25"/>
        <v/>
      </c>
      <c r="BA453" s="6">
        <f t="shared" si="26"/>
        <v>0</v>
      </c>
      <c r="BB453" s="6">
        <f t="shared" si="27"/>
        <v>0</v>
      </c>
      <c r="BC453" s="9" t="str">
        <f t="shared" si="28"/>
        <v/>
      </c>
      <c r="BD453" s="6">
        <f t="shared" si="29"/>
        <v>0</v>
      </c>
      <c r="BE453" s="6">
        <f t="shared" si="30"/>
        <v>0</v>
      </c>
      <c r="BF453" s="9" t="str">
        <f t="shared" si="31"/>
        <v/>
      </c>
      <c r="BG453" s="6">
        <f t="shared" si="32"/>
        <v>0</v>
      </c>
      <c r="BH453" s="6">
        <f t="shared" si="33"/>
        <v>0</v>
      </c>
      <c r="BI453" s="9" t="str">
        <f t="shared" si="34"/>
        <v/>
      </c>
      <c r="BJ453" s="6">
        <f t="shared" si="35"/>
        <v>0</v>
      </c>
      <c r="BK453" s="6">
        <f t="shared" si="36"/>
        <v>0</v>
      </c>
      <c r="BL453" s="6">
        <f t="shared" si="37"/>
        <v>0</v>
      </c>
      <c r="BM453" s="6">
        <f t="shared" si="38"/>
        <v>0</v>
      </c>
      <c r="BN453" s="6">
        <f t="shared" si="39"/>
        <v>0</v>
      </c>
      <c r="BP453" s="6">
        <f t="shared" si="40"/>
        <v>0</v>
      </c>
      <c r="BQ453" s="6" t="b">
        <f ca="1">IFERROR(__xludf.DUMMYFUNCTION("IF(AND(ISERROR(FILTER('Items by Team'!D$2:D3410,'Items by Team'!C$2:C3410 = D453,'Items by Team'!B$2:B3410 = B453)),NOT(A453=""Practice"")),TRUE,FALSE)"),FALSE)</f>
        <v>0</v>
      </c>
      <c r="BR453" s="6">
        <f t="shared" ca="1" si="41"/>
        <v>0</v>
      </c>
    </row>
    <row r="454" spans="1:70">
      <c r="A454" s="6"/>
      <c r="B454" s="6"/>
      <c r="C454" s="6"/>
      <c r="D454" s="6"/>
      <c r="E454" s="6"/>
      <c r="F454" s="6"/>
      <c r="G454" s="6"/>
      <c r="H454" s="6"/>
      <c r="I454" s="6"/>
      <c r="J454" s="6"/>
      <c r="K454" s="6"/>
      <c r="L454" s="6"/>
      <c r="M454" s="6"/>
      <c r="N454" s="6"/>
      <c r="O454" s="6"/>
      <c r="P454" s="6"/>
      <c r="R454" s="6"/>
      <c r="S454" s="6"/>
      <c r="T454" s="6"/>
      <c r="U454" s="6"/>
      <c r="V454" s="6"/>
      <c r="W454" s="6"/>
      <c r="X454" s="6"/>
      <c r="Y454" s="6"/>
      <c r="Z454" s="6"/>
      <c r="AA454" s="6"/>
      <c r="AB454" s="6"/>
      <c r="AD454" s="6"/>
      <c r="AE454" s="6"/>
      <c r="AF454" s="6"/>
      <c r="AG454" s="6"/>
      <c r="AH454" s="6"/>
      <c r="AI454" s="6"/>
      <c r="AK454" s="6"/>
      <c r="AL454" s="6"/>
      <c r="AM454" s="6"/>
      <c r="AN454" s="6"/>
      <c r="AO454" s="6"/>
      <c r="AP454" s="6"/>
      <c r="AQ454" s="6"/>
      <c r="AR454" s="6"/>
      <c r="AS454" s="15"/>
      <c r="AT454" s="6" t="str">
        <f ca="1">IFERROR(__xludf.DUMMYFUNCTION("SWITCH(IF(A454=""Practice"",AN454,FILTER('Items by Team'!E$2:E3410,'Items by Team'!C$2:C3410=D454,B454='Items by Team'!B$2:B3410)),""None"",""No"",""Parked"",""P"",""ShallowCage"",""Sc"",""DeepCage"",""Dc"",""No"",""No"",""P"",""P"",""Sc"",""Sc"",""Dc"","&amp;"""Dc"")"),"#REF!")</f>
        <v>#REF!</v>
      </c>
      <c r="AU454" s="6" t="str">
        <f ca="1">IFERROR(__xludf.DUMMYFUNCTION("SWITCH(IF(A454 = ""Practice"", H454, FILTER('Items by Team'!D$2:D3410,'Items by Team'!C$2:C3410 = D454,'Items by Team'!B$2:B3410 = B454)), ""Yes"", ""TRUE"", ""No"", ""FALSE"",TRUE, ""TRUE"", FALSE, ""FALSE"")"),"#REF!")</f>
        <v>#REF!</v>
      </c>
      <c r="AV454" s="6">
        <f t="shared" si="21"/>
        <v>0</v>
      </c>
      <c r="AW454" s="6">
        <f t="shared" si="22"/>
        <v>0</v>
      </c>
      <c r="AX454" s="6">
        <f t="shared" si="23"/>
        <v>0</v>
      </c>
      <c r="AY454" s="6">
        <f t="shared" si="24"/>
        <v>0</v>
      </c>
      <c r="AZ454" s="9" t="str">
        <f t="shared" si="25"/>
        <v/>
      </c>
      <c r="BA454" s="6">
        <f t="shared" si="26"/>
        <v>0</v>
      </c>
      <c r="BB454" s="6">
        <f t="shared" si="27"/>
        <v>0</v>
      </c>
      <c r="BC454" s="9" t="str">
        <f t="shared" si="28"/>
        <v/>
      </c>
      <c r="BD454" s="6">
        <f t="shared" si="29"/>
        <v>0</v>
      </c>
      <c r="BE454" s="6">
        <f t="shared" si="30"/>
        <v>0</v>
      </c>
      <c r="BF454" s="9" t="str">
        <f t="shared" si="31"/>
        <v/>
      </c>
      <c r="BG454" s="6">
        <f t="shared" si="32"/>
        <v>0</v>
      </c>
      <c r="BH454" s="6">
        <f t="shared" si="33"/>
        <v>0</v>
      </c>
      <c r="BI454" s="9" t="str">
        <f t="shared" si="34"/>
        <v/>
      </c>
      <c r="BJ454" s="6">
        <f t="shared" si="35"/>
        <v>0</v>
      </c>
      <c r="BK454" s="6">
        <f t="shared" si="36"/>
        <v>0</v>
      </c>
      <c r="BL454" s="6">
        <f t="shared" si="37"/>
        <v>0</v>
      </c>
      <c r="BM454" s="6">
        <f t="shared" si="38"/>
        <v>0</v>
      </c>
      <c r="BN454" s="6">
        <f t="shared" si="39"/>
        <v>0</v>
      </c>
      <c r="BP454" s="6">
        <f t="shared" si="40"/>
        <v>0</v>
      </c>
      <c r="BQ454" s="6" t="b">
        <f ca="1">IFERROR(__xludf.DUMMYFUNCTION("IF(AND(ISERROR(FILTER('Items by Team'!D$2:D3410,'Items by Team'!C$2:C3410 = D454,'Items by Team'!B$2:B3410 = B454)),NOT(A454=""Practice"")),TRUE,FALSE)"),FALSE)</f>
        <v>0</v>
      </c>
      <c r="BR454" s="6">
        <f t="shared" ca="1" si="41"/>
        <v>0</v>
      </c>
    </row>
    <row r="455" spans="1:70">
      <c r="A455" s="6"/>
      <c r="B455" s="6"/>
      <c r="C455" s="6"/>
      <c r="D455" s="6"/>
      <c r="E455" s="6"/>
      <c r="F455" s="6"/>
      <c r="G455" s="6"/>
      <c r="H455" s="6"/>
      <c r="I455" s="6"/>
      <c r="J455" s="6"/>
      <c r="K455" s="6"/>
      <c r="L455" s="6"/>
      <c r="M455" s="6"/>
      <c r="N455" s="6"/>
      <c r="O455" s="6"/>
      <c r="P455" s="6"/>
      <c r="R455" s="6"/>
      <c r="S455" s="6"/>
      <c r="T455" s="6"/>
      <c r="U455" s="6"/>
      <c r="V455" s="6"/>
      <c r="W455" s="6"/>
      <c r="X455" s="6"/>
      <c r="Y455" s="6"/>
      <c r="Z455" s="6"/>
      <c r="AA455" s="6"/>
      <c r="AB455" s="6"/>
      <c r="AD455" s="6"/>
      <c r="AE455" s="6"/>
      <c r="AF455" s="6"/>
      <c r="AG455" s="6"/>
      <c r="AH455" s="6"/>
      <c r="AI455" s="6"/>
      <c r="AK455" s="6"/>
      <c r="AL455" s="6"/>
      <c r="AM455" s="6"/>
      <c r="AN455" s="6"/>
      <c r="AO455" s="6"/>
      <c r="AP455" s="6"/>
      <c r="AQ455" s="6"/>
      <c r="AR455" s="6"/>
      <c r="AS455" s="15"/>
      <c r="AT455" s="6" t="str">
        <f ca="1">IFERROR(__xludf.DUMMYFUNCTION("SWITCH(IF(A455=""Practice"",AN455,FILTER('Items by Team'!E$2:E3410,'Items by Team'!C$2:C3410=D455,B455='Items by Team'!B$2:B3410)),""None"",""No"",""Parked"",""P"",""ShallowCage"",""Sc"",""DeepCage"",""Dc"",""No"",""No"",""P"",""P"",""Sc"",""Sc"",""Dc"","&amp;"""Dc"")"),"#REF!")</f>
        <v>#REF!</v>
      </c>
      <c r="AU455" s="6" t="str">
        <f ca="1">IFERROR(__xludf.DUMMYFUNCTION("SWITCH(IF(A455 = ""Practice"", H455, FILTER('Items by Team'!D$2:D3410,'Items by Team'!C$2:C3410 = D455,'Items by Team'!B$2:B3410 = B455)), ""Yes"", ""TRUE"", ""No"", ""FALSE"",TRUE, ""TRUE"", FALSE, ""FALSE"")"),"#REF!")</f>
        <v>#REF!</v>
      </c>
      <c r="AV455" s="6">
        <f t="shared" si="21"/>
        <v>0</v>
      </c>
      <c r="AW455" s="6">
        <f t="shared" si="22"/>
        <v>0</v>
      </c>
      <c r="AX455" s="6">
        <f t="shared" si="23"/>
        <v>0</v>
      </c>
      <c r="AY455" s="6">
        <f t="shared" si="24"/>
        <v>0</v>
      </c>
      <c r="AZ455" s="9" t="str">
        <f t="shared" si="25"/>
        <v/>
      </c>
      <c r="BA455" s="6">
        <f t="shared" si="26"/>
        <v>0</v>
      </c>
      <c r="BB455" s="6">
        <f t="shared" si="27"/>
        <v>0</v>
      </c>
      <c r="BC455" s="9" t="str">
        <f t="shared" si="28"/>
        <v/>
      </c>
      <c r="BD455" s="6">
        <f t="shared" si="29"/>
        <v>0</v>
      </c>
      <c r="BE455" s="6">
        <f t="shared" si="30"/>
        <v>0</v>
      </c>
      <c r="BF455" s="9" t="str">
        <f t="shared" si="31"/>
        <v/>
      </c>
      <c r="BG455" s="6">
        <f t="shared" si="32"/>
        <v>0</v>
      </c>
      <c r="BH455" s="6">
        <f t="shared" si="33"/>
        <v>0</v>
      </c>
      <c r="BI455" s="9" t="str">
        <f t="shared" si="34"/>
        <v/>
      </c>
      <c r="BJ455" s="6">
        <f t="shared" si="35"/>
        <v>0</v>
      </c>
      <c r="BK455" s="6">
        <f t="shared" si="36"/>
        <v>0</v>
      </c>
      <c r="BL455" s="6">
        <f t="shared" si="37"/>
        <v>0</v>
      </c>
      <c r="BM455" s="6">
        <f t="shared" si="38"/>
        <v>0</v>
      </c>
      <c r="BN455" s="6">
        <f t="shared" si="39"/>
        <v>0</v>
      </c>
      <c r="BP455" s="6">
        <f t="shared" si="40"/>
        <v>0</v>
      </c>
      <c r="BQ455" s="6" t="b">
        <f ca="1">IFERROR(__xludf.DUMMYFUNCTION("IF(AND(ISERROR(FILTER('Items by Team'!D$2:D3410,'Items by Team'!C$2:C3410 = D455,'Items by Team'!B$2:B3410 = B455)),NOT(A455=""Practice"")),TRUE,FALSE)"),FALSE)</f>
        <v>0</v>
      </c>
      <c r="BR455" s="6">
        <f t="shared" ca="1" si="41"/>
        <v>0</v>
      </c>
    </row>
    <row r="456" spans="1:70">
      <c r="A456" s="6"/>
      <c r="B456" s="6"/>
      <c r="C456" s="6"/>
      <c r="D456" s="6"/>
      <c r="E456" s="6"/>
      <c r="F456" s="6"/>
      <c r="G456" s="6"/>
      <c r="H456" s="6"/>
      <c r="I456" s="6"/>
      <c r="J456" s="6"/>
      <c r="K456" s="6"/>
      <c r="L456" s="6"/>
      <c r="M456" s="6"/>
      <c r="N456" s="6"/>
      <c r="O456" s="6"/>
      <c r="P456" s="6"/>
      <c r="R456" s="6"/>
      <c r="S456" s="6"/>
      <c r="T456" s="6"/>
      <c r="U456" s="6"/>
      <c r="V456" s="6"/>
      <c r="W456" s="6"/>
      <c r="X456" s="6"/>
      <c r="Y456" s="6"/>
      <c r="Z456" s="6"/>
      <c r="AA456" s="6"/>
      <c r="AB456" s="6"/>
      <c r="AD456" s="6"/>
      <c r="AE456" s="6"/>
      <c r="AF456" s="6"/>
      <c r="AG456" s="6"/>
      <c r="AH456" s="6"/>
      <c r="AI456" s="6"/>
      <c r="AK456" s="6"/>
      <c r="AL456" s="6"/>
      <c r="AM456" s="6"/>
      <c r="AN456" s="6"/>
      <c r="AO456" s="6"/>
      <c r="AP456" s="6"/>
      <c r="AQ456" s="6"/>
      <c r="AR456" s="6"/>
      <c r="AS456" s="15"/>
      <c r="AT456" s="6" t="str">
        <f ca="1">IFERROR(__xludf.DUMMYFUNCTION("SWITCH(IF(A456=""Practice"",AN456,FILTER('Items by Team'!E$2:E3410,'Items by Team'!C$2:C3410=D456,B456='Items by Team'!B$2:B3410)),""None"",""No"",""Parked"",""P"",""ShallowCage"",""Sc"",""DeepCage"",""Dc"",""No"",""No"",""P"",""P"",""Sc"",""Sc"",""Dc"","&amp;"""Dc"")"),"#REF!")</f>
        <v>#REF!</v>
      </c>
      <c r="AU456" s="6" t="str">
        <f ca="1">IFERROR(__xludf.DUMMYFUNCTION("SWITCH(IF(A456 = ""Practice"", H456, FILTER('Items by Team'!D$2:D3410,'Items by Team'!C$2:C3410 = D456,'Items by Team'!B$2:B3410 = B456)), ""Yes"", ""TRUE"", ""No"", ""FALSE"",TRUE, ""TRUE"", FALSE, ""FALSE"")"),"#REF!")</f>
        <v>#REF!</v>
      </c>
      <c r="AV456" s="6">
        <f t="shared" si="21"/>
        <v>0</v>
      </c>
      <c r="AW456" s="6">
        <f t="shared" si="22"/>
        <v>0</v>
      </c>
      <c r="AX456" s="6">
        <f t="shared" si="23"/>
        <v>0</v>
      </c>
      <c r="AY456" s="6">
        <f t="shared" si="24"/>
        <v>0</v>
      </c>
      <c r="AZ456" s="9" t="str">
        <f t="shared" si="25"/>
        <v/>
      </c>
      <c r="BA456" s="6">
        <f t="shared" si="26"/>
        <v>0</v>
      </c>
      <c r="BB456" s="6">
        <f t="shared" si="27"/>
        <v>0</v>
      </c>
      <c r="BC456" s="9" t="str">
        <f t="shared" si="28"/>
        <v/>
      </c>
      <c r="BD456" s="6">
        <f t="shared" si="29"/>
        <v>0</v>
      </c>
      <c r="BE456" s="6">
        <f t="shared" si="30"/>
        <v>0</v>
      </c>
      <c r="BF456" s="9" t="str">
        <f t="shared" si="31"/>
        <v/>
      </c>
      <c r="BG456" s="6">
        <f t="shared" si="32"/>
        <v>0</v>
      </c>
      <c r="BH456" s="6">
        <f t="shared" si="33"/>
        <v>0</v>
      </c>
      <c r="BI456" s="9" t="str">
        <f t="shared" si="34"/>
        <v/>
      </c>
      <c r="BJ456" s="6">
        <f t="shared" si="35"/>
        <v>0</v>
      </c>
      <c r="BK456" s="6">
        <f t="shared" si="36"/>
        <v>0</v>
      </c>
      <c r="BL456" s="6">
        <f t="shared" si="37"/>
        <v>0</v>
      </c>
      <c r="BM456" s="6">
        <f t="shared" si="38"/>
        <v>0</v>
      </c>
      <c r="BN456" s="6">
        <f t="shared" si="39"/>
        <v>0</v>
      </c>
      <c r="BP456" s="6">
        <f t="shared" si="40"/>
        <v>0</v>
      </c>
      <c r="BQ456" s="6" t="b">
        <f ca="1">IFERROR(__xludf.DUMMYFUNCTION("IF(AND(ISERROR(FILTER('Items by Team'!D$2:D3410,'Items by Team'!C$2:C3410 = D456,'Items by Team'!B$2:B3410 = B456)),NOT(A456=""Practice"")),TRUE,FALSE)"),FALSE)</f>
        <v>0</v>
      </c>
      <c r="BR456" s="6">
        <f t="shared" ca="1" si="41"/>
        <v>0</v>
      </c>
    </row>
    <row r="457" spans="1:70">
      <c r="A457" s="6"/>
      <c r="B457" s="6"/>
      <c r="C457" s="6"/>
      <c r="D457" s="6"/>
      <c r="E457" s="6"/>
      <c r="F457" s="6"/>
      <c r="G457" s="6"/>
      <c r="H457" s="6"/>
      <c r="I457" s="6"/>
      <c r="J457" s="6"/>
      <c r="K457" s="6"/>
      <c r="L457" s="6"/>
      <c r="M457" s="6"/>
      <c r="N457" s="6"/>
      <c r="O457" s="6"/>
      <c r="P457" s="6"/>
      <c r="R457" s="6"/>
      <c r="S457" s="6"/>
      <c r="T457" s="6"/>
      <c r="U457" s="6"/>
      <c r="V457" s="6"/>
      <c r="W457" s="6"/>
      <c r="X457" s="6"/>
      <c r="Y457" s="6"/>
      <c r="Z457" s="6"/>
      <c r="AA457" s="6"/>
      <c r="AB457" s="6"/>
      <c r="AD457" s="6"/>
      <c r="AE457" s="6"/>
      <c r="AF457" s="6"/>
      <c r="AG457" s="6"/>
      <c r="AH457" s="6"/>
      <c r="AI457" s="6"/>
      <c r="AK457" s="6"/>
      <c r="AL457" s="6"/>
      <c r="AM457" s="6"/>
      <c r="AN457" s="6"/>
      <c r="AO457" s="6"/>
      <c r="AP457" s="6"/>
      <c r="AQ457" s="6"/>
      <c r="AR457" s="6"/>
      <c r="AS457" s="15"/>
      <c r="AT457" s="6" t="str">
        <f ca="1">IFERROR(__xludf.DUMMYFUNCTION("SWITCH(IF(A457=""Practice"",AN457,FILTER('Items by Team'!E$2:E3410,'Items by Team'!C$2:C3410=D457,B457='Items by Team'!B$2:B3410)),""None"",""No"",""Parked"",""P"",""ShallowCage"",""Sc"",""DeepCage"",""Dc"",""No"",""No"",""P"",""P"",""Sc"",""Sc"",""Dc"","&amp;"""Dc"")"),"#REF!")</f>
        <v>#REF!</v>
      </c>
      <c r="AU457" s="6" t="str">
        <f ca="1">IFERROR(__xludf.DUMMYFUNCTION("SWITCH(IF(A457 = ""Practice"", H457, FILTER('Items by Team'!D$2:D3410,'Items by Team'!C$2:C3410 = D457,'Items by Team'!B$2:B3410 = B457)), ""Yes"", ""TRUE"", ""No"", ""FALSE"",TRUE, ""TRUE"", FALSE, ""FALSE"")"),"#REF!")</f>
        <v>#REF!</v>
      </c>
      <c r="AV457" s="6">
        <f t="shared" si="21"/>
        <v>0</v>
      </c>
      <c r="AW457" s="6">
        <f t="shared" si="22"/>
        <v>0</v>
      </c>
      <c r="AX457" s="6">
        <f t="shared" si="23"/>
        <v>0</v>
      </c>
      <c r="AY457" s="6">
        <f t="shared" si="24"/>
        <v>0</v>
      </c>
      <c r="AZ457" s="9" t="str">
        <f t="shared" si="25"/>
        <v/>
      </c>
      <c r="BA457" s="6">
        <f t="shared" si="26"/>
        <v>0</v>
      </c>
      <c r="BB457" s="6">
        <f t="shared" si="27"/>
        <v>0</v>
      </c>
      <c r="BC457" s="9" t="str">
        <f t="shared" si="28"/>
        <v/>
      </c>
      <c r="BD457" s="6">
        <f t="shared" si="29"/>
        <v>0</v>
      </c>
      <c r="BE457" s="6">
        <f t="shared" si="30"/>
        <v>0</v>
      </c>
      <c r="BF457" s="9" t="str">
        <f t="shared" si="31"/>
        <v/>
      </c>
      <c r="BG457" s="6">
        <f t="shared" si="32"/>
        <v>0</v>
      </c>
      <c r="BH457" s="6">
        <f t="shared" si="33"/>
        <v>0</v>
      </c>
      <c r="BI457" s="9" t="str">
        <f t="shared" si="34"/>
        <v/>
      </c>
      <c r="BJ457" s="6">
        <f t="shared" si="35"/>
        <v>0</v>
      </c>
      <c r="BK457" s="6">
        <f t="shared" si="36"/>
        <v>0</v>
      </c>
      <c r="BL457" s="6">
        <f t="shared" si="37"/>
        <v>0</v>
      </c>
      <c r="BM457" s="6">
        <f t="shared" si="38"/>
        <v>0</v>
      </c>
      <c r="BN457" s="6">
        <f t="shared" si="39"/>
        <v>0</v>
      </c>
      <c r="BP457" s="6">
        <f t="shared" si="40"/>
        <v>0</v>
      </c>
      <c r="BQ457" s="6" t="b">
        <f ca="1">IFERROR(__xludf.DUMMYFUNCTION("IF(AND(ISERROR(FILTER('Items by Team'!D$2:D3410,'Items by Team'!C$2:C3410 = D457,'Items by Team'!B$2:B3410 = B457)),NOT(A457=""Practice"")),TRUE,FALSE)"),FALSE)</f>
        <v>0</v>
      </c>
      <c r="BR457" s="6">
        <f t="shared" ca="1" si="41"/>
        <v>0</v>
      </c>
    </row>
    <row r="458" spans="1:70">
      <c r="A458" s="6"/>
      <c r="B458" s="6"/>
      <c r="C458" s="6"/>
      <c r="D458" s="6"/>
      <c r="E458" s="6"/>
      <c r="F458" s="6"/>
      <c r="G458" s="6"/>
      <c r="H458" s="6"/>
      <c r="I458" s="6"/>
      <c r="J458" s="6"/>
      <c r="K458" s="6"/>
      <c r="L458" s="6"/>
      <c r="M458" s="6"/>
      <c r="N458" s="6"/>
      <c r="O458" s="6"/>
      <c r="P458" s="6"/>
      <c r="R458" s="6"/>
      <c r="S458" s="6"/>
      <c r="T458" s="6"/>
      <c r="U458" s="6"/>
      <c r="V458" s="6"/>
      <c r="W458" s="6"/>
      <c r="X458" s="6"/>
      <c r="Y458" s="6"/>
      <c r="Z458" s="6"/>
      <c r="AA458" s="6"/>
      <c r="AB458" s="6"/>
      <c r="AD458" s="6"/>
      <c r="AE458" s="6"/>
      <c r="AF458" s="6"/>
      <c r="AG458" s="6"/>
      <c r="AH458" s="6"/>
      <c r="AI458" s="6"/>
      <c r="AK458" s="6"/>
      <c r="AL458" s="6"/>
      <c r="AM458" s="6"/>
      <c r="AN458" s="6"/>
      <c r="AO458" s="6"/>
      <c r="AP458" s="6"/>
      <c r="AQ458" s="6"/>
      <c r="AR458" s="6"/>
      <c r="AS458" s="15"/>
      <c r="AT458" s="6" t="str">
        <f ca="1">IFERROR(__xludf.DUMMYFUNCTION("SWITCH(IF(A458=""Practice"",AN458,FILTER('Items by Team'!E$2:E3410,'Items by Team'!C$2:C3410=D458,B458='Items by Team'!B$2:B3410)),""None"",""No"",""Parked"",""P"",""ShallowCage"",""Sc"",""DeepCage"",""Dc"",""No"",""No"",""P"",""P"",""Sc"",""Sc"",""Dc"","&amp;"""Dc"")"),"#REF!")</f>
        <v>#REF!</v>
      </c>
      <c r="AU458" s="6" t="str">
        <f ca="1">IFERROR(__xludf.DUMMYFUNCTION("SWITCH(IF(A458 = ""Practice"", H458, FILTER('Items by Team'!D$2:D3410,'Items by Team'!C$2:C3410 = D458,'Items by Team'!B$2:B3410 = B458)), ""Yes"", ""TRUE"", ""No"", ""FALSE"",TRUE, ""TRUE"", FALSE, ""FALSE"")"),"#REF!")</f>
        <v>#REF!</v>
      </c>
      <c r="AV458" s="6">
        <f t="shared" si="21"/>
        <v>0</v>
      </c>
      <c r="AW458" s="6">
        <f t="shared" si="22"/>
        <v>0</v>
      </c>
      <c r="AX458" s="6">
        <f t="shared" si="23"/>
        <v>0</v>
      </c>
      <c r="AY458" s="6">
        <f t="shared" si="24"/>
        <v>0</v>
      </c>
      <c r="AZ458" s="9" t="str">
        <f t="shared" si="25"/>
        <v/>
      </c>
      <c r="BA458" s="6">
        <f t="shared" si="26"/>
        <v>0</v>
      </c>
      <c r="BB458" s="6">
        <f t="shared" si="27"/>
        <v>0</v>
      </c>
      <c r="BC458" s="9" t="str">
        <f t="shared" si="28"/>
        <v/>
      </c>
      <c r="BD458" s="6">
        <f t="shared" si="29"/>
        <v>0</v>
      </c>
      <c r="BE458" s="6">
        <f t="shared" si="30"/>
        <v>0</v>
      </c>
      <c r="BF458" s="9" t="str">
        <f t="shared" si="31"/>
        <v/>
      </c>
      <c r="BG458" s="6">
        <f t="shared" si="32"/>
        <v>0</v>
      </c>
      <c r="BH458" s="6">
        <f t="shared" si="33"/>
        <v>0</v>
      </c>
      <c r="BI458" s="9" t="str">
        <f t="shared" si="34"/>
        <v/>
      </c>
      <c r="BJ458" s="6">
        <f t="shared" si="35"/>
        <v>0</v>
      </c>
      <c r="BK458" s="6">
        <f t="shared" si="36"/>
        <v>0</v>
      </c>
      <c r="BL458" s="6">
        <f t="shared" si="37"/>
        <v>0</v>
      </c>
      <c r="BM458" s="6">
        <f t="shared" si="38"/>
        <v>0</v>
      </c>
      <c r="BN458" s="6">
        <f t="shared" si="39"/>
        <v>0</v>
      </c>
      <c r="BP458" s="6">
        <f t="shared" si="40"/>
        <v>0</v>
      </c>
      <c r="BQ458" s="6" t="b">
        <f ca="1">IFERROR(__xludf.DUMMYFUNCTION("IF(AND(ISERROR(FILTER('Items by Team'!D$2:D3410,'Items by Team'!C$2:C3410 = D458,'Items by Team'!B$2:B3410 = B458)),NOT(A458=""Practice"")),TRUE,FALSE)"),FALSE)</f>
        <v>0</v>
      </c>
      <c r="BR458" s="6">
        <f t="shared" ca="1" si="41"/>
        <v>0</v>
      </c>
    </row>
    <row r="459" spans="1:70">
      <c r="A459" s="6"/>
      <c r="B459" s="6"/>
      <c r="C459" s="6"/>
      <c r="D459" s="6"/>
      <c r="E459" s="6"/>
      <c r="F459" s="6"/>
      <c r="G459" s="6"/>
      <c r="H459" s="6"/>
      <c r="I459" s="6"/>
      <c r="J459" s="6"/>
      <c r="K459" s="6"/>
      <c r="L459" s="6"/>
      <c r="M459" s="6"/>
      <c r="N459" s="6"/>
      <c r="O459" s="6"/>
      <c r="P459" s="6"/>
      <c r="R459" s="6"/>
      <c r="S459" s="6"/>
      <c r="T459" s="6"/>
      <c r="U459" s="6"/>
      <c r="V459" s="6"/>
      <c r="W459" s="6"/>
      <c r="X459" s="6"/>
      <c r="Y459" s="6"/>
      <c r="Z459" s="6"/>
      <c r="AA459" s="6"/>
      <c r="AB459" s="6"/>
      <c r="AD459" s="6"/>
      <c r="AE459" s="6"/>
      <c r="AF459" s="6"/>
      <c r="AG459" s="6"/>
      <c r="AH459" s="6"/>
      <c r="AI459" s="6"/>
      <c r="AK459" s="6"/>
      <c r="AL459" s="6"/>
      <c r="AM459" s="6"/>
      <c r="AN459" s="6"/>
      <c r="AO459" s="6"/>
      <c r="AP459" s="6"/>
      <c r="AQ459" s="6"/>
      <c r="AR459" s="6"/>
      <c r="AS459" s="15"/>
      <c r="AT459" s="6" t="str">
        <f ca="1">IFERROR(__xludf.DUMMYFUNCTION("SWITCH(IF(A459=""Practice"",AN459,FILTER('Items by Team'!E$2:E3410,'Items by Team'!C$2:C3410=D459,B459='Items by Team'!B$2:B3410)),""None"",""No"",""Parked"",""P"",""ShallowCage"",""Sc"",""DeepCage"",""Dc"",""No"",""No"",""P"",""P"",""Sc"",""Sc"",""Dc"","&amp;"""Dc"")"),"#REF!")</f>
        <v>#REF!</v>
      </c>
      <c r="AU459" s="6" t="str">
        <f ca="1">IFERROR(__xludf.DUMMYFUNCTION("SWITCH(IF(A459 = ""Practice"", H459, FILTER('Items by Team'!D$2:D3410,'Items by Team'!C$2:C3410 = D459,'Items by Team'!B$2:B3410 = B459)), ""Yes"", ""TRUE"", ""No"", ""FALSE"",TRUE, ""TRUE"", FALSE, ""FALSE"")"),"#REF!")</f>
        <v>#REF!</v>
      </c>
      <c r="AV459" s="6">
        <f t="shared" si="21"/>
        <v>0</v>
      </c>
      <c r="AW459" s="6">
        <f t="shared" si="22"/>
        <v>0</v>
      </c>
      <c r="AX459" s="6">
        <f t="shared" si="23"/>
        <v>0</v>
      </c>
      <c r="AY459" s="6">
        <f t="shared" si="24"/>
        <v>0</v>
      </c>
      <c r="AZ459" s="9" t="str">
        <f t="shared" si="25"/>
        <v/>
      </c>
      <c r="BA459" s="6">
        <f t="shared" si="26"/>
        <v>0</v>
      </c>
      <c r="BB459" s="6">
        <f t="shared" si="27"/>
        <v>0</v>
      </c>
      <c r="BC459" s="9" t="str">
        <f t="shared" si="28"/>
        <v/>
      </c>
      <c r="BD459" s="6">
        <f t="shared" si="29"/>
        <v>0</v>
      </c>
      <c r="BE459" s="6">
        <f t="shared" si="30"/>
        <v>0</v>
      </c>
      <c r="BF459" s="9" t="str">
        <f t="shared" si="31"/>
        <v/>
      </c>
      <c r="BG459" s="6">
        <f t="shared" si="32"/>
        <v>0</v>
      </c>
      <c r="BH459" s="6">
        <f t="shared" si="33"/>
        <v>0</v>
      </c>
      <c r="BI459" s="9" t="str">
        <f t="shared" si="34"/>
        <v/>
      </c>
      <c r="BJ459" s="6">
        <f t="shared" si="35"/>
        <v>0</v>
      </c>
      <c r="BK459" s="6">
        <f t="shared" si="36"/>
        <v>0</v>
      </c>
      <c r="BL459" s="6">
        <f t="shared" si="37"/>
        <v>0</v>
      </c>
      <c r="BM459" s="6">
        <f t="shared" si="38"/>
        <v>0</v>
      </c>
      <c r="BN459" s="6">
        <f t="shared" si="39"/>
        <v>0</v>
      </c>
      <c r="BP459" s="6">
        <f t="shared" si="40"/>
        <v>0</v>
      </c>
      <c r="BQ459" s="6" t="b">
        <f ca="1">IFERROR(__xludf.DUMMYFUNCTION("IF(AND(ISERROR(FILTER('Items by Team'!D$2:D3410,'Items by Team'!C$2:C3410 = D459,'Items by Team'!B$2:B3410 = B459)),NOT(A459=""Practice"")),TRUE,FALSE)"),FALSE)</f>
        <v>0</v>
      </c>
      <c r="BR459" s="6">
        <f t="shared" ca="1" si="41"/>
        <v>0</v>
      </c>
    </row>
    <row r="460" spans="1:70">
      <c r="A460" s="6"/>
      <c r="B460" s="6"/>
      <c r="C460" s="6"/>
      <c r="D460" s="6"/>
      <c r="E460" s="6"/>
      <c r="F460" s="6"/>
      <c r="G460" s="6"/>
      <c r="H460" s="6"/>
      <c r="I460" s="6"/>
      <c r="J460" s="6"/>
      <c r="K460" s="6"/>
      <c r="L460" s="6"/>
      <c r="M460" s="6"/>
      <c r="N460" s="6"/>
      <c r="O460" s="6"/>
      <c r="P460" s="6"/>
      <c r="R460" s="6"/>
      <c r="S460" s="6"/>
      <c r="T460" s="6"/>
      <c r="U460" s="6"/>
      <c r="V460" s="6"/>
      <c r="W460" s="6"/>
      <c r="X460" s="6"/>
      <c r="Y460" s="6"/>
      <c r="Z460" s="6"/>
      <c r="AA460" s="6"/>
      <c r="AB460" s="6"/>
      <c r="AD460" s="6"/>
      <c r="AE460" s="6"/>
      <c r="AF460" s="6"/>
      <c r="AG460" s="6"/>
      <c r="AH460" s="6"/>
      <c r="AI460" s="6"/>
      <c r="AK460" s="6"/>
      <c r="AL460" s="6"/>
      <c r="AM460" s="6"/>
      <c r="AN460" s="6"/>
      <c r="AO460" s="6"/>
      <c r="AP460" s="6"/>
      <c r="AQ460" s="6"/>
      <c r="AR460" s="6"/>
      <c r="AS460" s="15"/>
      <c r="AT460" s="6" t="str">
        <f ca="1">IFERROR(__xludf.DUMMYFUNCTION("SWITCH(IF(A460=""Practice"",AN460,FILTER('Items by Team'!E$2:E3410,'Items by Team'!C$2:C3410=D460,B460='Items by Team'!B$2:B3410)),""None"",""No"",""Parked"",""P"",""ShallowCage"",""Sc"",""DeepCage"",""Dc"",""No"",""No"",""P"",""P"",""Sc"",""Sc"",""Dc"","&amp;"""Dc"")"),"#REF!")</f>
        <v>#REF!</v>
      </c>
      <c r="AU460" s="6" t="str">
        <f ca="1">IFERROR(__xludf.DUMMYFUNCTION("SWITCH(IF(A460 = ""Practice"", H460, FILTER('Items by Team'!D$2:D3410,'Items by Team'!C$2:C3410 = D460,'Items by Team'!B$2:B3410 = B460)), ""Yes"", ""TRUE"", ""No"", ""FALSE"",TRUE, ""TRUE"", FALSE, ""FALSE"")"),"#REF!")</f>
        <v>#REF!</v>
      </c>
      <c r="AV460" s="6">
        <f t="shared" si="21"/>
        <v>0</v>
      </c>
      <c r="AW460" s="6">
        <f t="shared" si="22"/>
        <v>0</v>
      </c>
      <c r="AX460" s="6">
        <f t="shared" si="23"/>
        <v>0</v>
      </c>
      <c r="AY460" s="6">
        <f t="shared" si="24"/>
        <v>0</v>
      </c>
      <c r="AZ460" s="9" t="str">
        <f t="shared" si="25"/>
        <v/>
      </c>
      <c r="BA460" s="6">
        <f t="shared" si="26"/>
        <v>0</v>
      </c>
      <c r="BB460" s="6">
        <f t="shared" si="27"/>
        <v>0</v>
      </c>
      <c r="BC460" s="9" t="str">
        <f t="shared" si="28"/>
        <v/>
      </c>
      <c r="BD460" s="6">
        <f t="shared" si="29"/>
        <v>0</v>
      </c>
      <c r="BE460" s="6">
        <f t="shared" si="30"/>
        <v>0</v>
      </c>
      <c r="BF460" s="9" t="str">
        <f t="shared" si="31"/>
        <v/>
      </c>
      <c r="BG460" s="6">
        <f t="shared" si="32"/>
        <v>0</v>
      </c>
      <c r="BH460" s="6">
        <f t="shared" si="33"/>
        <v>0</v>
      </c>
      <c r="BI460" s="9" t="str">
        <f t="shared" si="34"/>
        <v/>
      </c>
      <c r="BJ460" s="6">
        <f t="shared" si="35"/>
        <v>0</v>
      </c>
      <c r="BK460" s="6">
        <f t="shared" si="36"/>
        <v>0</v>
      </c>
      <c r="BL460" s="6">
        <f t="shared" si="37"/>
        <v>0</v>
      </c>
      <c r="BM460" s="6">
        <f t="shared" si="38"/>
        <v>0</v>
      </c>
      <c r="BN460" s="6">
        <f t="shared" si="39"/>
        <v>0</v>
      </c>
      <c r="BP460" s="6">
        <f t="shared" si="40"/>
        <v>0</v>
      </c>
      <c r="BQ460" s="6" t="b">
        <f ca="1">IFERROR(__xludf.DUMMYFUNCTION("IF(AND(ISERROR(FILTER('Items by Team'!D$2:D3410,'Items by Team'!C$2:C3410 = D460,'Items by Team'!B$2:B3410 = B460)),NOT(A460=""Practice"")),TRUE,FALSE)"),FALSE)</f>
        <v>0</v>
      </c>
      <c r="BR460" s="6">
        <f t="shared" ca="1" si="41"/>
        <v>0</v>
      </c>
    </row>
    <row r="461" spans="1:70">
      <c r="A461" s="6"/>
      <c r="B461" s="6"/>
      <c r="C461" s="6"/>
      <c r="D461" s="6"/>
      <c r="E461" s="6"/>
      <c r="F461" s="6"/>
      <c r="G461" s="6"/>
      <c r="H461" s="6"/>
      <c r="I461" s="6"/>
      <c r="J461" s="6"/>
      <c r="K461" s="6"/>
      <c r="L461" s="6"/>
      <c r="M461" s="6"/>
      <c r="N461" s="6"/>
      <c r="O461" s="6"/>
      <c r="P461" s="6"/>
      <c r="R461" s="6"/>
      <c r="S461" s="6"/>
      <c r="T461" s="6"/>
      <c r="U461" s="6"/>
      <c r="V461" s="6"/>
      <c r="W461" s="6"/>
      <c r="X461" s="6"/>
      <c r="Y461" s="6"/>
      <c r="Z461" s="6"/>
      <c r="AA461" s="6"/>
      <c r="AB461" s="6"/>
      <c r="AD461" s="6"/>
      <c r="AE461" s="6"/>
      <c r="AF461" s="6"/>
      <c r="AG461" s="6"/>
      <c r="AH461" s="6"/>
      <c r="AI461" s="6"/>
      <c r="AK461" s="6"/>
      <c r="AL461" s="6"/>
      <c r="AM461" s="6"/>
      <c r="AN461" s="6"/>
      <c r="AO461" s="6"/>
      <c r="AP461" s="6"/>
      <c r="AQ461" s="6"/>
      <c r="AR461" s="6"/>
      <c r="AS461" s="15"/>
      <c r="AT461" s="6" t="str">
        <f ca="1">IFERROR(__xludf.DUMMYFUNCTION("SWITCH(IF(A461=""Practice"",AN461,FILTER('Items by Team'!E$2:E3410,'Items by Team'!C$2:C3410=D461,B461='Items by Team'!B$2:B3410)),""None"",""No"",""Parked"",""P"",""ShallowCage"",""Sc"",""DeepCage"",""Dc"",""No"",""No"",""P"",""P"",""Sc"",""Sc"",""Dc"","&amp;"""Dc"")"),"#REF!")</f>
        <v>#REF!</v>
      </c>
      <c r="AU461" s="6" t="str">
        <f ca="1">IFERROR(__xludf.DUMMYFUNCTION("SWITCH(IF(A461 = ""Practice"", H461, FILTER('Items by Team'!D$2:D3410,'Items by Team'!C$2:C3410 = D461,'Items by Team'!B$2:B3410 = B461)), ""Yes"", ""TRUE"", ""No"", ""FALSE"",TRUE, ""TRUE"", FALSE, ""FALSE"")"),"#REF!")</f>
        <v>#REF!</v>
      </c>
      <c r="AV461" s="6">
        <f t="shared" si="21"/>
        <v>0</v>
      </c>
      <c r="AW461" s="6">
        <f t="shared" si="22"/>
        <v>0</v>
      </c>
      <c r="AX461" s="6">
        <f t="shared" si="23"/>
        <v>0</v>
      </c>
      <c r="AY461" s="6">
        <f t="shared" si="24"/>
        <v>0</v>
      </c>
      <c r="AZ461" s="9" t="str">
        <f t="shared" si="25"/>
        <v/>
      </c>
      <c r="BA461" s="6">
        <f t="shared" si="26"/>
        <v>0</v>
      </c>
      <c r="BB461" s="6">
        <f t="shared" si="27"/>
        <v>0</v>
      </c>
      <c r="BC461" s="9" t="str">
        <f t="shared" si="28"/>
        <v/>
      </c>
      <c r="BD461" s="6">
        <f t="shared" si="29"/>
        <v>0</v>
      </c>
      <c r="BE461" s="6">
        <f t="shared" si="30"/>
        <v>0</v>
      </c>
      <c r="BF461" s="9" t="str">
        <f t="shared" si="31"/>
        <v/>
      </c>
      <c r="BG461" s="6">
        <f t="shared" si="32"/>
        <v>0</v>
      </c>
      <c r="BH461" s="6">
        <f t="shared" si="33"/>
        <v>0</v>
      </c>
      <c r="BI461" s="9" t="str">
        <f t="shared" si="34"/>
        <v/>
      </c>
      <c r="BJ461" s="6">
        <f t="shared" si="35"/>
        <v>0</v>
      </c>
      <c r="BK461" s="6">
        <f t="shared" si="36"/>
        <v>0</v>
      </c>
      <c r="BL461" s="6">
        <f t="shared" si="37"/>
        <v>0</v>
      </c>
      <c r="BM461" s="6">
        <f t="shared" si="38"/>
        <v>0</v>
      </c>
      <c r="BN461" s="6">
        <f t="shared" si="39"/>
        <v>0</v>
      </c>
      <c r="BP461" s="6">
        <f t="shared" si="40"/>
        <v>0</v>
      </c>
      <c r="BQ461" s="6" t="b">
        <f ca="1">IFERROR(__xludf.DUMMYFUNCTION("IF(AND(ISERROR(FILTER('Items by Team'!D$2:D3410,'Items by Team'!C$2:C3410 = D461,'Items by Team'!B$2:B3410 = B461)),NOT(A461=""Practice"")),TRUE,FALSE)"),FALSE)</f>
        <v>0</v>
      </c>
      <c r="BR461" s="6">
        <f t="shared" ca="1" si="41"/>
        <v>0</v>
      </c>
    </row>
    <row r="462" spans="1:70">
      <c r="A462" s="6"/>
      <c r="B462" s="6"/>
      <c r="C462" s="6"/>
      <c r="D462" s="6"/>
      <c r="E462" s="6"/>
      <c r="F462" s="6"/>
      <c r="G462" s="6"/>
      <c r="H462" s="6"/>
      <c r="I462" s="6"/>
      <c r="J462" s="6"/>
      <c r="K462" s="6"/>
      <c r="L462" s="6"/>
      <c r="M462" s="6"/>
      <c r="N462" s="6"/>
      <c r="O462" s="6"/>
      <c r="P462" s="6"/>
      <c r="R462" s="6"/>
      <c r="S462" s="6"/>
      <c r="T462" s="6"/>
      <c r="U462" s="6"/>
      <c r="V462" s="6"/>
      <c r="W462" s="6"/>
      <c r="X462" s="6"/>
      <c r="Y462" s="6"/>
      <c r="Z462" s="6"/>
      <c r="AA462" s="6"/>
      <c r="AB462" s="6"/>
      <c r="AD462" s="6"/>
      <c r="AE462" s="6"/>
      <c r="AF462" s="6"/>
      <c r="AG462" s="6"/>
      <c r="AH462" s="6"/>
      <c r="AI462" s="6"/>
      <c r="AK462" s="6"/>
      <c r="AL462" s="6"/>
      <c r="AM462" s="6"/>
      <c r="AN462" s="6"/>
      <c r="AO462" s="6"/>
      <c r="AP462" s="6"/>
      <c r="AQ462" s="6"/>
      <c r="AR462" s="6"/>
      <c r="AS462" s="15"/>
      <c r="AT462" s="6" t="str">
        <f ca="1">IFERROR(__xludf.DUMMYFUNCTION("SWITCH(IF(A462=""Practice"",AN462,FILTER('Items by Team'!E$2:E3410,'Items by Team'!C$2:C3410=D462,B462='Items by Team'!B$2:B3410)),""None"",""No"",""Parked"",""P"",""ShallowCage"",""Sc"",""DeepCage"",""Dc"",""No"",""No"",""P"",""P"",""Sc"",""Sc"",""Dc"","&amp;"""Dc"")"),"#REF!")</f>
        <v>#REF!</v>
      </c>
      <c r="AU462" s="6" t="str">
        <f ca="1">IFERROR(__xludf.DUMMYFUNCTION("SWITCH(IF(A462 = ""Practice"", H462, FILTER('Items by Team'!D$2:D3410,'Items by Team'!C$2:C3410 = D462,'Items by Team'!B$2:B3410 = B462)), ""Yes"", ""TRUE"", ""No"", ""FALSE"",TRUE, ""TRUE"", FALSE, ""FALSE"")"),"#REF!")</f>
        <v>#REF!</v>
      </c>
      <c r="AV462" s="6">
        <f t="shared" si="21"/>
        <v>0</v>
      </c>
      <c r="AW462" s="6">
        <f t="shared" si="22"/>
        <v>0</v>
      </c>
      <c r="AX462" s="6">
        <f t="shared" si="23"/>
        <v>0</v>
      </c>
      <c r="AY462" s="6">
        <f t="shared" si="24"/>
        <v>0</v>
      </c>
      <c r="AZ462" s="9" t="str">
        <f t="shared" si="25"/>
        <v/>
      </c>
      <c r="BA462" s="6">
        <f t="shared" si="26"/>
        <v>0</v>
      </c>
      <c r="BB462" s="6">
        <f t="shared" si="27"/>
        <v>0</v>
      </c>
      <c r="BC462" s="9" t="str">
        <f t="shared" si="28"/>
        <v/>
      </c>
      <c r="BD462" s="6">
        <f t="shared" si="29"/>
        <v>0</v>
      </c>
      <c r="BE462" s="6">
        <f t="shared" si="30"/>
        <v>0</v>
      </c>
      <c r="BF462" s="9" t="str">
        <f t="shared" si="31"/>
        <v/>
      </c>
      <c r="BG462" s="6">
        <f t="shared" si="32"/>
        <v>0</v>
      </c>
      <c r="BH462" s="6">
        <f t="shared" si="33"/>
        <v>0</v>
      </c>
      <c r="BI462" s="9" t="str">
        <f t="shared" si="34"/>
        <v/>
      </c>
      <c r="BJ462" s="6">
        <f t="shared" si="35"/>
        <v>0</v>
      </c>
      <c r="BK462" s="6">
        <f t="shared" si="36"/>
        <v>0</v>
      </c>
      <c r="BL462" s="6">
        <f t="shared" si="37"/>
        <v>0</v>
      </c>
      <c r="BM462" s="6">
        <f t="shared" si="38"/>
        <v>0</v>
      </c>
      <c r="BN462" s="6">
        <f t="shared" si="39"/>
        <v>0</v>
      </c>
      <c r="BP462" s="6">
        <f t="shared" si="40"/>
        <v>0</v>
      </c>
      <c r="BQ462" s="6" t="b">
        <f ca="1">IFERROR(__xludf.DUMMYFUNCTION("IF(AND(ISERROR(FILTER('Items by Team'!D$2:D3410,'Items by Team'!C$2:C3410 = D462,'Items by Team'!B$2:B3410 = B462)),NOT(A462=""Practice"")),TRUE,FALSE)"),FALSE)</f>
        <v>0</v>
      </c>
      <c r="BR462" s="6">
        <f t="shared" ca="1" si="41"/>
        <v>0</v>
      </c>
    </row>
    <row r="463" spans="1:70">
      <c r="A463" s="6"/>
      <c r="B463" s="6"/>
      <c r="C463" s="6"/>
      <c r="D463" s="6"/>
      <c r="E463" s="6"/>
      <c r="F463" s="6"/>
      <c r="G463" s="6"/>
      <c r="H463" s="6"/>
      <c r="I463" s="6"/>
      <c r="J463" s="6"/>
      <c r="K463" s="6"/>
      <c r="L463" s="6"/>
      <c r="M463" s="6"/>
      <c r="N463" s="6"/>
      <c r="O463" s="6"/>
      <c r="P463" s="6"/>
      <c r="R463" s="6"/>
      <c r="S463" s="6"/>
      <c r="T463" s="6"/>
      <c r="U463" s="6"/>
      <c r="V463" s="6"/>
      <c r="W463" s="6"/>
      <c r="X463" s="6"/>
      <c r="Y463" s="6"/>
      <c r="Z463" s="6"/>
      <c r="AA463" s="6"/>
      <c r="AB463" s="6"/>
      <c r="AD463" s="6"/>
      <c r="AE463" s="6"/>
      <c r="AF463" s="6"/>
      <c r="AG463" s="6"/>
      <c r="AH463" s="6"/>
      <c r="AI463" s="6"/>
      <c r="AK463" s="6"/>
      <c r="AL463" s="6"/>
      <c r="AM463" s="6"/>
      <c r="AN463" s="6"/>
      <c r="AO463" s="6"/>
      <c r="AP463" s="6"/>
      <c r="AQ463" s="6"/>
      <c r="AR463" s="6"/>
      <c r="AS463" s="15"/>
      <c r="AT463" s="6" t="str">
        <f ca="1">IFERROR(__xludf.DUMMYFUNCTION("SWITCH(IF(A463=""Practice"",AN463,FILTER('Items by Team'!E$2:E3410,'Items by Team'!C$2:C3410=D463,B463='Items by Team'!B$2:B3410)),""None"",""No"",""Parked"",""P"",""ShallowCage"",""Sc"",""DeepCage"",""Dc"",""No"",""No"",""P"",""P"",""Sc"",""Sc"",""Dc"","&amp;"""Dc"")"),"#REF!")</f>
        <v>#REF!</v>
      </c>
      <c r="AU463" s="6" t="str">
        <f ca="1">IFERROR(__xludf.DUMMYFUNCTION("SWITCH(IF(A463 = ""Practice"", H463, FILTER('Items by Team'!D$2:D3410,'Items by Team'!C$2:C3410 = D463,'Items by Team'!B$2:B3410 = B463)), ""Yes"", ""TRUE"", ""No"", ""FALSE"",TRUE, ""TRUE"", FALSE, ""FALSE"")"),"#REF!")</f>
        <v>#REF!</v>
      </c>
      <c r="AV463" s="6">
        <f t="shared" si="21"/>
        <v>0</v>
      </c>
      <c r="AW463" s="6">
        <f t="shared" si="22"/>
        <v>0</v>
      </c>
      <c r="AX463" s="6">
        <f t="shared" si="23"/>
        <v>0</v>
      </c>
      <c r="AY463" s="6">
        <f t="shared" si="24"/>
        <v>0</v>
      </c>
      <c r="AZ463" s="9" t="str">
        <f t="shared" si="25"/>
        <v/>
      </c>
      <c r="BA463" s="6">
        <f t="shared" si="26"/>
        <v>0</v>
      </c>
      <c r="BB463" s="6">
        <f t="shared" si="27"/>
        <v>0</v>
      </c>
      <c r="BC463" s="9" t="str">
        <f t="shared" si="28"/>
        <v/>
      </c>
      <c r="BD463" s="6">
        <f t="shared" si="29"/>
        <v>0</v>
      </c>
      <c r="BE463" s="6">
        <f t="shared" si="30"/>
        <v>0</v>
      </c>
      <c r="BF463" s="9" t="str">
        <f t="shared" si="31"/>
        <v/>
      </c>
      <c r="BG463" s="6">
        <f t="shared" si="32"/>
        <v>0</v>
      </c>
      <c r="BH463" s="6">
        <f t="shared" si="33"/>
        <v>0</v>
      </c>
      <c r="BI463" s="9" t="str">
        <f t="shared" si="34"/>
        <v/>
      </c>
      <c r="BJ463" s="6">
        <f t="shared" si="35"/>
        <v>0</v>
      </c>
      <c r="BK463" s="6">
        <f t="shared" si="36"/>
        <v>0</v>
      </c>
      <c r="BL463" s="6">
        <f t="shared" si="37"/>
        <v>0</v>
      </c>
      <c r="BM463" s="6">
        <f t="shared" si="38"/>
        <v>0</v>
      </c>
      <c r="BN463" s="6">
        <f t="shared" si="39"/>
        <v>0</v>
      </c>
      <c r="BP463" s="6">
        <f t="shared" si="40"/>
        <v>0</v>
      </c>
      <c r="BQ463" s="6" t="b">
        <f ca="1">IFERROR(__xludf.DUMMYFUNCTION("IF(AND(ISERROR(FILTER('Items by Team'!D$2:D3410,'Items by Team'!C$2:C3410 = D463,'Items by Team'!B$2:B3410 = B463)),NOT(A463=""Practice"")),TRUE,FALSE)"),FALSE)</f>
        <v>0</v>
      </c>
      <c r="BR463" s="6">
        <f t="shared" ca="1" si="41"/>
        <v>0</v>
      </c>
    </row>
    <row r="464" spans="1:70">
      <c r="A464" s="6"/>
      <c r="B464" s="6"/>
      <c r="C464" s="6"/>
      <c r="D464" s="6"/>
      <c r="E464" s="6"/>
      <c r="F464" s="6"/>
      <c r="G464" s="6"/>
      <c r="H464" s="6"/>
      <c r="I464" s="6"/>
      <c r="J464" s="6"/>
      <c r="K464" s="6"/>
      <c r="L464" s="6"/>
      <c r="M464" s="6"/>
      <c r="N464" s="6"/>
      <c r="O464" s="6"/>
      <c r="P464" s="6"/>
      <c r="R464" s="6"/>
      <c r="S464" s="6"/>
      <c r="T464" s="6"/>
      <c r="U464" s="6"/>
      <c r="V464" s="6"/>
      <c r="W464" s="6"/>
      <c r="X464" s="6"/>
      <c r="Y464" s="6"/>
      <c r="Z464" s="6"/>
      <c r="AA464" s="6"/>
      <c r="AB464" s="6"/>
      <c r="AD464" s="6"/>
      <c r="AE464" s="6"/>
      <c r="AF464" s="6"/>
      <c r="AG464" s="6"/>
      <c r="AH464" s="6"/>
      <c r="AI464" s="6"/>
      <c r="AK464" s="6"/>
      <c r="AL464" s="6"/>
      <c r="AM464" s="6"/>
      <c r="AN464" s="6"/>
      <c r="AO464" s="6"/>
      <c r="AP464" s="6"/>
      <c r="AQ464" s="6"/>
      <c r="AR464" s="6"/>
      <c r="AS464" s="15"/>
      <c r="AT464" s="6" t="str">
        <f ca="1">IFERROR(__xludf.DUMMYFUNCTION("SWITCH(IF(A464=""Practice"",AN464,FILTER('Items by Team'!E$2:E3410,'Items by Team'!C$2:C3410=D464,B464='Items by Team'!B$2:B3410)),""None"",""No"",""Parked"",""P"",""ShallowCage"",""Sc"",""DeepCage"",""Dc"",""No"",""No"",""P"",""P"",""Sc"",""Sc"",""Dc"","&amp;"""Dc"")"),"#REF!")</f>
        <v>#REF!</v>
      </c>
      <c r="AU464" s="6" t="str">
        <f ca="1">IFERROR(__xludf.DUMMYFUNCTION("SWITCH(IF(A464 = ""Practice"", H464, FILTER('Items by Team'!D$2:D3410,'Items by Team'!C$2:C3410 = D464,'Items by Team'!B$2:B3410 = B464)), ""Yes"", ""TRUE"", ""No"", ""FALSE"",TRUE, ""TRUE"", FALSE, ""FALSE"")"),"#REF!")</f>
        <v>#REF!</v>
      </c>
      <c r="AV464" s="6">
        <f t="shared" si="21"/>
        <v>0</v>
      </c>
      <c r="AW464" s="6">
        <f t="shared" si="22"/>
        <v>0</v>
      </c>
      <c r="AX464" s="6">
        <f t="shared" si="23"/>
        <v>0</v>
      </c>
      <c r="AY464" s="6">
        <f t="shared" si="24"/>
        <v>0</v>
      </c>
      <c r="AZ464" s="9" t="str">
        <f t="shared" si="25"/>
        <v/>
      </c>
      <c r="BA464" s="6">
        <f t="shared" si="26"/>
        <v>0</v>
      </c>
      <c r="BB464" s="6">
        <f t="shared" si="27"/>
        <v>0</v>
      </c>
      <c r="BC464" s="9" t="str">
        <f t="shared" si="28"/>
        <v/>
      </c>
      <c r="BD464" s="6">
        <f t="shared" si="29"/>
        <v>0</v>
      </c>
      <c r="BE464" s="6">
        <f t="shared" si="30"/>
        <v>0</v>
      </c>
      <c r="BF464" s="9" t="str">
        <f t="shared" si="31"/>
        <v/>
      </c>
      <c r="BG464" s="6">
        <f t="shared" si="32"/>
        <v>0</v>
      </c>
      <c r="BH464" s="6">
        <f t="shared" si="33"/>
        <v>0</v>
      </c>
      <c r="BI464" s="9" t="str">
        <f t="shared" si="34"/>
        <v/>
      </c>
      <c r="BJ464" s="6">
        <f t="shared" si="35"/>
        <v>0</v>
      </c>
      <c r="BK464" s="6">
        <f t="shared" si="36"/>
        <v>0</v>
      </c>
      <c r="BL464" s="6">
        <f t="shared" si="37"/>
        <v>0</v>
      </c>
      <c r="BM464" s="6">
        <f t="shared" si="38"/>
        <v>0</v>
      </c>
      <c r="BN464" s="6">
        <f t="shared" si="39"/>
        <v>0</v>
      </c>
      <c r="BP464" s="6">
        <f t="shared" si="40"/>
        <v>0</v>
      </c>
      <c r="BQ464" s="6" t="b">
        <f ca="1">IFERROR(__xludf.DUMMYFUNCTION("IF(AND(ISERROR(FILTER('Items by Team'!D$2:D3410,'Items by Team'!C$2:C3410 = D464,'Items by Team'!B$2:B3410 = B464)),NOT(A464=""Practice"")),TRUE,FALSE)"),FALSE)</f>
        <v>0</v>
      </c>
      <c r="BR464" s="6">
        <f t="shared" ca="1" si="41"/>
        <v>0</v>
      </c>
    </row>
    <row r="465" spans="1:70">
      <c r="A465" s="6"/>
      <c r="B465" s="6"/>
      <c r="C465" s="6"/>
      <c r="D465" s="6"/>
      <c r="E465" s="6"/>
      <c r="F465" s="6"/>
      <c r="G465" s="6"/>
      <c r="H465" s="6"/>
      <c r="I465" s="6"/>
      <c r="J465" s="6"/>
      <c r="K465" s="6"/>
      <c r="L465" s="6"/>
      <c r="M465" s="6"/>
      <c r="N465" s="6"/>
      <c r="O465" s="6"/>
      <c r="P465" s="6"/>
      <c r="R465" s="6"/>
      <c r="S465" s="6"/>
      <c r="T465" s="6"/>
      <c r="U465" s="6"/>
      <c r="V465" s="6"/>
      <c r="W465" s="6"/>
      <c r="X465" s="6"/>
      <c r="Y465" s="6"/>
      <c r="Z465" s="6"/>
      <c r="AA465" s="6"/>
      <c r="AB465" s="6"/>
      <c r="AD465" s="6"/>
      <c r="AE465" s="6"/>
      <c r="AF465" s="6"/>
      <c r="AG465" s="6"/>
      <c r="AH465" s="6"/>
      <c r="AI465" s="6"/>
      <c r="AK465" s="6"/>
      <c r="AL465" s="6"/>
      <c r="AM465" s="6"/>
      <c r="AN465" s="6"/>
      <c r="AO465" s="6"/>
      <c r="AP465" s="6"/>
      <c r="AQ465" s="6"/>
      <c r="AR465" s="6"/>
      <c r="AS465" s="15"/>
      <c r="AT465" s="6" t="str">
        <f ca="1">IFERROR(__xludf.DUMMYFUNCTION("SWITCH(IF(A465=""Practice"",AN465,FILTER('Items by Team'!E$2:E3410,'Items by Team'!C$2:C3410=D465,B465='Items by Team'!B$2:B3410)),""None"",""No"",""Parked"",""P"",""ShallowCage"",""Sc"",""DeepCage"",""Dc"",""No"",""No"",""P"",""P"",""Sc"",""Sc"",""Dc"","&amp;"""Dc"")"),"#REF!")</f>
        <v>#REF!</v>
      </c>
      <c r="AU465" s="6" t="str">
        <f ca="1">IFERROR(__xludf.DUMMYFUNCTION("SWITCH(IF(A465 = ""Practice"", H465, FILTER('Items by Team'!D$2:D3410,'Items by Team'!C$2:C3410 = D465,'Items by Team'!B$2:B3410 = B465)), ""Yes"", ""TRUE"", ""No"", ""FALSE"",TRUE, ""TRUE"", FALSE, ""FALSE"")"),"#REF!")</f>
        <v>#REF!</v>
      </c>
      <c r="AV465" s="6">
        <f t="shared" si="21"/>
        <v>0</v>
      </c>
      <c r="AW465" s="6">
        <f t="shared" si="22"/>
        <v>0</v>
      </c>
      <c r="AX465" s="6">
        <f t="shared" si="23"/>
        <v>0</v>
      </c>
      <c r="AY465" s="6">
        <f t="shared" si="24"/>
        <v>0</v>
      </c>
      <c r="AZ465" s="9" t="str">
        <f t="shared" si="25"/>
        <v/>
      </c>
      <c r="BA465" s="6">
        <f t="shared" si="26"/>
        <v>0</v>
      </c>
      <c r="BB465" s="6">
        <f t="shared" si="27"/>
        <v>0</v>
      </c>
      <c r="BC465" s="9" t="str">
        <f t="shared" si="28"/>
        <v/>
      </c>
      <c r="BD465" s="6">
        <f t="shared" si="29"/>
        <v>0</v>
      </c>
      <c r="BE465" s="6">
        <f t="shared" si="30"/>
        <v>0</v>
      </c>
      <c r="BF465" s="9" t="str">
        <f t="shared" si="31"/>
        <v/>
      </c>
      <c r="BG465" s="6">
        <f t="shared" si="32"/>
        <v>0</v>
      </c>
      <c r="BH465" s="6">
        <f t="shared" si="33"/>
        <v>0</v>
      </c>
      <c r="BI465" s="9" t="str">
        <f t="shared" si="34"/>
        <v/>
      </c>
      <c r="BJ465" s="6">
        <f t="shared" si="35"/>
        <v>0</v>
      </c>
      <c r="BK465" s="6">
        <f t="shared" si="36"/>
        <v>0</v>
      </c>
      <c r="BL465" s="6">
        <f t="shared" si="37"/>
        <v>0</v>
      </c>
      <c r="BM465" s="6">
        <f t="shared" si="38"/>
        <v>0</v>
      </c>
      <c r="BN465" s="6">
        <f t="shared" si="39"/>
        <v>0</v>
      </c>
      <c r="BP465" s="6">
        <f t="shared" si="40"/>
        <v>0</v>
      </c>
      <c r="BQ465" s="6" t="b">
        <f ca="1">IFERROR(__xludf.DUMMYFUNCTION("IF(AND(ISERROR(FILTER('Items by Team'!D$2:D3410,'Items by Team'!C$2:C3410 = D465,'Items by Team'!B$2:B3410 = B465)),NOT(A465=""Practice"")),TRUE,FALSE)"),FALSE)</f>
        <v>0</v>
      </c>
      <c r="BR465" s="6">
        <f t="shared" ca="1" si="41"/>
        <v>0</v>
      </c>
    </row>
    <row r="466" spans="1:70">
      <c r="A466" s="6"/>
      <c r="B466" s="6"/>
      <c r="C466" s="6"/>
      <c r="D466" s="6"/>
      <c r="E466" s="6"/>
      <c r="F466" s="6"/>
      <c r="G466" s="6"/>
      <c r="H466" s="6"/>
      <c r="I466" s="6"/>
      <c r="J466" s="6"/>
      <c r="K466" s="6"/>
      <c r="L466" s="6"/>
      <c r="M466" s="6"/>
      <c r="N466" s="6"/>
      <c r="O466" s="6"/>
      <c r="P466" s="6"/>
      <c r="R466" s="6"/>
      <c r="S466" s="6"/>
      <c r="T466" s="6"/>
      <c r="U466" s="6"/>
      <c r="V466" s="6"/>
      <c r="W466" s="6"/>
      <c r="X466" s="6"/>
      <c r="Y466" s="6"/>
      <c r="Z466" s="6"/>
      <c r="AA466" s="6"/>
      <c r="AB466" s="6"/>
      <c r="AD466" s="6"/>
      <c r="AE466" s="6"/>
      <c r="AF466" s="6"/>
      <c r="AG466" s="6"/>
      <c r="AH466" s="6"/>
      <c r="AI466" s="6"/>
      <c r="AK466" s="6"/>
      <c r="AL466" s="6"/>
      <c r="AM466" s="6"/>
      <c r="AN466" s="6"/>
      <c r="AO466" s="6"/>
      <c r="AP466" s="6"/>
      <c r="AQ466" s="6"/>
      <c r="AR466" s="6"/>
      <c r="AS466" s="15"/>
      <c r="AT466" s="6" t="str">
        <f ca="1">IFERROR(__xludf.DUMMYFUNCTION("SWITCH(IF(A466=""Practice"",AN466,FILTER('Items by Team'!E$2:E3410,'Items by Team'!C$2:C3410=D466,B466='Items by Team'!B$2:B3410)),""None"",""No"",""Parked"",""P"",""ShallowCage"",""Sc"",""DeepCage"",""Dc"",""No"",""No"",""P"",""P"",""Sc"",""Sc"",""Dc"","&amp;"""Dc"")"),"#REF!")</f>
        <v>#REF!</v>
      </c>
      <c r="AU466" s="6" t="str">
        <f ca="1">IFERROR(__xludf.DUMMYFUNCTION("SWITCH(IF(A466 = ""Practice"", H466, FILTER('Items by Team'!D$2:D3410,'Items by Team'!C$2:C3410 = D466,'Items by Team'!B$2:B3410 = B466)), ""Yes"", ""TRUE"", ""No"", ""FALSE"",TRUE, ""TRUE"", FALSE, ""FALSE"")"),"#REF!")</f>
        <v>#REF!</v>
      </c>
      <c r="AV466" s="6">
        <f t="shared" si="21"/>
        <v>0</v>
      </c>
      <c r="AW466" s="6">
        <f t="shared" si="22"/>
        <v>0</v>
      </c>
      <c r="AX466" s="6">
        <f t="shared" si="23"/>
        <v>0</v>
      </c>
      <c r="AY466" s="6">
        <f t="shared" si="24"/>
        <v>0</v>
      </c>
      <c r="AZ466" s="9" t="str">
        <f t="shared" si="25"/>
        <v/>
      </c>
      <c r="BA466" s="6">
        <f t="shared" si="26"/>
        <v>0</v>
      </c>
      <c r="BB466" s="6">
        <f t="shared" si="27"/>
        <v>0</v>
      </c>
      <c r="BC466" s="9" t="str">
        <f t="shared" si="28"/>
        <v/>
      </c>
      <c r="BD466" s="6">
        <f t="shared" si="29"/>
        <v>0</v>
      </c>
      <c r="BE466" s="6">
        <f t="shared" si="30"/>
        <v>0</v>
      </c>
      <c r="BF466" s="9" t="str">
        <f t="shared" si="31"/>
        <v/>
      </c>
      <c r="BG466" s="6">
        <f t="shared" si="32"/>
        <v>0</v>
      </c>
      <c r="BH466" s="6">
        <f t="shared" si="33"/>
        <v>0</v>
      </c>
      <c r="BI466" s="9" t="str">
        <f t="shared" si="34"/>
        <v/>
      </c>
      <c r="BJ466" s="6">
        <f t="shared" si="35"/>
        <v>0</v>
      </c>
      <c r="BK466" s="6">
        <f t="shared" si="36"/>
        <v>0</v>
      </c>
      <c r="BL466" s="6">
        <f t="shared" si="37"/>
        <v>0</v>
      </c>
      <c r="BM466" s="6">
        <f t="shared" si="38"/>
        <v>0</v>
      </c>
      <c r="BN466" s="6">
        <f t="shared" si="39"/>
        <v>0</v>
      </c>
      <c r="BP466" s="6">
        <f t="shared" si="40"/>
        <v>0</v>
      </c>
      <c r="BQ466" s="6" t="b">
        <f ca="1">IFERROR(__xludf.DUMMYFUNCTION("IF(AND(ISERROR(FILTER('Items by Team'!D$2:D3410,'Items by Team'!C$2:C3410 = D466,'Items by Team'!B$2:B3410 = B466)),NOT(A466=""Practice"")),TRUE,FALSE)"),FALSE)</f>
        <v>0</v>
      </c>
      <c r="BR466" s="6">
        <f t="shared" ca="1" si="41"/>
        <v>0</v>
      </c>
    </row>
    <row r="467" spans="1:70">
      <c r="A467" s="6"/>
      <c r="B467" s="6"/>
      <c r="C467" s="6"/>
      <c r="D467" s="6"/>
      <c r="E467" s="6"/>
      <c r="F467" s="6"/>
      <c r="G467" s="6"/>
      <c r="H467" s="6"/>
      <c r="I467" s="6"/>
      <c r="J467" s="6"/>
      <c r="K467" s="6"/>
      <c r="L467" s="6"/>
      <c r="M467" s="6"/>
      <c r="N467" s="6"/>
      <c r="O467" s="6"/>
      <c r="P467" s="6"/>
      <c r="R467" s="6"/>
      <c r="S467" s="6"/>
      <c r="T467" s="6"/>
      <c r="U467" s="6"/>
      <c r="V467" s="6"/>
      <c r="W467" s="6"/>
      <c r="X467" s="6"/>
      <c r="Y467" s="6"/>
      <c r="Z467" s="6"/>
      <c r="AA467" s="6"/>
      <c r="AB467" s="6"/>
      <c r="AD467" s="6"/>
      <c r="AE467" s="6"/>
      <c r="AF467" s="6"/>
      <c r="AG467" s="6"/>
      <c r="AH467" s="6"/>
      <c r="AI467" s="6"/>
      <c r="AK467" s="6"/>
      <c r="AL467" s="6"/>
      <c r="AM467" s="6"/>
      <c r="AN467" s="6"/>
      <c r="AO467" s="6"/>
      <c r="AP467" s="6"/>
      <c r="AQ467" s="6"/>
      <c r="AR467" s="6"/>
      <c r="AS467" s="15"/>
      <c r="AT467" s="6" t="str">
        <f ca="1">IFERROR(__xludf.DUMMYFUNCTION("SWITCH(IF(A467=""Practice"",AN467,FILTER('Items by Team'!E$2:E3410,'Items by Team'!C$2:C3410=D467,B467='Items by Team'!B$2:B3410)),""None"",""No"",""Parked"",""P"",""ShallowCage"",""Sc"",""DeepCage"",""Dc"",""No"",""No"",""P"",""P"",""Sc"",""Sc"",""Dc"","&amp;"""Dc"")"),"#REF!")</f>
        <v>#REF!</v>
      </c>
      <c r="AU467" s="6" t="str">
        <f ca="1">IFERROR(__xludf.DUMMYFUNCTION("SWITCH(IF(A467 = ""Practice"", H467, FILTER('Items by Team'!D$2:D3410,'Items by Team'!C$2:C3410 = D467,'Items by Team'!B$2:B3410 = B467)), ""Yes"", ""TRUE"", ""No"", ""FALSE"",TRUE, ""TRUE"", FALSE, ""FALSE"")"),"#REF!")</f>
        <v>#REF!</v>
      </c>
      <c r="AV467" s="6">
        <f t="shared" si="21"/>
        <v>0</v>
      </c>
      <c r="AW467" s="6">
        <f t="shared" si="22"/>
        <v>0</v>
      </c>
      <c r="AX467" s="6">
        <f t="shared" si="23"/>
        <v>0</v>
      </c>
      <c r="AY467" s="6">
        <f t="shared" si="24"/>
        <v>0</v>
      </c>
      <c r="AZ467" s="9" t="str">
        <f t="shared" si="25"/>
        <v/>
      </c>
      <c r="BA467" s="6">
        <f t="shared" si="26"/>
        <v>0</v>
      </c>
      <c r="BB467" s="6">
        <f t="shared" si="27"/>
        <v>0</v>
      </c>
      <c r="BC467" s="9" t="str">
        <f t="shared" si="28"/>
        <v/>
      </c>
      <c r="BD467" s="6">
        <f t="shared" si="29"/>
        <v>0</v>
      </c>
      <c r="BE467" s="6">
        <f t="shared" si="30"/>
        <v>0</v>
      </c>
      <c r="BF467" s="9" t="str">
        <f t="shared" si="31"/>
        <v/>
      </c>
      <c r="BG467" s="6">
        <f t="shared" si="32"/>
        <v>0</v>
      </c>
      <c r="BH467" s="6">
        <f t="shared" si="33"/>
        <v>0</v>
      </c>
      <c r="BI467" s="9" t="str">
        <f t="shared" si="34"/>
        <v/>
      </c>
      <c r="BJ467" s="6">
        <f t="shared" si="35"/>
        <v>0</v>
      </c>
      <c r="BK467" s="6">
        <f t="shared" si="36"/>
        <v>0</v>
      </c>
      <c r="BL467" s="6">
        <f t="shared" si="37"/>
        <v>0</v>
      </c>
      <c r="BM467" s="6">
        <f t="shared" si="38"/>
        <v>0</v>
      </c>
      <c r="BN467" s="6">
        <f t="shared" si="39"/>
        <v>0</v>
      </c>
      <c r="BP467" s="6">
        <f t="shared" si="40"/>
        <v>0</v>
      </c>
      <c r="BQ467" s="6" t="b">
        <f ca="1">IFERROR(__xludf.DUMMYFUNCTION("IF(AND(ISERROR(FILTER('Items by Team'!D$2:D3410,'Items by Team'!C$2:C3410 = D467,'Items by Team'!B$2:B3410 = B467)),NOT(A467=""Practice"")),TRUE,FALSE)"),FALSE)</f>
        <v>0</v>
      </c>
      <c r="BR467" s="6">
        <f t="shared" ca="1" si="41"/>
        <v>0</v>
      </c>
    </row>
    <row r="468" spans="1:70">
      <c r="A468" s="6"/>
      <c r="B468" s="6"/>
      <c r="C468" s="6"/>
      <c r="D468" s="6"/>
      <c r="E468" s="6"/>
      <c r="F468" s="6"/>
      <c r="G468" s="6"/>
      <c r="H468" s="6"/>
      <c r="I468" s="6"/>
      <c r="J468" s="6"/>
      <c r="K468" s="6"/>
      <c r="L468" s="6"/>
      <c r="M468" s="6"/>
      <c r="N468" s="6"/>
      <c r="O468" s="6"/>
      <c r="P468" s="6"/>
      <c r="R468" s="6"/>
      <c r="S468" s="6"/>
      <c r="T468" s="6"/>
      <c r="U468" s="6"/>
      <c r="V468" s="6"/>
      <c r="W468" s="6"/>
      <c r="X468" s="6"/>
      <c r="Y468" s="6"/>
      <c r="Z468" s="6"/>
      <c r="AA468" s="6"/>
      <c r="AB468" s="6"/>
      <c r="AD468" s="6"/>
      <c r="AE468" s="6"/>
      <c r="AF468" s="6"/>
      <c r="AG468" s="6"/>
      <c r="AH468" s="6"/>
      <c r="AI468" s="6"/>
      <c r="AK468" s="6"/>
      <c r="AL468" s="6"/>
      <c r="AM468" s="6"/>
      <c r="AN468" s="6"/>
      <c r="AO468" s="6"/>
      <c r="AP468" s="6"/>
      <c r="AQ468" s="6"/>
      <c r="AR468" s="6"/>
      <c r="AS468" s="15"/>
      <c r="AT468" s="6" t="str">
        <f ca="1">IFERROR(__xludf.DUMMYFUNCTION("SWITCH(IF(A468=""Practice"",AN468,FILTER('Items by Team'!E$2:E3410,'Items by Team'!C$2:C3410=D468,B468='Items by Team'!B$2:B3410)),""None"",""No"",""Parked"",""P"",""ShallowCage"",""Sc"",""DeepCage"",""Dc"",""No"",""No"",""P"",""P"",""Sc"",""Sc"",""Dc"","&amp;"""Dc"")"),"#REF!")</f>
        <v>#REF!</v>
      </c>
      <c r="AU468" s="6" t="str">
        <f ca="1">IFERROR(__xludf.DUMMYFUNCTION("SWITCH(IF(A468 = ""Practice"", H468, FILTER('Items by Team'!D$2:D3410,'Items by Team'!C$2:C3410 = D468,'Items by Team'!B$2:B3410 = B468)), ""Yes"", ""TRUE"", ""No"", ""FALSE"",TRUE, ""TRUE"", FALSE, ""FALSE"")"),"#REF!")</f>
        <v>#REF!</v>
      </c>
      <c r="AV468" s="6">
        <f t="shared" si="21"/>
        <v>0</v>
      </c>
      <c r="AW468" s="6">
        <f t="shared" si="22"/>
        <v>0</v>
      </c>
      <c r="AX468" s="6">
        <f t="shared" si="23"/>
        <v>0</v>
      </c>
      <c r="AY468" s="6">
        <f t="shared" si="24"/>
        <v>0</v>
      </c>
      <c r="AZ468" s="9" t="str">
        <f t="shared" si="25"/>
        <v/>
      </c>
      <c r="BA468" s="6">
        <f t="shared" si="26"/>
        <v>0</v>
      </c>
      <c r="BB468" s="6">
        <f t="shared" si="27"/>
        <v>0</v>
      </c>
      <c r="BC468" s="9" t="str">
        <f t="shared" si="28"/>
        <v/>
      </c>
      <c r="BD468" s="6">
        <f t="shared" si="29"/>
        <v>0</v>
      </c>
      <c r="BE468" s="6">
        <f t="shared" si="30"/>
        <v>0</v>
      </c>
      <c r="BF468" s="9" t="str">
        <f t="shared" si="31"/>
        <v/>
      </c>
      <c r="BG468" s="6">
        <f t="shared" si="32"/>
        <v>0</v>
      </c>
      <c r="BH468" s="6">
        <f t="shared" si="33"/>
        <v>0</v>
      </c>
      <c r="BI468" s="9" t="str">
        <f t="shared" si="34"/>
        <v/>
      </c>
      <c r="BJ468" s="6">
        <f t="shared" si="35"/>
        <v>0</v>
      </c>
      <c r="BK468" s="6">
        <f t="shared" si="36"/>
        <v>0</v>
      </c>
      <c r="BL468" s="6">
        <f t="shared" si="37"/>
        <v>0</v>
      </c>
      <c r="BM468" s="6">
        <f t="shared" si="38"/>
        <v>0</v>
      </c>
      <c r="BN468" s="6">
        <f t="shared" si="39"/>
        <v>0</v>
      </c>
      <c r="BP468" s="6">
        <f t="shared" si="40"/>
        <v>0</v>
      </c>
      <c r="BQ468" s="6" t="b">
        <f ca="1">IFERROR(__xludf.DUMMYFUNCTION("IF(AND(ISERROR(FILTER('Items by Team'!D$2:D3410,'Items by Team'!C$2:C3410 = D468,'Items by Team'!B$2:B3410 = B468)),NOT(A468=""Practice"")),TRUE,FALSE)"),FALSE)</f>
        <v>0</v>
      </c>
      <c r="BR468" s="6">
        <f t="shared" ca="1" si="41"/>
        <v>0</v>
      </c>
    </row>
    <row r="469" spans="1:70">
      <c r="A469" s="6"/>
      <c r="B469" s="6"/>
      <c r="C469" s="6"/>
      <c r="D469" s="6"/>
      <c r="E469" s="6"/>
      <c r="F469" s="6"/>
      <c r="G469" s="6"/>
      <c r="H469" s="6"/>
      <c r="I469" s="6"/>
      <c r="J469" s="6"/>
      <c r="K469" s="6"/>
      <c r="L469" s="6"/>
      <c r="M469" s="6"/>
      <c r="N469" s="6"/>
      <c r="O469" s="6"/>
      <c r="P469" s="6"/>
      <c r="R469" s="6"/>
      <c r="S469" s="6"/>
      <c r="T469" s="6"/>
      <c r="U469" s="6"/>
      <c r="V469" s="6"/>
      <c r="W469" s="6"/>
      <c r="X469" s="6"/>
      <c r="Y469" s="6"/>
      <c r="Z469" s="6"/>
      <c r="AA469" s="6"/>
      <c r="AB469" s="6"/>
      <c r="AD469" s="6"/>
      <c r="AE469" s="6"/>
      <c r="AF469" s="6"/>
      <c r="AG469" s="6"/>
      <c r="AH469" s="6"/>
      <c r="AI469" s="6"/>
      <c r="AK469" s="6"/>
      <c r="AL469" s="6"/>
      <c r="AM469" s="6"/>
      <c r="AN469" s="6"/>
      <c r="AO469" s="6"/>
      <c r="AP469" s="6"/>
      <c r="AQ469" s="6"/>
      <c r="AR469" s="6"/>
      <c r="AS469" s="15"/>
      <c r="AT469" s="6" t="str">
        <f ca="1">IFERROR(__xludf.DUMMYFUNCTION("SWITCH(IF(A469=""Practice"",AN469,FILTER('Items by Team'!E$2:E3410,'Items by Team'!C$2:C3410=D469,B469='Items by Team'!B$2:B3410)),""None"",""No"",""Parked"",""P"",""ShallowCage"",""Sc"",""DeepCage"",""Dc"",""No"",""No"",""P"",""P"",""Sc"",""Sc"",""Dc"","&amp;"""Dc"")"),"#REF!")</f>
        <v>#REF!</v>
      </c>
      <c r="AU469" s="6" t="str">
        <f ca="1">IFERROR(__xludf.DUMMYFUNCTION("SWITCH(IF(A469 = ""Practice"", H469, FILTER('Items by Team'!D$2:D3410,'Items by Team'!C$2:C3410 = D469,'Items by Team'!B$2:B3410 = B469)), ""Yes"", ""TRUE"", ""No"", ""FALSE"",TRUE, ""TRUE"", FALSE, ""FALSE"")"),"#REF!")</f>
        <v>#REF!</v>
      </c>
      <c r="AV469" s="6">
        <f t="shared" si="21"/>
        <v>0</v>
      </c>
      <c r="AW469" s="6">
        <f t="shared" si="22"/>
        <v>0</v>
      </c>
      <c r="AX469" s="6">
        <f t="shared" si="23"/>
        <v>0</v>
      </c>
      <c r="AY469" s="6">
        <f t="shared" si="24"/>
        <v>0</v>
      </c>
      <c r="AZ469" s="9" t="str">
        <f t="shared" si="25"/>
        <v/>
      </c>
      <c r="BA469" s="6">
        <f t="shared" si="26"/>
        <v>0</v>
      </c>
      <c r="BB469" s="6">
        <f t="shared" si="27"/>
        <v>0</v>
      </c>
      <c r="BC469" s="9" t="str">
        <f t="shared" si="28"/>
        <v/>
      </c>
      <c r="BD469" s="6">
        <f t="shared" si="29"/>
        <v>0</v>
      </c>
      <c r="BE469" s="6">
        <f t="shared" si="30"/>
        <v>0</v>
      </c>
      <c r="BF469" s="9" t="str">
        <f t="shared" si="31"/>
        <v/>
      </c>
      <c r="BG469" s="6">
        <f t="shared" si="32"/>
        <v>0</v>
      </c>
      <c r="BH469" s="6">
        <f t="shared" si="33"/>
        <v>0</v>
      </c>
      <c r="BI469" s="9" t="str">
        <f t="shared" si="34"/>
        <v/>
      </c>
      <c r="BJ469" s="6">
        <f t="shared" si="35"/>
        <v>0</v>
      </c>
      <c r="BK469" s="6">
        <f t="shared" si="36"/>
        <v>0</v>
      </c>
      <c r="BL469" s="6">
        <f t="shared" si="37"/>
        <v>0</v>
      </c>
      <c r="BM469" s="6">
        <f t="shared" si="38"/>
        <v>0</v>
      </c>
      <c r="BN469" s="6">
        <f t="shared" si="39"/>
        <v>0</v>
      </c>
      <c r="BP469" s="6">
        <f t="shared" si="40"/>
        <v>0</v>
      </c>
      <c r="BQ469" s="6" t="b">
        <f ca="1">IFERROR(__xludf.DUMMYFUNCTION("IF(AND(ISERROR(FILTER('Items by Team'!D$2:D3410,'Items by Team'!C$2:C3410 = D469,'Items by Team'!B$2:B3410 = B469)),NOT(A469=""Practice"")),TRUE,FALSE)"),FALSE)</f>
        <v>0</v>
      </c>
      <c r="BR469" s="6">
        <f t="shared" ca="1" si="41"/>
        <v>0</v>
      </c>
    </row>
    <row r="470" spans="1:70">
      <c r="A470" s="6"/>
      <c r="B470" s="6"/>
      <c r="C470" s="6"/>
      <c r="D470" s="6"/>
      <c r="E470" s="6"/>
      <c r="F470" s="6"/>
      <c r="G470" s="6"/>
      <c r="H470" s="6"/>
      <c r="I470" s="6"/>
      <c r="J470" s="6"/>
      <c r="K470" s="6"/>
      <c r="L470" s="6"/>
      <c r="M470" s="6"/>
      <c r="N470" s="6"/>
      <c r="O470" s="6"/>
      <c r="P470" s="6"/>
      <c r="R470" s="6"/>
      <c r="S470" s="6"/>
      <c r="T470" s="6"/>
      <c r="U470" s="6"/>
      <c r="V470" s="6"/>
      <c r="W470" s="6"/>
      <c r="X470" s="6"/>
      <c r="Y470" s="6"/>
      <c r="Z470" s="6"/>
      <c r="AA470" s="6"/>
      <c r="AB470" s="6"/>
      <c r="AD470" s="6"/>
      <c r="AE470" s="6"/>
      <c r="AF470" s="6"/>
      <c r="AG470" s="6"/>
      <c r="AH470" s="6"/>
      <c r="AI470" s="6"/>
      <c r="AK470" s="6"/>
      <c r="AL470" s="6"/>
      <c r="AM470" s="6"/>
      <c r="AN470" s="6"/>
      <c r="AO470" s="6"/>
      <c r="AP470" s="6"/>
      <c r="AQ470" s="6"/>
      <c r="AR470" s="6"/>
      <c r="AS470" s="15"/>
      <c r="AT470" s="6" t="str">
        <f ca="1">IFERROR(__xludf.DUMMYFUNCTION("SWITCH(IF(A470=""Practice"",AN470,FILTER('Items by Team'!E$2:E3410,'Items by Team'!C$2:C3410=D470,B470='Items by Team'!B$2:B3410)),""None"",""No"",""Parked"",""P"",""ShallowCage"",""Sc"",""DeepCage"",""Dc"",""No"",""No"",""P"",""P"",""Sc"",""Sc"",""Dc"","&amp;"""Dc"")"),"#REF!")</f>
        <v>#REF!</v>
      </c>
      <c r="AU470" s="6" t="str">
        <f ca="1">IFERROR(__xludf.DUMMYFUNCTION("SWITCH(IF(A470 = ""Practice"", H470, FILTER('Items by Team'!D$2:D3410,'Items by Team'!C$2:C3410 = D470,'Items by Team'!B$2:B3410 = B470)), ""Yes"", ""TRUE"", ""No"", ""FALSE"",TRUE, ""TRUE"", FALSE, ""FALSE"")"),"#REF!")</f>
        <v>#REF!</v>
      </c>
      <c r="AV470" s="6">
        <f t="shared" si="21"/>
        <v>0</v>
      </c>
      <c r="AW470" s="6">
        <f t="shared" si="22"/>
        <v>0</v>
      </c>
      <c r="AX470" s="6">
        <f t="shared" si="23"/>
        <v>0</v>
      </c>
      <c r="AY470" s="6">
        <f t="shared" si="24"/>
        <v>0</v>
      </c>
      <c r="AZ470" s="9" t="str">
        <f t="shared" si="25"/>
        <v/>
      </c>
      <c r="BA470" s="6">
        <f t="shared" si="26"/>
        <v>0</v>
      </c>
      <c r="BB470" s="6">
        <f t="shared" si="27"/>
        <v>0</v>
      </c>
      <c r="BC470" s="9" t="str">
        <f t="shared" si="28"/>
        <v/>
      </c>
      <c r="BD470" s="6">
        <f t="shared" si="29"/>
        <v>0</v>
      </c>
      <c r="BE470" s="6">
        <f t="shared" si="30"/>
        <v>0</v>
      </c>
      <c r="BF470" s="9" t="str">
        <f t="shared" si="31"/>
        <v/>
      </c>
      <c r="BG470" s="6">
        <f t="shared" si="32"/>
        <v>0</v>
      </c>
      <c r="BH470" s="6">
        <f t="shared" si="33"/>
        <v>0</v>
      </c>
      <c r="BI470" s="9" t="str">
        <f t="shared" si="34"/>
        <v/>
      </c>
      <c r="BJ470" s="6">
        <f t="shared" si="35"/>
        <v>0</v>
      </c>
      <c r="BK470" s="6">
        <f t="shared" si="36"/>
        <v>0</v>
      </c>
      <c r="BL470" s="6">
        <f t="shared" si="37"/>
        <v>0</v>
      </c>
      <c r="BM470" s="6">
        <f t="shared" si="38"/>
        <v>0</v>
      </c>
      <c r="BN470" s="6">
        <f t="shared" si="39"/>
        <v>0</v>
      </c>
      <c r="BP470" s="6">
        <f t="shared" si="40"/>
        <v>0</v>
      </c>
      <c r="BQ470" s="6" t="b">
        <f ca="1">IFERROR(__xludf.DUMMYFUNCTION("IF(AND(ISERROR(FILTER('Items by Team'!D$2:D3410,'Items by Team'!C$2:C3410 = D470,'Items by Team'!B$2:B3410 = B470)),NOT(A470=""Practice"")),TRUE,FALSE)"),FALSE)</f>
        <v>0</v>
      </c>
      <c r="BR470" s="6">
        <f t="shared" ca="1" si="41"/>
        <v>0</v>
      </c>
    </row>
    <row r="471" spans="1:70">
      <c r="A471" s="6"/>
      <c r="B471" s="6"/>
      <c r="C471" s="6"/>
      <c r="D471" s="6"/>
      <c r="E471" s="6"/>
      <c r="F471" s="6"/>
      <c r="G471" s="6"/>
      <c r="H471" s="6"/>
      <c r="I471" s="6"/>
      <c r="J471" s="6"/>
      <c r="K471" s="6"/>
      <c r="L471" s="6"/>
      <c r="M471" s="6"/>
      <c r="N471" s="6"/>
      <c r="O471" s="6"/>
      <c r="P471" s="6"/>
      <c r="R471" s="6"/>
      <c r="S471" s="6"/>
      <c r="T471" s="6"/>
      <c r="U471" s="6"/>
      <c r="V471" s="6"/>
      <c r="W471" s="6"/>
      <c r="X471" s="6"/>
      <c r="Y471" s="6"/>
      <c r="Z471" s="6"/>
      <c r="AA471" s="6"/>
      <c r="AB471" s="6"/>
      <c r="AD471" s="6"/>
      <c r="AE471" s="6"/>
      <c r="AF471" s="6"/>
      <c r="AG471" s="6"/>
      <c r="AH471" s="6"/>
      <c r="AI471" s="6"/>
      <c r="AK471" s="6"/>
      <c r="AL471" s="6"/>
      <c r="AM471" s="6"/>
      <c r="AN471" s="6"/>
      <c r="AO471" s="6"/>
      <c r="AP471" s="6"/>
      <c r="AQ471" s="6"/>
      <c r="AR471" s="6"/>
      <c r="AS471" s="15"/>
      <c r="AT471" s="6" t="str">
        <f ca="1">IFERROR(__xludf.DUMMYFUNCTION("SWITCH(IF(A471=""Practice"",AN471,FILTER('Items by Team'!E$2:E3410,'Items by Team'!C$2:C3410=D471,B471='Items by Team'!B$2:B3410)),""None"",""No"",""Parked"",""P"",""ShallowCage"",""Sc"",""DeepCage"",""Dc"",""No"",""No"",""P"",""P"",""Sc"",""Sc"",""Dc"","&amp;"""Dc"")"),"#REF!")</f>
        <v>#REF!</v>
      </c>
      <c r="AU471" s="6" t="str">
        <f ca="1">IFERROR(__xludf.DUMMYFUNCTION("SWITCH(IF(A471 = ""Practice"", H471, FILTER('Items by Team'!D$2:D3410,'Items by Team'!C$2:C3410 = D471,'Items by Team'!B$2:B3410 = B471)), ""Yes"", ""TRUE"", ""No"", ""FALSE"",TRUE, ""TRUE"", FALSE, ""FALSE"")"),"#REF!")</f>
        <v>#REF!</v>
      </c>
      <c r="AV471" s="6">
        <f t="shared" si="21"/>
        <v>0</v>
      </c>
      <c r="AW471" s="6">
        <f t="shared" si="22"/>
        <v>0</v>
      </c>
      <c r="AX471" s="6">
        <f t="shared" si="23"/>
        <v>0</v>
      </c>
      <c r="AY471" s="6">
        <f t="shared" si="24"/>
        <v>0</v>
      </c>
      <c r="AZ471" s="9" t="str">
        <f t="shared" si="25"/>
        <v/>
      </c>
      <c r="BA471" s="6">
        <f t="shared" si="26"/>
        <v>0</v>
      </c>
      <c r="BB471" s="6">
        <f t="shared" si="27"/>
        <v>0</v>
      </c>
      <c r="BC471" s="9" t="str">
        <f t="shared" si="28"/>
        <v/>
      </c>
      <c r="BD471" s="6">
        <f t="shared" si="29"/>
        <v>0</v>
      </c>
      <c r="BE471" s="6">
        <f t="shared" si="30"/>
        <v>0</v>
      </c>
      <c r="BF471" s="9" t="str">
        <f t="shared" si="31"/>
        <v/>
      </c>
      <c r="BG471" s="6">
        <f t="shared" si="32"/>
        <v>0</v>
      </c>
      <c r="BH471" s="6">
        <f t="shared" si="33"/>
        <v>0</v>
      </c>
      <c r="BI471" s="9" t="str">
        <f t="shared" si="34"/>
        <v/>
      </c>
      <c r="BJ471" s="6">
        <f t="shared" si="35"/>
        <v>0</v>
      </c>
      <c r="BK471" s="6">
        <f t="shared" si="36"/>
        <v>0</v>
      </c>
      <c r="BL471" s="6">
        <f t="shared" si="37"/>
        <v>0</v>
      </c>
      <c r="BM471" s="6">
        <f t="shared" si="38"/>
        <v>0</v>
      </c>
      <c r="BN471" s="6">
        <f t="shared" si="39"/>
        <v>0</v>
      </c>
      <c r="BP471" s="6">
        <f t="shared" si="40"/>
        <v>0</v>
      </c>
      <c r="BQ471" s="6" t="b">
        <f ca="1">IFERROR(__xludf.DUMMYFUNCTION("IF(AND(ISERROR(FILTER('Items by Team'!D$2:D3410,'Items by Team'!C$2:C3410 = D471,'Items by Team'!B$2:B3410 = B471)),NOT(A471=""Practice"")),TRUE,FALSE)"),FALSE)</f>
        <v>0</v>
      </c>
      <c r="BR471" s="6">
        <f t="shared" ca="1" si="41"/>
        <v>0</v>
      </c>
    </row>
    <row r="472" spans="1:70">
      <c r="A472" s="6"/>
      <c r="B472" s="6"/>
      <c r="C472" s="6"/>
      <c r="D472" s="6"/>
      <c r="E472" s="6"/>
      <c r="F472" s="6"/>
      <c r="G472" s="6"/>
      <c r="H472" s="6"/>
      <c r="I472" s="6"/>
      <c r="J472" s="6"/>
      <c r="K472" s="6"/>
      <c r="L472" s="6"/>
      <c r="M472" s="6"/>
      <c r="N472" s="6"/>
      <c r="O472" s="6"/>
      <c r="P472" s="6"/>
      <c r="R472" s="6"/>
      <c r="S472" s="6"/>
      <c r="T472" s="6"/>
      <c r="U472" s="6"/>
      <c r="V472" s="6"/>
      <c r="W472" s="6"/>
      <c r="X472" s="6"/>
      <c r="Y472" s="6"/>
      <c r="Z472" s="6"/>
      <c r="AA472" s="6"/>
      <c r="AB472" s="6"/>
      <c r="AD472" s="6"/>
      <c r="AE472" s="6"/>
      <c r="AF472" s="6"/>
      <c r="AG472" s="6"/>
      <c r="AH472" s="6"/>
      <c r="AI472" s="6"/>
      <c r="AK472" s="6"/>
      <c r="AL472" s="6"/>
      <c r="AM472" s="6"/>
      <c r="AN472" s="6"/>
      <c r="AO472" s="6"/>
      <c r="AP472" s="6"/>
      <c r="AQ472" s="6"/>
      <c r="AR472" s="6"/>
      <c r="AS472" s="15"/>
      <c r="AT472" s="6" t="str">
        <f ca="1">IFERROR(__xludf.DUMMYFUNCTION("SWITCH(IF(A472=""Practice"",AN472,FILTER('Items by Team'!E$2:E3410,'Items by Team'!C$2:C3410=D472,B472='Items by Team'!B$2:B3410)),""None"",""No"",""Parked"",""P"",""ShallowCage"",""Sc"",""DeepCage"",""Dc"",""No"",""No"",""P"",""P"",""Sc"",""Sc"",""Dc"","&amp;"""Dc"")"),"#REF!")</f>
        <v>#REF!</v>
      </c>
      <c r="AU472" s="6" t="str">
        <f ca="1">IFERROR(__xludf.DUMMYFUNCTION("SWITCH(IF(A472 = ""Practice"", H472, FILTER('Items by Team'!D$2:D3410,'Items by Team'!C$2:C3410 = D472,'Items by Team'!B$2:B3410 = B472)), ""Yes"", ""TRUE"", ""No"", ""FALSE"",TRUE, ""TRUE"", FALSE, ""FALSE"")"),"#REF!")</f>
        <v>#REF!</v>
      </c>
      <c r="AV472" s="6">
        <f t="shared" si="21"/>
        <v>0</v>
      </c>
      <c r="AW472" s="6">
        <f t="shared" si="22"/>
        <v>0</v>
      </c>
      <c r="AX472" s="6">
        <f t="shared" si="23"/>
        <v>0</v>
      </c>
      <c r="AY472" s="6">
        <f t="shared" si="24"/>
        <v>0</v>
      </c>
      <c r="AZ472" s="9" t="str">
        <f t="shared" si="25"/>
        <v/>
      </c>
      <c r="BA472" s="6">
        <f t="shared" si="26"/>
        <v>0</v>
      </c>
      <c r="BB472" s="6">
        <f t="shared" si="27"/>
        <v>0</v>
      </c>
      <c r="BC472" s="9" t="str">
        <f t="shared" si="28"/>
        <v/>
      </c>
      <c r="BD472" s="6">
        <f t="shared" si="29"/>
        <v>0</v>
      </c>
      <c r="BE472" s="6">
        <f t="shared" si="30"/>
        <v>0</v>
      </c>
      <c r="BF472" s="9" t="str">
        <f t="shared" si="31"/>
        <v/>
      </c>
      <c r="BG472" s="6">
        <f t="shared" si="32"/>
        <v>0</v>
      </c>
      <c r="BH472" s="6">
        <f t="shared" si="33"/>
        <v>0</v>
      </c>
      <c r="BI472" s="9" t="str">
        <f t="shared" si="34"/>
        <v/>
      </c>
      <c r="BJ472" s="6">
        <f t="shared" si="35"/>
        <v>0</v>
      </c>
      <c r="BK472" s="6">
        <f t="shared" si="36"/>
        <v>0</v>
      </c>
      <c r="BL472" s="6">
        <f t="shared" si="37"/>
        <v>0</v>
      </c>
      <c r="BM472" s="6">
        <f t="shared" si="38"/>
        <v>0</v>
      </c>
      <c r="BN472" s="6">
        <f t="shared" si="39"/>
        <v>0</v>
      </c>
      <c r="BP472" s="6">
        <f t="shared" si="40"/>
        <v>0</v>
      </c>
      <c r="BQ472" s="6" t="b">
        <f ca="1">IFERROR(__xludf.DUMMYFUNCTION("IF(AND(ISERROR(FILTER('Items by Team'!D$2:D3410,'Items by Team'!C$2:C3410 = D472,'Items by Team'!B$2:B3410 = B472)),NOT(A472=""Practice"")),TRUE,FALSE)"),FALSE)</f>
        <v>0</v>
      </c>
      <c r="BR472" s="6">
        <f t="shared" ca="1" si="41"/>
        <v>0</v>
      </c>
    </row>
    <row r="473" spans="1:70">
      <c r="A473" s="6"/>
      <c r="B473" s="6"/>
      <c r="C473" s="6"/>
      <c r="D473" s="6"/>
      <c r="E473" s="6"/>
      <c r="F473" s="6"/>
      <c r="G473" s="6"/>
      <c r="H473" s="6"/>
      <c r="I473" s="6"/>
      <c r="J473" s="6"/>
      <c r="K473" s="6"/>
      <c r="L473" s="6"/>
      <c r="M473" s="6"/>
      <c r="N473" s="6"/>
      <c r="O473" s="6"/>
      <c r="P473" s="6"/>
      <c r="R473" s="6"/>
      <c r="S473" s="6"/>
      <c r="T473" s="6"/>
      <c r="U473" s="6"/>
      <c r="V473" s="6"/>
      <c r="W473" s="6"/>
      <c r="X473" s="6"/>
      <c r="Y473" s="6"/>
      <c r="Z473" s="6"/>
      <c r="AA473" s="6"/>
      <c r="AB473" s="6"/>
      <c r="AD473" s="6"/>
      <c r="AE473" s="6"/>
      <c r="AF473" s="6"/>
      <c r="AG473" s="6"/>
      <c r="AH473" s="6"/>
      <c r="AI473" s="6"/>
      <c r="AK473" s="6"/>
      <c r="AL473" s="6"/>
      <c r="AM473" s="6"/>
      <c r="AN473" s="6"/>
      <c r="AO473" s="6"/>
      <c r="AP473" s="6"/>
      <c r="AQ473" s="6"/>
      <c r="AR473" s="6"/>
      <c r="AS473" s="15"/>
      <c r="AT473" s="6" t="str">
        <f ca="1">IFERROR(__xludf.DUMMYFUNCTION("SWITCH(IF(A473=""Practice"",AN473,FILTER('Items by Team'!E$2:E3410,'Items by Team'!C$2:C3410=D473,B473='Items by Team'!B$2:B3410)),""None"",""No"",""Parked"",""P"",""ShallowCage"",""Sc"",""DeepCage"",""Dc"",""No"",""No"",""P"",""P"",""Sc"",""Sc"",""Dc"","&amp;"""Dc"")"),"#REF!")</f>
        <v>#REF!</v>
      </c>
      <c r="AU473" s="6" t="str">
        <f ca="1">IFERROR(__xludf.DUMMYFUNCTION("SWITCH(IF(A473 = ""Practice"", H473, FILTER('Items by Team'!D$2:D3410,'Items by Team'!C$2:C3410 = D473,'Items by Team'!B$2:B3410 = B473)), ""Yes"", ""TRUE"", ""No"", ""FALSE"",TRUE, ""TRUE"", FALSE, ""FALSE"")"),"#REF!")</f>
        <v>#REF!</v>
      </c>
      <c r="AV473" s="6">
        <f t="shared" si="21"/>
        <v>0</v>
      </c>
      <c r="AW473" s="6">
        <f t="shared" si="22"/>
        <v>0</v>
      </c>
      <c r="AX473" s="6">
        <f t="shared" si="23"/>
        <v>0</v>
      </c>
      <c r="AY473" s="6">
        <f t="shared" si="24"/>
        <v>0</v>
      </c>
      <c r="AZ473" s="9" t="str">
        <f t="shared" si="25"/>
        <v/>
      </c>
      <c r="BA473" s="6">
        <f t="shared" si="26"/>
        <v>0</v>
      </c>
      <c r="BB473" s="6">
        <f t="shared" si="27"/>
        <v>0</v>
      </c>
      <c r="BC473" s="9" t="str">
        <f t="shared" si="28"/>
        <v/>
      </c>
      <c r="BD473" s="6">
        <f t="shared" si="29"/>
        <v>0</v>
      </c>
      <c r="BE473" s="6">
        <f t="shared" si="30"/>
        <v>0</v>
      </c>
      <c r="BF473" s="9" t="str">
        <f t="shared" si="31"/>
        <v/>
      </c>
      <c r="BG473" s="6">
        <f t="shared" si="32"/>
        <v>0</v>
      </c>
      <c r="BH473" s="6">
        <f t="shared" si="33"/>
        <v>0</v>
      </c>
      <c r="BI473" s="9" t="str">
        <f t="shared" si="34"/>
        <v/>
      </c>
      <c r="BJ473" s="6">
        <f t="shared" si="35"/>
        <v>0</v>
      </c>
      <c r="BK473" s="6">
        <f t="shared" si="36"/>
        <v>0</v>
      </c>
      <c r="BL473" s="6">
        <f t="shared" si="37"/>
        <v>0</v>
      </c>
      <c r="BM473" s="6">
        <f t="shared" si="38"/>
        <v>0</v>
      </c>
      <c r="BN473" s="6">
        <f t="shared" si="39"/>
        <v>0</v>
      </c>
      <c r="BP473" s="6">
        <f t="shared" si="40"/>
        <v>0</v>
      </c>
      <c r="BQ473" s="6" t="b">
        <f ca="1">IFERROR(__xludf.DUMMYFUNCTION("IF(AND(ISERROR(FILTER('Items by Team'!D$2:D3410,'Items by Team'!C$2:C3410 = D473,'Items by Team'!B$2:B3410 = B473)),NOT(A473=""Practice"")),TRUE,FALSE)"),FALSE)</f>
        <v>0</v>
      </c>
      <c r="BR473" s="6">
        <f t="shared" ca="1" si="41"/>
        <v>0</v>
      </c>
    </row>
    <row r="474" spans="1:70">
      <c r="A474" s="6"/>
      <c r="B474" s="6"/>
      <c r="C474" s="6"/>
      <c r="D474" s="6"/>
      <c r="E474" s="6"/>
      <c r="F474" s="6"/>
      <c r="G474" s="6"/>
      <c r="H474" s="6"/>
      <c r="I474" s="6"/>
      <c r="J474" s="6"/>
      <c r="K474" s="6"/>
      <c r="L474" s="6"/>
      <c r="M474" s="6"/>
      <c r="N474" s="6"/>
      <c r="O474" s="6"/>
      <c r="P474" s="6"/>
      <c r="R474" s="6"/>
      <c r="S474" s="6"/>
      <c r="T474" s="6"/>
      <c r="U474" s="6"/>
      <c r="V474" s="6"/>
      <c r="W474" s="6"/>
      <c r="X474" s="6"/>
      <c r="Y474" s="6"/>
      <c r="Z474" s="6"/>
      <c r="AA474" s="6"/>
      <c r="AB474" s="6"/>
      <c r="AD474" s="6"/>
      <c r="AE474" s="6"/>
      <c r="AF474" s="6"/>
      <c r="AG474" s="6"/>
      <c r="AH474" s="6"/>
      <c r="AI474" s="6"/>
      <c r="AK474" s="6"/>
      <c r="AL474" s="6"/>
      <c r="AM474" s="6"/>
      <c r="AN474" s="6"/>
      <c r="AO474" s="6"/>
      <c r="AP474" s="6"/>
      <c r="AQ474" s="6"/>
      <c r="AR474" s="6"/>
      <c r="AS474" s="15"/>
      <c r="AT474" s="6" t="str">
        <f ca="1">IFERROR(__xludf.DUMMYFUNCTION("SWITCH(IF(A474=""Practice"",AN474,FILTER('Items by Team'!E$2:E3410,'Items by Team'!C$2:C3410=D474,B474='Items by Team'!B$2:B3410)),""None"",""No"",""Parked"",""P"",""ShallowCage"",""Sc"",""DeepCage"",""Dc"",""No"",""No"",""P"",""P"",""Sc"",""Sc"",""Dc"","&amp;"""Dc"")"),"#REF!")</f>
        <v>#REF!</v>
      </c>
      <c r="AU474" s="6" t="str">
        <f ca="1">IFERROR(__xludf.DUMMYFUNCTION("SWITCH(IF(A474 = ""Practice"", H474, FILTER('Items by Team'!D$2:D3410,'Items by Team'!C$2:C3410 = D474,'Items by Team'!B$2:B3410 = B474)), ""Yes"", ""TRUE"", ""No"", ""FALSE"",TRUE, ""TRUE"", FALSE, ""FALSE"")"),"#REF!")</f>
        <v>#REF!</v>
      </c>
      <c r="AV474" s="6">
        <f t="shared" si="21"/>
        <v>0</v>
      </c>
      <c r="AW474" s="6">
        <f t="shared" si="22"/>
        <v>0</v>
      </c>
      <c r="AX474" s="6">
        <f t="shared" si="23"/>
        <v>0</v>
      </c>
      <c r="AY474" s="6">
        <f t="shared" si="24"/>
        <v>0</v>
      </c>
      <c r="AZ474" s="9" t="str">
        <f t="shared" si="25"/>
        <v/>
      </c>
      <c r="BA474" s="6">
        <f t="shared" si="26"/>
        <v>0</v>
      </c>
      <c r="BB474" s="6">
        <f t="shared" si="27"/>
        <v>0</v>
      </c>
      <c r="BC474" s="9" t="str">
        <f t="shared" si="28"/>
        <v/>
      </c>
      <c r="BD474" s="6">
        <f t="shared" si="29"/>
        <v>0</v>
      </c>
      <c r="BE474" s="6">
        <f t="shared" si="30"/>
        <v>0</v>
      </c>
      <c r="BF474" s="9" t="str">
        <f t="shared" si="31"/>
        <v/>
      </c>
      <c r="BG474" s="6">
        <f t="shared" si="32"/>
        <v>0</v>
      </c>
      <c r="BH474" s="6">
        <f t="shared" si="33"/>
        <v>0</v>
      </c>
      <c r="BI474" s="9" t="str">
        <f t="shared" si="34"/>
        <v/>
      </c>
      <c r="BJ474" s="6">
        <f t="shared" si="35"/>
        <v>0</v>
      </c>
      <c r="BK474" s="6">
        <f t="shared" si="36"/>
        <v>0</v>
      </c>
      <c r="BL474" s="6">
        <f t="shared" si="37"/>
        <v>0</v>
      </c>
      <c r="BM474" s="6">
        <f t="shared" si="38"/>
        <v>0</v>
      </c>
      <c r="BN474" s="6">
        <f t="shared" si="39"/>
        <v>0</v>
      </c>
      <c r="BP474" s="6">
        <f t="shared" si="40"/>
        <v>0</v>
      </c>
      <c r="BQ474" s="6" t="b">
        <f ca="1">IFERROR(__xludf.DUMMYFUNCTION("IF(AND(ISERROR(FILTER('Items by Team'!D$2:D3410,'Items by Team'!C$2:C3410 = D474,'Items by Team'!B$2:B3410 = B474)),NOT(A474=""Practice"")),TRUE,FALSE)"),FALSE)</f>
        <v>0</v>
      </c>
      <c r="BR474" s="6">
        <f t="shared" ca="1" si="41"/>
        <v>0</v>
      </c>
    </row>
    <row r="475" spans="1:70">
      <c r="A475" s="6"/>
      <c r="B475" s="6"/>
      <c r="C475" s="6"/>
      <c r="D475" s="6"/>
      <c r="E475" s="6"/>
      <c r="F475" s="6"/>
      <c r="G475" s="6"/>
      <c r="H475" s="6"/>
      <c r="I475" s="6"/>
      <c r="J475" s="6"/>
      <c r="K475" s="6"/>
      <c r="L475" s="6"/>
      <c r="M475" s="6"/>
      <c r="N475" s="6"/>
      <c r="O475" s="6"/>
      <c r="P475" s="6"/>
      <c r="R475" s="6"/>
      <c r="S475" s="6"/>
      <c r="T475" s="6"/>
      <c r="U475" s="6"/>
      <c r="V475" s="6"/>
      <c r="W475" s="6"/>
      <c r="X475" s="6"/>
      <c r="Y475" s="6"/>
      <c r="Z475" s="6"/>
      <c r="AA475" s="6"/>
      <c r="AB475" s="6"/>
      <c r="AD475" s="6"/>
      <c r="AE475" s="6"/>
      <c r="AF475" s="6"/>
      <c r="AG475" s="6"/>
      <c r="AH475" s="6"/>
      <c r="AI475" s="6"/>
      <c r="AK475" s="6"/>
      <c r="AL475" s="6"/>
      <c r="AM475" s="6"/>
      <c r="AN475" s="6"/>
      <c r="AO475" s="6"/>
      <c r="AP475" s="6"/>
      <c r="AQ475" s="6"/>
      <c r="AR475" s="6"/>
      <c r="AS475" s="15"/>
      <c r="AT475" s="6" t="str">
        <f ca="1">IFERROR(__xludf.DUMMYFUNCTION("SWITCH(IF(A475=""Practice"",AN475,FILTER('Items by Team'!E$2:E3410,'Items by Team'!C$2:C3410=D475,B475='Items by Team'!B$2:B3410)),""None"",""No"",""Parked"",""P"",""ShallowCage"",""Sc"",""DeepCage"",""Dc"",""No"",""No"",""P"",""P"",""Sc"",""Sc"",""Dc"","&amp;"""Dc"")"),"#REF!")</f>
        <v>#REF!</v>
      </c>
      <c r="AU475" s="6" t="str">
        <f ca="1">IFERROR(__xludf.DUMMYFUNCTION("SWITCH(IF(A475 = ""Practice"", H475, FILTER('Items by Team'!D$2:D3410,'Items by Team'!C$2:C3410 = D475,'Items by Team'!B$2:B3410 = B475)), ""Yes"", ""TRUE"", ""No"", ""FALSE"",TRUE, ""TRUE"", FALSE, ""FALSE"")"),"#REF!")</f>
        <v>#REF!</v>
      </c>
      <c r="AV475" s="6">
        <f t="shared" si="21"/>
        <v>0</v>
      </c>
      <c r="AW475" s="6">
        <f t="shared" si="22"/>
        <v>0</v>
      </c>
      <c r="AX475" s="6">
        <f t="shared" si="23"/>
        <v>0</v>
      </c>
      <c r="AY475" s="6">
        <f t="shared" si="24"/>
        <v>0</v>
      </c>
      <c r="AZ475" s="9" t="str">
        <f t="shared" si="25"/>
        <v/>
      </c>
      <c r="BA475" s="6">
        <f t="shared" si="26"/>
        <v>0</v>
      </c>
      <c r="BB475" s="6">
        <f t="shared" si="27"/>
        <v>0</v>
      </c>
      <c r="BC475" s="9" t="str">
        <f t="shared" si="28"/>
        <v/>
      </c>
      <c r="BD475" s="6">
        <f t="shared" si="29"/>
        <v>0</v>
      </c>
      <c r="BE475" s="6">
        <f t="shared" si="30"/>
        <v>0</v>
      </c>
      <c r="BF475" s="9" t="str">
        <f t="shared" si="31"/>
        <v/>
      </c>
      <c r="BG475" s="6">
        <f t="shared" si="32"/>
        <v>0</v>
      </c>
      <c r="BH475" s="6">
        <f t="shared" si="33"/>
        <v>0</v>
      </c>
      <c r="BI475" s="9" t="str">
        <f t="shared" si="34"/>
        <v/>
      </c>
      <c r="BJ475" s="6">
        <f t="shared" si="35"/>
        <v>0</v>
      </c>
      <c r="BK475" s="6">
        <f t="shared" si="36"/>
        <v>0</v>
      </c>
      <c r="BL475" s="6">
        <f t="shared" si="37"/>
        <v>0</v>
      </c>
      <c r="BM475" s="6">
        <f t="shared" si="38"/>
        <v>0</v>
      </c>
      <c r="BN475" s="6">
        <f t="shared" si="39"/>
        <v>0</v>
      </c>
      <c r="BP475" s="6">
        <f t="shared" si="40"/>
        <v>0</v>
      </c>
      <c r="BQ475" s="6" t="b">
        <f ca="1">IFERROR(__xludf.DUMMYFUNCTION("IF(AND(ISERROR(FILTER('Items by Team'!D$2:D3410,'Items by Team'!C$2:C3410 = D475,'Items by Team'!B$2:B3410 = B475)),NOT(A475=""Practice"")),TRUE,FALSE)"),FALSE)</f>
        <v>0</v>
      </c>
      <c r="BR475" s="6">
        <f t="shared" ca="1" si="41"/>
        <v>0</v>
      </c>
    </row>
    <row r="476" spans="1:70">
      <c r="A476" s="6"/>
      <c r="B476" s="6"/>
      <c r="C476" s="6"/>
      <c r="D476" s="6"/>
      <c r="E476" s="6"/>
      <c r="F476" s="6"/>
      <c r="G476" s="6"/>
      <c r="H476" s="6"/>
      <c r="I476" s="6"/>
      <c r="J476" s="6"/>
      <c r="K476" s="6"/>
      <c r="L476" s="6"/>
      <c r="M476" s="6"/>
      <c r="N476" s="6"/>
      <c r="O476" s="6"/>
      <c r="P476" s="6"/>
      <c r="R476" s="6"/>
      <c r="S476" s="6"/>
      <c r="T476" s="6"/>
      <c r="U476" s="6"/>
      <c r="V476" s="6"/>
      <c r="W476" s="6"/>
      <c r="X476" s="6"/>
      <c r="Y476" s="6"/>
      <c r="Z476" s="6"/>
      <c r="AA476" s="6"/>
      <c r="AB476" s="6"/>
      <c r="AD476" s="6"/>
      <c r="AE476" s="6"/>
      <c r="AF476" s="6"/>
      <c r="AG476" s="6"/>
      <c r="AH476" s="6"/>
      <c r="AI476" s="6"/>
      <c r="AK476" s="6"/>
      <c r="AL476" s="6"/>
      <c r="AM476" s="6"/>
      <c r="AN476" s="6"/>
      <c r="AO476" s="6"/>
      <c r="AP476" s="6"/>
      <c r="AQ476" s="6"/>
      <c r="AR476" s="6"/>
      <c r="AS476" s="15"/>
      <c r="AT476" s="6" t="str">
        <f ca="1">IFERROR(__xludf.DUMMYFUNCTION("SWITCH(IF(A476=""Practice"",AN476,FILTER('Items by Team'!E$2:E3410,'Items by Team'!C$2:C3410=D476,B476='Items by Team'!B$2:B3410)),""None"",""No"",""Parked"",""P"",""ShallowCage"",""Sc"",""DeepCage"",""Dc"",""No"",""No"",""P"",""P"",""Sc"",""Sc"",""Dc"","&amp;"""Dc"")"),"#REF!")</f>
        <v>#REF!</v>
      </c>
      <c r="AU476" s="6" t="str">
        <f ca="1">IFERROR(__xludf.DUMMYFUNCTION("SWITCH(IF(A476 = ""Practice"", H476, FILTER('Items by Team'!D$2:D3410,'Items by Team'!C$2:C3410 = D476,'Items by Team'!B$2:B3410 = B476)), ""Yes"", ""TRUE"", ""No"", ""FALSE"",TRUE, ""TRUE"", FALSE, ""FALSE"")"),"#REF!")</f>
        <v>#REF!</v>
      </c>
      <c r="AV476" s="6">
        <f t="shared" si="21"/>
        <v>0</v>
      </c>
      <c r="AW476" s="6">
        <f t="shared" si="22"/>
        <v>0</v>
      </c>
      <c r="AX476" s="6">
        <f t="shared" si="23"/>
        <v>0</v>
      </c>
      <c r="AY476" s="6">
        <f t="shared" si="24"/>
        <v>0</v>
      </c>
      <c r="AZ476" s="9" t="str">
        <f t="shared" si="25"/>
        <v/>
      </c>
      <c r="BA476" s="6">
        <f t="shared" si="26"/>
        <v>0</v>
      </c>
      <c r="BB476" s="6">
        <f t="shared" si="27"/>
        <v>0</v>
      </c>
      <c r="BC476" s="9" t="str">
        <f t="shared" si="28"/>
        <v/>
      </c>
      <c r="BD476" s="6">
        <f t="shared" si="29"/>
        <v>0</v>
      </c>
      <c r="BE476" s="6">
        <f t="shared" si="30"/>
        <v>0</v>
      </c>
      <c r="BF476" s="9" t="str">
        <f t="shared" si="31"/>
        <v/>
      </c>
      <c r="BG476" s="6">
        <f t="shared" si="32"/>
        <v>0</v>
      </c>
      <c r="BH476" s="6">
        <f t="shared" si="33"/>
        <v>0</v>
      </c>
      <c r="BI476" s="9" t="str">
        <f t="shared" si="34"/>
        <v/>
      </c>
      <c r="BJ476" s="6">
        <f t="shared" si="35"/>
        <v>0</v>
      </c>
      <c r="BK476" s="6">
        <f t="shared" si="36"/>
        <v>0</v>
      </c>
      <c r="BL476" s="6">
        <f t="shared" si="37"/>
        <v>0</v>
      </c>
      <c r="BM476" s="6">
        <f t="shared" si="38"/>
        <v>0</v>
      </c>
      <c r="BN476" s="6">
        <f t="shared" si="39"/>
        <v>0</v>
      </c>
      <c r="BP476" s="6">
        <f t="shared" si="40"/>
        <v>0</v>
      </c>
      <c r="BQ476" s="6" t="b">
        <f ca="1">IFERROR(__xludf.DUMMYFUNCTION("IF(AND(ISERROR(FILTER('Items by Team'!D$2:D3410,'Items by Team'!C$2:C3410 = D476,'Items by Team'!B$2:B3410 = B476)),NOT(A476=""Practice"")),TRUE,FALSE)"),FALSE)</f>
        <v>0</v>
      </c>
      <c r="BR476" s="6">
        <f t="shared" ca="1" si="41"/>
        <v>0</v>
      </c>
    </row>
    <row r="477" spans="1:70">
      <c r="A477" s="6"/>
      <c r="B477" s="6"/>
      <c r="C477" s="6"/>
      <c r="D477" s="6"/>
      <c r="E477" s="6"/>
      <c r="F477" s="6"/>
      <c r="G477" s="6"/>
      <c r="H477" s="6"/>
      <c r="I477" s="6"/>
      <c r="J477" s="6"/>
      <c r="K477" s="6"/>
      <c r="L477" s="6"/>
      <c r="M477" s="6"/>
      <c r="N477" s="6"/>
      <c r="O477" s="6"/>
      <c r="P477" s="6"/>
      <c r="R477" s="6"/>
      <c r="S477" s="6"/>
      <c r="T477" s="6"/>
      <c r="U477" s="6"/>
      <c r="V477" s="6"/>
      <c r="W477" s="6"/>
      <c r="X477" s="6"/>
      <c r="Y477" s="6"/>
      <c r="Z477" s="6"/>
      <c r="AA477" s="6"/>
      <c r="AB477" s="6"/>
      <c r="AD477" s="6"/>
      <c r="AE477" s="6"/>
      <c r="AF477" s="6"/>
      <c r="AG477" s="6"/>
      <c r="AH477" s="6"/>
      <c r="AI477" s="6"/>
      <c r="AK477" s="6"/>
      <c r="AL477" s="6"/>
      <c r="AM477" s="6"/>
      <c r="AN477" s="6"/>
      <c r="AO477" s="6"/>
      <c r="AP477" s="6"/>
      <c r="AQ477" s="6"/>
      <c r="AR477" s="6"/>
      <c r="AS477" s="15"/>
      <c r="AT477" s="6" t="str">
        <f ca="1">IFERROR(__xludf.DUMMYFUNCTION("SWITCH(IF(A477=""Practice"",AN477,FILTER('Items by Team'!E$2:E3410,'Items by Team'!C$2:C3410=D477,B477='Items by Team'!B$2:B3410)),""None"",""No"",""Parked"",""P"",""ShallowCage"",""Sc"",""DeepCage"",""Dc"",""No"",""No"",""P"",""P"",""Sc"",""Sc"",""Dc"","&amp;"""Dc"")"),"#REF!")</f>
        <v>#REF!</v>
      </c>
      <c r="AU477" s="6" t="str">
        <f ca="1">IFERROR(__xludf.DUMMYFUNCTION("SWITCH(IF(A477 = ""Practice"", H477, FILTER('Items by Team'!D$2:D3410,'Items by Team'!C$2:C3410 = D477,'Items by Team'!B$2:B3410 = B477)), ""Yes"", ""TRUE"", ""No"", ""FALSE"",TRUE, ""TRUE"", FALSE, ""FALSE"")"),"#REF!")</f>
        <v>#REF!</v>
      </c>
      <c r="AV477" s="6">
        <f t="shared" si="21"/>
        <v>0</v>
      </c>
      <c r="AW477" s="6">
        <f t="shared" si="22"/>
        <v>0</v>
      </c>
      <c r="AX477" s="6">
        <f t="shared" si="23"/>
        <v>0</v>
      </c>
      <c r="AY477" s="6">
        <f t="shared" si="24"/>
        <v>0</v>
      </c>
      <c r="AZ477" s="9" t="str">
        <f t="shared" si="25"/>
        <v/>
      </c>
      <c r="BA477" s="6">
        <f t="shared" si="26"/>
        <v>0</v>
      </c>
      <c r="BB477" s="6">
        <f t="shared" si="27"/>
        <v>0</v>
      </c>
      <c r="BC477" s="9" t="str">
        <f t="shared" si="28"/>
        <v/>
      </c>
      <c r="BD477" s="6">
        <f t="shared" si="29"/>
        <v>0</v>
      </c>
      <c r="BE477" s="6">
        <f t="shared" si="30"/>
        <v>0</v>
      </c>
      <c r="BF477" s="9" t="str">
        <f t="shared" si="31"/>
        <v/>
      </c>
      <c r="BG477" s="6">
        <f t="shared" si="32"/>
        <v>0</v>
      </c>
      <c r="BH477" s="6">
        <f t="shared" si="33"/>
        <v>0</v>
      </c>
      <c r="BI477" s="9" t="str">
        <f t="shared" si="34"/>
        <v/>
      </c>
      <c r="BJ477" s="6">
        <f t="shared" si="35"/>
        <v>0</v>
      </c>
      <c r="BK477" s="6">
        <f t="shared" si="36"/>
        <v>0</v>
      </c>
      <c r="BL477" s="6">
        <f t="shared" si="37"/>
        <v>0</v>
      </c>
      <c r="BM477" s="6">
        <f t="shared" si="38"/>
        <v>0</v>
      </c>
      <c r="BN477" s="6">
        <f t="shared" si="39"/>
        <v>0</v>
      </c>
      <c r="BP477" s="6">
        <f t="shared" si="40"/>
        <v>0</v>
      </c>
      <c r="BQ477" s="6" t="b">
        <f ca="1">IFERROR(__xludf.DUMMYFUNCTION("IF(AND(ISERROR(FILTER('Items by Team'!D$2:D3410,'Items by Team'!C$2:C3410 = D477,'Items by Team'!B$2:B3410 = B477)),NOT(A477=""Practice"")),TRUE,FALSE)"),FALSE)</f>
        <v>0</v>
      </c>
      <c r="BR477" s="6">
        <f t="shared" ca="1" si="41"/>
        <v>0</v>
      </c>
    </row>
    <row r="478" spans="1:70">
      <c r="A478" s="6"/>
      <c r="B478" s="6"/>
      <c r="C478" s="6"/>
      <c r="D478" s="6"/>
      <c r="E478" s="6"/>
      <c r="F478" s="6"/>
      <c r="G478" s="6"/>
      <c r="H478" s="6"/>
      <c r="I478" s="6"/>
      <c r="J478" s="6"/>
      <c r="K478" s="6"/>
      <c r="L478" s="6"/>
      <c r="M478" s="6"/>
      <c r="N478" s="6"/>
      <c r="O478" s="6"/>
      <c r="P478" s="6"/>
      <c r="R478" s="6"/>
      <c r="S478" s="6"/>
      <c r="T478" s="6"/>
      <c r="U478" s="6"/>
      <c r="V478" s="6"/>
      <c r="W478" s="6"/>
      <c r="X478" s="6"/>
      <c r="Y478" s="6"/>
      <c r="Z478" s="6"/>
      <c r="AA478" s="6"/>
      <c r="AB478" s="6"/>
      <c r="AD478" s="6"/>
      <c r="AE478" s="6"/>
      <c r="AF478" s="6"/>
      <c r="AG478" s="6"/>
      <c r="AH478" s="6"/>
      <c r="AI478" s="6"/>
      <c r="AK478" s="6"/>
      <c r="AL478" s="6"/>
      <c r="AM478" s="6"/>
      <c r="AN478" s="6"/>
      <c r="AO478" s="6"/>
      <c r="AP478" s="6"/>
      <c r="AQ478" s="6"/>
      <c r="AR478" s="6"/>
      <c r="AS478" s="15"/>
      <c r="AT478" s="6" t="str">
        <f ca="1">IFERROR(__xludf.DUMMYFUNCTION("SWITCH(IF(A478=""Practice"",AN478,FILTER('Items by Team'!E$2:E3410,'Items by Team'!C$2:C3410=D478,B478='Items by Team'!B$2:B3410)),""None"",""No"",""Parked"",""P"",""ShallowCage"",""Sc"",""DeepCage"",""Dc"",""No"",""No"",""P"",""P"",""Sc"",""Sc"",""Dc"","&amp;"""Dc"")"),"#REF!")</f>
        <v>#REF!</v>
      </c>
      <c r="AU478" s="6" t="str">
        <f ca="1">IFERROR(__xludf.DUMMYFUNCTION("SWITCH(IF(A478 = ""Practice"", H478, FILTER('Items by Team'!D$2:D3410,'Items by Team'!C$2:C3410 = D478,'Items by Team'!B$2:B3410 = B478)), ""Yes"", ""TRUE"", ""No"", ""FALSE"",TRUE, ""TRUE"", FALSE, ""FALSE"")"),"#REF!")</f>
        <v>#REF!</v>
      </c>
      <c r="AV478" s="6">
        <f t="shared" si="21"/>
        <v>0</v>
      </c>
      <c r="AW478" s="6">
        <f t="shared" si="22"/>
        <v>0</v>
      </c>
      <c r="AX478" s="6">
        <f t="shared" si="23"/>
        <v>0</v>
      </c>
      <c r="AY478" s="6">
        <f t="shared" si="24"/>
        <v>0</v>
      </c>
      <c r="AZ478" s="9" t="str">
        <f t="shared" si="25"/>
        <v/>
      </c>
      <c r="BA478" s="6">
        <f t="shared" si="26"/>
        <v>0</v>
      </c>
      <c r="BB478" s="6">
        <f t="shared" si="27"/>
        <v>0</v>
      </c>
      <c r="BC478" s="9" t="str">
        <f t="shared" si="28"/>
        <v/>
      </c>
      <c r="BD478" s="6">
        <f t="shared" si="29"/>
        <v>0</v>
      </c>
      <c r="BE478" s="6">
        <f t="shared" si="30"/>
        <v>0</v>
      </c>
      <c r="BF478" s="9" t="str">
        <f t="shared" si="31"/>
        <v/>
      </c>
      <c r="BG478" s="6">
        <f t="shared" si="32"/>
        <v>0</v>
      </c>
      <c r="BH478" s="6">
        <f t="shared" si="33"/>
        <v>0</v>
      </c>
      <c r="BI478" s="9" t="str">
        <f t="shared" si="34"/>
        <v/>
      </c>
      <c r="BJ478" s="6">
        <f t="shared" si="35"/>
        <v>0</v>
      </c>
      <c r="BK478" s="6">
        <f t="shared" si="36"/>
        <v>0</v>
      </c>
      <c r="BL478" s="6">
        <f t="shared" si="37"/>
        <v>0</v>
      </c>
      <c r="BM478" s="6">
        <f t="shared" si="38"/>
        <v>0</v>
      </c>
      <c r="BN478" s="6">
        <f t="shared" si="39"/>
        <v>0</v>
      </c>
      <c r="BP478" s="6">
        <f t="shared" si="40"/>
        <v>0</v>
      </c>
      <c r="BQ478" s="6" t="b">
        <f ca="1">IFERROR(__xludf.DUMMYFUNCTION("IF(AND(ISERROR(FILTER('Items by Team'!D$2:D3410,'Items by Team'!C$2:C3410 = D478,'Items by Team'!B$2:B3410 = B478)),NOT(A478=""Practice"")),TRUE,FALSE)"),FALSE)</f>
        <v>0</v>
      </c>
      <c r="BR478" s="6">
        <f t="shared" ca="1" si="41"/>
        <v>0</v>
      </c>
    </row>
    <row r="479" spans="1:70">
      <c r="A479" s="6"/>
      <c r="B479" s="6"/>
      <c r="C479" s="6"/>
      <c r="D479" s="6"/>
      <c r="E479" s="6"/>
      <c r="F479" s="6"/>
      <c r="G479" s="6"/>
      <c r="H479" s="6"/>
      <c r="I479" s="6"/>
      <c r="J479" s="6"/>
      <c r="K479" s="6"/>
      <c r="L479" s="6"/>
      <c r="M479" s="6"/>
      <c r="N479" s="6"/>
      <c r="O479" s="6"/>
      <c r="P479" s="6"/>
      <c r="R479" s="6"/>
      <c r="S479" s="6"/>
      <c r="T479" s="6"/>
      <c r="U479" s="6"/>
      <c r="V479" s="6"/>
      <c r="W479" s="6"/>
      <c r="X479" s="6"/>
      <c r="Y479" s="6"/>
      <c r="Z479" s="6"/>
      <c r="AA479" s="6"/>
      <c r="AB479" s="6"/>
      <c r="AD479" s="6"/>
      <c r="AE479" s="6"/>
      <c r="AF479" s="6"/>
      <c r="AG479" s="6"/>
      <c r="AH479" s="6"/>
      <c r="AI479" s="6"/>
      <c r="AK479" s="6"/>
      <c r="AL479" s="6"/>
      <c r="AM479" s="6"/>
      <c r="AN479" s="6"/>
      <c r="AO479" s="6"/>
      <c r="AP479" s="6"/>
      <c r="AQ479" s="6"/>
      <c r="AR479" s="6"/>
      <c r="AS479" s="15"/>
      <c r="AT479" s="6" t="str">
        <f ca="1">IFERROR(__xludf.DUMMYFUNCTION("SWITCH(IF(A479=""Practice"",AN479,FILTER('Items by Team'!E$2:E3410,'Items by Team'!C$2:C3410=D479,B479='Items by Team'!B$2:B3410)),""None"",""No"",""Parked"",""P"",""ShallowCage"",""Sc"",""DeepCage"",""Dc"",""No"",""No"",""P"",""P"",""Sc"",""Sc"",""Dc"","&amp;"""Dc"")"),"#REF!")</f>
        <v>#REF!</v>
      </c>
      <c r="AU479" s="6" t="str">
        <f ca="1">IFERROR(__xludf.DUMMYFUNCTION("SWITCH(IF(A479 = ""Practice"", H479, FILTER('Items by Team'!D$2:D3410,'Items by Team'!C$2:C3410 = D479,'Items by Team'!B$2:B3410 = B479)), ""Yes"", ""TRUE"", ""No"", ""FALSE"",TRUE, ""TRUE"", FALSE, ""FALSE"")"),"#REF!")</f>
        <v>#REF!</v>
      </c>
      <c r="AV479" s="6">
        <f t="shared" si="21"/>
        <v>0</v>
      </c>
      <c r="AW479" s="6">
        <f t="shared" si="22"/>
        <v>0</v>
      </c>
      <c r="AX479" s="6">
        <f t="shared" si="23"/>
        <v>0</v>
      </c>
      <c r="AY479" s="6">
        <f t="shared" si="24"/>
        <v>0</v>
      </c>
      <c r="AZ479" s="9" t="str">
        <f t="shared" si="25"/>
        <v/>
      </c>
      <c r="BA479" s="6">
        <f t="shared" si="26"/>
        <v>0</v>
      </c>
      <c r="BB479" s="6">
        <f t="shared" si="27"/>
        <v>0</v>
      </c>
      <c r="BC479" s="9" t="str">
        <f t="shared" si="28"/>
        <v/>
      </c>
      <c r="BD479" s="6">
        <f t="shared" si="29"/>
        <v>0</v>
      </c>
      <c r="BE479" s="6">
        <f t="shared" si="30"/>
        <v>0</v>
      </c>
      <c r="BF479" s="9" t="str">
        <f t="shared" si="31"/>
        <v/>
      </c>
      <c r="BG479" s="6">
        <f t="shared" si="32"/>
        <v>0</v>
      </c>
      <c r="BH479" s="6">
        <f t="shared" si="33"/>
        <v>0</v>
      </c>
      <c r="BI479" s="9" t="str">
        <f t="shared" si="34"/>
        <v/>
      </c>
      <c r="BJ479" s="6">
        <f t="shared" si="35"/>
        <v>0</v>
      </c>
      <c r="BK479" s="6">
        <f t="shared" si="36"/>
        <v>0</v>
      </c>
      <c r="BL479" s="6">
        <f t="shared" si="37"/>
        <v>0</v>
      </c>
      <c r="BM479" s="6">
        <f t="shared" si="38"/>
        <v>0</v>
      </c>
      <c r="BN479" s="6">
        <f t="shared" si="39"/>
        <v>0</v>
      </c>
      <c r="BP479" s="6">
        <f t="shared" si="40"/>
        <v>0</v>
      </c>
      <c r="BQ479" s="6" t="b">
        <f ca="1">IFERROR(__xludf.DUMMYFUNCTION("IF(AND(ISERROR(FILTER('Items by Team'!D$2:D3410,'Items by Team'!C$2:C3410 = D479,'Items by Team'!B$2:B3410 = B479)),NOT(A479=""Practice"")),TRUE,FALSE)"),FALSE)</f>
        <v>0</v>
      </c>
      <c r="BR479" s="6">
        <f t="shared" ca="1" si="41"/>
        <v>0</v>
      </c>
    </row>
    <row r="480" spans="1:70">
      <c r="A480" s="6"/>
      <c r="B480" s="6"/>
      <c r="C480" s="6"/>
      <c r="D480" s="6"/>
      <c r="E480" s="6"/>
      <c r="F480" s="6"/>
      <c r="G480" s="6"/>
      <c r="H480" s="6"/>
      <c r="I480" s="6"/>
      <c r="J480" s="6"/>
      <c r="K480" s="6"/>
      <c r="L480" s="6"/>
      <c r="M480" s="6"/>
      <c r="N480" s="6"/>
      <c r="O480" s="6"/>
      <c r="P480" s="6"/>
      <c r="R480" s="6"/>
      <c r="S480" s="6"/>
      <c r="T480" s="6"/>
      <c r="U480" s="6"/>
      <c r="V480" s="6"/>
      <c r="W480" s="6"/>
      <c r="X480" s="6"/>
      <c r="Y480" s="6"/>
      <c r="Z480" s="6"/>
      <c r="AA480" s="6"/>
      <c r="AB480" s="6"/>
      <c r="AD480" s="6"/>
      <c r="AE480" s="6"/>
      <c r="AF480" s="6"/>
      <c r="AG480" s="6"/>
      <c r="AH480" s="6"/>
      <c r="AI480" s="6"/>
      <c r="AK480" s="6"/>
      <c r="AL480" s="6"/>
      <c r="AM480" s="6"/>
      <c r="AN480" s="6"/>
      <c r="AO480" s="6"/>
      <c r="AP480" s="6"/>
      <c r="AQ480" s="6"/>
      <c r="AR480" s="6"/>
      <c r="AS480" s="15"/>
      <c r="AT480" s="6" t="str">
        <f ca="1">IFERROR(__xludf.DUMMYFUNCTION("SWITCH(IF(A480=""Practice"",AN480,FILTER('Items by Team'!E$2:E3410,'Items by Team'!C$2:C3410=D480,B480='Items by Team'!B$2:B3410)),""None"",""No"",""Parked"",""P"",""ShallowCage"",""Sc"",""DeepCage"",""Dc"",""No"",""No"",""P"",""P"",""Sc"",""Sc"",""Dc"","&amp;"""Dc"")"),"#REF!")</f>
        <v>#REF!</v>
      </c>
      <c r="AU480" s="6" t="str">
        <f ca="1">IFERROR(__xludf.DUMMYFUNCTION("SWITCH(IF(A480 = ""Practice"", H480, FILTER('Items by Team'!D$2:D3410,'Items by Team'!C$2:C3410 = D480,'Items by Team'!B$2:B3410 = B480)), ""Yes"", ""TRUE"", ""No"", ""FALSE"",TRUE, ""TRUE"", FALSE, ""FALSE"")"),"#REF!")</f>
        <v>#REF!</v>
      </c>
      <c r="AV480" s="6">
        <f t="shared" si="21"/>
        <v>0</v>
      </c>
      <c r="AW480" s="6">
        <f t="shared" si="22"/>
        <v>0</v>
      </c>
      <c r="AX480" s="6">
        <f t="shared" si="23"/>
        <v>0</v>
      </c>
      <c r="AY480" s="6">
        <f t="shared" si="24"/>
        <v>0</v>
      </c>
      <c r="AZ480" s="9" t="str">
        <f t="shared" si="25"/>
        <v/>
      </c>
      <c r="BA480" s="6">
        <f t="shared" si="26"/>
        <v>0</v>
      </c>
      <c r="BB480" s="6">
        <f t="shared" si="27"/>
        <v>0</v>
      </c>
      <c r="BC480" s="9" t="str">
        <f t="shared" si="28"/>
        <v/>
      </c>
      <c r="BD480" s="6">
        <f t="shared" si="29"/>
        <v>0</v>
      </c>
      <c r="BE480" s="6">
        <f t="shared" si="30"/>
        <v>0</v>
      </c>
      <c r="BF480" s="9" t="str">
        <f t="shared" si="31"/>
        <v/>
      </c>
      <c r="BG480" s="6">
        <f t="shared" si="32"/>
        <v>0</v>
      </c>
      <c r="BH480" s="6">
        <f t="shared" si="33"/>
        <v>0</v>
      </c>
      <c r="BI480" s="9" t="str">
        <f t="shared" si="34"/>
        <v/>
      </c>
      <c r="BJ480" s="6">
        <f t="shared" si="35"/>
        <v>0</v>
      </c>
      <c r="BK480" s="6">
        <f t="shared" si="36"/>
        <v>0</v>
      </c>
      <c r="BL480" s="6">
        <f t="shared" si="37"/>
        <v>0</v>
      </c>
      <c r="BM480" s="6">
        <f t="shared" si="38"/>
        <v>0</v>
      </c>
      <c r="BN480" s="6">
        <f t="shared" si="39"/>
        <v>0</v>
      </c>
      <c r="BP480" s="6">
        <f t="shared" si="40"/>
        <v>0</v>
      </c>
      <c r="BQ480" s="6" t="b">
        <f ca="1">IFERROR(__xludf.DUMMYFUNCTION("IF(AND(ISERROR(FILTER('Items by Team'!D$2:D3410,'Items by Team'!C$2:C3410 = D480,'Items by Team'!B$2:B3410 = B480)),NOT(A480=""Practice"")),TRUE,FALSE)"),FALSE)</f>
        <v>0</v>
      </c>
      <c r="BR480" s="6">
        <f t="shared" ca="1" si="41"/>
        <v>0</v>
      </c>
    </row>
    <row r="481" spans="1:70">
      <c r="A481" s="6"/>
      <c r="B481" s="6"/>
      <c r="C481" s="6"/>
      <c r="D481" s="6"/>
      <c r="E481" s="6"/>
      <c r="F481" s="6"/>
      <c r="G481" s="6"/>
      <c r="H481" s="6"/>
      <c r="I481" s="6"/>
      <c r="J481" s="6"/>
      <c r="K481" s="6"/>
      <c r="L481" s="6"/>
      <c r="M481" s="6"/>
      <c r="N481" s="6"/>
      <c r="O481" s="6"/>
      <c r="P481" s="6"/>
      <c r="R481" s="6"/>
      <c r="S481" s="6"/>
      <c r="T481" s="6"/>
      <c r="U481" s="6"/>
      <c r="V481" s="6"/>
      <c r="W481" s="6"/>
      <c r="X481" s="6"/>
      <c r="Y481" s="6"/>
      <c r="Z481" s="6"/>
      <c r="AA481" s="6"/>
      <c r="AB481" s="6"/>
      <c r="AD481" s="6"/>
      <c r="AE481" s="6"/>
      <c r="AF481" s="6"/>
      <c r="AG481" s="6"/>
      <c r="AH481" s="6"/>
      <c r="AI481" s="6"/>
      <c r="AK481" s="6"/>
      <c r="AL481" s="6"/>
      <c r="AM481" s="6"/>
      <c r="AN481" s="6"/>
      <c r="AO481" s="6"/>
      <c r="AP481" s="6"/>
      <c r="AQ481" s="6"/>
      <c r="AR481" s="6"/>
      <c r="AS481" s="15"/>
      <c r="AT481" s="6" t="str">
        <f ca="1">IFERROR(__xludf.DUMMYFUNCTION("SWITCH(IF(A481=""Practice"",AN481,FILTER('Items by Team'!E$2:E3410,'Items by Team'!C$2:C3410=D481,B481='Items by Team'!B$2:B3410)),""None"",""No"",""Parked"",""P"",""ShallowCage"",""Sc"",""DeepCage"",""Dc"",""No"",""No"",""P"",""P"",""Sc"",""Sc"",""Dc"","&amp;"""Dc"")"),"#REF!")</f>
        <v>#REF!</v>
      </c>
      <c r="AU481" s="6" t="str">
        <f ca="1">IFERROR(__xludf.DUMMYFUNCTION("SWITCH(IF(A481 = ""Practice"", H481, FILTER('Items by Team'!D$2:D3410,'Items by Team'!C$2:C3410 = D481,'Items by Team'!B$2:B3410 = B481)), ""Yes"", ""TRUE"", ""No"", ""FALSE"",TRUE, ""TRUE"", FALSE, ""FALSE"")"),"#REF!")</f>
        <v>#REF!</v>
      </c>
      <c r="AV481" s="6">
        <f t="shared" si="21"/>
        <v>0</v>
      </c>
      <c r="AW481" s="6">
        <f t="shared" si="22"/>
        <v>0</v>
      </c>
      <c r="AX481" s="6">
        <f t="shared" si="23"/>
        <v>0</v>
      </c>
      <c r="AY481" s="6">
        <f t="shared" si="24"/>
        <v>0</v>
      </c>
      <c r="AZ481" s="9" t="str">
        <f t="shared" si="25"/>
        <v/>
      </c>
      <c r="BA481" s="6">
        <f t="shared" si="26"/>
        <v>0</v>
      </c>
      <c r="BB481" s="6">
        <f t="shared" si="27"/>
        <v>0</v>
      </c>
      <c r="BC481" s="9" t="str">
        <f t="shared" si="28"/>
        <v/>
      </c>
      <c r="BD481" s="6">
        <f t="shared" si="29"/>
        <v>0</v>
      </c>
      <c r="BE481" s="6">
        <f t="shared" si="30"/>
        <v>0</v>
      </c>
      <c r="BF481" s="9" t="str">
        <f t="shared" si="31"/>
        <v/>
      </c>
      <c r="BG481" s="6">
        <f t="shared" si="32"/>
        <v>0</v>
      </c>
      <c r="BH481" s="6">
        <f t="shared" si="33"/>
        <v>0</v>
      </c>
      <c r="BI481" s="9" t="str">
        <f t="shared" si="34"/>
        <v/>
      </c>
      <c r="BJ481" s="6">
        <f t="shared" si="35"/>
        <v>0</v>
      </c>
      <c r="BK481" s="6">
        <f t="shared" si="36"/>
        <v>0</v>
      </c>
      <c r="BL481" s="6">
        <f t="shared" si="37"/>
        <v>0</v>
      </c>
      <c r="BM481" s="6">
        <f t="shared" si="38"/>
        <v>0</v>
      </c>
      <c r="BN481" s="6">
        <f t="shared" si="39"/>
        <v>0</v>
      </c>
      <c r="BP481" s="6">
        <f t="shared" si="40"/>
        <v>0</v>
      </c>
      <c r="BQ481" s="6" t="b">
        <f ca="1">IFERROR(__xludf.DUMMYFUNCTION("IF(AND(ISERROR(FILTER('Items by Team'!D$2:D3410,'Items by Team'!C$2:C3410 = D481,'Items by Team'!B$2:B3410 = B481)),NOT(A481=""Practice"")),TRUE,FALSE)"),FALSE)</f>
        <v>0</v>
      </c>
      <c r="BR481" s="6">
        <f t="shared" ca="1" si="41"/>
        <v>0</v>
      </c>
    </row>
    <row r="482" spans="1:70">
      <c r="A482" s="6"/>
      <c r="B482" s="6"/>
      <c r="C482" s="6"/>
      <c r="D482" s="6"/>
      <c r="E482" s="6"/>
      <c r="F482" s="6"/>
      <c r="G482" s="6"/>
      <c r="H482" s="6"/>
      <c r="I482" s="6"/>
      <c r="J482" s="6"/>
      <c r="K482" s="6"/>
      <c r="L482" s="6"/>
      <c r="M482" s="6"/>
      <c r="N482" s="6"/>
      <c r="O482" s="6"/>
      <c r="P482" s="6"/>
      <c r="R482" s="6"/>
      <c r="S482" s="6"/>
      <c r="T482" s="6"/>
      <c r="U482" s="6"/>
      <c r="V482" s="6"/>
      <c r="W482" s="6"/>
      <c r="X482" s="6"/>
      <c r="Y482" s="6"/>
      <c r="Z482" s="6"/>
      <c r="AA482" s="6"/>
      <c r="AB482" s="6"/>
      <c r="AD482" s="6"/>
      <c r="AE482" s="6"/>
      <c r="AF482" s="6"/>
      <c r="AG482" s="6"/>
      <c r="AH482" s="6"/>
      <c r="AI482" s="6"/>
      <c r="AK482" s="6"/>
      <c r="AL482" s="6"/>
      <c r="AM482" s="6"/>
      <c r="AN482" s="6"/>
      <c r="AO482" s="6"/>
      <c r="AP482" s="6"/>
      <c r="AQ482" s="6"/>
      <c r="AR482" s="6"/>
      <c r="AS482" s="15"/>
      <c r="AT482" s="6" t="str">
        <f ca="1">IFERROR(__xludf.DUMMYFUNCTION("SWITCH(IF(A482=""Practice"",AN482,FILTER('Items by Team'!E$2:E3410,'Items by Team'!C$2:C3410=D482,B482='Items by Team'!B$2:B3410)),""None"",""No"",""Parked"",""P"",""ShallowCage"",""Sc"",""DeepCage"",""Dc"",""No"",""No"",""P"",""P"",""Sc"",""Sc"",""Dc"","&amp;"""Dc"")"),"#REF!")</f>
        <v>#REF!</v>
      </c>
      <c r="AU482" s="6" t="str">
        <f ca="1">IFERROR(__xludf.DUMMYFUNCTION("SWITCH(IF(A482 = ""Practice"", H482, FILTER('Items by Team'!D$2:D3410,'Items by Team'!C$2:C3410 = D482,'Items by Team'!B$2:B3410 = B482)), ""Yes"", ""TRUE"", ""No"", ""FALSE"",TRUE, ""TRUE"", FALSE, ""FALSE"")"),"#REF!")</f>
        <v>#REF!</v>
      </c>
      <c r="AV482" s="6">
        <f t="shared" si="21"/>
        <v>0</v>
      </c>
      <c r="AW482" s="6">
        <f t="shared" si="22"/>
        <v>0</v>
      </c>
      <c r="AX482" s="6">
        <f t="shared" si="23"/>
        <v>0</v>
      </c>
      <c r="AY482" s="6">
        <f t="shared" si="24"/>
        <v>0</v>
      </c>
      <c r="AZ482" s="9" t="str">
        <f t="shared" si="25"/>
        <v/>
      </c>
      <c r="BA482" s="6">
        <f t="shared" si="26"/>
        <v>0</v>
      </c>
      <c r="BB482" s="6">
        <f t="shared" si="27"/>
        <v>0</v>
      </c>
      <c r="BC482" s="9" t="str">
        <f t="shared" si="28"/>
        <v/>
      </c>
      <c r="BD482" s="6">
        <f t="shared" si="29"/>
        <v>0</v>
      </c>
      <c r="BE482" s="6">
        <f t="shared" si="30"/>
        <v>0</v>
      </c>
      <c r="BF482" s="9" t="str">
        <f t="shared" si="31"/>
        <v/>
      </c>
      <c r="BG482" s="6">
        <f t="shared" si="32"/>
        <v>0</v>
      </c>
      <c r="BH482" s="6">
        <f t="shared" si="33"/>
        <v>0</v>
      </c>
      <c r="BI482" s="9" t="str">
        <f t="shared" si="34"/>
        <v/>
      </c>
      <c r="BJ482" s="6">
        <f t="shared" si="35"/>
        <v>0</v>
      </c>
      <c r="BK482" s="6">
        <f t="shared" si="36"/>
        <v>0</v>
      </c>
      <c r="BL482" s="6">
        <f t="shared" si="37"/>
        <v>0</v>
      </c>
      <c r="BM482" s="6">
        <f t="shared" si="38"/>
        <v>0</v>
      </c>
      <c r="BN482" s="6">
        <f t="shared" si="39"/>
        <v>0</v>
      </c>
      <c r="BP482" s="6">
        <f t="shared" si="40"/>
        <v>0</v>
      </c>
      <c r="BQ482" s="6" t="b">
        <f ca="1">IFERROR(__xludf.DUMMYFUNCTION("IF(AND(ISERROR(FILTER('Items by Team'!D$2:D3410,'Items by Team'!C$2:C3410 = D482,'Items by Team'!B$2:B3410 = B482)),NOT(A482=""Practice"")),TRUE,FALSE)"),FALSE)</f>
        <v>0</v>
      </c>
      <c r="BR482" s="6">
        <f t="shared" ca="1" si="41"/>
        <v>0</v>
      </c>
    </row>
    <row r="483" spans="1:70">
      <c r="A483" s="6"/>
      <c r="B483" s="6"/>
      <c r="C483" s="6"/>
      <c r="D483" s="6"/>
      <c r="E483" s="6"/>
      <c r="F483" s="6"/>
      <c r="G483" s="6"/>
      <c r="H483" s="6"/>
      <c r="I483" s="6"/>
      <c r="J483" s="6"/>
      <c r="K483" s="6"/>
      <c r="L483" s="6"/>
      <c r="M483" s="6"/>
      <c r="N483" s="6"/>
      <c r="O483" s="6"/>
      <c r="P483" s="6"/>
      <c r="R483" s="6"/>
      <c r="S483" s="6"/>
      <c r="T483" s="6"/>
      <c r="U483" s="6"/>
      <c r="V483" s="6"/>
      <c r="W483" s="6"/>
      <c r="X483" s="6"/>
      <c r="Y483" s="6"/>
      <c r="Z483" s="6"/>
      <c r="AA483" s="6"/>
      <c r="AB483" s="6"/>
      <c r="AD483" s="6"/>
      <c r="AE483" s="6"/>
      <c r="AF483" s="6"/>
      <c r="AG483" s="6"/>
      <c r="AH483" s="6"/>
      <c r="AI483" s="6"/>
      <c r="AK483" s="6"/>
      <c r="AL483" s="6"/>
      <c r="AM483" s="6"/>
      <c r="AN483" s="6"/>
      <c r="AO483" s="6"/>
      <c r="AP483" s="6"/>
      <c r="AQ483" s="6"/>
      <c r="AR483" s="6"/>
      <c r="AS483" s="15"/>
      <c r="AT483" s="6" t="str">
        <f ca="1">IFERROR(__xludf.DUMMYFUNCTION("SWITCH(IF(A483=""Practice"",AN483,FILTER('Items by Team'!E$2:E3410,'Items by Team'!C$2:C3410=D483,B483='Items by Team'!B$2:B3410)),""None"",""No"",""Parked"",""P"",""ShallowCage"",""Sc"",""DeepCage"",""Dc"",""No"",""No"",""P"",""P"",""Sc"",""Sc"",""Dc"","&amp;"""Dc"")"),"#REF!")</f>
        <v>#REF!</v>
      </c>
      <c r="AU483" s="6" t="str">
        <f ca="1">IFERROR(__xludf.DUMMYFUNCTION("SWITCH(IF(A483 = ""Practice"", H483, FILTER('Items by Team'!D$2:D3410,'Items by Team'!C$2:C3410 = D483,'Items by Team'!B$2:B3410 = B483)), ""Yes"", ""TRUE"", ""No"", ""FALSE"",TRUE, ""TRUE"", FALSE, ""FALSE"")"),"#REF!")</f>
        <v>#REF!</v>
      </c>
      <c r="AV483" s="6">
        <f t="shared" si="21"/>
        <v>0</v>
      </c>
      <c r="AW483" s="6">
        <f t="shared" si="22"/>
        <v>0</v>
      </c>
      <c r="AX483" s="6">
        <f t="shared" si="23"/>
        <v>0</v>
      </c>
      <c r="AY483" s="6">
        <f t="shared" si="24"/>
        <v>0</v>
      </c>
      <c r="AZ483" s="9" t="str">
        <f t="shared" si="25"/>
        <v/>
      </c>
      <c r="BA483" s="6">
        <f t="shared" si="26"/>
        <v>0</v>
      </c>
      <c r="BB483" s="6">
        <f t="shared" si="27"/>
        <v>0</v>
      </c>
      <c r="BC483" s="9" t="str">
        <f t="shared" si="28"/>
        <v/>
      </c>
      <c r="BD483" s="6">
        <f t="shared" si="29"/>
        <v>0</v>
      </c>
      <c r="BE483" s="6">
        <f t="shared" si="30"/>
        <v>0</v>
      </c>
      <c r="BF483" s="9" t="str">
        <f t="shared" si="31"/>
        <v/>
      </c>
      <c r="BG483" s="6">
        <f t="shared" si="32"/>
        <v>0</v>
      </c>
      <c r="BH483" s="6">
        <f t="shared" si="33"/>
        <v>0</v>
      </c>
      <c r="BI483" s="9" t="str">
        <f t="shared" si="34"/>
        <v/>
      </c>
      <c r="BJ483" s="6">
        <f t="shared" si="35"/>
        <v>0</v>
      </c>
      <c r="BK483" s="6">
        <f t="shared" si="36"/>
        <v>0</v>
      </c>
      <c r="BL483" s="6">
        <f t="shared" si="37"/>
        <v>0</v>
      </c>
      <c r="BM483" s="6">
        <f t="shared" si="38"/>
        <v>0</v>
      </c>
      <c r="BN483" s="6">
        <f t="shared" si="39"/>
        <v>0</v>
      </c>
      <c r="BP483" s="6">
        <f t="shared" si="40"/>
        <v>0</v>
      </c>
      <c r="BQ483" s="6" t="b">
        <f ca="1">IFERROR(__xludf.DUMMYFUNCTION("IF(AND(ISERROR(FILTER('Items by Team'!D$2:D3410,'Items by Team'!C$2:C3410 = D483,'Items by Team'!B$2:B3410 = B483)),NOT(A483=""Practice"")),TRUE,FALSE)"),FALSE)</f>
        <v>0</v>
      </c>
      <c r="BR483" s="6">
        <f t="shared" ca="1" si="41"/>
        <v>0</v>
      </c>
    </row>
    <row r="484" spans="1:70">
      <c r="A484" s="6"/>
      <c r="B484" s="6"/>
      <c r="C484" s="6"/>
      <c r="D484" s="6"/>
      <c r="E484" s="6"/>
      <c r="F484" s="6"/>
      <c r="G484" s="6"/>
      <c r="H484" s="6"/>
      <c r="I484" s="6"/>
      <c r="J484" s="6"/>
      <c r="K484" s="6"/>
      <c r="L484" s="6"/>
      <c r="M484" s="6"/>
      <c r="N484" s="6"/>
      <c r="O484" s="6"/>
      <c r="P484" s="6"/>
      <c r="R484" s="6"/>
      <c r="S484" s="6"/>
      <c r="T484" s="6"/>
      <c r="U484" s="6"/>
      <c r="V484" s="6"/>
      <c r="W484" s="6"/>
      <c r="X484" s="6"/>
      <c r="Y484" s="6"/>
      <c r="Z484" s="6"/>
      <c r="AA484" s="6"/>
      <c r="AB484" s="6"/>
      <c r="AD484" s="6"/>
      <c r="AE484" s="6"/>
      <c r="AF484" s="6"/>
      <c r="AG484" s="6"/>
      <c r="AH484" s="6"/>
      <c r="AI484" s="6"/>
      <c r="AK484" s="6"/>
      <c r="AL484" s="6"/>
      <c r="AM484" s="6"/>
      <c r="AN484" s="6"/>
      <c r="AO484" s="6"/>
      <c r="AP484" s="6"/>
      <c r="AQ484" s="6"/>
      <c r="AR484" s="6"/>
      <c r="AS484" s="15"/>
      <c r="AT484" s="6" t="str">
        <f ca="1">IFERROR(__xludf.DUMMYFUNCTION("SWITCH(IF(A484=""Practice"",AN484,FILTER('Items by Team'!E$2:E3410,'Items by Team'!C$2:C3410=D484,B484='Items by Team'!B$2:B3410)),""None"",""No"",""Parked"",""P"",""ShallowCage"",""Sc"",""DeepCage"",""Dc"",""No"",""No"",""P"",""P"",""Sc"",""Sc"",""Dc"","&amp;"""Dc"")"),"#REF!")</f>
        <v>#REF!</v>
      </c>
      <c r="AU484" s="6" t="str">
        <f ca="1">IFERROR(__xludf.DUMMYFUNCTION("SWITCH(IF(A484 = ""Practice"", H484, FILTER('Items by Team'!D$2:D3410,'Items by Team'!C$2:C3410 = D484,'Items by Team'!B$2:B3410 = B484)), ""Yes"", ""TRUE"", ""No"", ""FALSE"",TRUE, ""TRUE"", FALSE, ""FALSE"")"),"#REF!")</f>
        <v>#REF!</v>
      </c>
      <c r="AV484" s="6">
        <f t="shared" si="21"/>
        <v>0</v>
      </c>
      <c r="AW484" s="6">
        <f t="shared" si="22"/>
        <v>0</v>
      </c>
      <c r="AX484" s="6">
        <f t="shared" si="23"/>
        <v>0</v>
      </c>
      <c r="AY484" s="6">
        <f t="shared" si="24"/>
        <v>0</v>
      </c>
      <c r="AZ484" s="9" t="str">
        <f t="shared" si="25"/>
        <v/>
      </c>
      <c r="BA484" s="6">
        <f t="shared" si="26"/>
        <v>0</v>
      </c>
      <c r="BB484" s="6">
        <f t="shared" si="27"/>
        <v>0</v>
      </c>
      <c r="BC484" s="9" t="str">
        <f t="shared" si="28"/>
        <v/>
      </c>
      <c r="BD484" s="6">
        <f t="shared" si="29"/>
        <v>0</v>
      </c>
      <c r="BE484" s="6">
        <f t="shared" si="30"/>
        <v>0</v>
      </c>
      <c r="BF484" s="9" t="str">
        <f t="shared" si="31"/>
        <v/>
      </c>
      <c r="BG484" s="6">
        <f t="shared" si="32"/>
        <v>0</v>
      </c>
      <c r="BH484" s="6">
        <f t="shared" si="33"/>
        <v>0</v>
      </c>
      <c r="BI484" s="9" t="str">
        <f t="shared" si="34"/>
        <v/>
      </c>
      <c r="BJ484" s="6">
        <f t="shared" si="35"/>
        <v>0</v>
      </c>
      <c r="BK484" s="6">
        <f t="shared" si="36"/>
        <v>0</v>
      </c>
      <c r="BL484" s="6">
        <f t="shared" si="37"/>
        <v>0</v>
      </c>
      <c r="BM484" s="6">
        <f t="shared" si="38"/>
        <v>0</v>
      </c>
      <c r="BN484" s="6">
        <f t="shared" si="39"/>
        <v>0</v>
      </c>
      <c r="BP484" s="6">
        <f t="shared" si="40"/>
        <v>0</v>
      </c>
      <c r="BQ484" s="6" t="b">
        <f ca="1">IFERROR(__xludf.DUMMYFUNCTION("IF(AND(ISERROR(FILTER('Items by Team'!D$2:D3410,'Items by Team'!C$2:C3410 = D484,'Items by Team'!B$2:B3410 = B484)),NOT(A484=""Practice"")),TRUE,FALSE)"),FALSE)</f>
        <v>0</v>
      </c>
      <c r="BR484" s="6">
        <f t="shared" ca="1" si="41"/>
        <v>0</v>
      </c>
    </row>
    <row r="485" spans="1:70">
      <c r="A485" s="6"/>
      <c r="B485" s="6"/>
      <c r="C485" s="6"/>
      <c r="D485" s="6"/>
      <c r="E485" s="6"/>
      <c r="F485" s="6"/>
      <c r="G485" s="6"/>
      <c r="H485" s="6"/>
      <c r="I485" s="6"/>
      <c r="J485" s="6"/>
      <c r="K485" s="6"/>
      <c r="L485" s="6"/>
      <c r="M485" s="6"/>
      <c r="N485" s="6"/>
      <c r="O485" s="6"/>
      <c r="P485" s="6"/>
      <c r="R485" s="6"/>
      <c r="S485" s="6"/>
      <c r="T485" s="6"/>
      <c r="U485" s="6"/>
      <c r="V485" s="6"/>
      <c r="W485" s="6"/>
      <c r="X485" s="6"/>
      <c r="Y485" s="6"/>
      <c r="Z485" s="6"/>
      <c r="AA485" s="6"/>
      <c r="AB485" s="6"/>
      <c r="AD485" s="6"/>
      <c r="AE485" s="6"/>
      <c r="AF485" s="6"/>
      <c r="AG485" s="6"/>
      <c r="AH485" s="6"/>
      <c r="AI485" s="6"/>
      <c r="AK485" s="6"/>
      <c r="AL485" s="6"/>
      <c r="AM485" s="6"/>
      <c r="AN485" s="6"/>
      <c r="AO485" s="6"/>
      <c r="AP485" s="6"/>
      <c r="AQ485" s="6"/>
      <c r="AR485" s="6"/>
      <c r="AS485" s="15"/>
      <c r="AT485" s="6" t="str">
        <f ca="1">IFERROR(__xludf.DUMMYFUNCTION("SWITCH(IF(A485=""Practice"",AN485,FILTER('Items by Team'!E$2:E3410,'Items by Team'!C$2:C3410=D485,B485='Items by Team'!B$2:B3410)),""None"",""No"",""Parked"",""P"",""ShallowCage"",""Sc"",""DeepCage"",""Dc"",""No"",""No"",""P"",""P"",""Sc"",""Sc"",""Dc"","&amp;"""Dc"")"),"#REF!")</f>
        <v>#REF!</v>
      </c>
      <c r="AU485" s="6" t="str">
        <f ca="1">IFERROR(__xludf.DUMMYFUNCTION("SWITCH(IF(A485 = ""Practice"", H485, FILTER('Items by Team'!D$2:D3410,'Items by Team'!C$2:C3410 = D485,'Items by Team'!B$2:B3410 = B485)), ""Yes"", ""TRUE"", ""No"", ""FALSE"",TRUE, ""TRUE"", FALSE, ""FALSE"")"),"#REF!")</f>
        <v>#REF!</v>
      </c>
      <c r="AV485" s="6">
        <f t="shared" si="21"/>
        <v>0</v>
      </c>
      <c r="AW485" s="6">
        <f t="shared" si="22"/>
        <v>0</v>
      </c>
      <c r="AX485" s="6">
        <f t="shared" si="23"/>
        <v>0</v>
      </c>
      <c r="AY485" s="6">
        <f t="shared" si="24"/>
        <v>0</v>
      </c>
      <c r="AZ485" s="9" t="str">
        <f t="shared" si="25"/>
        <v/>
      </c>
      <c r="BA485" s="6">
        <f t="shared" si="26"/>
        <v>0</v>
      </c>
      <c r="BB485" s="6">
        <f t="shared" si="27"/>
        <v>0</v>
      </c>
      <c r="BC485" s="9" t="str">
        <f t="shared" si="28"/>
        <v/>
      </c>
      <c r="BD485" s="6">
        <f t="shared" si="29"/>
        <v>0</v>
      </c>
      <c r="BE485" s="6">
        <f t="shared" si="30"/>
        <v>0</v>
      </c>
      <c r="BF485" s="9" t="str">
        <f t="shared" si="31"/>
        <v/>
      </c>
      <c r="BG485" s="6">
        <f t="shared" si="32"/>
        <v>0</v>
      </c>
      <c r="BH485" s="6">
        <f t="shared" si="33"/>
        <v>0</v>
      </c>
      <c r="BI485" s="9" t="str">
        <f t="shared" si="34"/>
        <v/>
      </c>
      <c r="BJ485" s="6">
        <f t="shared" si="35"/>
        <v>0</v>
      </c>
      <c r="BK485" s="6">
        <f t="shared" si="36"/>
        <v>0</v>
      </c>
      <c r="BL485" s="6">
        <f t="shared" si="37"/>
        <v>0</v>
      </c>
      <c r="BM485" s="6">
        <f t="shared" si="38"/>
        <v>0</v>
      </c>
      <c r="BN485" s="6">
        <f t="shared" si="39"/>
        <v>0</v>
      </c>
      <c r="BP485" s="6">
        <f t="shared" si="40"/>
        <v>0</v>
      </c>
      <c r="BQ485" s="6" t="b">
        <f ca="1">IFERROR(__xludf.DUMMYFUNCTION("IF(AND(ISERROR(FILTER('Items by Team'!D$2:D3410,'Items by Team'!C$2:C3410 = D485,'Items by Team'!B$2:B3410 = B485)),NOT(A485=""Practice"")),TRUE,FALSE)"),FALSE)</f>
        <v>0</v>
      </c>
      <c r="BR485" s="6">
        <f t="shared" ca="1" si="41"/>
        <v>0</v>
      </c>
    </row>
    <row r="486" spans="1:70">
      <c r="A486" s="6"/>
      <c r="B486" s="6"/>
      <c r="C486" s="6"/>
      <c r="D486" s="6"/>
      <c r="E486" s="6"/>
      <c r="F486" s="6"/>
      <c r="G486" s="6"/>
      <c r="H486" s="6"/>
      <c r="I486" s="6"/>
      <c r="J486" s="6"/>
      <c r="K486" s="6"/>
      <c r="L486" s="6"/>
      <c r="M486" s="6"/>
      <c r="N486" s="6"/>
      <c r="O486" s="6"/>
      <c r="P486" s="6"/>
      <c r="R486" s="6"/>
      <c r="S486" s="6"/>
      <c r="T486" s="6"/>
      <c r="U486" s="6"/>
      <c r="V486" s="6"/>
      <c r="W486" s="6"/>
      <c r="X486" s="6"/>
      <c r="Y486" s="6"/>
      <c r="Z486" s="6"/>
      <c r="AA486" s="6"/>
      <c r="AB486" s="6"/>
      <c r="AD486" s="6"/>
      <c r="AE486" s="6"/>
      <c r="AF486" s="6"/>
      <c r="AG486" s="6"/>
      <c r="AH486" s="6"/>
      <c r="AI486" s="6"/>
      <c r="AK486" s="6"/>
      <c r="AL486" s="6"/>
      <c r="AM486" s="6"/>
      <c r="AN486" s="6"/>
      <c r="AO486" s="6"/>
      <c r="AP486" s="6"/>
      <c r="AQ486" s="6"/>
      <c r="AR486" s="6"/>
      <c r="AS486" s="15"/>
      <c r="AT486" s="6" t="str">
        <f ca="1">IFERROR(__xludf.DUMMYFUNCTION("SWITCH(IF(A486=""Practice"",AN486,FILTER('Items by Team'!E$2:E3410,'Items by Team'!C$2:C3410=D486,B486='Items by Team'!B$2:B3410)),""None"",""No"",""Parked"",""P"",""ShallowCage"",""Sc"",""DeepCage"",""Dc"",""No"",""No"",""P"",""P"",""Sc"",""Sc"",""Dc"","&amp;"""Dc"")"),"#REF!")</f>
        <v>#REF!</v>
      </c>
      <c r="AU486" s="6" t="str">
        <f ca="1">IFERROR(__xludf.DUMMYFUNCTION("SWITCH(IF(A486 = ""Practice"", H486, FILTER('Items by Team'!D$2:D3410,'Items by Team'!C$2:C3410 = D486,'Items by Team'!B$2:B3410 = B486)), ""Yes"", ""TRUE"", ""No"", ""FALSE"",TRUE, ""TRUE"", FALSE, ""FALSE"")"),"#REF!")</f>
        <v>#REF!</v>
      </c>
      <c r="AV486" s="6">
        <f t="shared" si="21"/>
        <v>0</v>
      </c>
      <c r="AW486" s="6">
        <f t="shared" si="22"/>
        <v>0</v>
      </c>
      <c r="AX486" s="6">
        <f t="shared" si="23"/>
        <v>0</v>
      </c>
      <c r="AY486" s="6">
        <f t="shared" si="24"/>
        <v>0</v>
      </c>
      <c r="AZ486" s="9" t="str">
        <f t="shared" si="25"/>
        <v/>
      </c>
      <c r="BA486" s="6">
        <f t="shared" si="26"/>
        <v>0</v>
      </c>
      <c r="BB486" s="6">
        <f t="shared" si="27"/>
        <v>0</v>
      </c>
      <c r="BC486" s="9" t="str">
        <f t="shared" si="28"/>
        <v/>
      </c>
      <c r="BD486" s="6">
        <f t="shared" si="29"/>
        <v>0</v>
      </c>
      <c r="BE486" s="6">
        <f t="shared" si="30"/>
        <v>0</v>
      </c>
      <c r="BF486" s="9" t="str">
        <f t="shared" si="31"/>
        <v/>
      </c>
      <c r="BG486" s="6">
        <f t="shared" si="32"/>
        <v>0</v>
      </c>
      <c r="BH486" s="6">
        <f t="shared" si="33"/>
        <v>0</v>
      </c>
      <c r="BI486" s="9" t="str">
        <f t="shared" si="34"/>
        <v/>
      </c>
      <c r="BJ486" s="6">
        <f t="shared" si="35"/>
        <v>0</v>
      </c>
      <c r="BK486" s="6">
        <f t="shared" si="36"/>
        <v>0</v>
      </c>
      <c r="BL486" s="6">
        <f t="shared" si="37"/>
        <v>0</v>
      </c>
      <c r="BM486" s="6">
        <f t="shared" si="38"/>
        <v>0</v>
      </c>
      <c r="BN486" s="6">
        <f t="shared" si="39"/>
        <v>0</v>
      </c>
      <c r="BP486" s="6">
        <f t="shared" si="40"/>
        <v>0</v>
      </c>
      <c r="BQ486" s="6" t="b">
        <f ca="1">IFERROR(__xludf.DUMMYFUNCTION("IF(AND(ISERROR(FILTER('Items by Team'!D$2:D3410,'Items by Team'!C$2:C3410 = D486,'Items by Team'!B$2:B3410 = B486)),NOT(A486=""Practice"")),TRUE,FALSE)"),FALSE)</f>
        <v>0</v>
      </c>
      <c r="BR486" s="6">
        <f t="shared" ca="1" si="41"/>
        <v>0</v>
      </c>
    </row>
    <row r="487" spans="1:70">
      <c r="A487" s="6"/>
      <c r="B487" s="6"/>
      <c r="C487" s="6"/>
      <c r="D487" s="6"/>
      <c r="E487" s="6"/>
      <c r="F487" s="6"/>
      <c r="G487" s="6"/>
      <c r="H487" s="6"/>
      <c r="I487" s="6"/>
      <c r="J487" s="6"/>
      <c r="K487" s="6"/>
      <c r="L487" s="6"/>
      <c r="M487" s="6"/>
      <c r="N487" s="6"/>
      <c r="O487" s="6"/>
      <c r="P487" s="6"/>
      <c r="R487" s="6"/>
      <c r="S487" s="6"/>
      <c r="T487" s="6"/>
      <c r="U487" s="6"/>
      <c r="V487" s="6"/>
      <c r="W487" s="6"/>
      <c r="X487" s="6"/>
      <c r="Y487" s="6"/>
      <c r="Z487" s="6"/>
      <c r="AA487" s="6"/>
      <c r="AB487" s="6"/>
      <c r="AD487" s="6"/>
      <c r="AE487" s="6"/>
      <c r="AF487" s="6"/>
      <c r="AG487" s="6"/>
      <c r="AH487" s="6"/>
      <c r="AI487" s="6"/>
      <c r="AK487" s="6"/>
      <c r="AL487" s="6"/>
      <c r="AM487" s="6"/>
      <c r="AN487" s="6"/>
      <c r="AO487" s="6"/>
      <c r="AP487" s="6"/>
      <c r="AQ487" s="6"/>
      <c r="AR487" s="6"/>
      <c r="AS487" s="15"/>
      <c r="AT487" s="6" t="str">
        <f ca="1">IFERROR(__xludf.DUMMYFUNCTION("SWITCH(IF(A487=""Practice"",AN487,FILTER('Items by Team'!E$2:E3410,'Items by Team'!C$2:C3410=D487,B487='Items by Team'!B$2:B3410)),""None"",""No"",""Parked"",""P"",""ShallowCage"",""Sc"",""DeepCage"",""Dc"",""No"",""No"",""P"",""P"",""Sc"",""Sc"",""Dc"","&amp;"""Dc"")"),"#REF!")</f>
        <v>#REF!</v>
      </c>
      <c r="AU487" s="6" t="str">
        <f ca="1">IFERROR(__xludf.DUMMYFUNCTION("SWITCH(IF(A487 = ""Practice"", H487, FILTER('Items by Team'!D$2:D3410,'Items by Team'!C$2:C3410 = D487,'Items by Team'!B$2:B3410 = B487)), ""Yes"", ""TRUE"", ""No"", ""FALSE"",TRUE, ""TRUE"", FALSE, ""FALSE"")"),"#REF!")</f>
        <v>#REF!</v>
      </c>
      <c r="AV487" s="6">
        <f t="shared" si="21"/>
        <v>0</v>
      </c>
      <c r="AW487" s="6">
        <f t="shared" si="22"/>
        <v>0</v>
      </c>
      <c r="AX487" s="6">
        <f t="shared" si="23"/>
        <v>0</v>
      </c>
      <c r="AY487" s="6">
        <f t="shared" si="24"/>
        <v>0</v>
      </c>
      <c r="AZ487" s="9" t="str">
        <f t="shared" si="25"/>
        <v/>
      </c>
      <c r="BA487" s="6">
        <f t="shared" si="26"/>
        <v>0</v>
      </c>
      <c r="BB487" s="6">
        <f t="shared" si="27"/>
        <v>0</v>
      </c>
      <c r="BC487" s="9" t="str">
        <f t="shared" si="28"/>
        <v/>
      </c>
      <c r="BD487" s="6">
        <f t="shared" si="29"/>
        <v>0</v>
      </c>
      <c r="BE487" s="6">
        <f t="shared" si="30"/>
        <v>0</v>
      </c>
      <c r="BF487" s="9" t="str">
        <f t="shared" si="31"/>
        <v/>
      </c>
      <c r="BG487" s="6">
        <f t="shared" si="32"/>
        <v>0</v>
      </c>
      <c r="BH487" s="6">
        <f t="shared" si="33"/>
        <v>0</v>
      </c>
      <c r="BI487" s="9" t="str">
        <f t="shared" si="34"/>
        <v/>
      </c>
      <c r="BJ487" s="6">
        <f t="shared" si="35"/>
        <v>0</v>
      </c>
      <c r="BK487" s="6">
        <f t="shared" si="36"/>
        <v>0</v>
      </c>
      <c r="BL487" s="6">
        <f t="shared" si="37"/>
        <v>0</v>
      </c>
      <c r="BM487" s="6">
        <f t="shared" si="38"/>
        <v>0</v>
      </c>
      <c r="BN487" s="6">
        <f t="shared" si="39"/>
        <v>0</v>
      </c>
      <c r="BP487" s="6">
        <f t="shared" si="40"/>
        <v>0</v>
      </c>
      <c r="BQ487" s="6" t="b">
        <f ca="1">IFERROR(__xludf.DUMMYFUNCTION("IF(AND(ISERROR(FILTER('Items by Team'!D$2:D3410,'Items by Team'!C$2:C3410 = D487,'Items by Team'!B$2:B3410 = B487)),NOT(A487=""Practice"")),TRUE,FALSE)"),FALSE)</f>
        <v>0</v>
      </c>
      <c r="BR487" s="6">
        <f t="shared" ca="1" si="41"/>
        <v>0</v>
      </c>
    </row>
    <row r="488" spans="1:70">
      <c r="A488" s="6"/>
      <c r="B488" s="6"/>
      <c r="C488" s="6"/>
      <c r="D488" s="6"/>
      <c r="E488" s="6"/>
      <c r="F488" s="6"/>
      <c r="G488" s="6"/>
      <c r="H488" s="6"/>
      <c r="I488" s="6"/>
      <c r="J488" s="6"/>
      <c r="K488" s="6"/>
      <c r="L488" s="6"/>
      <c r="M488" s="6"/>
      <c r="N488" s="6"/>
      <c r="O488" s="6"/>
      <c r="P488" s="6"/>
      <c r="R488" s="6"/>
      <c r="S488" s="6"/>
      <c r="T488" s="6"/>
      <c r="U488" s="6"/>
      <c r="V488" s="6"/>
      <c r="W488" s="6"/>
      <c r="X488" s="6"/>
      <c r="Y488" s="6"/>
      <c r="Z488" s="6"/>
      <c r="AA488" s="6"/>
      <c r="AB488" s="6"/>
      <c r="AD488" s="6"/>
      <c r="AE488" s="6"/>
      <c r="AF488" s="6"/>
      <c r="AG488" s="6"/>
      <c r="AH488" s="6"/>
      <c r="AI488" s="6"/>
      <c r="AK488" s="6"/>
      <c r="AL488" s="6"/>
      <c r="AM488" s="6"/>
      <c r="AN488" s="6"/>
      <c r="AO488" s="6"/>
      <c r="AP488" s="6"/>
      <c r="AQ488" s="6"/>
      <c r="AR488" s="6"/>
      <c r="AS488" s="15"/>
      <c r="AT488" s="6" t="str">
        <f ca="1">IFERROR(__xludf.DUMMYFUNCTION("SWITCH(IF(A488=""Practice"",AN488,FILTER('Items by Team'!E$2:E3410,'Items by Team'!C$2:C3410=D488,B488='Items by Team'!B$2:B3410)),""None"",""No"",""Parked"",""P"",""ShallowCage"",""Sc"",""DeepCage"",""Dc"",""No"",""No"",""P"",""P"",""Sc"",""Sc"",""Dc"","&amp;"""Dc"")"),"#REF!")</f>
        <v>#REF!</v>
      </c>
      <c r="AU488" s="6" t="str">
        <f ca="1">IFERROR(__xludf.DUMMYFUNCTION("SWITCH(IF(A488 = ""Practice"", H488, FILTER('Items by Team'!D$2:D3410,'Items by Team'!C$2:C3410 = D488,'Items by Team'!B$2:B3410 = B488)), ""Yes"", ""TRUE"", ""No"", ""FALSE"",TRUE, ""TRUE"", FALSE, ""FALSE"")"),"#REF!")</f>
        <v>#REF!</v>
      </c>
      <c r="AV488" s="6">
        <f t="shared" si="21"/>
        <v>0</v>
      </c>
      <c r="AW488" s="6">
        <f t="shared" si="22"/>
        <v>0</v>
      </c>
      <c r="AX488" s="6">
        <f t="shared" si="23"/>
        <v>0</v>
      </c>
      <c r="AY488" s="6">
        <f t="shared" si="24"/>
        <v>0</v>
      </c>
      <c r="AZ488" s="9" t="str">
        <f t="shared" si="25"/>
        <v/>
      </c>
      <c r="BA488" s="6">
        <f t="shared" si="26"/>
        <v>0</v>
      </c>
      <c r="BB488" s="6">
        <f t="shared" si="27"/>
        <v>0</v>
      </c>
      <c r="BC488" s="9" t="str">
        <f t="shared" si="28"/>
        <v/>
      </c>
      <c r="BD488" s="6">
        <f t="shared" si="29"/>
        <v>0</v>
      </c>
      <c r="BE488" s="6">
        <f t="shared" si="30"/>
        <v>0</v>
      </c>
      <c r="BF488" s="9" t="str">
        <f t="shared" si="31"/>
        <v/>
      </c>
      <c r="BG488" s="6">
        <f t="shared" si="32"/>
        <v>0</v>
      </c>
      <c r="BH488" s="6">
        <f t="shared" si="33"/>
        <v>0</v>
      </c>
      <c r="BI488" s="9" t="str">
        <f t="shared" si="34"/>
        <v/>
      </c>
      <c r="BJ488" s="6">
        <f t="shared" si="35"/>
        <v>0</v>
      </c>
      <c r="BK488" s="6">
        <f t="shared" si="36"/>
        <v>0</v>
      </c>
      <c r="BL488" s="6">
        <f t="shared" si="37"/>
        <v>0</v>
      </c>
      <c r="BM488" s="6">
        <f t="shared" si="38"/>
        <v>0</v>
      </c>
      <c r="BN488" s="6">
        <f t="shared" si="39"/>
        <v>0</v>
      </c>
      <c r="BP488" s="6">
        <f t="shared" si="40"/>
        <v>0</v>
      </c>
      <c r="BQ488" s="6" t="b">
        <f ca="1">IFERROR(__xludf.DUMMYFUNCTION("IF(AND(ISERROR(FILTER('Items by Team'!D$2:D3410,'Items by Team'!C$2:C3410 = D488,'Items by Team'!B$2:B3410 = B488)),NOT(A488=""Practice"")),TRUE,FALSE)"),FALSE)</f>
        <v>0</v>
      </c>
      <c r="BR488" s="6">
        <f t="shared" ca="1" si="41"/>
        <v>0</v>
      </c>
    </row>
    <row r="489" spans="1:70">
      <c r="A489" s="6"/>
      <c r="B489" s="6"/>
      <c r="C489" s="6"/>
      <c r="D489" s="6"/>
      <c r="E489" s="6"/>
      <c r="F489" s="6"/>
      <c r="G489" s="6"/>
      <c r="H489" s="6"/>
      <c r="I489" s="6"/>
      <c r="J489" s="6"/>
      <c r="K489" s="6"/>
      <c r="L489" s="6"/>
      <c r="M489" s="6"/>
      <c r="N489" s="6"/>
      <c r="O489" s="6"/>
      <c r="P489" s="6"/>
      <c r="R489" s="6"/>
      <c r="S489" s="6"/>
      <c r="T489" s="6"/>
      <c r="U489" s="6"/>
      <c r="V489" s="6"/>
      <c r="W489" s="6"/>
      <c r="X489" s="6"/>
      <c r="Y489" s="6"/>
      <c r="Z489" s="6"/>
      <c r="AA489" s="6"/>
      <c r="AB489" s="6"/>
      <c r="AD489" s="6"/>
      <c r="AE489" s="6"/>
      <c r="AF489" s="6"/>
      <c r="AG489" s="6"/>
      <c r="AH489" s="6"/>
      <c r="AI489" s="6"/>
      <c r="AK489" s="6"/>
      <c r="AL489" s="6"/>
      <c r="AM489" s="6"/>
      <c r="AN489" s="6"/>
      <c r="AO489" s="6"/>
      <c r="AP489" s="6"/>
      <c r="AQ489" s="6"/>
      <c r="AR489" s="6"/>
      <c r="AS489" s="15"/>
      <c r="AT489" s="6" t="str">
        <f ca="1">IFERROR(__xludf.DUMMYFUNCTION("SWITCH(IF(A489=""Practice"",AN489,FILTER('Items by Team'!E$2:E3410,'Items by Team'!C$2:C3410=D489,B489='Items by Team'!B$2:B3410)),""None"",""No"",""Parked"",""P"",""ShallowCage"",""Sc"",""DeepCage"",""Dc"",""No"",""No"",""P"",""P"",""Sc"",""Sc"",""Dc"","&amp;"""Dc"")"),"#REF!")</f>
        <v>#REF!</v>
      </c>
      <c r="AU489" s="6" t="str">
        <f ca="1">IFERROR(__xludf.DUMMYFUNCTION("SWITCH(IF(A489 = ""Practice"", H489, FILTER('Items by Team'!D$2:D3410,'Items by Team'!C$2:C3410 = D489,'Items by Team'!B$2:B3410 = B489)), ""Yes"", ""TRUE"", ""No"", ""FALSE"",TRUE, ""TRUE"", FALSE, ""FALSE"")"),"#REF!")</f>
        <v>#REF!</v>
      </c>
      <c r="AV489" s="6">
        <f t="shared" si="21"/>
        <v>0</v>
      </c>
      <c r="AW489" s="6">
        <f t="shared" si="22"/>
        <v>0</v>
      </c>
      <c r="AX489" s="6">
        <f t="shared" si="23"/>
        <v>0</v>
      </c>
      <c r="AY489" s="6">
        <f t="shared" si="24"/>
        <v>0</v>
      </c>
      <c r="AZ489" s="9" t="str">
        <f t="shared" si="25"/>
        <v/>
      </c>
      <c r="BA489" s="6">
        <f t="shared" si="26"/>
        <v>0</v>
      </c>
      <c r="BB489" s="6">
        <f t="shared" si="27"/>
        <v>0</v>
      </c>
      <c r="BC489" s="9" t="str">
        <f t="shared" si="28"/>
        <v/>
      </c>
      <c r="BD489" s="6">
        <f t="shared" si="29"/>
        <v>0</v>
      </c>
      <c r="BE489" s="6">
        <f t="shared" si="30"/>
        <v>0</v>
      </c>
      <c r="BF489" s="9" t="str">
        <f t="shared" si="31"/>
        <v/>
      </c>
      <c r="BG489" s="6">
        <f t="shared" si="32"/>
        <v>0</v>
      </c>
      <c r="BH489" s="6">
        <f t="shared" si="33"/>
        <v>0</v>
      </c>
      <c r="BI489" s="9" t="str">
        <f t="shared" si="34"/>
        <v/>
      </c>
      <c r="BJ489" s="6">
        <f t="shared" si="35"/>
        <v>0</v>
      </c>
      <c r="BK489" s="6">
        <f t="shared" si="36"/>
        <v>0</v>
      </c>
      <c r="BL489" s="6">
        <f t="shared" si="37"/>
        <v>0</v>
      </c>
      <c r="BM489" s="6">
        <f t="shared" si="38"/>
        <v>0</v>
      </c>
      <c r="BN489" s="6">
        <f t="shared" si="39"/>
        <v>0</v>
      </c>
      <c r="BP489" s="6">
        <f t="shared" si="40"/>
        <v>0</v>
      </c>
      <c r="BQ489" s="6" t="b">
        <f ca="1">IFERROR(__xludf.DUMMYFUNCTION("IF(AND(ISERROR(FILTER('Items by Team'!D$2:D3410,'Items by Team'!C$2:C3410 = D489,'Items by Team'!B$2:B3410 = B489)),NOT(A489=""Practice"")),TRUE,FALSE)"),FALSE)</f>
        <v>0</v>
      </c>
      <c r="BR489" s="6">
        <f t="shared" ca="1" si="41"/>
        <v>0</v>
      </c>
    </row>
    <row r="490" spans="1:70">
      <c r="A490" s="6"/>
      <c r="B490" s="6"/>
      <c r="C490" s="6"/>
      <c r="D490" s="6"/>
      <c r="E490" s="6"/>
      <c r="F490" s="6"/>
      <c r="G490" s="6"/>
      <c r="H490" s="6"/>
      <c r="I490" s="6"/>
      <c r="J490" s="6"/>
      <c r="K490" s="6"/>
      <c r="L490" s="6"/>
      <c r="M490" s="6"/>
      <c r="N490" s="6"/>
      <c r="O490" s="6"/>
      <c r="P490" s="6"/>
      <c r="R490" s="6"/>
      <c r="S490" s="6"/>
      <c r="T490" s="6"/>
      <c r="U490" s="6"/>
      <c r="V490" s="6"/>
      <c r="W490" s="6"/>
      <c r="X490" s="6"/>
      <c r="Y490" s="6"/>
      <c r="Z490" s="6"/>
      <c r="AA490" s="6"/>
      <c r="AB490" s="6"/>
      <c r="AD490" s="6"/>
      <c r="AE490" s="6"/>
      <c r="AF490" s="6"/>
      <c r="AG490" s="6"/>
      <c r="AH490" s="6"/>
      <c r="AI490" s="6"/>
      <c r="AK490" s="6"/>
      <c r="AL490" s="6"/>
      <c r="AM490" s="6"/>
      <c r="AN490" s="6"/>
      <c r="AO490" s="6"/>
      <c r="AP490" s="6"/>
      <c r="AQ490" s="6"/>
      <c r="AR490" s="6"/>
      <c r="AS490" s="15"/>
      <c r="AT490" s="6" t="str">
        <f ca="1">IFERROR(__xludf.DUMMYFUNCTION("SWITCH(IF(A490=""Practice"",AN490,FILTER('Items by Team'!E$2:E3410,'Items by Team'!C$2:C3410=D490,B490='Items by Team'!B$2:B3410)),""None"",""No"",""Parked"",""P"",""ShallowCage"",""Sc"",""DeepCage"",""Dc"",""No"",""No"",""P"",""P"",""Sc"",""Sc"",""Dc"","&amp;"""Dc"")"),"#REF!")</f>
        <v>#REF!</v>
      </c>
      <c r="AU490" s="6" t="str">
        <f ca="1">IFERROR(__xludf.DUMMYFUNCTION("SWITCH(IF(A490 = ""Practice"", H490, FILTER('Items by Team'!D$2:D3410,'Items by Team'!C$2:C3410 = D490,'Items by Team'!B$2:B3410 = B490)), ""Yes"", ""TRUE"", ""No"", ""FALSE"",TRUE, ""TRUE"", FALSE, ""FALSE"")"),"#REF!")</f>
        <v>#REF!</v>
      </c>
      <c r="AV490" s="6">
        <f t="shared" si="21"/>
        <v>0</v>
      </c>
      <c r="AW490" s="6">
        <f t="shared" si="22"/>
        <v>0</v>
      </c>
      <c r="AX490" s="6">
        <f t="shared" si="23"/>
        <v>0</v>
      </c>
      <c r="AY490" s="6">
        <f t="shared" si="24"/>
        <v>0</v>
      </c>
      <c r="AZ490" s="9" t="str">
        <f t="shared" si="25"/>
        <v/>
      </c>
      <c r="BA490" s="6">
        <f t="shared" si="26"/>
        <v>0</v>
      </c>
      <c r="BB490" s="6">
        <f t="shared" si="27"/>
        <v>0</v>
      </c>
      <c r="BC490" s="9" t="str">
        <f t="shared" si="28"/>
        <v/>
      </c>
      <c r="BD490" s="6">
        <f t="shared" si="29"/>
        <v>0</v>
      </c>
      <c r="BE490" s="6">
        <f t="shared" si="30"/>
        <v>0</v>
      </c>
      <c r="BF490" s="9" t="str">
        <f t="shared" si="31"/>
        <v/>
      </c>
      <c r="BG490" s="6">
        <f t="shared" si="32"/>
        <v>0</v>
      </c>
      <c r="BH490" s="6">
        <f t="shared" si="33"/>
        <v>0</v>
      </c>
      <c r="BI490" s="9" t="str">
        <f t="shared" si="34"/>
        <v/>
      </c>
      <c r="BJ490" s="6">
        <f t="shared" si="35"/>
        <v>0</v>
      </c>
      <c r="BK490" s="6">
        <f t="shared" si="36"/>
        <v>0</v>
      </c>
      <c r="BL490" s="6">
        <f t="shared" si="37"/>
        <v>0</v>
      </c>
      <c r="BM490" s="6">
        <f t="shared" si="38"/>
        <v>0</v>
      </c>
      <c r="BN490" s="6">
        <f t="shared" si="39"/>
        <v>0</v>
      </c>
      <c r="BP490" s="6">
        <f t="shared" si="40"/>
        <v>0</v>
      </c>
      <c r="BQ490" s="6" t="b">
        <f ca="1">IFERROR(__xludf.DUMMYFUNCTION("IF(AND(ISERROR(FILTER('Items by Team'!D$2:D3410,'Items by Team'!C$2:C3410 = D490,'Items by Team'!B$2:B3410 = B490)),NOT(A490=""Practice"")),TRUE,FALSE)"),FALSE)</f>
        <v>0</v>
      </c>
      <c r="BR490" s="6">
        <f t="shared" ca="1" si="41"/>
        <v>0</v>
      </c>
    </row>
    <row r="491" spans="1:70">
      <c r="A491" s="6"/>
      <c r="B491" s="6"/>
      <c r="C491" s="6"/>
      <c r="D491" s="6"/>
      <c r="E491" s="6"/>
      <c r="F491" s="6"/>
      <c r="G491" s="6"/>
      <c r="H491" s="6"/>
      <c r="I491" s="6"/>
      <c r="J491" s="6"/>
      <c r="K491" s="6"/>
      <c r="L491" s="6"/>
      <c r="M491" s="6"/>
      <c r="N491" s="6"/>
      <c r="O491" s="6"/>
      <c r="P491" s="6"/>
      <c r="R491" s="6"/>
      <c r="S491" s="6"/>
      <c r="T491" s="6"/>
      <c r="U491" s="6"/>
      <c r="V491" s="6"/>
      <c r="W491" s="6"/>
      <c r="X491" s="6"/>
      <c r="Y491" s="6"/>
      <c r="Z491" s="6"/>
      <c r="AA491" s="6"/>
      <c r="AB491" s="6"/>
      <c r="AD491" s="6"/>
      <c r="AE491" s="6"/>
      <c r="AF491" s="6"/>
      <c r="AG491" s="6"/>
      <c r="AH491" s="6"/>
      <c r="AI491" s="6"/>
      <c r="AK491" s="6"/>
      <c r="AL491" s="6"/>
      <c r="AM491" s="6"/>
      <c r="AN491" s="6"/>
      <c r="AO491" s="6"/>
      <c r="AP491" s="6"/>
      <c r="AQ491" s="6"/>
      <c r="AR491" s="6"/>
      <c r="AS491" s="15"/>
      <c r="AT491" s="6" t="str">
        <f ca="1">IFERROR(__xludf.DUMMYFUNCTION("SWITCH(IF(A491=""Practice"",AN491,FILTER('Items by Team'!E$2:E3410,'Items by Team'!C$2:C3410=D491,B491='Items by Team'!B$2:B3410)),""None"",""No"",""Parked"",""P"",""ShallowCage"",""Sc"",""DeepCage"",""Dc"",""No"",""No"",""P"",""P"",""Sc"",""Sc"",""Dc"","&amp;"""Dc"")"),"#REF!")</f>
        <v>#REF!</v>
      </c>
      <c r="AU491" s="6" t="str">
        <f ca="1">IFERROR(__xludf.DUMMYFUNCTION("SWITCH(IF(A491 = ""Practice"", H491, FILTER('Items by Team'!D$2:D3410,'Items by Team'!C$2:C3410 = D491,'Items by Team'!B$2:B3410 = B491)), ""Yes"", ""TRUE"", ""No"", ""FALSE"",TRUE, ""TRUE"", FALSE, ""FALSE"")"),"#REF!")</f>
        <v>#REF!</v>
      </c>
      <c r="AV491" s="6">
        <f t="shared" si="21"/>
        <v>0</v>
      </c>
      <c r="AW491" s="6">
        <f t="shared" si="22"/>
        <v>0</v>
      </c>
      <c r="AX491" s="6">
        <f t="shared" si="23"/>
        <v>0</v>
      </c>
      <c r="AY491" s="6">
        <f t="shared" si="24"/>
        <v>0</v>
      </c>
      <c r="AZ491" s="9" t="str">
        <f t="shared" si="25"/>
        <v/>
      </c>
      <c r="BA491" s="6">
        <f t="shared" si="26"/>
        <v>0</v>
      </c>
      <c r="BB491" s="6">
        <f t="shared" si="27"/>
        <v>0</v>
      </c>
      <c r="BC491" s="9" t="str">
        <f t="shared" si="28"/>
        <v/>
      </c>
      <c r="BD491" s="6">
        <f t="shared" si="29"/>
        <v>0</v>
      </c>
      <c r="BE491" s="6">
        <f t="shared" si="30"/>
        <v>0</v>
      </c>
      <c r="BF491" s="9" t="str">
        <f t="shared" si="31"/>
        <v/>
      </c>
      <c r="BG491" s="6">
        <f t="shared" si="32"/>
        <v>0</v>
      </c>
      <c r="BH491" s="6">
        <f t="shared" si="33"/>
        <v>0</v>
      </c>
      <c r="BI491" s="9" t="str">
        <f t="shared" si="34"/>
        <v/>
      </c>
      <c r="BJ491" s="6">
        <f t="shared" si="35"/>
        <v>0</v>
      </c>
      <c r="BK491" s="6">
        <f t="shared" si="36"/>
        <v>0</v>
      </c>
      <c r="BL491" s="6">
        <f t="shared" si="37"/>
        <v>0</v>
      </c>
      <c r="BM491" s="6">
        <f t="shared" si="38"/>
        <v>0</v>
      </c>
      <c r="BN491" s="6">
        <f t="shared" si="39"/>
        <v>0</v>
      </c>
      <c r="BP491" s="6">
        <f t="shared" si="40"/>
        <v>0</v>
      </c>
      <c r="BQ491" s="6" t="b">
        <f ca="1">IFERROR(__xludf.DUMMYFUNCTION("IF(AND(ISERROR(FILTER('Items by Team'!D$2:D3410,'Items by Team'!C$2:C3410 = D491,'Items by Team'!B$2:B3410 = B491)),NOT(A491=""Practice"")),TRUE,FALSE)"),FALSE)</f>
        <v>0</v>
      </c>
      <c r="BR491" s="6">
        <f t="shared" ca="1" si="41"/>
        <v>0</v>
      </c>
    </row>
    <row r="492" spans="1:70">
      <c r="A492" s="6"/>
      <c r="B492" s="6"/>
      <c r="C492" s="6"/>
      <c r="D492" s="6"/>
      <c r="E492" s="6"/>
      <c r="F492" s="6"/>
      <c r="G492" s="6"/>
      <c r="H492" s="6"/>
      <c r="I492" s="6"/>
      <c r="J492" s="6"/>
      <c r="K492" s="6"/>
      <c r="L492" s="6"/>
      <c r="M492" s="6"/>
      <c r="N492" s="6"/>
      <c r="O492" s="6"/>
      <c r="P492" s="6"/>
      <c r="R492" s="6"/>
      <c r="S492" s="6"/>
      <c r="T492" s="6"/>
      <c r="U492" s="6"/>
      <c r="V492" s="6"/>
      <c r="W492" s="6"/>
      <c r="X492" s="6"/>
      <c r="Y492" s="6"/>
      <c r="Z492" s="6"/>
      <c r="AA492" s="6"/>
      <c r="AB492" s="6"/>
      <c r="AD492" s="6"/>
      <c r="AE492" s="6"/>
      <c r="AF492" s="6"/>
      <c r="AG492" s="6"/>
      <c r="AH492" s="6"/>
      <c r="AI492" s="6"/>
      <c r="AK492" s="6"/>
      <c r="AL492" s="6"/>
      <c r="AM492" s="6"/>
      <c r="AN492" s="6"/>
      <c r="AO492" s="6"/>
      <c r="AP492" s="6"/>
      <c r="AQ492" s="6"/>
      <c r="AR492" s="6"/>
      <c r="AS492" s="15"/>
      <c r="AT492" s="6" t="str">
        <f ca="1">IFERROR(__xludf.DUMMYFUNCTION("SWITCH(IF(A492=""Practice"",AN492,FILTER('Items by Team'!E$2:E3410,'Items by Team'!C$2:C3410=D492,B492='Items by Team'!B$2:B3410)),""None"",""No"",""Parked"",""P"",""ShallowCage"",""Sc"",""DeepCage"",""Dc"",""No"",""No"",""P"",""P"",""Sc"",""Sc"",""Dc"","&amp;"""Dc"")"),"#REF!")</f>
        <v>#REF!</v>
      </c>
      <c r="AU492" s="6" t="str">
        <f ca="1">IFERROR(__xludf.DUMMYFUNCTION("SWITCH(IF(A492 = ""Practice"", H492, FILTER('Items by Team'!D$2:D3410,'Items by Team'!C$2:C3410 = D492,'Items by Team'!B$2:B3410 = B492)), ""Yes"", ""TRUE"", ""No"", ""FALSE"",TRUE, ""TRUE"", FALSE, ""FALSE"")"),"#REF!")</f>
        <v>#REF!</v>
      </c>
      <c r="AV492" s="6">
        <f t="shared" si="21"/>
        <v>0</v>
      </c>
      <c r="AW492" s="6">
        <f t="shared" si="22"/>
        <v>0</v>
      </c>
      <c r="AX492" s="6">
        <f t="shared" si="23"/>
        <v>0</v>
      </c>
      <c r="AY492" s="6">
        <f t="shared" si="24"/>
        <v>0</v>
      </c>
      <c r="AZ492" s="9" t="str">
        <f t="shared" si="25"/>
        <v/>
      </c>
      <c r="BA492" s="6">
        <f t="shared" si="26"/>
        <v>0</v>
      </c>
      <c r="BB492" s="6">
        <f t="shared" si="27"/>
        <v>0</v>
      </c>
      <c r="BC492" s="9" t="str">
        <f t="shared" si="28"/>
        <v/>
      </c>
      <c r="BD492" s="6">
        <f t="shared" si="29"/>
        <v>0</v>
      </c>
      <c r="BE492" s="6">
        <f t="shared" si="30"/>
        <v>0</v>
      </c>
      <c r="BF492" s="9" t="str">
        <f t="shared" si="31"/>
        <v/>
      </c>
      <c r="BG492" s="6">
        <f t="shared" si="32"/>
        <v>0</v>
      </c>
      <c r="BH492" s="6">
        <f t="shared" si="33"/>
        <v>0</v>
      </c>
      <c r="BI492" s="9" t="str">
        <f t="shared" si="34"/>
        <v/>
      </c>
      <c r="BJ492" s="6">
        <f t="shared" si="35"/>
        <v>0</v>
      </c>
      <c r="BK492" s="6">
        <f t="shared" si="36"/>
        <v>0</v>
      </c>
      <c r="BL492" s="6">
        <f t="shared" si="37"/>
        <v>0</v>
      </c>
      <c r="BM492" s="6">
        <f t="shared" si="38"/>
        <v>0</v>
      </c>
      <c r="BN492" s="6">
        <f t="shared" si="39"/>
        <v>0</v>
      </c>
      <c r="BP492" s="6">
        <f t="shared" si="40"/>
        <v>0</v>
      </c>
      <c r="BQ492" s="6" t="b">
        <f ca="1">IFERROR(__xludf.DUMMYFUNCTION("IF(AND(ISERROR(FILTER('Items by Team'!D$2:D3410,'Items by Team'!C$2:C3410 = D492,'Items by Team'!B$2:B3410 = B492)),NOT(A492=""Practice"")),TRUE,FALSE)"),FALSE)</f>
        <v>0</v>
      </c>
      <c r="BR492" s="6">
        <f t="shared" ca="1" si="41"/>
        <v>0</v>
      </c>
    </row>
    <row r="493" spans="1:70">
      <c r="A493" s="6"/>
      <c r="B493" s="6"/>
      <c r="C493" s="6"/>
      <c r="D493" s="6"/>
      <c r="E493" s="6"/>
      <c r="F493" s="6"/>
      <c r="G493" s="6"/>
      <c r="H493" s="6"/>
      <c r="I493" s="6"/>
      <c r="J493" s="6"/>
      <c r="K493" s="6"/>
      <c r="L493" s="6"/>
      <c r="M493" s="6"/>
      <c r="N493" s="6"/>
      <c r="O493" s="6"/>
      <c r="P493" s="6"/>
      <c r="R493" s="6"/>
      <c r="S493" s="6"/>
      <c r="T493" s="6"/>
      <c r="U493" s="6"/>
      <c r="V493" s="6"/>
      <c r="W493" s="6"/>
      <c r="X493" s="6"/>
      <c r="Y493" s="6"/>
      <c r="Z493" s="6"/>
      <c r="AA493" s="6"/>
      <c r="AB493" s="6"/>
      <c r="AD493" s="6"/>
      <c r="AE493" s="6"/>
      <c r="AF493" s="6"/>
      <c r="AG493" s="6"/>
      <c r="AH493" s="6"/>
      <c r="AI493" s="6"/>
      <c r="AK493" s="6"/>
      <c r="AL493" s="6"/>
      <c r="AM493" s="6"/>
      <c r="AN493" s="6"/>
      <c r="AO493" s="6"/>
      <c r="AP493" s="6"/>
      <c r="AQ493" s="6"/>
      <c r="AR493" s="6"/>
      <c r="AS493" s="15"/>
      <c r="AT493" s="6" t="str">
        <f ca="1">IFERROR(__xludf.DUMMYFUNCTION("SWITCH(IF(A493=""Practice"",AN493,FILTER('Items by Team'!E$2:E3410,'Items by Team'!C$2:C3410=D493,B493='Items by Team'!B$2:B3410)),""None"",""No"",""Parked"",""P"",""ShallowCage"",""Sc"",""DeepCage"",""Dc"",""No"",""No"",""P"",""P"",""Sc"",""Sc"",""Dc"","&amp;"""Dc"")"),"#REF!")</f>
        <v>#REF!</v>
      </c>
      <c r="AU493" s="6" t="str">
        <f ca="1">IFERROR(__xludf.DUMMYFUNCTION("SWITCH(IF(A493 = ""Practice"", H493, FILTER('Items by Team'!D$2:D3410,'Items by Team'!C$2:C3410 = D493,'Items by Team'!B$2:B3410 = B493)), ""Yes"", ""TRUE"", ""No"", ""FALSE"",TRUE, ""TRUE"", FALSE, ""FALSE"")"),"#REF!")</f>
        <v>#REF!</v>
      </c>
      <c r="AV493" s="6">
        <f t="shared" si="21"/>
        <v>0</v>
      </c>
      <c r="AW493" s="6">
        <f t="shared" si="22"/>
        <v>0</v>
      </c>
      <c r="AX493" s="6">
        <f t="shared" si="23"/>
        <v>0</v>
      </c>
      <c r="AY493" s="6">
        <f t="shared" si="24"/>
        <v>0</v>
      </c>
      <c r="AZ493" s="9" t="str">
        <f t="shared" si="25"/>
        <v/>
      </c>
      <c r="BA493" s="6">
        <f t="shared" si="26"/>
        <v>0</v>
      </c>
      <c r="BB493" s="6">
        <f t="shared" si="27"/>
        <v>0</v>
      </c>
      <c r="BC493" s="9" t="str">
        <f t="shared" si="28"/>
        <v/>
      </c>
      <c r="BD493" s="6">
        <f t="shared" si="29"/>
        <v>0</v>
      </c>
      <c r="BE493" s="6">
        <f t="shared" si="30"/>
        <v>0</v>
      </c>
      <c r="BF493" s="9" t="str">
        <f t="shared" si="31"/>
        <v/>
      </c>
      <c r="BG493" s="6">
        <f t="shared" si="32"/>
        <v>0</v>
      </c>
      <c r="BH493" s="6">
        <f t="shared" si="33"/>
        <v>0</v>
      </c>
      <c r="BI493" s="9" t="str">
        <f t="shared" si="34"/>
        <v/>
      </c>
      <c r="BJ493" s="6">
        <f t="shared" si="35"/>
        <v>0</v>
      </c>
      <c r="BK493" s="6">
        <f t="shared" si="36"/>
        <v>0</v>
      </c>
      <c r="BL493" s="6">
        <f t="shared" si="37"/>
        <v>0</v>
      </c>
      <c r="BM493" s="6">
        <f t="shared" si="38"/>
        <v>0</v>
      </c>
      <c r="BN493" s="6">
        <f t="shared" si="39"/>
        <v>0</v>
      </c>
      <c r="BP493" s="6">
        <f t="shared" si="40"/>
        <v>0</v>
      </c>
      <c r="BQ493" s="6" t="b">
        <f ca="1">IFERROR(__xludf.DUMMYFUNCTION("IF(AND(ISERROR(FILTER('Items by Team'!D$2:D3410,'Items by Team'!C$2:C3410 = D493,'Items by Team'!B$2:B3410 = B493)),NOT(A493=""Practice"")),TRUE,FALSE)"),FALSE)</f>
        <v>0</v>
      </c>
      <c r="BR493" s="6">
        <f t="shared" ca="1" si="41"/>
        <v>0</v>
      </c>
    </row>
    <row r="494" spans="1:70">
      <c r="A494" s="6"/>
      <c r="B494" s="6"/>
      <c r="C494" s="6"/>
      <c r="D494" s="6"/>
      <c r="E494" s="6"/>
      <c r="F494" s="6"/>
      <c r="G494" s="6"/>
      <c r="H494" s="6"/>
      <c r="I494" s="6"/>
      <c r="J494" s="6"/>
      <c r="K494" s="6"/>
      <c r="L494" s="6"/>
      <c r="M494" s="6"/>
      <c r="N494" s="6"/>
      <c r="O494" s="6"/>
      <c r="P494" s="6"/>
      <c r="R494" s="6"/>
      <c r="S494" s="6"/>
      <c r="T494" s="6"/>
      <c r="U494" s="6"/>
      <c r="V494" s="6"/>
      <c r="W494" s="6"/>
      <c r="X494" s="6"/>
      <c r="Y494" s="6"/>
      <c r="Z494" s="6"/>
      <c r="AA494" s="6"/>
      <c r="AB494" s="6"/>
      <c r="AD494" s="6"/>
      <c r="AE494" s="6"/>
      <c r="AF494" s="6"/>
      <c r="AG494" s="6"/>
      <c r="AH494" s="6"/>
      <c r="AI494" s="6"/>
      <c r="AK494" s="6"/>
      <c r="AL494" s="6"/>
      <c r="AM494" s="6"/>
      <c r="AN494" s="6"/>
      <c r="AO494" s="6"/>
      <c r="AP494" s="6"/>
      <c r="AQ494" s="6"/>
      <c r="AR494" s="6"/>
      <c r="AS494" s="15"/>
      <c r="AT494" s="6" t="str">
        <f ca="1">IFERROR(__xludf.DUMMYFUNCTION("SWITCH(IF(A494=""Practice"",AN494,FILTER('Items by Team'!E$2:E3410,'Items by Team'!C$2:C3410=D494,B494='Items by Team'!B$2:B3410)),""None"",""No"",""Parked"",""P"",""ShallowCage"",""Sc"",""DeepCage"",""Dc"",""No"",""No"",""P"",""P"",""Sc"",""Sc"",""Dc"","&amp;"""Dc"")"),"#REF!")</f>
        <v>#REF!</v>
      </c>
      <c r="AU494" s="6" t="str">
        <f ca="1">IFERROR(__xludf.DUMMYFUNCTION("SWITCH(IF(A494 = ""Practice"", H494, FILTER('Items by Team'!D$2:D3410,'Items by Team'!C$2:C3410 = D494,'Items by Team'!B$2:B3410 = B494)), ""Yes"", ""TRUE"", ""No"", ""FALSE"",TRUE, ""TRUE"", FALSE, ""FALSE"")"),"#REF!")</f>
        <v>#REF!</v>
      </c>
      <c r="AV494" s="6">
        <f t="shared" si="21"/>
        <v>0</v>
      </c>
      <c r="AW494" s="6">
        <f t="shared" si="22"/>
        <v>0</v>
      </c>
      <c r="AX494" s="6">
        <f t="shared" si="23"/>
        <v>0</v>
      </c>
      <c r="AY494" s="6">
        <f t="shared" si="24"/>
        <v>0</v>
      </c>
      <c r="AZ494" s="9" t="str">
        <f t="shared" si="25"/>
        <v/>
      </c>
      <c r="BA494" s="6">
        <f t="shared" si="26"/>
        <v>0</v>
      </c>
      <c r="BB494" s="6">
        <f t="shared" si="27"/>
        <v>0</v>
      </c>
      <c r="BC494" s="9" t="str">
        <f t="shared" si="28"/>
        <v/>
      </c>
      <c r="BD494" s="6">
        <f t="shared" si="29"/>
        <v>0</v>
      </c>
      <c r="BE494" s="6">
        <f t="shared" si="30"/>
        <v>0</v>
      </c>
      <c r="BF494" s="9" t="str">
        <f t="shared" si="31"/>
        <v/>
      </c>
      <c r="BG494" s="6">
        <f t="shared" si="32"/>
        <v>0</v>
      </c>
      <c r="BH494" s="6">
        <f t="shared" si="33"/>
        <v>0</v>
      </c>
      <c r="BI494" s="9" t="str">
        <f t="shared" si="34"/>
        <v/>
      </c>
      <c r="BJ494" s="6">
        <f t="shared" si="35"/>
        <v>0</v>
      </c>
      <c r="BK494" s="6">
        <f t="shared" si="36"/>
        <v>0</v>
      </c>
      <c r="BL494" s="6">
        <f t="shared" si="37"/>
        <v>0</v>
      </c>
      <c r="BM494" s="6">
        <f t="shared" si="38"/>
        <v>0</v>
      </c>
      <c r="BN494" s="6">
        <f t="shared" si="39"/>
        <v>0</v>
      </c>
      <c r="BP494" s="6">
        <f t="shared" si="40"/>
        <v>0</v>
      </c>
      <c r="BQ494" s="6" t="b">
        <f ca="1">IFERROR(__xludf.DUMMYFUNCTION("IF(AND(ISERROR(FILTER('Items by Team'!D$2:D3410,'Items by Team'!C$2:C3410 = D494,'Items by Team'!B$2:B3410 = B494)),NOT(A494=""Practice"")),TRUE,FALSE)"),FALSE)</f>
        <v>0</v>
      </c>
      <c r="BR494" s="6">
        <f t="shared" ca="1" si="41"/>
        <v>0</v>
      </c>
    </row>
    <row r="495" spans="1:70">
      <c r="A495" s="6"/>
      <c r="B495" s="6"/>
      <c r="C495" s="6"/>
      <c r="D495" s="6"/>
      <c r="E495" s="6"/>
      <c r="F495" s="6"/>
      <c r="G495" s="6"/>
      <c r="H495" s="6"/>
      <c r="I495" s="6"/>
      <c r="J495" s="6"/>
      <c r="K495" s="6"/>
      <c r="L495" s="6"/>
      <c r="M495" s="6"/>
      <c r="N495" s="6"/>
      <c r="O495" s="6"/>
      <c r="P495" s="6"/>
      <c r="R495" s="6"/>
      <c r="S495" s="6"/>
      <c r="T495" s="6"/>
      <c r="U495" s="6"/>
      <c r="V495" s="6"/>
      <c r="W495" s="6"/>
      <c r="X495" s="6"/>
      <c r="Y495" s="6"/>
      <c r="Z495" s="6"/>
      <c r="AA495" s="6"/>
      <c r="AB495" s="6"/>
      <c r="AD495" s="6"/>
      <c r="AE495" s="6"/>
      <c r="AF495" s="6"/>
      <c r="AG495" s="6"/>
      <c r="AH495" s="6"/>
      <c r="AI495" s="6"/>
      <c r="AK495" s="6"/>
      <c r="AL495" s="6"/>
      <c r="AM495" s="6"/>
      <c r="AN495" s="6"/>
      <c r="AO495" s="6"/>
      <c r="AP495" s="6"/>
      <c r="AQ495" s="6"/>
      <c r="AR495" s="6"/>
      <c r="AS495" s="15"/>
      <c r="AT495" s="6" t="str">
        <f ca="1">IFERROR(__xludf.DUMMYFUNCTION("SWITCH(IF(A495=""Practice"",AN495,FILTER('Items by Team'!E$2:E3410,'Items by Team'!C$2:C3410=D495,B495='Items by Team'!B$2:B3410)),""None"",""No"",""Parked"",""P"",""ShallowCage"",""Sc"",""DeepCage"",""Dc"",""No"",""No"",""P"",""P"",""Sc"",""Sc"",""Dc"","&amp;"""Dc"")"),"#REF!")</f>
        <v>#REF!</v>
      </c>
      <c r="AU495" s="6" t="str">
        <f ca="1">IFERROR(__xludf.DUMMYFUNCTION("SWITCH(IF(A495 = ""Practice"", H495, FILTER('Items by Team'!D$2:D3410,'Items by Team'!C$2:C3410 = D495,'Items by Team'!B$2:B3410 = B495)), ""Yes"", ""TRUE"", ""No"", ""FALSE"",TRUE, ""TRUE"", FALSE, ""FALSE"")"),"#REF!")</f>
        <v>#REF!</v>
      </c>
      <c r="AV495" s="6">
        <f t="shared" si="21"/>
        <v>0</v>
      </c>
      <c r="AW495" s="6">
        <f t="shared" si="22"/>
        <v>0</v>
      </c>
      <c r="AX495" s="6">
        <f t="shared" si="23"/>
        <v>0</v>
      </c>
      <c r="AY495" s="6">
        <f t="shared" si="24"/>
        <v>0</v>
      </c>
      <c r="AZ495" s="9" t="str">
        <f t="shared" si="25"/>
        <v/>
      </c>
      <c r="BA495" s="6">
        <f t="shared" si="26"/>
        <v>0</v>
      </c>
      <c r="BB495" s="6">
        <f t="shared" si="27"/>
        <v>0</v>
      </c>
      <c r="BC495" s="9" t="str">
        <f t="shared" si="28"/>
        <v/>
      </c>
      <c r="BD495" s="6">
        <f t="shared" si="29"/>
        <v>0</v>
      </c>
      <c r="BE495" s="6">
        <f t="shared" si="30"/>
        <v>0</v>
      </c>
      <c r="BF495" s="9" t="str">
        <f t="shared" si="31"/>
        <v/>
      </c>
      <c r="BG495" s="6">
        <f t="shared" si="32"/>
        <v>0</v>
      </c>
      <c r="BH495" s="6">
        <f t="shared" si="33"/>
        <v>0</v>
      </c>
      <c r="BI495" s="9" t="str">
        <f t="shared" si="34"/>
        <v/>
      </c>
      <c r="BJ495" s="6">
        <f t="shared" si="35"/>
        <v>0</v>
      </c>
      <c r="BK495" s="6">
        <f t="shared" si="36"/>
        <v>0</v>
      </c>
      <c r="BL495" s="6">
        <f t="shared" si="37"/>
        <v>0</v>
      </c>
      <c r="BM495" s="6">
        <f t="shared" si="38"/>
        <v>0</v>
      </c>
      <c r="BN495" s="6">
        <f t="shared" si="39"/>
        <v>0</v>
      </c>
      <c r="BP495" s="6">
        <f t="shared" si="40"/>
        <v>0</v>
      </c>
      <c r="BQ495" s="6" t="b">
        <f ca="1">IFERROR(__xludf.DUMMYFUNCTION("IF(AND(ISERROR(FILTER('Items by Team'!D$2:D3410,'Items by Team'!C$2:C3410 = D495,'Items by Team'!B$2:B3410 = B495)),NOT(A495=""Practice"")),TRUE,FALSE)"),FALSE)</f>
        <v>0</v>
      </c>
      <c r="BR495" s="6">
        <f t="shared" ca="1" si="41"/>
        <v>0</v>
      </c>
    </row>
    <row r="496" spans="1:70">
      <c r="A496" s="6"/>
      <c r="B496" s="6"/>
      <c r="C496" s="6"/>
      <c r="D496" s="6"/>
      <c r="E496" s="6"/>
      <c r="F496" s="6"/>
      <c r="G496" s="6"/>
      <c r="H496" s="6"/>
      <c r="I496" s="6"/>
      <c r="J496" s="6"/>
      <c r="K496" s="6"/>
      <c r="L496" s="6"/>
      <c r="M496" s="6"/>
      <c r="N496" s="6"/>
      <c r="O496" s="6"/>
      <c r="P496" s="6"/>
      <c r="R496" s="6"/>
      <c r="S496" s="6"/>
      <c r="T496" s="6"/>
      <c r="U496" s="6"/>
      <c r="V496" s="6"/>
      <c r="W496" s="6"/>
      <c r="X496" s="6"/>
      <c r="Y496" s="6"/>
      <c r="Z496" s="6"/>
      <c r="AA496" s="6"/>
      <c r="AB496" s="6"/>
      <c r="AD496" s="6"/>
      <c r="AE496" s="6"/>
      <c r="AF496" s="6"/>
      <c r="AG496" s="6"/>
      <c r="AH496" s="6"/>
      <c r="AI496" s="6"/>
      <c r="AK496" s="6"/>
      <c r="AL496" s="6"/>
      <c r="AM496" s="6"/>
      <c r="AN496" s="6"/>
      <c r="AO496" s="6"/>
      <c r="AP496" s="6"/>
      <c r="AQ496" s="6"/>
      <c r="AR496" s="6"/>
      <c r="AS496" s="15"/>
      <c r="AT496" s="6" t="str">
        <f ca="1">IFERROR(__xludf.DUMMYFUNCTION("SWITCH(IF(A496=""Practice"",AN496,FILTER('Items by Team'!E$2:E3410,'Items by Team'!C$2:C3410=D496,B496='Items by Team'!B$2:B3410)),""None"",""No"",""Parked"",""P"",""ShallowCage"",""Sc"",""DeepCage"",""Dc"",""No"",""No"",""P"",""P"",""Sc"",""Sc"",""Dc"","&amp;"""Dc"")"),"#REF!")</f>
        <v>#REF!</v>
      </c>
      <c r="AU496" s="6" t="str">
        <f ca="1">IFERROR(__xludf.DUMMYFUNCTION("SWITCH(IF(A496 = ""Practice"", H496, FILTER('Items by Team'!D$2:D3410,'Items by Team'!C$2:C3410 = D496,'Items by Team'!B$2:B3410 = B496)), ""Yes"", ""TRUE"", ""No"", ""FALSE"",TRUE, ""TRUE"", FALSE, ""FALSE"")"),"#REF!")</f>
        <v>#REF!</v>
      </c>
      <c r="AV496" s="6">
        <f t="shared" si="21"/>
        <v>0</v>
      </c>
      <c r="AW496" s="6">
        <f t="shared" si="22"/>
        <v>0</v>
      </c>
      <c r="AX496" s="6">
        <f t="shared" si="23"/>
        <v>0</v>
      </c>
      <c r="AY496" s="6">
        <f t="shared" si="24"/>
        <v>0</v>
      </c>
      <c r="AZ496" s="9" t="str">
        <f t="shared" si="25"/>
        <v/>
      </c>
      <c r="BA496" s="6">
        <f t="shared" si="26"/>
        <v>0</v>
      </c>
      <c r="BB496" s="6">
        <f t="shared" si="27"/>
        <v>0</v>
      </c>
      <c r="BC496" s="9" t="str">
        <f t="shared" si="28"/>
        <v/>
      </c>
      <c r="BD496" s="6">
        <f t="shared" si="29"/>
        <v>0</v>
      </c>
      <c r="BE496" s="6">
        <f t="shared" si="30"/>
        <v>0</v>
      </c>
      <c r="BF496" s="9" t="str">
        <f t="shared" si="31"/>
        <v/>
      </c>
      <c r="BG496" s="6">
        <f t="shared" si="32"/>
        <v>0</v>
      </c>
      <c r="BH496" s="6">
        <f t="shared" si="33"/>
        <v>0</v>
      </c>
      <c r="BI496" s="9" t="str">
        <f t="shared" si="34"/>
        <v/>
      </c>
      <c r="BJ496" s="6">
        <f t="shared" si="35"/>
        <v>0</v>
      </c>
      <c r="BK496" s="6">
        <f t="shared" si="36"/>
        <v>0</v>
      </c>
      <c r="BL496" s="6">
        <f t="shared" si="37"/>
        <v>0</v>
      </c>
      <c r="BM496" s="6">
        <f t="shared" si="38"/>
        <v>0</v>
      </c>
      <c r="BN496" s="6">
        <f t="shared" si="39"/>
        <v>0</v>
      </c>
      <c r="BP496" s="6">
        <f t="shared" si="40"/>
        <v>0</v>
      </c>
      <c r="BQ496" s="6" t="b">
        <f ca="1">IFERROR(__xludf.DUMMYFUNCTION("IF(AND(ISERROR(FILTER('Items by Team'!D$2:D3410,'Items by Team'!C$2:C3410 = D496,'Items by Team'!B$2:B3410 = B496)),NOT(A496=""Practice"")),TRUE,FALSE)"),FALSE)</f>
        <v>0</v>
      </c>
      <c r="BR496" s="6">
        <f t="shared" ca="1" si="41"/>
        <v>0</v>
      </c>
    </row>
    <row r="497" spans="1:70">
      <c r="A497" s="6"/>
      <c r="B497" s="6"/>
      <c r="C497" s="6"/>
      <c r="D497" s="6"/>
      <c r="E497" s="6"/>
      <c r="F497" s="6"/>
      <c r="G497" s="6"/>
      <c r="H497" s="6"/>
      <c r="I497" s="6"/>
      <c r="J497" s="6"/>
      <c r="K497" s="6"/>
      <c r="L497" s="6"/>
      <c r="M497" s="6"/>
      <c r="N497" s="6"/>
      <c r="O497" s="6"/>
      <c r="P497" s="6"/>
      <c r="R497" s="6"/>
      <c r="S497" s="6"/>
      <c r="T497" s="6"/>
      <c r="U497" s="6"/>
      <c r="V497" s="6"/>
      <c r="W497" s="6"/>
      <c r="X497" s="6"/>
      <c r="Y497" s="6"/>
      <c r="Z497" s="6"/>
      <c r="AA497" s="6"/>
      <c r="AB497" s="6"/>
      <c r="AD497" s="6"/>
      <c r="AE497" s="6"/>
      <c r="AF497" s="6"/>
      <c r="AG497" s="6"/>
      <c r="AH497" s="6"/>
      <c r="AI497" s="6"/>
      <c r="AK497" s="6"/>
      <c r="AL497" s="6"/>
      <c r="AM497" s="6"/>
      <c r="AN497" s="6"/>
      <c r="AO497" s="6"/>
      <c r="AP497" s="6"/>
      <c r="AQ497" s="6"/>
      <c r="AR497" s="6"/>
      <c r="AS497" s="15"/>
      <c r="AT497" s="6" t="str">
        <f ca="1">IFERROR(__xludf.DUMMYFUNCTION("SWITCH(IF(A497=""Practice"",AN497,FILTER('Items by Team'!E$2:E3410,'Items by Team'!C$2:C3410=D497,B497='Items by Team'!B$2:B3410)),""None"",""No"",""Parked"",""P"",""ShallowCage"",""Sc"",""DeepCage"",""Dc"",""No"",""No"",""P"",""P"",""Sc"",""Sc"",""Dc"","&amp;"""Dc"")"),"#REF!")</f>
        <v>#REF!</v>
      </c>
      <c r="AU497" s="6" t="str">
        <f ca="1">IFERROR(__xludf.DUMMYFUNCTION("SWITCH(IF(A497 = ""Practice"", H497, FILTER('Items by Team'!D$2:D3410,'Items by Team'!C$2:C3410 = D497,'Items by Team'!B$2:B3410 = B497)), ""Yes"", ""TRUE"", ""No"", ""FALSE"",TRUE, ""TRUE"", FALSE, ""FALSE"")"),"#REF!")</f>
        <v>#REF!</v>
      </c>
      <c r="AV497" s="6">
        <f t="shared" si="21"/>
        <v>0</v>
      </c>
      <c r="AW497" s="6">
        <f t="shared" si="22"/>
        <v>0</v>
      </c>
      <c r="AX497" s="6">
        <f t="shared" si="23"/>
        <v>0</v>
      </c>
      <c r="AY497" s="6">
        <f t="shared" si="24"/>
        <v>0</v>
      </c>
      <c r="AZ497" s="9" t="str">
        <f t="shared" si="25"/>
        <v/>
      </c>
      <c r="BA497" s="6">
        <f t="shared" si="26"/>
        <v>0</v>
      </c>
      <c r="BB497" s="6">
        <f t="shared" si="27"/>
        <v>0</v>
      </c>
      <c r="BC497" s="9" t="str">
        <f t="shared" si="28"/>
        <v/>
      </c>
      <c r="BD497" s="6">
        <f t="shared" si="29"/>
        <v>0</v>
      </c>
      <c r="BE497" s="6">
        <f t="shared" si="30"/>
        <v>0</v>
      </c>
      <c r="BF497" s="9" t="str">
        <f t="shared" si="31"/>
        <v/>
      </c>
      <c r="BG497" s="6">
        <f t="shared" si="32"/>
        <v>0</v>
      </c>
      <c r="BH497" s="6">
        <f t="shared" si="33"/>
        <v>0</v>
      </c>
      <c r="BI497" s="9" t="str">
        <f t="shared" si="34"/>
        <v/>
      </c>
      <c r="BJ497" s="6">
        <f t="shared" si="35"/>
        <v>0</v>
      </c>
      <c r="BK497" s="6">
        <f t="shared" si="36"/>
        <v>0</v>
      </c>
      <c r="BL497" s="6">
        <f t="shared" si="37"/>
        <v>0</v>
      </c>
      <c r="BM497" s="6">
        <f t="shared" si="38"/>
        <v>0</v>
      </c>
      <c r="BN497" s="6">
        <f t="shared" si="39"/>
        <v>0</v>
      </c>
      <c r="BP497" s="6">
        <f t="shared" si="40"/>
        <v>0</v>
      </c>
      <c r="BQ497" s="6" t="b">
        <f ca="1">IFERROR(__xludf.DUMMYFUNCTION("IF(AND(ISERROR(FILTER('Items by Team'!D$2:D3410,'Items by Team'!C$2:C3410 = D497,'Items by Team'!B$2:B3410 = B497)),NOT(A497=""Practice"")),TRUE,FALSE)"),FALSE)</f>
        <v>0</v>
      </c>
      <c r="BR497" s="6">
        <f t="shared" ca="1" si="41"/>
        <v>0</v>
      </c>
    </row>
    <row r="498" spans="1:70">
      <c r="A498" s="6"/>
      <c r="B498" s="6"/>
      <c r="C498" s="6"/>
      <c r="D498" s="6"/>
      <c r="E498" s="6"/>
      <c r="F498" s="6"/>
      <c r="G498" s="6"/>
      <c r="H498" s="6"/>
      <c r="I498" s="6"/>
      <c r="J498" s="6"/>
      <c r="K498" s="6"/>
      <c r="L498" s="6"/>
      <c r="M498" s="6"/>
      <c r="N498" s="6"/>
      <c r="O498" s="6"/>
      <c r="P498" s="6"/>
      <c r="R498" s="6"/>
      <c r="S498" s="6"/>
      <c r="T498" s="6"/>
      <c r="U498" s="6"/>
      <c r="V498" s="6"/>
      <c r="W498" s="6"/>
      <c r="X498" s="6"/>
      <c r="Y498" s="6"/>
      <c r="Z498" s="6"/>
      <c r="AA498" s="6"/>
      <c r="AB498" s="6"/>
      <c r="AD498" s="6"/>
      <c r="AE498" s="6"/>
      <c r="AF498" s="6"/>
      <c r="AG498" s="6"/>
      <c r="AH498" s="6"/>
      <c r="AI498" s="6"/>
      <c r="AK498" s="6"/>
      <c r="AL498" s="6"/>
      <c r="AM498" s="6"/>
      <c r="AN498" s="6"/>
      <c r="AO498" s="6"/>
      <c r="AP498" s="6"/>
      <c r="AQ498" s="6"/>
      <c r="AR498" s="6"/>
      <c r="AS498" s="15"/>
      <c r="AT498" s="6" t="str">
        <f ca="1">IFERROR(__xludf.DUMMYFUNCTION("SWITCH(IF(A498=""Practice"",AN498,FILTER('Items by Team'!E$2:E3410,'Items by Team'!C$2:C3410=D498,B498='Items by Team'!B$2:B3410)),""None"",""No"",""Parked"",""P"",""ShallowCage"",""Sc"",""DeepCage"",""Dc"",""No"",""No"",""P"",""P"",""Sc"",""Sc"",""Dc"","&amp;"""Dc"")"),"#REF!")</f>
        <v>#REF!</v>
      </c>
      <c r="AU498" s="6" t="str">
        <f ca="1">IFERROR(__xludf.DUMMYFUNCTION("SWITCH(IF(A498 = ""Practice"", H498, FILTER('Items by Team'!D$2:D3410,'Items by Team'!C$2:C3410 = D498,'Items by Team'!B$2:B3410 = B498)), ""Yes"", ""TRUE"", ""No"", ""FALSE"",TRUE, ""TRUE"", FALSE, ""FALSE"")"),"#REF!")</f>
        <v>#REF!</v>
      </c>
      <c r="AV498" s="6">
        <f t="shared" si="21"/>
        <v>0</v>
      </c>
      <c r="AW498" s="6">
        <f t="shared" si="22"/>
        <v>0</v>
      </c>
      <c r="AX498" s="6">
        <f t="shared" si="23"/>
        <v>0</v>
      </c>
      <c r="AY498" s="6">
        <f t="shared" si="24"/>
        <v>0</v>
      </c>
      <c r="AZ498" s="9" t="str">
        <f t="shared" si="25"/>
        <v/>
      </c>
      <c r="BA498" s="6">
        <f t="shared" si="26"/>
        <v>0</v>
      </c>
      <c r="BB498" s="6">
        <f t="shared" si="27"/>
        <v>0</v>
      </c>
      <c r="BC498" s="9" t="str">
        <f t="shared" si="28"/>
        <v/>
      </c>
      <c r="BD498" s="6">
        <f t="shared" si="29"/>
        <v>0</v>
      </c>
      <c r="BE498" s="6">
        <f t="shared" si="30"/>
        <v>0</v>
      </c>
      <c r="BF498" s="9" t="str">
        <f t="shared" si="31"/>
        <v/>
      </c>
      <c r="BG498" s="6">
        <f t="shared" si="32"/>
        <v>0</v>
      </c>
      <c r="BH498" s="6">
        <f t="shared" si="33"/>
        <v>0</v>
      </c>
      <c r="BI498" s="9" t="str">
        <f t="shared" si="34"/>
        <v/>
      </c>
      <c r="BJ498" s="6">
        <f t="shared" si="35"/>
        <v>0</v>
      </c>
      <c r="BK498" s="6">
        <f t="shared" si="36"/>
        <v>0</v>
      </c>
      <c r="BL498" s="6">
        <f t="shared" si="37"/>
        <v>0</v>
      </c>
      <c r="BM498" s="6">
        <f t="shared" si="38"/>
        <v>0</v>
      </c>
      <c r="BN498" s="6">
        <f t="shared" si="39"/>
        <v>0</v>
      </c>
      <c r="BP498" s="6">
        <f t="shared" si="40"/>
        <v>0</v>
      </c>
      <c r="BQ498" s="6" t="b">
        <f ca="1">IFERROR(__xludf.DUMMYFUNCTION("IF(AND(ISERROR(FILTER('Items by Team'!D$2:D3410,'Items by Team'!C$2:C3410 = D498,'Items by Team'!B$2:B3410 = B498)),NOT(A498=""Practice"")),TRUE,FALSE)"),FALSE)</f>
        <v>0</v>
      </c>
      <c r="BR498" s="6">
        <f t="shared" ca="1" si="41"/>
        <v>0</v>
      </c>
    </row>
    <row r="499" spans="1:70">
      <c r="A499" s="6"/>
      <c r="B499" s="6"/>
      <c r="C499" s="6"/>
      <c r="D499" s="6"/>
      <c r="E499" s="6"/>
      <c r="F499" s="6"/>
      <c r="G499" s="6"/>
      <c r="H499" s="6"/>
      <c r="I499" s="6"/>
      <c r="J499" s="6"/>
      <c r="K499" s="6"/>
      <c r="L499" s="6"/>
      <c r="M499" s="6"/>
      <c r="N499" s="6"/>
      <c r="O499" s="6"/>
      <c r="P499" s="6"/>
      <c r="R499" s="6"/>
      <c r="S499" s="6"/>
      <c r="T499" s="6"/>
      <c r="U499" s="6"/>
      <c r="V499" s="6"/>
      <c r="W499" s="6"/>
      <c r="X499" s="6"/>
      <c r="Y499" s="6"/>
      <c r="Z499" s="6"/>
      <c r="AA499" s="6"/>
      <c r="AB499" s="6"/>
      <c r="AD499" s="6"/>
      <c r="AE499" s="6"/>
      <c r="AF499" s="6"/>
      <c r="AG499" s="6"/>
      <c r="AH499" s="6"/>
      <c r="AI499" s="6"/>
      <c r="AK499" s="6"/>
      <c r="AL499" s="6"/>
      <c r="AM499" s="6"/>
      <c r="AN499" s="6"/>
      <c r="AO499" s="6"/>
      <c r="AP499" s="6"/>
      <c r="AQ499" s="6"/>
      <c r="AR499" s="6"/>
      <c r="AS499" s="15"/>
      <c r="AT499" s="6" t="str">
        <f ca="1">IFERROR(__xludf.DUMMYFUNCTION("SWITCH(IF(A499=""Practice"",AN499,FILTER('Items by Team'!E$2:E3410,'Items by Team'!C$2:C3410=D499,B499='Items by Team'!B$2:B3410)),""None"",""No"",""Parked"",""P"",""ShallowCage"",""Sc"",""DeepCage"",""Dc"",""No"",""No"",""P"",""P"",""Sc"",""Sc"",""Dc"","&amp;"""Dc"")"),"#REF!")</f>
        <v>#REF!</v>
      </c>
      <c r="AU499" s="6" t="str">
        <f ca="1">IFERROR(__xludf.DUMMYFUNCTION("SWITCH(IF(A499 = ""Practice"", H499, FILTER('Items by Team'!D$2:D3410,'Items by Team'!C$2:C3410 = D499,'Items by Team'!B$2:B3410 = B499)), ""Yes"", ""TRUE"", ""No"", ""FALSE"",TRUE, ""TRUE"", FALSE, ""FALSE"")"),"#REF!")</f>
        <v>#REF!</v>
      </c>
      <c r="AV499" s="6">
        <f t="shared" si="21"/>
        <v>0</v>
      </c>
      <c r="AW499" s="6">
        <f t="shared" si="22"/>
        <v>0</v>
      </c>
      <c r="AX499" s="6">
        <f t="shared" si="23"/>
        <v>0</v>
      </c>
      <c r="AY499" s="6">
        <f t="shared" si="24"/>
        <v>0</v>
      </c>
      <c r="AZ499" s="9" t="str">
        <f t="shared" si="25"/>
        <v/>
      </c>
      <c r="BA499" s="6">
        <f t="shared" si="26"/>
        <v>0</v>
      </c>
      <c r="BB499" s="6">
        <f t="shared" si="27"/>
        <v>0</v>
      </c>
      <c r="BC499" s="9" t="str">
        <f t="shared" si="28"/>
        <v/>
      </c>
      <c r="BD499" s="6">
        <f t="shared" si="29"/>
        <v>0</v>
      </c>
      <c r="BE499" s="6">
        <f t="shared" si="30"/>
        <v>0</v>
      </c>
      <c r="BF499" s="9" t="str">
        <f t="shared" si="31"/>
        <v/>
      </c>
      <c r="BG499" s="6">
        <f t="shared" si="32"/>
        <v>0</v>
      </c>
      <c r="BH499" s="6">
        <f t="shared" si="33"/>
        <v>0</v>
      </c>
      <c r="BI499" s="9" t="str">
        <f t="shared" si="34"/>
        <v/>
      </c>
      <c r="BJ499" s="6">
        <f t="shared" si="35"/>
        <v>0</v>
      </c>
      <c r="BK499" s="6">
        <f t="shared" si="36"/>
        <v>0</v>
      </c>
      <c r="BL499" s="6">
        <f t="shared" si="37"/>
        <v>0</v>
      </c>
      <c r="BM499" s="6">
        <f t="shared" si="38"/>
        <v>0</v>
      </c>
      <c r="BN499" s="6">
        <f t="shared" si="39"/>
        <v>0</v>
      </c>
      <c r="BP499" s="6">
        <f t="shared" si="40"/>
        <v>0</v>
      </c>
      <c r="BQ499" s="6" t="b">
        <f ca="1">IFERROR(__xludf.DUMMYFUNCTION("IF(AND(ISERROR(FILTER('Items by Team'!D$2:D3410,'Items by Team'!C$2:C3410 = D499,'Items by Team'!B$2:B3410 = B499)),NOT(A499=""Practice"")),TRUE,FALSE)"),FALSE)</f>
        <v>0</v>
      </c>
      <c r="BR499" s="6">
        <f t="shared" ca="1" si="41"/>
        <v>0</v>
      </c>
    </row>
    <row r="500" spans="1:70">
      <c r="A500" s="6"/>
      <c r="B500" s="6"/>
      <c r="C500" s="6"/>
      <c r="D500" s="6"/>
      <c r="E500" s="6"/>
      <c r="F500" s="6"/>
      <c r="G500" s="6"/>
      <c r="H500" s="6"/>
      <c r="I500" s="6"/>
      <c r="J500" s="6"/>
      <c r="K500" s="6"/>
      <c r="L500" s="6"/>
      <c r="M500" s="6"/>
      <c r="N500" s="6"/>
      <c r="O500" s="6"/>
      <c r="P500" s="6"/>
      <c r="R500" s="6"/>
      <c r="S500" s="6"/>
      <c r="T500" s="6"/>
      <c r="U500" s="6"/>
      <c r="V500" s="6"/>
      <c r="W500" s="6"/>
      <c r="X500" s="6"/>
      <c r="Y500" s="6"/>
      <c r="Z500" s="6"/>
      <c r="AA500" s="6"/>
      <c r="AB500" s="6"/>
      <c r="AD500" s="6"/>
      <c r="AE500" s="6"/>
      <c r="AF500" s="6"/>
      <c r="AG500" s="6"/>
      <c r="AH500" s="6"/>
      <c r="AI500" s="6"/>
      <c r="AK500" s="6"/>
      <c r="AL500" s="6"/>
      <c r="AM500" s="6"/>
      <c r="AN500" s="6"/>
      <c r="AO500" s="6"/>
      <c r="AP500" s="6"/>
      <c r="AQ500" s="6"/>
      <c r="AR500" s="6"/>
      <c r="AS500" s="15"/>
      <c r="AT500" s="6" t="str">
        <f ca="1">IFERROR(__xludf.DUMMYFUNCTION("SWITCH(IF(A500=""Practice"",AN500,FILTER('Items by Team'!E$2:E3410,'Items by Team'!C$2:C3410=D500,B500='Items by Team'!B$2:B3410)),""None"",""No"",""Parked"",""P"",""ShallowCage"",""Sc"",""DeepCage"",""Dc"",""No"",""No"",""P"",""P"",""Sc"",""Sc"",""Dc"","&amp;"""Dc"")"),"#REF!")</f>
        <v>#REF!</v>
      </c>
      <c r="AU500" s="6" t="str">
        <f ca="1">IFERROR(__xludf.DUMMYFUNCTION("SWITCH(IF(A500 = ""Practice"", H500, FILTER('Items by Team'!D$2:D3410,'Items by Team'!C$2:C3410 = D500,'Items by Team'!B$2:B3410 = B500)), ""Yes"", ""TRUE"", ""No"", ""FALSE"",TRUE, ""TRUE"", FALSE, ""FALSE"")"),"#REF!")</f>
        <v>#REF!</v>
      </c>
      <c r="AV500" s="6">
        <f t="shared" si="21"/>
        <v>0</v>
      </c>
      <c r="AW500" s="6">
        <f t="shared" si="22"/>
        <v>0</v>
      </c>
      <c r="AX500" s="6">
        <f t="shared" si="23"/>
        <v>0</v>
      </c>
      <c r="AY500" s="6">
        <f t="shared" si="24"/>
        <v>0</v>
      </c>
      <c r="AZ500" s="9" t="str">
        <f t="shared" si="25"/>
        <v/>
      </c>
      <c r="BA500" s="6">
        <f t="shared" si="26"/>
        <v>0</v>
      </c>
      <c r="BB500" s="6">
        <f t="shared" si="27"/>
        <v>0</v>
      </c>
      <c r="BC500" s="9" t="str">
        <f t="shared" si="28"/>
        <v/>
      </c>
      <c r="BD500" s="6">
        <f t="shared" si="29"/>
        <v>0</v>
      </c>
      <c r="BE500" s="6">
        <f t="shared" si="30"/>
        <v>0</v>
      </c>
      <c r="BF500" s="9" t="str">
        <f t="shared" si="31"/>
        <v/>
      </c>
      <c r="BG500" s="6">
        <f t="shared" si="32"/>
        <v>0</v>
      </c>
      <c r="BH500" s="6">
        <f t="shared" si="33"/>
        <v>0</v>
      </c>
      <c r="BI500" s="9" t="str">
        <f t="shared" si="34"/>
        <v/>
      </c>
      <c r="BJ500" s="6">
        <f t="shared" si="35"/>
        <v>0</v>
      </c>
      <c r="BK500" s="6">
        <f t="shared" si="36"/>
        <v>0</v>
      </c>
      <c r="BL500" s="6">
        <f t="shared" si="37"/>
        <v>0</v>
      </c>
      <c r="BM500" s="6">
        <f t="shared" si="38"/>
        <v>0</v>
      </c>
      <c r="BN500" s="6">
        <f t="shared" si="39"/>
        <v>0</v>
      </c>
      <c r="BP500" s="6">
        <f t="shared" si="40"/>
        <v>0</v>
      </c>
      <c r="BQ500" s="6" t="b">
        <f ca="1">IFERROR(__xludf.DUMMYFUNCTION("IF(AND(ISERROR(FILTER('Items by Team'!D$2:D3410,'Items by Team'!C$2:C3410 = D500,'Items by Team'!B$2:B3410 = B500)),NOT(A500=""Practice"")),TRUE,FALSE)"),FALSE)</f>
        <v>0</v>
      </c>
      <c r="BR500" s="6">
        <f t="shared" ca="1" si="41"/>
        <v>0</v>
      </c>
    </row>
    <row r="501" spans="1:70">
      <c r="A501" s="6"/>
      <c r="B501" s="6"/>
      <c r="C501" s="6"/>
      <c r="D501" s="6"/>
      <c r="E501" s="6"/>
      <c r="F501" s="6"/>
      <c r="G501" s="6"/>
      <c r="H501" s="6"/>
      <c r="I501" s="6"/>
      <c r="J501" s="6"/>
      <c r="K501" s="6"/>
      <c r="L501" s="6"/>
      <c r="M501" s="6"/>
      <c r="N501" s="6"/>
      <c r="O501" s="6"/>
      <c r="P501" s="6"/>
      <c r="R501" s="6"/>
      <c r="S501" s="6"/>
      <c r="T501" s="6"/>
      <c r="U501" s="6"/>
      <c r="V501" s="6"/>
      <c r="W501" s="6"/>
      <c r="X501" s="6"/>
      <c r="Y501" s="6"/>
      <c r="Z501" s="6"/>
      <c r="AA501" s="6"/>
      <c r="AB501" s="6"/>
      <c r="AD501" s="6"/>
      <c r="AE501" s="6"/>
      <c r="AF501" s="6"/>
      <c r="AG501" s="6"/>
      <c r="AH501" s="6"/>
      <c r="AI501" s="6"/>
      <c r="AK501" s="6"/>
      <c r="AL501" s="6"/>
      <c r="AM501" s="6"/>
      <c r="AN501" s="6"/>
      <c r="AO501" s="6"/>
      <c r="AP501" s="6"/>
      <c r="AQ501" s="6"/>
      <c r="AR501" s="6"/>
      <c r="AS501" s="15"/>
      <c r="AT501" s="6" t="str">
        <f ca="1">IFERROR(__xludf.DUMMYFUNCTION("SWITCH(IF(A501=""Practice"",AN501,FILTER('Items by Team'!E$2:E3410,'Items by Team'!C$2:C3410=D501,B501='Items by Team'!B$2:B3410)),""None"",""No"",""Parked"",""P"",""ShallowCage"",""Sc"",""DeepCage"",""Dc"",""No"",""No"",""P"",""P"",""Sc"",""Sc"",""Dc"","&amp;"""Dc"")"),"#REF!")</f>
        <v>#REF!</v>
      </c>
      <c r="AU501" s="6" t="str">
        <f ca="1">IFERROR(__xludf.DUMMYFUNCTION("SWITCH(IF(A501 = ""Practice"", H501, FILTER('Items by Team'!D$2:D3410,'Items by Team'!C$2:C3410 = D501,'Items by Team'!B$2:B3410 = B501)), ""Yes"", ""TRUE"", ""No"", ""FALSE"",TRUE, ""TRUE"", FALSE, ""FALSE"")"),"#REF!")</f>
        <v>#REF!</v>
      </c>
      <c r="AV501" s="6">
        <f t="shared" si="21"/>
        <v>0</v>
      </c>
      <c r="AW501" s="6">
        <f t="shared" si="22"/>
        <v>0</v>
      </c>
      <c r="AX501" s="6">
        <f t="shared" si="23"/>
        <v>0</v>
      </c>
      <c r="AY501" s="6">
        <f t="shared" si="24"/>
        <v>0</v>
      </c>
      <c r="AZ501" s="9" t="str">
        <f t="shared" si="25"/>
        <v/>
      </c>
      <c r="BA501" s="6">
        <f t="shared" si="26"/>
        <v>0</v>
      </c>
      <c r="BB501" s="6">
        <f t="shared" si="27"/>
        <v>0</v>
      </c>
      <c r="BC501" s="9" t="str">
        <f t="shared" si="28"/>
        <v/>
      </c>
      <c r="BD501" s="6">
        <f t="shared" si="29"/>
        <v>0</v>
      </c>
      <c r="BE501" s="6">
        <f t="shared" si="30"/>
        <v>0</v>
      </c>
      <c r="BF501" s="9" t="str">
        <f t="shared" si="31"/>
        <v/>
      </c>
      <c r="BG501" s="6">
        <f t="shared" si="32"/>
        <v>0</v>
      </c>
      <c r="BH501" s="6">
        <f t="shared" si="33"/>
        <v>0</v>
      </c>
      <c r="BI501" s="9" t="str">
        <f t="shared" si="34"/>
        <v/>
      </c>
      <c r="BJ501" s="6">
        <f t="shared" si="35"/>
        <v>0</v>
      </c>
      <c r="BK501" s="6">
        <f t="shared" si="36"/>
        <v>0</v>
      </c>
      <c r="BL501" s="6">
        <f t="shared" si="37"/>
        <v>0</v>
      </c>
      <c r="BM501" s="6">
        <f t="shared" si="38"/>
        <v>0</v>
      </c>
      <c r="BN501" s="6">
        <f t="shared" si="39"/>
        <v>0</v>
      </c>
      <c r="BP501" s="6">
        <f t="shared" si="40"/>
        <v>0</v>
      </c>
      <c r="BQ501" s="6" t="b">
        <f ca="1">IFERROR(__xludf.DUMMYFUNCTION("IF(AND(ISERROR(FILTER('Items by Team'!D$2:D3410,'Items by Team'!C$2:C3410 = D501,'Items by Team'!B$2:B3410 = B501)),NOT(A501=""Practice"")),TRUE,FALSE)"),FALSE)</f>
        <v>0</v>
      </c>
      <c r="BR501" s="6">
        <f t="shared" ca="1" si="41"/>
        <v>0</v>
      </c>
    </row>
    <row r="502" spans="1:70">
      <c r="A502" s="6"/>
      <c r="B502" s="6"/>
      <c r="C502" s="6"/>
      <c r="D502" s="6"/>
      <c r="E502" s="6"/>
      <c r="F502" s="6"/>
      <c r="G502" s="6"/>
      <c r="H502" s="6"/>
      <c r="I502" s="6"/>
      <c r="J502" s="6"/>
      <c r="K502" s="6"/>
      <c r="L502" s="6"/>
      <c r="M502" s="6"/>
      <c r="N502" s="6"/>
      <c r="O502" s="6"/>
      <c r="P502" s="6"/>
      <c r="R502" s="6"/>
      <c r="S502" s="6"/>
      <c r="T502" s="6"/>
      <c r="U502" s="6"/>
      <c r="V502" s="6"/>
      <c r="W502" s="6"/>
      <c r="X502" s="6"/>
      <c r="Y502" s="6"/>
      <c r="Z502" s="6"/>
      <c r="AA502" s="6"/>
      <c r="AB502" s="6"/>
      <c r="AD502" s="6"/>
      <c r="AE502" s="6"/>
      <c r="AF502" s="6"/>
      <c r="AG502" s="6"/>
      <c r="AH502" s="6"/>
      <c r="AI502" s="6"/>
      <c r="AK502" s="6"/>
      <c r="AL502" s="6"/>
      <c r="AM502" s="6"/>
      <c r="AN502" s="6"/>
      <c r="AO502" s="6"/>
      <c r="AP502" s="6"/>
      <c r="AQ502" s="6"/>
      <c r="AR502" s="6"/>
      <c r="AS502" s="15"/>
      <c r="AT502" s="6" t="str">
        <f ca="1">IFERROR(__xludf.DUMMYFUNCTION("SWITCH(IF(A502=""Practice"",AN502,FILTER('Items by Team'!E$2:E3410,'Items by Team'!C$2:C3410=D502,B502='Items by Team'!B$2:B3410)),""None"",""No"",""Parked"",""P"",""ShallowCage"",""Sc"",""DeepCage"",""Dc"",""No"",""No"",""P"",""P"",""Sc"",""Sc"",""Dc"","&amp;"""Dc"")"),"#REF!")</f>
        <v>#REF!</v>
      </c>
      <c r="AU502" s="6" t="str">
        <f ca="1">IFERROR(__xludf.DUMMYFUNCTION("SWITCH(IF(A502 = ""Practice"", H502, FILTER('Items by Team'!D$2:D3410,'Items by Team'!C$2:C3410 = D502,'Items by Team'!B$2:B3410 = B502)), ""Yes"", ""TRUE"", ""No"", ""FALSE"",TRUE, ""TRUE"", FALSE, ""FALSE"")"),"#REF!")</f>
        <v>#REF!</v>
      </c>
      <c r="AV502" s="6">
        <f t="shared" si="21"/>
        <v>0</v>
      </c>
      <c r="AW502" s="6">
        <f t="shared" si="22"/>
        <v>0</v>
      </c>
      <c r="AX502" s="6">
        <f t="shared" si="23"/>
        <v>0</v>
      </c>
      <c r="AY502" s="6">
        <f t="shared" si="24"/>
        <v>0</v>
      </c>
      <c r="AZ502" s="9" t="str">
        <f t="shared" si="25"/>
        <v/>
      </c>
      <c r="BA502" s="6">
        <f t="shared" si="26"/>
        <v>0</v>
      </c>
      <c r="BB502" s="6">
        <f t="shared" si="27"/>
        <v>0</v>
      </c>
      <c r="BC502" s="9" t="str">
        <f t="shared" si="28"/>
        <v/>
      </c>
      <c r="BD502" s="6">
        <f t="shared" si="29"/>
        <v>0</v>
      </c>
      <c r="BE502" s="6">
        <f t="shared" si="30"/>
        <v>0</v>
      </c>
      <c r="BF502" s="9" t="str">
        <f t="shared" si="31"/>
        <v/>
      </c>
      <c r="BG502" s="6">
        <f t="shared" si="32"/>
        <v>0</v>
      </c>
      <c r="BH502" s="6">
        <f t="shared" si="33"/>
        <v>0</v>
      </c>
      <c r="BI502" s="9" t="str">
        <f t="shared" si="34"/>
        <v/>
      </c>
      <c r="BJ502" s="6">
        <f t="shared" si="35"/>
        <v>0</v>
      </c>
      <c r="BK502" s="6">
        <f t="shared" si="36"/>
        <v>0</v>
      </c>
      <c r="BL502" s="6">
        <f t="shared" si="37"/>
        <v>0</v>
      </c>
      <c r="BM502" s="6">
        <f t="shared" si="38"/>
        <v>0</v>
      </c>
      <c r="BN502" s="6">
        <f t="shared" si="39"/>
        <v>0</v>
      </c>
      <c r="BP502" s="6">
        <f t="shared" si="40"/>
        <v>0</v>
      </c>
      <c r="BQ502" s="6" t="b">
        <f ca="1">IFERROR(__xludf.DUMMYFUNCTION("IF(AND(ISERROR(FILTER('Items by Team'!D$2:D3410,'Items by Team'!C$2:C3410 = D502,'Items by Team'!B$2:B3410 = B502)),NOT(A502=""Practice"")),TRUE,FALSE)"),FALSE)</f>
        <v>0</v>
      </c>
      <c r="BR502" s="6">
        <f t="shared" ca="1" si="41"/>
        <v>0</v>
      </c>
    </row>
    <row r="503" spans="1:70">
      <c r="A503" s="6"/>
      <c r="B503" s="6"/>
      <c r="C503" s="6"/>
      <c r="D503" s="6"/>
      <c r="E503" s="6"/>
      <c r="F503" s="6"/>
      <c r="G503" s="6"/>
      <c r="H503" s="6"/>
      <c r="I503" s="6"/>
      <c r="J503" s="6"/>
      <c r="K503" s="6"/>
      <c r="L503" s="6"/>
      <c r="M503" s="6"/>
      <c r="N503" s="6"/>
      <c r="O503" s="6"/>
      <c r="P503" s="6"/>
      <c r="R503" s="6"/>
      <c r="S503" s="6"/>
      <c r="T503" s="6"/>
      <c r="U503" s="6"/>
      <c r="V503" s="6"/>
      <c r="W503" s="6"/>
      <c r="X503" s="6"/>
      <c r="Y503" s="6"/>
      <c r="Z503" s="6"/>
      <c r="AA503" s="6"/>
      <c r="AB503" s="6"/>
      <c r="AD503" s="6"/>
      <c r="AE503" s="6"/>
      <c r="AF503" s="6"/>
      <c r="AG503" s="6"/>
      <c r="AH503" s="6"/>
      <c r="AI503" s="6"/>
      <c r="AK503" s="6"/>
      <c r="AL503" s="6"/>
      <c r="AM503" s="6"/>
      <c r="AN503" s="6"/>
      <c r="AO503" s="6"/>
      <c r="AP503" s="6"/>
      <c r="AQ503" s="6"/>
      <c r="AR503" s="6"/>
      <c r="AS503" s="15"/>
      <c r="AT503" s="6" t="str">
        <f ca="1">IFERROR(__xludf.DUMMYFUNCTION("SWITCH(IF(A503=""Practice"",AN503,FILTER('Items by Team'!E$2:E3410,'Items by Team'!C$2:C3410=D503,B503='Items by Team'!B$2:B3410)),""None"",""No"",""Parked"",""P"",""ShallowCage"",""Sc"",""DeepCage"",""Dc"",""No"",""No"",""P"",""P"",""Sc"",""Sc"",""Dc"","&amp;"""Dc"")"),"#REF!")</f>
        <v>#REF!</v>
      </c>
      <c r="AU503" s="6" t="str">
        <f ca="1">IFERROR(__xludf.DUMMYFUNCTION("SWITCH(IF(A503 = ""Practice"", H503, FILTER('Items by Team'!D$2:D3410,'Items by Team'!C$2:C3410 = D503,'Items by Team'!B$2:B3410 = B503)), ""Yes"", ""TRUE"", ""No"", ""FALSE"",TRUE, ""TRUE"", FALSE, ""FALSE"")"),"#REF!")</f>
        <v>#REF!</v>
      </c>
      <c r="AV503" s="6">
        <f t="shared" si="21"/>
        <v>0</v>
      </c>
      <c r="AW503" s="6">
        <f t="shared" si="22"/>
        <v>0</v>
      </c>
      <c r="AX503" s="6">
        <f t="shared" si="23"/>
        <v>0</v>
      </c>
      <c r="AY503" s="6">
        <f t="shared" si="24"/>
        <v>0</v>
      </c>
      <c r="AZ503" s="9" t="str">
        <f t="shared" si="25"/>
        <v/>
      </c>
      <c r="BA503" s="6">
        <f t="shared" si="26"/>
        <v>0</v>
      </c>
      <c r="BB503" s="6">
        <f t="shared" si="27"/>
        <v>0</v>
      </c>
      <c r="BC503" s="9" t="str">
        <f t="shared" si="28"/>
        <v/>
      </c>
      <c r="BD503" s="6">
        <f t="shared" si="29"/>
        <v>0</v>
      </c>
      <c r="BE503" s="6">
        <f t="shared" si="30"/>
        <v>0</v>
      </c>
      <c r="BF503" s="9" t="str">
        <f t="shared" si="31"/>
        <v/>
      </c>
      <c r="BG503" s="6">
        <f t="shared" si="32"/>
        <v>0</v>
      </c>
      <c r="BH503" s="6">
        <f t="shared" si="33"/>
        <v>0</v>
      </c>
      <c r="BI503" s="9" t="str">
        <f t="shared" si="34"/>
        <v/>
      </c>
      <c r="BJ503" s="6">
        <f t="shared" si="35"/>
        <v>0</v>
      </c>
      <c r="BK503" s="6">
        <f t="shared" si="36"/>
        <v>0</v>
      </c>
      <c r="BL503" s="6">
        <f t="shared" si="37"/>
        <v>0</v>
      </c>
      <c r="BM503" s="6">
        <f t="shared" si="38"/>
        <v>0</v>
      </c>
      <c r="BN503" s="6">
        <f t="shared" si="39"/>
        <v>0</v>
      </c>
      <c r="BP503" s="6">
        <f t="shared" si="40"/>
        <v>0</v>
      </c>
      <c r="BQ503" s="6" t="b">
        <f ca="1">IFERROR(__xludf.DUMMYFUNCTION("IF(AND(ISERROR(FILTER('Items by Team'!D$2:D3410,'Items by Team'!C$2:C3410 = D503,'Items by Team'!B$2:B3410 = B503)),NOT(A503=""Practice"")),TRUE,FALSE)"),FALSE)</f>
        <v>0</v>
      </c>
      <c r="BR503" s="6">
        <f t="shared" ca="1" si="41"/>
        <v>0</v>
      </c>
    </row>
    <row r="504" spans="1:70">
      <c r="A504" s="6"/>
      <c r="B504" s="6"/>
      <c r="C504" s="6"/>
      <c r="D504" s="6"/>
      <c r="E504" s="6"/>
      <c r="F504" s="6"/>
      <c r="G504" s="6"/>
      <c r="H504" s="6"/>
      <c r="I504" s="6"/>
      <c r="J504" s="6"/>
      <c r="K504" s="6"/>
      <c r="L504" s="6"/>
      <c r="M504" s="6"/>
      <c r="N504" s="6"/>
      <c r="O504" s="6"/>
      <c r="P504" s="6"/>
      <c r="R504" s="6"/>
      <c r="S504" s="6"/>
      <c r="T504" s="6"/>
      <c r="U504" s="6"/>
      <c r="V504" s="6"/>
      <c r="W504" s="6"/>
      <c r="X504" s="6"/>
      <c r="Y504" s="6"/>
      <c r="Z504" s="6"/>
      <c r="AA504" s="6"/>
      <c r="AB504" s="6"/>
      <c r="AD504" s="6"/>
      <c r="AE504" s="6"/>
      <c r="AF504" s="6"/>
      <c r="AG504" s="6"/>
      <c r="AH504" s="6"/>
      <c r="AI504" s="6"/>
      <c r="AK504" s="6"/>
      <c r="AL504" s="6"/>
      <c r="AM504" s="6"/>
      <c r="AN504" s="6"/>
      <c r="AO504" s="6"/>
      <c r="AP504" s="6"/>
      <c r="AQ504" s="6"/>
      <c r="AR504" s="6"/>
      <c r="AS504" s="15"/>
      <c r="AT504" s="6" t="str">
        <f ca="1">IFERROR(__xludf.DUMMYFUNCTION("SWITCH(IF(A504=""Practice"",AN504,FILTER('Items by Team'!E$2:E3410,'Items by Team'!C$2:C3410=D504,B504='Items by Team'!B$2:B3410)),""None"",""No"",""Parked"",""P"",""ShallowCage"",""Sc"",""DeepCage"",""Dc"",""No"",""No"",""P"",""P"",""Sc"",""Sc"",""Dc"","&amp;"""Dc"")"),"#REF!")</f>
        <v>#REF!</v>
      </c>
      <c r="AU504" s="6" t="str">
        <f ca="1">IFERROR(__xludf.DUMMYFUNCTION("SWITCH(IF(A504 = ""Practice"", H504, FILTER('Items by Team'!D$2:D3410,'Items by Team'!C$2:C3410 = D504,'Items by Team'!B$2:B3410 = B504)), ""Yes"", ""TRUE"", ""No"", ""FALSE"",TRUE, ""TRUE"", FALSE, ""FALSE"")"),"#REF!")</f>
        <v>#REF!</v>
      </c>
      <c r="AV504" s="6">
        <f t="shared" si="21"/>
        <v>0</v>
      </c>
      <c r="AW504" s="6">
        <f t="shared" si="22"/>
        <v>0</v>
      </c>
      <c r="AX504" s="6">
        <f t="shared" si="23"/>
        <v>0</v>
      </c>
      <c r="AY504" s="6">
        <f t="shared" si="24"/>
        <v>0</v>
      </c>
      <c r="AZ504" s="9" t="str">
        <f t="shared" si="25"/>
        <v/>
      </c>
      <c r="BA504" s="6">
        <f t="shared" si="26"/>
        <v>0</v>
      </c>
      <c r="BB504" s="6">
        <f t="shared" si="27"/>
        <v>0</v>
      </c>
      <c r="BC504" s="9" t="str">
        <f t="shared" si="28"/>
        <v/>
      </c>
      <c r="BD504" s="6">
        <f t="shared" si="29"/>
        <v>0</v>
      </c>
      <c r="BE504" s="6">
        <f t="shared" si="30"/>
        <v>0</v>
      </c>
      <c r="BF504" s="9" t="str">
        <f t="shared" si="31"/>
        <v/>
      </c>
      <c r="BG504" s="6">
        <f t="shared" si="32"/>
        <v>0</v>
      </c>
      <c r="BH504" s="6">
        <f t="shared" si="33"/>
        <v>0</v>
      </c>
      <c r="BI504" s="9" t="str">
        <f t="shared" si="34"/>
        <v/>
      </c>
      <c r="BJ504" s="6">
        <f t="shared" si="35"/>
        <v>0</v>
      </c>
      <c r="BK504" s="6">
        <f t="shared" si="36"/>
        <v>0</v>
      </c>
      <c r="BL504" s="6">
        <f t="shared" si="37"/>
        <v>0</v>
      </c>
      <c r="BM504" s="6">
        <f t="shared" si="38"/>
        <v>0</v>
      </c>
      <c r="BN504" s="6">
        <f t="shared" si="39"/>
        <v>0</v>
      </c>
      <c r="BP504" s="6">
        <f t="shared" si="40"/>
        <v>0</v>
      </c>
      <c r="BQ504" s="6" t="b">
        <f ca="1">IFERROR(__xludf.DUMMYFUNCTION("IF(AND(ISERROR(FILTER('Items by Team'!D$2:D3410,'Items by Team'!C$2:C3410 = D504,'Items by Team'!B$2:B3410 = B504)),NOT(A504=""Practice"")),TRUE,FALSE)"),FALSE)</f>
        <v>0</v>
      </c>
      <c r="BR504" s="6">
        <f t="shared" ca="1" si="41"/>
        <v>0</v>
      </c>
    </row>
    <row r="505" spans="1:70">
      <c r="A505" s="6"/>
      <c r="B505" s="6"/>
      <c r="C505" s="6"/>
      <c r="D505" s="6"/>
      <c r="E505" s="6"/>
      <c r="F505" s="6"/>
      <c r="G505" s="6"/>
      <c r="H505" s="6"/>
      <c r="I505" s="6"/>
      <c r="J505" s="6"/>
      <c r="K505" s="6"/>
      <c r="L505" s="6"/>
      <c r="M505" s="6"/>
      <c r="N505" s="6"/>
      <c r="O505" s="6"/>
      <c r="P505" s="6"/>
      <c r="R505" s="6"/>
      <c r="S505" s="6"/>
      <c r="T505" s="6"/>
      <c r="U505" s="6"/>
      <c r="V505" s="6"/>
      <c r="W505" s="6"/>
      <c r="X505" s="6"/>
      <c r="Y505" s="6"/>
      <c r="Z505" s="6"/>
      <c r="AA505" s="6"/>
      <c r="AB505" s="6"/>
      <c r="AD505" s="6"/>
      <c r="AE505" s="6"/>
      <c r="AF505" s="6"/>
      <c r="AG505" s="6"/>
      <c r="AH505" s="6"/>
      <c r="AI505" s="6"/>
      <c r="AK505" s="6"/>
      <c r="AL505" s="6"/>
      <c r="AM505" s="6"/>
      <c r="AN505" s="6"/>
      <c r="AO505" s="6"/>
      <c r="AP505" s="6"/>
      <c r="AQ505" s="6"/>
      <c r="AR505" s="6"/>
      <c r="AS505" s="15"/>
      <c r="AT505" s="6" t="str">
        <f ca="1">IFERROR(__xludf.DUMMYFUNCTION("SWITCH(IF(A505=""Practice"",AN505,FILTER('Items by Team'!E$2:E3410,'Items by Team'!C$2:C3410=D505,B505='Items by Team'!B$2:B3410)),""None"",""No"",""Parked"",""P"",""ShallowCage"",""Sc"",""DeepCage"",""Dc"",""No"",""No"",""P"",""P"",""Sc"",""Sc"",""Dc"","&amp;"""Dc"")"),"#REF!")</f>
        <v>#REF!</v>
      </c>
      <c r="AU505" s="6" t="str">
        <f ca="1">IFERROR(__xludf.DUMMYFUNCTION("SWITCH(IF(A505 = ""Practice"", H505, FILTER('Items by Team'!D$2:D3410,'Items by Team'!C$2:C3410 = D505,'Items by Team'!B$2:B3410 = B505)), ""Yes"", ""TRUE"", ""No"", ""FALSE"",TRUE, ""TRUE"", FALSE, ""FALSE"")"),"#REF!")</f>
        <v>#REF!</v>
      </c>
      <c r="AV505" s="6">
        <f t="shared" si="21"/>
        <v>0</v>
      </c>
      <c r="AW505" s="6">
        <f t="shared" si="22"/>
        <v>0</v>
      </c>
      <c r="AX505" s="6">
        <f t="shared" si="23"/>
        <v>0</v>
      </c>
      <c r="AY505" s="6">
        <f t="shared" si="24"/>
        <v>0</v>
      </c>
      <c r="AZ505" s="9" t="str">
        <f t="shared" si="25"/>
        <v/>
      </c>
      <c r="BA505" s="6">
        <f t="shared" si="26"/>
        <v>0</v>
      </c>
      <c r="BB505" s="6">
        <f t="shared" si="27"/>
        <v>0</v>
      </c>
      <c r="BC505" s="9" t="str">
        <f t="shared" si="28"/>
        <v/>
      </c>
      <c r="BD505" s="6">
        <f t="shared" si="29"/>
        <v>0</v>
      </c>
      <c r="BE505" s="6">
        <f t="shared" si="30"/>
        <v>0</v>
      </c>
      <c r="BF505" s="9" t="str">
        <f t="shared" si="31"/>
        <v/>
      </c>
      <c r="BG505" s="6">
        <f t="shared" si="32"/>
        <v>0</v>
      </c>
      <c r="BH505" s="6">
        <f t="shared" si="33"/>
        <v>0</v>
      </c>
      <c r="BI505" s="9" t="str">
        <f t="shared" si="34"/>
        <v/>
      </c>
      <c r="BJ505" s="6">
        <f t="shared" si="35"/>
        <v>0</v>
      </c>
      <c r="BK505" s="6">
        <f t="shared" si="36"/>
        <v>0</v>
      </c>
      <c r="BL505" s="6">
        <f t="shared" si="37"/>
        <v>0</v>
      </c>
      <c r="BM505" s="6">
        <f t="shared" si="38"/>
        <v>0</v>
      </c>
      <c r="BN505" s="6">
        <f t="shared" si="39"/>
        <v>0</v>
      </c>
      <c r="BP505" s="6">
        <f t="shared" si="40"/>
        <v>0</v>
      </c>
      <c r="BQ505" s="6" t="b">
        <f ca="1">IFERROR(__xludf.DUMMYFUNCTION("IF(AND(ISERROR(FILTER('Items by Team'!D$2:D3410,'Items by Team'!C$2:C3410 = D505,'Items by Team'!B$2:B3410 = B505)),NOT(A505=""Practice"")),TRUE,FALSE)"),FALSE)</f>
        <v>0</v>
      </c>
      <c r="BR505" s="6">
        <f t="shared" ca="1" si="41"/>
        <v>0</v>
      </c>
    </row>
    <row r="506" spans="1:70">
      <c r="A506" s="6"/>
      <c r="B506" s="6"/>
      <c r="C506" s="6"/>
      <c r="D506" s="6"/>
      <c r="E506" s="6"/>
      <c r="F506" s="6"/>
      <c r="G506" s="6"/>
      <c r="H506" s="6"/>
      <c r="I506" s="6"/>
      <c r="J506" s="6"/>
      <c r="K506" s="6"/>
      <c r="L506" s="6"/>
      <c r="M506" s="6"/>
      <c r="N506" s="6"/>
      <c r="O506" s="6"/>
      <c r="P506" s="6"/>
      <c r="R506" s="6"/>
      <c r="S506" s="6"/>
      <c r="T506" s="6"/>
      <c r="U506" s="6"/>
      <c r="V506" s="6"/>
      <c r="W506" s="6"/>
      <c r="X506" s="6"/>
      <c r="Y506" s="6"/>
      <c r="Z506" s="6"/>
      <c r="AA506" s="6"/>
      <c r="AB506" s="6"/>
      <c r="AD506" s="6"/>
      <c r="AE506" s="6"/>
      <c r="AF506" s="6"/>
      <c r="AG506" s="6"/>
      <c r="AH506" s="6"/>
      <c r="AI506" s="6"/>
      <c r="AK506" s="6"/>
      <c r="AL506" s="6"/>
      <c r="AM506" s="6"/>
      <c r="AN506" s="6"/>
      <c r="AO506" s="6"/>
      <c r="AP506" s="6"/>
      <c r="AQ506" s="6"/>
      <c r="AR506" s="6"/>
      <c r="AS506" s="15"/>
      <c r="AT506" s="6" t="str">
        <f ca="1">IFERROR(__xludf.DUMMYFUNCTION("SWITCH(IF(A506=""Practice"",AN506,FILTER('Items by Team'!E$2:E3410,'Items by Team'!C$2:C3410=D506,B506='Items by Team'!B$2:B3410)),""None"",""No"",""Parked"",""P"",""ShallowCage"",""Sc"",""DeepCage"",""Dc"",""No"",""No"",""P"",""P"",""Sc"",""Sc"",""Dc"","&amp;"""Dc"")"),"#REF!")</f>
        <v>#REF!</v>
      </c>
      <c r="AU506" s="6" t="str">
        <f ca="1">IFERROR(__xludf.DUMMYFUNCTION("SWITCH(IF(A506 = ""Practice"", H506, FILTER('Items by Team'!D$2:D3410,'Items by Team'!C$2:C3410 = D506,'Items by Team'!B$2:B3410 = B506)), ""Yes"", ""TRUE"", ""No"", ""FALSE"",TRUE, ""TRUE"", FALSE, ""FALSE"")"),"#REF!")</f>
        <v>#REF!</v>
      </c>
      <c r="AV506" s="6">
        <f t="shared" si="21"/>
        <v>0</v>
      </c>
      <c r="AW506" s="6">
        <f t="shared" si="22"/>
        <v>0</v>
      </c>
      <c r="AX506" s="6">
        <f t="shared" si="23"/>
        <v>0</v>
      </c>
      <c r="AY506" s="6">
        <f t="shared" si="24"/>
        <v>0</v>
      </c>
      <c r="AZ506" s="9" t="str">
        <f t="shared" si="25"/>
        <v/>
      </c>
      <c r="BA506" s="6">
        <f t="shared" si="26"/>
        <v>0</v>
      </c>
      <c r="BB506" s="6">
        <f t="shared" si="27"/>
        <v>0</v>
      </c>
      <c r="BC506" s="9" t="str">
        <f t="shared" si="28"/>
        <v/>
      </c>
      <c r="BD506" s="6">
        <f t="shared" si="29"/>
        <v>0</v>
      </c>
      <c r="BE506" s="6">
        <f t="shared" si="30"/>
        <v>0</v>
      </c>
      <c r="BF506" s="9" t="str">
        <f t="shared" si="31"/>
        <v/>
      </c>
      <c r="BG506" s="6">
        <f t="shared" si="32"/>
        <v>0</v>
      </c>
      <c r="BH506" s="6">
        <f t="shared" si="33"/>
        <v>0</v>
      </c>
      <c r="BI506" s="9" t="str">
        <f t="shared" si="34"/>
        <v/>
      </c>
      <c r="BJ506" s="6">
        <f t="shared" si="35"/>
        <v>0</v>
      </c>
      <c r="BK506" s="6">
        <f t="shared" si="36"/>
        <v>0</v>
      </c>
      <c r="BL506" s="6">
        <f t="shared" si="37"/>
        <v>0</v>
      </c>
      <c r="BM506" s="6">
        <f t="shared" si="38"/>
        <v>0</v>
      </c>
      <c r="BN506" s="6">
        <f t="shared" si="39"/>
        <v>0</v>
      </c>
      <c r="BP506" s="6">
        <f t="shared" si="40"/>
        <v>0</v>
      </c>
      <c r="BQ506" s="6" t="b">
        <f ca="1">IFERROR(__xludf.DUMMYFUNCTION("IF(AND(ISERROR(FILTER('Items by Team'!D$2:D3410,'Items by Team'!C$2:C3410 = D506,'Items by Team'!B$2:B3410 = B506)),NOT(A506=""Practice"")),TRUE,FALSE)"),FALSE)</f>
        <v>0</v>
      </c>
      <c r="BR506" s="6">
        <f t="shared" ca="1" si="41"/>
        <v>0</v>
      </c>
    </row>
    <row r="507" spans="1:70">
      <c r="A507" s="6"/>
      <c r="B507" s="6"/>
      <c r="C507" s="6"/>
      <c r="D507" s="6"/>
      <c r="E507" s="6"/>
      <c r="F507" s="6"/>
      <c r="G507" s="6"/>
      <c r="H507" s="6"/>
      <c r="I507" s="6"/>
      <c r="J507" s="6"/>
      <c r="K507" s="6"/>
      <c r="L507" s="6"/>
      <c r="M507" s="6"/>
      <c r="N507" s="6"/>
      <c r="O507" s="6"/>
      <c r="P507" s="6"/>
      <c r="R507" s="6"/>
      <c r="S507" s="6"/>
      <c r="T507" s="6"/>
      <c r="U507" s="6"/>
      <c r="V507" s="6"/>
      <c r="W507" s="6"/>
      <c r="X507" s="6"/>
      <c r="Y507" s="6"/>
      <c r="Z507" s="6"/>
      <c r="AA507" s="6"/>
      <c r="AB507" s="6"/>
      <c r="AD507" s="6"/>
      <c r="AE507" s="6"/>
      <c r="AF507" s="6"/>
      <c r="AG507" s="6"/>
      <c r="AH507" s="6"/>
      <c r="AI507" s="6"/>
      <c r="AK507" s="6"/>
      <c r="AL507" s="6"/>
      <c r="AM507" s="6"/>
      <c r="AN507" s="6"/>
      <c r="AO507" s="6"/>
      <c r="AP507" s="6"/>
      <c r="AQ507" s="6"/>
      <c r="AR507" s="6"/>
      <c r="AS507" s="15"/>
      <c r="AT507" s="6" t="str">
        <f ca="1">IFERROR(__xludf.DUMMYFUNCTION("SWITCH(IF(A507=""Practice"",AN507,FILTER('Items by Team'!E$2:E3410,'Items by Team'!C$2:C3410=D507,B507='Items by Team'!B$2:B3410)),""None"",""No"",""Parked"",""P"",""ShallowCage"",""Sc"",""DeepCage"",""Dc"",""No"",""No"",""P"",""P"",""Sc"",""Sc"",""Dc"","&amp;"""Dc"")"),"#REF!")</f>
        <v>#REF!</v>
      </c>
      <c r="AU507" s="6" t="str">
        <f ca="1">IFERROR(__xludf.DUMMYFUNCTION("SWITCH(IF(A507 = ""Practice"", H507, FILTER('Items by Team'!D$2:D3410,'Items by Team'!C$2:C3410 = D507,'Items by Team'!B$2:B3410 = B507)), ""Yes"", ""TRUE"", ""No"", ""FALSE"",TRUE, ""TRUE"", FALSE, ""FALSE"")"),"#REF!")</f>
        <v>#REF!</v>
      </c>
      <c r="AV507" s="6">
        <f t="shared" si="21"/>
        <v>0</v>
      </c>
      <c r="AW507" s="6">
        <f t="shared" si="22"/>
        <v>0</v>
      </c>
      <c r="AX507" s="6">
        <f t="shared" si="23"/>
        <v>0</v>
      </c>
      <c r="AY507" s="6">
        <f t="shared" si="24"/>
        <v>0</v>
      </c>
      <c r="AZ507" s="9" t="str">
        <f t="shared" si="25"/>
        <v/>
      </c>
      <c r="BA507" s="6">
        <f t="shared" si="26"/>
        <v>0</v>
      </c>
      <c r="BB507" s="6">
        <f t="shared" si="27"/>
        <v>0</v>
      </c>
      <c r="BC507" s="9" t="str">
        <f t="shared" si="28"/>
        <v/>
      </c>
      <c r="BD507" s="6">
        <f t="shared" si="29"/>
        <v>0</v>
      </c>
      <c r="BE507" s="6">
        <f t="shared" si="30"/>
        <v>0</v>
      </c>
      <c r="BF507" s="9" t="str">
        <f t="shared" si="31"/>
        <v/>
      </c>
      <c r="BG507" s="6">
        <f t="shared" si="32"/>
        <v>0</v>
      </c>
      <c r="BH507" s="6">
        <f t="shared" si="33"/>
        <v>0</v>
      </c>
      <c r="BI507" s="9" t="str">
        <f t="shared" si="34"/>
        <v/>
      </c>
      <c r="BJ507" s="6">
        <f t="shared" si="35"/>
        <v>0</v>
      </c>
      <c r="BK507" s="6">
        <f t="shared" si="36"/>
        <v>0</v>
      </c>
      <c r="BL507" s="6">
        <f t="shared" si="37"/>
        <v>0</v>
      </c>
      <c r="BM507" s="6">
        <f t="shared" si="38"/>
        <v>0</v>
      </c>
      <c r="BN507" s="6">
        <f t="shared" si="39"/>
        <v>0</v>
      </c>
      <c r="BP507" s="6">
        <f t="shared" si="40"/>
        <v>0</v>
      </c>
      <c r="BQ507" s="6" t="b">
        <f ca="1">IFERROR(__xludf.DUMMYFUNCTION("IF(AND(ISERROR(FILTER('Items by Team'!D$2:D3410,'Items by Team'!C$2:C3410 = D507,'Items by Team'!B$2:B3410 = B507)),NOT(A507=""Practice"")),TRUE,FALSE)"),FALSE)</f>
        <v>0</v>
      </c>
      <c r="BR507" s="6">
        <f t="shared" ca="1" si="41"/>
        <v>0</v>
      </c>
    </row>
    <row r="508" spans="1:70">
      <c r="A508" s="6"/>
      <c r="B508" s="6"/>
      <c r="C508" s="6"/>
      <c r="D508" s="6"/>
      <c r="E508" s="6"/>
      <c r="F508" s="6"/>
      <c r="G508" s="6"/>
      <c r="H508" s="6"/>
      <c r="I508" s="6"/>
      <c r="J508" s="6"/>
      <c r="K508" s="6"/>
      <c r="L508" s="6"/>
      <c r="M508" s="6"/>
      <c r="N508" s="6"/>
      <c r="O508" s="6"/>
      <c r="P508" s="6"/>
      <c r="R508" s="6"/>
      <c r="S508" s="6"/>
      <c r="T508" s="6"/>
      <c r="U508" s="6"/>
      <c r="V508" s="6"/>
      <c r="W508" s="6"/>
      <c r="X508" s="6"/>
      <c r="Y508" s="6"/>
      <c r="Z508" s="6"/>
      <c r="AA508" s="6"/>
      <c r="AB508" s="6"/>
      <c r="AD508" s="6"/>
      <c r="AE508" s="6"/>
      <c r="AF508" s="6"/>
      <c r="AG508" s="6"/>
      <c r="AH508" s="6"/>
      <c r="AI508" s="6"/>
      <c r="AK508" s="6"/>
      <c r="AL508" s="6"/>
      <c r="AM508" s="6"/>
      <c r="AN508" s="6"/>
      <c r="AO508" s="6"/>
      <c r="AP508" s="6"/>
      <c r="AQ508" s="6"/>
      <c r="AR508" s="6"/>
      <c r="AS508" s="15"/>
      <c r="AT508" s="6" t="str">
        <f ca="1">IFERROR(__xludf.DUMMYFUNCTION("SWITCH(IF(A508=""Practice"",AN508,FILTER('Items by Team'!E$2:E3410,'Items by Team'!C$2:C3410=D508,B508='Items by Team'!B$2:B3410)),""None"",""No"",""Parked"",""P"",""ShallowCage"",""Sc"",""DeepCage"",""Dc"",""No"",""No"",""P"",""P"",""Sc"",""Sc"",""Dc"","&amp;"""Dc"")"),"#REF!")</f>
        <v>#REF!</v>
      </c>
      <c r="AU508" s="6" t="str">
        <f ca="1">IFERROR(__xludf.DUMMYFUNCTION("SWITCH(IF(A508 = ""Practice"", H508, FILTER('Items by Team'!D$2:D3410,'Items by Team'!C$2:C3410 = D508,'Items by Team'!B$2:B3410 = B508)), ""Yes"", ""TRUE"", ""No"", ""FALSE"",TRUE, ""TRUE"", FALSE, ""FALSE"")"),"#REF!")</f>
        <v>#REF!</v>
      </c>
      <c r="AV508" s="6">
        <f t="shared" si="21"/>
        <v>0</v>
      </c>
      <c r="AW508" s="6">
        <f t="shared" si="22"/>
        <v>0</v>
      </c>
      <c r="AX508" s="6">
        <f t="shared" si="23"/>
        <v>0</v>
      </c>
      <c r="AY508" s="6">
        <f t="shared" si="24"/>
        <v>0</v>
      </c>
      <c r="AZ508" s="9" t="str">
        <f t="shared" si="25"/>
        <v/>
      </c>
      <c r="BA508" s="6">
        <f t="shared" si="26"/>
        <v>0</v>
      </c>
      <c r="BB508" s="6">
        <f t="shared" si="27"/>
        <v>0</v>
      </c>
      <c r="BC508" s="9" t="str">
        <f t="shared" si="28"/>
        <v/>
      </c>
      <c r="BD508" s="6">
        <f t="shared" si="29"/>
        <v>0</v>
      </c>
      <c r="BE508" s="6">
        <f t="shared" si="30"/>
        <v>0</v>
      </c>
      <c r="BF508" s="9" t="str">
        <f t="shared" si="31"/>
        <v/>
      </c>
      <c r="BG508" s="6">
        <f t="shared" si="32"/>
        <v>0</v>
      </c>
      <c r="BH508" s="6">
        <f t="shared" si="33"/>
        <v>0</v>
      </c>
      <c r="BI508" s="9" t="str">
        <f t="shared" si="34"/>
        <v/>
      </c>
      <c r="BJ508" s="6">
        <f t="shared" si="35"/>
        <v>0</v>
      </c>
      <c r="BK508" s="6">
        <f t="shared" si="36"/>
        <v>0</v>
      </c>
      <c r="BL508" s="6">
        <f t="shared" si="37"/>
        <v>0</v>
      </c>
      <c r="BM508" s="6">
        <f t="shared" si="38"/>
        <v>0</v>
      </c>
      <c r="BN508" s="6">
        <f t="shared" si="39"/>
        <v>0</v>
      </c>
      <c r="BP508" s="6">
        <f t="shared" si="40"/>
        <v>0</v>
      </c>
      <c r="BQ508" s="6" t="b">
        <f ca="1">IFERROR(__xludf.DUMMYFUNCTION("IF(AND(ISERROR(FILTER('Items by Team'!D$2:D3410,'Items by Team'!C$2:C3410 = D508,'Items by Team'!B$2:B3410 = B508)),NOT(A508=""Practice"")),TRUE,FALSE)"),FALSE)</f>
        <v>0</v>
      </c>
      <c r="BR508" s="6">
        <f t="shared" ca="1" si="41"/>
        <v>0</v>
      </c>
    </row>
    <row r="509" spans="1:70">
      <c r="A509" s="6"/>
      <c r="B509" s="6"/>
      <c r="C509" s="6"/>
      <c r="D509" s="6"/>
      <c r="E509" s="6"/>
      <c r="F509" s="6"/>
      <c r="G509" s="6"/>
      <c r="H509" s="6"/>
      <c r="I509" s="6"/>
      <c r="J509" s="6"/>
      <c r="K509" s="6"/>
      <c r="L509" s="6"/>
      <c r="M509" s="6"/>
      <c r="N509" s="6"/>
      <c r="O509" s="6"/>
      <c r="P509" s="6"/>
      <c r="R509" s="6"/>
      <c r="S509" s="6"/>
      <c r="T509" s="6"/>
      <c r="U509" s="6"/>
      <c r="V509" s="6"/>
      <c r="W509" s="6"/>
      <c r="X509" s="6"/>
      <c r="Y509" s="6"/>
      <c r="Z509" s="6"/>
      <c r="AA509" s="6"/>
      <c r="AB509" s="6"/>
      <c r="AD509" s="6"/>
      <c r="AE509" s="6"/>
      <c r="AF509" s="6"/>
      <c r="AG509" s="6"/>
      <c r="AH509" s="6"/>
      <c r="AI509" s="6"/>
      <c r="AK509" s="6"/>
      <c r="AL509" s="6"/>
      <c r="AM509" s="6"/>
      <c r="AN509" s="6"/>
      <c r="AO509" s="6"/>
      <c r="AP509" s="6"/>
      <c r="AQ509" s="6"/>
      <c r="AR509" s="6"/>
      <c r="AS509" s="15"/>
      <c r="AT509" s="6" t="str">
        <f ca="1">IFERROR(__xludf.DUMMYFUNCTION("SWITCH(IF(A509=""Practice"",AN509,FILTER('Items by Team'!E$2:E3410,'Items by Team'!C$2:C3410=D509,B509='Items by Team'!B$2:B3410)),""None"",""No"",""Parked"",""P"",""ShallowCage"",""Sc"",""DeepCage"",""Dc"",""No"",""No"",""P"",""P"",""Sc"",""Sc"",""Dc"","&amp;"""Dc"")"),"#REF!")</f>
        <v>#REF!</v>
      </c>
      <c r="AU509" s="6" t="str">
        <f ca="1">IFERROR(__xludf.DUMMYFUNCTION("SWITCH(IF(A509 = ""Practice"", H509, FILTER('Items by Team'!D$2:D3410,'Items by Team'!C$2:C3410 = D509,'Items by Team'!B$2:B3410 = B509)), ""Yes"", ""TRUE"", ""No"", ""FALSE"",TRUE, ""TRUE"", FALSE, ""FALSE"")"),"#REF!")</f>
        <v>#REF!</v>
      </c>
      <c r="AV509" s="6">
        <f t="shared" si="21"/>
        <v>0</v>
      </c>
      <c r="AW509" s="6">
        <f t="shared" si="22"/>
        <v>0</v>
      </c>
      <c r="AX509" s="6">
        <f t="shared" si="23"/>
        <v>0</v>
      </c>
      <c r="AY509" s="6">
        <f t="shared" si="24"/>
        <v>0</v>
      </c>
      <c r="AZ509" s="9" t="str">
        <f t="shared" si="25"/>
        <v/>
      </c>
      <c r="BA509" s="6">
        <f t="shared" si="26"/>
        <v>0</v>
      </c>
      <c r="BB509" s="6">
        <f t="shared" si="27"/>
        <v>0</v>
      </c>
      <c r="BC509" s="9" t="str">
        <f t="shared" si="28"/>
        <v/>
      </c>
      <c r="BD509" s="6">
        <f t="shared" si="29"/>
        <v>0</v>
      </c>
      <c r="BE509" s="6">
        <f t="shared" si="30"/>
        <v>0</v>
      </c>
      <c r="BF509" s="9" t="str">
        <f t="shared" si="31"/>
        <v/>
      </c>
      <c r="BG509" s="6">
        <f t="shared" si="32"/>
        <v>0</v>
      </c>
      <c r="BH509" s="6">
        <f t="shared" si="33"/>
        <v>0</v>
      </c>
      <c r="BI509" s="9" t="str">
        <f t="shared" si="34"/>
        <v/>
      </c>
      <c r="BJ509" s="6">
        <f t="shared" si="35"/>
        <v>0</v>
      </c>
      <c r="BK509" s="6">
        <f t="shared" si="36"/>
        <v>0</v>
      </c>
      <c r="BL509" s="6">
        <f t="shared" si="37"/>
        <v>0</v>
      </c>
      <c r="BM509" s="6">
        <f t="shared" si="38"/>
        <v>0</v>
      </c>
      <c r="BN509" s="6">
        <f t="shared" si="39"/>
        <v>0</v>
      </c>
      <c r="BP509" s="6">
        <f t="shared" si="40"/>
        <v>0</v>
      </c>
      <c r="BQ509" s="6" t="b">
        <f ca="1">IFERROR(__xludf.DUMMYFUNCTION("IF(AND(ISERROR(FILTER('Items by Team'!D$2:D3410,'Items by Team'!C$2:C3410 = D509,'Items by Team'!B$2:B3410 = B509)),NOT(A509=""Practice"")),TRUE,FALSE)"),FALSE)</f>
        <v>0</v>
      </c>
      <c r="BR509" s="6">
        <f t="shared" ca="1" si="41"/>
        <v>0</v>
      </c>
    </row>
    <row r="510" spans="1:70">
      <c r="A510" s="6"/>
      <c r="B510" s="6"/>
      <c r="C510" s="6"/>
      <c r="D510" s="6"/>
      <c r="E510" s="6"/>
      <c r="F510" s="6"/>
      <c r="G510" s="6"/>
      <c r="H510" s="6"/>
      <c r="I510" s="6"/>
      <c r="J510" s="6"/>
      <c r="K510" s="6"/>
      <c r="L510" s="6"/>
      <c r="M510" s="6"/>
      <c r="N510" s="6"/>
      <c r="O510" s="6"/>
      <c r="P510" s="6"/>
      <c r="R510" s="6"/>
      <c r="S510" s="6"/>
      <c r="T510" s="6"/>
      <c r="U510" s="6"/>
      <c r="V510" s="6"/>
      <c r="W510" s="6"/>
      <c r="X510" s="6"/>
      <c r="Y510" s="6"/>
      <c r="Z510" s="6"/>
      <c r="AA510" s="6"/>
      <c r="AB510" s="6"/>
      <c r="AD510" s="6"/>
      <c r="AE510" s="6"/>
      <c r="AF510" s="6"/>
      <c r="AG510" s="6"/>
      <c r="AH510" s="6"/>
      <c r="AI510" s="6"/>
      <c r="AK510" s="6"/>
      <c r="AL510" s="6"/>
      <c r="AM510" s="6"/>
      <c r="AN510" s="6"/>
      <c r="AO510" s="6"/>
      <c r="AP510" s="6"/>
      <c r="AQ510" s="6"/>
      <c r="AR510" s="6"/>
      <c r="AS510" s="15"/>
      <c r="AT510" s="6" t="str">
        <f ca="1">IFERROR(__xludf.DUMMYFUNCTION("SWITCH(IF(A510=""Practice"",AN510,FILTER('Items by Team'!E$2:E3410,'Items by Team'!C$2:C3410=D510,B510='Items by Team'!B$2:B3410)),""None"",""No"",""Parked"",""P"",""ShallowCage"",""Sc"",""DeepCage"",""Dc"",""No"",""No"",""P"",""P"",""Sc"",""Sc"",""Dc"","&amp;"""Dc"")"),"#REF!")</f>
        <v>#REF!</v>
      </c>
      <c r="AU510" s="6" t="str">
        <f ca="1">IFERROR(__xludf.DUMMYFUNCTION("SWITCH(IF(A510 = ""Practice"", H510, FILTER('Items by Team'!D$2:D3410,'Items by Team'!C$2:C3410 = D510,'Items by Team'!B$2:B3410 = B510)), ""Yes"", ""TRUE"", ""No"", ""FALSE"",TRUE, ""TRUE"", FALSE, ""FALSE"")"),"#REF!")</f>
        <v>#REF!</v>
      </c>
      <c r="AV510" s="6">
        <f t="shared" si="21"/>
        <v>0</v>
      </c>
      <c r="AW510" s="6">
        <f t="shared" si="22"/>
        <v>0</v>
      </c>
      <c r="AX510" s="6">
        <f t="shared" si="23"/>
        <v>0</v>
      </c>
      <c r="AY510" s="6">
        <f t="shared" si="24"/>
        <v>0</v>
      </c>
      <c r="AZ510" s="9" t="str">
        <f t="shared" si="25"/>
        <v/>
      </c>
      <c r="BA510" s="6">
        <f t="shared" si="26"/>
        <v>0</v>
      </c>
      <c r="BB510" s="6">
        <f t="shared" si="27"/>
        <v>0</v>
      </c>
      <c r="BC510" s="9" t="str">
        <f t="shared" si="28"/>
        <v/>
      </c>
      <c r="BD510" s="6">
        <f t="shared" si="29"/>
        <v>0</v>
      </c>
      <c r="BE510" s="6">
        <f t="shared" si="30"/>
        <v>0</v>
      </c>
      <c r="BF510" s="9" t="str">
        <f t="shared" si="31"/>
        <v/>
      </c>
      <c r="BG510" s="6">
        <f t="shared" si="32"/>
        <v>0</v>
      </c>
      <c r="BH510" s="6">
        <f t="shared" si="33"/>
        <v>0</v>
      </c>
      <c r="BI510" s="9" t="str">
        <f t="shared" si="34"/>
        <v/>
      </c>
      <c r="BJ510" s="6">
        <f t="shared" si="35"/>
        <v>0</v>
      </c>
      <c r="BK510" s="6">
        <f t="shared" si="36"/>
        <v>0</v>
      </c>
      <c r="BL510" s="6">
        <f t="shared" si="37"/>
        <v>0</v>
      </c>
      <c r="BM510" s="6">
        <f t="shared" si="38"/>
        <v>0</v>
      </c>
      <c r="BN510" s="6">
        <f t="shared" si="39"/>
        <v>0</v>
      </c>
      <c r="BP510" s="6">
        <f t="shared" si="40"/>
        <v>0</v>
      </c>
      <c r="BQ510" s="6" t="b">
        <f ca="1">IFERROR(__xludf.DUMMYFUNCTION("IF(AND(ISERROR(FILTER('Items by Team'!D$2:D3410,'Items by Team'!C$2:C3410 = D510,'Items by Team'!B$2:B3410 = B510)),NOT(A510=""Practice"")),TRUE,FALSE)"),FALSE)</f>
        <v>0</v>
      </c>
      <c r="BR510" s="6">
        <f t="shared" ca="1" si="41"/>
        <v>0</v>
      </c>
    </row>
    <row r="511" spans="1:70">
      <c r="A511" s="6"/>
      <c r="B511" s="6"/>
      <c r="C511" s="6"/>
      <c r="D511" s="6"/>
      <c r="E511" s="6"/>
      <c r="F511" s="6"/>
      <c r="G511" s="6"/>
      <c r="H511" s="6"/>
      <c r="I511" s="6"/>
      <c r="J511" s="6"/>
      <c r="K511" s="6"/>
      <c r="L511" s="6"/>
      <c r="M511" s="6"/>
      <c r="N511" s="6"/>
      <c r="O511" s="6"/>
      <c r="P511" s="6"/>
      <c r="R511" s="6"/>
      <c r="S511" s="6"/>
      <c r="T511" s="6"/>
      <c r="U511" s="6"/>
      <c r="V511" s="6"/>
      <c r="W511" s="6"/>
      <c r="X511" s="6"/>
      <c r="Y511" s="6"/>
      <c r="Z511" s="6"/>
      <c r="AA511" s="6"/>
      <c r="AB511" s="6"/>
      <c r="AD511" s="6"/>
      <c r="AE511" s="6"/>
      <c r="AF511" s="6"/>
      <c r="AG511" s="6"/>
      <c r="AH511" s="6"/>
      <c r="AI511" s="6"/>
      <c r="AK511" s="6"/>
      <c r="AL511" s="6"/>
      <c r="AM511" s="6"/>
      <c r="AN511" s="6"/>
      <c r="AO511" s="6"/>
      <c r="AP511" s="6"/>
      <c r="AQ511" s="6"/>
      <c r="AR511" s="6"/>
      <c r="AS511" s="15"/>
      <c r="AT511" s="6" t="str">
        <f ca="1">IFERROR(__xludf.DUMMYFUNCTION("SWITCH(IF(A511=""Practice"",AN511,FILTER('Items by Team'!E$2:E3410,'Items by Team'!C$2:C3410=D511,B511='Items by Team'!B$2:B3410)),""None"",""No"",""Parked"",""P"",""ShallowCage"",""Sc"",""DeepCage"",""Dc"",""No"",""No"",""P"",""P"",""Sc"",""Sc"",""Dc"","&amp;"""Dc"")"),"#REF!")</f>
        <v>#REF!</v>
      </c>
      <c r="AU511" s="6" t="str">
        <f ca="1">IFERROR(__xludf.DUMMYFUNCTION("SWITCH(IF(A511 = ""Practice"", H511, FILTER('Items by Team'!D$2:D3410,'Items by Team'!C$2:C3410 = D511,'Items by Team'!B$2:B3410 = B511)), ""Yes"", ""TRUE"", ""No"", ""FALSE"",TRUE, ""TRUE"", FALSE, ""FALSE"")"),"#REF!")</f>
        <v>#REF!</v>
      </c>
      <c r="AV511" s="6">
        <f t="shared" si="21"/>
        <v>0</v>
      </c>
      <c r="AW511" s="6">
        <f t="shared" si="22"/>
        <v>0</v>
      </c>
      <c r="AX511" s="6">
        <f t="shared" si="23"/>
        <v>0</v>
      </c>
      <c r="AY511" s="6">
        <f t="shared" si="24"/>
        <v>0</v>
      </c>
      <c r="AZ511" s="9" t="str">
        <f t="shared" si="25"/>
        <v/>
      </c>
      <c r="BA511" s="6">
        <f t="shared" si="26"/>
        <v>0</v>
      </c>
      <c r="BB511" s="6">
        <f t="shared" si="27"/>
        <v>0</v>
      </c>
      <c r="BC511" s="9" t="str">
        <f t="shared" si="28"/>
        <v/>
      </c>
      <c r="BD511" s="6">
        <f t="shared" si="29"/>
        <v>0</v>
      </c>
      <c r="BE511" s="6">
        <f t="shared" si="30"/>
        <v>0</v>
      </c>
      <c r="BF511" s="9" t="str">
        <f t="shared" si="31"/>
        <v/>
      </c>
      <c r="BG511" s="6">
        <f t="shared" si="32"/>
        <v>0</v>
      </c>
      <c r="BH511" s="6">
        <f t="shared" si="33"/>
        <v>0</v>
      </c>
      <c r="BI511" s="9" t="str">
        <f t="shared" si="34"/>
        <v/>
      </c>
      <c r="BJ511" s="6">
        <f t="shared" si="35"/>
        <v>0</v>
      </c>
      <c r="BK511" s="6">
        <f t="shared" si="36"/>
        <v>0</v>
      </c>
      <c r="BL511" s="6">
        <f t="shared" si="37"/>
        <v>0</v>
      </c>
      <c r="BM511" s="6">
        <f t="shared" si="38"/>
        <v>0</v>
      </c>
      <c r="BN511" s="6">
        <f t="shared" si="39"/>
        <v>0</v>
      </c>
      <c r="BP511" s="6">
        <f t="shared" si="40"/>
        <v>0</v>
      </c>
      <c r="BQ511" s="6" t="b">
        <f ca="1">IFERROR(__xludf.DUMMYFUNCTION("IF(AND(ISERROR(FILTER('Items by Team'!D$2:D3410,'Items by Team'!C$2:C3410 = D511,'Items by Team'!B$2:B3410 = B511)),NOT(A511=""Practice"")),TRUE,FALSE)"),FALSE)</f>
        <v>0</v>
      </c>
      <c r="BR511" s="6">
        <f t="shared" ca="1" si="41"/>
        <v>0</v>
      </c>
    </row>
    <row r="512" spans="1:70">
      <c r="A512" s="6"/>
      <c r="B512" s="6"/>
      <c r="C512" s="6"/>
      <c r="D512" s="6"/>
      <c r="E512" s="6"/>
      <c r="F512" s="6"/>
      <c r="G512" s="6"/>
      <c r="H512" s="6"/>
      <c r="I512" s="6"/>
      <c r="J512" s="6"/>
      <c r="K512" s="6"/>
      <c r="L512" s="6"/>
      <c r="M512" s="6"/>
      <c r="N512" s="6"/>
      <c r="O512" s="6"/>
      <c r="P512" s="6"/>
      <c r="R512" s="6"/>
      <c r="S512" s="6"/>
      <c r="T512" s="6"/>
      <c r="U512" s="6"/>
      <c r="V512" s="6"/>
      <c r="W512" s="6"/>
      <c r="X512" s="6"/>
      <c r="Y512" s="6"/>
      <c r="Z512" s="6"/>
      <c r="AA512" s="6"/>
      <c r="AB512" s="6"/>
      <c r="AD512" s="6"/>
      <c r="AE512" s="6"/>
      <c r="AF512" s="6"/>
      <c r="AG512" s="6"/>
      <c r="AH512" s="6"/>
      <c r="AI512" s="6"/>
      <c r="AK512" s="6"/>
      <c r="AL512" s="6"/>
      <c r="AM512" s="6"/>
      <c r="AN512" s="6"/>
      <c r="AO512" s="6"/>
      <c r="AP512" s="6"/>
      <c r="AQ512" s="6"/>
      <c r="AR512" s="6"/>
      <c r="AS512" s="15"/>
      <c r="AT512" s="6" t="str">
        <f ca="1">IFERROR(__xludf.DUMMYFUNCTION("SWITCH(IF(A512=""Practice"",AN512,FILTER('Items by Team'!E$2:E3410,'Items by Team'!C$2:C3410=D512,B512='Items by Team'!B$2:B3410)),""None"",""No"",""Parked"",""P"",""ShallowCage"",""Sc"",""DeepCage"",""Dc"",""No"",""No"",""P"",""P"",""Sc"",""Sc"",""Dc"","&amp;"""Dc"")"),"#REF!")</f>
        <v>#REF!</v>
      </c>
      <c r="AU512" s="6" t="str">
        <f ca="1">IFERROR(__xludf.DUMMYFUNCTION("SWITCH(IF(A512 = ""Practice"", H512, FILTER('Items by Team'!D$2:D3410,'Items by Team'!C$2:C3410 = D512,'Items by Team'!B$2:B3410 = B512)), ""Yes"", ""TRUE"", ""No"", ""FALSE"",TRUE, ""TRUE"", FALSE, ""FALSE"")"),"#REF!")</f>
        <v>#REF!</v>
      </c>
      <c r="AV512" s="6">
        <f t="shared" si="21"/>
        <v>0</v>
      </c>
      <c r="AW512" s="6">
        <f t="shared" si="22"/>
        <v>0</v>
      </c>
      <c r="AX512" s="6">
        <f t="shared" si="23"/>
        <v>0</v>
      </c>
      <c r="AY512" s="6">
        <f t="shared" si="24"/>
        <v>0</v>
      </c>
      <c r="AZ512" s="9" t="str">
        <f t="shared" si="25"/>
        <v/>
      </c>
      <c r="BA512" s="6">
        <f t="shared" si="26"/>
        <v>0</v>
      </c>
      <c r="BB512" s="6">
        <f t="shared" si="27"/>
        <v>0</v>
      </c>
      <c r="BC512" s="9" t="str">
        <f t="shared" si="28"/>
        <v/>
      </c>
      <c r="BD512" s="6">
        <f t="shared" si="29"/>
        <v>0</v>
      </c>
      <c r="BE512" s="6">
        <f t="shared" si="30"/>
        <v>0</v>
      </c>
      <c r="BF512" s="9" t="str">
        <f t="shared" si="31"/>
        <v/>
      </c>
      <c r="BG512" s="6">
        <f t="shared" si="32"/>
        <v>0</v>
      </c>
      <c r="BH512" s="6">
        <f t="shared" si="33"/>
        <v>0</v>
      </c>
      <c r="BI512" s="9" t="str">
        <f t="shared" si="34"/>
        <v/>
      </c>
      <c r="BJ512" s="6">
        <f t="shared" si="35"/>
        <v>0</v>
      </c>
      <c r="BK512" s="6">
        <f t="shared" si="36"/>
        <v>0</v>
      </c>
      <c r="BL512" s="6">
        <f t="shared" si="37"/>
        <v>0</v>
      </c>
      <c r="BM512" s="6">
        <f t="shared" si="38"/>
        <v>0</v>
      </c>
      <c r="BN512" s="6">
        <f t="shared" si="39"/>
        <v>0</v>
      </c>
      <c r="BP512" s="6">
        <f t="shared" si="40"/>
        <v>0</v>
      </c>
      <c r="BQ512" s="6" t="b">
        <f ca="1">IFERROR(__xludf.DUMMYFUNCTION("IF(AND(ISERROR(FILTER('Items by Team'!D$2:D3410,'Items by Team'!C$2:C3410 = D512,'Items by Team'!B$2:B3410 = B512)),NOT(A512=""Practice"")),TRUE,FALSE)"),FALSE)</f>
        <v>0</v>
      </c>
      <c r="BR512" s="6">
        <f t="shared" ca="1" si="41"/>
        <v>0</v>
      </c>
    </row>
    <row r="513" spans="1:70">
      <c r="A513" s="6"/>
      <c r="B513" s="6"/>
      <c r="C513" s="6"/>
      <c r="D513" s="6"/>
      <c r="E513" s="6"/>
      <c r="F513" s="6"/>
      <c r="G513" s="6"/>
      <c r="H513" s="6"/>
      <c r="I513" s="6"/>
      <c r="J513" s="6"/>
      <c r="K513" s="6"/>
      <c r="L513" s="6"/>
      <c r="M513" s="6"/>
      <c r="N513" s="6"/>
      <c r="O513" s="6"/>
      <c r="P513" s="6"/>
      <c r="R513" s="6"/>
      <c r="S513" s="6"/>
      <c r="T513" s="6"/>
      <c r="U513" s="6"/>
      <c r="V513" s="6"/>
      <c r="W513" s="6"/>
      <c r="X513" s="6"/>
      <c r="Y513" s="6"/>
      <c r="Z513" s="6"/>
      <c r="AA513" s="6"/>
      <c r="AB513" s="6"/>
      <c r="AD513" s="6"/>
      <c r="AE513" s="6"/>
      <c r="AF513" s="6"/>
      <c r="AG513" s="6"/>
      <c r="AH513" s="6"/>
      <c r="AI513" s="6"/>
      <c r="AK513" s="6"/>
      <c r="AL513" s="6"/>
      <c r="AM513" s="6"/>
      <c r="AN513" s="6"/>
      <c r="AO513" s="6"/>
      <c r="AP513" s="6"/>
      <c r="AQ513" s="6"/>
      <c r="AR513" s="6"/>
      <c r="AS513" s="15"/>
      <c r="AT513" s="6" t="str">
        <f ca="1">IFERROR(__xludf.DUMMYFUNCTION("SWITCH(IF(A513=""Practice"",AN513,FILTER('Items by Team'!E$2:E3410,'Items by Team'!C$2:C3410=D513,B513='Items by Team'!B$2:B3410)),""None"",""No"",""Parked"",""P"",""ShallowCage"",""Sc"",""DeepCage"",""Dc"",""No"",""No"",""P"",""P"",""Sc"",""Sc"",""Dc"","&amp;"""Dc"")"),"#REF!")</f>
        <v>#REF!</v>
      </c>
      <c r="AU513" s="6" t="str">
        <f ca="1">IFERROR(__xludf.DUMMYFUNCTION("SWITCH(IF(A513 = ""Practice"", H513, FILTER('Items by Team'!D$2:D3410,'Items by Team'!C$2:C3410 = D513,'Items by Team'!B$2:B3410 = B513)), ""Yes"", ""TRUE"", ""No"", ""FALSE"",TRUE, ""TRUE"", FALSE, ""FALSE"")"),"#REF!")</f>
        <v>#REF!</v>
      </c>
      <c r="AV513" s="6">
        <f t="shared" ref="AV513:AV767" si="42">IFERROR(VALUE(AP513),"")</f>
        <v>0</v>
      </c>
      <c r="AW513" s="6">
        <f t="shared" ref="AW513:AW767" si="43">IF(H513=TRUE,1,0)</f>
        <v>0</v>
      </c>
      <c r="AX513" s="6">
        <f t="shared" ref="AX513:AX767" si="44">SUM($L513:$O513)</f>
        <v>0</v>
      </c>
      <c r="AY513" s="6">
        <f t="shared" ref="AY513:AY767" si="45">SUM($L513:$P513)</f>
        <v>0</v>
      </c>
      <c r="AZ513" s="9" t="str">
        <f t="shared" ref="AZ513:AZ767" si="46">IFERROR(AX513/AY513,"")</f>
        <v/>
      </c>
      <c r="BA513" s="6">
        <f t="shared" ref="BA513:BA767" si="47">SUM($S513:$T513)</f>
        <v>0</v>
      </c>
      <c r="BB513" s="6">
        <f t="shared" ref="BB513:BB767" si="48">SUM($T513:$U513)</f>
        <v>0</v>
      </c>
      <c r="BC513" s="9" t="str">
        <f t="shared" ref="BC513:BC767" si="49">IFERROR($T513/$BB513,"")</f>
        <v/>
      </c>
      <c r="BD513" s="6">
        <f t="shared" ref="BD513:BD767" si="50">SUM($X513)</f>
        <v>0</v>
      </c>
      <c r="BE513" s="6">
        <f t="shared" ref="BE513:BE767" si="51">SUM($X513:$Y513)</f>
        <v>0</v>
      </c>
      <c r="BF513" s="9" t="str">
        <f t="shared" ref="BF513:BF767" si="52">IFERROR(BD513/BE513,"")</f>
        <v/>
      </c>
      <c r="BG513" s="6">
        <f t="shared" ref="BG513:BG767" si="53">SUM(AE513:AH513)</f>
        <v>0</v>
      </c>
      <c r="BH513" s="6">
        <f t="shared" ref="BH513:BH767" si="54">SUM(AE513:AI513)</f>
        <v>0</v>
      </c>
      <c r="BI513" s="9" t="str">
        <f t="shared" ref="BI513:BI767" si="55">IFERROR(BG513/BH513,"")</f>
        <v/>
      </c>
      <c r="BJ513" s="6">
        <f t="shared" ref="BJ513:BJ767" si="56">IF(AQ513=TRUE,1,0)</f>
        <v>0</v>
      </c>
      <c r="BK513" s="6">
        <f t="shared" ref="BK513:BK767" si="57">IF($I513&gt;0,1,0)</f>
        <v>0</v>
      </c>
      <c r="BL513" s="6">
        <f t="shared" ref="BL513:BL767" si="58">IF($J513&gt;0,1,0)</f>
        <v>0</v>
      </c>
      <c r="BM513" s="6">
        <f t="shared" ref="BM513:BM767" si="59">IF($K513&gt;0,1,0)</f>
        <v>0</v>
      </c>
      <c r="BN513" s="6">
        <f t="shared" ref="BN513:BN767" si="60">IF($AB513=TRUE,1,0)</f>
        <v>0</v>
      </c>
      <c r="BP513" s="6">
        <f t="shared" ref="BP513:BP767" si="61">IF($AD513=TRUE,1,0)</f>
        <v>0</v>
      </c>
      <c r="BQ513" s="6" t="b">
        <f ca="1">IFERROR(__xludf.DUMMYFUNCTION("IF(AND(ISERROR(FILTER('Items by Team'!D$2:D3410,'Items by Team'!C$2:C3410 = D513,'Items by Team'!B$2:B3410 = B513)),NOT(A513=""Practice"")),TRUE,FALSE)"),FALSE)</f>
        <v>0</v>
      </c>
      <c r="BR513" s="6">
        <f t="shared" ref="BR513:BR767" ca="1" si="62">IFERROR(_xludf.IFS($AQ513=FALSE,"",$AP513="x",""),VALUE($AP513))</f>
        <v>0</v>
      </c>
    </row>
    <row r="514" spans="1:70">
      <c r="A514" s="6"/>
      <c r="B514" s="6"/>
      <c r="C514" s="6"/>
      <c r="D514" s="6"/>
      <c r="E514" s="6"/>
      <c r="F514" s="6"/>
      <c r="G514" s="6"/>
      <c r="H514" s="6"/>
      <c r="I514" s="6"/>
      <c r="J514" s="6"/>
      <c r="K514" s="6"/>
      <c r="L514" s="6"/>
      <c r="M514" s="6"/>
      <c r="N514" s="6"/>
      <c r="O514" s="6"/>
      <c r="P514" s="6"/>
      <c r="R514" s="6"/>
      <c r="S514" s="6"/>
      <c r="T514" s="6"/>
      <c r="U514" s="6"/>
      <c r="V514" s="6"/>
      <c r="W514" s="6"/>
      <c r="X514" s="6"/>
      <c r="Y514" s="6"/>
      <c r="Z514" s="6"/>
      <c r="AA514" s="6"/>
      <c r="AB514" s="6"/>
      <c r="AD514" s="6"/>
      <c r="AE514" s="6"/>
      <c r="AF514" s="6"/>
      <c r="AG514" s="6"/>
      <c r="AH514" s="6"/>
      <c r="AI514" s="6"/>
      <c r="AK514" s="6"/>
      <c r="AL514" s="6"/>
      <c r="AM514" s="6"/>
      <c r="AN514" s="6"/>
      <c r="AO514" s="6"/>
      <c r="AP514" s="6"/>
      <c r="AQ514" s="6"/>
      <c r="AR514" s="6"/>
      <c r="AS514" s="15"/>
      <c r="AT514" s="6" t="str">
        <f ca="1">IFERROR(__xludf.DUMMYFUNCTION("SWITCH(IF(A514=""Practice"",AN514,FILTER('Items by Team'!E$2:E3410,'Items by Team'!C$2:C3410=D514,B514='Items by Team'!B$2:B3410)),""None"",""No"",""Parked"",""P"",""ShallowCage"",""Sc"",""DeepCage"",""Dc"",""No"",""No"",""P"",""P"",""Sc"",""Sc"",""Dc"","&amp;"""Dc"")"),"#REF!")</f>
        <v>#REF!</v>
      </c>
      <c r="AU514" s="6" t="str">
        <f ca="1">IFERROR(__xludf.DUMMYFUNCTION("SWITCH(IF(A514 = ""Practice"", H514, FILTER('Items by Team'!D$2:D3410,'Items by Team'!C$2:C3410 = D514,'Items by Team'!B$2:B3410 = B514)), ""Yes"", ""TRUE"", ""No"", ""FALSE"",TRUE, ""TRUE"", FALSE, ""FALSE"")"),"#REF!")</f>
        <v>#REF!</v>
      </c>
      <c r="AV514" s="6">
        <f t="shared" si="42"/>
        <v>0</v>
      </c>
      <c r="AW514" s="6">
        <f t="shared" si="43"/>
        <v>0</v>
      </c>
      <c r="AX514" s="6">
        <f t="shared" si="44"/>
        <v>0</v>
      </c>
      <c r="AY514" s="6">
        <f t="shared" si="45"/>
        <v>0</v>
      </c>
      <c r="AZ514" s="9" t="str">
        <f t="shared" si="46"/>
        <v/>
      </c>
      <c r="BA514" s="6">
        <f t="shared" si="47"/>
        <v>0</v>
      </c>
      <c r="BB514" s="6">
        <f t="shared" si="48"/>
        <v>0</v>
      </c>
      <c r="BC514" s="9" t="str">
        <f t="shared" si="49"/>
        <v/>
      </c>
      <c r="BD514" s="6">
        <f t="shared" si="50"/>
        <v>0</v>
      </c>
      <c r="BE514" s="6">
        <f t="shared" si="51"/>
        <v>0</v>
      </c>
      <c r="BF514" s="9" t="str">
        <f t="shared" si="52"/>
        <v/>
      </c>
      <c r="BG514" s="6">
        <f t="shared" si="53"/>
        <v>0</v>
      </c>
      <c r="BH514" s="6">
        <f t="shared" si="54"/>
        <v>0</v>
      </c>
      <c r="BI514" s="9" t="str">
        <f t="shared" si="55"/>
        <v/>
      </c>
      <c r="BJ514" s="6">
        <f t="shared" si="56"/>
        <v>0</v>
      </c>
      <c r="BK514" s="6">
        <f t="shared" si="57"/>
        <v>0</v>
      </c>
      <c r="BL514" s="6">
        <f t="shared" si="58"/>
        <v>0</v>
      </c>
      <c r="BM514" s="6">
        <f t="shared" si="59"/>
        <v>0</v>
      </c>
      <c r="BN514" s="6">
        <f t="shared" si="60"/>
        <v>0</v>
      </c>
      <c r="BP514" s="6">
        <f t="shared" si="61"/>
        <v>0</v>
      </c>
      <c r="BQ514" s="6" t="b">
        <f ca="1">IFERROR(__xludf.DUMMYFUNCTION("IF(AND(ISERROR(FILTER('Items by Team'!D$2:D3410,'Items by Team'!C$2:C3410 = D514,'Items by Team'!B$2:B3410 = B514)),NOT(A514=""Practice"")),TRUE,FALSE)"),FALSE)</f>
        <v>0</v>
      </c>
      <c r="BR514" s="6">
        <f t="shared" ca="1" si="62"/>
        <v>0</v>
      </c>
    </row>
    <row r="515" spans="1:70">
      <c r="A515" s="6"/>
      <c r="B515" s="6"/>
      <c r="C515" s="6"/>
      <c r="D515" s="6"/>
      <c r="E515" s="6"/>
      <c r="F515" s="6"/>
      <c r="G515" s="6"/>
      <c r="H515" s="6"/>
      <c r="I515" s="6"/>
      <c r="J515" s="6"/>
      <c r="K515" s="6"/>
      <c r="L515" s="6"/>
      <c r="M515" s="6"/>
      <c r="N515" s="6"/>
      <c r="O515" s="6"/>
      <c r="P515" s="6"/>
      <c r="R515" s="6"/>
      <c r="S515" s="6"/>
      <c r="T515" s="6"/>
      <c r="U515" s="6"/>
      <c r="V515" s="6"/>
      <c r="W515" s="6"/>
      <c r="X515" s="6"/>
      <c r="Y515" s="6"/>
      <c r="Z515" s="6"/>
      <c r="AA515" s="6"/>
      <c r="AB515" s="6"/>
      <c r="AD515" s="6"/>
      <c r="AE515" s="6"/>
      <c r="AF515" s="6"/>
      <c r="AG515" s="6"/>
      <c r="AH515" s="6"/>
      <c r="AI515" s="6"/>
      <c r="AK515" s="6"/>
      <c r="AL515" s="6"/>
      <c r="AM515" s="6"/>
      <c r="AN515" s="6"/>
      <c r="AO515" s="6"/>
      <c r="AP515" s="6"/>
      <c r="AQ515" s="6"/>
      <c r="AR515" s="6"/>
      <c r="AS515" s="15"/>
      <c r="AT515" s="6" t="str">
        <f ca="1">IFERROR(__xludf.DUMMYFUNCTION("SWITCH(IF(A515=""Practice"",AN515,FILTER('Items by Team'!E$2:E3410,'Items by Team'!C$2:C3410=D515,B515='Items by Team'!B$2:B3410)),""None"",""No"",""Parked"",""P"",""ShallowCage"",""Sc"",""DeepCage"",""Dc"",""No"",""No"",""P"",""P"",""Sc"",""Sc"",""Dc"","&amp;"""Dc"")"),"#REF!")</f>
        <v>#REF!</v>
      </c>
      <c r="AU515" s="6" t="str">
        <f ca="1">IFERROR(__xludf.DUMMYFUNCTION("SWITCH(IF(A515 = ""Practice"", H515, FILTER('Items by Team'!D$2:D3410,'Items by Team'!C$2:C3410 = D515,'Items by Team'!B$2:B3410 = B515)), ""Yes"", ""TRUE"", ""No"", ""FALSE"",TRUE, ""TRUE"", FALSE, ""FALSE"")"),"#REF!")</f>
        <v>#REF!</v>
      </c>
      <c r="AV515" s="6">
        <f t="shared" si="42"/>
        <v>0</v>
      </c>
      <c r="AW515" s="6">
        <f t="shared" si="43"/>
        <v>0</v>
      </c>
      <c r="AX515" s="6">
        <f t="shared" si="44"/>
        <v>0</v>
      </c>
      <c r="AY515" s="6">
        <f t="shared" si="45"/>
        <v>0</v>
      </c>
      <c r="AZ515" s="9" t="str">
        <f t="shared" si="46"/>
        <v/>
      </c>
      <c r="BA515" s="6">
        <f t="shared" si="47"/>
        <v>0</v>
      </c>
      <c r="BB515" s="6">
        <f t="shared" si="48"/>
        <v>0</v>
      </c>
      <c r="BC515" s="9" t="str">
        <f t="shared" si="49"/>
        <v/>
      </c>
      <c r="BD515" s="6">
        <f t="shared" si="50"/>
        <v>0</v>
      </c>
      <c r="BE515" s="6">
        <f t="shared" si="51"/>
        <v>0</v>
      </c>
      <c r="BF515" s="9" t="str">
        <f t="shared" si="52"/>
        <v/>
      </c>
      <c r="BG515" s="6">
        <f t="shared" si="53"/>
        <v>0</v>
      </c>
      <c r="BH515" s="6">
        <f t="shared" si="54"/>
        <v>0</v>
      </c>
      <c r="BI515" s="9" t="str">
        <f t="shared" si="55"/>
        <v/>
      </c>
      <c r="BJ515" s="6">
        <f t="shared" si="56"/>
        <v>0</v>
      </c>
      <c r="BK515" s="6">
        <f t="shared" si="57"/>
        <v>0</v>
      </c>
      <c r="BL515" s="6">
        <f t="shared" si="58"/>
        <v>0</v>
      </c>
      <c r="BM515" s="6">
        <f t="shared" si="59"/>
        <v>0</v>
      </c>
      <c r="BN515" s="6">
        <f t="shared" si="60"/>
        <v>0</v>
      </c>
      <c r="BP515" s="6">
        <f t="shared" si="61"/>
        <v>0</v>
      </c>
      <c r="BQ515" s="6" t="b">
        <f ca="1">IFERROR(__xludf.DUMMYFUNCTION("IF(AND(ISERROR(FILTER('Items by Team'!D$2:D3410,'Items by Team'!C$2:C3410 = D515,'Items by Team'!B$2:B3410 = B515)),NOT(A515=""Practice"")),TRUE,FALSE)"),FALSE)</f>
        <v>0</v>
      </c>
      <c r="BR515" s="6">
        <f t="shared" ca="1" si="62"/>
        <v>0</v>
      </c>
    </row>
    <row r="516" spans="1:70">
      <c r="A516" s="6"/>
      <c r="B516" s="6"/>
      <c r="C516" s="6"/>
      <c r="D516" s="6"/>
      <c r="E516" s="6"/>
      <c r="F516" s="6"/>
      <c r="G516" s="6"/>
      <c r="H516" s="6"/>
      <c r="I516" s="6"/>
      <c r="J516" s="6"/>
      <c r="K516" s="6"/>
      <c r="L516" s="6"/>
      <c r="M516" s="6"/>
      <c r="N516" s="6"/>
      <c r="O516" s="6"/>
      <c r="P516" s="6"/>
      <c r="R516" s="6"/>
      <c r="S516" s="6"/>
      <c r="T516" s="6"/>
      <c r="U516" s="6"/>
      <c r="V516" s="6"/>
      <c r="W516" s="6"/>
      <c r="X516" s="6"/>
      <c r="Y516" s="6"/>
      <c r="Z516" s="6"/>
      <c r="AA516" s="6"/>
      <c r="AB516" s="6"/>
      <c r="AD516" s="6"/>
      <c r="AE516" s="6"/>
      <c r="AF516" s="6"/>
      <c r="AG516" s="6"/>
      <c r="AH516" s="6"/>
      <c r="AI516" s="6"/>
      <c r="AK516" s="6"/>
      <c r="AL516" s="6"/>
      <c r="AM516" s="6"/>
      <c r="AN516" s="6"/>
      <c r="AO516" s="6"/>
      <c r="AP516" s="6"/>
      <c r="AQ516" s="6"/>
      <c r="AR516" s="6"/>
      <c r="AS516" s="15"/>
      <c r="AT516" s="6" t="str">
        <f ca="1">IFERROR(__xludf.DUMMYFUNCTION("SWITCH(IF(A516=""Practice"",AN516,FILTER('Items by Team'!E$2:E3410,'Items by Team'!C$2:C3410=D516,B516='Items by Team'!B$2:B3410)),""None"",""No"",""Parked"",""P"",""ShallowCage"",""Sc"",""DeepCage"",""Dc"",""No"",""No"",""P"",""P"",""Sc"",""Sc"",""Dc"","&amp;"""Dc"")"),"#REF!")</f>
        <v>#REF!</v>
      </c>
      <c r="AU516" s="6" t="str">
        <f ca="1">IFERROR(__xludf.DUMMYFUNCTION("SWITCH(IF(A516 = ""Practice"", H516, FILTER('Items by Team'!D$2:D3410,'Items by Team'!C$2:C3410 = D516,'Items by Team'!B$2:B3410 = B516)), ""Yes"", ""TRUE"", ""No"", ""FALSE"",TRUE, ""TRUE"", FALSE, ""FALSE"")"),"#REF!")</f>
        <v>#REF!</v>
      </c>
      <c r="AV516" s="6">
        <f t="shared" si="42"/>
        <v>0</v>
      </c>
      <c r="AW516" s="6">
        <f t="shared" si="43"/>
        <v>0</v>
      </c>
      <c r="AX516" s="6">
        <f t="shared" si="44"/>
        <v>0</v>
      </c>
      <c r="AY516" s="6">
        <f t="shared" si="45"/>
        <v>0</v>
      </c>
      <c r="AZ516" s="9" t="str">
        <f t="shared" si="46"/>
        <v/>
      </c>
      <c r="BA516" s="6">
        <f t="shared" si="47"/>
        <v>0</v>
      </c>
      <c r="BB516" s="6">
        <f t="shared" si="48"/>
        <v>0</v>
      </c>
      <c r="BC516" s="9" t="str">
        <f t="shared" si="49"/>
        <v/>
      </c>
      <c r="BD516" s="6">
        <f t="shared" si="50"/>
        <v>0</v>
      </c>
      <c r="BE516" s="6">
        <f t="shared" si="51"/>
        <v>0</v>
      </c>
      <c r="BF516" s="9" t="str">
        <f t="shared" si="52"/>
        <v/>
      </c>
      <c r="BG516" s="6">
        <f t="shared" si="53"/>
        <v>0</v>
      </c>
      <c r="BH516" s="6">
        <f t="shared" si="54"/>
        <v>0</v>
      </c>
      <c r="BI516" s="9" t="str">
        <f t="shared" si="55"/>
        <v/>
      </c>
      <c r="BJ516" s="6">
        <f t="shared" si="56"/>
        <v>0</v>
      </c>
      <c r="BK516" s="6">
        <f t="shared" si="57"/>
        <v>0</v>
      </c>
      <c r="BL516" s="6">
        <f t="shared" si="58"/>
        <v>0</v>
      </c>
      <c r="BM516" s="6">
        <f t="shared" si="59"/>
        <v>0</v>
      </c>
      <c r="BN516" s="6">
        <f t="shared" si="60"/>
        <v>0</v>
      </c>
      <c r="BP516" s="6">
        <f t="shared" si="61"/>
        <v>0</v>
      </c>
      <c r="BQ516" s="6" t="b">
        <f ca="1">IFERROR(__xludf.DUMMYFUNCTION("IF(AND(ISERROR(FILTER('Items by Team'!D$2:D3410,'Items by Team'!C$2:C3410 = D516,'Items by Team'!B$2:B3410 = B516)),NOT(A516=""Practice"")),TRUE,FALSE)"),FALSE)</f>
        <v>0</v>
      </c>
      <c r="BR516" s="6">
        <f t="shared" ca="1" si="62"/>
        <v>0</v>
      </c>
    </row>
    <row r="517" spans="1:70">
      <c r="A517" s="6"/>
      <c r="B517" s="6"/>
      <c r="C517" s="6"/>
      <c r="D517" s="6"/>
      <c r="E517" s="6"/>
      <c r="F517" s="6"/>
      <c r="G517" s="6"/>
      <c r="H517" s="6"/>
      <c r="I517" s="6"/>
      <c r="J517" s="6"/>
      <c r="K517" s="6"/>
      <c r="L517" s="6"/>
      <c r="M517" s="6"/>
      <c r="N517" s="6"/>
      <c r="O517" s="6"/>
      <c r="P517" s="6"/>
      <c r="R517" s="6"/>
      <c r="S517" s="6"/>
      <c r="T517" s="6"/>
      <c r="U517" s="6"/>
      <c r="V517" s="6"/>
      <c r="W517" s="6"/>
      <c r="X517" s="6"/>
      <c r="Y517" s="6"/>
      <c r="Z517" s="6"/>
      <c r="AA517" s="6"/>
      <c r="AB517" s="6"/>
      <c r="AD517" s="6"/>
      <c r="AE517" s="6"/>
      <c r="AF517" s="6"/>
      <c r="AG517" s="6"/>
      <c r="AH517" s="6"/>
      <c r="AI517" s="6"/>
      <c r="AK517" s="6"/>
      <c r="AL517" s="6"/>
      <c r="AM517" s="6"/>
      <c r="AN517" s="6"/>
      <c r="AO517" s="6"/>
      <c r="AP517" s="6"/>
      <c r="AQ517" s="6"/>
      <c r="AR517" s="6"/>
      <c r="AS517" s="15"/>
      <c r="AT517" s="6" t="str">
        <f ca="1">IFERROR(__xludf.DUMMYFUNCTION("SWITCH(IF(A517=""Practice"",AN517,FILTER('Items by Team'!E$2:E3410,'Items by Team'!C$2:C3410=D517,B517='Items by Team'!B$2:B3410)),""None"",""No"",""Parked"",""P"",""ShallowCage"",""Sc"",""DeepCage"",""Dc"",""No"",""No"",""P"",""P"",""Sc"",""Sc"",""Dc"","&amp;"""Dc"")"),"#REF!")</f>
        <v>#REF!</v>
      </c>
      <c r="AU517" s="6" t="str">
        <f ca="1">IFERROR(__xludf.DUMMYFUNCTION("SWITCH(IF(A517 = ""Practice"", H517, FILTER('Items by Team'!D$2:D3410,'Items by Team'!C$2:C3410 = D517,'Items by Team'!B$2:B3410 = B517)), ""Yes"", ""TRUE"", ""No"", ""FALSE"",TRUE, ""TRUE"", FALSE, ""FALSE"")"),"#REF!")</f>
        <v>#REF!</v>
      </c>
      <c r="AV517" s="6">
        <f t="shared" si="42"/>
        <v>0</v>
      </c>
      <c r="AW517" s="6">
        <f t="shared" si="43"/>
        <v>0</v>
      </c>
      <c r="AX517" s="6">
        <f t="shared" si="44"/>
        <v>0</v>
      </c>
      <c r="AY517" s="6">
        <f t="shared" si="45"/>
        <v>0</v>
      </c>
      <c r="AZ517" s="9" t="str">
        <f t="shared" si="46"/>
        <v/>
      </c>
      <c r="BA517" s="6">
        <f t="shared" si="47"/>
        <v>0</v>
      </c>
      <c r="BB517" s="6">
        <f t="shared" si="48"/>
        <v>0</v>
      </c>
      <c r="BC517" s="9" t="str">
        <f t="shared" si="49"/>
        <v/>
      </c>
      <c r="BD517" s="6">
        <f t="shared" si="50"/>
        <v>0</v>
      </c>
      <c r="BE517" s="6">
        <f t="shared" si="51"/>
        <v>0</v>
      </c>
      <c r="BF517" s="9" t="str">
        <f t="shared" si="52"/>
        <v/>
      </c>
      <c r="BG517" s="6">
        <f t="shared" si="53"/>
        <v>0</v>
      </c>
      <c r="BH517" s="6">
        <f t="shared" si="54"/>
        <v>0</v>
      </c>
      <c r="BI517" s="9" t="str">
        <f t="shared" si="55"/>
        <v/>
      </c>
      <c r="BJ517" s="6">
        <f t="shared" si="56"/>
        <v>0</v>
      </c>
      <c r="BK517" s="6">
        <f t="shared" si="57"/>
        <v>0</v>
      </c>
      <c r="BL517" s="6">
        <f t="shared" si="58"/>
        <v>0</v>
      </c>
      <c r="BM517" s="6">
        <f t="shared" si="59"/>
        <v>0</v>
      </c>
      <c r="BN517" s="6">
        <f t="shared" si="60"/>
        <v>0</v>
      </c>
      <c r="BP517" s="6">
        <f t="shared" si="61"/>
        <v>0</v>
      </c>
      <c r="BQ517" s="6" t="b">
        <f ca="1">IFERROR(__xludf.DUMMYFUNCTION("IF(AND(ISERROR(FILTER('Items by Team'!D$2:D3410,'Items by Team'!C$2:C3410 = D517,'Items by Team'!B$2:B3410 = B517)),NOT(A517=""Practice"")),TRUE,FALSE)"),FALSE)</f>
        <v>0</v>
      </c>
      <c r="BR517" s="6">
        <f t="shared" ca="1" si="62"/>
        <v>0</v>
      </c>
    </row>
    <row r="518" spans="1:70">
      <c r="A518" s="6"/>
      <c r="B518" s="6"/>
      <c r="C518" s="6"/>
      <c r="D518" s="6"/>
      <c r="E518" s="6"/>
      <c r="F518" s="6"/>
      <c r="G518" s="6"/>
      <c r="H518" s="6"/>
      <c r="I518" s="6"/>
      <c r="J518" s="6"/>
      <c r="K518" s="6"/>
      <c r="L518" s="6"/>
      <c r="M518" s="6"/>
      <c r="N518" s="6"/>
      <c r="O518" s="6"/>
      <c r="P518" s="6"/>
      <c r="R518" s="6"/>
      <c r="S518" s="6"/>
      <c r="T518" s="6"/>
      <c r="U518" s="6"/>
      <c r="V518" s="6"/>
      <c r="W518" s="6"/>
      <c r="X518" s="6"/>
      <c r="Y518" s="6"/>
      <c r="Z518" s="6"/>
      <c r="AA518" s="6"/>
      <c r="AB518" s="6"/>
      <c r="AD518" s="6"/>
      <c r="AE518" s="6"/>
      <c r="AF518" s="6"/>
      <c r="AG518" s="6"/>
      <c r="AH518" s="6"/>
      <c r="AI518" s="6"/>
      <c r="AK518" s="6"/>
      <c r="AL518" s="6"/>
      <c r="AM518" s="6"/>
      <c r="AN518" s="6"/>
      <c r="AO518" s="6"/>
      <c r="AP518" s="6"/>
      <c r="AQ518" s="6"/>
      <c r="AR518" s="6"/>
      <c r="AS518" s="15"/>
      <c r="AT518" s="6" t="str">
        <f ca="1">IFERROR(__xludf.DUMMYFUNCTION("SWITCH(IF(A518=""Practice"",AN518,FILTER('Items by Team'!E$2:E3410,'Items by Team'!C$2:C3410=D518,B518='Items by Team'!B$2:B3410)),""None"",""No"",""Parked"",""P"",""ShallowCage"",""Sc"",""DeepCage"",""Dc"",""No"",""No"",""P"",""P"",""Sc"",""Sc"",""Dc"","&amp;"""Dc"")"),"#REF!")</f>
        <v>#REF!</v>
      </c>
      <c r="AU518" s="6" t="str">
        <f ca="1">IFERROR(__xludf.DUMMYFUNCTION("SWITCH(IF(A518 = ""Practice"", H518, FILTER('Items by Team'!D$2:D3410,'Items by Team'!C$2:C3410 = D518,'Items by Team'!B$2:B3410 = B518)), ""Yes"", ""TRUE"", ""No"", ""FALSE"",TRUE, ""TRUE"", FALSE, ""FALSE"")"),"#REF!")</f>
        <v>#REF!</v>
      </c>
      <c r="AV518" s="6">
        <f t="shared" si="42"/>
        <v>0</v>
      </c>
      <c r="AW518" s="6">
        <f t="shared" si="43"/>
        <v>0</v>
      </c>
      <c r="AX518" s="6">
        <f t="shared" si="44"/>
        <v>0</v>
      </c>
      <c r="AY518" s="6">
        <f t="shared" si="45"/>
        <v>0</v>
      </c>
      <c r="AZ518" s="9" t="str">
        <f t="shared" si="46"/>
        <v/>
      </c>
      <c r="BA518" s="6">
        <f t="shared" si="47"/>
        <v>0</v>
      </c>
      <c r="BB518" s="6">
        <f t="shared" si="48"/>
        <v>0</v>
      </c>
      <c r="BC518" s="9" t="str">
        <f t="shared" si="49"/>
        <v/>
      </c>
      <c r="BD518" s="6">
        <f t="shared" si="50"/>
        <v>0</v>
      </c>
      <c r="BE518" s="6">
        <f t="shared" si="51"/>
        <v>0</v>
      </c>
      <c r="BF518" s="9" t="str">
        <f t="shared" si="52"/>
        <v/>
      </c>
      <c r="BG518" s="6">
        <f t="shared" si="53"/>
        <v>0</v>
      </c>
      <c r="BH518" s="6">
        <f t="shared" si="54"/>
        <v>0</v>
      </c>
      <c r="BI518" s="9" t="str">
        <f t="shared" si="55"/>
        <v/>
      </c>
      <c r="BJ518" s="6">
        <f t="shared" si="56"/>
        <v>0</v>
      </c>
      <c r="BK518" s="6">
        <f t="shared" si="57"/>
        <v>0</v>
      </c>
      <c r="BL518" s="6">
        <f t="shared" si="58"/>
        <v>0</v>
      </c>
      <c r="BM518" s="6">
        <f t="shared" si="59"/>
        <v>0</v>
      </c>
      <c r="BN518" s="6">
        <f t="shared" si="60"/>
        <v>0</v>
      </c>
      <c r="BP518" s="6">
        <f t="shared" si="61"/>
        <v>0</v>
      </c>
      <c r="BQ518" s="6" t="b">
        <f ca="1">IFERROR(__xludf.DUMMYFUNCTION("IF(AND(ISERROR(FILTER('Items by Team'!D$2:D3410,'Items by Team'!C$2:C3410 = D518,'Items by Team'!B$2:B3410 = B518)),NOT(A518=""Practice"")),TRUE,FALSE)"),FALSE)</f>
        <v>0</v>
      </c>
      <c r="BR518" s="6">
        <f t="shared" ca="1" si="62"/>
        <v>0</v>
      </c>
    </row>
    <row r="519" spans="1:70">
      <c r="A519" s="6"/>
      <c r="B519" s="6"/>
      <c r="C519" s="6"/>
      <c r="D519" s="6"/>
      <c r="E519" s="6"/>
      <c r="F519" s="6"/>
      <c r="G519" s="6"/>
      <c r="H519" s="6"/>
      <c r="I519" s="6"/>
      <c r="J519" s="6"/>
      <c r="K519" s="6"/>
      <c r="L519" s="6"/>
      <c r="M519" s="6"/>
      <c r="N519" s="6"/>
      <c r="O519" s="6"/>
      <c r="P519" s="6"/>
      <c r="R519" s="6"/>
      <c r="S519" s="6"/>
      <c r="T519" s="6"/>
      <c r="U519" s="6"/>
      <c r="V519" s="6"/>
      <c r="W519" s="6"/>
      <c r="X519" s="6"/>
      <c r="Y519" s="6"/>
      <c r="Z519" s="6"/>
      <c r="AA519" s="6"/>
      <c r="AB519" s="6"/>
      <c r="AD519" s="6"/>
      <c r="AE519" s="6"/>
      <c r="AF519" s="6"/>
      <c r="AG519" s="6"/>
      <c r="AH519" s="6"/>
      <c r="AI519" s="6"/>
      <c r="AK519" s="6"/>
      <c r="AL519" s="6"/>
      <c r="AM519" s="6"/>
      <c r="AN519" s="6"/>
      <c r="AO519" s="6"/>
      <c r="AP519" s="6"/>
      <c r="AQ519" s="6"/>
      <c r="AR519" s="6"/>
      <c r="AS519" s="15"/>
      <c r="AT519" s="6" t="str">
        <f ca="1">IFERROR(__xludf.DUMMYFUNCTION("SWITCH(IF(A519=""Practice"",AN519,FILTER('Items by Team'!E$2:E3410,'Items by Team'!C$2:C3410=D519,B519='Items by Team'!B$2:B3410)),""None"",""No"",""Parked"",""P"",""ShallowCage"",""Sc"",""DeepCage"",""Dc"",""No"",""No"",""P"",""P"",""Sc"",""Sc"",""Dc"","&amp;"""Dc"")"),"#REF!")</f>
        <v>#REF!</v>
      </c>
      <c r="AU519" s="6" t="str">
        <f ca="1">IFERROR(__xludf.DUMMYFUNCTION("SWITCH(IF(A519 = ""Practice"", H519, FILTER('Items by Team'!D$2:D3410,'Items by Team'!C$2:C3410 = D519,'Items by Team'!B$2:B3410 = B519)), ""Yes"", ""TRUE"", ""No"", ""FALSE"",TRUE, ""TRUE"", FALSE, ""FALSE"")"),"#REF!")</f>
        <v>#REF!</v>
      </c>
      <c r="AV519" s="6">
        <f t="shared" si="42"/>
        <v>0</v>
      </c>
      <c r="AW519" s="6">
        <f t="shared" si="43"/>
        <v>0</v>
      </c>
      <c r="AX519" s="6">
        <f t="shared" si="44"/>
        <v>0</v>
      </c>
      <c r="AY519" s="6">
        <f t="shared" si="45"/>
        <v>0</v>
      </c>
      <c r="AZ519" s="9" t="str">
        <f t="shared" si="46"/>
        <v/>
      </c>
      <c r="BA519" s="6">
        <f t="shared" si="47"/>
        <v>0</v>
      </c>
      <c r="BB519" s="6">
        <f t="shared" si="48"/>
        <v>0</v>
      </c>
      <c r="BC519" s="9" t="str">
        <f t="shared" si="49"/>
        <v/>
      </c>
      <c r="BD519" s="6">
        <f t="shared" si="50"/>
        <v>0</v>
      </c>
      <c r="BE519" s="6">
        <f t="shared" si="51"/>
        <v>0</v>
      </c>
      <c r="BF519" s="9" t="str">
        <f t="shared" si="52"/>
        <v/>
      </c>
      <c r="BG519" s="6">
        <f t="shared" si="53"/>
        <v>0</v>
      </c>
      <c r="BH519" s="6">
        <f t="shared" si="54"/>
        <v>0</v>
      </c>
      <c r="BI519" s="9" t="str">
        <f t="shared" si="55"/>
        <v/>
      </c>
      <c r="BJ519" s="6">
        <f t="shared" si="56"/>
        <v>0</v>
      </c>
      <c r="BK519" s="6">
        <f t="shared" si="57"/>
        <v>0</v>
      </c>
      <c r="BL519" s="6">
        <f t="shared" si="58"/>
        <v>0</v>
      </c>
      <c r="BM519" s="6">
        <f t="shared" si="59"/>
        <v>0</v>
      </c>
      <c r="BN519" s="6">
        <f t="shared" si="60"/>
        <v>0</v>
      </c>
      <c r="BP519" s="6">
        <f t="shared" si="61"/>
        <v>0</v>
      </c>
      <c r="BQ519" s="6" t="b">
        <f ca="1">IFERROR(__xludf.DUMMYFUNCTION("IF(AND(ISERROR(FILTER('Items by Team'!D$2:D3410,'Items by Team'!C$2:C3410 = D519,'Items by Team'!B$2:B3410 = B519)),NOT(A519=""Practice"")),TRUE,FALSE)"),FALSE)</f>
        <v>0</v>
      </c>
      <c r="BR519" s="6">
        <f t="shared" ca="1" si="62"/>
        <v>0</v>
      </c>
    </row>
    <row r="520" spans="1:70">
      <c r="A520" s="6"/>
      <c r="B520" s="6"/>
      <c r="C520" s="6"/>
      <c r="D520" s="6"/>
      <c r="E520" s="6"/>
      <c r="F520" s="6"/>
      <c r="G520" s="6"/>
      <c r="H520" s="6"/>
      <c r="I520" s="6"/>
      <c r="J520" s="6"/>
      <c r="K520" s="6"/>
      <c r="L520" s="6"/>
      <c r="M520" s="6"/>
      <c r="N520" s="6"/>
      <c r="O520" s="6"/>
      <c r="P520" s="6"/>
      <c r="R520" s="6"/>
      <c r="S520" s="6"/>
      <c r="T520" s="6"/>
      <c r="U520" s="6"/>
      <c r="V520" s="6"/>
      <c r="W520" s="6"/>
      <c r="X520" s="6"/>
      <c r="Y520" s="6"/>
      <c r="Z520" s="6"/>
      <c r="AA520" s="6"/>
      <c r="AB520" s="6"/>
      <c r="AD520" s="6"/>
      <c r="AE520" s="6"/>
      <c r="AF520" s="6"/>
      <c r="AG520" s="6"/>
      <c r="AH520" s="6"/>
      <c r="AI520" s="6"/>
      <c r="AK520" s="6"/>
      <c r="AL520" s="6"/>
      <c r="AM520" s="6"/>
      <c r="AN520" s="6"/>
      <c r="AO520" s="6"/>
      <c r="AP520" s="6"/>
      <c r="AQ520" s="6"/>
      <c r="AR520" s="6"/>
      <c r="AS520" s="15"/>
      <c r="AT520" s="6" t="str">
        <f ca="1">IFERROR(__xludf.DUMMYFUNCTION("SWITCH(IF(A520=""Practice"",AN520,FILTER('Items by Team'!E$2:E3410,'Items by Team'!C$2:C3410=D520,B520='Items by Team'!B$2:B3410)),""None"",""No"",""Parked"",""P"",""ShallowCage"",""Sc"",""DeepCage"",""Dc"",""No"",""No"",""P"",""P"",""Sc"",""Sc"",""Dc"","&amp;"""Dc"")"),"#REF!")</f>
        <v>#REF!</v>
      </c>
      <c r="AU520" s="6" t="str">
        <f ca="1">IFERROR(__xludf.DUMMYFUNCTION("SWITCH(IF(A520 = ""Practice"", H520, FILTER('Items by Team'!D$2:D3410,'Items by Team'!C$2:C3410 = D520,'Items by Team'!B$2:B3410 = B520)), ""Yes"", ""TRUE"", ""No"", ""FALSE"",TRUE, ""TRUE"", FALSE, ""FALSE"")"),"#REF!")</f>
        <v>#REF!</v>
      </c>
      <c r="AV520" s="6">
        <f t="shared" si="42"/>
        <v>0</v>
      </c>
      <c r="AW520" s="6">
        <f t="shared" si="43"/>
        <v>0</v>
      </c>
      <c r="AX520" s="6">
        <f t="shared" si="44"/>
        <v>0</v>
      </c>
      <c r="AY520" s="6">
        <f t="shared" si="45"/>
        <v>0</v>
      </c>
      <c r="AZ520" s="9" t="str">
        <f t="shared" si="46"/>
        <v/>
      </c>
      <c r="BA520" s="6">
        <f t="shared" si="47"/>
        <v>0</v>
      </c>
      <c r="BB520" s="6">
        <f t="shared" si="48"/>
        <v>0</v>
      </c>
      <c r="BC520" s="9" t="str">
        <f t="shared" si="49"/>
        <v/>
      </c>
      <c r="BD520" s="6">
        <f t="shared" si="50"/>
        <v>0</v>
      </c>
      <c r="BE520" s="6">
        <f t="shared" si="51"/>
        <v>0</v>
      </c>
      <c r="BF520" s="9" t="str">
        <f t="shared" si="52"/>
        <v/>
      </c>
      <c r="BG520" s="6">
        <f t="shared" si="53"/>
        <v>0</v>
      </c>
      <c r="BH520" s="6">
        <f t="shared" si="54"/>
        <v>0</v>
      </c>
      <c r="BI520" s="9" t="str">
        <f t="shared" si="55"/>
        <v/>
      </c>
      <c r="BJ520" s="6">
        <f t="shared" si="56"/>
        <v>0</v>
      </c>
      <c r="BK520" s="6">
        <f t="shared" si="57"/>
        <v>0</v>
      </c>
      <c r="BL520" s="6">
        <f t="shared" si="58"/>
        <v>0</v>
      </c>
      <c r="BM520" s="6">
        <f t="shared" si="59"/>
        <v>0</v>
      </c>
      <c r="BN520" s="6">
        <f t="shared" si="60"/>
        <v>0</v>
      </c>
      <c r="BP520" s="6">
        <f t="shared" si="61"/>
        <v>0</v>
      </c>
      <c r="BQ520" s="6" t="b">
        <f ca="1">IFERROR(__xludf.DUMMYFUNCTION("IF(AND(ISERROR(FILTER('Items by Team'!D$2:D3410,'Items by Team'!C$2:C3410 = D520,'Items by Team'!B$2:B3410 = B520)),NOT(A520=""Practice"")),TRUE,FALSE)"),FALSE)</f>
        <v>0</v>
      </c>
      <c r="BR520" s="6">
        <f t="shared" ca="1" si="62"/>
        <v>0</v>
      </c>
    </row>
    <row r="521" spans="1:70">
      <c r="A521" s="6"/>
      <c r="B521" s="6"/>
      <c r="C521" s="6"/>
      <c r="D521" s="6"/>
      <c r="E521" s="6"/>
      <c r="F521" s="6"/>
      <c r="G521" s="6"/>
      <c r="H521" s="6"/>
      <c r="I521" s="6"/>
      <c r="J521" s="6"/>
      <c r="K521" s="6"/>
      <c r="L521" s="6"/>
      <c r="M521" s="6"/>
      <c r="N521" s="6"/>
      <c r="O521" s="6"/>
      <c r="P521" s="6"/>
      <c r="R521" s="6"/>
      <c r="S521" s="6"/>
      <c r="T521" s="6"/>
      <c r="U521" s="6"/>
      <c r="V521" s="6"/>
      <c r="W521" s="6"/>
      <c r="X521" s="6"/>
      <c r="Y521" s="6"/>
      <c r="Z521" s="6"/>
      <c r="AA521" s="6"/>
      <c r="AB521" s="6"/>
      <c r="AD521" s="6"/>
      <c r="AE521" s="6"/>
      <c r="AF521" s="6"/>
      <c r="AG521" s="6"/>
      <c r="AH521" s="6"/>
      <c r="AI521" s="6"/>
      <c r="AK521" s="6"/>
      <c r="AL521" s="6"/>
      <c r="AM521" s="6"/>
      <c r="AN521" s="6"/>
      <c r="AO521" s="6"/>
      <c r="AP521" s="6"/>
      <c r="AQ521" s="6"/>
      <c r="AR521" s="6"/>
      <c r="AS521" s="15"/>
      <c r="AT521" s="6" t="str">
        <f ca="1">IFERROR(__xludf.DUMMYFUNCTION("SWITCH(IF(A521=""Practice"",AN521,FILTER('Items by Team'!E$2:E3410,'Items by Team'!C$2:C3410=D521,B521='Items by Team'!B$2:B3410)),""None"",""No"",""Parked"",""P"",""ShallowCage"",""Sc"",""DeepCage"",""Dc"",""No"",""No"",""P"",""P"",""Sc"",""Sc"",""Dc"","&amp;"""Dc"")"),"#REF!")</f>
        <v>#REF!</v>
      </c>
      <c r="AU521" s="6" t="str">
        <f ca="1">IFERROR(__xludf.DUMMYFUNCTION("SWITCH(IF(A521 = ""Practice"", H521, FILTER('Items by Team'!D$2:D3410,'Items by Team'!C$2:C3410 = D521,'Items by Team'!B$2:B3410 = B521)), ""Yes"", ""TRUE"", ""No"", ""FALSE"",TRUE, ""TRUE"", FALSE, ""FALSE"")"),"#REF!")</f>
        <v>#REF!</v>
      </c>
      <c r="AV521" s="6">
        <f t="shared" si="42"/>
        <v>0</v>
      </c>
      <c r="AW521" s="6">
        <f t="shared" si="43"/>
        <v>0</v>
      </c>
      <c r="AX521" s="6">
        <f t="shared" si="44"/>
        <v>0</v>
      </c>
      <c r="AY521" s="6">
        <f t="shared" si="45"/>
        <v>0</v>
      </c>
      <c r="AZ521" s="9" t="str">
        <f t="shared" si="46"/>
        <v/>
      </c>
      <c r="BA521" s="6">
        <f t="shared" si="47"/>
        <v>0</v>
      </c>
      <c r="BB521" s="6">
        <f t="shared" si="48"/>
        <v>0</v>
      </c>
      <c r="BC521" s="9" t="str">
        <f t="shared" si="49"/>
        <v/>
      </c>
      <c r="BD521" s="6">
        <f t="shared" si="50"/>
        <v>0</v>
      </c>
      <c r="BE521" s="6">
        <f t="shared" si="51"/>
        <v>0</v>
      </c>
      <c r="BF521" s="9" t="str">
        <f t="shared" si="52"/>
        <v/>
      </c>
      <c r="BG521" s="6">
        <f t="shared" si="53"/>
        <v>0</v>
      </c>
      <c r="BH521" s="6">
        <f t="shared" si="54"/>
        <v>0</v>
      </c>
      <c r="BI521" s="9" t="str">
        <f t="shared" si="55"/>
        <v/>
      </c>
      <c r="BJ521" s="6">
        <f t="shared" si="56"/>
        <v>0</v>
      </c>
      <c r="BK521" s="6">
        <f t="shared" si="57"/>
        <v>0</v>
      </c>
      <c r="BL521" s="6">
        <f t="shared" si="58"/>
        <v>0</v>
      </c>
      <c r="BM521" s="6">
        <f t="shared" si="59"/>
        <v>0</v>
      </c>
      <c r="BN521" s="6">
        <f t="shared" si="60"/>
        <v>0</v>
      </c>
      <c r="BP521" s="6">
        <f t="shared" si="61"/>
        <v>0</v>
      </c>
      <c r="BQ521" s="6" t="b">
        <f ca="1">IFERROR(__xludf.DUMMYFUNCTION("IF(AND(ISERROR(FILTER('Items by Team'!D$2:D3410,'Items by Team'!C$2:C3410 = D521,'Items by Team'!B$2:B3410 = B521)),NOT(A521=""Practice"")),TRUE,FALSE)"),FALSE)</f>
        <v>0</v>
      </c>
      <c r="BR521" s="6">
        <f t="shared" ca="1" si="62"/>
        <v>0</v>
      </c>
    </row>
    <row r="522" spans="1:70">
      <c r="A522" s="6"/>
      <c r="B522" s="6"/>
      <c r="C522" s="6"/>
      <c r="D522" s="6"/>
      <c r="E522" s="6"/>
      <c r="F522" s="6"/>
      <c r="G522" s="6"/>
      <c r="H522" s="6"/>
      <c r="I522" s="6"/>
      <c r="J522" s="6"/>
      <c r="K522" s="6"/>
      <c r="L522" s="6"/>
      <c r="M522" s="6"/>
      <c r="N522" s="6"/>
      <c r="O522" s="6"/>
      <c r="P522" s="6"/>
      <c r="R522" s="6"/>
      <c r="S522" s="6"/>
      <c r="T522" s="6"/>
      <c r="U522" s="6"/>
      <c r="V522" s="6"/>
      <c r="W522" s="6"/>
      <c r="X522" s="6"/>
      <c r="Y522" s="6"/>
      <c r="Z522" s="6"/>
      <c r="AA522" s="6"/>
      <c r="AB522" s="6"/>
      <c r="AD522" s="6"/>
      <c r="AE522" s="6"/>
      <c r="AF522" s="6"/>
      <c r="AG522" s="6"/>
      <c r="AH522" s="6"/>
      <c r="AI522" s="6"/>
      <c r="AK522" s="6"/>
      <c r="AL522" s="6"/>
      <c r="AM522" s="6"/>
      <c r="AN522" s="6"/>
      <c r="AO522" s="6"/>
      <c r="AP522" s="6"/>
      <c r="AQ522" s="6"/>
      <c r="AR522" s="6"/>
      <c r="AS522" s="15"/>
      <c r="AT522" s="6" t="str">
        <f ca="1">IFERROR(__xludf.DUMMYFUNCTION("SWITCH(IF(A522=""Practice"",AN522,FILTER('Items by Team'!E$2:E3410,'Items by Team'!C$2:C3410=D522,B522='Items by Team'!B$2:B3410)),""None"",""No"",""Parked"",""P"",""ShallowCage"",""Sc"",""DeepCage"",""Dc"",""No"",""No"",""P"",""P"",""Sc"",""Sc"",""Dc"","&amp;"""Dc"")"),"#REF!")</f>
        <v>#REF!</v>
      </c>
      <c r="AU522" s="6" t="str">
        <f ca="1">IFERROR(__xludf.DUMMYFUNCTION("SWITCH(IF(A522 = ""Practice"", H522, FILTER('Items by Team'!D$2:D3410,'Items by Team'!C$2:C3410 = D522,'Items by Team'!B$2:B3410 = B522)), ""Yes"", ""TRUE"", ""No"", ""FALSE"",TRUE, ""TRUE"", FALSE, ""FALSE"")"),"#REF!")</f>
        <v>#REF!</v>
      </c>
      <c r="AV522" s="6">
        <f t="shared" si="42"/>
        <v>0</v>
      </c>
      <c r="AW522" s="6">
        <f t="shared" si="43"/>
        <v>0</v>
      </c>
      <c r="AX522" s="6">
        <f t="shared" si="44"/>
        <v>0</v>
      </c>
      <c r="AY522" s="6">
        <f t="shared" si="45"/>
        <v>0</v>
      </c>
      <c r="AZ522" s="9" t="str">
        <f t="shared" si="46"/>
        <v/>
      </c>
      <c r="BA522" s="6">
        <f t="shared" si="47"/>
        <v>0</v>
      </c>
      <c r="BB522" s="6">
        <f t="shared" si="48"/>
        <v>0</v>
      </c>
      <c r="BC522" s="9" t="str">
        <f t="shared" si="49"/>
        <v/>
      </c>
      <c r="BD522" s="6">
        <f t="shared" si="50"/>
        <v>0</v>
      </c>
      <c r="BE522" s="6">
        <f t="shared" si="51"/>
        <v>0</v>
      </c>
      <c r="BF522" s="9" t="str">
        <f t="shared" si="52"/>
        <v/>
      </c>
      <c r="BG522" s="6">
        <f t="shared" si="53"/>
        <v>0</v>
      </c>
      <c r="BH522" s="6">
        <f t="shared" si="54"/>
        <v>0</v>
      </c>
      <c r="BI522" s="9" t="str">
        <f t="shared" si="55"/>
        <v/>
      </c>
      <c r="BJ522" s="6">
        <f t="shared" si="56"/>
        <v>0</v>
      </c>
      <c r="BK522" s="6">
        <f t="shared" si="57"/>
        <v>0</v>
      </c>
      <c r="BL522" s="6">
        <f t="shared" si="58"/>
        <v>0</v>
      </c>
      <c r="BM522" s="6">
        <f t="shared" si="59"/>
        <v>0</v>
      </c>
      <c r="BN522" s="6">
        <f t="shared" si="60"/>
        <v>0</v>
      </c>
      <c r="BP522" s="6">
        <f t="shared" si="61"/>
        <v>0</v>
      </c>
      <c r="BQ522" s="6" t="b">
        <f ca="1">IFERROR(__xludf.DUMMYFUNCTION("IF(AND(ISERROR(FILTER('Items by Team'!D$2:D3410,'Items by Team'!C$2:C3410 = D522,'Items by Team'!B$2:B3410 = B522)),NOT(A522=""Practice"")),TRUE,FALSE)"),FALSE)</f>
        <v>0</v>
      </c>
      <c r="BR522" s="6">
        <f t="shared" ca="1" si="62"/>
        <v>0</v>
      </c>
    </row>
    <row r="523" spans="1:70">
      <c r="A523" s="6"/>
      <c r="B523" s="6"/>
      <c r="C523" s="6"/>
      <c r="D523" s="6"/>
      <c r="E523" s="6"/>
      <c r="F523" s="6"/>
      <c r="G523" s="6"/>
      <c r="H523" s="6"/>
      <c r="I523" s="6"/>
      <c r="J523" s="6"/>
      <c r="K523" s="6"/>
      <c r="L523" s="6"/>
      <c r="M523" s="6"/>
      <c r="N523" s="6"/>
      <c r="O523" s="6"/>
      <c r="P523" s="6"/>
      <c r="R523" s="6"/>
      <c r="S523" s="6"/>
      <c r="T523" s="6"/>
      <c r="U523" s="6"/>
      <c r="V523" s="6"/>
      <c r="W523" s="6"/>
      <c r="X523" s="6"/>
      <c r="Y523" s="6"/>
      <c r="Z523" s="6"/>
      <c r="AA523" s="6"/>
      <c r="AB523" s="6"/>
      <c r="AD523" s="6"/>
      <c r="AE523" s="6"/>
      <c r="AF523" s="6"/>
      <c r="AG523" s="6"/>
      <c r="AH523" s="6"/>
      <c r="AI523" s="6"/>
      <c r="AK523" s="6"/>
      <c r="AL523" s="6"/>
      <c r="AM523" s="6"/>
      <c r="AN523" s="6"/>
      <c r="AO523" s="6"/>
      <c r="AP523" s="6"/>
      <c r="AQ523" s="6"/>
      <c r="AR523" s="6"/>
      <c r="AS523" s="15"/>
      <c r="AT523" s="6" t="str">
        <f ca="1">IFERROR(__xludf.DUMMYFUNCTION("SWITCH(IF(A523=""Practice"",AN523,FILTER('Items by Team'!E$2:E3410,'Items by Team'!C$2:C3410=D523,B523='Items by Team'!B$2:B3410)),""None"",""No"",""Parked"",""P"",""ShallowCage"",""Sc"",""DeepCage"",""Dc"",""No"",""No"",""P"",""P"",""Sc"",""Sc"",""Dc"","&amp;"""Dc"")"),"#REF!")</f>
        <v>#REF!</v>
      </c>
      <c r="AU523" s="6" t="str">
        <f ca="1">IFERROR(__xludf.DUMMYFUNCTION("SWITCH(IF(A523 = ""Practice"", H523, FILTER('Items by Team'!D$2:D3410,'Items by Team'!C$2:C3410 = D523,'Items by Team'!B$2:B3410 = B523)), ""Yes"", ""TRUE"", ""No"", ""FALSE"",TRUE, ""TRUE"", FALSE, ""FALSE"")"),"#REF!")</f>
        <v>#REF!</v>
      </c>
      <c r="AV523" s="6">
        <f t="shared" si="42"/>
        <v>0</v>
      </c>
      <c r="AW523" s="6">
        <f t="shared" si="43"/>
        <v>0</v>
      </c>
      <c r="AX523" s="6">
        <f t="shared" si="44"/>
        <v>0</v>
      </c>
      <c r="AY523" s="6">
        <f t="shared" si="45"/>
        <v>0</v>
      </c>
      <c r="AZ523" s="9" t="str">
        <f t="shared" si="46"/>
        <v/>
      </c>
      <c r="BA523" s="6">
        <f t="shared" si="47"/>
        <v>0</v>
      </c>
      <c r="BB523" s="6">
        <f t="shared" si="48"/>
        <v>0</v>
      </c>
      <c r="BC523" s="9" t="str">
        <f t="shared" si="49"/>
        <v/>
      </c>
      <c r="BD523" s="6">
        <f t="shared" si="50"/>
        <v>0</v>
      </c>
      <c r="BE523" s="6">
        <f t="shared" si="51"/>
        <v>0</v>
      </c>
      <c r="BF523" s="9" t="str">
        <f t="shared" si="52"/>
        <v/>
      </c>
      <c r="BG523" s="6">
        <f t="shared" si="53"/>
        <v>0</v>
      </c>
      <c r="BH523" s="6">
        <f t="shared" si="54"/>
        <v>0</v>
      </c>
      <c r="BI523" s="9" t="str">
        <f t="shared" si="55"/>
        <v/>
      </c>
      <c r="BJ523" s="6">
        <f t="shared" si="56"/>
        <v>0</v>
      </c>
      <c r="BK523" s="6">
        <f t="shared" si="57"/>
        <v>0</v>
      </c>
      <c r="BL523" s="6">
        <f t="shared" si="58"/>
        <v>0</v>
      </c>
      <c r="BM523" s="6">
        <f t="shared" si="59"/>
        <v>0</v>
      </c>
      <c r="BN523" s="6">
        <f t="shared" si="60"/>
        <v>0</v>
      </c>
      <c r="BP523" s="6">
        <f t="shared" si="61"/>
        <v>0</v>
      </c>
      <c r="BQ523" s="6" t="b">
        <f ca="1">IFERROR(__xludf.DUMMYFUNCTION("IF(AND(ISERROR(FILTER('Items by Team'!D$2:D3410,'Items by Team'!C$2:C3410 = D523,'Items by Team'!B$2:B3410 = B523)),NOT(A523=""Practice"")),TRUE,FALSE)"),FALSE)</f>
        <v>0</v>
      </c>
      <c r="BR523" s="6">
        <f t="shared" ca="1" si="62"/>
        <v>0</v>
      </c>
    </row>
    <row r="524" spans="1:70">
      <c r="A524" s="6"/>
      <c r="B524" s="6"/>
      <c r="C524" s="6"/>
      <c r="D524" s="6"/>
      <c r="E524" s="6"/>
      <c r="F524" s="6"/>
      <c r="G524" s="6"/>
      <c r="H524" s="6"/>
      <c r="I524" s="6"/>
      <c r="J524" s="6"/>
      <c r="K524" s="6"/>
      <c r="L524" s="6"/>
      <c r="M524" s="6"/>
      <c r="N524" s="6"/>
      <c r="O524" s="6"/>
      <c r="P524" s="6"/>
      <c r="R524" s="6"/>
      <c r="S524" s="6"/>
      <c r="T524" s="6"/>
      <c r="U524" s="6"/>
      <c r="V524" s="6"/>
      <c r="W524" s="6"/>
      <c r="X524" s="6"/>
      <c r="Y524" s="6"/>
      <c r="Z524" s="6"/>
      <c r="AA524" s="6"/>
      <c r="AB524" s="6"/>
      <c r="AD524" s="6"/>
      <c r="AE524" s="6"/>
      <c r="AF524" s="6"/>
      <c r="AG524" s="6"/>
      <c r="AH524" s="6"/>
      <c r="AI524" s="6"/>
      <c r="AK524" s="6"/>
      <c r="AL524" s="6"/>
      <c r="AM524" s="6"/>
      <c r="AN524" s="6"/>
      <c r="AO524" s="6"/>
      <c r="AP524" s="6"/>
      <c r="AQ524" s="6"/>
      <c r="AR524" s="6"/>
      <c r="AS524" s="15"/>
      <c r="AT524" s="6" t="str">
        <f ca="1">IFERROR(__xludf.DUMMYFUNCTION("SWITCH(IF(A524=""Practice"",AN524,FILTER('Items by Team'!E$2:E3410,'Items by Team'!C$2:C3410=D524,B524='Items by Team'!B$2:B3410)),""None"",""No"",""Parked"",""P"",""ShallowCage"",""Sc"",""DeepCage"",""Dc"",""No"",""No"",""P"",""P"",""Sc"",""Sc"",""Dc"","&amp;"""Dc"")"),"#REF!")</f>
        <v>#REF!</v>
      </c>
      <c r="AU524" s="6" t="str">
        <f ca="1">IFERROR(__xludf.DUMMYFUNCTION("SWITCH(IF(A524 = ""Practice"", H524, FILTER('Items by Team'!D$2:D3410,'Items by Team'!C$2:C3410 = D524,'Items by Team'!B$2:B3410 = B524)), ""Yes"", ""TRUE"", ""No"", ""FALSE"",TRUE, ""TRUE"", FALSE, ""FALSE"")"),"#REF!")</f>
        <v>#REF!</v>
      </c>
      <c r="AV524" s="6">
        <f t="shared" si="42"/>
        <v>0</v>
      </c>
      <c r="AW524" s="6">
        <f t="shared" si="43"/>
        <v>0</v>
      </c>
      <c r="AX524" s="6">
        <f t="shared" si="44"/>
        <v>0</v>
      </c>
      <c r="AY524" s="6">
        <f t="shared" si="45"/>
        <v>0</v>
      </c>
      <c r="AZ524" s="9" t="str">
        <f t="shared" si="46"/>
        <v/>
      </c>
      <c r="BA524" s="6">
        <f t="shared" si="47"/>
        <v>0</v>
      </c>
      <c r="BB524" s="6">
        <f t="shared" si="48"/>
        <v>0</v>
      </c>
      <c r="BC524" s="9" t="str">
        <f t="shared" si="49"/>
        <v/>
      </c>
      <c r="BD524" s="6">
        <f t="shared" si="50"/>
        <v>0</v>
      </c>
      <c r="BE524" s="6">
        <f t="shared" si="51"/>
        <v>0</v>
      </c>
      <c r="BF524" s="9" t="str">
        <f t="shared" si="52"/>
        <v/>
      </c>
      <c r="BG524" s="6">
        <f t="shared" si="53"/>
        <v>0</v>
      </c>
      <c r="BH524" s="6">
        <f t="shared" si="54"/>
        <v>0</v>
      </c>
      <c r="BI524" s="9" t="str">
        <f t="shared" si="55"/>
        <v/>
      </c>
      <c r="BJ524" s="6">
        <f t="shared" si="56"/>
        <v>0</v>
      </c>
      <c r="BK524" s="6">
        <f t="shared" si="57"/>
        <v>0</v>
      </c>
      <c r="BL524" s="6">
        <f t="shared" si="58"/>
        <v>0</v>
      </c>
      <c r="BM524" s="6">
        <f t="shared" si="59"/>
        <v>0</v>
      </c>
      <c r="BN524" s="6">
        <f t="shared" si="60"/>
        <v>0</v>
      </c>
      <c r="BP524" s="6">
        <f t="shared" si="61"/>
        <v>0</v>
      </c>
      <c r="BQ524" s="6" t="b">
        <f ca="1">IFERROR(__xludf.DUMMYFUNCTION("IF(AND(ISERROR(FILTER('Items by Team'!D$2:D3410,'Items by Team'!C$2:C3410 = D524,'Items by Team'!B$2:B3410 = B524)),NOT(A524=""Practice"")),TRUE,FALSE)"),FALSE)</f>
        <v>0</v>
      </c>
      <c r="BR524" s="6">
        <f t="shared" ca="1" si="62"/>
        <v>0</v>
      </c>
    </row>
    <row r="525" spans="1:70">
      <c r="A525" s="6"/>
      <c r="B525" s="6"/>
      <c r="C525" s="6"/>
      <c r="D525" s="6"/>
      <c r="E525" s="6"/>
      <c r="F525" s="6"/>
      <c r="G525" s="6"/>
      <c r="H525" s="6"/>
      <c r="I525" s="6"/>
      <c r="J525" s="6"/>
      <c r="K525" s="6"/>
      <c r="L525" s="6"/>
      <c r="M525" s="6"/>
      <c r="N525" s="6"/>
      <c r="O525" s="6"/>
      <c r="P525" s="6"/>
      <c r="R525" s="6"/>
      <c r="S525" s="6"/>
      <c r="T525" s="6"/>
      <c r="U525" s="6"/>
      <c r="V525" s="6"/>
      <c r="W525" s="6"/>
      <c r="X525" s="6"/>
      <c r="Y525" s="6"/>
      <c r="Z525" s="6"/>
      <c r="AA525" s="6"/>
      <c r="AB525" s="6"/>
      <c r="AD525" s="6"/>
      <c r="AE525" s="6"/>
      <c r="AF525" s="6"/>
      <c r="AG525" s="6"/>
      <c r="AH525" s="6"/>
      <c r="AI525" s="6"/>
      <c r="AK525" s="6"/>
      <c r="AL525" s="6"/>
      <c r="AM525" s="6"/>
      <c r="AN525" s="6"/>
      <c r="AO525" s="6"/>
      <c r="AP525" s="6"/>
      <c r="AQ525" s="6"/>
      <c r="AR525" s="6"/>
      <c r="AS525" s="15"/>
      <c r="AT525" s="6" t="str">
        <f ca="1">IFERROR(__xludf.DUMMYFUNCTION("SWITCH(IF(A525=""Practice"",AN525,FILTER('Items by Team'!E$2:E3410,'Items by Team'!C$2:C3410=D525,B525='Items by Team'!B$2:B3410)),""None"",""No"",""Parked"",""P"",""ShallowCage"",""Sc"",""DeepCage"",""Dc"",""No"",""No"",""P"",""P"",""Sc"",""Sc"",""Dc"","&amp;"""Dc"")"),"#REF!")</f>
        <v>#REF!</v>
      </c>
      <c r="AU525" s="6" t="str">
        <f ca="1">IFERROR(__xludf.DUMMYFUNCTION("SWITCH(IF(A525 = ""Practice"", H525, FILTER('Items by Team'!D$2:D3410,'Items by Team'!C$2:C3410 = D525,'Items by Team'!B$2:B3410 = B525)), ""Yes"", ""TRUE"", ""No"", ""FALSE"",TRUE, ""TRUE"", FALSE, ""FALSE"")"),"#REF!")</f>
        <v>#REF!</v>
      </c>
      <c r="AV525" s="6">
        <f t="shared" si="42"/>
        <v>0</v>
      </c>
      <c r="AW525" s="6">
        <f t="shared" si="43"/>
        <v>0</v>
      </c>
      <c r="AX525" s="6">
        <f t="shared" si="44"/>
        <v>0</v>
      </c>
      <c r="AY525" s="6">
        <f t="shared" si="45"/>
        <v>0</v>
      </c>
      <c r="AZ525" s="9" t="str">
        <f t="shared" si="46"/>
        <v/>
      </c>
      <c r="BA525" s="6">
        <f t="shared" si="47"/>
        <v>0</v>
      </c>
      <c r="BB525" s="6">
        <f t="shared" si="48"/>
        <v>0</v>
      </c>
      <c r="BC525" s="9" t="str">
        <f t="shared" si="49"/>
        <v/>
      </c>
      <c r="BD525" s="6">
        <f t="shared" si="50"/>
        <v>0</v>
      </c>
      <c r="BE525" s="6">
        <f t="shared" si="51"/>
        <v>0</v>
      </c>
      <c r="BF525" s="9" t="str">
        <f t="shared" si="52"/>
        <v/>
      </c>
      <c r="BG525" s="6">
        <f t="shared" si="53"/>
        <v>0</v>
      </c>
      <c r="BH525" s="6">
        <f t="shared" si="54"/>
        <v>0</v>
      </c>
      <c r="BI525" s="9" t="str">
        <f t="shared" si="55"/>
        <v/>
      </c>
      <c r="BJ525" s="6">
        <f t="shared" si="56"/>
        <v>0</v>
      </c>
      <c r="BK525" s="6">
        <f t="shared" si="57"/>
        <v>0</v>
      </c>
      <c r="BL525" s="6">
        <f t="shared" si="58"/>
        <v>0</v>
      </c>
      <c r="BM525" s="6">
        <f t="shared" si="59"/>
        <v>0</v>
      </c>
      <c r="BN525" s="6">
        <f t="shared" si="60"/>
        <v>0</v>
      </c>
      <c r="BP525" s="6">
        <f t="shared" si="61"/>
        <v>0</v>
      </c>
      <c r="BQ525" s="6" t="b">
        <f ca="1">IFERROR(__xludf.DUMMYFUNCTION("IF(AND(ISERROR(FILTER('Items by Team'!D$2:D3410,'Items by Team'!C$2:C3410 = D525,'Items by Team'!B$2:B3410 = B525)),NOT(A525=""Practice"")),TRUE,FALSE)"),FALSE)</f>
        <v>0</v>
      </c>
      <c r="BR525" s="6">
        <f t="shared" ca="1" si="62"/>
        <v>0</v>
      </c>
    </row>
    <row r="526" spans="1:70">
      <c r="A526" s="6"/>
      <c r="B526" s="6"/>
      <c r="C526" s="6"/>
      <c r="D526" s="6"/>
      <c r="E526" s="6"/>
      <c r="F526" s="6"/>
      <c r="G526" s="6"/>
      <c r="H526" s="6"/>
      <c r="I526" s="6"/>
      <c r="J526" s="6"/>
      <c r="K526" s="6"/>
      <c r="L526" s="6"/>
      <c r="M526" s="6"/>
      <c r="N526" s="6"/>
      <c r="O526" s="6"/>
      <c r="P526" s="6"/>
      <c r="R526" s="6"/>
      <c r="S526" s="6"/>
      <c r="T526" s="6"/>
      <c r="U526" s="6"/>
      <c r="V526" s="6"/>
      <c r="W526" s="6"/>
      <c r="X526" s="6"/>
      <c r="Y526" s="6"/>
      <c r="Z526" s="6"/>
      <c r="AA526" s="6"/>
      <c r="AB526" s="6"/>
      <c r="AD526" s="6"/>
      <c r="AE526" s="6"/>
      <c r="AF526" s="6"/>
      <c r="AG526" s="6"/>
      <c r="AH526" s="6"/>
      <c r="AI526" s="6"/>
      <c r="AK526" s="6"/>
      <c r="AL526" s="6"/>
      <c r="AM526" s="6"/>
      <c r="AN526" s="6"/>
      <c r="AO526" s="6"/>
      <c r="AP526" s="6"/>
      <c r="AQ526" s="6"/>
      <c r="AR526" s="6"/>
      <c r="AS526" s="15"/>
      <c r="AT526" s="6" t="str">
        <f ca="1">IFERROR(__xludf.DUMMYFUNCTION("SWITCH(IF(A526=""Practice"",AN526,FILTER('Items by Team'!E$2:E3410,'Items by Team'!C$2:C3410=D526,B526='Items by Team'!B$2:B3410)),""None"",""No"",""Parked"",""P"",""ShallowCage"",""Sc"",""DeepCage"",""Dc"",""No"",""No"",""P"",""P"",""Sc"",""Sc"",""Dc"","&amp;"""Dc"")"),"#REF!")</f>
        <v>#REF!</v>
      </c>
      <c r="AU526" s="6" t="str">
        <f ca="1">IFERROR(__xludf.DUMMYFUNCTION("SWITCH(IF(A526 = ""Practice"", H526, FILTER('Items by Team'!D$2:D3410,'Items by Team'!C$2:C3410 = D526,'Items by Team'!B$2:B3410 = B526)), ""Yes"", ""TRUE"", ""No"", ""FALSE"",TRUE, ""TRUE"", FALSE, ""FALSE"")"),"#REF!")</f>
        <v>#REF!</v>
      </c>
      <c r="AV526" s="6">
        <f t="shared" si="42"/>
        <v>0</v>
      </c>
      <c r="AW526" s="6">
        <f t="shared" si="43"/>
        <v>0</v>
      </c>
      <c r="AX526" s="6">
        <f t="shared" si="44"/>
        <v>0</v>
      </c>
      <c r="AY526" s="6">
        <f t="shared" si="45"/>
        <v>0</v>
      </c>
      <c r="AZ526" s="9" t="str">
        <f t="shared" si="46"/>
        <v/>
      </c>
      <c r="BA526" s="6">
        <f t="shared" si="47"/>
        <v>0</v>
      </c>
      <c r="BB526" s="6">
        <f t="shared" si="48"/>
        <v>0</v>
      </c>
      <c r="BC526" s="9" t="str">
        <f t="shared" si="49"/>
        <v/>
      </c>
      <c r="BD526" s="6">
        <f t="shared" si="50"/>
        <v>0</v>
      </c>
      <c r="BE526" s="6">
        <f t="shared" si="51"/>
        <v>0</v>
      </c>
      <c r="BF526" s="9" t="str">
        <f t="shared" si="52"/>
        <v/>
      </c>
      <c r="BG526" s="6">
        <f t="shared" si="53"/>
        <v>0</v>
      </c>
      <c r="BH526" s="6">
        <f t="shared" si="54"/>
        <v>0</v>
      </c>
      <c r="BI526" s="9" t="str">
        <f t="shared" si="55"/>
        <v/>
      </c>
      <c r="BJ526" s="6">
        <f t="shared" si="56"/>
        <v>0</v>
      </c>
      <c r="BK526" s="6">
        <f t="shared" si="57"/>
        <v>0</v>
      </c>
      <c r="BL526" s="6">
        <f t="shared" si="58"/>
        <v>0</v>
      </c>
      <c r="BM526" s="6">
        <f t="shared" si="59"/>
        <v>0</v>
      </c>
      <c r="BN526" s="6">
        <f t="shared" si="60"/>
        <v>0</v>
      </c>
      <c r="BP526" s="6">
        <f t="shared" si="61"/>
        <v>0</v>
      </c>
      <c r="BQ526" s="6" t="b">
        <f ca="1">IFERROR(__xludf.DUMMYFUNCTION("IF(AND(ISERROR(FILTER('Items by Team'!D$2:D3410,'Items by Team'!C$2:C3410 = D526,'Items by Team'!B$2:B3410 = B526)),NOT(A526=""Practice"")),TRUE,FALSE)"),FALSE)</f>
        <v>0</v>
      </c>
      <c r="BR526" s="6">
        <f t="shared" ca="1" si="62"/>
        <v>0</v>
      </c>
    </row>
    <row r="527" spans="1:70">
      <c r="A527" s="6"/>
      <c r="B527" s="6"/>
      <c r="C527" s="6"/>
      <c r="D527" s="6"/>
      <c r="E527" s="6"/>
      <c r="F527" s="6"/>
      <c r="G527" s="6"/>
      <c r="H527" s="6"/>
      <c r="I527" s="6"/>
      <c r="J527" s="6"/>
      <c r="K527" s="6"/>
      <c r="L527" s="6"/>
      <c r="M527" s="6"/>
      <c r="N527" s="6"/>
      <c r="O527" s="6"/>
      <c r="P527" s="6"/>
      <c r="R527" s="6"/>
      <c r="S527" s="6"/>
      <c r="T527" s="6"/>
      <c r="U527" s="6"/>
      <c r="V527" s="6"/>
      <c r="W527" s="6"/>
      <c r="X527" s="6"/>
      <c r="Y527" s="6"/>
      <c r="Z527" s="6"/>
      <c r="AA527" s="6"/>
      <c r="AB527" s="6"/>
      <c r="AD527" s="6"/>
      <c r="AE527" s="6"/>
      <c r="AF527" s="6"/>
      <c r="AG527" s="6"/>
      <c r="AH527" s="6"/>
      <c r="AI527" s="6"/>
      <c r="AK527" s="6"/>
      <c r="AL527" s="6"/>
      <c r="AM527" s="6"/>
      <c r="AN527" s="6"/>
      <c r="AO527" s="6"/>
      <c r="AP527" s="6"/>
      <c r="AQ527" s="6"/>
      <c r="AR527" s="6"/>
      <c r="AS527" s="15"/>
      <c r="AT527" s="6" t="str">
        <f ca="1">IFERROR(__xludf.DUMMYFUNCTION("SWITCH(IF(A527=""Practice"",AN527,FILTER('Items by Team'!E$2:E3410,'Items by Team'!C$2:C3410=D527,B527='Items by Team'!B$2:B3410)),""None"",""No"",""Parked"",""P"",""ShallowCage"",""Sc"",""DeepCage"",""Dc"",""No"",""No"",""P"",""P"",""Sc"",""Sc"",""Dc"","&amp;"""Dc"")"),"#REF!")</f>
        <v>#REF!</v>
      </c>
      <c r="AU527" s="6" t="str">
        <f ca="1">IFERROR(__xludf.DUMMYFUNCTION("SWITCH(IF(A527 = ""Practice"", H527, FILTER('Items by Team'!D$2:D3410,'Items by Team'!C$2:C3410 = D527,'Items by Team'!B$2:B3410 = B527)), ""Yes"", ""TRUE"", ""No"", ""FALSE"",TRUE, ""TRUE"", FALSE, ""FALSE"")"),"#REF!")</f>
        <v>#REF!</v>
      </c>
      <c r="AV527" s="6">
        <f t="shared" si="42"/>
        <v>0</v>
      </c>
      <c r="AW527" s="6">
        <f t="shared" si="43"/>
        <v>0</v>
      </c>
      <c r="AX527" s="6">
        <f t="shared" si="44"/>
        <v>0</v>
      </c>
      <c r="AY527" s="6">
        <f t="shared" si="45"/>
        <v>0</v>
      </c>
      <c r="AZ527" s="9" t="str">
        <f t="shared" si="46"/>
        <v/>
      </c>
      <c r="BA527" s="6">
        <f t="shared" si="47"/>
        <v>0</v>
      </c>
      <c r="BB527" s="6">
        <f t="shared" si="48"/>
        <v>0</v>
      </c>
      <c r="BC527" s="9" t="str">
        <f t="shared" si="49"/>
        <v/>
      </c>
      <c r="BD527" s="6">
        <f t="shared" si="50"/>
        <v>0</v>
      </c>
      <c r="BE527" s="6">
        <f t="shared" si="51"/>
        <v>0</v>
      </c>
      <c r="BF527" s="9" t="str">
        <f t="shared" si="52"/>
        <v/>
      </c>
      <c r="BG527" s="6">
        <f t="shared" si="53"/>
        <v>0</v>
      </c>
      <c r="BH527" s="6">
        <f t="shared" si="54"/>
        <v>0</v>
      </c>
      <c r="BI527" s="9" t="str">
        <f t="shared" si="55"/>
        <v/>
      </c>
      <c r="BJ527" s="6">
        <f t="shared" si="56"/>
        <v>0</v>
      </c>
      <c r="BK527" s="6">
        <f t="shared" si="57"/>
        <v>0</v>
      </c>
      <c r="BL527" s="6">
        <f t="shared" si="58"/>
        <v>0</v>
      </c>
      <c r="BM527" s="6">
        <f t="shared" si="59"/>
        <v>0</v>
      </c>
      <c r="BN527" s="6">
        <f t="shared" si="60"/>
        <v>0</v>
      </c>
      <c r="BP527" s="6">
        <f t="shared" si="61"/>
        <v>0</v>
      </c>
      <c r="BQ527" s="6" t="b">
        <f ca="1">IFERROR(__xludf.DUMMYFUNCTION("IF(AND(ISERROR(FILTER('Items by Team'!D$2:D3410,'Items by Team'!C$2:C3410 = D527,'Items by Team'!B$2:B3410 = B527)),NOT(A527=""Practice"")),TRUE,FALSE)"),FALSE)</f>
        <v>0</v>
      </c>
      <c r="BR527" s="6">
        <f t="shared" ca="1" si="62"/>
        <v>0</v>
      </c>
    </row>
    <row r="528" spans="1:70">
      <c r="A528" s="6"/>
      <c r="B528" s="6"/>
      <c r="C528" s="6"/>
      <c r="D528" s="6"/>
      <c r="E528" s="6"/>
      <c r="F528" s="6"/>
      <c r="G528" s="6"/>
      <c r="H528" s="6"/>
      <c r="I528" s="6"/>
      <c r="J528" s="6"/>
      <c r="K528" s="6"/>
      <c r="L528" s="6"/>
      <c r="M528" s="6"/>
      <c r="N528" s="6"/>
      <c r="O528" s="6"/>
      <c r="P528" s="6"/>
      <c r="R528" s="6"/>
      <c r="S528" s="6"/>
      <c r="T528" s="6"/>
      <c r="U528" s="6"/>
      <c r="V528" s="6"/>
      <c r="W528" s="6"/>
      <c r="X528" s="6"/>
      <c r="Y528" s="6"/>
      <c r="Z528" s="6"/>
      <c r="AA528" s="6"/>
      <c r="AB528" s="6"/>
      <c r="AD528" s="6"/>
      <c r="AE528" s="6"/>
      <c r="AF528" s="6"/>
      <c r="AG528" s="6"/>
      <c r="AH528" s="6"/>
      <c r="AI528" s="6"/>
      <c r="AK528" s="6"/>
      <c r="AL528" s="6"/>
      <c r="AM528" s="6"/>
      <c r="AN528" s="6"/>
      <c r="AO528" s="6"/>
      <c r="AP528" s="6"/>
      <c r="AQ528" s="6"/>
      <c r="AR528" s="6"/>
      <c r="AS528" s="15"/>
      <c r="AT528" s="6" t="str">
        <f ca="1">IFERROR(__xludf.DUMMYFUNCTION("SWITCH(IF(A528=""Practice"",AN528,FILTER('Items by Team'!E$2:E3410,'Items by Team'!C$2:C3410=D528,B528='Items by Team'!B$2:B3410)),""None"",""No"",""Parked"",""P"",""ShallowCage"",""Sc"",""DeepCage"",""Dc"",""No"",""No"",""P"",""P"",""Sc"",""Sc"",""Dc"","&amp;"""Dc"")"),"#REF!")</f>
        <v>#REF!</v>
      </c>
      <c r="AU528" s="6" t="str">
        <f ca="1">IFERROR(__xludf.DUMMYFUNCTION("SWITCH(IF(A528 = ""Practice"", H528, FILTER('Items by Team'!D$2:D3410,'Items by Team'!C$2:C3410 = D528,'Items by Team'!B$2:B3410 = B528)), ""Yes"", ""TRUE"", ""No"", ""FALSE"",TRUE, ""TRUE"", FALSE, ""FALSE"")"),"#REF!")</f>
        <v>#REF!</v>
      </c>
      <c r="AV528" s="6">
        <f t="shared" si="42"/>
        <v>0</v>
      </c>
      <c r="AW528" s="6">
        <f t="shared" si="43"/>
        <v>0</v>
      </c>
      <c r="AX528" s="6">
        <f t="shared" si="44"/>
        <v>0</v>
      </c>
      <c r="AY528" s="6">
        <f t="shared" si="45"/>
        <v>0</v>
      </c>
      <c r="AZ528" s="9" t="str">
        <f t="shared" si="46"/>
        <v/>
      </c>
      <c r="BA528" s="6">
        <f t="shared" si="47"/>
        <v>0</v>
      </c>
      <c r="BB528" s="6">
        <f t="shared" si="48"/>
        <v>0</v>
      </c>
      <c r="BC528" s="9" t="str">
        <f t="shared" si="49"/>
        <v/>
      </c>
      <c r="BD528" s="6">
        <f t="shared" si="50"/>
        <v>0</v>
      </c>
      <c r="BE528" s="6">
        <f t="shared" si="51"/>
        <v>0</v>
      </c>
      <c r="BF528" s="9" t="str">
        <f t="shared" si="52"/>
        <v/>
      </c>
      <c r="BG528" s="6">
        <f t="shared" si="53"/>
        <v>0</v>
      </c>
      <c r="BH528" s="6">
        <f t="shared" si="54"/>
        <v>0</v>
      </c>
      <c r="BI528" s="9" t="str">
        <f t="shared" si="55"/>
        <v/>
      </c>
      <c r="BJ528" s="6">
        <f t="shared" si="56"/>
        <v>0</v>
      </c>
      <c r="BK528" s="6">
        <f t="shared" si="57"/>
        <v>0</v>
      </c>
      <c r="BL528" s="6">
        <f t="shared" si="58"/>
        <v>0</v>
      </c>
      <c r="BM528" s="6">
        <f t="shared" si="59"/>
        <v>0</v>
      </c>
      <c r="BN528" s="6">
        <f t="shared" si="60"/>
        <v>0</v>
      </c>
      <c r="BP528" s="6">
        <f t="shared" si="61"/>
        <v>0</v>
      </c>
      <c r="BQ528" s="6" t="b">
        <f ca="1">IFERROR(__xludf.DUMMYFUNCTION("IF(AND(ISERROR(FILTER('Items by Team'!D$2:D3410,'Items by Team'!C$2:C3410 = D528,'Items by Team'!B$2:B3410 = B528)),NOT(A528=""Practice"")),TRUE,FALSE)"),FALSE)</f>
        <v>0</v>
      </c>
      <c r="BR528" s="6">
        <f t="shared" ca="1" si="62"/>
        <v>0</v>
      </c>
    </row>
    <row r="529" spans="1:70">
      <c r="A529" s="6"/>
      <c r="B529" s="6"/>
      <c r="C529" s="6"/>
      <c r="D529" s="6"/>
      <c r="E529" s="6"/>
      <c r="F529" s="6"/>
      <c r="G529" s="6"/>
      <c r="H529" s="6"/>
      <c r="I529" s="6"/>
      <c r="J529" s="6"/>
      <c r="K529" s="6"/>
      <c r="L529" s="6"/>
      <c r="M529" s="6"/>
      <c r="N529" s="6"/>
      <c r="O529" s="6"/>
      <c r="P529" s="6"/>
      <c r="R529" s="6"/>
      <c r="S529" s="6"/>
      <c r="T529" s="6"/>
      <c r="U529" s="6"/>
      <c r="V529" s="6"/>
      <c r="W529" s="6"/>
      <c r="X529" s="6"/>
      <c r="Y529" s="6"/>
      <c r="Z529" s="6"/>
      <c r="AA529" s="6"/>
      <c r="AB529" s="6"/>
      <c r="AD529" s="6"/>
      <c r="AE529" s="6"/>
      <c r="AF529" s="6"/>
      <c r="AG529" s="6"/>
      <c r="AH529" s="6"/>
      <c r="AI529" s="6"/>
      <c r="AK529" s="6"/>
      <c r="AL529" s="6"/>
      <c r="AM529" s="6"/>
      <c r="AN529" s="6"/>
      <c r="AO529" s="6"/>
      <c r="AP529" s="6"/>
      <c r="AQ529" s="6"/>
      <c r="AR529" s="6"/>
      <c r="AS529" s="15"/>
      <c r="AT529" s="6" t="str">
        <f ca="1">IFERROR(__xludf.DUMMYFUNCTION("SWITCH(IF(A529=""Practice"",AN529,FILTER('Items by Team'!E$2:E3410,'Items by Team'!C$2:C3410=D529,B529='Items by Team'!B$2:B3410)),""None"",""No"",""Parked"",""P"",""ShallowCage"",""Sc"",""DeepCage"",""Dc"",""No"",""No"",""P"",""P"",""Sc"",""Sc"",""Dc"","&amp;"""Dc"")"),"#REF!")</f>
        <v>#REF!</v>
      </c>
      <c r="AU529" s="6" t="str">
        <f ca="1">IFERROR(__xludf.DUMMYFUNCTION("SWITCH(IF(A529 = ""Practice"", H529, FILTER('Items by Team'!D$2:D3410,'Items by Team'!C$2:C3410 = D529,'Items by Team'!B$2:B3410 = B529)), ""Yes"", ""TRUE"", ""No"", ""FALSE"",TRUE, ""TRUE"", FALSE, ""FALSE"")"),"#REF!")</f>
        <v>#REF!</v>
      </c>
      <c r="AV529" s="6">
        <f t="shared" si="42"/>
        <v>0</v>
      </c>
      <c r="AW529" s="6">
        <f t="shared" si="43"/>
        <v>0</v>
      </c>
      <c r="AX529" s="6">
        <f t="shared" si="44"/>
        <v>0</v>
      </c>
      <c r="AY529" s="6">
        <f t="shared" si="45"/>
        <v>0</v>
      </c>
      <c r="AZ529" s="9" t="str">
        <f t="shared" si="46"/>
        <v/>
      </c>
      <c r="BA529" s="6">
        <f t="shared" si="47"/>
        <v>0</v>
      </c>
      <c r="BB529" s="6">
        <f t="shared" si="48"/>
        <v>0</v>
      </c>
      <c r="BC529" s="9" t="str">
        <f t="shared" si="49"/>
        <v/>
      </c>
      <c r="BD529" s="6">
        <f t="shared" si="50"/>
        <v>0</v>
      </c>
      <c r="BE529" s="6">
        <f t="shared" si="51"/>
        <v>0</v>
      </c>
      <c r="BF529" s="9" t="str">
        <f t="shared" si="52"/>
        <v/>
      </c>
      <c r="BG529" s="6">
        <f t="shared" si="53"/>
        <v>0</v>
      </c>
      <c r="BH529" s="6">
        <f t="shared" si="54"/>
        <v>0</v>
      </c>
      <c r="BI529" s="9" t="str">
        <f t="shared" si="55"/>
        <v/>
      </c>
      <c r="BJ529" s="6">
        <f t="shared" si="56"/>
        <v>0</v>
      </c>
      <c r="BK529" s="6">
        <f t="shared" si="57"/>
        <v>0</v>
      </c>
      <c r="BL529" s="6">
        <f t="shared" si="58"/>
        <v>0</v>
      </c>
      <c r="BM529" s="6">
        <f t="shared" si="59"/>
        <v>0</v>
      </c>
      <c r="BN529" s="6">
        <f t="shared" si="60"/>
        <v>0</v>
      </c>
      <c r="BP529" s="6">
        <f t="shared" si="61"/>
        <v>0</v>
      </c>
      <c r="BQ529" s="6" t="b">
        <f ca="1">IFERROR(__xludf.DUMMYFUNCTION("IF(AND(ISERROR(FILTER('Items by Team'!D$2:D3410,'Items by Team'!C$2:C3410 = D529,'Items by Team'!B$2:B3410 = B529)),NOT(A529=""Practice"")),TRUE,FALSE)"),FALSE)</f>
        <v>0</v>
      </c>
      <c r="BR529" s="6">
        <f t="shared" ca="1" si="62"/>
        <v>0</v>
      </c>
    </row>
    <row r="530" spans="1:70">
      <c r="A530" s="6"/>
      <c r="B530" s="6"/>
      <c r="C530" s="6"/>
      <c r="D530" s="6"/>
      <c r="E530" s="6"/>
      <c r="F530" s="6"/>
      <c r="G530" s="6"/>
      <c r="H530" s="6"/>
      <c r="I530" s="6"/>
      <c r="J530" s="6"/>
      <c r="K530" s="6"/>
      <c r="L530" s="6"/>
      <c r="M530" s="6"/>
      <c r="N530" s="6"/>
      <c r="O530" s="6"/>
      <c r="P530" s="6"/>
      <c r="R530" s="6"/>
      <c r="S530" s="6"/>
      <c r="T530" s="6"/>
      <c r="U530" s="6"/>
      <c r="V530" s="6"/>
      <c r="W530" s="6"/>
      <c r="X530" s="6"/>
      <c r="Y530" s="6"/>
      <c r="Z530" s="6"/>
      <c r="AA530" s="6"/>
      <c r="AB530" s="6"/>
      <c r="AD530" s="6"/>
      <c r="AE530" s="6"/>
      <c r="AF530" s="6"/>
      <c r="AG530" s="6"/>
      <c r="AH530" s="6"/>
      <c r="AI530" s="6"/>
      <c r="AK530" s="6"/>
      <c r="AL530" s="6"/>
      <c r="AM530" s="6"/>
      <c r="AN530" s="6"/>
      <c r="AO530" s="6"/>
      <c r="AP530" s="6"/>
      <c r="AQ530" s="6"/>
      <c r="AR530" s="6"/>
      <c r="AS530" s="15"/>
      <c r="AT530" s="6" t="str">
        <f ca="1">IFERROR(__xludf.DUMMYFUNCTION("SWITCH(IF(A530=""Practice"",AN530,FILTER('Items by Team'!E$2:E3410,'Items by Team'!C$2:C3410=D530,B530='Items by Team'!B$2:B3410)),""None"",""No"",""Parked"",""P"",""ShallowCage"",""Sc"",""DeepCage"",""Dc"",""No"",""No"",""P"",""P"",""Sc"",""Sc"",""Dc"","&amp;"""Dc"")"),"#REF!")</f>
        <v>#REF!</v>
      </c>
      <c r="AU530" s="6" t="str">
        <f ca="1">IFERROR(__xludf.DUMMYFUNCTION("SWITCH(IF(A530 = ""Practice"", H530, FILTER('Items by Team'!D$2:D3410,'Items by Team'!C$2:C3410 = D530,'Items by Team'!B$2:B3410 = B530)), ""Yes"", ""TRUE"", ""No"", ""FALSE"",TRUE, ""TRUE"", FALSE, ""FALSE"")"),"#REF!")</f>
        <v>#REF!</v>
      </c>
      <c r="AV530" s="6">
        <f t="shared" si="42"/>
        <v>0</v>
      </c>
      <c r="AW530" s="6">
        <f t="shared" si="43"/>
        <v>0</v>
      </c>
      <c r="AX530" s="6">
        <f t="shared" si="44"/>
        <v>0</v>
      </c>
      <c r="AY530" s="6">
        <f t="shared" si="45"/>
        <v>0</v>
      </c>
      <c r="AZ530" s="9" t="str">
        <f t="shared" si="46"/>
        <v/>
      </c>
      <c r="BA530" s="6">
        <f t="shared" si="47"/>
        <v>0</v>
      </c>
      <c r="BB530" s="6">
        <f t="shared" si="48"/>
        <v>0</v>
      </c>
      <c r="BC530" s="9" t="str">
        <f t="shared" si="49"/>
        <v/>
      </c>
      <c r="BD530" s="6">
        <f t="shared" si="50"/>
        <v>0</v>
      </c>
      <c r="BE530" s="6">
        <f t="shared" si="51"/>
        <v>0</v>
      </c>
      <c r="BF530" s="9" t="str">
        <f t="shared" si="52"/>
        <v/>
      </c>
      <c r="BG530" s="6">
        <f t="shared" si="53"/>
        <v>0</v>
      </c>
      <c r="BH530" s="6">
        <f t="shared" si="54"/>
        <v>0</v>
      </c>
      <c r="BI530" s="9" t="str">
        <f t="shared" si="55"/>
        <v/>
      </c>
      <c r="BJ530" s="6">
        <f t="shared" si="56"/>
        <v>0</v>
      </c>
      <c r="BK530" s="6">
        <f t="shared" si="57"/>
        <v>0</v>
      </c>
      <c r="BL530" s="6">
        <f t="shared" si="58"/>
        <v>0</v>
      </c>
      <c r="BM530" s="6">
        <f t="shared" si="59"/>
        <v>0</v>
      </c>
      <c r="BN530" s="6">
        <f t="shared" si="60"/>
        <v>0</v>
      </c>
      <c r="BP530" s="6">
        <f t="shared" si="61"/>
        <v>0</v>
      </c>
      <c r="BQ530" s="6" t="b">
        <f ca="1">IFERROR(__xludf.DUMMYFUNCTION("IF(AND(ISERROR(FILTER('Items by Team'!D$2:D3410,'Items by Team'!C$2:C3410 = D530,'Items by Team'!B$2:B3410 = B530)),NOT(A530=""Practice"")),TRUE,FALSE)"),FALSE)</f>
        <v>0</v>
      </c>
      <c r="BR530" s="6">
        <f t="shared" ca="1" si="62"/>
        <v>0</v>
      </c>
    </row>
    <row r="531" spans="1:70">
      <c r="A531" s="6"/>
      <c r="B531" s="6"/>
      <c r="C531" s="6"/>
      <c r="D531" s="6"/>
      <c r="E531" s="6"/>
      <c r="F531" s="6"/>
      <c r="G531" s="6"/>
      <c r="H531" s="6"/>
      <c r="I531" s="6"/>
      <c r="J531" s="6"/>
      <c r="K531" s="6"/>
      <c r="L531" s="6"/>
      <c r="M531" s="6"/>
      <c r="N531" s="6"/>
      <c r="O531" s="6"/>
      <c r="P531" s="6"/>
      <c r="R531" s="6"/>
      <c r="S531" s="6"/>
      <c r="T531" s="6"/>
      <c r="U531" s="6"/>
      <c r="V531" s="6"/>
      <c r="W531" s="6"/>
      <c r="X531" s="6"/>
      <c r="Y531" s="6"/>
      <c r="Z531" s="6"/>
      <c r="AA531" s="6"/>
      <c r="AB531" s="6"/>
      <c r="AD531" s="6"/>
      <c r="AE531" s="6"/>
      <c r="AF531" s="6"/>
      <c r="AG531" s="6"/>
      <c r="AH531" s="6"/>
      <c r="AI531" s="6"/>
      <c r="AK531" s="6"/>
      <c r="AL531" s="6"/>
      <c r="AM531" s="6"/>
      <c r="AN531" s="6"/>
      <c r="AO531" s="6"/>
      <c r="AP531" s="6"/>
      <c r="AQ531" s="6"/>
      <c r="AR531" s="6"/>
      <c r="AS531" s="15"/>
      <c r="AT531" s="6" t="str">
        <f ca="1">IFERROR(__xludf.DUMMYFUNCTION("SWITCH(IF(A531=""Practice"",AN531,FILTER('Items by Team'!E$2:E3410,'Items by Team'!C$2:C3410=D531,B531='Items by Team'!B$2:B3410)),""None"",""No"",""Parked"",""P"",""ShallowCage"",""Sc"",""DeepCage"",""Dc"",""No"",""No"",""P"",""P"",""Sc"",""Sc"",""Dc"","&amp;"""Dc"")"),"#REF!")</f>
        <v>#REF!</v>
      </c>
      <c r="AU531" s="6" t="str">
        <f ca="1">IFERROR(__xludf.DUMMYFUNCTION("SWITCH(IF(A531 = ""Practice"", H531, FILTER('Items by Team'!D$2:D3410,'Items by Team'!C$2:C3410 = D531,'Items by Team'!B$2:B3410 = B531)), ""Yes"", ""TRUE"", ""No"", ""FALSE"",TRUE, ""TRUE"", FALSE, ""FALSE"")"),"#REF!")</f>
        <v>#REF!</v>
      </c>
      <c r="AV531" s="6">
        <f t="shared" si="42"/>
        <v>0</v>
      </c>
      <c r="AW531" s="6">
        <f t="shared" si="43"/>
        <v>0</v>
      </c>
      <c r="AX531" s="6">
        <f t="shared" si="44"/>
        <v>0</v>
      </c>
      <c r="AY531" s="6">
        <f t="shared" si="45"/>
        <v>0</v>
      </c>
      <c r="AZ531" s="9" t="str">
        <f t="shared" si="46"/>
        <v/>
      </c>
      <c r="BA531" s="6">
        <f t="shared" si="47"/>
        <v>0</v>
      </c>
      <c r="BB531" s="6">
        <f t="shared" si="48"/>
        <v>0</v>
      </c>
      <c r="BC531" s="9" t="str">
        <f t="shared" si="49"/>
        <v/>
      </c>
      <c r="BD531" s="6">
        <f t="shared" si="50"/>
        <v>0</v>
      </c>
      <c r="BE531" s="6">
        <f t="shared" si="51"/>
        <v>0</v>
      </c>
      <c r="BF531" s="9" t="str">
        <f t="shared" si="52"/>
        <v/>
      </c>
      <c r="BG531" s="6">
        <f t="shared" si="53"/>
        <v>0</v>
      </c>
      <c r="BH531" s="6">
        <f t="shared" si="54"/>
        <v>0</v>
      </c>
      <c r="BI531" s="9" t="str">
        <f t="shared" si="55"/>
        <v/>
      </c>
      <c r="BJ531" s="6">
        <f t="shared" si="56"/>
        <v>0</v>
      </c>
      <c r="BK531" s="6">
        <f t="shared" si="57"/>
        <v>0</v>
      </c>
      <c r="BL531" s="6">
        <f t="shared" si="58"/>
        <v>0</v>
      </c>
      <c r="BM531" s="6">
        <f t="shared" si="59"/>
        <v>0</v>
      </c>
      <c r="BN531" s="6">
        <f t="shared" si="60"/>
        <v>0</v>
      </c>
      <c r="BP531" s="6">
        <f t="shared" si="61"/>
        <v>0</v>
      </c>
      <c r="BQ531" s="6" t="b">
        <f ca="1">IFERROR(__xludf.DUMMYFUNCTION("IF(AND(ISERROR(FILTER('Items by Team'!D$2:D3410,'Items by Team'!C$2:C3410 = D531,'Items by Team'!B$2:B3410 = B531)),NOT(A531=""Practice"")),TRUE,FALSE)"),FALSE)</f>
        <v>0</v>
      </c>
      <c r="BR531" s="6">
        <f t="shared" ca="1" si="62"/>
        <v>0</v>
      </c>
    </row>
    <row r="532" spans="1:70">
      <c r="A532" s="6"/>
      <c r="B532" s="6"/>
      <c r="C532" s="6"/>
      <c r="D532" s="6"/>
      <c r="E532" s="6"/>
      <c r="F532" s="6"/>
      <c r="G532" s="6"/>
      <c r="H532" s="6"/>
      <c r="I532" s="6"/>
      <c r="J532" s="6"/>
      <c r="K532" s="6"/>
      <c r="L532" s="6"/>
      <c r="M532" s="6"/>
      <c r="N532" s="6"/>
      <c r="O532" s="6"/>
      <c r="P532" s="6"/>
      <c r="R532" s="6"/>
      <c r="S532" s="6"/>
      <c r="T532" s="6"/>
      <c r="U532" s="6"/>
      <c r="V532" s="6"/>
      <c r="W532" s="6"/>
      <c r="X532" s="6"/>
      <c r="Y532" s="6"/>
      <c r="Z532" s="6"/>
      <c r="AA532" s="6"/>
      <c r="AB532" s="6"/>
      <c r="AD532" s="6"/>
      <c r="AE532" s="6"/>
      <c r="AF532" s="6"/>
      <c r="AG532" s="6"/>
      <c r="AH532" s="6"/>
      <c r="AI532" s="6"/>
      <c r="AK532" s="6"/>
      <c r="AL532" s="6"/>
      <c r="AM532" s="6"/>
      <c r="AN532" s="6"/>
      <c r="AO532" s="6"/>
      <c r="AP532" s="6"/>
      <c r="AQ532" s="6"/>
      <c r="AR532" s="6"/>
      <c r="AS532" s="15"/>
      <c r="AT532" s="6" t="str">
        <f ca="1">IFERROR(__xludf.DUMMYFUNCTION("SWITCH(IF(A532=""Practice"",AN532,FILTER('Items by Team'!E$2:E3410,'Items by Team'!C$2:C3410=D532,B532='Items by Team'!B$2:B3410)),""None"",""No"",""Parked"",""P"",""ShallowCage"",""Sc"",""DeepCage"",""Dc"",""No"",""No"",""P"",""P"",""Sc"",""Sc"",""Dc"","&amp;"""Dc"")"),"#REF!")</f>
        <v>#REF!</v>
      </c>
      <c r="AU532" s="6" t="str">
        <f ca="1">IFERROR(__xludf.DUMMYFUNCTION("SWITCH(IF(A532 = ""Practice"", H532, FILTER('Items by Team'!D$2:D3410,'Items by Team'!C$2:C3410 = D532,'Items by Team'!B$2:B3410 = B532)), ""Yes"", ""TRUE"", ""No"", ""FALSE"",TRUE, ""TRUE"", FALSE, ""FALSE"")"),"#REF!")</f>
        <v>#REF!</v>
      </c>
      <c r="AV532" s="6">
        <f t="shared" si="42"/>
        <v>0</v>
      </c>
      <c r="AW532" s="6">
        <f t="shared" si="43"/>
        <v>0</v>
      </c>
      <c r="AX532" s="6">
        <f t="shared" si="44"/>
        <v>0</v>
      </c>
      <c r="AY532" s="6">
        <f t="shared" si="45"/>
        <v>0</v>
      </c>
      <c r="AZ532" s="9" t="str">
        <f t="shared" si="46"/>
        <v/>
      </c>
      <c r="BA532" s="6">
        <f t="shared" si="47"/>
        <v>0</v>
      </c>
      <c r="BB532" s="6">
        <f t="shared" si="48"/>
        <v>0</v>
      </c>
      <c r="BC532" s="9" t="str">
        <f t="shared" si="49"/>
        <v/>
      </c>
      <c r="BD532" s="6">
        <f t="shared" si="50"/>
        <v>0</v>
      </c>
      <c r="BE532" s="6">
        <f t="shared" si="51"/>
        <v>0</v>
      </c>
      <c r="BF532" s="9" t="str">
        <f t="shared" si="52"/>
        <v/>
      </c>
      <c r="BG532" s="6">
        <f t="shared" si="53"/>
        <v>0</v>
      </c>
      <c r="BH532" s="6">
        <f t="shared" si="54"/>
        <v>0</v>
      </c>
      <c r="BI532" s="9" t="str">
        <f t="shared" si="55"/>
        <v/>
      </c>
      <c r="BJ532" s="6">
        <f t="shared" si="56"/>
        <v>0</v>
      </c>
      <c r="BK532" s="6">
        <f t="shared" si="57"/>
        <v>0</v>
      </c>
      <c r="BL532" s="6">
        <f t="shared" si="58"/>
        <v>0</v>
      </c>
      <c r="BM532" s="6">
        <f t="shared" si="59"/>
        <v>0</v>
      </c>
      <c r="BN532" s="6">
        <f t="shared" si="60"/>
        <v>0</v>
      </c>
      <c r="BP532" s="6">
        <f t="shared" si="61"/>
        <v>0</v>
      </c>
      <c r="BQ532" s="6" t="b">
        <f ca="1">IFERROR(__xludf.DUMMYFUNCTION("IF(AND(ISERROR(FILTER('Items by Team'!D$2:D3410,'Items by Team'!C$2:C3410 = D532,'Items by Team'!B$2:B3410 = B532)),NOT(A532=""Practice"")),TRUE,FALSE)"),FALSE)</f>
        <v>0</v>
      </c>
      <c r="BR532" s="6">
        <f t="shared" ca="1" si="62"/>
        <v>0</v>
      </c>
    </row>
    <row r="533" spans="1:70">
      <c r="A533" s="6"/>
      <c r="B533" s="6"/>
      <c r="C533" s="6"/>
      <c r="D533" s="6"/>
      <c r="E533" s="6"/>
      <c r="F533" s="6"/>
      <c r="G533" s="6"/>
      <c r="H533" s="6"/>
      <c r="I533" s="6"/>
      <c r="J533" s="6"/>
      <c r="K533" s="6"/>
      <c r="L533" s="6"/>
      <c r="M533" s="6"/>
      <c r="N533" s="6"/>
      <c r="O533" s="6"/>
      <c r="P533" s="6"/>
      <c r="R533" s="6"/>
      <c r="S533" s="6"/>
      <c r="T533" s="6"/>
      <c r="U533" s="6"/>
      <c r="V533" s="6"/>
      <c r="W533" s="6"/>
      <c r="X533" s="6"/>
      <c r="Y533" s="6"/>
      <c r="Z533" s="6"/>
      <c r="AA533" s="6"/>
      <c r="AB533" s="6"/>
      <c r="AD533" s="6"/>
      <c r="AE533" s="6"/>
      <c r="AF533" s="6"/>
      <c r="AG533" s="6"/>
      <c r="AH533" s="6"/>
      <c r="AI533" s="6"/>
      <c r="AK533" s="6"/>
      <c r="AL533" s="6"/>
      <c r="AM533" s="6"/>
      <c r="AN533" s="6"/>
      <c r="AO533" s="6"/>
      <c r="AP533" s="6"/>
      <c r="AQ533" s="6"/>
      <c r="AR533" s="6"/>
      <c r="AS533" s="15"/>
      <c r="AT533" s="6" t="str">
        <f ca="1">IFERROR(__xludf.DUMMYFUNCTION("SWITCH(IF(A533=""Practice"",AN533,FILTER('Items by Team'!E$2:E3410,'Items by Team'!C$2:C3410=D533,B533='Items by Team'!B$2:B3410)),""None"",""No"",""Parked"",""P"",""ShallowCage"",""Sc"",""DeepCage"",""Dc"",""No"",""No"",""P"",""P"",""Sc"",""Sc"",""Dc"","&amp;"""Dc"")"),"#REF!")</f>
        <v>#REF!</v>
      </c>
      <c r="AU533" s="6" t="str">
        <f ca="1">IFERROR(__xludf.DUMMYFUNCTION("SWITCH(IF(A533 = ""Practice"", H533, FILTER('Items by Team'!D$2:D3410,'Items by Team'!C$2:C3410 = D533,'Items by Team'!B$2:B3410 = B533)), ""Yes"", ""TRUE"", ""No"", ""FALSE"",TRUE, ""TRUE"", FALSE, ""FALSE"")"),"#REF!")</f>
        <v>#REF!</v>
      </c>
      <c r="AV533" s="6">
        <f t="shared" si="42"/>
        <v>0</v>
      </c>
      <c r="AW533" s="6">
        <f t="shared" si="43"/>
        <v>0</v>
      </c>
      <c r="AX533" s="6">
        <f t="shared" si="44"/>
        <v>0</v>
      </c>
      <c r="AY533" s="6">
        <f t="shared" si="45"/>
        <v>0</v>
      </c>
      <c r="AZ533" s="9" t="str">
        <f t="shared" si="46"/>
        <v/>
      </c>
      <c r="BA533" s="6">
        <f t="shared" si="47"/>
        <v>0</v>
      </c>
      <c r="BB533" s="6">
        <f t="shared" si="48"/>
        <v>0</v>
      </c>
      <c r="BC533" s="9" t="str">
        <f t="shared" si="49"/>
        <v/>
      </c>
      <c r="BD533" s="6">
        <f t="shared" si="50"/>
        <v>0</v>
      </c>
      <c r="BE533" s="6">
        <f t="shared" si="51"/>
        <v>0</v>
      </c>
      <c r="BF533" s="9" t="str">
        <f t="shared" si="52"/>
        <v/>
      </c>
      <c r="BG533" s="6">
        <f t="shared" si="53"/>
        <v>0</v>
      </c>
      <c r="BH533" s="6">
        <f t="shared" si="54"/>
        <v>0</v>
      </c>
      <c r="BI533" s="9" t="str">
        <f t="shared" si="55"/>
        <v/>
      </c>
      <c r="BJ533" s="6">
        <f t="shared" si="56"/>
        <v>0</v>
      </c>
      <c r="BK533" s="6">
        <f t="shared" si="57"/>
        <v>0</v>
      </c>
      <c r="BL533" s="6">
        <f t="shared" si="58"/>
        <v>0</v>
      </c>
      <c r="BM533" s="6">
        <f t="shared" si="59"/>
        <v>0</v>
      </c>
      <c r="BN533" s="6">
        <f t="shared" si="60"/>
        <v>0</v>
      </c>
      <c r="BP533" s="6">
        <f t="shared" si="61"/>
        <v>0</v>
      </c>
      <c r="BQ533" s="6" t="b">
        <f ca="1">IFERROR(__xludf.DUMMYFUNCTION("IF(AND(ISERROR(FILTER('Items by Team'!D$2:D3410,'Items by Team'!C$2:C3410 = D533,'Items by Team'!B$2:B3410 = B533)),NOT(A533=""Practice"")),TRUE,FALSE)"),FALSE)</f>
        <v>0</v>
      </c>
      <c r="BR533" s="6">
        <f t="shared" ca="1" si="62"/>
        <v>0</v>
      </c>
    </row>
    <row r="534" spans="1:70">
      <c r="A534" s="6"/>
      <c r="B534" s="6"/>
      <c r="C534" s="6"/>
      <c r="D534" s="6"/>
      <c r="E534" s="6"/>
      <c r="F534" s="6"/>
      <c r="G534" s="6"/>
      <c r="H534" s="6"/>
      <c r="I534" s="6"/>
      <c r="J534" s="6"/>
      <c r="K534" s="6"/>
      <c r="L534" s="6"/>
      <c r="M534" s="6"/>
      <c r="N534" s="6"/>
      <c r="O534" s="6"/>
      <c r="P534" s="6"/>
      <c r="R534" s="6"/>
      <c r="S534" s="6"/>
      <c r="T534" s="6"/>
      <c r="U534" s="6"/>
      <c r="V534" s="6"/>
      <c r="W534" s="6"/>
      <c r="X534" s="6"/>
      <c r="Y534" s="6"/>
      <c r="Z534" s="6"/>
      <c r="AA534" s="6"/>
      <c r="AB534" s="6"/>
      <c r="AD534" s="6"/>
      <c r="AE534" s="6"/>
      <c r="AF534" s="6"/>
      <c r="AG534" s="6"/>
      <c r="AH534" s="6"/>
      <c r="AI534" s="6"/>
      <c r="AK534" s="6"/>
      <c r="AL534" s="6"/>
      <c r="AM534" s="6"/>
      <c r="AN534" s="6"/>
      <c r="AO534" s="6"/>
      <c r="AP534" s="6"/>
      <c r="AQ534" s="6"/>
      <c r="AR534" s="6"/>
      <c r="AS534" s="15"/>
      <c r="AT534" s="6" t="str">
        <f ca="1">IFERROR(__xludf.DUMMYFUNCTION("SWITCH(IF(A534=""Practice"",AN534,FILTER('Items by Team'!E$2:E3410,'Items by Team'!C$2:C3410=D534,B534='Items by Team'!B$2:B3410)),""None"",""No"",""Parked"",""P"",""ShallowCage"",""Sc"",""DeepCage"",""Dc"",""No"",""No"",""P"",""P"",""Sc"",""Sc"",""Dc"","&amp;"""Dc"")"),"#REF!")</f>
        <v>#REF!</v>
      </c>
      <c r="AU534" s="6" t="str">
        <f ca="1">IFERROR(__xludf.DUMMYFUNCTION("SWITCH(IF(A534 = ""Practice"", H534, FILTER('Items by Team'!D$2:D3410,'Items by Team'!C$2:C3410 = D534,'Items by Team'!B$2:B3410 = B534)), ""Yes"", ""TRUE"", ""No"", ""FALSE"",TRUE, ""TRUE"", FALSE, ""FALSE"")"),"#REF!")</f>
        <v>#REF!</v>
      </c>
      <c r="AV534" s="6">
        <f t="shared" si="42"/>
        <v>0</v>
      </c>
      <c r="AW534" s="6">
        <f t="shared" si="43"/>
        <v>0</v>
      </c>
      <c r="AX534" s="6">
        <f t="shared" si="44"/>
        <v>0</v>
      </c>
      <c r="AY534" s="6">
        <f t="shared" si="45"/>
        <v>0</v>
      </c>
      <c r="AZ534" s="9" t="str">
        <f t="shared" si="46"/>
        <v/>
      </c>
      <c r="BA534" s="6">
        <f t="shared" si="47"/>
        <v>0</v>
      </c>
      <c r="BB534" s="6">
        <f t="shared" si="48"/>
        <v>0</v>
      </c>
      <c r="BC534" s="9" t="str">
        <f t="shared" si="49"/>
        <v/>
      </c>
      <c r="BD534" s="6">
        <f t="shared" si="50"/>
        <v>0</v>
      </c>
      <c r="BE534" s="6">
        <f t="shared" si="51"/>
        <v>0</v>
      </c>
      <c r="BF534" s="9" t="str">
        <f t="shared" si="52"/>
        <v/>
      </c>
      <c r="BG534" s="6">
        <f t="shared" si="53"/>
        <v>0</v>
      </c>
      <c r="BH534" s="6">
        <f t="shared" si="54"/>
        <v>0</v>
      </c>
      <c r="BI534" s="9" t="str">
        <f t="shared" si="55"/>
        <v/>
      </c>
      <c r="BJ534" s="6">
        <f t="shared" si="56"/>
        <v>0</v>
      </c>
      <c r="BK534" s="6">
        <f t="shared" si="57"/>
        <v>0</v>
      </c>
      <c r="BL534" s="6">
        <f t="shared" si="58"/>
        <v>0</v>
      </c>
      <c r="BM534" s="6">
        <f t="shared" si="59"/>
        <v>0</v>
      </c>
      <c r="BN534" s="6">
        <f t="shared" si="60"/>
        <v>0</v>
      </c>
      <c r="BP534" s="6">
        <f t="shared" si="61"/>
        <v>0</v>
      </c>
      <c r="BQ534" s="6" t="b">
        <f ca="1">IFERROR(__xludf.DUMMYFUNCTION("IF(AND(ISERROR(FILTER('Items by Team'!D$2:D3410,'Items by Team'!C$2:C3410 = D534,'Items by Team'!B$2:B3410 = B534)),NOT(A534=""Practice"")),TRUE,FALSE)"),FALSE)</f>
        <v>0</v>
      </c>
      <c r="BR534" s="6">
        <f t="shared" ca="1" si="62"/>
        <v>0</v>
      </c>
    </row>
    <row r="535" spans="1:70">
      <c r="A535" s="6"/>
      <c r="B535" s="6"/>
      <c r="C535" s="6"/>
      <c r="D535" s="6"/>
      <c r="E535" s="6"/>
      <c r="F535" s="6"/>
      <c r="G535" s="6"/>
      <c r="H535" s="6"/>
      <c r="I535" s="6"/>
      <c r="J535" s="6"/>
      <c r="K535" s="6"/>
      <c r="L535" s="6"/>
      <c r="M535" s="6"/>
      <c r="N535" s="6"/>
      <c r="O535" s="6"/>
      <c r="P535" s="6"/>
      <c r="R535" s="6"/>
      <c r="S535" s="6"/>
      <c r="T535" s="6"/>
      <c r="U535" s="6"/>
      <c r="V535" s="6"/>
      <c r="W535" s="6"/>
      <c r="X535" s="6"/>
      <c r="Y535" s="6"/>
      <c r="Z535" s="6"/>
      <c r="AA535" s="6"/>
      <c r="AB535" s="6"/>
      <c r="AD535" s="6"/>
      <c r="AE535" s="6"/>
      <c r="AF535" s="6"/>
      <c r="AG535" s="6"/>
      <c r="AH535" s="6"/>
      <c r="AI535" s="6"/>
      <c r="AK535" s="6"/>
      <c r="AL535" s="6"/>
      <c r="AM535" s="6"/>
      <c r="AN535" s="6"/>
      <c r="AO535" s="6"/>
      <c r="AP535" s="6"/>
      <c r="AQ535" s="6"/>
      <c r="AR535" s="6"/>
      <c r="AS535" s="15"/>
      <c r="AT535" s="6" t="str">
        <f ca="1">IFERROR(__xludf.DUMMYFUNCTION("SWITCH(IF(A535=""Practice"",AN535,FILTER('Items by Team'!E$2:E3410,'Items by Team'!C$2:C3410=D535,B535='Items by Team'!B$2:B3410)),""None"",""No"",""Parked"",""P"",""ShallowCage"",""Sc"",""DeepCage"",""Dc"",""No"",""No"",""P"",""P"",""Sc"",""Sc"",""Dc"","&amp;"""Dc"")"),"#REF!")</f>
        <v>#REF!</v>
      </c>
      <c r="AU535" s="6" t="str">
        <f ca="1">IFERROR(__xludf.DUMMYFUNCTION("SWITCH(IF(A535 = ""Practice"", H535, FILTER('Items by Team'!D$2:D3410,'Items by Team'!C$2:C3410 = D535,'Items by Team'!B$2:B3410 = B535)), ""Yes"", ""TRUE"", ""No"", ""FALSE"",TRUE, ""TRUE"", FALSE, ""FALSE"")"),"#REF!")</f>
        <v>#REF!</v>
      </c>
      <c r="AV535" s="6">
        <f t="shared" si="42"/>
        <v>0</v>
      </c>
      <c r="AW535" s="6">
        <f t="shared" si="43"/>
        <v>0</v>
      </c>
      <c r="AX535" s="6">
        <f t="shared" si="44"/>
        <v>0</v>
      </c>
      <c r="AY535" s="6">
        <f t="shared" si="45"/>
        <v>0</v>
      </c>
      <c r="AZ535" s="9" t="str">
        <f t="shared" si="46"/>
        <v/>
      </c>
      <c r="BA535" s="6">
        <f t="shared" si="47"/>
        <v>0</v>
      </c>
      <c r="BB535" s="6">
        <f t="shared" si="48"/>
        <v>0</v>
      </c>
      <c r="BC535" s="9" t="str">
        <f t="shared" si="49"/>
        <v/>
      </c>
      <c r="BD535" s="6">
        <f t="shared" si="50"/>
        <v>0</v>
      </c>
      <c r="BE535" s="6">
        <f t="shared" si="51"/>
        <v>0</v>
      </c>
      <c r="BF535" s="9" t="str">
        <f t="shared" si="52"/>
        <v/>
      </c>
      <c r="BG535" s="6">
        <f t="shared" si="53"/>
        <v>0</v>
      </c>
      <c r="BH535" s="6">
        <f t="shared" si="54"/>
        <v>0</v>
      </c>
      <c r="BI535" s="9" t="str">
        <f t="shared" si="55"/>
        <v/>
      </c>
      <c r="BJ535" s="6">
        <f t="shared" si="56"/>
        <v>0</v>
      </c>
      <c r="BK535" s="6">
        <f t="shared" si="57"/>
        <v>0</v>
      </c>
      <c r="BL535" s="6">
        <f t="shared" si="58"/>
        <v>0</v>
      </c>
      <c r="BM535" s="6">
        <f t="shared" si="59"/>
        <v>0</v>
      </c>
      <c r="BN535" s="6">
        <f t="shared" si="60"/>
        <v>0</v>
      </c>
      <c r="BP535" s="6">
        <f t="shared" si="61"/>
        <v>0</v>
      </c>
      <c r="BQ535" s="6" t="b">
        <f ca="1">IFERROR(__xludf.DUMMYFUNCTION("IF(AND(ISERROR(FILTER('Items by Team'!D$2:D3410,'Items by Team'!C$2:C3410 = D535,'Items by Team'!B$2:B3410 = B535)),NOT(A535=""Practice"")),TRUE,FALSE)"),FALSE)</f>
        <v>0</v>
      </c>
      <c r="BR535" s="6">
        <f t="shared" ca="1" si="62"/>
        <v>0</v>
      </c>
    </row>
    <row r="536" spans="1:70">
      <c r="A536" s="6"/>
      <c r="B536" s="6"/>
      <c r="C536" s="6"/>
      <c r="D536" s="6"/>
      <c r="E536" s="6"/>
      <c r="F536" s="6"/>
      <c r="G536" s="6"/>
      <c r="H536" s="6"/>
      <c r="I536" s="6"/>
      <c r="J536" s="6"/>
      <c r="K536" s="6"/>
      <c r="L536" s="6"/>
      <c r="M536" s="6"/>
      <c r="N536" s="6"/>
      <c r="O536" s="6"/>
      <c r="P536" s="6"/>
      <c r="R536" s="6"/>
      <c r="S536" s="6"/>
      <c r="T536" s="6"/>
      <c r="U536" s="6"/>
      <c r="V536" s="6"/>
      <c r="W536" s="6"/>
      <c r="X536" s="6"/>
      <c r="Y536" s="6"/>
      <c r="Z536" s="6"/>
      <c r="AA536" s="6"/>
      <c r="AB536" s="6"/>
      <c r="AD536" s="6"/>
      <c r="AE536" s="6"/>
      <c r="AF536" s="6"/>
      <c r="AG536" s="6"/>
      <c r="AH536" s="6"/>
      <c r="AI536" s="6"/>
      <c r="AK536" s="6"/>
      <c r="AL536" s="6"/>
      <c r="AM536" s="6"/>
      <c r="AN536" s="6"/>
      <c r="AO536" s="6"/>
      <c r="AP536" s="6"/>
      <c r="AQ536" s="6"/>
      <c r="AR536" s="6"/>
      <c r="AS536" s="15"/>
      <c r="AT536" s="6" t="str">
        <f ca="1">IFERROR(__xludf.DUMMYFUNCTION("SWITCH(IF(A536=""Practice"",AN536,FILTER('Items by Team'!E$2:E3410,'Items by Team'!C$2:C3410=D536,B536='Items by Team'!B$2:B3410)),""None"",""No"",""Parked"",""P"",""ShallowCage"",""Sc"",""DeepCage"",""Dc"",""No"",""No"",""P"",""P"",""Sc"",""Sc"",""Dc"","&amp;"""Dc"")"),"#REF!")</f>
        <v>#REF!</v>
      </c>
      <c r="AU536" s="6" t="str">
        <f ca="1">IFERROR(__xludf.DUMMYFUNCTION("SWITCH(IF(A536 = ""Practice"", H536, FILTER('Items by Team'!D$2:D3410,'Items by Team'!C$2:C3410 = D536,'Items by Team'!B$2:B3410 = B536)), ""Yes"", ""TRUE"", ""No"", ""FALSE"",TRUE, ""TRUE"", FALSE, ""FALSE"")"),"#REF!")</f>
        <v>#REF!</v>
      </c>
      <c r="AV536" s="6">
        <f t="shared" si="42"/>
        <v>0</v>
      </c>
      <c r="AW536" s="6">
        <f t="shared" si="43"/>
        <v>0</v>
      </c>
      <c r="AX536" s="6">
        <f t="shared" si="44"/>
        <v>0</v>
      </c>
      <c r="AY536" s="6">
        <f t="shared" si="45"/>
        <v>0</v>
      </c>
      <c r="AZ536" s="9" t="str">
        <f t="shared" si="46"/>
        <v/>
      </c>
      <c r="BA536" s="6">
        <f t="shared" si="47"/>
        <v>0</v>
      </c>
      <c r="BB536" s="6">
        <f t="shared" si="48"/>
        <v>0</v>
      </c>
      <c r="BC536" s="9" t="str">
        <f t="shared" si="49"/>
        <v/>
      </c>
      <c r="BD536" s="6">
        <f t="shared" si="50"/>
        <v>0</v>
      </c>
      <c r="BE536" s="6">
        <f t="shared" si="51"/>
        <v>0</v>
      </c>
      <c r="BF536" s="9" t="str">
        <f t="shared" si="52"/>
        <v/>
      </c>
      <c r="BG536" s="6">
        <f t="shared" si="53"/>
        <v>0</v>
      </c>
      <c r="BH536" s="6">
        <f t="shared" si="54"/>
        <v>0</v>
      </c>
      <c r="BI536" s="9" t="str">
        <f t="shared" si="55"/>
        <v/>
      </c>
      <c r="BJ536" s="6">
        <f t="shared" si="56"/>
        <v>0</v>
      </c>
      <c r="BK536" s="6">
        <f t="shared" si="57"/>
        <v>0</v>
      </c>
      <c r="BL536" s="6">
        <f t="shared" si="58"/>
        <v>0</v>
      </c>
      <c r="BM536" s="6">
        <f t="shared" si="59"/>
        <v>0</v>
      </c>
      <c r="BN536" s="6">
        <f t="shared" si="60"/>
        <v>0</v>
      </c>
      <c r="BP536" s="6">
        <f t="shared" si="61"/>
        <v>0</v>
      </c>
      <c r="BQ536" s="6" t="b">
        <f ca="1">IFERROR(__xludf.DUMMYFUNCTION("IF(AND(ISERROR(FILTER('Items by Team'!D$2:D3410,'Items by Team'!C$2:C3410 = D536,'Items by Team'!B$2:B3410 = B536)),NOT(A536=""Practice"")),TRUE,FALSE)"),FALSE)</f>
        <v>0</v>
      </c>
      <c r="BR536" s="6">
        <f t="shared" ca="1" si="62"/>
        <v>0</v>
      </c>
    </row>
    <row r="537" spans="1:70">
      <c r="A537" s="6"/>
      <c r="B537" s="6"/>
      <c r="C537" s="6"/>
      <c r="D537" s="6"/>
      <c r="E537" s="6"/>
      <c r="F537" s="6"/>
      <c r="G537" s="6"/>
      <c r="H537" s="6"/>
      <c r="I537" s="6"/>
      <c r="J537" s="6"/>
      <c r="K537" s="6"/>
      <c r="L537" s="6"/>
      <c r="M537" s="6"/>
      <c r="N537" s="6"/>
      <c r="O537" s="6"/>
      <c r="P537" s="6"/>
      <c r="R537" s="6"/>
      <c r="S537" s="6"/>
      <c r="T537" s="6"/>
      <c r="U537" s="6"/>
      <c r="V537" s="6"/>
      <c r="W537" s="6"/>
      <c r="X537" s="6"/>
      <c r="Y537" s="6"/>
      <c r="Z537" s="6"/>
      <c r="AA537" s="6"/>
      <c r="AB537" s="6"/>
      <c r="AD537" s="6"/>
      <c r="AE537" s="6"/>
      <c r="AF537" s="6"/>
      <c r="AG537" s="6"/>
      <c r="AH537" s="6"/>
      <c r="AI537" s="6"/>
      <c r="AK537" s="6"/>
      <c r="AL537" s="6"/>
      <c r="AM537" s="6"/>
      <c r="AN537" s="6"/>
      <c r="AO537" s="6"/>
      <c r="AP537" s="6"/>
      <c r="AQ537" s="6"/>
      <c r="AR537" s="6"/>
      <c r="AS537" s="15"/>
      <c r="AT537" s="6" t="str">
        <f ca="1">IFERROR(__xludf.DUMMYFUNCTION("SWITCH(IF(A537=""Practice"",AN537,FILTER('Items by Team'!E$2:E3410,'Items by Team'!C$2:C3410=D537,B537='Items by Team'!B$2:B3410)),""None"",""No"",""Parked"",""P"",""ShallowCage"",""Sc"",""DeepCage"",""Dc"",""No"",""No"",""P"",""P"",""Sc"",""Sc"",""Dc"","&amp;"""Dc"")"),"#REF!")</f>
        <v>#REF!</v>
      </c>
      <c r="AU537" s="6" t="str">
        <f ca="1">IFERROR(__xludf.DUMMYFUNCTION("SWITCH(IF(A537 = ""Practice"", H537, FILTER('Items by Team'!D$2:D3410,'Items by Team'!C$2:C3410 = D537,'Items by Team'!B$2:B3410 = B537)), ""Yes"", ""TRUE"", ""No"", ""FALSE"",TRUE, ""TRUE"", FALSE, ""FALSE"")"),"#REF!")</f>
        <v>#REF!</v>
      </c>
      <c r="AV537" s="6">
        <f t="shared" si="42"/>
        <v>0</v>
      </c>
      <c r="AW537" s="6">
        <f t="shared" si="43"/>
        <v>0</v>
      </c>
      <c r="AX537" s="6">
        <f t="shared" si="44"/>
        <v>0</v>
      </c>
      <c r="AY537" s="6">
        <f t="shared" si="45"/>
        <v>0</v>
      </c>
      <c r="AZ537" s="9" t="str">
        <f t="shared" si="46"/>
        <v/>
      </c>
      <c r="BA537" s="6">
        <f t="shared" si="47"/>
        <v>0</v>
      </c>
      <c r="BB537" s="6">
        <f t="shared" si="48"/>
        <v>0</v>
      </c>
      <c r="BC537" s="9" t="str">
        <f t="shared" si="49"/>
        <v/>
      </c>
      <c r="BD537" s="6">
        <f t="shared" si="50"/>
        <v>0</v>
      </c>
      <c r="BE537" s="6">
        <f t="shared" si="51"/>
        <v>0</v>
      </c>
      <c r="BF537" s="9" t="str">
        <f t="shared" si="52"/>
        <v/>
      </c>
      <c r="BG537" s="6">
        <f t="shared" si="53"/>
        <v>0</v>
      </c>
      <c r="BH537" s="6">
        <f t="shared" si="54"/>
        <v>0</v>
      </c>
      <c r="BI537" s="9" t="str">
        <f t="shared" si="55"/>
        <v/>
      </c>
      <c r="BJ537" s="6">
        <f t="shared" si="56"/>
        <v>0</v>
      </c>
      <c r="BK537" s="6">
        <f t="shared" si="57"/>
        <v>0</v>
      </c>
      <c r="BL537" s="6">
        <f t="shared" si="58"/>
        <v>0</v>
      </c>
      <c r="BM537" s="6">
        <f t="shared" si="59"/>
        <v>0</v>
      </c>
      <c r="BN537" s="6">
        <f t="shared" si="60"/>
        <v>0</v>
      </c>
      <c r="BP537" s="6">
        <f t="shared" si="61"/>
        <v>0</v>
      </c>
      <c r="BQ537" s="6" t="b">
        <f ca="1">IFERROR(__xludf.DUMMYFUNCTION("IF(AND(ISERROR(FILTER('Items by Team'!D$2:D3410,'Items by Team'!C$2:C3410 = D537,'Items by Team'!B$2:B3410 = B537)),NOT(A537=""Practice"")),TRUE,FALSE)"),FALSE)</f>
        <v>0</v>
      </c>
      <c r="BR537" s="6">
        <f t="shared" ca="1" si="62"/>
        <v>0</v>
      </c>
    </row>
    <row r="538" spans="1:70">
      <c r="A538" s="6"/>
      <c r="B538" s="6"/>
      <c r="C538" s="6"/>
      <c r="D538" s="6"/>
      <c r="E538" s="6"/>
      <c r="F538" s="6"/>
      <c r="G538" s="6"/>
      <c r="H538" s="6"/>
      <c r="I538" s="6"/>
      <c r="J538" s="6"/>
      <c r="K538" s="6"/>
      <c r="L538" s="6"/>
      <c r="M538" s="6"/>
      <c r="N538" s="6"/>
      <c r="O538" s="6"/>
      <c r="P538" s="6"/>
      <c r="R538" s="6"/>
      <c r="S538" s="6"/>
      <c r="T538" s="6"/>
      <c r="U538" s="6"/>
      <c r="V538" s="6"/>
      <c r="W538" s="6"/>
      <c r="X538" s="6"/>
      <c r="Y538" s="6"/>
      <c r="Z538" s="6"/>
      <c r="AA538" s="6"/>
      <c r="AB538" s="6"/>
      <c r="AD538" s="6"/>
      <c r="AE538" s="6"/>
      <c r="AF538" s="6"/>
      <c r="AG538" s="6"/>
      <c r="AH538" s="6"/>
      <c r="AI538" s="6"/>
      <c r="AK538" s="6"/>
      <c r="AL538" s="6"/>
      <c r="AM538" s="6"/>
      <c r="AN538" s="6"/>
      <c r="AO538" s="6"/>
      <c r="AP538" s="6"/>
      <c r="AQ538" s="6"/>
      <c r="AR538" s="6"/>
      <c r="AS538" s="15"/>
      <c r="AT538" s="6" t="str">
        <f ca="1">IFERROR(__xludf.DUMMYFUNCTION("SWITCH(IF(A538=""Practice"",AN538,FILTER('Items by Team'!E$2:E3410,'Items by Team'!C$2:C3410=D538,B538='Items by Team'!B$2:B3410)),""None"",""No"",""Parked"",""P"",""ShallowCage"",""Sc"",""DeepCage"",""Dc"",""No"",""No"",""P"",""P"",""Sc"",""Sc"",""Dc"","&amp;"""Dc"")"),"#REF!")</f>
        <v>#REF!</v>
      </c>
      <c r="AU538" s="6" t="str">
        <f ca="1">IFERROR(__xludf.DUMMYFUNCTION("SWITCH(IF(A538 = ""Practice"", H538, FILTER('Items by Team'!D$2:D3410,'Items by Team'!C$2:C3410 = D538,'Items by Team'!B$2:B3410 = B538)), ""Yes"", ""TRUE"", ""No"", ""FALSE"",TRUE, ""TRUE"", FALSE, ""FALSE"")"),"#REF!")</f>
        <v>#REF!</v>
      </c>
      <c r="AV538" s="6">
        <f t="shared" si="42"/>
        <v>0</v>
      </c>
      <c r="AW538" s="6">
        <f t="shared" si="43"/>
        <v>0</v>
      </c>
      <c r="AX538" s="6">
        <f t="shared" si="44"/>
        <v>0</v>
      </c>
      <c r="AY538" s="6">
        <f t="shared" si="45"/>
        <v>0</v>
      </c>
      <c r="AZ538" s="9" t="str">
        <f t="shared" si="46"/>
        <v/>
      </c>
      <c r="BA538" s="6">
        <f t="shared" si="47"/>
        <v>0</v>
      </c>
      <c r="BB538" s="6">
        <f t="shared" si="48"/>
        <v>0</v>
      </c>
      <c r="BC538" s="9" t="str">
        <f t="shared" si="49"/>
        <v/>
      </c>
      <c r="BD538" s="6">
        <f t="shared" si="50"/>
        <v>0</v>
      </c>
      <c r="BE538" s="6">
        <f t="shared" si="51"/>
        <v>0</v>
      </c>
      <c r="BF538" s="9" t="str">
        <f t="shared" si="52"/>
        <v/>
      </c>
      <c r="BG538" s="6">
        <f t="shared" si="53"/>
        <v>0</v>
      </c>
      <c r="BH538" s="6">
        <f t="shared" si="54"/>
        <v>0</v>
      </c>
      <c r="BI538" s="9" t="str">
        <f t="shared" si="55"/>
        <v/>
      </c>
      <c r="BJ538" s="6">
        <f t="shared" si="56"/>
        <v>0</v>
      </c>
      <c r="BK538" s="6">
        <f t="shared" si="57"/>
        <v>0</v>
      </c>
      <c r="BL538" s="6">
        <f t="shared" si="58"/>
        <v>0</v>
      </c>
      <c r="BM538" s="6">
        <f t="shared" si="59"/>
        <v>0</v>
      </c>
      <c r="BN538" s="6">
        <f t="shared" si="60"/>
        <v>0</v>
      </c>
      <c r="BP538" s="6">
        <f t="shared" si="61"/>
        <v>0</v>
      </c>
      <c r="BQ538" s="6" t="b">
        <f ca="1">IFERROR(__xludf.DUMMYFUNCTION("IF(AND(ISERROR(FILTER('Items by Team'!D$2:D3410,'Items by Team'!C$2:C3410 = D538,'Items by Team'!B$2:B3410 = B538)),NOT(A538=""Practice"")),TRUE,FALSE)"),FALSE)</f>
        <v>0</v>
      </c>
      <c r="BR538" s="6">
        <f t="shared" ca="1" si="62"/>
        <v>0</v>
      </c>
    </row>
    <row r="539" spans="1:70">
      <c r="A539" s="6"/>
      <c r="B539" s="6"/>
      <c r="C539" s="6"/>
      <c r="D539" s="6"/>
      <c r="E539" s="6"/>
      <c r="F539" s="6"/>
      <c r="G539" s="6"/>
      <c r="H539" s="6"/>
      <c r="I539" s="6"/>
      <c r="J539" s="6"/>
      <c r="K539" s="6"/>
      <c r="L539" s="6"/>
      <c r="M539" s="6"/>
      <c r="N539" s="6"/>
      <c r="O539" s="6"/>
      <c r="P539" s="6"/>
      <c r="R539" s="6"/>
      <c r="S539" s="6"/>
      <c r="T539" s="6"/>
      <c r="U539" s="6"/>
      <c r="V539" s="6"/>
      <c r="W539" s="6"/>
      <c r="X539" s="6"/>
      <c r="Y539" s="6"/>
      <c r="Z539" s="6"/>
      <c r="AA539" s="6"/>
      <c r="AB539" s="6"/>
      <c r="AD539" s="6"/>
      <c r="AE539" s="6"/>
      <c r="AF539" s="6"/>
      <c r="AG539" s="6"/>
      <c r="AH539" s="6"/>
      <c r="AI539" s="6"/>
      <c r="AK539" s="6"/>
      <c r="AL539" s="6"/>
      <c r="AM539" s="6"/>
      <c r="AN539" s="6"/>
      <c r="AO539" s="6"/>
      <c r="AP539" s="6"/>
      <c r="AQ539" s="6"/>
      <c r="AR539" s="6"/>
      <c r="AS539" s="15"/>
      <c r="AT539" s="6" t="str">
        <f ca="1">IFERROR(__xludf.DUMMYFUNCTION("SWITCH(IF(A539=""Practice"",AN539,FILTER('Items by Team'!E$2:E3410,'Items by Team'!C$2:C3410=D539,B539='Items by Team'!B$2:B3410)),""None"",""No"",""Parked"",""P"",""ShallowCage"",""Sc"",""DeepCage"",""Dc"",""No"",""No"",""P"",""P"",""Sc"",""Sc"",""Dc"","&amp;"""Dc"")"),"#REF!")</f>
        <v>#REF!</v>
      </c>
      <c r="AU539" s="6" t="str">
        <f ca="1">IFERROR(__xludf.DUMMYFUNCTION("SWITCH(IF(A539 = ""Practice"", H539, FILTER('Items by Team'!D$2:D3410,'Items by Team'!C$2:C3410 = D539,'Items by Team'!B$2:B3410 = B539)), ""Yes"", ""TRUE"", ""No"", ""FALSE"",TRUE, ""TRUE"", FALSE, ""FALSE"")"),"#REF!")</f>
        <v>#REF!</v>
      </c>
      <c r="AV539" s="6">
        <f t="shared" si="42"/>
        <v>0</v>
      </c>
      <c r="AW539" s="6">
        <f t="shared" si="43"/>
        <v>0</v>
      </c>
      <c r="AX539" s="6">
        <f t="shared" si="44"/>
        <v>0</v>
      </c>
      <c r="AY539" s="6">
        <f t="shared" si="45"/>
        <v>0</v>
      </c>
      <c r="AZ539" s="9" t="str">
        <f t="shared" si="46"/>
        <v/>
      </c>
      <c r="BA539" s="6">
        <f t="shared" si="47"/>
        <v>0</v>
      </c>
      <c r="BB539" s="6">
        <f t="shared" si="48"/>
        <v>0</v>
      </c>
      <c r="BC539" s="9" t="str">
        <f t="shared" si="49"/>
        <v/>
      </c>
      <c r="BD539" s="6">
        <f t="shared" si="50"/>
        <v>0</v>
      </c>
      <c r="BE539" s="6">
        <f t="shared" si="51"/>
        <v>0</v>
      </c>
      <c r="BF539" s="9" t="str">
        <f t="shared" si="52"/>
        <v/>
      </c>
      <c r="BG539" s="6">
        <f t="shared" si="53"/>
        <v>0</v>
      </c>
      <c r="BH539" s="6">
        <f t="shared" si="54"/>
        <v>0</v>
      </c>
      <c r="BI539" s="9" t="str">
        <f t="shared" si="55"/>
        <v/>
      </c>
      <c r="BJ539" s="6">
        <f t="shared" si="56"/>
        <v>0</v>
      </c>
      <c r="BK539" s="6">
        <f t="shared" si="57"/>
        <v>0</v>
      </c>
      <c r="BL539" s="6">
        <f t="shared" si="58"/>
        <v>0</v>
      </c>
      <c r="BM539" s="6">
        <f t="shared" si="59"/>
        <v>0</v>
      </c>
      <c r="BN539" s="6">
        <f t="shared" si="60"/>
        <v>0</v>
      </c>
      <c r="BP539" s="6">
        <f t="shared" si="61"/>
        <v>0</v>
      </c>
      <c r="BQ539" s="6" t="b">
        <f ca="1">IFERROR(__xludf.DUMMYFUNCTION("IF(AND(ISERROR(FILTER('Items by Team'!D$2:D3410,'Items by Team'!C$2:C3410 = D539,'Items by Team'!B$2:B3410 = B539)),NOT(A539=""Practice"")),TRUE,FALSE)"),FALSE)</f>
        <v>0</v>
      </c>
      <c r="BR539" s="6">
        <f t="shared" ca="1" si="62"/>
        <v>0</v>
      </c>
    </row>
    <row r="540" spans="1:70">
      <c r="A540" s="6"/>
      <c r="B540" s="6"/>
      <c r="C540" s="6"/>
      <c r="D540" s="6"/>
      <c r="E540" s="6"/>
      <c r="F540" s="6"/>
      <c r="G540" s="6"/>
      <c r="H540" s="6"/>
      <c r="I540" s="6"/>
      <c r="J540" s="6"/>
      <c r="K540" s="6"/>
      <c r="L540" s="6"/>
      <c r="M540" s="6"/>
      <c r="N540" s="6"/>
      <c r="O540" s="6"/>
      <c r="P540" s="6"/>
      <c r="R540" s="6"/>
      <c r="S540" s="6"/>
      <c r="T540" s="6"/>
      <c r="U540" s="6"/>
      <c r="V540" s="6"/>
      <c r="W540" s="6"/>
      <c r="X540" s="6"/>
      <c r="Y540" s="6"/>
      <c r="Z540" s="6"/>
      <c r="AA540" s="6"/>
      <c r="AB540" s="6"/>
      <c r="AD540" s="6"/>
      <c r="AE540" s="6"/>
      <c r="AF540" s="6"/>
      <c r="AG540" s="6"/>
      <c r="AH540" s="6"/>
      <c r="AI540" s="6"/>
      <c r="AK540" s="6"/>
      <c r="AL540" s="6"/>
      <c r="AM540" s="6"/>
      <c r="AN540" s="6"/>
      <c r="AO540" s="6"/>
      <c r="AP540" s="6"/>
      <c r="AQ540" s="6"/>
      <c r="AR540" s="6"/>
      <c r="AS540" s="15"/>
      <c r="AT540" s="6" t="str">
        <f ca="1">IFERROR(__xludf.DUMMYFUNCTION("SWITCH(IF(A540=""Practice"",AN540,FILTER('Items by Team'!E$2:E3410,'Items by Team'!C$2:C3410=D540,B540='Items by Team'!B$2:B3410)),""None"",""No"",""Parked"",""P"",""ShallowCage"",""Sc"",""DeepCage"",""Dc"",""No"",""No"",""P"",""P"",""Sc"",""Sc"",""Dc"","&amp;"""Dc"")"),"#REF!")</f>
        <v>#REF!</v>
      </c>
      <c r="AU540" s="6" t="str">
        <f ca="1">IFERROR(__xludf.DUMMYFUNCTION("SWITCH(IF(A540 = ""Practice"", H540, FILTER('Items by Team'!D$2:D3410,'Items by Team'!C$2:C3410 = D540,'Items by Team'!B$2:B3410 = B540)), ""Yes"", ""TRUE"", ""No"", ""FALSE"",TRUE, ""TRUE"", FALSE, ""FALSE"")"),"#REF!")</f>
        <v>#REF!</v>
      </c>
      <c r="AV540" s="6">
        <f t="shared" si="42"/>
        <v>0</v>
      </c>
      <c r="AW540" s="6">
        <f t="shared" si="43"/>
        <v>0</v>
      </c>
      <c r="AX540" s="6">
        <f t="shared" si="44"/>
        <v>0</v>
      </c>
      <c r="AY540" s="6">
        <f t="shared" si="45"/>
        <v>0</v>
      </c>
      <c r="AZ540" s="9" t="str">
        <f t="shared" si="46"/>
        <v/>
      </c>
      <c r="BA540" s="6">
        <f t="shared" si="47"/>
        <v>0</v>
      </c>
      <c r="BB540" s="6">
        <f t="shared" si="48"/>
        <v>0</v>
      </c>
      <c r="BC540" s="9" t="str">
        <f t="shared" si="49"/>
        <v/>
      </c>
      <c r="BD540" s="6">
        <f t="shared" si="50"/>
        <v>0</v>
      </c>
      <c r="BE540" s="6">
        <f t="shared" si="51"/>
        <v>0</v>
      </c>
      <c r="BF540" s="9" t="str">
        <f t="shared" si="52"/>
        <v/>
      </c>
      <c r="BG540" s="6">
        <f t="shared" si="53"/>
        <v>0</v>
      </c>
      <c r="BH540" s="6">
        <f t="shared" si="54"/>
        <v>0</v>
      </c>
      <c r="BI540" s="9" t="str">
        <f t="shared" si="55"/>
        <v/>
      </c>
      <c r="BJ540" s="6">
        <f t="shared" si="56"/>
        <v>0</v>
      </c>
      <c r="BK540" s="6">
        <f t="shared" si="57"/>
        <v>0</v>
      </c>
      <c r="BL540" s="6">
        <f t="shared" si="58"/>
        <v>0</v>
      </c>
      <c r="BM540" s="6">
        <f t="shared" si="59"/>
        <v>0</v>
      </c>
      <c r="BN540" s="6">
        <f t="shared" si="60"/>
        <v>0</v>
      </c>
      <c r="BP540" s="6">
        <f t="shared" si="61"/>
        <v>0</v>
      </c>
      <c r="BQ540" s="6" t="b">
        <f ca="1">IFERROR(__xludf.DUMMYFUNCTION("IF(AND(ISERROR(FILTER('Items by Team'!D$2:D3410,'Items by Team'!C$2:C3410 = D540,'Items by Team'!B$2:B3410 = B540)),NOT(A540=""Practice"")),TRUE,FALSE)"),FALSE)</f>
        <v>0</v>
      </c>
      <c r="BR540" s="6">
        <f t="shared" ca="1" si="62"/>
        <v>0</v>
      </c>
    </row>
    <row r="541" spans="1:70">
      <c r="A541" s="6"/>
      <c r="B541" s="6"/>
      <c r="C541" s="6"/>
      <c r="D541" s="6"/>
      <c r="E541" s="6"/>
      <c r="F541" s="6"/>
      <c r="G541" s="6"/>
      <c r="H541" s="6"/>
      <c r="I541" s="6"/>
      <c r="J541" s="6"/>
      <c r="K541" s="6"/>
      <c r="L541" s="6"/>
      <c r="M541" s="6"/>
      <c r="N541" s="6"/>
      <c r="O541" s="6"/>
      <c r="P541" s="6"/>
      <c r="R541" s="6"/>
      <c r="S541" s="6"/>
      <c r="T541" s="6"/>
      <c r="U541" s="6"/>
      <c r="V541" s="6"/>
      <c r="W541" s="6"/>
      <c r="X541" s="6"/>
      <c r="Y541" s="6"/>
      <c r="Z541" s="6"/>
      <c r="AA541" s="6"/>
      <c r="AB541" s="6"/>
      <c r="AD541" s="6"/>
      <c r="AE541" s="6"/>
      <c r="AF541" s="6"/>
      <c r="AG541" s="6"/>
      <c r="AH541" s="6"/>
      <c r="AI541" s="6"/>
      <c r="AK541" s="6"/>
      <c r="AL541" s="6"/>
      <c r="AM541" s="6"/>
      <c r="AN541" s="6"/>
      <c r="AO541" s="6"/>
      <c r="AP541" s="6"/>
      <c r="AQ541" s="6"/>
      <c r="AR541" s="6"/>
      <c r="AS541" s="15"/>
      <c r="AT541" s="6" t="str">
        <f ca="1">IFERROR(__xludf.DUMMYFUNCTION("SWITCH(IF(A541=""Practice"",AN541,FILTER('Items by Team'!E$2:E3410,'Items by Team'!C$2:C3410=D541,B541='Items by Team'!B$2:B3410)),""None"",""No"",""Parked"",""P"",""ShallowCage"",""Sc"",""DeepCage"",""Dc"",""No"",""No"",""P"",""P"",""Sc"",""Sc"",""Dc"","&amp;"""Dc"")"),"#REF!")</f>
        <v>#REF!</v>
      </c>
      <c r="AU541" s="6" t="str">
        <f ca="1">IFERROR(__xludf.DUMMYFUNCTION("SWITCH(IF(A541 = ""Practice"", H541, FILTER('Items by Team'!D$2:D3410,'Items by Team'!C$2:C3410 = D541,'Items by Team'!B$2:B3410 = B541)), ""Yes"", ""TRUE"", ""No"", ""FALSE"",TRUE, ""TRUE"", FALSE, ""FALSE"")"),"#REF!")</f>
        <v>#REF!</v>
      </c>
      <c r="AV541" s="6">
        <f t="shared" si="42"/>
        <v>0</v>
      </c>
      <c r="AW541" s="6">
        <f t="shared" si="43"/>
        <v>0</v>
      </c>
      <c r="AX541" s="6">
        <f t="shared" si="44"/>
        <v>0</v>
      </c>
      <c r="AY541" s="6">
        <f t="shared" si="45"/>
        <v>0</v>
      </c>
      <c r="AZ541" s="9" t="str">
        <f t="shared" si="46"/>
        <v/>
      </c>
      <c r="BA541" s="6">
        <f t="shared" si="47"/>
        <v>0</v>
      </c>
      <c r="BB541" s="6">
        <f t="shared" si="48"/>
        <v>0</v>
      </c>
      <c r="BC541" s="9" t="str">
        <f t="shared" si="49"/>
        <v/>
      </c>
      <c r="BD541" s="6">
        <f t="shared" si="50"/>
        <v>0</v>
      </c>
      <c r="BE541" s="6">
        <f t="shared" si="51"/>
        <v>0</v>
      </c>
      <c r="BF541" s="9" t="str">
        <f t="shared" si="52"/>
        <v/>
      </c>
      <c r="BG541" s="6">
        <f t="shared" si="53"/>
        <v>0</v>
      </c>
      <c r="BH541" s="6">
        <f t="shared" si="54"/>
        <v>0</v>
      </c>
      <c r="BI541" s="9" t="str">
        <f t="shared" si="55"/>
        <v/>
      </c>
      <c r="BJ541" s="6">
        <f t="shared" si="56"/>
        <v>0</v>
      </c>
      <c r="BK541" s="6">
        <f t="shared" si="57"/>
        <v>0</v>
      </c>
      <c r="BL541" s="6">
        <f t="shared" si="58"/>
        <v>0</v>
      </c>
      <c r="BM541" s="6">
        <f t="shared" si="59"/>
        <v>0</v>
      </c>
      <c r="BN541" s="6">
        <f t="shared" si="60"/>
        <v>0</v>
      </c>
      <c r="BP541" s="6">
        <f t="shared" si="61"/>
        <v>0</v>
      </c>
      <c r="BQ541" s="6" t="b">
        <f ca="1">IFERROR(__xludf.DUMMYFUNCTION("IF(AND(ISERROR(FILTER('Items by Team'!D$2:D3410,'Items by Team'!C$2:C3410 = D541,'Items by Team'!B$2:B3410 = B541)),NOT(A541=""Practice"")),TRUE,FALSE)"),FALSE)</f>
        <v>0</v>
      </c>
      <c r="BR541" s="6">
        <f t="shared" ca="1" si="62"/>
        <v>0</v>
      </c>
    </row>
    <row r="542" spans="1:70">
      <c r="A542" s="6"/>
      <c r="B542" s="6"/>
      <c r="C542" s="6"/>
      <c r="D542" s="6"/>
      <c r="E542" s="6"/>
      <c r="F542" s="6"/>
      <c r="G542" s="6"/>
      <c r="H542" s="6"/>
      <c r="I542" s="6"/>
      <c r="J542" s="6"/>
      <c r="K542" s="6"/>
      <c r="L542" s="6"/>
      <c r="M542" s="6"/>
      <c r="N542" s="6"/>
      <c r="O542" s="6"/>
      <c r="P542" s="6"/>
      <c r="R542" s="6"/>
      <c r="S542" s="6"/>
      <c r="T542" s="6"/>
      <c r="U542" s="6"/>
      <c r="V542" s="6"/>
      <c r="W542" s="6"/>
      <c r="X542" s="6"/>
      <c r="Y542" s="6"/>
      <c r="Z542" s="6"/>
      <c r="AA542" s="6"/>
      <c r="AB542" s="6"/>
      <c r="AD542" s="6"/>
      <c r="AE542" s="6"/>
      <c r="AF542" s="6"/>
      <c r="AG542" s="6"/>
      <c r="AH542" s="6"/>
      <c r="AI542" s="6"/>
      <c r="AK542" s="6"/>
      <c r="AL542" s="6"/>
      <c r="AM542" s="6"/>
      <c r="AN542" s="6"/>
      <c r="AO542" s="6"/>
      <c r="AP542" s="6"/>
      <c r="AQ542" s="6"/>
      <c r="AR542" s="6"/>
      <c r="AS542" s="15"/>
      <c r="AT542" s="6" t="str">
        <f ca="1">IFERROR(__xludf.DUMMYFUNCTION("SWITCH(IF(A542=""Practice"",AN542,FILTER('Items by Team'!E$2:E3410,'Items by Team'!C$2:C3410=D542,B542='Items by Team'!B$2:B3410)),""None"",""No"",""Parked"",""P"",""ShallowCage"",""Sc"",""DeepCage"",""Dc"",""No"",""No"",""P"",""P"",""Sc"",""Sc"",""Dc"","&amp;"""Dc"")"),"#REF!")</f>
        <v>#REF!</v>
      </c>
      <c r="AU542" s="6" t="str">
        <f ca="1">IFERROR(__xludf.DUMMYFUNCTION("SWITCH(IF(A542 = ""Practice"", H542, FILTER('Items by Team'!D$2:D3410,'Items by Team'!C$2:C3410 = D542,'Items by Team'!B$2:B3410 = B542)), ""Yes"", ""TRUE"", ""No"", ""FALSE"",TRUE, ""TRUE"", FALSE, ""FALSE"")"),"#REF!")</f>
        <v>#REF!</v>
      </c>
      <c r="AV542" s="6">
        <f t="shared" si="42"/>
        <v>0</v>
      </c>
      <c r="AW542" s="6">
        <f t="shared" si="43"/>
        <v>0</v>
      </c>
      <c r="AX542" s="6">
        <f t="shared" si="44"/>
        <v>0</v>
      </c>
      <c r="AY542" s="6">
        <f t="shared" si="45"/>
        <v>0</v>
      </c>
      <c r="AZ542" s="9" t="str">
        <f t="shared" si="46"/>
        <v/>
      </c>
      <c r="BA542" s="6">
        <f t="shared" si="47"/>
        <v>0</v>
      </c>
      <c r="BB542" s="6">
        <f t="shared" si="48"/>
        <v>0</v>
      </c>
      <c r="BC542" s="9" t="str">
        <f t="shared" si="49"/>
        <v/>
      </c>
      <c r="BD542" s="6">
        <f t="shared" si="50"/>
        <v>0</v>
      </c>
      <c r="BE542" s="6">
        <f t="shared" si="51"/>
        <v>0</v>
      </c>
      <c r="BF542" s="9" t="str">
        <f t="shared" si="52"/>
        <v/>
      </c>
      <c r="BG542" s="6">
        <f t="shared" si="53"/>
        <v>0</v>
      </c>
      <c r="BH542" s="6">
        <f t="shared" si="54"/>
        <v>0</v>
      </c>
      <c r="BI542" s="9" t="str">
        <f t="shared" si="55"/>
        <v/>
      </c>
      <c r="BJ542" s="6">
        <f t="shared" si="56"/>
        <v>0</v>
      </c>
      <c r="BK542" s="6">
        <f t="shared" si="57"/>
        <v>0</v>
      </c>
      <c r="BL542" s="6">
        <f t="shared" si="58"/>
        <v>0</v>
      </c>
      <c r="BM542" s="6">
        <f t="shared" si="59"/>
        <v>0</v>
      </c>
      <c r="BN542" s="6">
        <f t="shared" si="60"/>
        <v>0</v>
      </c>
      <c r="BP542" s="6">
        <f t="shared" si="61"/>
        <v>0</v>
      </c>
      <c r="BQ542" s="6" t="b">
        <f ca="1">IFERROR(__xludf.DUMMYFUNCTION("IF(AND(ISERROR(FILTER('Items by Team'!D$2:D3410,'Items by Team'!C$2:C3410 = D542,'Items by Team'!B$2:B3410 = B542)),NOT(A542=""Practice"")),TRUE,FALSE)"),FALSE)</f>
        <v>0</v>
      </c>
      <c r="BR542" s="6">
        <f t="shared" ca="1" si="62"/>
        <v>0</v>
      </c>
    </row>
    <row r="543" spans="1:70">
      <c r="A543" s="6"/>
      <c r="B543" s="6"/>
      <c r="C543" s="6"/>
      <c r="D543" s="6"/>
      <c r="E543" s="6"/>
      <c r="F543" s="6"/>
      <c r="G543" s="6"/>
      <c r="H543" s="6"/>
      <c r="I543" s="6"/>
      <c r="J543" s="6"/>
      <c r="K543" s="6"/>
      <c r="L543" s="6"/>
      <c r="M543" s="6"/>
      <c r="N543" s="6"/>
      <c r="O543" s="6"/>
      <c r="P543" s="6"/>
      <c r="R543" s="6"/>
      <c r="S543" s="6"/>
      <c r="T543" s="6"/>
      <c r="U543" s="6"/>
      <c r="V543" s="6"/>
      <c r="W543" s="6"/>
      <c r="X543" s="6"/>
      <c r="Y543" s="6"/>
      <c r="Z543" s="6"/>
      <c r="AA543" s="6"/>
      <c r="AB543" s="6"/>
      <c r="AD543" s="6"/>
      <c r="AE543" s="6"/>
      <c r="AF543" s="6"/>
      <c r="AG543" s="6"/>
      <c r="AH543" s="6"/>
      <c r="AI543" s="6"/>
      <c r="AK543" s="6"/>
      <c r="AL543" s="6"/>
      <c r="AM543" s="6"/>
      <c r="AN543" s="6"/>
      <c r="AO543" s="6"/>
      <c r="AP543" s="6"/>
      <c r="AQ543" s="6"/>
      <c r="AR543" s="6"/>
      <c r="AS543" s="15"/>
      <c r="AT543" s="6" t="str">
        <f ca="1">IFERROR(__xludf.DUMMYFUNCTION("SWITCH(IF(A543=""Practice"",AN543,FILTER('Items by Team'!E$2:E3410,'Items by Team'!C$2:C3410=D543,B543='Items by Team'!B$2:B3410)),""None"",""No"",""Parked"",""P"",""ShallowCage"",""Sc"",""DeepCage"",""Dc"",""No"",""No"",""P"",""P"",""Sc"",""Sc"",""Dc"","&amp;"""Dc"")"),"#REF!")</f>
        <v>#REF!</v>
      </c>
      <c r="AU543" s="6" t="str">
        <f ca="1">IFERROR(__xludf.DUMMYFUNCTION("SWITCH(IF(A543 = ""Practice"", H543, FILTER('Items by Team'!D$2:D3410,'Items by Team'!C$2:C3410 = D543,'Items by Team'!B$2:B3410 = B543)), ""Yes"", ""TRUE"", ""No"", ""FALSE"",TRUE, ""TRUE"", FALSE, ""FALSE"")"),"#REF!")</f>
        <v>#REF!</v>
      </c>
      <c r="AV543" s="6">
        <f t="shared" si="42"/>
        <v>0</v>
      </c>
      <c r="AW543" s="6">
        <f t="shared" si="43"/>
        <v>0</v>
      </c>
      <c r="AX543" s="6">
        <f t="shared" si="44"/>
        <v>0</v>
      </c>
      <c r="AY543" s="6">
        <f t="shared" si="45"/>
        <v>0</v>
      </c>
      <c r="AZ543" s="9" t="str">
        <f t="shared" si="46"/>
        <v/>
      </c>
      <c r="BA543" s="6">
        <f t="shared" si="47"/>
        <v>0</v>
      </c>
      <c r="BB543" s="6">
        <f t="shared" si="48"/>
        <v>0</v>
      </c>
      <c r="BC543" s="9" t="str">
        <f t="shared" si="49"/>
        <v/>
      </c>
      <c r="BD543" s="6">
        <f t="shared" si="50"/>
        <v>0</v>
      </c>
      <c r="BE543" s="6">
        <f t="shared" si="51"/>
        <v>0</v>
      </c>
      <c r="BF543" s="9" t="str">
        <f t="shared" si="52"/>
        <v/>
      </c>
      <c r="BG543" s="6">
        <f t="shared" si="53"/>
        <v>0</v>
      </c>
      <c r="BH543" s="6">
        <f t="shared" si="54"/>
        <v>0</v>
      </c>
      <c r="BI543" s="9" t="str">
        <f t="shared" si="55"/>
        <v/>
      </c>
      <c r="BJ543" s="6">
        <f t="shared" si="56"/>
        <v>0</v>
      </c>
      <c r="BK543" s="6">
        <f t="shared" si="57"/>
        <v>0</v>
      </c>
      <c r="BL543" s="6">
        <f t="shared" si="58"/>
        <v>0</v>
      </c>
      <c r="BM543" s="6">
        <f t="shared" si="59"/>
        <v>0</v>
      </c>
      <c r="BN543" s="6">
        <f t="shared" si="60"/>
        <v>0</v>
      </c>
      <c r="BP543" s="6">
        <f t="shared" si="61"/>
        <v>0</v>
      </c>
      <c r="BQ543" s="6" t="b">
        <f ca="1">IFERROR(__xludf.DUMMYFUNCTION("IF(AND(ISERROR(FILTER('Items by Team'!D$2:D3410,'Items by Team'!C$2:C3410 = D543,'Items by Team'!B$2:B3410 = B543)),NOT(A543=""Practice"")),TRUE,FALSE)"),FALSE)</f>
        <v>0</v>
      </c>
      <c r="BR543" s="6">
        <f t="shared" ca="1" si="62"/>
        <v>0</v>
      </c>
    </row>
    <row r="544" spans="1:70">
      <c r="A544" s="6"/>
      <c r="B544" s="6"/>
      <c r="C544" s="6"/>
      <c r="D544" s="6"/>
      <c r="E544" s="6"/>
      <c r="F544" s="6"/>
      <c r="G544" s="6"/>
      <c r="H544" s="6"/>
      <c r="I544" s="6"/>
      <c r="J544" s="6"/>
      <c r="K544" s="6"/>
      <c r="L544" s="6"/>
      <c r="M544" s="6"/>
      <c r="N544" s="6"/>
      <c r="O544" s="6"/>
      <c r="P544" s="6"/>
      <c r="R544" s="6"/>
      <c r="S544" s="6"/>
      <c r="T544" s="6"/>
      <c r="U544" s="6"/>
      <c r="V544" s="6"/>
      <c r="W544" s="6"/>
      <c r="X544" s="6"/>
      <c r="Y544" s="6"/>
      <c r="Z544" s="6"/>
      <c r="AA544" s="6"/>
      <c r="AB544" s="6"/>
      <c r="AD544" s="6"/>
      <c r="AE544" s="6"/>
      <c r="AF544" s="6"/>
      <c r="AG544" s="6"/>
      <c r="AH544" s="6"/>
      <c r="AI544" s="6"/>
      <c r="AK544" s="6"/>
      <c r="AL544" s="6"/>
      <c r="AM544" s="6"/>
      <c r="AN544" s="6"/>
      <c r="AO544" s="6"/>
      <c r="AP544" s="6"/>
      <c r="AQ544" s="6"/>
      <c r="AR544" s="6"/>
      <c r="AS544" s="15"/>
      <c r="AT544" s="6" t="str">
        <f ca="1">IFERROR(__xludf.DUMMYFUNCTION("SWITCH(IF(A544=""Practice"",AN544,FILTER('Items by Team'!E$2:E3410,'Items by Team'!C$2:C3410=D544,B544='Items by Team'!B$2:B3410)),""None"",""No"",""Parked"",""P"",""ShallowCage"",""Sc"",""DeepCage"",""Dc"",""No"",""No"",""P"",""P"",""Sc"",""Sc"",""Dc"","&amp;"""Dc"")"),"#REF!")</f>
        <v>#REF!</v>
      </c>
      <c r="AU544" s="6" t="str">
        <f ca="1">IFERROR(__xludf.DUMMYFUNCTION("SWITCH(IF(A544 = ""Practice"", H544, FILTER('Items by Team'!D$2:D3410,'Items by Team'!C$2:C3410 = D544,'Items by Team'!B$2:B3410 = B544)), ""Yes"", ""TRUE"", ""No"", ""FALSE"",TRUE, ""TRUE"", FALSE, ""FALSE"")"),"#REF!")</f>
        <v>#REF!</v>
      </c>
      <c r="AV544" s="6">
        <f t="shared" si="42"/>
        <v>0</v>
      </c>
      <c r="AW544" s="6">
        <f t="shared" si="43"/>
        <v>0</v>
      </c>
      <c r="AX544" s="6">
        <f t="shared" si="44"/>
        <v>0</v>
      </c>
      <c r="AY544" s="6">
        <f t="shared" si="45"/>
        <v>0</v>
      </c>
      <c r="AZ544" s="9" t="str">
        <f t="shared" si="46"/>
        <v/>
      </c>
      <c r="BA544" s="6">
        <f t="shared" si="47"/>
        <v>0</v>
      </c>
      <c r="BB544" s="6">
        <f t="shared" si="48"/>
        <v>0</v>
      </c>
      <c r="BC544" s="9" t="str">
        <f t="shared" si="49"/>
        <v/>
      </c>
      <c r="BD544" s="6">
        <f t="shared" si="50"/>
        <v>0</v>
      </c>
      <c r="BE544" s="6">
        <f t="shared" si="51"/>
        <v>0</v>
      </c>
      <c r="BF544" s="9" t="str">
        <f t="shared" si="52"/>
        <v/>
      </c>
      <c r="BG544" s="6">
        <f t="shared" si="53"/>
        <v>0</v>
      </c>
      <c r="BH544" s="6">
        <f t="shared" si="54"/>
        <v>0</v>
      </c>
      <c r="BI544" s="9" t="str">
        <f t="shared" si="55"/>
        <v/>
      </c>
      <c r="BJ544" s="6">
        <f t="shared" si="56"/>
        <v>0</v>
      </c>
      <c r="BK544" s="6">
        <f t="shared" si="57"/>
        <v>0</v>
      </c>
      <c r="BL544" s="6">
        <f t="shared" si="58"/>
        <v>0</v>
      </c>
      <c r="BM544" s="6">
        <f t="shared" si="59"/>
        <v>0</v>
      </c>
      <c r="BN544" s="6">
        <f t="shared" si="60"/>
        <v>0</v>
      </c>
      <c r="BP544" s="6">
        <f t="shared" si="61"/>
        <v>0</v>
      </c>
      <c r="BQ544" s="6" t="b">
        <f ca="1">IFERROR(__xludf.DUMMYFUNCTION("IF(AND(ISERROR(FILTER('Items by Team'!D$2:D3410,'Items by Team'!C$2:C3410 = D544,'Items by Team'!B$2:B3410 = B544)),NOT(A544=""Practice"")),TRUE,FALSE)"),FALSE)</f>
        <v>0</v>
      </c>
      <c r="BR544" s="6">
        <f t="shared" ca="1" si="62"/>
        <v>0</v>
      </c>
    </row>
    <row r="545" spans="1:70">
      <c r="A545" s="6"/>
      <c r="B545" s="6"/>
      <c r="C545" s="6"/>
      <c r="D545" s="6"/>
      <c r="E545" s="6"/>
      <c r="F545" s="6"/>
      <c r="G545" s="6"/>
      <c r="H545" s="6"/>
      <c r="I545" s="6"/>
      <c r="J545" s="6"/>
      <c r="K545" s="6"/>
      <c r="L545" s="6"/>
      <c r="M545" s="6"/>
      <c r="N545" s="6"/>
      <c r="O545" s="6"/>
      <c r="P545" s="6"/>
      <c r="R545" s="6"/>
      <c r="S545" s="6"/>
      <c r="T545" s="6"/>
      <c r="U545" s="6"/>
      <c r="V545" s="6"/>
      <c r="W545" s="6"/>
      <c r="X545" s="6"/>
      <c r="Y545" s="6"/>
      <c r="Z545" s="6"/>
      <c r="AA545" s="6"/>
      <c r="AB545" s="6"/>
      <c r="AD545" s="6"/>
      <c r="AE545" s="6"/>
      <c r="AF545" s="6"/>
      <c r="AG545" s="6"/>
      <c r="AH545" s="6"/>
      <c r="AI545" s="6"/>
      <c r="AK545" s="6"/>
      <c r="AL545" s="6"/>
      <c r="AM545" s="6"/>
      <c r="AN545" s="6"/>
      <c r="AO545" s="6"/>
      <c r="AP545" s="6"/>
      <c r="AQ545" s="6"/>
      <c r="AR545" s="6"/>
      <c r="AS545" s="15"/>
      <c r="AT545" s="6" t="str">
        <f ca="1">IFERROR(__xludf.DUMMYFUNCTION("SWITCH(IF(A545=""Practice"",AN545,FILTER('Items by Team'!E$2:E3410,'Items by Team'!C$2:C3410=D545,B545='Items by Team'!B$2:B3410)),""None"",""No"",""Parked"",""P"",""ShallowCage"",""Sc"",""DeepCage"",""Dc"",""No"",""No"",""P"",""P"",""Sc"",""Sc"",""Dc"","&amp;"""Dc"")"),"#REF!")</f>
        <v>#REF!</v>
      </c>
      <c r="AU545" s="6" t="str">
        <f ca="1">IFERROR(__xludf.DUMMYFUNCTION("SWITCH(IF(A545 = ""Practice"", H545, FILTER('Items by Team'!D$2:D3410,'Items by Team'!C$2:C3410 = D545,'Items by Team'!B$2:B3410 = B545)), ""Yes"", ""TRUE"", ""No"", ""FALSE"",TRUE, ""TRUE"", FALSE, ""FALSE"")"),"#REF!")</f>
        <v>#REF!</v>
      </c>
      <c r="AV545" s="6">
        <f t="shared" si="42"/>
        <v>0</v>
      </c>
      <c r="AW545" s="6">
        <f t="shared" si="43"/>
        <v>0</v>
      </c>
      <c r="AX545" s="6">
        <f t="shared" si="44"/>
        <v>0</v>
      </c>
      <c r="AY545" s="6">
        <f t="shared" si="45"/>
        <v>0</v>
      </c>
      <c r="AZ545" s="9" t="str">
        <f t="shared" si="46"/>
        <v/>
      </c>
      <c r="BA545" s="6">
        <f t="shared" si="47"/>
        <v>0</v>
      </c>
      <c r="BB545" s="6">
        <f t="shared" si="48"/>
        <v>0</v>
      </c>
      <c r="BC545" s="9" t="str">
        <f t="shared" si="49"/>
        <v/>
      </c>
      <c r="BD545" s="6">
        <f t="shared" si="50"/>
        <v>0</v>
      </c>
      <c r="BE545" s="6">
        <f t="shared" si="51"/>
        <v>0</v>
      </c>
      <c r="BF545" s="9" t="str">
        <f t="shared" si="52"/>
        <v/>
      </c>
      <c r="BG545" s="6">
        <f t="shared" si="53"/>
        <v>0</v>
      </c>
      <c r="BH545" s="6">
        <f t="shared" si="54"/>
        <v>0</v>
      </c>
      <c r="BI545" s="9" t="str">
        <f t="shared" si="55"/>
        <v/>
      </c>
      <c r="BJ545" s="6">
        <f t="shared" si="56"/>
        <v>0</v>
      </c>
      <c r="BK545" s="6">
        <f t="shared" si="57"/>
        <v>0</v>
      </c>
      <c r="BL545" s="6">
        <f t="shared" si="58"/>
        <v>0</v>
      </c>
      <c r="BM545" s="6">
        <f t="shared" si="59"/>
        <v>0</v>
      </c>
      <c r="BN545" s="6">
        <f t="shared" si="60"/>
        <v>0</v>
      </c>
      <c r="BP545" s="6">
        <f t="shared" si="61"/>
        <v>0</v>
      </c>
      <c r="BQ545" s="6" t="b">
        <f ca="1">IFERROR(__xludf.DUMMYFUNCTION("IF(AND(ISERROR(FILTER('Items by Team'!D$2:D3410,'Items by Team'!C$2:C3410 = D545,'Items by Team'!B$2:B3410 = B545)),NOT(A545=""Practice"")),TRUE,FALSE)"),FALSE)</f>
        <v>0</v>
      </c>
      <c r="BR545" s="6">
        <f t="shared" ca="1" si="62"/>
        <v>0</v>
      </c>
    </row>
    <row r="546" spans="1:70">
      <c r="A546" s="6"/>
      <c r="B546" s="6"/>
      <c r="C546" s="6"/>
      <c r="D546" s="6"/>
      <c r="E546" s="6"/>
      <c r="F546" s="6"/>
      <c r="G546" s="6"/>
      <c r="H546" s="6"/>
      <c r="I546" s="6"/>
      <c r="J546" s="6"/>
      <c r="K546" s="6"/>
      <c r="L546" s="6"/>
      <c r="M546" s="6"/>
      <c r="N546" s="6"/>
      <c r="O546" s="6"/>
      <c r="P546" s="6"/>
      <c r="R546" s="6"/>
      <c r="S546" s="6"/>
      <c r="T546" s="6"/>
      <c r="U546" s="6"/>
      <c r="V546" s="6"/>
      <c r="W546" s="6"/>
      <c r="X546" s="6"/>
      <c r="Y546" s="6"/>
      <c r="Z546" s="6"/>
      <c r="AA546" s="6"/>
      <c r="AB546" s="6"/>
      <c r="AD546" s="6"/>
      <c r="AE546" s="6"/>
      <c r="AF546" s="6"/>
      <c r="AG546" s="6"/>
      <c r="AH546" s="6"/>
      <c r="AI546" s="6"/>
      <c r="AK546" s="6"/>
      <c r="AL546" s="6"/>
      <c r="AM546" s="6"/>
      <c r="AN546" s="6"/>
      <c r="AO546" s="6"/>
      <c r="AP546" s="6"/>
      <c r="AQ546" s="6"/>
      <c r="AR546" s="6"/>
      <c r="AS546" s="15"/>
      <c r="AT546" s="6" t="str">
        <f ca="1">IFERROR(__xludf.DUMMYFUNCTION("SWITCH(IF(A546=""Practice"",AN546,FILTER('Items by Team'!E$2:E3410,'Items by Team'!C$2:C3410=D546,B546='Items by Team'!B$2:B3410)),""None"",""No"",""Parked"",""P"",""ShallowCage"",""Sc"",""DeepCage"",""Dc"",""No"",""No"",""P"",""P"",""Sc"",""Sc"",""Dc"","&amp;"""Dc"")"),"#REF!")</f>
        <v>#REF!</v>
      </c>
      <c r="AU546" s="6" t="str">
        <f ca="1">IFERROR(__xludf.DUMMYFUNCTION("SWITCH(IF(A546 = ""Practice"", H546, FILTER('Items by Team'!D$2:D3410,'Items by Team'!C$2:C3410 = D546,'Items by Team'!B$2:B3410 = B546)), ""Yes"", ""TRUE"", ""No"", ""FALSE"",TRUE, ""TRUE"", FALSE, ""FALSE"")"),"#REF!")</f>
        <v>#REF!</v>
      </c>
      <c r="AV546" s="6">
        <f t="shared" si="42"/>
        <v>0</v>
      </c>
      <c r="AW546" s="6">
        <f t="shared" si="43"/>
        <v>0</v>
      </c>
      <c r="AX546" s="6">
        <f t="shared" si="44"/>
        <v>0</v>
      </c>
      <c r="AY546" s="6">
        <f t="shared" si="45"/>
        <v>0</v>
      </c>
      <c r="AZ546" s="9" t="str">
        <f t="shared" si="46"/>
        <v/>
      </c>
      <c r="BA546" s="6">
        <f t="shared" si="47"/>
        <v>0</v>
      </c>
      <c r="BB546" s="6">
        <f t="shared" si="48"/>
        <v>0</v>
      </c>
      <c r="BC546" s="9" t="str">
        <f t="shared" si="49"/>
        <v/>
      </c>
      <c r="BD546" s="6">
        <f t="shared" si="50"/>
        <v>0</v>
      </c>
      <c r="BE546" s="6">
        <f t="shared" si="51"/>
        <v>0</v>
      </c>
      <c r="BF546" s="9" t="str">
        <f t="shared" si="52"/>
        <v/>
      </c>
      <c r="BG546" s="6">
        <f t="shared" si="53"/>
        <v>0</v>
      </c>
      <c r="BH546" s="6">
        <f t="shared" si="54"/>
        <v>0</v>
      </c>
      <c r="BI546" s="9" t="str">
        <f t="shared" si="55"/>
        <v/>
      </c>
      <c r="BJ546" s="6">
        <f t="shared" si="56"/>
        <v>0</v>
      </c>
      <c r="BK546" s="6">
        <f t="shared" si="57"/>
        <v>0</v>
      </c>
      <c r="BL546" s="6">
        <f t="shared" si="58"/>
        <v>0</v>
      </c>
      <c r="BM546" s="6">
        <f t="shared" si="59"/>
        <v>0</v>
      </c>
      <c r="BN546" s="6">
        <f t="shared" si="60"/>
        <v>0</v>
      </c>
      <c r="BP546" s="6">
        <f t="shared" si="61"/>
        <v>0</v>
      </c>
      <c r="BQ546" s="6" t="b">
        <f ca="1">IFERROR(__xludf.DUMMYFUNCTION("IF(AND(ISERROR(FILTER('Items by Team'!D$2:D3410,'Items by Team'!C$2:C3410 = D546,'Items by Team'!B$2:B3410 = B546)),NOT(A546=""Practice"")),TRUE,FALSE)"),FALSE)</f>
        <v>0</v>
      </c>
      <c r="BR546" s="6">
        <f t="shared" ca="1" si="62"/>
        <v>0</v>
      </c>
    </row>
    <row r="547" spans="1:70">
      <c r="A547" s="6"/>
      <c r="B547" s="6"/>
      <c r="C547" s="6"/>
      <c r="D547" s="6"/>
      <c r="E547" s="6"/>
      <c r="F547" s="6"/>
      <c r="G547" s="6"/>
      <c r="H547" s="6"/>
      <c r="I547" s="6"/>
      <c r="J547" s="6"/>
      <c r="K547" s="6"/>
      <c r="L547" s="6"/>
      <c r="M547" s="6"/>
      <c r="N547" s="6"/>
      <c r="O547" s="6"/>
      <c r="P547" s="6"/>
      <c r="R547" s="6"/>
      <c r="S547" s="6"/>
      <c r="T547" s="6"/>
      <c r="U547" s="6"/>
      <c r="V547" s="6"/>
      <c r="W547" s="6"/>
      <c r="X547" s="6"/>
      <c r="Y547" s="6"/>
      <c r="Z547" s="6"/>
      <c r="AA547" s="6"/>
      <c r="AB547" s="6"/>
      <c r="AD547" s="6"/>
      <c r="AE547" s="6"/>
      <c r="AF547" s="6"/>
      <c r="AG547" s="6"/>
      <c r="AH547" s="6"/>
      <c r="AI547" s="6"/>
      <c r="AK547" s="6"/>
      <c r="AL547" s="6"/>
      <c r="AM547" s="6"/>
      <c r="AN547" s="6"/>
      <c r="AO547" s="6"/>
      <c r="AP547" s="6"/>
      <c r="AQ547" s="6"/>
      <c r="AR547" s="6"/>
      <c r="AS547" s="15"/>
      <c r="AT547" s="6" t="str">
        <f ca="1">IFERROR(__xludf.DUMMYFUNCTION("SWITCH(IF(A547=""Practice"",AN547,FILTER('Items by Team'!E$2:E3410,'Items by Team'!C$2:C3410=D547,B547='Items by Team'!B$2:B3410)),""None"",""No"",""Parked"",""P"",""ShallowCage"",""Sc"",""DeepCage"",""Dc"",""No"",""No"",""P"",""P"",""Sc"",""Sc"",""Dc"","&amp;"""Dc"")"),"#REF!")</f>
        <v>#REF!</v>
      </c>
      <c r="AU547" s="6" t="str">
        <f ca="1">IFERROR(__xludf.DUMMYFUNCTION("SWITCH(IF(A547 = ""Practice"", H547, FILTER('Items by Team'!D$2:D3410,'Items by Team'!C$2:C3410 = D547,'Items by Team'!B$2:B3410 = B547)), ""Yes"", ""TRUE"", ""No"", ""FALSE"",TRUE, ""TRUE"", FALSE, ""FALSE"")"),"#REF!")</f>
        <v>#REF!</v>
      </c>
      <c r="AV547" s="6">
        <f t="shared" si="42"/>
        <v>0</v>
      </c>
      <c r="AW547" s="6">
        <f t="shared" si="43"/>
        <v>0</v>
      </c>
      <c r="AX547" s="6">
        <f t="shared" si="44"/>
        <v>0</v>
      </c>
      <c r="AY547" s="6">
        <f t="shared" si="45"/>
        <v>0</v>
      </c>
      <c r="AZ547" s="9" t="str">
        <f t="shared" si="46"/>
        <v/>
      </c>
      <c r="BA547" s="6">
        <f t="shared" si="47"/>
        <v>0</v>
      </c>
      <c r="BB547" s="6">
        <f t="shared" si="48"/>
        <v>0</v>
      </c>
      <c r="BC547" s="9" t="str">
        <f t="shared" si="49"/>
        <v/>
      </c>
      <c r="BD547" s="6">
        <f t="shared" si="50"/>
        <v>0</v>
      </c>
      <c r="BE547" s="6">
        <f t="shared" si="51"/>
        <v>0</v>
      </c>
      <c r="BF547" s="9" t="str">
        <f t="shared" si="52"/>
        <v/>
      </c>
      <c r="BG547" s="6">
        <f t="shared" si="53"/>
        <v>0</v>
      </c>
      <c r="BH547" s="6">
        <f t="shared" si="54"/>
        <v>0</v>
      </c>
      <c r="BI547" s="9" t="str">
        <f t="shared" si="55"/>
        <v/>
      </c>
      <c r="BJ547" s="6">
        <f t="shared" si="56"/>
        <v>0</v>
      </c>
      <c r="BK547" s="6">
        <f t="shared" si="57"/>
        <v>0</v>
      </c>
      <c r="BL547" s="6">
        <f t="shared" si="58"/>
        <v>0</v>
      </c>
      <c r="BM547" s="6">
        <f t="shared" si="59"/>
        <v>0</v>
      </c>
      <c r="BN547" s="6">
        <f t="shared" si="60"/>
        <v>0</v>
      </c>
      <c r="BP547" s="6">
        <f t="shared" si="61"/>
        <v>0</v>
      </c>
      <c r="BQ547" s="6" t="b">
        <f ca="1">IFERROR(__xludf.DUMMYFUNCTION("IF(AND(ISERROR(FILTER('Items by Team'!D$2:D3410,'Items by Team'!C$2:C3410 = D547,'Items by Team'!B$2:B3410 = B547)),NOT(A547=""Practice"")),TRUE,FALSE)"),FALSE)</f>
        <v>0</v>
      </c>
      <c r="BR547" s="6">
        <f t="shared" ca="1" si="62"/>
        <v>0</v>
      </c>
    </row>
    <row r="548" spans="1:70">
      <c r="A548" s="6"/>
      <c r="B548" s="6"/>
      <c r="C548" s="6"/>
      <c r="D548" s="6"/>
      <c r="E548" s="6"/>
      <c r="F548" s="6"/>
      <c r="G548" s="6"/>
      <c r="H548" s="6"/>
      <c r="I548" s="6"/>
      <c r="J548" s="6"/>
      <c r="K548" s="6"/>
      <c r="L548" s="6"/>
      <c r="M548" s="6"/>
      <c r="N548" s="6"/>
      <c r="O548" s="6"/>
      <c r="P548" s="6"/>
      <c r="R548" s="6"/>
      <c r="S548" s="6"/>
      <c r="T548" s="6"/>
      <c r="U548" s="6"/>
      <c r="V548" s="6"/>
      <c r="W548" s="6"/>
      <c r="X548" s="6"/>
      <c r="Y548" s="6"/>
      <c r="Z548" s="6"/>
      <c r="AA548" s="6"/>
      <c r="AB548" s="6"/>
      <c r="AD548" s="6"/>
      <c r="AE548" s="6"/>
      <c r="AF548" s="6"/>
      <c r="AG548" s="6"/>
      <c r="AH548" s="6"/>
      <c r="AI548" s="6"/>
      <c r="AK548" s="6"/>
      <c r="AL548" s="6"/>
      <c r="AM548" s="6"/>
      <c r="AN548" s="6"/>
      <c r="AO548" s="6"/>
      <c r="AP548" s="6"/>
      <c r="AQ548" s="6"/>
      <c r="AR548" s="6"/>
      <c r="AS548" s="15"/>
      <c r="AT548" s="6" t="str">
        <f ca="1">IFERROR(__xludf.DUMMYFUNCTION("SWITCH(IF(A548=""Practice"",AN548,FILTER('Items by Team'!E$2:E3410,'Items by Team'!C$2:C3410=D548,B548='Items by Team'!B$2:B3410)),""None"",""No"",""Parked"",""P"",""ShallowCage"",""Sc"",""DeepCage"",""Dc"",""No"",""No"",""P"",""P"",""Sc"",""Sc"",""Dc"","&amp;"""Dc"")"),"#REF!")</f>
        <v>#REF!</v>
      </c>
      <c r="AU548" s="6" t="str">
        <f ca="1">IFERROR(__xludf.DUMMYFUNCTION("SWITCH(IF(A548 = ""Practice"", H548, FILTER('Items by Team'!D$2:D3410,'Items by Team'!C$2:C3410 = D548,'Items by Team'!B$2:B3410 = B548)), ""Yes"", ""TRUE"", ""No"", ""FALSE"",TRUE, ""TRUE"", FALSE, ""FALSE"")"),"#REF!")</f>
        <v>#REF!</v>
      </c>
      <c r="AV548" s="6">
        <f t="shared" si="42"/>
        <v>0</v>
      </c>
      <c r="AW548" s="6">
        <f t="shared" si="43"/>
        <v>0</v>
      </c>
      <c r="AX548" s="6">
        <f t="shared" si="44"/>
        <v>0</v>
      </c>
      <c r="AY548" s="6">
        <f t="shared" si="45"/>
        <v>0</v>
      </c>
      <c r="AZ548" s="9" t="str">
        <f t="shared" si="46"/>
        <v/>
      </c>
      <c r="BA548" s="6">
        <f t="shared" si="47"/>
        <v>0</v>
      </c>
      <c r="BB548" s="6">
        <f t="shared" si="48"/>
        <v>0</v>
      </c>
      <c r="BC548" s="9" t="str">
        <f t="shared" si="49"/>
        <v/>
      </c>
      <c r="BD548" s="6">
        <f t="shared" si="50"/>
        <v>0</v>
      </c>
      <c r="BE548" s="6">
        <f t="shared" si="51"/>
        <v>0</v>
      </c>
      <c r="BF548" s="9" t="str">
        <f t="shared" si="52"/>
        <v/>
      </c>
      <c r="BG548" s="6">
        <f t="shared" si="53"/>
        <v>0</v>
      </c>
      <c r="BH548" s="6">
        <f t="shared" si="54"/>
        <v>0</v>
      </c>
      <c r="BI548" s="9" t="str">
        <f t="shared" si="55"/>
        <v/>
      </c>
      <c r="BJ548" s="6">
        <f t="shared" si="56"/>
        <v>0</v>
      </c>
      <c r="BK548" s="6">
        <f t="shared" si="57"/>
        <v>0</v>
      </c>
      <c r="BL548" s="6">
        <f t="shared" si="58"/>
        <v>0</v>
      </c>
      <c r="BM548" s="6">
        <f t="shared" si="59"/>
        <v>0</v>
      </c>
      <c r="BN548" s="6">
        <f t="shared" si="60"/>
        <v>0</v>
      </c>
      <c r="BP548" s="6">
        <f t="shared" si="61"/>
        <v>0</v>
      </c>
      <c r="BQ548" s="6" t="b">
        <f ca="1">IFERROR(__xludf.DUMMYFUNCTION("IF(AND(ISERROR(FILTER('Items by Team'!D$2:D3410,'Items by Team'!C$2:C3410 = D548,'Items by Team'!B$2:B3410 = B548)),NOT(A548=""Practice"")),TRUE,FALSE)"),FALSE)</f>
        <v>0</v>
      </c>
      <c r="BR548" s="6">
        <f t="shared" ca="1" si="62"/>
        <v>0</v>
      </c>
    </row>
    <row r="549" spans="1:70">
      <c r="A549" s="6"/>
      <c r="B549" s="6"/>
      <c r="C549" s="6"/>
      <c r="D549" s="6"/>
      <c r="E549" s="6"/>
      <c r="F549" s="6"/>
      <c r="G549" s="6"/>
      <c r="H549" s="6"/>
      <c r="I549" s="6"/>
      <c r="J549" s="6"/>
      <c r="K549" s="6"/>
      <c r="L549" s="6"/>
      <c r="M549" s="6"/>
      <c r="N549" s="6"/>
      <c r="O549" s="6"/>
      <c r="P549" s="6"/>
      <c r="R549" s="6"/>
      <c r="S549" s="6"/>
      <c r="T549" s="6"/>
      <c r="U549" s="6"/>
      <c r="V549" s="6"/>
      <c r="W549" s="6"/>
      <c r="X549" s="6"/>
      <c r="Y549" s="6"/>
      <c r="Z549" s="6"/>
      <c r="AA549" s="6"/>
      <c r="AB549" s="6"/>
      <c r="AD549" s="6"/>
      <c r="AE549" s="6"/>
      <c r="AF549" s="6"/>
      <c r="AG549" s="6"/>
      <c r="AH549" s="6"/>
      <c r="AI549" s="6"/>
      <c r="AK549" s="6"/>
      <c r="AL549" s="6"/>
      <c r="AM549" s="6"/>
      <c r="AN549" s="6"/>
      <c r="AO549" s="6"/>
      <c r="AP549" s="6"/>
      <c r="AQ549" s="6"/>
      <c r="AR549" s="6"/>
      <c r="AS549" s="15"/>
      <c r="AT549" s="6" t="str">
        <f ca="1">IFERROR(__xludf.DUMMYFUNCTION("SWITCH(IF(A549=""Practice"",AN549,FILTER('Items by Team'!E$2:E3410,'Items by Team'!C$2:C3410=D549,B549='Items by Team'!B$2:B3410)),""None"",""No"",""Parked"",""P"",""ShallowCage"",""Sc"",""DeepCage"",""Dc"",""No"",""No"",""P"",""P"",""Sc"",""Sc"",""Dc"","&amp;"""Dc"")"),"#REF!")</f>
        <v>#REF!</v>
      </c>
      <c r="AU549" s="6" t="str">
        <f ca="1">IFERROR(__xludf.DUMMYFUNCTION("SWITCH(IF(A549 = ""Practice"", H549, FILTER('Items by Team'!D$2:D3410,'Items by Team'!C$2:C3410 = D549,'Items by Team'!B$2:B3410 = B549)), ""Yes"", ""TRUE"", ""No"", ""FALSE"",TRUE, ""TRUE"", FALSE, ""FALSE"")"),"#REF!")</f>
        <v>#REF!</v>
      </c>
      <c r="AV549" s="6">
        <f t="shared" si="42"/>
        <v>0</v>
      </c>
      <c r="AW549" s="6">
        <f t="shared" si="43"/>
        <v>0</v>
      </c>
      <c r="AX549" s="6">
        <f t="shared" si="44"/>
        <v>0</v>
      </c>
      <c r="AY549" s="6">
        <f t="shared" si="45"/>
        <v>0</v>
      </c>
      <c r="AZ549" s="9" t="str">
        <f t="shared" si="46"/>
        <v/>
      </c>
      <c r="BA549" s="6">
        <f t="shared" si="47"/>
        <v>0</v>
      </c>
      <c r="BB549" s="6">
        <f t="shared" si="48"/>
        <v>0</v>
      </c>
      <c r="BC549" s="9" t="str">
        <f t="shared" si="49"/>
        <v/>
      </c>
      <c r="BD549" s="6">
        <f t="shared" si="50"/>
        <v>0</v>
      </c>
      <c r="BE549" s="6">
        <f t="shared" si="51"/>
        <v>0</v>
      </c>
      <c r="BF549" s="9" t="str">
        <f t="shared" si="52"/>
        <v/>
      </c>
      <c r="BG549" s="6">
        <f t="shared" si="53"/>
        <v>0</v>
      </c>
      <c r="BH549" s="6">
        <f t="shared" si="54"/>
        <v>0</v>
      </c>
      <c r="BI549" s="9" t="str">
        <f t="shared" si="55"/>
        <v/>
      </c>
      <c r="BJ549" s="6">
        <f t="shared" si="56"/>
        <v>0</v>
      </c>
      <c r="BK549" s="6">
        <f t="shared" si="57"/>
        <v>0</v>
      </c>
      <c r="BL549" s="6">
        <f t="shared" si="58"/>
        <v>0</v>
      </c>
      <c r="BM549" s="6">
        <f t="shared" si="59"/>
        <v>0</v>
      </c>
      <c r="BN549" s="6">
        <f t="shared" si="60"/>
        <v>0</v>
      </c>
      <c r="BP549" s="6">
        <f t="shared" si="61"/>
        <v>0</v>
      </c>
      <c r="BQ549" s="6" t="b">
        <f ca="1">IFERROR(__xludf.DUMMYFUNCTION("IF(AND(ISERROR(FILTER('Items by Team'!D$2:D3410,'Items by Team'!C$2:C3410 = D549,'Items by Team'!B$2:B3410 = B549)),NOT(A549=""Practice"")),TRUE,FALSE)"),FALSE)</f>
        <v>0</v>
      </c>
      <c r="BR549" s="6">
        <f t="shared" ca="1" si="62"/>
        <v>0</v>
      </c>
    </row>
    <row r="550" spans="1:70">
      <c r="A550" s="6"/>
      <c r="B550" s="6"/>
      <c r="C550" s="6"/>
      <c r="D550" s="6"/>
      <c r="E550" s="6"/>
      <c r="F550" s="6"/>
      <c r="G550" s="6"/>
      <c r="H550" s="6"/>
      <c r="I550" s="6"/>
      <c r="J550" s="6"/>
      <c r="K550" s="6"/>
      <c r="L550" s="6"/>
      <c r="M550" s="6"/>
      <c r="N550" s="6"/>
      <c r="O550" s="6"/>
      <c r="P550" s="6"/>
      <c r="R550" s="6"/>
      <c r="S550" s="6"/>
      <c r="T550" s="6"/>
      <c r="U550" s="6"/>
      <c r="V550" s="6"/>
      <c r="W550" s="6"/>
      <c r="X550" s="6"/>
      <c r="Y550" s="6"/>
      <c r="Z550" s="6"/>
      <c r="AA550" s="6"/>
      <c r="AB550" s="6"/>
      <c r="AD550" s="6"/>
      <c r="AE550" s="6"/>
      <c r="AF550" s="6"/>
      <c r="AG550" s="6"/>
      <c r="AH550" s="6"/>
      <c r="AI550" s="6"/>
      <c r="AK550" s="6"/>
      <c r="AL550" s="6"/>
      <c r="AM550" s="6"/>
      <c r="AN550" s="6"/>
      <c r="AO550" s="6"/>
      <c r="AP550" s="6"/>
      <c r="AQ550" s="6"/>
      <c r="AR550" s="6"/>
      <c r="AS550" s="15"/>
      <c r="AT550" s="6" t="str">
        <f ca="1">IFERROR(__xludf.DUMMYFUNCTION("SWITCH(IF(A550=""Practice"",AN550,FILTER('Items by Team'!E$2:E3410,'Items by Team'!C$2:C3410=D550,B550='Items by Team'!B$2:B3410)),""None"",""No"",""Parked"",""P"",""ShallowCage"",""Sc"",""DeepCage"",""Dc"",""No"",""No"",""P"",""P"",""Sc"",""Sc"",""Dc"","&amp;"""Dc"")"),"#REF!")</f>
        <v>#REF!</v>
      </c>
      <c r="AU550" s="6" t="str">
        <f ca="1">IFERROR(__xludf.DUMMYFUNCTION("SWITCH(IF(A550 = ""Practice"", H550, FILTER('Items by Team'!D$2:D3410,'Items by Team'!C$2:C3410 = D550,'Items by Team'!B$2:B3410 = B550)), ""Yes"", ""TRUE"", ""No"", ""FALSE"",TRUE, ""TRUE"", FALSE, ""FALSE"")"),"#REF!")</f>
        <v>#REF!</v>
      </c>
      <c r="AV550" s="6">
        <f t="shared" si="42"/>
        <v>0</v>
      </c>
      <c r="AW550" s="6">
        <f t="shared" si="43"/>
        <v>0</v>
      </c>
      <c r="AX550" s="6">
        <f t="shared" si="44"/>
        <v>0</v>
      </c>
      <c r="AY550" s="6">
        <f t="shared" si="45"/>
        <v>0</v>
      </c>
      <c r="AZ550" s="9" t="str">
        <f t="shared" si="46"/>
        <v/>
      </c>
      <c r="BA550" s="6">
        <f t="shared" si="47"/>
        <v>0</v>
      </c>
      <c r="BB550" s="6">
        <f t="shared" si="48"/>
        <v>0</v>
      </c>
      <c r="BC550" s="9" t="str">
        <f t="shared" si="49"/>
        <v/>
      </c>
      <c r="BD550" s="6">
        <f t="shared" si="50"/>
        <v>0</v>
      </c>
      <c r="BE550" s="6">
        <f t="shared" si="51"/>
        <v>0</v>
      </c>
      <c r="BF550" s="9" t="str">
        <f t="shared" si="52"/>
        <v/>
      </c>
      <c r="BG550" s="6">
        <f t="shared" si="53"/>
        <v>0</v>
      </c>
      <c r="BH550" s="6">
        <f t="shared" si="54"/>
        <v>0</v>
      </c>
      <c r="BI550" s="9" t="str">
        <f t="shared" si="55"/>
        <v/>
      </c>
      <c r="BJ550" s="6">
        <f t="shared" si="56"/>
        <v>0</v>
      </c>
      <c r="BK550" s="6">
        <f t="shared" si="57"/>
        <v>0</v>
      </c>
      <c r="BL550" s="6">
        <f t="shared" si="58"/>
        <v>0</v>
      </c>
      <c r="BM550" s="6">
        <f t="shared" si="59"/>
        <v>0</v>
      </c>
      <c r="BN550" s="6">
        <f t="shared" si="60"/>
        <v>0</v>
      </c>
      <c r="BP550" s="6">
        <f t="shared" si="61"/>
        <v>0</v>
      </c>
      <c r="BQ550" s="6" t="b">
        <f ca="1">IFERROR(__xludf.DUMMYFUNCTION("IF(AND(ISERROR(FILTER('Items by Team'!D$2:D3410,'Items by Team'!C$2:C3410 = D550,'Items by Team'!B$2:B3410 = B550)),NOT(A550=""Practice"")),TRUE,FALSE)"),FALSE)</f>
        <v>0</v>
      </c>
      <c r="BR550" s="6">
        <f t="shared" ca="1" si="62"/>
        <v>0</v>
      </c>
    </row>
    <row r="551" spans="1:70">
      <c r="A551" s="6"/>
      <c r="B551" s="6"/>
      <c r="C551" s="6"/>
      <c r="D551" s="6"/>
      <c r="E551" s="6"/>
      <c r="F551" s="6"/>
      <c r="G551" s="6"/>
      <c r="H551" s="6"/>
      <c r="I551" s="6"/>
      <c r="J551" s="6"/>
      <c r="K551" s="6"/>
      <c r="L551" s="6"/>
      <c r="M551" s="6"/>
      <c r="N551" s="6"/>
      <c r="O551" s="6"/>
      <c r="P551" s="6"/>
      <c r="R551" s="6"/>
      <c r="S551" s="6"/>
      <c r="T551" s="6"/>
      <c r="U551" s="6"/>
      <c r="V551" s="6"/>
      <c r="W551" s="6"/>
      <c r="X551" s="6"/>
      <c r="Y551" s="6"/>
      <c r="Z551" s="6"/>
      <c r="AA551" s="6"/>
      <c r="AB551" s="6"/>
      <c r="AD551" s="6"/>
      <c r="AE551" s="6"/>
      <c r="AF551" s="6"/>
      <c r="AG551" s="6"/>
      <c r="AH551" s="6"/>
      <c r="AI551" s="6"/>
      <c r="AK551" s="6"/>
      <c r="AL551" s="6"/>
      <c r="AM551" s="6"/>
      <c r="AN551" s="6"/>
      <c r="AO551" s="6"/>
      <c r="AP551" s="6"/>
      <c r="AQ551" s="6"/>
      <c r="AR551" s="6"/>
      <c r="AS551" s="15"/>
      <c r="AT551" s="6" t="str">
        <f ca="1">IFERROR(__xludf.DUMMYFUNCTION("SWITCH(IF(A551=""Practice"",AN551,FILTER('Items by Team'!E$2:E3410,'Items by Team'!C$2:C3410=D551,B551='Items by Team'!B$2:B3410)),""None"",""No"",""Parked"",""P"",""ShallowCage"",""Sc"",""DeepCage"",""Dc"",""No"",""No"",""P"",""P"",""Sc"",""Sc"",""Dc"","&amp;"""Dc"")"),"#REF!")</f>
        <v>#REF!</v>
      </c>
      <c r="AU551" s="6" t="str">
        <f ca="1">IFERROR(__xludf.DUMMYFUNCTION("SWITCH(IF(A551 = ""Practice"", H551, FILTER('Items by Team'!D$2:D3410,'Items by Team'!C$2:C3410 = D551,'Items by Team'!B$2:B3410 = B551)), ""Yes"", ""TRUE"", ""No"", ""FALSE"",TRUE, ""TRUE"", FALSE, ""FALSE"")"),"#REF!")</f>
        <v>#REF!</v>
      </c>
      <c r="AV551" s="6">
        <f t="shared" si="42"/>
        <v>0</v>
      </c>
      <c r="AW551" s="6">
        <f t="shared" si="43"/>
        <v>0</v>
      </c>
      <c r="AX551" s="6">
        <f t="shared" si="44"/>
        <v>0</v>
      </c>
      <c r="AY551" s="6">
        <f t="shared" si="45"/>
        <v>0</v>
      </c>
      <c r="AZ551" s="9" t="str">
        <f t="shared" si="46"/>
        <v/>
      </c>
      <c r="BA551" s="6">
        <f t="shared" si="47"/>
        <v>0</v>
      </c>
      <c r="BB551" s="6">
        <f t="shared" si="48"/>
        <v>0</v>
      </c>
      <c r="BC551" s="9" t="str">
        <f t="shared" si="49"/>
        <v/>
      </c>
      <c r="BD551" s="6">
        <f t="shared" si="50"/>
        <v>0</v>
      </c>
      <c r="BE551" s="6">
        <f t="shared" si="51"/>
        <v>0</v>
      </c>
      <c r="BF551" s="9" t="str">
        <f t="shared" si="52"/>
        <v/>
      </c>
      <c r="BG551" s="6">
        <f t="shared" si="53"/>
        <v>0</v>
      </c>
      <c r="BH551" s="6">
        <f t="shared" si="54"/>
        <v>0</v>
      </c>
      <c r="BI551" s="9" t="str">
        <f t="shared" si="55"/>
        <v/>
      </c>
      <c r="BJ551" s="6">
        <f t="shared" si="56"/>
        <v>0</v>
      </c>
      <c r="BK551" s="6">
        <f t="shared" si="57"/>
        <v>0</v>
      </c>
      <c r="BL551" s="6">
        <f t="shared" si="58"/>
        <v>0</v>
      </c>
      <c r="BM551" s="6">
        <f t="shared" si="59"/>
        <v>0</v>
      </c>
      <c r="BN551" s="6">
        <f t="shared" si="60"/>
        <v>0</v>
      </c>
      <c r="BP551" s="6">
        <f t="shared" si="61"/>
        <v>0</v>
      </c>
      <c r="BQ551" s="6" t="b">
        <f ca="1">IFERROR(__xludf.DUMMYFUNCTION("IF(AND(ISERROR(FILTER('Items by Team'!D$2:D3410,'Items by Team'!C$2:C3410 = D551,'Items by Team'!B$2:B3410 = B551)),NOT(A551=""Practice"")),TRUE,FALSE)"),FALSE)</f>
        <v>0</v>
      </c>
      <c r="BR551" s="6">
        <f t="shared" ca="1" si="62"/>
        <v>0</v>
      </c>
    </row>
    <row r="552" spans="1:70">
      <c r="A552" s="6"/>
      <c r="B552" s="6"/>
      <c r="C552" s="6"/>
      <c r="D552" s="6"/>
      <c r="E552" s="6"/>
      <c r="F552" s="6"/>
      <c r="G552" s="6"/>
      <c r="H552" s="6"/>
      <c r="I552" s="6"/>
      <c r="J552" s="6"/>
      <c r="K552" s="6"/>
      <c r="L552" s="6"/>
      <c r="M552" s="6"/>
      <c r="N552" s="6"/>
      <c r="O552" s="6"/>
      <c r="P552" s="6"/>
      <c r="R552" s="6"/>
      <c r="S552" s="6"/>
      <c r="T552" s="6"/>
      <c r="U552" s="6"/>
      <c r="V552" s="6"/>
      <c r="W552" s="6"/>
      <c r="X552" s="6"/>
      <c r="Y552" s="6"/>
      <c r="Z552" s="6"/>
      <c r="AA552" s="6"/>
      <c r="AB552" s="6"/>
      <c r="AD552" s="6"/>
      <c r="AE552" s="6"/>
      <c r="AF552" s="6"/>
      <c r="AG552" s="6"/>
      <c r="AH552" s="6"/>
      <c r="AI552" s="6"/>
      <c r="AK552" s="6"/>
      <c r="AL552" s="6"/>
      <c r="AM552" s="6"/>
      <c r="AN552" s="6"/>
      <c r="AO552" s="6"/>
      <c r="AP552" s="6"/>
      <c r="AQ552" s="6"/>
      <c r="AR552" s="6"/>
      <c r="AS552" s="15"/>
      <c r="AT552" s="6" t="str">
        <f ca="1">IFERROR(__xludf.DUMMYFUNCTION("SWITCH(IF(A552=""Practice"",AN552,FILTER('Items by Team'!E$2:E3410,'Items by Team'!C$2:C3410=D552,B552='Items by Team'!B$2:B3410)),""None"",""No"",""Parked"",""P"",""ShallowCage"",""Sc"",""DeepCage"",""Dc"",""No"",""No"",""P"",""P"",""Sc"",""Sc"",""Dc"","&amp;"""Dc"")"),"#REF!")</f>
        <v>#REF!</v>
      </c>
      <c r="AU552" s="6" t="str">
        <f ca="1">IFERROR(__xludf.DUMMYFUNCTION("SWITCH(IF(A552 = ""Practice"", H552, FILTER('Items by Team'!D$2:D3410,'Items by Team'!C$2:C3410 = D552,'Items by Team'!B$2:B3410 = B552)), ""Yes"", ""TRUE"", ""No"", ""FALSE"",TRUE, ""TRUE"", FALSE, ""FALSE"")"),"#REF!")</f>
        <v>#REF!</v>
      </c>
      <c r="AV552" s="6">
        <f t="shared" si="42"/>
        <v>0</v>
      </c>
      <c r="AW552" s="6">
        <f t="shared" si="43"/>
        <v>0</v>
      </c>
      <c r="AX552" s="6">
        <f t="shared" si="44"/>
        <v>0</v>
      </c>
      <c r="AY552" s="6">
        <f t="shared" si="45"/>
        <v>0</v>
      </c>
      <c r="AZ552" s="9" t="str">
        <f t="shared" si="46"/>
        <v/>
      </c>
      <c r="BA552" s="6">
        <f t="shared" si="47"/>
        <v>0</v>
      </c>
      <c r="BB552" s="6">
        <f t="shared" si="48"/>
        <v>0</v>
      </c>
      <c r="BC552" s="9" t="str">
        <f t="shared" si="49"/>
        <v/>
      </c>
      <c r="BD552" s="6">
        <f t="shared" si="50"/>
        <v>0</v>
      </c>
      <c r="BE552" s="6">
        <f t="shared" si="51"/>
        <v>0</v>
      </c>
      <c r="BF552" s="9" t="str">
        <f t="shared" si="52"/>
        <v/>
      </c>
      <c r="BG552" s="6">
        <f t="shared" si="53"/>
        <v>0</v>
      </c>
      <c r="BH552" s="6">
        <f t="shared" si="54"/>
        <v>0</v>
      </c>
      <c r="BI552" s="9" t="str">
        <f t="shared" si="55"/>
        <v/>
      </c>
      <c r="BJ552" s="6">
        <f t="shared" si="56"/>
        <v>0</v>
      </c>
      <c r="BK552" s="6">
        <f t="shared" si="57"/>
        <v>0</v>
      </c>
      <c r="BL552" s="6">
        <f t="shared" si="58"/>
        <v>0</v>
      </c>
      <c r="BM552" s="6">
        <f t="shared" si="59"/>
        <v>0</v>
      </c>
      <c r="BN552" s="6">
        <f t="shared" si="60"/>
        <v>0</v>
      </c>
      <c r="BP552" s="6">
        <f t="shared" si="61"/>
        <v>0</v>
      </c>
      <c r="BQ552" s="6" t="b">
        <f ca="1">IFERROR(__xludf.DUMMYFUNCTION("IF(AND(ISERROR(FILTER('Items by Team'!D$2:D3410,'Items by Team'!C$2:C3410 = D552,'Items by Team'!B$2:B3410 = B552)),NOT(A552=""Practice"")),TRUE,FALSE)"),FALSE)</f>
        <v>0</v>
      </c>
      <c r="BR552" s="6">
        <f t="shared" ca="1" si="62"/>
        <v>0</v>
      </c>
    </row>
    <row r="553" spans="1:70">
      <c r="A553" s="6"/>
      <c r="B553" s="6"/>
      <c r="C553" s="6"/>
      <c r="D553" s="6"/>
      <c r="E553" s="6"/>
      <c r="F553" s="6"/>
      <c r="G553" s="6"/>
      <c r="H553" s="6"/>
      <c r="I553" s="6"/>
      <c r="J553" s="6"/>
      <c r="K553" s="6"/>
      <c r="L553" s="6"/>
      <c r="M553" s="6"/>
      <c r="N553" s="6"/>
      <c r="O553" s="6"/>
      <c r="P553" s="6"/>
      <c r="R553" s="6"/>
      <c r="S553" s="6"/>
      <c r="T553" s="6"/>
      <c r="U553" s="6"/>
      <c r="V553" s="6"/>
      <c r="W553" s="6"/>
      <c r="X553" s="6"/>
      <c r="Y553" s="6"/>
      <c r="Z553" s="6"/>
      <c r="AA553" s="6"/>
      <c r="AB553" s="6"/>
      <c r="AD553" s="6"/>
      <c r="AE553" s="6"/>
      <c r="AF553" s="6"/>
      <c r="AG553" s="6"/>
      <c r="AH553" s="6"/>
      <c r="AI553" s="6"/>
      <c r="AK553" s="6"/>
      <c r="AL553" s="6"/>
      <c r="AM553" s="6"/>
      <c r="AN553" s="6"/>
      <c r="AO553" s="6"/>
      <c r="AP553" s="6"/>
      <c r="AQ553" s="6"/>
      <c r="AR553" s="6"/>
      <c r="AS553" s="15"/>
      <c r="AT553" s="6" t="str">
        <f ca="1">IFERROR(__xludf.DUMMYFUNCTION("SWITCH(IF(A553=""Practice"",AN553,FILTER('Items by Team'!E$2:E3410,'Items by Team'!C$2:C3410=D553,B553='Items by Team'!B$2:B3410)),""None"",""No"",""Parked"",""P"",""ShallowCage"",""Sc"",""DeepCage"",""Dc"",""No"",""No"",""P"",""P"",""Sc"",""Sc"",""Dc"","&amp;"""Dc"")"),"#REF!")</f>
        <v>#REF!</v>
      </c>
      <c r="AU553" s="6" t="str">
        <f ca="1">IFERROR(__xludf.DUMMYFUNCTION("SWITCH(IF(A553 = ""Practice"", H553, FILTER('Items by Team'!D$2:D3410,'Items by Team'!C$2:C3410 = D553,'Items by Team'!B$2:B3410 = B553)), ""Yes"", ""TRUE"", ""No"", ""FALSE"",TRUE, ""TRUE"", FALSE, ""FALSE"")"),"#REF!")</f>
        <v>#REF!</v>
      </c>
      <c r="AV553" s="6">
        <f t="shared" si="42"/>
        <v>0</v>
      </c>
      <c r="AW553" s="6">
        <f t="shared" si="43"/>
        <v>0</v>
      </c>
      <c r="AX553" s="6">
        <f t="shared" si="44"/>
        <v>0</v>
      </c>
      <c r="AY553" s="6">
        <f t="shared" si="45"/>
        <v>0</v>
      </c>
      <c r="AZ553" s="9" t="str">
        <f t="shared" si="46"/>
        <v/>
      </c>
      <c r="BA553" s="6">
        <f t="shared" si="47"/>
        <v>0</v>
      </c>
      <c r="BB553" s="6">
        <f t="shared" si="48"/>
        <v>0</v>
      </c>
      <c r="BC553" s="9" t="str">
        <f t="shared" si="49"/>
        <v/>
      </c>
      <c r="BD553" s="6">
        <f t="shared" si="50"/>
        <v>0</v>
      </c>
      <c r="BE553" s="6">
        <f t="shared" si="51"/>
        <v>0</v>
      </c>
      <c r="BF553" s="9" t="str">
        <f t="shared" si="52"/>
        <v/>
      </c>
      <c r="BG553" s="6">
        <f t="shared" si="53"/>
        <v>0</v>
      </c>
      <c r="BH553" s="6">
        <f t="shared" si="54"/>
        <v>0</v>
      </c>
      <c r="BI553" s="9" t="str">
        <f t="shared" si="55"/>
        <v/>
      </c>
      <c r="BJ553" s="6">
        <f t="shared" si="56"/>
        <v>0</v>
      </c>
      <c r="BK553" s="6">
        <f t="shared" si="57"/>
        <v>0</v>
      </c>
      <c r="BL553" s="6">
        <f t="shared" si="58"/>
        <v>0</v>
      </c>
      <c r="BM553" s="6">
        <f t="shared" si="59"/>
        <v>0</v>
      </c>
      <c r="BN553" s="6">
        <f t="shared" si="60"/>
        <v>0</v>
      </c>
      <c r="BP553" s="6">
        <f t="shared" si="61"/>
        <v>0</v>
      </c>
      <c r="BQ553" s="6" t="b">
        <f ca="1">IFERROR(__xludf.DUMMYFUNCTION("IF(AND(ISERROR(FILTER('Items by Team'!D$2:D3410,'Items by Team'!C$2:C3410 = D553,'Items by Team'!B$2:B3410 = B553)),NOT(A553=""Practice"")),TRUE,FALSE)"),FALSE)</f>
        <v>0</v>
      </c>
      <c r="BR553" s="6">
        <f t="shared" ca="1" si="62"/>
        <v>0</v>
      </c>
    </row>
    <row r="554" spans="1:70">
      <c r="A554" s="6"/>
      <c r="B554" s="6"/>
      <c r="C554" s="6"/>
      <c r="D554" s="6"/>
      <c r="E554" s="6"/>
      <c r="F554" s="6"/>
      <c r="G554" s="6"/>
      <c r="H554" s="6"/>
      <c r="I554" s="6"/>
      <c r="J554" s="6"/>
      <c r="K554" s="6"/>
      <c r="L554" s="6"/>
      <c r="M554" s="6"/>
      <c r="N554" s="6"/>
      <c r="O554" s="6"/>
      <c r="P554" s="6"/>
      <c r="R554" s="6"/>
      <c r="S554" s="6"/>
      <c r="T554" s="6"/>
      <c r="U554" s="6"/>
      <c r="V554" s="6"/>
      <c r="W554" s="6"/>
      <c r="X554" s="6"/>
      <c r="Y554" s="6"/>
      <c r="Z554" s="6"/>
      <c r="AA554" s="6"/>
      <c r="AB554" s="6"/>
      <c r="AD554" s="6"/>
      <c r="AE554" s="6"/>
      <c r="AF554" s="6"/>
      <c r="AG554" s="6"/>
      <c r="AH554" s="6"/>
      <c r="AI554" s="6"/>
      <c r="AK554" s="6"/>
      <c r="AL554" s="6"/>
      <c r="AM554" s="6"/>
      <c r="AN554" s="6"/>
      <c r="AO554" s="6"/>
      <c r="AP554" s="6"/>
      <c r="AQ554" s="6"/>
      <c r="AR554" s="6"/>
      <c r="AS554" s="15"/>
      <c r="AT554" s="6" t="str">
        <f ca="1">IFERROR(__xludf.DUMMYFUNCTION("SWITCH(IF(A554=""Practice"",AN554,FILTER('Items by Team'!E$2:E3410,'Items by Team'!C$2:C3410=D554,B554='Items by Team'!B$2:B3410)),""None"",""No"",""Parked"",""P"",""ShallowCage"",""Sc"",""DeepCage"",""Dc"",""No"",""No"",""P"",""P"",""Sc"",""Sc"",""Dc"","&amp;"""Dc"")"),"#REF!")</f>
        <v>#REF!</v>
      </c>
      <c r="AU554" s="6" t="str">
        <f ca="1">IFERROR(__xludf.DUMMYFUNCTION("SWITCH(IF(A554 = ""Practice"", H554, FILTER('Items by Team'!D$2:D3410,'Items by Team'!C$2:C3410 = D554,'Items by Team'!B$2:B3410 = B554)), ""Yes"", ""TRUE"", ""No"", ""FALSE"",TRUE, ""TRUE"", FALSE, ""FALSE"")"),"#REF!")</f>
        <v>#REF!</v>
      </c>
      <c r="AV554" s="6">
        <f t="shared" si="42"/>
        <v>0</v>
      </c>
      <c r="AW554" s="6">
        <f t="shared" si="43"/>
        <v>0</v>
      </c>
      <c r="AX554" s="6">
        <f t="shared" si="44"/>
        <v>0</v>
      </c>
      <c r="AY554" s="6">
        <f t="shared" si="45"/>
        <v>0</v>
      </c>
      <c r="AZ554" s="9" t="str">
        <f t="shared" si="46"/>
        <v/>
      </c>
      <c r="BA554" s="6">
        <f t="shared" si="47"/>
        <v>0</v>
      </c>
      <c r="BB554" s="6">
        <f t="shared" si="48"/>
        <v>0</v>
      </c>
      <c r="BC554" s="9" t="str">
        <f t="shared" si="49"/>
        <v/>
      </c>
      <c r="BD554" s="6">
        <f t="shared" si="50"/>
        <v>0</v>
      </c>
      <c r="BE554" s="6">
        <f t="shared" si="51"/>
        <v>0</v>
      </c>
      <c r="BF554" s="9" t="str">
        <f t="shared" si="52"/>
        <v/>
      </c>
      <c r="BG554" s="6">
        <f t="shared" si="53"/>
        <v>0</v>
      </c>
      <c r="BH554" s="6">
        <f t="shared" si="54"/>
        <v>0</v>
      </c>
      <c r="BI554" s="9" t="str">
        <f t="shared" si="55"/>
        <v/>
      </c>
      <c r="BJ554" s="6">
        <f t="shared" si="56"/>
        <v>0</v>
      </c>
      <c r="BK554" s="6">
        <f t="shared" si="57"/>
        <v>0</v>
      </c>
      <c r="BL554" s="6">
        <f t="shared" si="58"/>
        <v>0</v>
      </c>
      <c r="BM554" s="6">
        <f t="shared" si="59"/>
        <v>0</v>
      </c>
      <c r="BN554" s="6">
        <f t="shared" si="60"/>
        <v>0</v>
      </c>
      <c r="BP554" s="6">
        <f t="shared" si="61"/>
        <v>0</v>
      </c>
      <c r="BQ554" s="6" t="b">
        <f ca="1">IFERROR(__xludf.DUMMYFUNCTION("IF(AND(ISERROR(FILTER('Items by Team'!D$2:D3410,'Items by Team'!C$2:C3410 = D554,'Items by Team'!B$2:B3410 = B554)),NOT(A554=""Practice"")),TRUE,FALSE)"),FALSE)</f>
        <v>0</v>
      </c>
      <c r="BR554" s="6">
        <f t="shared" ca="1" si="62"/>
        <v>0</v>
      </c>
    </row>
    <row r="555" spans="1:70">
      <c r="A555" s="6"/>
      <c r="B555" s="6"/>
      <c r="C555" s="6"/>
      <c r="D555" s="6"/>
      <c r="E555" s="6"/>
      <c r="F555" s="6"/>
      <c r="G555" s="6"/>
      <c r="H555" s="6"/>
      <c r="I555" s="6"/>
      <c r="J555" s="6"/>
      <c r="K555" s="6"/>
      <c r="L555" s="6"/>
      <c r="M555" s="6"/>
      <c r="N555" s="6"/>
      <c r="O555" s="6"/>
      <c r="P555" s="6"/>
      <c r="R555" s="6"/>
      <c r="S555" s="6"/>
      <c r="T555" s="6"/>
      <c r="U555" s="6"/>
      <c r="V555" s="6"/>
      <c r="W555" s="6"/>
      <c r="X555" s="6"/>
      <c r="Y555" s="6"/>
      <c r="Z555" s="6"/>
      <c r="AA555" s="6"/>
      <c r="AB555" s="6"/>
      <c r="AD555" s="6"/>
      <c r="AE555" s="6"/>
      <c r="AF555" s="6"/>
      <c r="AG555" s="6"/>
      <c r="AH555" s="6"/>
      <c r="AI555" s="6"/>
      <c r="AK555" s="6"/>
      <c r="AL555" s="6"/>
      <c r="AM555" s="6"/>
      <c r="AN555" s="6"/>
      <c r="AO555" s="6"/>
      <c r="AP555" s="6"/>
      <c r="AQ555" s="6"/>
      <c r="AR555" s="6"/>
      <c r="AS555" s="15"/>
      <c r="AT555" s="6" t="str">
        <f ca="1">IFERROR(__xludf.DUMMYFUNCTION("SWITCH(IF(A555=""Practice"",AN555,FILTER('Items by Team'!E$2:E3410,'Items by Team'!C$2:C3410=D555,B555='Items by Team'!B$2:B3410)),""None"",""No"",""Parked"",""P"",""ShallowCage"",""Sc"",""DeepCage"",""Dc"",""No"",""No"",""P"",""P"",""Sc"",""Sc"",""Dc"","&amp;"""Dc"")"),"#REF!")</f>
        <v>#REF!</v>
      </c>
      <c r="AU555" s="6" t="str">
        <f ca="1">IFERROR(__xludf.DUMMYFUNCTION("SWITCH(IF(A555 = ""Practice"", H555, FILTER('Items by Team'!D$2:D3410,'Items by Team'!C$2:C3410 = D555,'Items by Team'!B$2:B3410 = B555)), ""Yes"", ""TRUE"", ""No"", ""FALSE"",TRUE, ""TRUE"", FALSE, ""FALSE"")"),"#REF!")</f>
        <v>#REF!</v>
      </c>
      <c r="AV555" s="6">
        <f t="shared" si="42"/>
        <v>0</v>
      </c>
      <c r="AW555" s="6">
        <f t="shared" si="43"/>
        <v>0</v>
      </c>
      <c r="AX555" s="6">
        <f t="shared" si="44"/>
        <v>0</v>
      </c>
      <c r="AY555" s="6">
        <f t="shared" si="45"/>
        <v>0</v>
      </c>
      <c r="AZ555" s="9" t="str">
        <f t="shared" si="46"/>
        <v/>
      </c>
      <c r="BA555" s="6">
        <f t="shared" si="47"/>
        <v>0</v>
      </c>
      <c r="BB555" s="6">
        <f t="shared" si="48"/>
        <v>0</v>
      </c>
      <c r="BC555" s="9" t="str">
        <f t="shared" si="49"/>
        <v/>
      </c>
      <c r="BD555" s="6">
        <f t="shared" si="50"/>
        <v>0</v>
      </c>
      <c r="BE555" s="6">
        <f t="shared" si="51"/>
        <v>0</v>
      </c>
      <c r="BF555" s="9" t="str">
        <f t="shared" si="52"/>
        <v/>
      </c>
      <c r="BG555" s="6">
        <f t="shared" si="53"/>
        <v>0</v>
      </c>
      <c r="BH555" s="6">
        <f t="shared" si="54"/>
        <v>0</v>
      </c>
      <c r="BI555" s="9" t="str">
        <f t="shared" si="55"/>
        <v/>
      </c>
      <c r="BJ555" s="6">
        <f t="shared" si="56"/>
        <v>0</v>
      </c>
      <c r="BK555" s="6">
        <f t="shared" si="57"/>
        <v>0</v>
      </c>
      <c r="BL555" s="6">
        <f t="shared" si="58"/>
        <v>0</v>
      </c>
      <c r="BM555" s="6">
        <f t="shared" si="59"/>
        <v>0</v>
      </c>
      <c r="BN555" s="6">
        <f t="shared" si="60"/>
        <v>0</v>
      </c>
      <c r="BP555" s="6">
        <f t="shared" si="61"/>
        <v>0</v>
      </c>
      <c r="BQ555" s="6" t="b">
        <f ca="1">IFERROR(__xludf.DUMMYFUNCTION("IF(AND(ISERROR(FILTER('Items by Team'!D$2:D3410,'Items by Team'!C$2:C3410 = D555,'Items by Team'!B$2:B3410 = B555)),NOT(A555=""Practice"")),TRUE,FALSE)"),FALSE)</f>
        <v>0</v>
      </c>
      <c r="BR555" s="6">
        <f t="shared" ca="1" si="62"/>
        <v>0</v>
      </c>
    </row>
    <row r="556" spans="1:70">
      <c r="A556" s="6"/>
      <c r="B556" s="6"/>
      <c r="C556" s="6"/>
      <c r="D556" s="6"/>
      <c r="E556" s="6"/>
      <c r="F556" s="6"/>
      <c r="G556" s="6"/>
      <c r="H556" s="6"/>
      <c r="I556" s="6"/>
      <c r="J556" s="6"/>
      <c r="K556" s="6"/>
      <c r="L556" s="6"/>
      <c r="M556" s="6"/>
      <c r="N556" s="6"/>
      <c r="O556" s="6"/>
      <c r="P556" s="6"/>
      <c r="R556" s="6"/>
      <c r="S556" s="6"/>
      <c r="T556" s="6"/>
      <c r="U556" s="6"/>
      <c r="V556" s="6"/>
      <c r="W556" s="6"/>
      <c r="X556" s="6"/>
      <c r="Y556" s="6"/>
      <c r="Z556" s="6"/>
      <c r="AA556" s="6"/>
      <c r="AB556" s="6"/>
      <c r="AD556" s="6"/>
      <c r="AE556" s="6"/>
      <c r="AF556" s="6"/>
      <c r="AG556" s="6"/>
      <c r="AH556" s="6"/>
      <c r="AI556" s="6"/>
      <c r="AK556" s="6"/>
      <c r="AL556" s="6"/>
      <c r="AM556" s="6"/>
      <c r="AN556" s="6"/>
      <c r="AO556" s="6"/>
      <c r="AP556" s="6"/>
      <c r="AQ556" s="6"/>
      <c r="AR556" s="6"/>
      <c r="AS556" s="15"/>
      <c r="AT556" s="6" t="str">
        <f ca="1">IFERROR(__xludf.DUMMYFUNCTION("SWITCH(IF(A556=""Practice"",AN556,FILTER('Items by Team'!E$2:E3410,'Items by Team'!C$2:C3410=D556,B556='Items by Team'!B$2:B3410)),""None"",""No"",""Parked"",""P"",""ShallowCage"",""Sc"",""DeepCage"",""Dc"",""No"",""No"",""P"",""P"",""Sc"",""Sc"",""Dc"","&amp;"""Dc"")"),"#REF!")</f>
        <v>#REF!</v>
      </c>
      <c r="AU556" s="6" t="str">
        <f ca="1">IFERROR(__xludf.DUMMYFUNCTION("SWITCH(IF(A556 = ""Practice"", H556, FILTER('Items by Team'!D$2:D3410,'Items by Team'!C$2:C3410 = D556,'Items by Team'!B$2:B3410 = B556)), ""Yes"", ""TRUE"", ""No"", ""FALSE"",TRUE, ""TRUE"", FALSE, ""FALSE"")"),"#REF!")</f>
        <v>#REF!</v>
      </c>
      <c r="AV556" s="6">
        <f t="shared" si="42"/>
        <v>0</v>
      </c>
      <c r="AW556" s="6">
        <f t="shared" si="43"/>
        <v>0</v>
      </c>
      <c r="AX556" s="6">
        <f t="shared" si="44"/>
        <v>0</v>
      </c>
      <c r="AY556" s="6">
        <f t="shared" si="45"/>
        <v>0</v>
      </c>
      <c r="AZ556" s="9" t="str">
        <f t="shared" si="46"/>
        <v/>
      </c>
      <c r="BA556" s="6">
        <f t="shared" si="47"/>
        <v>0</v>
      </c>
      <c r="BB556" s="6">
        <f t="shared" si="48"/>
        <v>0</v>
      </c>
      <c r="BC556" s="9" t="str">
        <f t="shared" si="49"/>
        <v/>
      </c>
      <c r="BD556" s="6">
        <f t="shared" si="50"/>
        <v>0</v>
      </c>
      <c r="BE556" s="6">
        <f t="shared" si="51"/>
        <v>0</v>
      </c>
      <c r="BF556" s="9" t="str">
        <f t="shared" si="52"/>
        <v/>
      </c>
      <c r="BG556" s="6">
        <f t="shared" si="53"/>
        <v>0</v>
      </c>
      <c r="BH556" s="6">
        <f t="shared" si="54"/>
        <v>0</v>
      </c>
      <c r="BI556" s="9" t="str">
        <f t="shared" si="55"/>
        <v/>
      </c>
      <c r="BJ556" s="6">
        <f t="shared" si="56"/>
        <v>0</v>
      </c>
      <c r="BK556" s="6">
        <f t="shared" si="57"/>
        <v>0</v>
      </c>
      <c r="BL556" s="6">
        <f t="shared" si="58"/>
        <v>0</v>
      </c>
      <c r="BM556" s="6">
        <f t="shared" si="59"/>
        <v>0</v>
      </c>
      <c r="BN556" s="6">
        <f t="shared" si="60"/>
        <v>0</v>
      </c>
      <c r="BP556" s="6">
        <f t="shared" si="61"/>
        <v>0</v>
      </c>
      <c r="BQ556" s="6" t="b">
        <f ca="1">IFERROR(__xludf.DUMMYFUNCTION("IF(AND(ISERROR(FILTER('Items by Team'!D$2:D3410,'Items by Team'!C$2:C3410 = D556,'Items by Team'!B$2:B3410 = B556)),NOT(A556=""Practice"")),TRUE,FALSE)"),FALSE)</f>
        <v>0</v>
      </c>
      <c r="BR556" s="6">
        <f t="shared" ca="1" si="62"/>
        <v>0</v>
      </c>
    </row>
    <row r="557" spans="1:70">
      <c r="A557" s="6"/>
      <c r="B557" s="6"/>
      <c r="C557" s="6"/>
      <c r="D557" s="6"/>
      <c r="E557" s="6"/>
      <c r="F557" s="6"/>
      <c r="G557" s="6"/>
      <c r="H557" s="6"/>
      <c r="I557" s="6"/>
      <c r="J557" s="6"/>
      <c r="K557" s="6"/>
      <c r="L557" s="6"/>
      <c r="M557" s="6"/>
      <c r="N557" s="6"/>
      <c r="O557" s="6"/>
      <c r="P557" s="6"/>
      <c r="R557" s="6"/>
      <c r="S557" s="6"/>
      <c r="T557" s="6"/>
      <c r="U557" s="6"/>
      <c r="V557" s="6"/>
      <c r="W557" s="6"/>
      <c r="X557" s="6"/>
      <c r="Y557" s="6"/>
      <c r="Z557" s="6"/>
      <c r="AA557" s="6"/>
      <c r="AB557" s="6"/>
      <c r="AD557" s="6"/>
      <c r="AE557" s="6"/>
      <c r="AF557" s="6"/>
      <c r="AG557" s="6"/>
      <c r="AH557" s="6"/>
      <c r="AI557" s="6"/>
      <c r="AK557" s="6"/>
      <c r="AL557" s="6"/>
      <c r="AM557" s="6"/>
      <c r="AN557" s="6"/>
      <c r="AO557" s="6"/>
      <c r="AP557" s="6"/>
      <c r="AQ557" s="6"/>
      <c r="AR557" s="6"/>
      <c r="AS557" s="15"/>
      <c r="AT557" s="6" t="str">
        <f ca="1">IFERROR(__xludf.DUMMYFUNCTION("SWITCH(IF(A557=""Practice"",AN557,FILTER('Items by Team'!E$2:E3410,'Items by Team'!C$2:C3410=D557,B557='Items by Team'!B$2:B3410)),""None"",""No"",""Parked"",""P"",""ShallowCage"",""Sc"",""DeepCage"",""Dc"",""No"",""No"",""P"",""P"",""Sc"",""Sc"",""Dc"","&amp;"""Dc"")"),"#REF!")</f>
        <v>#REF!</v>
      </c>
      <c r="AU557" s="6" t="str">
        <f ca="1">IFERROR(__xludf.DUMMYFUNCTION("SWITCH(IF(A557 = ""Practice"", H557, FILTER('Items by Team'!D$2:D3410,'Items by Team'!C$2:C3410 = D557,'Items by Team'!B$2:B3410 = B557)), ""Yes"", ""TRUE"", ""No"", ""FALSE"",TRUE, ""TRUE"", FALSE, ""FALSE"")"),"#REF!")</f>
        <v>#REF!</v>
      </c>
      <c r="AV557" s="6">
        <f t="shared" si="42"/>
        <v>0</v>
      </c>
      <c r="AW557" s="6">
        <f t="shared" si="43"/>
        <v>0</v>
      </c>
      <c r="AX557" s="6">
        <f t="shared" si="44"/>
        <v>0</v>
      </c>
      <c r="AY557" s="6">
        <f t="shared" si="45"/>
        <v>0</v>
      </c>
      <c r="AZ557" s="9" t="str">
        <f t="shared" si="46"/>
        <v/>
      </c>
      <c r="BA557" s="6">
        <f t="shared" si="47"/>
        <v>0</v>
      </c>
      <c r="BB557" s="6">
        <f t="shared" si="48"/>
        <v>0</v>
      </c>
      <c r="BC557" s="9" t="str">
        <f t="shared" si="49"/>
        <v/>
      </c>
      <c r="BD557" s="6">
        <f t="shared" si="50"/>
        <v>0</v>
      </c>
      <c r="BE557" s="6">
        <f t="shared" si="51"/>
        <v>0</v>
      </c>
      <c r="BF557" s="9" t="str">
        <f t="shared" si="52"/>
        <v/>
      </c>
      <c r="BG557" s="6">
        <f t="shared" si="53"/>
        <v>0</v>
      </c>
      <c r="BH557" s="6">
        <f t="shared" si="54"/>
        <v>0</v>
      </c>
      <c r="BI557" s="9" t="str">
        <f t="shared" si="55"/>
        <v/>
      </c>
      <c r="BJ557" s="6">
        <f t="shared" si="56"/>
        <v>0</v>
      </c>
      <c r="BK557" s="6">
        <f t="shared" si="57"/>
        <v>0</v>
      </c>
      <c r="BL557" s="6">
        <f t="shared" si="58"/>
        <v>0</v>
      </c>
      <c r="BM557" s="6">
        <f t="shared" si="59"/>
        <v>0</v>
      </c>
      <c r="BN557" s="6">
        <f t="shared" si="60"/>
        <v>0</v>
      </c>
      <c r="BP557" s="6">
        <f t="shared" si="61"/>
        <v>0</v>
      </c>
      <c r="BQ557" s="6" t="b">
        <f ca="1">IFERROR(__xludf.DUMMYFUNCTION("IF(AND(ISERROR(FILTER('Items by Team'!D$2:D3410,'Items by Team'!C$2:C3410 = D557,'Items by Team'!B$2:B3410 = B557)),NOT(A557=""Practice"")),TRUE,FALSE)"),FALSE)</f>
        <v>0</v>
      </c>
      <c r="BR557" s="6">
        <f t="shared" ca="1" si="62"/>
        <v>0</v>
      </c>
    </row>
    <row r="558" spans="1:70">
      <c r="A558" s="6"/>
      <c r="B558" s="6"/>
      <c r="C558" s="6"/>
      <c r="D558" s="6"/>
      <c r="E558" s="6"/>
      <c r="F558" s="6"/>
      <c r="G558" s="6"/>
      <c r="H558" s="6"/>
      <c r="I558" s="6"/>
      <c r="J558" s="6"/>
      <c r="K558" s="6"/>
      <c r="L558" s="6"/>
      <c r="M558" s="6"/>
      <c r="N558" s="6"/>
      <c r="O558" s="6"/>
      <c r="P558" s="6"/>
      <c r="R558" s="6"/>
      <c r="S558" s="6"/>
      <c r="T558" s="6"/>
      <c r="U558" s="6"/>
      <c r="V558" s="6"/>
      <c r="W558" s="6"/>
      <c r="X558" s="6"/>
      <c r="Y558" s="6"/>
      <c r="Z558" s="6"/>
      <c r="AA558" s="6"/>
      <c r="AB558" s="6"/>
      <c r="AD558" s="6"/>
      <c r="AE558" s="6"/>
      <c r="AF558" s="6"/>
      <c r="AG558" s="6"/>
      <c r="AH558" s="6"/>
      <c r="AI558" s="6"/>
      <c r="AK558" s="6"/>
      <c r="AL558" s="6"/>
      <c r="AM558" s="6"/>
      <c r="AN558" s="6"/>
      <c r="AO558" s="6"/>
      <c r="AP558" s="6"/>
      <c r="AQ558" s="6"/>
      <c r="AR558" s="6"/>
      <c r="AS558" s="15"/>
      <c r="AT558" s="6" t="str">
        <f ca="1">IFERROR(__xludf.DUMMYFUNCTION("SWITCH(IF(A558=""Practice"",AN558,FILTER('Items by Team'!E$2:E3410,'Items by Team'!C$2:C3410=D558,B558='Items by Team'!B$2:B3410)),""None"",""No"",""Parked"",""P"",""ShallowCage"",""Sc"",""DeepCage"",""Dc"",""No"",""No"",""P"",""P"",""Sc"",""Sc"",""Dc"","&amp;"""Dc"")"),"#REF!")</f>
        <v>#REF!</v>
      </c>
      <c r="AU558" s="6" t="str">
        <f ca="1">IFERROR(__xludf.DUMMYFUNCTION("SWITCH(IF(A558 = ""Practice"", H558, FILTER('Items by Team'!D$2:D3410,'Items by Team'!C$2:C3410 = D558,'Items by Team'!B$2:B3410 = B558)), ""Yes"", ""TRUE"", ""No"", ""FALSE"",TRUE, ""TRUE"", FALSE, ""FALSE"")"),"#REF!")</f>
        <v>#REF!</v>
      </c>
      <c r="AV558" s="6">
        <f t="shared" si="42"/>
        <v>0</v>
      </c>
      <c r="AW558" s="6">
        <f t="shared" si="43"/>
        <v>0</v>
      </c>
      <c r="AX558" s="6">
        <f t="shared" si="44"/>
        <v>0</v>
      </c>
      <c r="AY558" s="6">
        <f t="shared" si="45"/>
        <v>0</v>
      </c>
      <c r="AZ558" s="9" t="str">
        <f t="shared" si="46"/>
        <v/>
      </c>
      <c r="BA558" s="6">
        <f t="shared" si="47"/>
        <v>0</v>
      </c>
      <c r="BB558" s="6">
        <f t="shared" si="48"/>
        <v>0</v>
      </c>
      <c r="BC558" s="9" t="str">
        <f t="shared" si="49"/>
        <v/>
      </c>
      <c r="BD558" s="6">
        <f t="shared" si="50"/>
        <v>0</v>
      </c>
      <c r="BE558" s="6">
        <f t="shared" si="51"/>
        <v>0</v>
      </c>
      <c r="BF558" s="9" t="str">
        <f t="shared" si="52"/>
        <v/>
      </c>
      <c r="BG558" s="6">
        <f t="shared" si="53"/>
        <v>0</v>
      </c>
      <c r="BH558" s="6">
        <f t="shared" si="54"/>
        <v>0</v>
      </c>
      <c r="BI558" s="9" t="str">
        <f t="shared" si="55"/>
        <v/>
      </c>
      <c r="BJ558" s="6">
        <f t="shared" si="56"/>
        <v>0</v>
      </c>
      <c r="BK558" s="6">
        <f t="shared" si="57"/>
        <v>0</v>
      </c>
      <c r="BL558" s="6">
        <f t="shared" si="58"/>
        <v>0</v>
      </c>
      <c r="BM558" s="6">
        <f t="shared" si="59"/>
        <v>0</v>
      </c>
      <c r="BN558" s="6">
        <f t="shared" si="60"/>
        <v>0</v>
      </c>
      <c r="BP558" s="6">
        <f t="shared" si="61"/>
        <v>0</v>
      </c>
      <c r="BQ558" s="6" t="b">
        <f ca="1">IFERROR(__xludf.DUMMYFUNCTION("IF(AND(ISERROR(FILTER('Items by Team'!D$2:D3410,'Items by Team'!C$2:C3410 = D558,'Items by Team'!B$2:B3410 = B558)),NOT(A558=""Practice"")),TRUE,FALSE)"),FALSE)</f>
        <v>0</v>
      </c>
      <c r="BR558" s="6">
        <f t="shared" ca="1" si="62"/>
        <v>0</v>
      </c>
    </row>
    <row r="559" spans="1:70">
      <c r="A559" s="6"/>
      <c r="B559" s="6"/>
      <c r="C559" s="6"/>
      <c r="D559" s="6"/>
      <c r="E559" s="6"/>
      <c r="F559" s="6"/>
      <c r="G559" s="6"/>
      <c r="H559" s="6"/>
      <c r="I559" s="6"/>
      <c r="J559" s="6"/>
      <c r="K559" s="6"/>
      <c r="L559" s="6"/>
      <c r="M559" s="6"/>
      <c r="N559" s="6"/>
      <c r="O559" s="6"/>
      <c r="P559" s="6"/>
      <c r="R559" s="6"/>
      <c r="S559" s="6"/>
      <c r="T559" s="6"/>
      <c r="U559" s="6"/>
      <c r="V559" s="6"/>
      <c r="W559" s="6"/>
      <c r="X559" s="6"/>
      <c r="Y559" s="6"/>
      <c r="Z559" s="6"/>
      <c r="AA559" s="6"/>
      <c r="AB559" s="6"/>
      <c r="AD559" s="6"/>
      <c r="AE559" s="6"/>
      <c r="AF559" s="6"/>
      <c r="AG559" s="6"/>
      <c r="AH559" s="6"/>
      <c r="AI559" s="6"/>
      <c r="AK559" s="6"/>
      <c r="AL559" s="6"/>
      <c r="AM559" s="6"/>
      <c r="AN559" s="6"/>
      <c r="AO559" s="6"/>
      <c r="AP559" s="6"/>
      <c r="AQ559" s="6"/>
      <c r="AR559" s="6"/>
      <c r="AS559" s="15"/>
      <c r="AT559" s="6" t="str">
        <f ca="1">IFERROR(__xludf.DUMMYFUNCTION("SWITCH(IF(A559=""Practice"",AN559,FILTER('Items by Team'!E$2:E3410,'Items by Team'!C$2:C3410=D559,B559='Items by Team'!B$2:B3410)),""None"",""No"",""Parked"",""P"",""ShallowCage"",""Sc"",""DeepCage"",""Dc"",""No"",""No"",""P"",""P"",""Sc"",""Sc"",""Dc"","&amp;"""Dc"")"),"#REF!")</f>
        <v>#REF!</v>
      </c>
      <c r="AU559" s="6" t="str">
        <f ca="1">IFERROR(__xludf.DUMMYFUNCTION("SWITCH(IF(A559 = ""Practice"", H559, FILTER('Items by Team'!D$2:D3410,'Items by Team'!C$2:C3410 = D559,'Items by Team'!B$2:B3410 = B559)), ""Yes"", ""TRUE"", ""No"", ""FALSE"",TRUE, ""TRUE"", FALSE, ""FALSE"")"),"#REF!")</f>
        <v>#REF!</v>
      </c>
      <c r="AV559" s="6">
        <f t="shared" si="42"/>
        <v>0</v>
      </c>
      <c r="AW559" s="6">
        <f t="shared" si="43"/>
        <v>0</v>
      </c>
      <c r="AX559" s="6">
        <f t="shared" si="44"/>
        <v>0</v>
      </c>
      <c r="AY559" s="6">
        <f t="shared" si="45"/>
        <v>0</v>
      </c>
      <c r="AZ559" s="9" t="str">
        <f t="shared" si="46"/>
        <v/>
      </c>
      <c r="BA559" s="6">
        <f t="shared" si="47"/>
        <v>0</v>
      </c>
      <c r="BB559" s="6">
        <f t="shared" si="48"/>
        <v>0</v>
      </c>
      <c r="BC559" s="9" t="str">
        <f t="shared" si="49"/>
        <v/>
      </c>
      <c r="BD559" s="6">
        <f t="shared" si="50"/>
        <v>0</v>
      </c>
      <c r="BE559" s="6">
        <f t="shared" si="51"/>
        <v>0</v>
      </c>
      <c r="BF559" s="9" t="str">
        <f t="shared" si="52"/>
        <v/>
      </c>
      <c r="BG559" s="6">
        <f t="shared" si="53"/>
        <v>0</v>
      </c>
      <c r="BH559" s="6">
        <f t="shared" si="54"/>
        <v>0</v>
      </c>
      <c r="BI559" s="9" t="str">
        <f t="shared" si="55"/>
        <v/>
      </c>
      <c r="BJ559" s="6">
        <f t="shared" si="56"/>
        <v>0</v>
      </c>
      <c r="BK559" s="6">
        <f t="shared" si="57"/>
        <v>0</v>
      </c>
      <c r="BL559" s="6">
        <f t="shared" si="58"/>
        <v>0</v>
      </c>
      <c r="BM559" s="6">
        <f t="shared" si="59"/>
        <v>0</v>
      </c>
      <c r="BN559" s="6">
        <f t="shared" si="60"/>
        <v>0</v>
      </c>
      <c r="BP559" s="6">
        <f t="shared" si="61"/>
        <v>0</v>
      </c>
      <c r="BQ559" s="6" t="b">
        <f ca="1">IFERROR(__xludf.DUMMYFUNCTION("IF(AND(ISERROR(FILTER('Items by Team'!D$2:D3410,'Items by Team'!C$2:C3410 = D559,'Items by Team'!B$2:B3410 = B559)),NOT(A559=""Practice"")),TRUE,FALSE)"),FALSE)</f>
        <v>0</v>
      </c>
      <c r="BR559" s="6">
        <f t="shared" ca="1" si="62"/>
        <v>0</v>
      </c>
    </row>
    <row r="560" spans="1:70">
      <c r="A560" s="6"/>
      <c r="B560" s="6"/>
      <c r="C560" s="6"/>
      <c r="D560" s="6"/>
      <c r="E560" s="6"/>
      <c r="F560" s="6"/>
      <c r="G560" s="6"/>
      <c r="H560" s="6"/>
      <c r="I560" s="6"/>
      <c r="J560" s="6"/>
      <c r="K560" s="6"/>
      <c r="L560" s="6"/>
      <c r="M560" s="6"/>
      <c r="N560" s="6"/>
      <c r="O560" s="6"/>
      <c r="P560" s="6"/>
      <c r="R560" s="6"/>
      <c r="S560" s="6"/>
      <c r="T560" s="6"/>
      <c r="U560" s="6"/>
      <c r="V560" s="6"/>
      <c r="W560" s="6"/>
      <c r="X560" s="6"/>
      <c r="Y560" s="6"/>
      <c r="Z560" s="6"/>
      <c r="AA560" s="6"/>
      <c r="AB560" s="6"/>
      <c r="AD560" s="6"/>
      <c r="AE560" s="6"/>
      <c r="AF560" s="6"/>
      <c r="AG560" s="6"/>
      <c r="AH560" s="6"/>
      <c r="AI560" s="6"/>
      <c r="AK560" s="6"/>
      <c r="AL560" s="6"/>
      <c r="AM560" s="6"/>
      <c r="AN560" s="6"/>
      <c r="AO560" s="6"/>
      <c r="AP560" s="6"/>
      <c r="AQ560" s="6"/>
      <c r="AR560" s="6"/>
      <c r="AS560" s="15"/>
      <c r="AT560" s="6" t="str">
        <f ca="1">IFERROR(__xludf.DUMMYFUNCTION("SWITCH(IF(A560=""Practice"",AN560,FILTER('Items by Team'!E$2:E3410,'Items by Team'!C$2:C3410=D560,B560='Items by Team'!B$2:B3410)),""None"",""No"",""Parked"",""P"",""ShallowCage"",""Sc"",""DeepCage"",""Dc"",""No"",""No"",""P"",""P"",""Sc"",""Sc"",""Dc"","&amp;"""Dc"")"),"#REF!")</f>
        <v>#REF!</v>
      </c>
      <c r="AU560" s="6" t="str">
        <f ca="1">IFERROR(__xludf.DUMMYFUNCTION("SWITCH(IF(A560 = ""Practice"", H560, FILTER('Items by Team'!D$2:D3410,'Items by Team'!C$2:C3410 = D560,'Items by Team'!B$2:B3410 = B560)), ""Yes"", ""TRUE"", ""No"", ""FALSE"",TRUE, ""TRUE"", FALSE, ""FALSE"")"),"#REF!")</f>
        <v>#REF!</v>
      </c>
      <c r="AV560" s="6">
        <f t="shared" si="42"/>
        <v>0</v>
      </c>
      <c r="AW560" s="6">
        <f t="shared" si="43"/>
        <v>0</v>
      </c>
      <c r="AX560" s="6">
        <f t="shared" si="44"/>
        <v>0</v>
      </c>
      <c r="AY560" s="6">
        <f t="shared" si="45"/>
        <v>0</v>
      </c>
      <c r="AZ560" s="9" t="str">
        <f t="shared" si="46"/>
        <v/>
      </c>
      <c r="BA560" s="6">
        <f t="shared" si="47"/>
        <v>0</v>
      </c>
      <c r="BB560" s="6">
        <f t="shared" si="48"/>
        <v>0</v>
      </c>
      <c r="BC560" s="9" t="str">
        <f t="shared" si="49"/>
        <v/>
      </c>
      <c r="BD560" s="6">
        <f t="shared" si="50"/>
        <v>0</v>
      </c>
      <c r="BE560" s="6">
        <f t="shared" si="51"/>
        <v>0</v>
      </c>
      <c r="BF560" s="9" t="str">
        <f t="shared" si="52"/>
        <v/>
      </c>
      <c r="BG560" s="6">
        <f t="shared" si="53"/>
        <v>0</v>
      </c>
      <c r="BH560" s="6">
        <f t="shared" si="54"/>
        <v>0</v>
      </c>
      <c r="BI560" s="9" t="str">
        <f t="shared" si="55"/>
        <v/>
      </c>
      <c r="BJ560" s="6">
        <f t="shared" si="56"/>
        <v>0</v>
      </c>
      <c r="BK560" s="6">
        <f t="shared" si="57"/>
        <v>0</v>
      </c>
      <c r="BL560" s="6">
        <f t="shared" si="58"/>
        <v>0</v>
      </c>
      <c r="BM560" s="6">
        <f t="shared" si="59"/>
        <v>0</v>
      </c>
      <c r="BN560" s="6">
        <f t="shared" si="60"/>
        <v>0</v>
      </c>
      <c r="BP560" s="6">
        <f t="shared" si="61"/>
        <v>0</v>
      </c>
      <c r="BQ560" s="6" t="b">
        <f ca="1">IFERROR(__xludf.DUMMYFUNCTION("IF(AND(ISERROR(FILTER('Items by Team'!D$2:D3410,'Items by Team'!C$2:C3410 = D560,'Items by Team'!B$2:B3410 = B560)),NOT(A560=""Practice"")),TRUE,FALSE)"),FALSE)</f>
        <v>0</v>
      </c>
      <c r="BR560" s="6">
        <f t="shared" ca="1" si="62"/>
        <v>0</v>
      </c>
    </row>
    <row r="561" spans="1:70">
      <c r="A561" s="6"/>
      <c r="B561" s="6"/>
      <c r="C561" s="6"/>
      <c r="D561" s="6"/>
      <c r="E561" s="6"/>
      <c r="F561" s="6"/>
      <c r="G561" s="6"/>
      <c r="H561" s="6"/>
      <c r="I561" s="6"/>
      <c r="J561" s="6"/>
      <c r="K561" s="6"/>
      <c r="L561" s="6"/>
      <c r="M561" s="6"/>
      <c r="N561" s="6"/>
      <c r="O561" s="6"/>
      <c r="P561" s="6"/>
      <c r="R561" s="6"/>
      <c r="S561" s="6"/>
      <c r="T561" s="6"/>
      <c r="U561" s="6"/>
      <c r="V561" s="6"/>
      <c r="W561" s="6"/>
      <c r="X561" s="6"/>
      <c r="Y561" s="6"/>
      <c r="Z561" s="6"/>
      <c r="AA561" s="6"/>
      <c r="AB561" s="6"/>
      <c r="AD561" s="6"/>
      <c r="AE561" s="6"/>
      <c r="AF561" s="6"/>
      <c r="AG561" s="6"/>
      <c r="AH561" s="6"/>
      <c r="AI561" s="6"/>
      <c r="AK561" s="6"/>
      <c r="AL561" s="6"/>
      <c r="AM561" s="6"/>
      <c r="AN561" s="6"/>
      <c r="AO561" s="6"/>
      <c r="AP561" s="6"/>
      <c r="AQ561" s="6"/>
      <c r="AR561" s="6"/>
      <c r="AS561" s="15"/>
      <c r="AT561" s="6" t="str">
        <f ca="1">IFERROR(__xludf.DUMMYFUNCTION("SWITCH(IF(A561=""Practice"",AN561,FILTER('Items by Team'!E$2:E3410,'Items by Team'!C$2:C3410=D561,B561='Items by Team'!B$2:B3410)),""None"",""No"",""Parked"",""P"",""ShallowCage"",""Sc"",""DeepCage"",""Dc"",""No"",""No"",""P"",""P"",""Sc"",""Sc"",""Dc"","&amp;"""Dc"")"),"#REF!")</f>
        <v>#REF!</v>
      </c>
      <c r="AU561" s="6" t="str">
        <f ca="1">IFERROR(__xludf.DUMMYFUNCTION("SWITCH(IF(A561 = ""Practice"", H561, FILTER('Items by Team'!D$2:D3410,'Items by Team'!C$2:C3410 = D561,'Items by Team'!B$2:B3410 = B561)), ""Yes"", ""TRUE"", ""No"", ""FALSE"",TRUE, ""TRUE"", FALSE, ""FALSE"")"),"#REF!")</f>
        <v>#REF!</v>
      </c>
      <c r="AV561" s="6">
        <f t="shared" si="42"/>
        <v>0</v>
      </c>
      <c r="AW561" s="6">
        <f t="shared" si="43"/>
        <v>0</v>
      </c>
      <c r="AX561" s="6">
        <f t="shared" si="44"/>
        <v>0</v>
      </c>
      <c r="AY561" s="6">
        <f t="shared" si="45"/>
        <v>0</v>
      </c>
      <c r="AZ561" s="9" t="str">
        <f t="shared" si="46"/>
        <v/>
      </c>
      <c r="BA561" s="6">
        <f t="shared" si="47"/>
        <v>0</v>
      </c>
      <c r="BB561" s="6">
        <f t="shared" si="48"/>
        <v>0</v>
      </c>
      <c r="BC561" s="9" t="str">
        <f t="shared" si="49"/>
        <v/>
      </c>
      <c r="BD561" s="6">
        <f t="shared" si="50"/>
        <v>0</v>
      </c>
      <c r="BE561" s="6">
        <f t="shared" si="51"/>
        <v>0</v>
      </c>
      <c r="BF561" s="9" t="str">
        <f t="shared" si="52"/>
        <v/>
      </c>
      <c r="BG561" s="6">
        <f t="shared" si="53"/>
        <v>0</v>
      </c>
      <c r="BH561" s="6">
        <f t="shared" si="54"/>
        <v>0</v>
      </c>
      <c r="BI561" s="9" t="str">
        <f t="shared" si="55"/>
        <v/>
      </c>
      <c r="BJ561" s="6">
        <f t="shared" si="56"/>
        <v>0</v>
      </c>
      <c r="BK561" s="6">
        <f t="shared" si="57"/>
        <v>0</v>
      </c>
      <c r="BL561" s="6">
        <f t="shared" si="58"/>
        <v>0</v>
      </c>
      <c r="BM561" s="6">
        <f t="shared" si="59"/>
        <v>0</v>
      </c>
      <c r="BN561" s="6">
        <f t="shared" si="60"/>
        <v>0</v>
      </c>
      <c r="BP561" s="6">
        <f t="shared" si="61"/>
        <v>0</v>
      </c>
      <c r="BQ561" s="6" t="b">
        <f ca="1">IFERROR(__xludf.DUMMYFUNCTION("IF(AND(ISERROR(FILTER('Items by Team'!D$2:D3410,'Items by Team'!C$2:C3410 = D561,'Items by Team'!B$2:B3410 = B561)),NOT(A561=""Practice"")),TRUE,FALSE)"),FALSE)</f>
        <v>0</v>
      </c>
      <c r="BR561" s="6">
        <f t="shared" ca="1" si="62"/>
        <v>0</v>
      </c>
    </row>
    <row r="562" spans="1:70">
      <c r="A562" s="6"/>
      <c r="B562" s="6"/>
      <c r="C562" s="6"/>
      <c r="D562" s="6"/>
      <c r="E562" s="6"/>
      <c r="F562" s="6"/>
      <c r="G562" s="6"/>
      <c r="H562" s="6"/>
      <c r="I562" s="6"/>
      <c r="J562" s="6"/>
      <c r="K562" s="6"/>
      <c r="L562" s="6"/>
      <c r="M562" s="6"/>
      <c r="N562" s="6"/>
      <c r="O562" s="6"/>
      <c r="P562" s="6"/>
      <c r="R562" s="6"/>
      <c r="S562" s="6"/>
      <c r="T562" s="6"/>
      <c r="U562" s="6"/>
      <c r="V562" s="6"/>
      <c r="W562" s="6"/>
      <c r="X562" s="6"/>
      <c r="Y562" s="6"/>
      <c r="Z562" s="6"/>
      <c r="AA562" s="6"/>
      <c r="AB562" s="6"/>
      <c r="AD562" s="6"/>
      <c r="AE562" s="6"/>
      <c r="AF562" s="6"/>
      <c r="AG562" s="6"/>
      <c r="AH562" s="6"/>
      <c r="AI562" s="6"/>
      <c r="AK562" s="6"/>
      <c r="AL562" s="6"/>
      <c r="AM562" s="6"/>
      <c r="AN562" s="6"/>
      <c r="AO562" s="6"/>
      <c r="AP562" s="6"/>
      <c r="AQ562" s="6"/>
      <c r="AR562" s="6"/>
      <c r="AS562" s="15"/>
      <c r="AT562" s="6" t="str">
        <f ca="1">IFERROR(__xludf.DUMMYFUNCTION("SWITCH(IF(A562=""Practice"",AN562,FILTER('Items by Team'!E$2:E3410,'Items by Team'!C$2:C3410=D562,B562='Items by Team'!B$2:B3410)),""None"",""No"",""Parked"",""P"",""ShallowCage"",""Sc"",""DeepCage"",""Dc"",""No"",""No"",""P"",""P"",""Sc"",""Sc"",""Dc"","&amp;"""Dc"")"),"#REF!")</f>
        <v>#REF!</v>
      </c>
      <c r="AU562" s="6" t="str">
        <f ca="1">IFERROR(__xludf.DUMMYFUNCTION("SWITCH(IF(A562 = ""Practice"", H562, FILTER('Items by Team'!D$2:D3410,'Items by Team'!C$2:C3410 = D562,'Items by Team'!B$2:B3410 = B562)), ""Yes"", ""TRUE"", ""No"", ""FALSE"",TRUE, ""TRUE"", FALSE, ""FALSE"")"),"#REF!")</f>
        <v>#REF!</v>
      </c>
      <c r="AV562" s="6">
        <f t="shared" si="42"/>
        <v>0</v>
      </c>
      <c r="AW562" s="6">
        <f t="shared" si="43"/>
        <v>0</v>
      </c>
      <c r="AX562" s="6">
        <f t="shared" si="44"/>
        <v>0</v>
      </c>
      <c r="AY562" s="6">
        <f t="shared" si="45"/>
        <v>0</v>
      </c>
      <c r="AZ562" s="9" t="str">
        <f t="shared" si="46"/>
        <v/>
      </c>
      <c r="BA562" s="6">
        <f t="shared" si="47"/>
        <v>0</v>
      </c>
      <c r="BB562" s="6">
        <f t="shared" si="48"/>
        <v>0</v>
      </c>
      <c r="BC562" s="9" t="str">
        <f t="shared" si="49"/>
        <v/>
      </c>
      <c r="BD562" s="6">
        <f t="shared" si="50"/>
        <v>0</v>
      </c>
      <c r="BE562" s="6">
        <f t="shared" si="51"/>
        <v>0</v>
      </c>
      <c r="BF562" s="9" t="str">
        <f t="shared" si="52"/>
        <v/>
      </c>
      <c r="BG562" s="6">
        <f t="shared" si="53"/>
        <v>0</v>
      </c>
      <c r="BH562" s="6">
        <f t="shared" si="54"/>
        <v>0</v>
      </c>
      <c r="BI562" s="9" t="str">
        <f t="shared" si="55"/>
        <v/>
      </c>
      <c r="BJ562" s="6">
        <f t="shared" si="56"/>
        <v>0</v>
      </c>
      <c r="BK562" s="6">
        <f t="shared" si="57"/>
        <v>0</v>
      </c>
      <c r="BL562" s="6">
        <f t="shared" si="58"/>
        <v>0</v>
      </c>
      <c r="BM562" s="6">
        <f t="shared" si="59"/>
        <v>0</v>
      </c>
      <c r="BN562" s="6">
        <f t="shared" si="60"/>
        <v>0</v>
      </c>
      <c r="BP562" s="6">
        <f t="shared" si="61"/>
        <v>0</v>
      </c>
      <c r="BQ562" s="6" t="b">
        <f ca="1">IFERROR(__xludf.DUMMYFUNCTION("IF(AND(ISERROR(FILTER('Items by Team'!D$2:D3410,'Items by Team'!C$2:C3410 = D562,'Items by Team'!B$2:B3410 = B562)),NOT(A562=""Practice"")),TRUE,FALSE)"),FALSE)</f>
        <v>0</v>
      </c>
      <c r="BR562" s="6">
        <f t="shared" ca="1" si="62"/>
        <v>0</v>
      </c>
    </row>
    <row r="563" spans="1:70">
      <c r="A563" s="6"/>
      <c r="B563" s="6"/>
      <c r="C563" s="6"/>
      <c r="D563" s="6"/>
      <c r="E563" s="6"/>
      <c r="F563" s="6"/>
      <c r="G563" s="6"/>
      <c r="H563" s="6"/>
      <c r="I563" s="6"/>
      <c r="J563" s="6"/>
      <c r="K563" s="6"/>
      <c r="L563" s="6"/>
      <c r="M563" s="6"/>
      <c r="N563" s="6"/>
      <c r="O563" s="6"/>
      <c r="P563" s="6"/>
      <c r="R563" s="6"/>
      <c r="S563" s="6"/>
      <c r="T563" s="6"/>
      <c r="U563" s="6"/>
      <c r="V563" s="6"/>
      <c r="W563" s="6"/>
      <c r="X563" s="6"/>
      <c r="Y563" s="6"/>
      <c r="Z563" s="6"/>
      <c r="AA563" s="6"/>
      <c r="AB563" s="6"/>
      <c r="AD563" s="6"/>
      <c r="AE563" s="6"/>
      <c r="AF563" s="6"/>
      <c r="AG563" s="6"/>
      <c r="AH563" s="6"/>
      <c r="AI563" s="6"/>
      <c r="AK563" s="6"/>
      <c r="AL563" s="6"/>
      <c r="AM563" s="6"/>
      <c r="AN563" s="6"/>
      <c r="AO563" s="6"/>
      <c r="AP563" s="6"/>
      <c r="AQ563" s="6"/>
      <c r="AR563" s="6"/>
      <c r="AS563" s="15"/>
      <c r="AT563" s="6" t="str">
        <f ca="1">IFERROR(__xludf.DUMMYFUNCTION("SWITCH(IF(A563=""Practice"",AN563,FILTER('Items by Team'!E$2:E3410,'Items by Team'!C$2:C3410=D563,B563='Items by Team'!B$2:B3410)),""None"",""No"",""Parked"",""P"",""ShallowCage"",""Sc"",""DeepCage"",""Dc"",""No"",""No"",""P"",""P"",""Sc"",""Sc"",""Dc"","&amp;"""Dc"")"),"#REF!")</f>
        <v>#REF!</v>
      </c>
      <c r="AU563" s="6" t="str">
        <f ca="1">IFERROR(__xludf.DUMMYFUNCTION("SWITCH(IF(A563 = ""Practice"", H563, FILTER('Items by Team'!D$2:D3410,'Items by Team'!C$2:C3410 = D563,'Items by Team'!B$2:B3410 = B563)), ""Yes"", ""TRUE"", ""No"", ""FALSE"",TRUE, ""TRUE"", FALSE, ""FALSE"")"),"#REF!")</f>
        <v>#REF!</v>
      </c>
      <c r="AV563" s="6">
        <f t="shared" si="42"/>
        <v>0</v>
      </c>
      <c r="AW563" s="6">
        <f t="shared" si="43"/>
        <v>0</v>
      </c>
      <c r="AX563" s="6">
        <f t="shared" si="44"/>
        <v>0</v>
      </c>
      <c r="AY563" s="6">
        <f t="shared" si="45"/>
        <v>0</v>
      </c>
      <c r="AZ563" s="9" t="str">
        <f t="shared" si="46"/>
        <v/>
      </c>
      <c r="BA563" s="6">
        <f t="shared" si="47"/>
        <v>0</v>
      </c>
      <c r="BB563" s="6">
        <f t="shared" si="48"/>
        <v>0</v>
      </c>
      <c r="BC563" s="9" t="str">
        <f t="shared" si="49"/>
        <v/>
      </c>
      <c r="BD563" s="6">
        <f t="shared" si="50"/>
        <v>0</v>
      </c>
      <c r="BE563" s="6">
        <f t="shared" si="51"/>
        <v>0</v>
      </c>
      <c r="BF563" s="9" t="str">
        <f t="shared" si="52"/>
        <v/>
      </c>
      <c r="BG563" s="6">
        <f t="shared" si="53"/>
        <v>0</v>
      </c>
      <c r="BH563" s="6">
        <f t="shared" si="54"/>
        <v>0</v>
      </c>
      <c r="BI563" s="9" t="str">
        <f t="shared" si="55"/>
        <v/>
      </c>
      <c r="BJ563" s="6">
        <f t="shared" si="56"/>
        <v>0</v>
      </c>
      <c r="BK563" s="6">
        <f t="shared" si="57"/>
        <v>0</v>
      </c>
      <c r="BL563" s="6">
        <f t="shared" si="58"/>
        <v>0</v>
      </c>
      <c r="BM563" s="6">
        <f t="shared" si="59"/>
        <v>0</v>
      </c>
      <c r="BN563" s="6">
        <f t="shared" si="60"/>
        <v>0</v>
      </c>
      <c r="BP563" s="6">
        <f t="shared" si="61"/>
        <v>0</v>
      </c>
      <c r="BQ563" s="6" t="b">
        <f ca="1">IFERROR(__xludf.DUMMYFUNCTION("IF(AND(ISERROR(FILTER('Items by Team'!D$2:D3410,'Items by Team'!C$2:C3410 = D563,'Items by Team'!B$2:B3410 = B563)),NOT(A563=""Practice"")),TRUE,FALSE)"),FALSE)</f>
        <v>0</v>
      </c>
      <c r="BR563" s="6">
        <f t="shared" ca="1" si="62"/>
        <v>0</v>
      </c>
    </row>
    <row r="564" spans="1:70">
      <c r="A564" s="6"/>
      <c r="B564" s="6"/>
      <c r="C564" s="6"/>
      <c r="D564" s="6"/>
      <c r="E564" s="6"/>
      <c r="F564" s="6"/>
      <c r="G564" s="6"/>
      <c r="H564" s="6"/>
      <c r="I564" s="6"/>
      <c r="J564" s="6"/>
      <c r="K564" s="6"/>
      <c r="L564" s="6"/>
      <c r="M564" s="6"/>
      <c r="N564" s="6"/>
      <c r="O564" s="6"/>
      <c r="P564" s="6"/>
      <c r="R564" s="6"/>
      <c r="S564" s="6"/>
      <c r="T564" s="6"/>
      <c r="U564" s="6"/>
      <c r="V564" s="6"/>
      <c r="W564" s="6"/>
      <c r="X564" s="6"/>
      <c r="Y564" s="6"/>
      <c r="Z564" s="6"/>
      <c r="AA564" s="6"/>
      <c r="AB564" s="6"/>
      <c r="AD564" s="6"/>
      <c r="AE564" s="6"/>
      <c r="AF564" s="6"/>
      <c r="AG564" s="6"/>
      <c r="AH564" s="6"/>
      <c r="AI564" s="6"/>
      <c r="AK564" s="6"/>
      <c r="AL564" s="6"/>
      <c r="AM564" s="6"/>
      <c r="AN564" s="6"/>
      <c r="AO564" s="6"/>
      <c r="AP564" s="6"/>
      <c r="AQ564" s="6"/>
      <c r="AR564" s="6"/>
      <c r="AS564" s="15"/>
      <c r="AT564" s="6" t="str">
        <f ca="1">IFERROR(__xludf.DUMMYFUNCTION("SWITCH(IF(A564=""Practice"",AN564,FILTER('Items by Team'!E$2:E3410,'Items by Team'!C$2:C3410=D564,B564='Items by Team'!B$2:B3410)),""None"",""No"",""Parked"",""P"",""ShallowCage"",""Sc"",""DeepCage"",""Dc"",""No"",""No"",""P"",""P"",""Sc"",""Sc"",""Dc"","&amp;"""Dc"")"),"#REF!")</f>
        <v>#REF!</v>
      </c>
      <c r="AU564" s="6" t="str">
        <f ca="1">IFERROR(__xludf.DUMMYFUNCTION("SWITCH(IF(A564 = ""Practice"", H564, FILTER('Items by Team'!D$2:D3410,'Items by Team'!C$2:C3410 = D564,'Items by Team'!B$2:B3410 = B564)), ""Yes"", ""TRUE"", ""No"", ""FALSE"",TRUE, ""TRUE"", FALSE, ""FALSE"")"),"#REF!")</f>
        <v>#REF!</v>
      </c>
      <c r="AV564" s="6">
        <f t="shared" si="42"/>
        <v>0</v>
      </c>
      <c r="AW564" s="6">
        <f t="shared" si="43"/>
        <v>0</v>
      </c>
      <c r="AX564" s="6">
        <f t="shared" si="44"/>
        <v>0</v>
      </c>
      <c r="AY564" s="6">
        <f t="shared" si="45"/>
        <v>0</v>
      </c>
      <c r="AZ564" s="9" t="str">
        <f t="shared" si="46"/>
        <v/>
      </c>
      <c r="BA564" s="6">
        <f t="shared" si="47"/>
        <v>0</v>
      </c>
      <c r="BB564" s="6">
        <f t="shared" si="48"/>
        <v>0</v>
      </c>
      <c r="BC564" s="9" t="str">
        <f t="shared" si="49"/>
        <v/>
      </c>
      <c r="BD564" s="6">
        <f t="shared" si="50"/>
        <v>0</v>
      </c>
      <c r="BE564" s="6">
        <f t="shared" si="51"/>
        <v>0</v>
      </c>
      <c r="BF564" s="9" t="str">
        <f t="shared" si="52"/>
        <v/>
      </c>
      <c r="BG564" s="6">
        <f t="shared" si="53"/>
        <v>0</v>
      </c>
      <c r="BH564" s="6">
        <f t="shared" si="54"/>
        <v>0</v>
      </c>
      <c r="BI564" s="9" t="str">
        <f t="shared" si="55"/>
        <v/>
      </c>
      <c r="BJ564" s="6">
        <f t="shared" si="56"/>
        <v>0</v>
      </c>
      <c r="BK564" s="6">
        <f t="shared" si="57"/>
        <v>0</v>
      </c>
      <c r="BL564" s="6">
        <f t="shared" si="58"/>
        <v>0</v>
      </c>
      <c r="BM564" s="6">
        <f t="shared" si="59"/>
        <v>0</v>
      </c>
      <c r="BN564" s="6">
        <f t="shared" si="60"/>
        <v>0</v>
      </c>
      <c r="BP564" s="6">
        <f t="shared" si="61"/>
        <v>0</v>
      </c>
      <c r="BQ564" s="6" t="b">
        <f ca="1">IFERROR(__xludf.DUMMYFUNCTION("IF(AND(ISERROR(FILTER('Items by Team'!D$2:D3410,'Items by Team'!C$2:C3410 = D564,'Items by Team'!B$2:B3410 = B564)),NOT(A564=""Practice"")),TRUE,FALSE)"),FALSE)</f>
        <v>0</v>
      </c>
      <c r="BR564" s="6">
        <f t="shared" ca="1" si="62"/>
        <v>0</v>
      </c>
    </row>
    <row r="565" spans="1:70">
      <c r="A565" s="6"/>
      <c r="B565" s="6"/>
      <c r="C565" s="6"/>
      <c r="D565" s="6"/>
      <c r="E565" s="6"/>
      <c r="F565" s="6"/>
      <c r="G565" s="6"/>
      <c r="H565" s="6"/>
      <c r="I565" s="6"/>
      <c r="J565" s="6"/>
      <c r="K565" s="6"/>
      <c r="L565" s="6"/>
      <c r="M565" s="6"/>
      <c r="N565" s="6"/>
      <c r="O565" s="6"/>
      <c r="P565" s="6"/>
      <c r="R565" s="6"/>
      <c r="S565" s="6"/>
      <c r="T565" s="6"/>
      <c r="U565" s="6"/>
      <c r="V565" s="6"/>
      <c r="W565" s="6"/>
      <c r="X565" s="6"/>
      <c r="Y565" s="6"/>
      <c r="Z565" s="6"/>
      <c r="AA565" s="6"/>
      <c r="AB565" s="6"/>
      <c r="AD565" s="6"/>
      <c r="AE565" s="6"/>
      <c r="AF565" s="6"/>
      <c r="AG565" s="6"/>
      <c r="AH565" s="6"/>
      <c r="AI565" s="6"/>
      <c r="AK565" s="6"/>
      <c r="AL565" s="6"/>
      <c r="AM565" s="6"/>
      <c r="AN565" s="6"/>
      <c r="AO565" s="6"/>
      <c r="AP565" s="6"/>
      <c r="AQ565" s="6"/>
      <c r="AR565" s="6"/>
      <c r="AS565" s="15"/>
      <c r="AT565" s="6" t="str">
        <f ca="1">IFERROR(__xludf.DUMMYFUNCTION("SWITCH(IF(A565=""Practice"",AN565,FILTER('Items by Team'!E$2:E3410,'Items by Team'!C$2:C3410=D565,B565='Items by Team'!B$2:B3410)),""None"",""No"",""Parked"",""P"",""ShallowCage"",""Sc"",""DeepCage"",""Dc"",""No"",""No"",""P"",""P"",""Sc"",""Sc"",""Dc"","&amp;"""Dc"")"),"#REF!")</f>
        <v>#REF!</v>
      </c>
      <c r="AU565" s="6" t="str">
        <f ca="1">IFERROR(__xludf.DUMMYFUNCTION("SWITCH(IF(A565 = ""Practice"", H565, FILTER('Items by Team'!D$2:D3410,'Items by Team'!C$2:C3410 = D565,'Items by Team'!B$2:B3410 = B565)), ""Yes"", ""TRUE"", ""No"", ""FALSE"",TRUE, ""TRUE"", FALSE, ""FALSE"")"),"#REF!")</f>
        <v>#REF!</v>
      </c>
      <c r="AV565" s="6">
        <f t="shared" si="42"/>
        <v>0</v>
      </c>
      <c r="AW565" s="6">
        <f t="shared" si="43"/>
        <v>0</v>
      </c>
      <c r="AX565" s="6">
        <f t="shared" si="44"/>
        <v>0</v>
      </c>
      <c r="AY565" s="6">
        <f t="shared" si="45"/>
        <v>0</v>
      </c>
      <c r="AZ565" s="9" t="str">
        <f t="shared" si="46"/>
        <v/>
      </c>
      <c r="BA565" s="6">
        <f t="shared" si="47"/>
        <v>0</v>
      </c>
      <c r="BB565" s="6">
        <f t="shared" si="48"/>
        <v>0</v>
      </c>
      <c r="BC565" s="9" t="str">
        <f t="shared" si="49"/>
        <v/>
      </c>
      <c r="BD565" s="6">
        <f t="shared" si="50"/>
        <v>0</v>
      </c>
      <c r="BE565" s="6">
        <f t="shared" si="51"/>
        <v>0</v>
      </c>
      <c r="BF565" s="9" t="str">
        <f t="shared" si="52"/>
        <v/>
      </c>
      <c r="BG565" s="6">
        <f t="shared" si="53"/>
        <v>0</v>
      </c>
      <c r="BH565" s="6">
        <f t="shared" si="54"/>
        <v>0</v>
      </c>
      <c r="BI565" s="9" t="str">
        <f t="shared" si="55"/>
        <v/>
      </c>
      <c r="BJ565" s="6">
        <f t="shared" si="56"/>
        <v>0</v>
      </c>
      <c r="BK565" s="6">
        <f t="shared" si="57"/>
        <v>0</v>
      </c>
      <c r="BL565" s="6">
        <f t="shared" si="58"/>
        <v>0</v>
      </c>
      <c r="BM565" s="6">
        <f t="shared" si="59"/>
        <v>0</v>
      </c>
      <c r="BN565" s="6">
        <f t="shared" si="60"/>
        <v>0</v>
      </c>
      <c r="BP565" s="6">
        <f t="shared" si="61"/>
        <v>0</v>
      </c>
      <c r="BQ565" s="6" t="b">
        <f ca="1">IFERROR(__xludf.DUMMYFUNCTION("IF(AND(ISERROR(FILTER('Items by Team'!D$2:D3410,'Items by Team'!C$2:C3410 = D565,'Items by Team'!B$2:B3410 = B565)),NOT(A565=""Practice"")),TRUE,FALSE)"),FALSE)</f>
        <v>0</v>
      </c>
      <c r="BR565" s="6">
        <f t="shared" ca="1" si="62"/>
        <v>0</v>
      </c>
    </row>
    <row r="566" spans="1:70">
      <c r="A566" s="6"/>
      <c r="B566" s="6"/>
      <c r="C566" s="6"/>
      <c r="D566" s="6"/>
      <c r="E566" s="6"/>
      <c r="F566" s="6"/>
      <c r="G566" s="6"/>
      <c r="H566" s="6"/>
      <c r="I566" s="6"/>
      <c r="J566" s="6"/>
      <c r="K566" s="6"/>
      <c r="L566" s="6"/>
      <c r="M566" s="6"/>
      <c r="N566" s="6"/>
      <c r="O566" s="6"/>
      <c r="P566" s="6"/>
      <c r="R566" s="6"/>
      <c r="S566" s="6"/>
      <c r="T566" s="6"/>
      <c r="U566" s="6"/>
      <c r="V566" s="6"/>
      <c r="W566" s="6"/>
      <c r="X566" s="6"/>
      <c r="Y566" s="6"/>
      <c r="Z566" s="6"/>
      <c r="AA566" s="6"/>
      <c r="AB566" s="6"/>
      <c r="AD566" s="6"/>
      <c r="AE566" s="6"/>
      <c r="AF566" s="6"/>
      <c r="AG566" s="6"/>
      <c r="AH566" s="6"/>
      <c r="AI566" s="6"/>
      <c r="AK566" s="6"/>
      <c r="AL566" s="6"/>
      <c r="AM566" s="6"/>
      <c r="AN566" s="6"/>
      <c r="AO566" s="6"/>
      <c r="AP566" s="6"/>
      <c r="AQ566" s="6"/>
      <c r="AR566" s="6"/>
      <c r="AS566" s="15"/>
      <c r="AT566" s="6" t="str">
        <f ca="1">IFERROR(__xludf.DUMMYFUNCTION("SWITCH(IF(A566=""Practice"",AN566,FILTER('Items by Team'!E$2:E3410,'Items by Team'!C$2:C3410=D566,B566='Items by Team'!B$2:B3410)),""None"",""No"",""Parked"",""P"",""ShallowCage"",""Sc"",""DeepCage"",""Dc"",""No"",""No"",""P"",""P"",""Sc"",""Sc"",""Dc"","&amp;"""Dc"")"),"#REF!")</f>
        <v>#REF!</v>
      </c>
      <c r="AU566" s="6" t="str">
        <f ca="1">IFERROR(__xludf.DUMMYFUNCTION("SWITCH(IF(A566 = ""Practice"", H566, FILTER('Items by Team'!D$2:D3410,'Items by Team'!C$2:C3410 = D566,'Items by Team'!B$2:B3410 = B566)), ""Yes"", ""TRUE"", ""No"", ""FALSE"",TRUE, ""TRUE"", FALSE, ""FALSE"")"),"#REF!")</f>
        <v>#REF!</v>
      </c>
      <c r="AV566" s="6">
        <f t="shared" si="42"/>
        <v>0</v>
      </c>
      <c r="AW566" s="6">
        <f t="shared" si="43"/>
        <v>0</v>
      </c>
      <c r="AX566" s="6">
        <f t="shared" si="44"/>
        <v>0</v>
      </c>
      <c r="AY566" s="6">
        <f t="shared" si="45"/>
        <v>0</v>
      </c>
      <c r="AZ566" s="9" t="str">
        <f t="shared" si="46"/>
        <v/>
      </c>
      <c r="BA566" s="6">
        <f t="shared" si="47"/>
        <v>0</v>
      </c>
      <c r="BB566" s="6">
        <f t="shared" si="48"/>
        <v>0</v>
      </c>
      <c r="BC566" s="9" t="str">
        <f t="shared" si="49"/>
        <v/>
      </c>
      <c r="BD566" s="6">
        <f t="shared" si="50"/>
        <v>0</v>
      </c>
      <c r="BE566" s="6">
        <f t="shared" si="51"/>
        <v>0</v>
      </c>
      <c r="BF566" s="9" t="str">
        <f t="shared" si="52"/>
        <v/>
      </c>
      <c r="BG566" s="6">
        <f t="shared" si="53"/>
        <v>0</v>
      </c>
      <c r="BH566" s="6">
        <f t="shared" si="54"/>
        <v>0</v>
      </c>
      <c r="BI566" s="9" t="str">
        <f t="shared" si="55"/>
        <v/>
      </c>
      <c r="BJ566" s="6">
        <f t="shared" si="56"/>
        <v>0</v>
      </c>
      <c r="BK566" s="6">
        <f t="shared" si="57"/>
        <v>0</v>
      </c>
      <c r="BL566" s="6">
        <f t="shared" si="58"/>
        <v>0</v>
      </c>
      <c r="BM566" s="6">
        <f t="shared" si="59"/>
        <v>0</v>
      </c>
      <c r="BN566" s="6">
        <f t="shared" si="60"/>
        <v>0</v>
      </c>
      <c r="BP566" s="6">
        <f t="shared" si="61"/>
        <v>0</v>
      </c>
      <c r="BQ566" s="6" t="b">
        <f ca="1">IFERROR(__xludf.DUMMYFUNCTION("IF(AND(ISERROR(FILTER('Items by Team'!D$2:D3410,'Items by Team'!C$2:C3410 = D566,'Items by Team'!B$2:B3410 = B566)),NOT(A566=""Practice"")),TRUE,FALSE)"),FALSE)</f>
        <v>0</v>
      </c>
      <c r="BR566" s="6">
        <f t="shared" ca="1" si="62"/>
        <v>0</v>
      </c>
    </row>
    <row r="567" spans="1:70">
      <c r="A567" s="6"/>
      <c r="B567" s="6"/>
      <c r="C567" s="6"/>
      <c r="D567" s="6"/>
      <c r="E567" s="6"/>
      <c r="F567" s="6"/>
      <c r="G567" s="6"/>
      <c r="H567" s="6"/>
      <c r="I567" s="6"/>
      <c r="J567" s="6"/>
      <c r="K567" s="6"/>
      <c r="L567" s="6"/>
      <c r="M567" s="6"/>
      <c r="N567" s="6"/>
      <c r="O567" s="6"/>
      <c r="P567" s="6"/>
      <c r="R567" s="6"/>
      <c r="S567" s="6"/>
      <c r="T567" s="6"/>
      <c r="U567" s="6"/>
      <c r="V567" s="6"/>
      <c r="W567" s="6"/>
      <c r="X567" s="6"/>
      <c r="Y567" s="6"/>
      <c r="Z567" s="6"/>
      <c r="AA567" s="6"/>
      <c r="AB567" s="6"/>
      <c r="AD567" s="6"/>
      <c r="AE567" s="6"/>
      <c r="AF567" s="6"/>
      <c r="AG567" s="6"/>
      <c r="AH567" s="6"/>
      <c r="AI567" s="6"/>
      <c r="AK567" s="6"/>
      <c r="AL567" s="6"/>
      <c r="AM567" s="6"/>
      <c r="AN567" s="6"/>
      <c r="AO567" s="6"/>
      <c r="AP567" s="6"/>
      <c r="AQ567" s="6"/>
      <c r="AR567" s="6"/>
      <c r="AS567" s="15"/>
      <c r="AT567" s="6" t="str">
        <f ca="1">IFERROR(__xludf.DUMMYFUNCTION("SWITCH(IF(A567=""Practice"",AN567,FILTER('Items by Team'!E$2:E3410,'Items by Team'!C$2:C3410=D567,B567='Items by Team'!B$2:B3410)),""None"",""No"",""Parked"",""P"",""ShallowCage"",""Sc"",""DeepCage"",""Dc"",""No"",""No"",""P"",""P"",""Sc"",""Sc"",""Dc"","&amp;"""Dc"")"),"#REF!")</f>
        <v>#REF!</v>
      </c>
      <c r="AU567" s="6" t="str">
        <f ca="1">IFERROR(__xludf.DUMMYFUNCTION("SWITCH(IF(A567 = ""Practice"", H567, FILTER('Items by Team'!D$2:D3410,'Items by Team'!C$2:C3410 = D567,'Items by Team'!B$2:B3410 = B567)), ""Yes"", ""TRUE"", ""No"", ""FALSE"",TRUE, ""TRUE"", FALSE, ""FALSE"")"),"#REF!")</f>
        <v>#REF!</v>
      </c>
      <c r="AV567" s="6">
        <f t="shared" si="42"/>
        <v>0</v>
      </c>
      <c r="AW567" s="6">
        <f t="shared" si="43"/>
        <v>0</v>
      </c>
      <c r="AX567" s="6">
        <f t="shared" si="44"/>
        <v>0</v>
      </c>
      <c r="AY567" s="6">
        <f t="shared" si="45"/>
        <v>0</v>
      </c>
      <c r="AZ567" s="9" t="str">
        <f t="shared" si="46"/>
        <v/>
      </c>
      <c r="BA567" s="6">
        <f t="shared" si="47"/>
        <v>0</v>
      </c>
      <c r="BB567" s="6">
        <f t="shared" si="48"/>
        <v>0</v>
      </c>
      <c r="BC567" s="9" t="str">
        <f t="shared" si="49"/>
        <v/>
      </c>
      <c r="BD567" s="6">
        <f t="shared" si="50"/>
        <v>0</v>
      </c>
      <c r="BE567" s="6">
        <f t="shared" si="51"/>
        <v>0</v>
      </c>
      <c r="BF567" s="9" t="str">
        <f t="shared" si="52"/>
        <v/>
      </c>
      <c r="BG567" s="6">
        <f t="shared" si="53"/>
        <v>0</v>
      </c>
      <c r="BH567" s="6">
        <f t="shared" si="54"/>
        <v>0</v>
      </c>
      <c r="BI567" s="9" t="str">
        <f t="shared" si="55"/>
        <v/>
      </c>
      <c r="BJ567" s="6">
        <f t="shared" si="56"/>
        <v>0</v>
      </c>
      <c r="BK567" s="6">
        <f t="shared" si="57"/>
        <v>0</v>
      </c>
      <c r="BL567" s="6">
        <f t="shared" si="58"/>
        <v>0</v>
      </c>
      <c r="BM567" s="6">
        <f t="shared" si="59"/>
        <v>0</v>
      </c>
      <c r="BN567" s="6">
        <f t="shared" si="60"/>
        <v>0</v>
      </c>
      <c r="BP567" s="6">
        <f t="shared" si="61"/>
        <v>0</v>
      </c>
      <c r="BQ567" s="6" t="b">
        <f ca="1">IFERROR(__xludf.DUMMYFUNCTION("IF(AND(ISERROR(FILTER('Items by Team'!D$2:D3410,'Items by Team'!C$2:C3410 = D567,'Items by Team'!B$2:B3410 = B567)),NOT(A567=""Practice"")),TRUE,FALSE)"),FALSE)</f>
        <v>0</v>
      </c>
      <c r="BR567" s="6">
        <f t="shared" ca="1" si="62"/>
        <v>0</v>
      </c>
    </row>
    <row r="568" spans="1:70">
      <c r="A568" s="6"/>
      <c r="B568" s="6"/>
      <c r="C568" s="6"/>
      <c r="D568" s="6"/>
      <c r="E568" s="6"/>
      <c r="F568" s="6"/>
      <c r="G568" s="6"/>
      <c r="H568" s="6"/>
      <c r="I568" s="6"/>
      <c r="J568" s="6"/>
      <c r="K568" s="6"/>
      <c r="L568" s="6"/>
      <c r="M568" s="6"/>
      <c r="N568" s="6"/>
      <c r="O568" s="6"/>
      <c r="P568" s="6"/>
      <c r="R568" s="6"/>
      <c r="S568" s="6"/>
      <c r="T568" s="6"/>
      <c r="U568" s="6"/>
      <c r="V568" s="6"/>
      <c r="W568" s="6"/>
      <c r="X568" s="6"/>
      <c r="Y568" s="6"/>
      <c r="Z568" s="6"/>
      <c r="AA568" s="6"/>
      <c r="AB568" s="6"/>
      <c r="AD568" s="6"/>
      <c r="AE568" s="6"/>
      <c r="AF568" s="6"/>
      <c r="AG568" s="6"/>
      <c r="AH568" s="6"/>
      <c r="AI568" s="6"/>
      <c r="AK568" s="6"/>
      <c r="AL568" s="6"/>
      <c r="AM568" s="6"/>
      <c r="AN568" s="6"/>
      <c r="AO568" s="6"/>
      <c r="AP568" s="6"/>
      <c r="AQ568" s="6"/>
      <c r="AR568" s="6"/>
      <c r="AS568" s="15"/>
      <c r="AT568" s="6" t="str">
        <f ca="1">IFERROR(__xludf.DUMMYFUNCTION("SWITCH(IF(A568=""Practice"",AN568,FILTER('Items by Team'!E$2:E3410,'Items by Team'!C$2:C3410=D568,B568='Items by Team'!B$2:B3410)),""None"",""No"",""Parked"",""P"",""ShallowCage"",""Sc"",""DeepCage"",""Dc"",""No"",""No"",""P"",""P"",""Sc"",""Sc"",""Dc"","&amp;"""Dc"")"),"#REF!")</f>
        <v>#REF!</v>
      </c>
      <c r="AU568" s="6" t="str">
        <f ca="1">IFERROR(__xludf.DUMMYFUNCTION("SWITCH(IF(A568 = ""Practice"", H568, FILTER('Items by Team'!D$2:D3410,'Items by Team'!C$2:C3410 = D568,'Items by Team'!B$2:B3410 = B568)), ""Yes"", ""TRUE"", ""No"", ""FALSE"",TRUE, ""TRUE"", FALSE, ""FALSE"")"),"#REF!")</f>
        <v>#REF!</v>
      </c>
      <c r="AV568" s="6">
        <f t="shared" si="42"/>
        <v>0</v>
      </c>
      <c r="AW568" s="6">
        <f t="shared" si="43"/>
        <v>0</v>
      </c>
      <c r="AX568" s="6">
        <f t="shared" si="44"/>
        <v>0</v>
      </c>
      <c r="AY568" s="6">
        <f t="shared" si="45"/>
        <v>0</v>
      </c>
      <c r="AZ568" s="9" t="str">
        <f t="shared" si="46"/>
        <v/>
      </c>
      <c r="BA568" s="6">
        <f t="shared" si="47"/>
        <v>0</v>
      </c>
      <c r="BB568" s="6">
        <f t="shared" si="48"/>
        <v>0</v>
      </c>
      <c r="BC568" s="9" t="str">
        <f t="shared" si="49"/>
        <v/>
      </c>
      <c r="BD568" s="6">
        <f t="shared" si="50"/>
        <v>0</v>
      </c>
      <c r="BE568" s="6">
        <f t="shared" si="51"/>
        <v>0</v>
      </c>
      <c r="BF568" s="9" t="str">
        <f t="shared" si="52"/>
        <v/>
      </c>
      <c r="BG568" s="6">
        <f t="shared" si="53"/>
        <v>0</v>
      </c>
      <c r="BH568" s="6">
        <f t="shared" si="54"/>
        <v>0</v>
      </c>
      <c r="BI568" s="9" t="str">
        <f t="shared" si="55"/>
        <v/>
      </c>
      <c r="BJ568" s="6">
        <f t="shared" si="56"/>
        <v>0</v>
      </c>
      <c r="BK568" s="6">
        <f t="shared" si="57"/>
        <v>0</v>
      </c>
      <c r="BL568" s="6">
        <f t="shared" si="58"/>
        <v>0</v>
      </c>
      <c r="BM568" s="6">
        <f t="shared" si="59"/>
        <v>0</v>
      </c>
      <c r="BN568" s="6">
        <f t="shared" si="60"/>
        <v>0</v>
      </c>
      <c r="BP568" s="6">
        <f t="shared" si="61"/>
        <v>0</v>
      </c>
      <c r="BQ568" s="6" t="b">
        <f ca="1">IFERROR(__xludf.DUMMYFUNCTION("IF(AND(ISERROR(FILTER('Items by Team'!D$2:D3410,'Items by Team'!C$2:C3410 = D568,'Items by Team'!B$2:B3410 = B568)),NOT(A568=""Practice"")),TRUE,FALSE)"),FALSE)</f>
        <v>0</v>
      </c>
      <c r="BR568" s="6">
        <f t="shared" ca="1" si="62"/>
        <v>0</v>
      </c>
    </row>
    <row r="569" spans="1:70">
      <c r="A569" s="6"/>
      <c r="B569" s="6"/>
      <c r="C569" s="6"/>
      <c r="D569" s="6"/>
      <c r="E569" s="6"/>
      <c r="F569" s="6"/>
      <c r="G569" s="6"/>
      <c r="H569" s="6"/>
      <c r="I569" s="6"/>
      <c r="J569" s="6"/>
      <c r="K569" s="6"/>
      <c r="L569" s="6"/>
      <c r="M569" s="6"/>
      <c r="N569" s="6"/>
      <c r="O569" s="6"/>
      <c r="P569" s="6"/>
      <c r="R569" s="6"/>
      <c r="S569" s="6"/>
      <c r="T569" s="6"/>
      <c r="U569" s="6"/>
      <c r="V569" s="6"/>
      <c r="W569" s="6"/>
      <c r="X569" s="6"/>
      <c r="Y569" s="6"/>
      <c r="Z569" s="6"/>
      <c r="AA569" s="6"/>
      <c r="AB569" s="6"/>
      <c r="AD569" s="6"/>
      <c r="AE569" s="6"/>
      <c r="AF569" s="6"/>
      <c r="AG569" s="6"/>
      <c r="AH569" s="6"/>
      <c r="AI569" s="6"/>
      <c r="AK569" s="6"/>
      <c r="AL569" s="6"/>
      <c r="AM569" s="6"/>
      <c r="AN569" s="6"/>
      <c r="AO569" s="6"/>
      <c r="AP569" s="6"/>
      <c r="AQ569" s="6"/>
      <c r="AR569" s="6"/>
      <c r="AS569" s="15"/>
      <c r="AT569" s="6" t="str">
        <f ca="1">IFERROR(__xludf.DUMMYFUNCTION("SWITCH(IF(A569=""Practice"",AN569,FILTER('Items by Team'!E$2:E3410,'Items by Team'!C$2:C3410=D569,B569='Items by Team'!B$2:B3410)),""None"",""No"",""Parked"",""P"",""ShallowCage"",""Sc"",""DeepCage"",""Dc"",""No"",""No"",""P"",""P"",""Sc"",""Sc"",""Dc"","&amp;"""Dc"")"),"#REF!")</f>
        <v>#REF!</v>
      </c>
      <c r="AU569" s="6" t="str">
        <f ca="1">IFERROR(__xludf.DUMMYFUNCTION("SWITCH(IF(A569 = ""Practice"", H569, FILTER('Items by Team'!D$2:D3410,'Items by Team'!C$2:C3410 = D569,'Items by Team'!B$2:B3410 = B569)), ""Yes"", ""TRUE"", ""No"", ""FALSE"",TRUE, ""TRUE"", FALSE, ""FALSE"")"),"#REF!")</f>
        <v>#REF!</v>
      </c>
      <c r="AV569" s="6">
        <f t="shared" si="42"/>
        <v>0</v>
      </c>
      <c r="AW569" s="6">
        <f t="shared" si="43"/>
        <v>0</v>
      </c>
      <c r="AX569" s="6">
        <f t="shared" si="44"/>
        <v>0</v>
      </c>
      <c r="AY569" s="6">
        <f t="shared" si="45"/>
        <v>0</v>
      </c>
      <c r="AZ569" s="9" t="str">
        <f t="shared" si="46"/>
        <v/>
      </c>
      <c r="BA569" s="6">
        <f t="shared" si="47"/>
        <v>0</v>
      </c>
      <c r="BB569" s="6">
        <f t="shared" si="48"/>
        <v>0</v>
      </c>
      <c r="BC569" s="9" t="str">
        <f t="shared" si="49"/>
        <v/>
      </c>
      <c r="BD569" s="6">
        <f t="shared" si="50"/>
        <v>0</v>
      </c>
      <c r="BE569" s="6">
        <f t="shared" si="51"/>
        <v>0</v>
      </c>
      <c r="BF569" s="9" t="str">
        <f t="shared" si="52"/>
        <v/>
      </c>
      <c r="BG569" s="6">
        <f t="shared" si="53"/>
        <v>0</v>
      </c>
      <c r="BH569" s="6">
        <f t="shared" si="54"/>
        <v>0</v>
      </c>
      <c r="BI569" s="9" t="str">
        <f t="shared" si="55"/>
        <v/>
      </c>
      <c r="BJ569" s="6">
        <f t="shared" si="56"/>
        <v>0</v>
      </c>
      <c r="BK569" s="6">
        <f t="shared" si="57"/>
        <v>0</v>
      </c>
      <c r="BL569" s="6">
        <f t="shared" si="58"/>
        <v>0</v>
      </c>
      <c r="BM569" s="6">
        <f t="shared" si="59"/>
        <v>0</v>
      </c>
      <c r="BN569" s="6">
        <f t="shared" si="60"/>
        <v>0</v>
      </c>
      <c r="BP569" s="6">
        <f t="shared" si="61"/>
        <v>0</v>
      </c>
      <c r="BQ569" s="6" t="b">
        <f ca="1">IFERROR(__xludf.DUMMYFUNCTION("IF(AND(ISERROR(FILTER('Items by Team'!D$2:D3410,'Items by Team'!C$2:C3410 = D569,'Items by Team'!B$2:B3410 = B569)),NOT(A569=""Practice"")),TRUE,FALSE)"),FALSE)</f>
        <v>0</v>
      </c>
      <c r="BR569" s="6">
        <f t="shared" ca="1" si="62"/>
        <v>0</v>
      </c>
    </row>
    <row r="570" spans="1:70">
      <c r="A570" s="6"/>
      <c r="B570" s="6"/>
      <c r="C570" s="6"/>
      <c r="D570" s="6"/>
      <c r="E570" s="6"/>
      <c r="F570" s="6"/>
      <c r="G570" s="6"/>
      <c r="H570" s="6"/>
      <c r="I570" s="6"/>
      <c r="J570" s="6"/>
      <c r="K570" s="6"/>
      <c r="L570" s="6"/>
      <c r="M570" s="6"/>
      <c r="N570" s="6"/>
      <c r="O570" s="6"/>
      <c r="P570" s="6"/>
      <c r="R570" s="6"/>
      <c r="S570" s="6"/>
      <c r="T570" s="6"/>
      <c r="U570" s="6"/>
      <c r="V570" s="6"/>
      <c r="W570" s="6"/>
      <c r="X570" s="6"/>
      <c r="Y570" s="6"/>
      <c r="Z570" s="6"/>
      <c r="AA570" s="6"/>
      <c r="AB570" s="6"/>
      <c r="AD570" s="6"/>
      <c r="AE570" s="6"/>
      <c r="AF570" s="6"/>
      <c r="AG570" s="6"/>
      <c r="AH570" s="6"/>
      <c r="AI570" s="6"/>
      <c r="AK570" s="6"/>
      <c r="AL570" s="6"/>
      <c r="AM570" s="6"/>
      <c r="AN570" s="6"/>
      <c r="AO570" s="6"/>
      <c r="AP570" s="6"/>
      <c r="AQ570" s="6"/>
      <c r="AR570" s="6"/>
      <c r="AS570" s="15"/>
      <c r="AT570" s="6" t="str">
        <f ca="1">IFERROR(__xludf.DUMMYFUNCTION("SWITCH(IF(A570=""Practice"",AN570,FILTER('Items by Team'!E$2:E3410,'Items by Team'!C$2:C3410=D570,B570='Items by Team'!B$2:B3410)),""None"",""No"",""Parked"",""P"",""ShallowCage"",""Sc"",""DeepCage"",""Dc"",""No"",""No"",""P"",""P"",""Sc"",""Sc"",""Dc"","&amp;"""Dc"")"),"#REF!")</f>
        <v>#REF!</v>
      </c>
      <c r="AU570" s="6" t="str">
        <f ca="1">IFERROR(__xludf.DUMMYFUNCTION("SWITCH(IF(A570 = ""Practice"", H570, FILTER('Items by Team'!D$2:D3410,'Items by Team'!C$2:C3410 = D570,'Items by Team'!B$2:B3410 = B570)), ""Yes"", ""TRUE"", ""No"", ""FALSE"",TRUE, ""TRUE"", FALSE, ""FALSE"")"),"#REF!")</f>
        <v>#REF!</v>
      </c>
      <c r="AV570" s="6">
        <f t="shared" si="42"/>
        <v>0</v>
      </c>
      <c r="AW570" s="6">
        <f t="shared" si="43"/>
        <v>0</v>
      </c>
      <c r="AX570" s="6">
        <f t="shared" si="44"/>
        <v>0</v>
      </c>
      <c r="AY570" s="6">
        <f t="shared" si="45"/>
        <v>0</v>
      </c>
      <c r="AZ570" s="9" t="str">
        <f t="shared" si="46"/>
        <v/>
      </c>
      <c r="BA570" s="6">
        <f t="shared" si="47"/>
        <v>0</v>
      </c>
      <c r="BB570" s="6">
        <f t="shared" si="48"/>
        <v>0</v>
      </c>
      <c r="BC570" s="9" t="str">
        <f t="shared" si="49"/>
        <v/>
      </c>
      <c r="BD570" s="6">
        <f t="shared" si="50"/>
        <v>0</v>
      </c>
      <c r="BE570" s="6">
        <f t="shared" si="51"/>
        <v>0</v>
      </c>
      <c r="BF570" s="9" t="str">
        <f t="shared" si="52"/>
        <v/>
      </c>
      <c r="BG570" s="6">
        <f t="shared" si="53"/>
        <v>0</v>
      </c>
      <c r="BH570" s="6">
        <f t="shared" si="54"/>
        <v>0</v>
      </c>
      <c r="BI570" s="9" t="str">
        <f t="shared" si="55"/>
        <v/>
      </c>
      <c r="BJ570" s="6">
        <f t="shared" si="56"/>
        <v>0</v>
      </c>
      <c r="BK570" s="6">
        <f t="shared" si="57"/>
        <v>0</v>
      </c>
      <c r="BL570" s="6">
        <f t="shared" si="58"/>
        <v>0</v>
      </c>
      <c r="BM570" s="6">
        <f t="shared" si="59"/>
        <v>0</v>
      </c>
      <c r="BN570" s="6">
        <f t="shared" si="60"/>
        <v>0</v>
      </c>
      <c r="BP570" s="6">
        <f t="shared" si="61"/>
        <v>0</v>
      </c>
      <c r="BQ570" s="6" t="b">
        <f ca="1">IFERROR(__xludf.DUMMYFUNCTION("IF(AND(ISERROR(FILTER('Items by Team'!D$2:D3410,'Items by Team'!C$2:C3410 = D570,'Items by Team'!B$2:B3410 = B570)),NOT(A570=""Practice"")),TRUE,FALSE)"),FALSE)</f>
        <v>0</v>
      </c>
      <c r="BR570" s="6">
        <f t="shared" ca="1" si="62"/>
        <v>0</v>
      </c>
    </row>
    <row r="571" spans="1:70">
      <c r="A571" s="6"/>
      <c r="B571" s="6"/>
      <c r="C571" s="6"/>
      <c r="D571" s="6"/>
      <c r="E571" s="6"/>
      <c r="F571" s="6"/>
      <c r="G571" s="6"/>
      <c r="H571" s="6"/>
      <c r="I571" s="6"/>
      <c r="J571" s="6"/>
      <c r="K571" s="6"/>
      <c r="L571" s="6"/>
      <c r="M571" s="6"/>
      <c r="N571" s="6"/>
      <c r="O571" s="6"/>
      <c r="P571" s="6"/>
      <c r="R571" s="6"/>
      <c r="S571" s="6"/>
      <c r="T571" s="6"/>
      <c r="U571" s="6"/>
      <c r="V571" s="6"/>
      <c r="W571" s="6"/>
      <c r="X571" s="6"/>
      <c r="Y571" s="6"/>
      <c r="Z571" s="6"/>
      <c r="AA571" s="6"/>
      <c r="AB571" s="6"/>
      <c r="AD571" s="6"/>
      <c r="AE571" s="6"/>
      <c r="AF571" s="6"/>
      <c r="AG571" s="6"/>
      <c r="AH571" s="6"/>
      <c r="AI571" s="6"/>
      <c r="AK571" s="6"/>
      <c r="AL571" s="6"/>
      <c r="AM571" s="6"/>
      <c r="AN571" s="6"/>
      <c r="AO571" s="6"/>
      <c r="AP571" s="6"/>
      <c r="AQ571" s="6"/>
      <c r="AR571" s="6"/>
      <c r="AS571" s="15"/>
      <c r="AT571" s="6" t="str">
        <f ca="1">IFERROR(__xludf.DUMMYFUNCTION("SWITCH(IF(A571=""Practice"",AN571,FILTER('Items by Team'!E$2:E3410,'Items by Team'!C$2:C3410=D571,B571='Items by Team'!B$2:B3410)),""None"",""No"",""Parked"",""P"",""ShallowCage"",""Sc"",""DeepCage"",""Dc"",""No"",""No"",""P"",""P"",""Sc"",""Sc"",""Dc"","&amp;"""Dc"")"),"#REF!")</f>
        <v>#REF!</v>
      </c>
      <c r="AU571" s="6" t="str">
        <f ca="1">IFERROR(__xludf.DUMMYFUNCTION("SWITCH(IF(A571 = ""Practice"", H571, FILTER('Items by Team'!D$2:D3410,'Items by Team'!C$2:C3410 = D571,'Items by Team'!B$2:B3410 = B571)), ""Yes"", ""TRUE"", ""No"", ""FALSE"",TRUE, ""TRUE"", FALSE, ""FALSE"")"),"#REF!")</f>
        <v>#REF!</v>
      </c>
      <c r="AV571" s="6">
        <f t="shared" si="42"/>
        <v>0</v>
      </c>
      <c r="AW571" s="6">
        <f t="shared" si="43"/>
        <v>0</v>
      </c>
      <c r="AX571" s="6">
        <f t="shared" si="44"/>
        <v>0</v>
      </c>
      <c r="AY571" s="6">
        <f t="shared" si="45"/>
        <v>0</v>
      </c>
      <c r="AZ571" s="9" t="str">
        <f t="shared" si="46"/>
        <v/>
      </c>
      <c r="BA571" s="6">
        <f t="shared" si="47"/>
        <v>0</v>
      </c>
      <c r="BB571" s="6">
        <f t="shared" si="48"/>
        <v>0</v>
      </c>
      <c r="BC571" s="9" t="str">
        <f t="shared" si="49"/>
        <v/>
      </c>
      <c r="BD571" s="6">
        <f t="shared" si="50"/>
        <v>0</v>
      </c>
      <c r="BE571" s="6">
        <f t="shared" si="51"/>
        <v>0</v>
      </c>
      <c r="BF571" s="9" t="str">
        <f t="shared" si="52"/>
        <v/>
      </c>
      <c r="BG571" s="6">
        <f t="shared" si="53"/>
        <v>0</v>
      </c>
      <c r="BH571" s="6">
        <f t="shared" si="54"/>
        <v>0</v>
      </c>
      <c r="BI571" s="9" t="str">
        <f t="shared" si="55"/>
        <v/>
      </c>
      <c r="BJ571" s="6">
        <f t="shared" si="56"/>
        <v>0</v>
      </c>
      <c r="BK571" s="6">
        <f t="shared" si="57"/>
        <v>0</v>
      </c>
      <c r="BL571" s="6">
        <f t="shared" si="58"/>
        <v>0</v>
      </c>
      <c r="BM571" s="6">
        <f t="shared" si="59"/>
        <v>0</v>
      </c>
      <c r="BN571" s="6">
        <f t="shared" si="60"/>
        <v>0</v>
      </c>
      <c r="BP571" s="6">
        <f t="shared" si="61"/>
        <v>0</v>
      </c>
      <c r="BQ571" s="6" t="b">
        <f ca="1">IFERROR(__xludf.DUMMYFUNCTION("IF(AND(ISERROR(FILTER('Items by Team'!D$2:D3410,'Items by Team'!C$2:C3410 = D571,'Items by Team'!B$2:B3410 = B571)),NOT(A571=""Practice"")),TRUE,FALSE)"),FALSE)</f>
        <v>0</v>
      </c>
      <c r="BR571" s="6">
        <f t="shared" ca="1" si="62"/>
        <v>0</v>
      </c>
    </row>
    <row r="572" spans="1:70">
      <c r="A572" s="6"/>
      <c r="B572" s="6"/>
      <c r="C572" s="6"/>
      <c r="D572" s="6"/>
      <c r="E572" s="6"/>
      <c r="F572" s="6"/>
      <c r="G572" s="6"/>
      <c r="H572" s="6"/>
      <c r="I572" s="6"/>
      <c r="J572" s="6"/>
      <c r="K572" s="6"/>
      <c r="L572" s="6"/>
      <c r="M572" s="6"/>
      <c r="N572" s="6"/>
      <c r="O572" s="6"/>
      <c r="P572" s="6"/>
      <c r="R572" s="6"/>
      <c r="S572" s="6"/>
      <c r="T572" s="6"/>
      <c r="U572" s="6"/>
      <c r="V572" s="6"/>
      <c r="W572" s="6"/>
      <c r="X572" s="6"/>
      <c r="Y572" s="6"/>
      <c r="Z572" s="6"/>
      <c r="AA572" s="6"/>
      <c r="AB572" s="6"/>
      <c r="AD572" s="6"/>
      <c r="AE572" s="6"/>
      <c r="AF572" s="6"/>
      <c r="AG572" s="6"/>
      <c r="AH572" s="6"/>
      <c r="AI572" s="6"/>
      <c r="AK572" s="6"/>
      <c r="AL572" s="6"/>
      <c r="AM572" s="6"/>
      <c r="AN572" s="6"/>
      <c r="AO572" s="6"/>
      <c r="AP572" s="6"/>
      <c r="AQ572" s="6"/>
      <c r="AR572" s="6"/>
      <c r="AS572" s="15"/>
      <c r="AT572" s="6" t="str">
        <f ca="1">IFERROR(__xludf.DUMMYFUNCTION("SWITCH(IF(A572=""Practice"",AN572,FILTER('Items by Team'!E$2:E3410,'Items by Team'!C$2:C3410=D572,B572='Items by Team'!B$2:B3410)),""None"",""No"",""Parked"",""P"",""ShallowCage"",""Sc"",""DeepCage"",""Dc"",""No"",""No"",""P"",""P"",""Sc"",""Sc"",""Dc"","&amp;"""Dc"")"),"#REF!")</f>
        <v>#REF!</v>
      </c>
      <c r="AU572" s="6" t="str">
        <f ca="1">IFERROR(__xludf.DUMMYFUNCTION("SWITCH(IF(A572 = ""Practice"", H572, FILTER('Items by Team'!D$2:D3410,'Items by Team'!C$2:C3410 = D572,'Items by Team'!B$2:B3410 = B572)), ""Yes"", ""TRUE"", ""No"", ""FALSE"",TRUE, ""TRUE"", FALSE, ""FALSE"")"),"#REF!")</f>
        <v>#REF!</v>
      </c>
      <c r="AV572" s="6">
        <f t="shared" si="42"/>
        <v>0</v>
      </c>
      <c r="AW572" s="6">
        <f t="shared" si="43"/>
        <v>0</v>
      </c>
      <c r="AX572" s="6">
        <f t="shared" si="44"/>
        <v>0</v>
      </c>
      <c r="AY572" s="6">
        <f t="shared" si="45"/>
        <v>0</v>
      </c>
      <c r="AZ572" s="9" t="str">
        <f t="shared" si="46"/>
        <v/>
      </c>
      <c r="BA572" s="6">
        <f t="shared" si="47"/>
        <v>0</v>
      </c>
      <c r="BB572" s="6">
        <f t="shared" si="48"/>
        <v>0</v>
      </c>
      <c r="BC572" s="9" t="str">
        <f t="shared" si="49"/>
        <v/>
      </c>
      <c r="BD572" s="6">
        <f t="shared" si="50"/>
        <v>0</v>
      </c>
      <c r="BE572" s="6">
        <f t="shared" si="51"/>
        <v>0</v>
      </c>
      <c r="BF572" s="9" t="str">
        <f t="shared" si="52"/>
        <v/>
      </c>
      <c r="BG572" s="6">
        <f t="shared" si="53"/>
        <v>0</v>
      </c>
      <c r="BH572" s="6">
        <f t="shared" si="54"/>
        <v>0</v>
      </c>
      <c r="BI572" s="9" t="str">
        <f t="shared" si="55"/>
        <v/>
      </c>
      <c r="BJ572" s="6">
        <f t="shared" si="56"/>
        <v>0</v>
      </c>
      <c r="BK572" s="6">
        <f t="shared" si="57"/>
        <v>0</v>
      </c>
      <c r="BL572" s="6">
        <f t="shared" si="58"/>
        <v>0</v>
      </c>
      <c r="BM572" s="6">
        <f t="shared" si="59"/>
        <v>0</v>
      </c>
      <c r="BN572" s="6">
        <f t="shared" si="60"/>
        <v>0</v>
      </c>
      <c r="BP572" s="6">
        <f t="shared" si="61"/>
        <v>0</v>
      </c>
      <c r="BQ572" s="6" t="b">
        <f ca="1">IFERROR(__xludf.DUMMYFUNCTION("IF(AND(ISERROR(FILTER('Items by Team'!D$2:D3410,'Items by Team'!C$2:C3410 = D572,'Items by Team'!B$2:B3410 = B572)),NOT(A572=""Practice"")),TRUE,FALSE)"),FALSE)</f>
        <v>0</v>
      </c>
      <c r="BR572" s="6">
        <f t="shared" ca="1" si="62"/>
        <v>0</v>
      </c>
    </row>
    <row r="573" spans="1:70">
      <c r="A573" s="6"/>
      <c r="B573" s="6"/>
      <c r="C573" s="6"/>
      <c r="D573" s="6"/>
      <c r="E573" s="6"/>
      <c r="F573" s="6"/>
      <c r="G573" s="6"/>
      <c r="H573" s="6"/>
      <c r="I573" s="6"/>
      <c r="J573" s="6"/>
      <c r="K573" s="6"/>
      <c r="L573" s="6"/>
      <c r="M573" s="6"/>
      <c r="N573" s="6"/>
      <c r="O573" s="6"/>
      <c r="P573" s="6"/>
      <c r="R573" s="6"/>
      <c r="S573" s="6"/>
      <c r="T573" s="6"/>
      <c r="U573" s="6"/>
      <c r="V573" s="6"/>
      <c r="W573" s="6"/>
      <c r="X573" s="6"/>
      <c r="Y573" s="6"/>
      <c r="Z573" s="6"/>
      <c r="AA573" s="6"/>
      <c r="AB573" s="6"/>
      <c r="AD573" s="6"/>
      <c r="AE573" s="6"/>
      <c r="AF573" s="6"/>
      <c r="AG573" s="6"/>
      <c r="AH573" s="6"/>
      <c r="AI573" s="6"/>
      <c r="AK573" s="6"/>
      <c r="AL573" s="6"/>
      <c r="AM573" s="6"/>
      <c r="AN573" s="6"/>
      <c r="AO573" s="6"/>
      <c r="AP573" s="6"/>
      <c r="AQ573" s="6"/>
      <c r="AR573" s="6"/>
      <c r="AS573" s="15"/>
      <c r="AT573" s="6" t="str">
        <f ca="1">IFERROR(__xludf.DUMMYFUNCTION("SWITCH(IF(A573=""Practice"",AN573,FILTER('Items by Team'!E$2:E3410,'Items by Team'!C$2:C3410=D573,B573='Items by Team'!B$2:B3410)),""None"",""No"",""Parked"",""P"",""ShallowCage"",""Sc"",""DeepCage"",""Dc"",""No"",""No"",""P"",""P"",""Sc"",""Sc"",""Dc"","&amp;"""Dc"")"),"#REF!")</f>
        <v>#REF!</v>
      </c>
      <c r="AU573" s="6" t="str">
        <f ca="1">IFERROR(__xludf.DUMMYFUNCTION("SWITCH(IF(A573 = ""Practice"", H573, FILTER('Items by Team'!D$2:D3410,'Items by Team'!C$2:C3410 = D573,'Items by Team'!B$2:B3410 = B573)), ""Yes"", ""TRUE"", ""No"", ""FALSE"",TRUE, ""TRUE"", FALSE, ""FALSE"")"),"#REF!")</f>
        <v>#REF!</v>
      </c>
      <c r="AV573" s="6">
        <f t="shared" si="42"/>
        <v>0</v>
      </c>
      <c r="AW573" s="6">
        <f t="shared" si="43"/>
        <v>0</v>
      </c>
      <c r="AX573" s="6">
        <f t="shared" si="44"/>
        <v>0</v>
      </c>
      <c r="AY573" s="6">
        <f t="shared" si="45"/>
        <v>0</v>
      </c>
      <c r="AZ573" s="9" t="str">
        <f t="shared" si="46"/>
        <v/>
      </c>
      <c r="BA573" s="6">
        <f t="shared" si="47"/>
        <v>0</v>
      </c>
      <c r="BB573" s="6">
        <f t="shared" si="48"/>
        <v>0</v>
      </c>
      <c r="BC573" s="9" t="str">
        <f t="shared" si="49"/>
        <v/>
      </c>
      <c r="BD573" s="6">
        <f t="shared" si="50"/>
        <v>0</v>
      </c>
      <c r="BE573" s="6">
        <f t="shared" si="51"/>
        <v>0</v>
      </c>
      <c r="BF573" s="9" t="str">
        <f t="shared" si="52"/>
        <v/>
      </c>
      <c r="BG573" s="6">
        <f t="shared" si="53"/>
        <v>0</v>
      </c>
      <c r="BH573" s="6">
        <f t="shared" si="54"/>
        <v>0</v>
      </c>
      <c r="BI573" s="9" t="str">
        <f t="shared" si="55"/>
        <v/>
      </c>
      <c r="BJ573" s="6">
        <f t="shared" si="56"/>
        <v>0</v>
      </c>
      <c r="BK573" s="6">
        <f t="shared" si="57"/>
        <v>0</v>
      </c>
      <c r="BL573" s="6">
        <f t="shared" si="58"/>
        <v>0</v>
      </c>
      <c r="BM573" s="6">
        <f t="shared" si="59"/>
        <v>0</v>
      </c>
      <c r="BN573" s="6">
        <f t="shared" si="60"/>
        <v>0</v>
      </c>
      <c r="BP573" s="6">
        <f t="shared" si="61"/>
        <v>0</v>
      </c>
      <c r="BQ573" s="6" t="b">
        <f ca="1">IFERROR(__xludf.DUMMYFUNCTION("IF(AND(ISERROR(FILTER('Items by Team'!D$2:D3410,'Items by Team'!C$2:C3410 = D573,'Items by Team'!B$2:B3410 = B573)),NOT(A573=""Practice"")),TRUE,FALSE)"),FALSE)</f>
        <v>0</v>
      </c>
      <c r="BR573" s="6">
        <f t="shared" ca="1" si="62"/>
        <v>0</v>
      </c>
    </row>
    <row r="574" spans="1:70">
      <c r="A574" s="6"/>
      <c r="B574" s="6"/>
      <c r="C574" s="6"/>
      <c r="D574" s="6"/>
      <c r="E574" s="6"/>
      <c r="F574" s="6"/>
      <c r="G574" s="6"/>
      <c r="H574" s="6"/>
      <c r="I574" s="6"/>
      <c r="J574" s="6"/>
      <c r="K574" s="6"/>
      <c r="L574" s="6"/>
      <c r="M574" s="6"/>
      <c r="N574" s="6"/>
      <c r="O574" s="6"/>
      <c r="P574" s="6"/>
      <c r="R574" s="6"/>
      <c r="S574" s="6"/>
      <c r="T574" s="6"/>
      <c r="U574" s="6"/>
      <c r="V574" s="6"/>
      <c r="W574" s="6"/>
      <c r="X574" s="6"/>
      <c r="Y574" s="6"/>
      <c r="Z574" s="6"/>
      <c r="AA574" s="6"/>
      <c r="AB574" s="6"/>
      <c r="AD574" s="6"/>
      <c r="AE574" s="6"/>
      <c r="AF574" s="6"/>
      <c r="AG574" s="6"/>
      <c r="AH574" s="6"/>
      <c r="AI574" s="6"/>
      <c r="AK574" s="6"/>
      <c r="AL574" s="6"/>
      <c r="AM574" s="6"/>
      <c r="AN574" s="6"/>
      <c r="AO574" s="6"/>
      <c r="AP574" s="6"/>
      <c r="AQ574" s="6"/>
      <c r="AR574" s="6"/>
      <c r="AS574" s="15"/>
      <c r="AT574" s="6" t="str">
        <f ca="1">IFERROR(__xludf.DUMMYFUNCTION("SWITCH(IF(A574=""Practice"",AN574,FILTER('Items by Team'!E$2:E3410,'Items by Team'!C$2:C3410=D574,B574='Items by Team'!B$2:B3410)),""None"",""No"",""Parked"",""P"",""ShallowCage"",""Sc"",""DeepCage"",""Dc"",""No"",""No"",""P"",""P"",""Sc"",""Sc"",""Dc"","&amp;"""Dc"")"),"#N/A")</f>
        <v>#N/A</v>
      </c>
      <c r="AU574" s="6" t="str">
        <f ca="1">IFERROR(__xludf.DUMMYFUNCTION("SWITCH(IF(A574 = ""Practice"", H574, FILTER('Items by Team'!D$2:D3410,'Items by Team'!C$2:C3410 = D574,'Items by Team'!B$2:B3410 = B574)), ""Yes"", ""TRUE"", ""No"", ""FALSE"",TRUE, ""TRUE"", FALSE, ""FALSE"")"),"FALSE")</f>
        <v>FALSE</v>
      </c>
      <c r="AV574" s="6">
        <f t="shared" si="42"/>
        <v>0</v>
      </c>
      <c r="AW574" s="6">
        <f t="shared" si="43"/>
        <v>0</v>
      </c>
      <c r="AX574" s="6">
        <f t="shared" si="44"/>
        <v>0</v>
      </c>
      <c r="AY574" s="6">
        <f t="shared" si="45"/>
        <v>0</v>
      </c>
      <c r="AZ574" s="9" t="str">
        <f t="shared" si="46"/>
        <v/>
      </c>
      <c r="BA574" s="6">
        <f t="shared" si="47"/>
        <v>0</v>
      </c>
      <c r="BB574" s="6">
        <f t="shared" si="48"/>
        <v>0</v>
      </c>
      <c r="BC574" s="9" t="str">
        <f t="shared" si="49"/>
        <v/>
      </c>
      <c r="BD574" s="6">
        <f t="shared" si="50"/>
        <v>0</v>
      </c>
      <c r="BE574" s="6">
        <f t="shared" si="51"/>
        <v>0</v>
      </c>
      <c r="BF574" s="9" t="str">
        <f t="shared" si="52"/>
        <v/>
      </c>
      <c r="BG574" s="6">
        <f t="shared" si="53"/>
        <v>0</v>
      </c>
      <c r="BH574" s="6">
        <f t="shared" si="54"/>
        <v>0</v>
      </c>
      <c r="BI574" s="9" t="str">
        <f t="shared" si="55"/>
        <v/>
      </c>
      <c r="BJ574" s="6">
        <f t="shared" si="56"/>
        <v>0</v>
      </c>
      <c r="BK574" s="6">
        <f t="shared" si="57"/>
        <v>0</v>
      </c>
      <c r="BL574" s="6">
        <f t="shared" si="58"/>
        <v>0</v>
      </c>
      <c r="BM574" s="6">
        <f t="shared" si="59"/>
        <v>0</v>
      </c>
      <c r="BN574" s="6">
        <f t="shared" si="60"/>
        <v>0</v>
      </c>
      <c r="BP574" s="6">
        <f t="shared" si="61"/>
        <v>0</v>
      </c>
      <c r="BQ574" s="6" t="b">
        <f ca="1">IFERROR(__xludf.DUMMYFUNCTION("IF(AND(ISERROR(FILTER('Items by Team'!D$2:D3410,'Items by Team'!C$2:C3410 = D574,'Items by Team'!B$2:B3410 = B574)),NOT(A574=""Practice"")),TRUE,FALSE)"),FALSE)</f>
        <v>0</v>
      </c>
      <c r="BR574" s="6">
        <f t="shared" ca="1" si="62"/>
        <v>0</v>
      </c>
    </row>
    <row r="575" spans="1:70">
      <c r="A575" s="6"/>
      <c r="B575" s="6"/>
      <c r="C575" s="6"/>
      <c r="D575" s="6"/>
      <c r="E575" s="6"/>
      <c r="F575" s="6"/>
      <c r="G575" s="6"/>
      <c r="H575" s="6"/>
      <c r="I575" s="6"/>
      <c r="J575" s="6"/>
      <c r="K575" s="6"/>
      <c r="L575" s="6"/>
      <c r="M575" s="6"/>
      <c r="N575" s="6"/>
      <c r="O575" s="6"/>
      <c r="P575" s="6"/>
      <c r="R575" s="6"/>
      <c r="S575" s="6"/>
      <c r="T575" s="6"/>
      <c r="U575" s="6"/>
      <c r="V575" s="6"/>
      <c r="W575" s="6"/>
      <c r="X575" s="6"/>
      <c r="Y575" s="6"/>
      <c r="Z575" s="6"/>
      <c r="AA575" s="6"/>
      <c r="AB575" s="6"/>
      <c r="AD575" s="6"/>
      <c r="AE575" s="6"/>
      <c r="AF575" s="6"/>
      <c r="AG575" s="6"/>
      <c r="AH575" s="6"/>
      <c r="AI575" s="6"/>
      <c r="AK575" s="6"/>
      <c r="AL575" s="6"/>
      <c r="AM575" s="6"/>
      <c r="AN575" s="6"/>
      <c r="AO575" s="6"/>
      <c r="AP575" s="6"/>
      <c r="AQ575" s="6"/>
      <c r="AR575" s="6"/>
      <c r="AS575" s="15"/>
      <c r="AT575" s="6" t="str">
        <f ca="1">IFERROR(__xludf.DUMMYFUNCTION("""COMPUTED_VALUE"""),"#N/A")</f>
        <v>#N/A</v>
      </c>
      <c r="AU575" s="6" t="str">
        <f ca="1">IFERROR(__xludf.DUMMYFUNCTION("""COMPUTED_VALUE"""),"FALSE")</f>
        <v>FALSE</v>
      </c>
      <c r="AV575" s="6">
        <f t="shared" si="42"/>
        <v>0</v>
      </c>
      <c r="AW575" s="6">
        <f t="shared" si="43"/>
        <v>0</v>
      </c>
      <c r="AX575" s="6">
        <f t="shared" si="44"/>
        <v>0</v>
      </c>
      <c r="AY575" s="6">
        <f t="shared" si="45"/>
        <v>0</v>
      </c>
      <c r="AZ575" s="9" t="str">
        <f t="shared" si="46"/>
        <v/>
      </c>
      <c r="BA575" s="6">
        <f t="shared" si="47"/>
        <v>0</v>
      </c>
      <c r="BB575" s="6">
        <f t="shared" si="48"/>
        <v>0</v>
      </c>
      <c r="BC575" s="9" t="str">
        <f t="shared" si="49"/>
        <v/>
      </c>
      <c r="BD575" s="6">
        <f t="shared" si="50"/>
        <v>0</v>
      </c>
      <c r="BE575" s="6">
        <f t="shared" si="51"/>
        <v>0</v>
      </c>
      <c r="BF575" s="9" t="str">
        <f t="shared" si="52"/>
        <v/>
      </c>
      <c r="BG575" s="6">
        <f t="shared" si="53"/>
        <v>0</v>
      </c>
      <c r="BH575" s="6">
        <f t="shared" si="54"/>
        <v>0</v>
      </c>
      <c r="BI575" s="9" t="str">
        <f t="shared" si="55"/>
        <v/>
      </c>
      <c r="BJ575" s="6">
        <f t="shared" si="56"/>
        <v>0</v>
      </c>
      <c r="BK575" s="6">
        <f t="shared" si="57"/>
        <v>0</v>
      </c>
      <c r="BL575" s="6">
        <f t="shared" si="58"/>
        <v>0</v>
      </c>
      <c r="BM575" s="6">
        <f t="shared" si="59"/>
        <v>0</v>
      </c>
      <c r="BN575" s="6">
        <f t="shared" si="60"/>
        <v>0</v>
      </c>
      <c r="BP575" s="6">
        <f t="shared" si="61"/>
        <v>0</v>
      </c>
      <c r="BQ575" s="6" t="b">
        <f ca="1">IFERROR(__xludf.DUMMYFUNCTION("IF(AND(ISERROR(FILTER('Items by Team'!D$2:D3410,'Items by Team'!C$2:C3410 = D575,'Items by Team'!B$2:B3410 = B575)),NOT(A575=""Practice"")),TRUE,FALSE)"),FALSE)</f>
        <v>0</v>
      </c>
      <c r="BR575" s="6">
        <f t="shared" ca="1" si="62"/>
        <v>0</v>
      </c>
    </row>
    <row r="576" spans="1:70">
      <c r="A576" s="6"/>
      <c r="B576" s="6"/>
      <c r="C576" s="6"/>
      <c r="D576" s="6"/>
      <c r="E576" s="6"/>
      <c r="F576" s="6"/>
      <c r="G576" s="6"/>
      <c r="H576" s="6"/>
      <c r="I576" s="6"/>
      <c r="J576" s="6"/>
      <c r="K576" s="6"/>
      <c r="L576" s="6"/>
      <c r="M576" s="6"/>
      <c r="N576" s="6"/>
      <c r="O576" s="6"/>
      <c r="P576" s="6"/>
      <c r="R576" s="6"/>
      <c r="S576" s="6"/>
      <c r="T576" s="6"/>
      <c r="U576" s="6"/>
      <c r="V576" s="6"/>
      <c r="W576" s="6"/>
      <c r="X576" s="6"/>
      <c r="Y576" s="6"/>
      <c r="Z576" s="6"/>
      <c r="AA576" s="6"/>
      <c r="AB576" s="6"/>
      <c r="AD576" s="6"/>
      <c r="AE576" s="6"/>
      <c r="AF576" s="6"/>
      <c r="AG576" s="6"/>
      <c r="AH576" s="6"/>
      <c r="AI576" s="6"/>
      <c r="AK576" s="6"/>
      <c r="AL576" s="6"/>
      <c r="AM576" s="6"/>
      <c r="AN576" s="6"/>
      <c r="AO576" s="6"/>
      <c r="AP576" s="6"/>
      <c r="AQ576" s="6"/>
      <c r="AR576" s="6"/>
      <c r="AS576" s="15"/>
      <c r="AT576" s="6" t="str">
        <f ca="1">IFERROR(__xludf.DUMMYFUNCTION("""COMPUTED_VALUE"""),"#N/A")</f>
        <v>#N/A</v>
      </c>
      <c r="AU576" s="6" t="str">
        <f ca="1">IFERROR(__xludf.DUMMYFUNCTION("""COMPUTED_VALUE"""),"FALSE")</f>
        <v>FALSE</v>
      </c>
      <c r="AV576" s="6">
        <f t="shared" si="42"/>
        <v>0</v>
      </c>
      <c r="AW576" s="6">
        <f t="shared" si="43"/>
        <v>0</v>
      </c>
      <c r="AX576" s="6">
        <f t="shared" si="44"/>
        <v>0</v>
      </c>
      <c r="AY576" s="6">
        <f t="shared" si="45"/>
        <v>0</v>
      </c>
      <c r="AZ576" s="9" t="str">
        <f t="shared" si="46"/>
        <v/>
      </c>
      <c r="BA576" s="6">
        <f t="shared" si="47"/>
        <v>0</v>
      </c>
      <c r="BB576" s="6">
        <f t="shared" si="48"/>
        <v>0</v>
      </c>
      <c r="BC576" s="9" t="str">
        <f t="shared" si="49"/>
        <v/>
      </c>
      <c r="BD576" s="6">
        <f t="shared" si="50"/>
        <v>0</v>
      </c>
      <c r="BE576" s="6">
        <f t="shared" si="51"/>
        <v>0</v>
      </c>
      <c r="BF576" s="9" t="str">
        <f t="shared" si="52"/>
        <v/>
      </c>
      <c r="BG576" s="6">
        <f t="shared" si="53"/>
        <v>0</v>
      </c>
      <c r="BH576" s="6">
        <f t="shared" si="54"/>
        <v>0</v>
      </c>
      <c r="BI576" s="9" t="str">
        <f t="shared" si="55"/>
        <v/>
      </c>
      <c r="BJ576" s="6">
        <f t="shared" si="56"/>
        <v>0</v>
      </c>
      <c r="BK576" s="6">
        <f t="shared" si="57"/>
        <v>0</v>
      </c>
      <c r="BL576" s="6">
        <f t="shared" si="58"/>
        <v>0</v>
      </c>
      <c r="BM576" s="6">
        <f t="shared" si="59"/>
        <v>0</v>
      </c>
      <c r="BN576" s="6">
        <f t="shared" si="60"/>
        <v>0</v>
      </c>
      <c r="BP576" s="6">
        <f t="shared" si="61"/>
        <v>0</v>
      </c>
      <c r="BQ576" s="6" t="b">
        <f ca="1">IFERROR(__xludf.DUMMYFUNCTION("IF(AND(ISERROR(FILTER('Items by Team'!D$2:D3410,'Items by Team'!C$2:C3410 = D576,'Items by Team'!B$2:B3410 = B576)),NOT(A576=""Practice"")),TRUE,FALSE)"),FALSE)</f>
        <v>0</v>
      </c>
      <c r="BR576" s="6">
        <f t="shared" ca="1" si="62"/>
        <v>0</v>
      </c>
    </row>
    <row r="577" spans="1:70">
      <c r="A577" s="6"/>
      <c r="B577" s="6"/>
      <c r="C577" s="6"/>
      <c r="D577" s="6"/>
      <c r="E577" s="6"/>
      <c r="F577" s="6"/>
      <c r="G577" s="6"/>
      <c r="H577" s="6"/>
      <c r="I577" s="6"/>
      <c r="J577" s="6"/>
      <c r="K577" s="6"/>
      <c r="L577" s="6"/>
      <c r="M577" s="6"/>
      <c r="N577" s="6"/>
      <c r="O577" s="6"/>
      <c r="P577" s="6"/>
      <c r="R577" s="6"/>
      <c r="S577" s="6"/>
      <c r="T577" s="6"/>
      <c r="U577" s="6"/>
      <c r="V577" s="6"/>
      <c r="W577" s="6"/>
      <c r="X577" s="6"/>
      <c r="Y577" s="6"/>
      <c r="Z577" s="6"/>
      <c r="AA577" s="6"/>
      <c r="AB577" s="6"/>
      <c r="AD577" s="6"/>
      <c r="AE577" s="6"/>
      <c r="AF577" s="6"/>
      <c r="AG577" s="6"/>
      <c r="AH577" s="6"/>
      <c r="AI577" s="6"/>
      <c r="AK577" s="6"/>
      <c r="AL577" s="6"/>
      <c r="AM577" s="6"/>
      <c r="AN577" s="6"/>
      <c r="AO577" s="6"/>
      <c r="AP577" s="6"/>
      <c r="AQ577" s="6"/>
      <c r="AR577" s="6"/>
      <c r="AS577" s="15"/>
      <c r="AT577" s="6" t="str">
        <f ca="1">IFERROR(__xludf.DUMMYFUNCTION("""COMPUTED_VALUE"""),"#N/A")</f>
        <v>#N/A</v>
      </c>
      <c r="AU577" s="6" t="str">
        <f ca="1">IFERROR(__xludf.DUMMYFUNCTION("""COMPUTED_VALUE"""),"FALSE")</f>
        <v>FALSE</v>
      </c>
      <c r="AV577" s="6">
        <f t="shared" si="42"/>
        <v>0</v>
      </c>
      <c r="AW577" s="6">
        <f t="shared" si="43"/>
        <v>0</v>
      </c>
      <c r="AX577" s="6">
        <f t="shared" si="44"/>
        <v>0</v>
      </c>
      <c r="AY577" s="6">
        <f t="shared" si="45"/>
        <v>0</v>
      </c>
      <c r="AZ577" s="9" t="str">
        <f t="shared" si="46"/>
        <v/>
      </c>
      <c r="BA577" s="6">
        <f t="shared" si="47"/>
        <v>0</v>
      </c>
      <c r="BB577" s="6">
        <f t="shared" si="48"/>
        <v>0</v>
      </c>
      <c r="BC577" s="9" t="str">
        <f t="shared" si="49"/>
        <v/>
      </c>
      <c r="BD577" s="6">
        <f t="shared" si="50"/>
        <v>0</v>
      </c>
      <c r="BE577" s="6">
        <f t="shared" si="51"/>
        <v>0</v>
      </c>
      <c r="BF577" s="9" t="str">
        <f t="shared" si="52"/>
        <v/>
      </c>
      <c r="BG577" s="6">
        <f t="shared" si="53"/>
        <v>0</v>
      </c>
      <c r="BH577" s="6">
        <f t="shared" si="54"/>
        <v>0</v>
      </c>
      <c r="BI577" s="9" t="str">
        <f t="shared" si="55"/>
        <v/>
      </c>
      <c r="BJ577" s="6">
        <f t="shared" si="56"/>
        <v>0</v>
      </c>
      <c r="BK577" s="6">
        <f t="shared" si="57"/>
        <v>0</v>
      </c>
      <c r="BL577" s="6">
        <f t="shared" si="58"/>
        <v>0</v>
      </c>
      <c r="BM577" s="6">
        <f t="shared" si="59"/>
        <v>0</v>
      </c>
      <c r="BN577" s="6">
        <f t="shared" si="60"/>
        <v>0</v>
      </c>
      <c r="BP577" s="6">
        <f t="shared" si="61"/>
        <v>0</v>
      </c>
      <c r="BQ577" s="6" t="b">
        <f ca="1">IFERROR(__xludf.DUMMYFUNCTION("IF(AND(ISERROR(FILTER('Items by Team'!D$2:D3410,'Items by Team'!C$2:C3410 = D577,'Items by Team'!B$2:B3410 = B577)),NOT(A577=""Practice"")),TRUE,FALSE)"),FALSE)</f>
        <v>0</v>
      </c>
      <c r="BR577" s="6">
        <f t="shared" ca="1" si="62"/>
        <v>0</v>
      </c>
    </row>
    <row r="578" spans="1:70">
      <c r="A578" s="6"/>
      <c r="B578" s="6"/>
      <c r="C578" s="6"/>
      <c r="D578" s="6"/>
      <c r="E578" s="6"/>
      <c r="F578" s="6"/>
      <c r="G578" s="6"/>
      <c r="H578" s="6"/>
      <c r="I578" s="6"/>
      <c r="J578" s="6"/>
      <c r="K578" s="6"/>
      <c r="L578" s="6"/>
      <c r="M578" s="6"/>
      <c r="N578" s="6"/>
      <c r="O578" s="6"/>
      <c r="P578" s="6"/>
      <c r="R578" s="6"/>
      <c r="S578" s="6"/>
      <c r="T578" s="6"/>
      <c r="U578" s="6"/>
      <c r="V578" s="6"/>
      <c r="W578" s="6"/>
      <c r="X578" s="6"/>
      <c r="Y578" s="6"/>
      <c r="Z578" s="6"/>
      <c r="AA578" s="6"/>
      <c r="AB578" s="6"/>
      <c r="AD578" s="6"/>
      <c r="AE578" s="6"/>
      <c r="AF578" s="6"/>
      <c r="AG578" s="6"/>
      <c r="AH578" s="6"/>
      <c r="AI578" s="6"/>
      <c r="AK578" s="6"/>
      <c r="AL578" s="6"/>
      <c r="AM578" s="6"/>
      <c r="AN578" s="6"/>
      <c r="AO578" s="6"/>
      <c r="AP578" s="6"/>
      <c r="AQ578" s="6"/>
      <c r="AR578" s="6"/>
      <c r="AS578" s="15"/>
      <c r="AT578" s="6" t="str">
        <f ca="1">IFERROR(__xludf.DUMMYFUNCTION("""COMPUTED_VALUE"""),"#N/A")</f>
        <v>#N/A</v>
      </c>
      <c r="AU578" s="6" t="str">
        <f ca="1">IFERROR(__xludf.DUMMYFUNCTION("""COMPUTED_VALUE"""),"FALSE")</f>
        <v>FALSE</v>
      </c>
      <c r="AV578" s="6">
        <f t="shared" si="42"/>
        <v>0</v>
      </c>
      <c r="AW578" s="6">
        <f t="shared" si="43"/>
        <v>0</v>
      </c>
      <c r="AX578" s="6">
        <f t="shared" si="44"/>
        <v>0</v>
      </c>
      <c r="AY578" s="6">
        <f t="shared" si="45"/>
        <v>0</v>
      </c>
      <c r="AZ578" s="9" t="str">
        <f t="shared" si="46"/>
        <v/>
      </c>
      <c r="BA578" s="6">
        <f t="shared" si="47"/>
        <v>0</v>
      </c>
      <c r="BB578" s="6">
        <f t="shared" si="48"/>
        <v>0</v>
      </c>
      <c r="BC578" s="9" t="str">
        <f t="shared" si="49"/>
        <v/>
      </c>
      <c r="BD578" s="6">
        <f t="shared" si="50"/>
        <v>0</v>
      </c>
      <c r="BE578" s="6">
        <f t="shared" si="51"/>
        <v>0</v>
      </c>
      <c r="BF578" s="9" t="str">
        <f t="shared" si="52"/>
        <v/>
      </c>
      <c r="BG578" s="6">
        <f t="shared" si="53"/>
        <v>0</v>
      </c>
      <c r="BH578" s="6">
        <f t="shared" si="54"/>
        <v>0</v>
      </c>
      <c r="BI578" s="9" t="str">
        <f t="shared" si="55"/>
        <v/>
      </c>
      <c r="BJ578" s="6">
        <f t="shared" si="56"/>
        <v>0</v>
      </c>
      <c r="BK578" s="6">
        <f t="shared" si="57"/>
        <v>0</v>
      </c>
      <c r="BL578" s="6">
        <f t="shared" si="58"/>
        <v>0</v>
      </c>
      <c r="BM578" s="6">
        <f t="shared" si="59"/>
        <v>0</v>
      </c>
      <c r="BN578" s="6">
        <f t="shared" si="60"/>
        <v>0</v>
      </c>
      <c r="BP578" s="6">
        <f t="shared" si="61"/>
        <v>0</v>
      </c>
      <c r="BQ578" s="6" t="b">
        <f ca="1">IFERROR(__xludf.DUMMYFUNCTION("IF(AND(ISERROR(FILTER('Items by Team'!D$2:D3410,'Items by Team'!C$2:C3410 = D578,'Items by Team'!B$2:B3410 = B578)),NOT(A578=""Practice"")),TRUE,FALSE)"),FALSE)</f>
        <v>0</v>
      </c>
      <c r="BR578" s="6">
        <f t="shared" ca="1" si="62"/>
        <v>0</v>
      </c>
    </row>
    <row r="579" spans="1:70">
      <c r="A579" s="6"/>
      <c r="B579" s="6"/>
      <c r="C579" s="6"/>
      <c r="D579" s="6"/>
      <c r="E579" s="6"/>
      <c r="F579" s="6"/>
      <c r="G579" s="6"/>
      <c r="H579" s="6"/>
      <c r="I579" s="6"/>
      <c r="J579" s="6"/>
      <c r="K579" s="6"/>
      <c r="L579" s="6"/>
      <c r="M579" s="6"/>
      <c r="N579" s="6"/>
      <c r="O579" s="6"/>
      <c r="P579" s="6"/>
      <c r="R579" s="6"/>
      <c r="S579" s="6"/>
      <c r="T579" s="6"/>
      <c r="U579" s="6"/>
      <c r="V579" s="6"/>
      <c r="W579" s="6"/>
      <c r="X579" s="6"/>
      <c r="Y579" s="6"/>
      <c r="Z579" s="6"/>
      <c r="AA579" s="6"/>
      <c r="AB579" s="6"/>
      <c r="AD579" s="6"/>
      <c r="AE579" s="6"/>
      <c r="AF579" s="6"/>
      <c r="AG579" s="6"/>
      <c r="AH579" s="6"/>
      <c r="AI579" s="6"/>
      <c r="AK579" s="6"/>
      <c r="AL579" s="6"/>
      <c r="AM579" s="6"/>
      <c r="AN579" s="6"/>
      <c r="AO579" s="6"/>
      <c r="AP579" s="6"/>
      <c r="AQ579" s="6"/>
      <c r="AR579" s="6"/>
      <c r="AS579" s="15"/>
      <c r="AT579" s="6" t="str">
        <f ca="1">IFERROR(__xludf.DUMMYFUNCTION("""COMPUTED_VALUE"""),"#N/A")</f>
        <v>#N/A</v>
      </c>
      <c r="AU579" s="6" t="str">
        <f ca="1">IFERROR(__xludf.DUMMYFUNCTION("""COMPUTED_VALUE"""),"FALSE")</f>
        <v>FALSE</v>
      </c>
      <c r="AV579" s="6">
        <f t="shared" si="42"/>
        <v>0</v>
      </c>
      <c r="AW579" s="6">
        <f t="shared" si="43"/>
        <v>0</v>
      </c>
      <c r="AX579" s="6">
        <f t="shared" si="44"/>
        <v>0</v>
      </c>
      <c r="AY579" s="6">
        <f t="shared" si="45"/>
        <v>0</v>
      </c>
      <c r="AZ579" s="9" t="str">
        <f t="shared" si="46"/>
        <v/>
      </c>
      <c r="BA579" s="6">
        <f t="shared" si="47"/>
        <v>0</v>
      </c>
      <c r="BB579" s="6">
        <f t="shared" si="48"/>
        <v>0</v>
      </c>
      <c r="BC579" s="9" t="str">
        <f t="shared" si="49"/>
        <v/>
      </c>
      <c r="BD579" s="6">
        <f t="shared" si="50"/>
        <v>0</v>
      </c>
      <c r="BE579" s="6">
        <f t="shared" si="51"/>
        <v>0</v>
      </c>
      <c r="BF579" s="9" t="str">
        <f t="shared" si="52"/>
        <v/>
      </c>
      <c r="BG579" s="6">
        <f t="shared" si="53"/>
        <v>0</v>
      </c>
      <c r="BH579" s="6">
        <f t="shared" si="54"/>
        <v>0</v>
      </c>
      <c r="BI579" s="9" t="str">
        <f t="shared" si="55"/>
        <v/>
      </c>
      <c r="BJ579" s="6">
        <f t="shared" si="56"/>
        <v>0</v>
      </c>
      <c r="BK579" s="6">
        <f t="shared" si="57"/>
        <v>0</v>
      </c>
      <c r="BL579" s="6">
        <f t="shared" si="58"/>
        <v>0</v>
      </c>
      <c r="BM579" s="6">
        <f t="shared" si="59"/>
        <v>0</v>
      </c>
      <c r="BN579" s="6">
        <f t="shared" si="60"/>
        <v>0</v>
      </c>
      <c r="BP579" s="6">
        <f t="shared" si="61"/>
        <v>0</v>
      </c>
      <c r="BQ579" s="6" t="b">
        <f ca="1">IFERROR(__xludf.DUMMYFUNCTION("IF(AND(ISERROR(FILTER('Items by Team'!D$2:D3410,'Items by Team'!C$2:C3410 = D579,'Items by Team'!B$2:B3410 = B579)),NOT(A579=""Practice"")),TRUE,FALSE)"),FALSE)</f>
        <v>0</v>
      </c>
      <c r="BR579" s="6">
        <f t="shared" ca="1" si="62"/>
        <v>0</v>
      </c>
    </row>
    <row r="580" spans="1:70">
      <c r="A580" s="6"/>
      <c r="B580" s="6"/>
      <c r="C580" s="6"/>
      <c r="D580" s="6"/>
      <c r="E580" s="6"/>
      <c r="F580" s="6"/>
      <c r="G580" s="6"/>
      <c r="H580" s="6"/>
      <c r="I580" s="6"/>
      <c r="J580" s="6"/>
      <c r="K580" s="6"/>
      <c r="L580" s="6"/>
      <c r="M580" s="6"/>
      <c r="N580" s="6"/>
      <c r="O580" s="6"/>
      <c r="P580" s="6"/>
      <c r="R580" s="6"/>
      <c r="S580" s="6"/>
      <c r="T580" s="6"/>
      <c r="U580" s="6"/>
      <c r="V580" s="6"/>
      <c r="W580" s="6"/>
      <c r="X580" s="6"/>
      <c r="Y580" s="6"/>
      <c r="Z580" s="6"/>
      <c r="AA580" s="6"/>
      <c r="AB580" s="6"/>
      <c r="AD580" s="6"/>
      <c r="AE580" s="6"/>
      <c r="AF580" s="6"/>
      <c r="AG580" s="6"/>
      <c r="AH580" s="6"/>
      <c r="AI580" s="6"/>
      <c r="AK580" s="6"/>
      <c r="AL580" s="6"/>
      <c r="AM580" s="6"/>
      <c r="AN580" s="6"/>
      <c r="AO580" s="6"/>
      <c r="AP580" s="6"/>
      <c r="AQ580" s="6"/>
      <c r="AR580" s="6"/>
      <c r="AS580" s="15"/>
      <c r="AT580" s="6" t="str">
        <f ca="1">IFERROR(__xludf.DUMMYFUNCTION("""COMPUTED_VALUE"""),"#N/A")</f>
        <v>#N/A</v>
      </c>
      <c r="AU580" s="6" t="str">
        <f ca="1">IFERROR(__xludf.DUMMYFUNCTION("""COMPUTED_VALUE"""),"FALSE")</f>
        <v>FALSE</v>
      </c>
      <c r="AV580" s="6">
        <f t="shared" si="42"/>
        <v>0</v>
      </c>
      <c r="AW580" s="6">
        <f t="shared" si="43"/>
        <v>0</v>
      </c>
      <c r="AX580" s="6">
        <f t="shared" si="44"/>
        <v>0</v>
      </c>
      <c r="AY580" s="6">
        <f t="shared" si="45"/>
        <v>0</v>
      </c>
      <c r="AZ580" s="9" t="str">
        <f t="shared" si="46"/>
        <v/>
      </c>
      <c r="BA580" s="6">
        <f t="shared" si="47"/>
        <v>0</v>
      </c>
      <c r="BB580" s="6">
        <f t="shared" si="48"/>
        <v>0</v>
      </c>
      <c r="BC580" s="9" t="str">
        <f t="shared" si="49"/>
        <v/>
      </c>
      <c r="BD580" s="6">
        <f t="shared" si="50"/>
        <v>0</v>
      </c>
      <c r="BE580" s="6">
        <f t="shared" si="51"/>
        <v>0</v>
      </c>
      <c r="BF580" s="9" t="str">
        <f t="shared" si="52"/>
        <v/>
      </c>
      <c r="BG580" s="6">
        <f t="shared" si="53"/>
        <v>0</v>
      </c>
      <c r="BH580" s="6">
        <f t="shared" si="54"/>
        <v>0</v>
      </c>
      <c r="BI580" s="9" t="str">
        <f t="shared" si="55"/>
        <v/>
      </c>
      <c r="BJ580" s="6">
        <f t="shared" si="56"/>
        <v>0</v>
      </c>
      <c r="BK580" s="6">
        <f t="shared" si="57"/>
        <v>0</v>
      </c>
      <c r="BL580" s="6">
        <f t="shared" si="58"/>
        <v>0</v>
      </c>
      <c r="BM580" s="6">
        <f t="shared" si="59"/>
        <v>0</v>
      </c>
      <c r="BN580" s="6">
        <f t="shared" si="60"/>
        <v>0</v>
      </c>
      <c r="BP580" s="6">
        <f t="shared" si="61"/>
        <v>0</v>
      </c>
      <c r="BQ580" s="6" t="b">
        <f ca="1">IFERROR(__xludf.DUMMYFUNCTION("IF(AND(ISERROR(FILTER('Items by Team'!D$2:D3410,'Items by Team'!C$2:C3410 = D580,'Items by Team'!B$2:B3410 = B580)),NOT(A580=""Practice"")),TRUE,FALSE)"),FALSE)</f>
        <v>0</v>
      </c>
      <c r="BR580" s="6">
        <f t="shared" ca="1" si="62"/>
        <v>0</v>
      </c>
    </row>
    <row r="581" spans="1:70">
      <c r="A581" s="6"/>
      <c r="B581" s="6"/>
      <c r="C581" s="6"/>
      <c r="D581" s="6"/>
      <c r="E581" s="6"/>
      <c r="F581" s="6"/>
      <c r="G581" s="6"/>
      <c r="H581" s="6"/>
      <c r="I581" s="6"/>
      <c r="J581" s="6"/>
      <c r="K581" s="6"/>
      <c r="L581" s="6"/>
      <c r="M581" s="6"/>
      <c r="N581" s="6"/>
      <c r="O581" s="6"/>
      <c r="P581" s="6"/>
      <c r="R581" s="6"/>
      <c r="S581" s="6"/>
      <c r="T581" s="6"/>
      <c r="U581" s="6"/>
      <c r="V581" s="6"/>
      <c r="W581" s="6"/>
      <c r="X581" s="6"/>
      <c r="Y581" s="6"/>
      <c r="Z581" s="6"/>
      <c r="AA581" s="6"/>
      <c r="AB581" s="6"/>
      <c r="AD581" s="6"/>
      <c r="AE581" s="6"/>
      <c r="AF581" s="6"/>
      <c r="AG581" s="6"/>
      <c r="AH581" s="6"/>
      <c r="AI581" s="6"/>
      <c r="AK581" s="6"/>
      <c r="AL581" s="6"/>
      <c r="AM581" s="6"/>
      <c r="AN581" s="6"/>
      <c r="AO581" s="6"/>
      <c r="AP581" s="6"/>
      <c r="AQ581" s="6"/>
      <c r="AR581" s="6"/>
      <c r="AS581" s="15"/>
      <c r="AT581" s="6" t="str">
        <f ca="1">IFERROR(__xludf.DUMMYFUNCTION("""COMPUTED_VALUE"""),"#N/A")</f>
        <v>#N/A</v>
      </c>
      <c r="AU581" s="6" t="str">
        <f ca="1">IFERROR(__xludf.DUMMYFUNCTION("""COMPUTED_VALUE"""),"FALSE")</f>
        <v>FALSE</v>
      </c>
      <c r="AV581" s="6">
        <f t="shared" si="42"/>
        <v>0</v>
      </c>
      <c r="AW581" s="6">
        <f t="shared" si="43"/>
        <v>0</v>
      </c>
      <c r="AX581" s="6">
        <f t="shared" si="44"/>
        <v>0</v>
      </c>
      <c r="AY581" s="6">
        <f t="shared" si="45"/>
        <v>0</v>
      </c>
      <c r="AZ581" s="9" t="str">
        <f t="shared" si="46"/>
        <v/>
      </c>
      <c r="BA581" s="6">
        <f t="shared" si="47"/>
        <v>0</v>
      </c>
      <c r="BB581" s="6">
        <f t="shared" si="48"/>
        <v>0</v>
      </c>
      <c r="BC581" s="9" t="str">
        <f t="shared" si="49"/>
        <v/>
      </c>
      <c r="BD581" s="6">
        <f t="shared" si="50"/>
        <v>0</v>
      </c>
      <c r="BE581" s="6">
        <f t="shared" si="51"/>
        <v>0</v>
      </c>
      <c r="BF581" s="9" t="str">
        <f t="shared" si="52"/>
        <v/>
      </c>
      <c r="BG581" s="6">
        <f t="shared" si="53"/>
        <v>0</v>
      </c>
      <c r="BH581" s="6">
        <f t="shared" si="54"/>
        <v>0</v>
      </c>
      <c r="BI581" s="9" t="str">
        <f t="shared" si="55"/>
        <v/>
      </c>
      <c r="BJ581" s="6">
        <f t="shared" si="56"/>
        <v>0</v>
      </c>
      <c r="BK581" s="6">
        <f t="shared" si="57"/>
        <v>0</v>
      </c>
      <c r="BL581" s="6">
        <f t="shared" si="58"/>
        <v>0</v>
      </c>
      <c r="BM581" s="6">
        <f t="shared" si="59"/>
        <v>0</v>
      </c>
      <c r="BN581" s="6">
        <f t="shared" si="60"/>
        <v>0</v>
      </c>
      <c r="BP581" s="6">
        <f t="shared" si="61"/>
        <v>0</v>
      </c>
      <c r="BQ581" s="6" t="b">
        <f ca="1">IFERROR(__xludf.DUMMYFUNCTION("IF(AND(ISERROR(FILTER('Items by Team'!D$2:D3410,'Items by Team'!C$2:C3410 = D581,'Items by Team'!B$2:B3410 = B581)),NOT(A581=""Practice"")),TRUE,FALSE)"),FALSE)</f>
        <v>0</v>
      </c>
      <c r="BR581" s="6">
        <f t="shared" ca="1" si="62"/>
        <v>0</v>
      </c>
    </row>
    <row r="582" spans="1:70">
      <c r="A582" s="6"/>
      <c r="B582" s="6"/>
      <c r="C582" s="6"/>
      <c r="D582" s="6"/>
      <c r="E582" s="6"/>
      <c r="F582" s="6"/>
      <c r="G582" s="6"/>
      <c r="H582" s="6"/>
      <c r="I582" s="6"/>
      <c r="J582" s="6"/>
      <c r="K582" s="6"/>
      <c r="L582" s="6"/>
      <c r="M582" s="6"/>
      <c r="N582" s="6"/>
      <c r="O582" s="6"/>
      <c r="P582" s="6"/>
      <c r="R582" s="6"/>
      <c r="S582" s="6"/>
      <c r="T582" s="6"/>
      <c r="U582" s="6"/>
      <c r="V582" s="6"/>
      <c r="W582" s="6"/>
      <c r="X582" s="6"/>
      <c r="Y582" s="6"/>
      <c r="Z582" s="6"/>
      <c r="AA582" s="6"/>
      <c r="AB582" s="6"/>
      <c r="AD582" s="6"/>
      <c r="AE582" s="6"/>
      <c r="AF582" s="6"/>
      <c r="AG582" s="6"/>
      <c r="AH582" s="6"/>
      <c r="AI582" s="6"/>
      <c r="AK582" s="6"/>
      <c r="AL582" s="6"/>
      <c r="AM582" s="6"/>
      <c r="AN582" s="6"/>
      <c r="AO582" s="6"/>
      <c r="AP582" s="6"/>
      <c r="AQ582" s="6"/>
      <c r="AR582" s="6"/>
      <c r="AS582" s="15"/>
      <c r="AT582" s="6" t="str">
        <f ca="1">IFERROR(__xludf.DUMMYFUNCTION("""COMPUTED_VALUE"""),"#N/A")</f>
        <v>#N/A</v>
      </c>
      <c r="AU582" s="6" t="str">
        <f ca="1">IFERROR(__xludf.DUMMYFUNCTION("""COMPUTED_VALUE"""),"FALSE")</f>
        <v>FALSE</v>
      </c>
      <c r="AV582" s="6">
        <f t="shared" si="42"/>
        <v>0</v>
      </c>
      <c r="AW582" s="6">
        <f t="shared" si="43"/>
        <v>0</v>
      </c>
      <c r="AX582" s="6">
        <f t="shared" si="44"/>
        <v>0</v>
      </c>
      <c r="AY582" s="6">
        <f t="shared" si="45"/>
        <v>0</v>
      </c>
      <c r="AZ582" s="9" t="str">
        <f t="shared" si="46"/>
        <v/>
      </c>
      <c r="BA582" s="6">
        <f t="shared" si="47"/>
        <v>0</v>
      </c>
      <c r="BB582" s="6">
        <f t="shared" si="48"/>
        <v>0</v>
      </c>
      <c r="BC582" s="9" t="str">
        <f t="shared" si="49"/>
        <v/>
      </c>
      <c r="BD582" s="6">
        <f t="shared" si="50"/>
        <v>0</v>
      </c>
      <c r="BE582" s="6">
        <f t="shared" si="51"/>
        <v>0</v>
      </c>
      <c r="BF582" s="9" t="str">
        <f t="shared" si="52"/>
        <v/>
      </c>
      <c r="BG582" s="6">
        <f t="shared" si="53"/>
        <v>0</v>
      </c>
      <c r="BH582" s="6">
        <f t="shared" si="54"/>
        <v>0</v>
      </c>
      <c r="BI582" s="9" t="str">
        <f t="shared" si="55"/>
        <v/>
      </c>
      <c r="BJ582" s="6">
        <f t="shared" si="56"/>
        <v>0</v>
      </c>
      <c r="BK582" s="6">
        <f t="shared" si="57"/>
        <v>0</v>
      </c>
      <c r="BL582" s="6">
        <f t="shared" si="58"/>
        <v>0</v>
      </c>
      <c r="BM582" s="6">
        <f t="shared" si="59"/>
        <v>0</v>
      </c>
      <c r="BN582" s="6">
        <f t="shared" si="60"/>
        <v>0</v>
      </c>
      <c r="BP582" s="6">
        <f t="shared" si="61"/>
        <v>0</v>
      </c>
      <c r="BQ582" s="6" t="b">
        <f ca="1">IFERROR(__xludf.DUMMYFUNCTION("IF(AND(ISERROR(FILTER('Items by Team'!D$2:D3410,'Items by Team'!C$2:C3410 = D582,'Items by Team'!B$2:B3410 = B582)),NOT(A582=""Practice"")),TRUE,FALSE)"),FALSE)</f>
        <v>0</v>
      </c>
      <c r="BR582" s="6">
        <f t="shared" ca="1" si="62"/>
        <v>0</v>
      </c>
    </row>
    <row r="583" spans="1:70">
      <c r="A583" s="6"/>
      <c r="B583" s="6"/>
      <c r="C583" s="6"/>
      <c r="D583" s="6"/>
      <c r="E583" s="6"/>
      <c r="F583" s="6"/>
      <c r="G583" s="6"/>
      <c r="H583" s="6"/>
      <c r="I583" s="6"/>
      <c r="J583" s="6"/>
      <c r="K583" s="6"/>
      <c r="L583" s="6"/>
      <c r="M583" s="6"/>
      <c r="N583" s="6"/>
      <c r="O583" s="6"/>
      <c r="P583" s="6"/>
      <c r="R583" s="6"/>
      <c r="S583" s="6"/>
      <c r="T583" s="6"/>
      <c r="U583" s="6"/>
      <c r="V583" s="6"/>
      <c r="W583" s="6"/>
      <c r="X583" s="6"/>
      <c r="Y583" s="6"/>
      <c r="Z583" s="6"/>
      <c r="AA583" s="6"/>
      <c r="AB583" s="6"/>
      <c r="AD583" s="6"/>
      <c r="AE583" s="6"/>
      <c r="AF583" s="6"/>
      <c r="AG583" s="6"/>
      <c r="AH583" s="6"/>
      <c r="AI583" s="6"/>
      <c r="AK583" s="6"/>
      <c r="AL583" s="6"/>
      <c r="AM583" s="6"/>
      <c r="AN583" s="6"/>
      <c r="AO583" s="6"/>
      <c r="AP583" s="6"/>
      <c r="AQ583" s="6"/>
      <c r="AR583" s="6"/>
      <c r="AS583" s="15"/>
      <c r="AT583" s="6" t="str">
        <f ca="1">IFERROR(__xludf.DUMMYFUNCTION("""COMPUTED_VALUE"""),"#N/A")</f>
        <v>#N/A</v>
      </c>
      <c r="AU583" s="6" t="str">
        <f ca="1">IFERROR(__xludf.DUMMYFUNCTION("""COMPUTED_VALUE"""),"FALSE")</f>
        <v>FALSE</v>
      </c>
      <c r="AV583" s="6">
        <f t="shared" si="42"/>
        <v>0</v>
      </c>
      <c r="AW583" s="6">
        <f t="shared" si="43"/>
        <v>0</v>
      </c>
      <c r="AX583" s="6">
        <f t="shared" si="44"/>
        <v>0</v>
      </c>
      <c r="AY583" s="6">
        <f t="shared" si="45"/>
        <v>0</v>
      </c>
      <c r="AZ583" s="9" t="str">
        <f t="shared" si="46"/>
        <v/>
      </c>
      <c r="BA583" s="6">
        <f t="shared" si="47"/>
        <v>0</v>
      </c>
      <c r="BB583" s="6">
        <f t="shared" si="48"/>
        <v>0</v>
      </c>
      <c r="BC583" s="9" t="str">
        <f t="shared" si="49"/>
        <v/>
      </c>
      <c r="BD583" s="6">
        <f t="shared" si="50"/>
        <v>0</v>
      </c>
      <c r="BE583" s="6">
        <f t="shared" si="51"/>
        <v>0</v>
      </c>
      <c r="BF583" s="9" t="str">
        <f t="shared" si="52"/>
        <v/>
      </c>
      <c r="BG583" s="6">
        <f t="shared" si="53"/>
        <v>0</v>
      </c>
      <c r="BH583" s="6">
        <f t="shared" si="54"/>
        <v>0</v>
      </c>
      <c r="BI583" s="9" t="str">
        <f t="shared" si="55"/>
        <v/>
      </c>
      <c r="BJ583" s="6">
        <f t="shared" si="56"/>
        <v>0</v>
      </c>
      <c r="BK583" s="6">
        <f t="shared" si="57"/>
        <v>0</v>
      </c>
      <c r="BL583" s="6">
        <f t="shared" si="58"/>
        <v>0</v>
      </c>
      <c r="BM583" s="6">
        <f t="shared" si="59"/>
        <v>0</v>
      </c>
      <c r="BN583" s="6">
        <f t="shared" si="60"/>
        <v>0</v>
      </c>
      <c r="BP583" s="6">
        <f t="shared" si="61"/>
        <v>0</v>
      </c>
      <c r="BQ583" s="6" t="b">
        <f ca="1">IFERROR(__xludf.DUMMYFUNCTION("IF(AND(ISERROR(FILTER('Items by Team'!D$2:D3410,'Items by Team'!C$2:C3410 = D583,'Items by Team'!B$2:B3410 = B583)),NOT(A583=""Practice"")),TRUE,FALSE)"),FALSE)</f>
        <v>0</v>
      </c>
      <c r="BR583" s="6">
        <f t="shared" ca="1" si="62"/>
        <v>0</v>
      </c>
    </row>
    <row r="584" spans="1:70">
      <c r="A584" s="6"/>
      <c r="B584" s="6"/>
      <c r="C584" s="6"/>
      <c r="D584" s="6"/>
      <c r="E584" s="6"/>
      <c r="F584" s="6"/>
      <c r="G584" s="6"/>
      <c r="H584" s="6"/>
      <c r="I584" s="6"/>
      <c r="J584" s="6"/>
      <c r="K584" s="6"/>
      <c r="L584" s="6"/>
      <c r="M584" s="6"/>
      <c r="N584" s="6"/>
      <c r="O584" s="6"/>
      <c r="P584" s="6"/>
      <c r="R584" s="6"/>
      <c r="S584" s="6"/>
      <c r="T584" s="6"/>
      <c r="U584" s="6"/>
      <c r="V584" s="6"/>
      <c r="W584" s="6"/>
      <c r="X584" s="6"/>
      <c r="Y584" s="6"/>
      <c r="Z584" s="6"/>
      <c r="AA584" s="6"/>
      <c r="AB584" s="6"/>
      <c r="AD584" s="6"/>
      <c r="AE584" s="6"/>
      <c r="AF584" s="6"/>
      <c r="AG584" s="6"/>
      <c r="AH584" s="6"/>
      <c r="AI584" s="6"/>
      <c r="AK584" s="6"/>
      <c r="AL584" s="6"/>
      <c r="AM584" s="6"/>
      <c r="AN584" s="6"/>
      <c r="AO584" s="6"/>
      <c r="AP584" s="6"/>
      <c r="AQ584" s="6"/>
      <c r="AR584" s="6"/>
      <c r="AS584" s="15"/>
      <c r="AT584" s="6" t="str">
        <f ca="1">IFERROR(__xludf.DUMMYFUNCTION("""COMPUTED_VALUE"""),"#N/A")</f>
        <v>#N/A</v>
      </c>
      <c r="AU584" s="6" t="str">
        <f ca="1">IFERROR(__xludf.DUMMYFUNCTION("""COMPUTED_VALUE"""),"FALSE")</f>
        <v>FALSE</v>
      </c>
      <c r="AV584" s="6">
        <f t="shared" si="42"/>
        <v>0</v>
      </c>
      <c r="AW584" s="6">
        <f t="shared" si="43"/>
        <v>0</v>
      </c>
      <c r="AX584" s="6">
        <f t="shared" si="44"/>
        <v>0</v>
      </c>
      <c r="AY584" s="6">
        <f t="shared" si="45"/>
        <v>0</v>
      </c>
      <c r="AZ584" s="9" t="str">
        <f t="shared" si="46"/>
        <v/>
      </c>
      <c r="BA584" s="6">
        <f t="shared" si="47"/>
        <v>0</v>
      </c>
      <c r="BB584" s="6">
        <f t="shared" si="48"/>
        <v>0</v>
      </c>
      <c r="BC584" s="9" t="str">
        <f t="shared" si="49"/>
        <v/>
      </c>
      <c r="BD584" s="6">
        <f t="shared" si="50"/>
        <v>0</v>
      </c>
      <c r="BE584" s="6">
        <f t="shared" si="51"/>
        <v>0</v>
      </c>
      <c r="BF584" s="9" t="str">
        <f t="shared" si="52"/>
        <v/>
      </c>
      <c r="BG584" s="6">
        <f t="shared" si="53"/>
        <v>0</v>
      </c>
      <c r="BH584" s="6">
        <f t="shared" si="54"/>
        <v>0</v>
      </c>
      <c r="BI584" s="9" t="str">
        <f t="shared" si="55"/>
        <v/>
      </c>
      <c r="BJ584" s="6">
        <f t="shared" si="56"/>
        <v>0</v>
      </c>
      <c r="BK584" s="6">
        <f t="shared" si="57"/>
        <v>0</v>
      </c>
      <c r="BL584" s="6">
        <f t="shared" si="58"/>
        <v>0</v>
      </c>
      <c r="BM584" s="6">
        <f t="shared" si="59"/>
        <v>0</v>
      </c>
      <c r="BN584" s="6">
        <f t="shared" si="60"/>
        <v>0</v>
      </c>
      <c r="BP584" s="6">
        <f t="shared" si="61"/>
        <v>0</v>
      </c>
      <c r="BQ584" s="6" t="b">
        <f ca="1">IFERROR(__xludf.DUMMYFUNCTION("IF(AND(ISERROR(FILTER('Items by Team'!D$2:D3410,'Items by Team'!C$2:C3410 = D584,'Items by Team'!B$2:B3410 = B584)),NOT(A584=""Practice"")),TRUE,FALSE)"),FALSE)</f>
        <v>0</v>
      </c>
      <c r="BR584" s="6">
        <f t="shared" ca="1" si="62"/>
        <v>0</v>
      </c>
    </row>
    <row r="585" spans="1:70">
      <c r="A585" s="6"/>
      <c r="B585" s="6"/>
      <c r="C585" s="6"/>
      <c r="D585" s="6"/>
      <c r="E585" s="6"/>
      <c r="F585" s="6"/>
      <c r="G585" s="6"/>
      <c r="H585" s="6"/>
      <c r="I585" s="6"/>
      <c r="J585" s="6"/>
      <c r="K585" s="6"/>
      <c r="L585" s="6"/>
      <c r="M585" s="6"/>
      <c r="N585" s="6"/>
      <c r="O585" s="6"/>
      <c r="P585" s="6"/>
      <c r="R585" s="6"/>
      <c r="S585" s="6"/>
      <c r="T585" s="6"/>
      <c r="U585" s="6"/>
      <c r="V585" s="6"/>
      <c r="W585" s="6"/>
      <c r="X585" s="6"/>
      <c r="Y585" s="6"/>
      <c r="Z585" s="6"/>
      <c r="AA585" s="6"/>
      <c r="AB585" s="6"/>
      <c r="AD585" s="6"/>
      <c r="AE585" s="6"/>
      <c r="AF585" s="6"/>
      <c r="AG585" s="6"/>
      <c r="AH585" s="6"/>
      <c r="AI585" s="6"/>
      <c r="AK585" s="6"/>
      <c r="AL585" s="6"/>
      <c r="AM585" s="6"/>
      <c r="AN585" s="6"/>
      <c r="AO585" s="6"/>
      <c r="AP585" s="6"/>
      <c r="AQ585" s="6"/>
      <c r="AR585" s="6"/>
      <c r="AS585" s="15"/>
      <c r="AT585" s="6" t="str">
        <f ca="1">IFERROR(__xludf.DUMMYFUNCTION("""COMPUTED_VALUE"""),"#N/A")</f>
        <v>#N/A</v>
      </c>
      <c r="AU585" s="6" t="str">
        <f ca="1">IFERROR(__xludf.DUMMYFUNCTION("""COMPUTED_VALUE"""),"FALSE")</f>
        <v>FALSE</v>
      </c>
      <c r="AV585" s="6">
        <f t="shared" si="42"/>
        <v>0</v>
      </c>
      <c r="AW585" s="6">
        <f t="shared" si="43"/>
        <v>0</v>
      </c>
      <c r="AX585" s="6">
        <f t="shared" si="44"/>
        <v>0</v>
      </c>
      <c r="AY585" s="6">
        <f t="shared" si="45"/>
        <v>0</v>
      </c>
      <c r="AZ585" s="9" t="str">
        <f t="shared" si="46"/>
        <v/>
      </c>
      <c r="BA585" s="6">
        <f t="shared" si="47"/>
        <v>0</v>
      </c>
      <c r="BB585" s="6">
        <f t="shared" si="48"/>
        <v>0</v>
      </c>
      <c r="BC585" s="9" t="str">
        <f t="shared" si="49"/>
        <v/>
      </c>
      <c r="BD585" s="6">
        <f t="shared" si="50"/>
        <v>0</v>
      </c>
      <c r="BE585" s="6">
        <f t="shared" si="51"/>
        <v>0</v>
      </c>
      <c r="BF585" s="9" t="str">
        <f t="shared" si="52"/>
        <v/>
      </c>
      <c r="BG585" s="6">
        <f t="shared" si="53"/>
        <v>0</v>
      </c>
      <c r="BH585" s="6">
        <f t="shared" si="54"/>
        <v>0</v>
      </c>
      <c r="BI585" s="9" t="str">
        <f t="shared" si="55"/>
        <v/>
      </c>
      <c r="BJ585" s="6">
        <f t="shared" si="56"/>
        <v>0</v>
      </c>
      <c r="BK585" s="6">
        <f t="shared" si="57"/>
        <v>0</v>
      </c>
      <c r="BL585" s="6">
        <f t="shared" si="58"/>
        <v>0</v>
      </c>
      <c r="BM585" s="6">
        <f t="shared" si="59"/>
        <v>0</v>
      </c>
      <c r="BN585" s="6">
        <f t="shared" si="60"/>
        <v>0</v>
      </c>
      <c r="BP585" s="6">
        <f t="shared" si="61"/>
        <v>0</v>
      </c>
      <c r="BQ585" s="6" t="b">
        <f ca="1">IFERROR(__xludf.DUMMYFUNCTION("IF(AND(ISERROR(FILTER('Items by Team'!D$2:D3410,'Items by Team'!C$2:C3410 = D585,'Items by Team'!B$2:B3410 = B585)),NOT(A585=""Practice"")),TRUE,FALSE)"),FALSE)</f>
        <v>0</v>
      </c>
      <c r="BR585" s="6">
        <f t="shared" ca="1" si="62"/>
        <v>0</v>
      </c>
    </row>
    <row r="586" spans="1:70">
      <c r="A586" s="6"/>
      <c r="B586" s="6"/>
      <c r="C586" s="6"/>
      <c r="D586" s="6"/>
      <c r="E586" s="6"/>
      <c r="F586" s="6"/>
      <c r="G586" s="6"/>
      <c r="H586" s="6"/>
      <c r="I586" s="6"/>
      <c r="J586" s="6"/>
      <c r="K586" s="6"/>
      <c r="L586" s="6"/>
      <c r="M586" s="6"/>
      <c r="N586" s="6"/>
      <c r="O586" s="6"/>
      <c r="P586" s="6"/>
      <c r="R586" s="6"/>
      <c r="S586" s="6"/>
      <c r="T586" s="6"/>
      <c r="U586" s="6"/>
      <c r="V586" s="6"/>
      <c r="W586" s="6"/>
      <c r="X586" s="6"/>
      <c r="Y586" s="6"/>
      <c r="Z586" s="6"/>
      <c r="AA586" s="6"/>
      <c r="AB586" s="6"/>
      <c r="AD586" s="6"/>
      <c r="AE586" s="6"/>
      <c r="AF586" s="6"/>
      <c r="AG586" s="6"/>
      <c r="AH586" s="6"/>
      <c r="AI586" s="6"/>
      <c r="AK586" s="6"/>
      <c r="AL586" s="6"/>
      <c r="AM586" s="6"/>
      <c r="AN586" s="6"/>
      <c r="AO586" s="6"/>
      <c r="AP586" s="6"/>
      <c r="AQ586" s="6"/>
      <c r="AR586" s="6"/>
      <c r="AS586" s="15"/>
      <c r="AT586" s="6" t="str">
        <f ca="1">IFERROR(__xludf.DUMMYFUNCTION("""COMPUTED_VALUE"""),"#N/A")</f>
        <v>#N/A</v>
      </c>
      <c r="AU586" s="6" t="str">
        <f ca="1">IFERROR(__xludf.DUMMYFUNCTION("""COMPUTED_VALUE"""),"FALSE")</f>
        <v>FALSE</v>
      </c>
      <c r="AV586" s="6">
        <f t="shared" si="42"/>
        <v>0</v>
      </c>
      <c r="AW586" s="6">
        <f t="shared" si="43"/>
        <v>0</v>
      </c>
      <c r="AX586" s="6">
        <f t="shared" si="44"/>
        <v>0</v>
      </c>
      <c r="AY586" s="6">
        <f t="shared" si="45"/>
        <v>0</v>
      </c>
      <c r="AZ586" s="9" t="str">
        <f t="shared" si="46"/>
        <v/>
      </c>
      <c r="BA586" s="6">
        <f t="shared" si="47"/>
        <v>0</v>
      </c>
      <c r="BB586" s="6">
        <f t="shared" si="48"/>
        <v>0</v>
      </c>
      <c r="BC586" s="9" t="str">
        <f t="shared" si="49"/>
        <v/>
      </c>
      <c r="BD586" s="6">
        <f t="shared" si="50"/>
        <v>0</v>
      </c>
      <c r="BE586" s="6">
        <f t="shared" si="51"/>
        <v>0</v>
      </c>
      <c r="BF586" s="9" t="str">
        <f t="shared" si="52"/>
        <v/>
      </c>
      <c r="BG586" s="6">
        <f t="shared" si="53"/>
        <v>0</v>
      </c>
      <c r="BH586" s="6">
        <f t="shared" si="54"/>
        <v>0</v>
      </c>
      <c r="BI586" s="9" t="str">
        <f t="shared" si="55"/>
        <v/>
      </c>
      <c r="BJ586" s="6">
        <f t="shared" si="56"/>
        <v>0</v>
      </c>
      <c r="BK586" s="6">
        <f t="shared" si="57"/>
        <v>0</v>
      </c>
      <c r="BL586" s="6">
        <f t="shared" si="58"/>
        <v>0</v>
      </c>
      <c r="BM586" s="6">
        <f t="shared" si="59"/>
        <v>0</v>
      </c>
      <c r="BN586" s="6">
        <f t="shared" si="60"/>
        <v>0</v>
      </c>
      <c r="BP586" s="6">
        <f t="shared" si="61"/>
        <v>0</v>
      </c>
      <c r="BQ586" s="6" t="b">
        <f ca="1">IFERROR(__xludf.DUMMYFUNCTION("IF(AND(ISERROR(FILTER('Items by Team'!D$2:D3410,'Items by Team'!C$2:C3410 = D586,'Items by Team'!B$2:B3410 = B586)),NOT(A586=""Practice"")),TRUE,FALSE)"),FALSE)</f>
        <v>0</v>
      </c>
      <c r="BR586" s="6">
        <f t="shared" ca="1" si="62"/>
        <v>0</v>
      </c>
    </row>
    <row r="587" spans="1:70">
      <c r="A587" s="6"/>
      <c r="B587" s="6"/>
      <c r="C587" s="6"/>
      <c r="D587" s="6"/>
      <c r="E587" s="6"/>
      <c r="F587" s="6"/>
      <c r="G587" s="6"/>
      <c r="H587" s="6"/>
      <c r="I587" s="6"/>
      <c r="J587" s="6"/>
      <c r="K587" s="6"/>
      <c r="L587" s="6"/>
      <c r="M587" s="6"/>
      <c r="N587" s="6"/>
      <c r="O587" s="6"/>
      <c r="P587" s="6"/>
      <c r="R587" s="6"/>
      <c r="S587" s="6"/>
      <c r="T587" s="6"/>
      <c r="U587" s="6"/>
      <c r="V587" s="6"/>
      <c r="W587" s="6"/>
      <c r="X587" s="6"/>
      <c r="Y587" s="6"/>
      <c r="Z587" s="6"/>
      <c r="AA587" s="6"/>
      <c r="AB587" s="6"/>
      <c r="AD587" s="6"/>
      <c r="AE587" s="6"/>
      <c r="AF587" s="6"/>
      <c r="AG587" s="6"/>
      <c r="AH587" s="6"/>
      <c r="AI587" s="6"/>
      <c r="AK587" s="6"/>
      <c r="AL587" s="6"/>
      <c r="AM587" s="6"/>
      <c r="AN587" s="6"/>
      <c r="AO587" s="6"/>
      <c r="AP587" s="6"/>
      <c r="AQ587" s="6"/>
      <c r="AR587" s="6"/>
      <c r="AS587" s="15"/>
      <c r="AT587" s="6" t="str">
        <f ca="1">IFERROR(__xludf.DUMMYFUNCTION("""COMPUTED_VALUE"""),"#N/A")</f>
        <v>#N/A</v>
      </c>
      <c r="AU587" s="6" t="str">
        <f ca="1">IFERROR(__xludf.DUMMYFUNCTION("""COMPUTED_VALUE"""),"FALSE")</f>
        <v>FALSE</v>
      </c>
      <c r="AV587" s="6">
        <f t="shared" si="42"/>
        <v>0</v>
      </c>
      <c r="AW587" s="6">
        <f t="shared" si="43"/>
        <v>0</v>
      </c>
      <c r="AX587" s="6">
        <f t="shared" si="44"/>
        <v>0</v>
      </c>
      <c r="AY587" s="6">
        <f t="shared" si="45"/>
        <v>0</v>
      </c>
      <c r="AZ587" s="9" t="str">
        <f t="shared" si="46"/>
        <v/>
      </c>
      <c r="BA587" s="6">
        <f t="shared" si="47"/>
        <v>0</v>
      </c>
      <c r="BB587" s="6">
        <f t="shared" si="48"/>
        <v>0</v>
      </c>
      <c r="BC587" s="9" t="str">
        <f t="shared" si="49"/>
        <v/>
      </c>
      <c r="BD587" s="6">
        <f t="shared" si="50"/>
        <v>0</v>
      </c>
      <c r="BE587" s="6">
        <f t="shared" si="51"/>
        <v>0</v>
      </c>
      <c r="BF587" s="9" t="str">
        <f t="shared" si="52"/>
        <v/>
      </c>
      <c r="BG587" s="6">
        <f t="shared" si="53"/>
        <v>0</v>
      </c>
      <c r="BH587" s="6">
        <f t="shared" si="54"/>
        <v>0</v>
      </c>
      <c r="BI587" s="9" t="str">
        <f t="shared" si="55"/>
        <v/>
      </c>
      <c r="BJ587" s="6">
        <f t="shared" si="56"/>
        <v>0</v>
      </c>
      <c r="BK587" s="6">
        <f t="shared" si="57"/>
        <v>0</v>
      </c>
      <c r="BL587" s="6">
        <f t="shared" si="58"/>
        <v>0</v>
      </c>
      <c r="BM587" s="6">
        <f t="shared" si="59"/>
        <v>0</v>
      </c>
      <c r="BN587" s="6">
        <f t="shared" si="60"/>
        <v>0</v>
      </c>
      <c r="BP587" s="6">
        <f t="shared" si="61"/>
        <v>0</v>
      </c>
      <c r="BQ587" s="6" t="b">
        <f ca="1">IFERROR(__xludf.DUMMYFUNCTION("IF(AND(ISERROR(FILTER('Items by Team'!D$2:D3410,'Items by Team'!C$2:C3410 = D587,'Items by Team'!B$2:B3410 = B587)),NOT(A587=""Practice"")),TRUE,FALSE)"),FALSE)</f>
        <v>0</v>
      </c>
      <c r="BR587" s="6">
        <f t="shared" ca="1" si="62"/>
        <v>0</v>
      </c>
    </row>
    <row r="588" spans="1:70">
      <c r="A588" s="6"/>
      <c r="B588" s="6"/>
      <c r="C588" s="6"/>
      <c r="D588" s="6"/>
      <c r="E588" s="6"/>
      <c r="F588" s="6"/>
      <c r="G588" s="6"/>
      <c r="H588" s="6"/>
      <c r="I588" s="6"/>
      <c r="J588" s="6"/>
      <c r="K588" s="6"/>
      <c r="L588" s="6"/>
      <c r="M588" s="6"/>
      <c r="N588" s="6"/>
      <c r="O588" s="6"/>
      <c r="P588" s="6"/>
      <c r="R588" s="6"/>
      <c r="S588" s="6"/>
      <c r="T588" s="6"/>
      <c r="U588" s="6"/>
      <c r="V588" s="6"/>
      <c r="W588" s="6"/>
      <c r="X588" s="6"/>
      <c r="Y588" s="6"/>
      <c r="Z588" s="6"/>
      <c r="AA588" s="6"/>
      <c r="AB588" s="6"/>
      <c r="AD588" s="6"/>
      <c r="AE588" s="6"/>
      <c r="AF588" s="6"/>
      <c r="AG588" s="6"/>
      <c r="AH588" s="6"/>
      <c r="AI588" s="6"/>
      <c r="AK588" s="6"/>
      <c r="AL588" s="6"/>
      <c r="AM588" s="6"/>
      <c r="AN588" s="6"/>
      <c r="AO588" s="6"/>
      <c r="AP588" s="6"/>
      <c r="AQ588" s="6"/>
      <c r="AR588" s="6"/>
      <c r="AS588" s="15"/>
      <c r="AT588" s="6" t="str">
        <f ca="1">IFERROR(__xludf.DUMMYFUNCTION("""COMPUTED_VALUE"""),"#N/A")</f>
        <v>#N/A</v>
      </c>
      <c r="AU588" s="6" t="str">
        <f ca="1">IFERROR(__xludf.DUMMYFUNCTION("""COMPUTED_VALUE"""),"FALSE")</f>
        <v>FALSE</v>
      </c>
      <c r="AV588" s="6">
        <f t="shared" si="42"/>
        <v>0</v>
      </c>
      <c r="AW588" s="6">
        <f t="shared" si="43"/>
        <v>0</v>
      </c>
      <c r="AX588" s="6">
        <f t="shared" si="44"/>
        <v>0</v>
      </c>
      <c r="AY588" s="6">
        <f t="shared" si="45"/>
        <v>0</v>
      </c>
      <c r="AZ588" s="9" t="str">
        <f t="shared" si="46"/>
        <v/>
      </c>
      <c r="BA588" s="6">
        <f t="shared" si="47"/>
        <v>0</v>
      </c>
      <c r="BB588" s="6">
        <f t="shared" si="48"/>
        <v>0</v>
      </c>
      <c r="BC588" s="9" t="str">
        <f t="shared" si="49"/>
        <v/>
      </c>
      <c r="BD588" s="6">
        <f t="shared" si="50"/>
        <v>0</v>
      </c>
      <c r="BE588" s="6">
        <f t="shared" si="51"/>
        <v>0</v>
      </c>
      <c r="BF588" s="9" t="str">
        <f t="shared" si="52"/>
        <v/>
      </c>
      <c r="BG588" s="6">
        <f t="shared" si="53"/>
        <v>0</v>
      </c>
      <c r="BH588" s="6">
        <f t="shared" si="54"/>
        <v>0</v>
      </c>
      <c r="BI588" s="9" t="str">
        <f t="shared" si="55"/>
        <v/>
      </c>
      <c r="BJ588" s="6">
        <f t="shared" si="56"/>
        <v>0</v>
      </c>
      <c r="BK588" s="6">
        <f t="shared" si="57"/>
        <v>0</v>
      </c>
      <c r="BL588" s="6">
        <f t="shared" si="58"/>
        <v>0</v>
      </c>
      <c r="BM588" s="6">
        <f t="shared" si="59"/>
        <v>0</v>
      </c>
      <c r="BN588" s="6">
        <f t="shared" si="60"/>
        <v>0</v>
      </c>
      <c r="BP588" s="6">
        <f t="shared" si="61"/>
        <v>0</v>
      </c>
      <c r="BQ588" s="6" t="b">
        <f ca="1">IFERROR(__xludf.DUMMYFUNCTION("IF(AND(ISERROR(FILTER('Items by Team'!D$2:D3410,'Items by Team'!C$2:C3410 = D588,'Items by Team'!B$2:B3410 = B588)),NOT(A588=""Practice"")),TRUE,FALSE)"),FALSE)</f>
        <v>0</v>
      </c>
      <c r="BR588" s="6">
        <f t="shared" ca="1" si="62"/>
        <v>0</v>
      </c>
    </row>
    <row r="589" spans="1:70">
      <c r="A589" s="6"/>
      <c r="B589" s="6"/>
      <c r="C589" s="6"/>
      <c r="D589" s="6"/>
      <c r="E589" s="6"/>
      <c r="F589" s="6"/>
      <c r="G589" s="6"/>
      <c r="H589" s="6"/>
      <c r="I589" s="6"/>
      <c r="J589" s="6"/>
      <c r="K589" s="6"/>
      <c r="L589" s="6"/>
      <c r="M589" s="6"/>
      <c r="N589" s="6"/>
      <c r="O589" s="6"/>
      <c r="P589" s="6"/>
      <c r="R589" s="6"/>
      <c r="S589" s="6"/>
      <c r="T589" s="6"/>
      <c r="U589" s="6"/>
      <c r="V589" s="6"/>
      <c r="W589" s="6"/>
      <c r="X589" s="6"/>
      <c r="Y589" s="6"/>
      <c r="Z589" s="6"/>
      <c r="AA589" s="6"/>
      <c r="AB589" s="6"/>
      <c r="AD589" s="6"/>
      <c r="AE589" s="6"/>
      <c r="AF589" s="6"/>
      <c r="AG589" s="6"/>
      <c r="AH589" s="6"/>
      <c r="AI589" s="6"/>
      <c r="AK589" s="6"/>
      <c r="AL589" s="6"/>
      <c r="AM589" s="6"/>
      <c r="AN589" s="6"/>
      <c r="AO589" s="6"/>
      <c r="AP589" s="6"/>
      <c r="AQ589" s="6"/>
      <c r="AR589" s="6"/>
      <c r="AS589" s="15"/>
      <c r="AT589" s="6" t="str">
        <f ca="1">IFERROR(__xludf.DUMMYFUNCTION("""COMPUTED_VALUE"""),"#N/A")</f>
        <v>#N/A</v>
      </c>
      <c r="AU589" s="6" t="str">
        <f ca="1">IFERROR(__xludf.DUMMYFUNCTION("""COMPUTED_VALUE"""),"FALSE")</f>
        <v>FALSE</v>
      </c>
      <c r="AV589" s="6">
        <f t="shared" si="42"/>
        <v>0</v>
      </c>
      <c r="AW589" s="6">
        <f t="shared" si="43"/>
        <v>0</v>
      </c>
      <c r="AX589" s="6">
        <f t="shared" si="44"/>
        <v>0</v>
      </c>
      <c r="AY589" s="6">
        <f t="shared" si="45"/>
        <v>0</v>
      </c>
      <c r="AZ589" s="9" t="str">
        <f t="shared" si="46"/>
        <v/>
      </c>
      <c r="BA589" s="6">
        <f t="shared" si="47"/>
        <v>0</v>
      </c>
      <c r="BB589" s="6">
        <f t="shared" si="48"/>
        <v>0</v>
      </c>
      <c r="BC589" s="9" t="str">
        <f t="shared" si="49"/>
        <v/>
      </c>
      <c r="BD589" s="6">
        <f t="shared" si="50"/>
        <v>0</v>
      </c>
      <c r="BE589" s="6">
        <f t="shared" si="51"/>
        <v>0</v>
      </c>
      <c r="BF589" s="9" t="str">
        <f t="shared" si="52"/>
        <v/>
      </c>
      <c r="BG589" s="6">
        <f t="shared" si="53"/>
        <v>0</v>
      </c>
      <c r="BH589" s="6">
        <f t="shared" si="54"/>
        <v>0</v>
      </c>
      <c r="BI589" s="9" t="str">
        <f t="shared" si="55"/>
        <v/>
      </c>
      <c r="BJ589" s="6">
        <f t="shared" si="56"/>
        <v>0</v>
      </c>
      <c r="BK589" s="6">
        <f t="shared" si="57"/>
        <v>0</v>
      </c>
      <c r="BL589" s="6">
        <f t="shared" si="58"/>
        <v>0</v>
      </c>
      <c r="BM589" s="6">
        <f t="shared" si="59"/>
        <v>0</v>
      </c>
      <c r="BN589" s="6">
        <f t="shared" si="60"/>
        <v>0</v>
      </c>
      <c r="BP589" s="6">
        <f t="shared" si="61"/>
        <v>0</v>
      </c>
      <c r="BQ589" s="6" t="b">
        <f ca="1">IFERROR(__xludf.DUMMYFUNCTION("IF(AND(ISERROR(FILTER('Items by Team'!D$2:D3410,'Items by Team'!C$2:C3410 = D589,'Items by Team'!B$2:B3410 = B589)),NOT(A589=""Practice"")),TRUE,FALSE)"),FALSE)</f>
        <v>0</v>
      </c>
      <c r="BR589" s="6">
        <f t="shared" ca="1" si="62"/>
        <v>0</v>
      </c>
    </row>
    <row r="590" spans="1:70">
      <c r="A590" s="6"/>
      <c r="B590" s="6"/>
      <c r="C590" s="6"/>
      <c r="D590" s="6"/>
      <c r="E590" s="6"/>
      <c r="F590" s="6"/>
      <c r="G590" s="6"/>
      <c r="H590" s="6"/>
      <c r="I590" s="6"/>
      <c r="J590" s="6"/>
      <c r="K590" s="6"/>
      <c r="L590" s="6"/>
      <c r="M590" s="6"/>
      <c r="N590" s="6"/>
      <c r="O590" s="6"/>
      <c r="P590" s="6"/>
      <c r="R590" s="6"/>
      <c r="S590" s="6"/>
      <c r="T590" s="6"/>
      <c r="U590" s="6"/>
      <c r="V590" s="6"/>
      <c r="W590" s="6"/>
      <c r="X590" s="6"/>
      <c r="Y590" s="6"/>
      <c r="Z590" s="6"/>
      <c r="AA590" s="6"/>
      <c r="AB590" s="6"/>
      <c r="AD590" s="6"/>
      <c r="AE590" s="6"/>
      <c r="AF590" s="6"/>
      <c r="AG590" s="6"/>
      <c r="AH590" s="6"/>
      <c r="AI590" s="6"/>
      <c r="AK590" s="6"/>
      <c r="AL590" s="6"/>
      <c r="AM590" s="6"/>
      <c r="AN590" s="6"/>
      <c r="AO590" s="6"/>
      <c r="AP590" s="6"/>
      <c r="AQ590" s="6"/>
      <c r="AR590" s="6"/>
      <c r="AS590" s="15"/>
      <c r="AT590" s="6" t="str">
        <f ca="1">IFERROR(__xludf.DUMMYFUNCTION("""COMPUTED_VALUE"""),"#N/A")</f>
        <v>#N/A</v>
      </c>
      <c r="AU590" s="6" t="str">
        <f ca="1">IFERROR(__xludf.DUMMYFUNCTION("""COMPUTED_VALUE"""),"FALSE")</f>
        <v>FALSE</v>
      </c>
      <c r="AV590" s="6">
        <f t="shared" si="42"/>
        <v>0</v>
      </c>
      <c r="AW590" s="6">
        <f t="shared" si="43"/>
        <v>0</v>
      </c>
      <c r="AX590" s="6">
        <f t="shared" si="44"/>
        <v>0</v>
      </c>
      <c r="AY590" s="6">
        <f t="shared" si="45"/>
        <v>0</v>
      </c>
      <c r="AZ590" s="9" t="str">
        <f t="shared" si="46"/>
        <v/>
      </c>
      <c r="BA590" s="6">
        <f t="shared" si="47"/>
        <v>0</v>
      </c>
      <c r="BB590" s="6">
        <f t="shared" si="48"/>
        <v>0</v>
      </c>
      <c r="BC590" s="9" t="str">
        <f t="shared" si="49"/>
        <v/>
      </c>
      <c r="BD590" s="6">
        <f t="shared" si="50"/>
        <v>0</v>
      </c>
      <c r="BE590" s="6">
        <f t="shared" si="51"/>
        <v>0</v>
      </c>
      <c r="BF590" s="9" t="str">
        <f t="shared" si="52"/>
        <v/>
      </c>
      <c r="BG590" s="6">
        <f t="shared" si="53"/>
        <v>0</v>
      </c>
      <c r="BH590" s="6">
        <f t="shared" si="54"/>
        <v>0</v>
      </c>
      <c r="BI590" s="9" t="str">
        <f t="shared" si="55"/>
        <v/>
      </c>
      <c r="BJ590" s="6">
        <f t="shared" si="56"/>
        <v>0</v>
      </c>
      <c r="BK590" s="6">
        <f t="shared" si="57"/>
        <v>0</v>
      </c>
      <c r="BL590" s="6">
        <f t="shared" si="58"/>
        <v>0</v>
      </c>
      <c r="BM590" s="6">
        <f t="shared" si="59"/>
        <v>0</v>
      </c>
      <c r="BN590" s="6">
        <f t="shared" si="60"/>
        <v>0</v>
      </c>
      <c r="BP590" s="6">
        <f t="shared" si="61"/>
        <v>0</v>
      </c>
      <c r="BQ590" s="6" t="b">
        <f ca="1">IFERROR(__xludf.DUMMYFUNCTION("IF(AND(ISERROR(FILTER('Items by Team'!D$2:D3410,'Items by Team'!C$2:C3410 = D590,'Items by Team'!B$2:B3410 = B590)),NOT(A590=""Practice"")),TRUE,FALSE)"),FALSE)</f>
        <v>0</v>
      </c>
      <c r="BR590" s="6">
        <f t="shared" ca="1" si="62"/>
        <v>0</v>
      </c>
    </row>
    <row r="591" spans="1:70">
      <c r="A591" s="6"/>
      <c r="B591" s="6"/>
      <c r="C591" s="6"/>
      <c r="D591" s="6"/>
      <c r="E591" s="6"/>
      <c r="F591" s="6"/>
      <c r="G591" s="6"/>
      <c r="H591" s="6"/>
      <c r="I591" s="6"/>
      <c r="J591" s="6"/>
      <c r="K591" s="6"/>
      <c r="L591" s="6"/>
      <c r="M591" s="6"/>
      <c r="N591" s="6"/>
      <c r="O591" s="6"/>
      <c r="P591" s="6"/>
      <c r="R591" s="6"/>
      <c r="S591" s="6"/>
      <c r="T591" s="6"/>
      <c r="U591" s="6"/>
      <c r="V591" s="6"/>
      <c r="W591" s="6"/>
      <c r="X591" s="6"/>
      <c r="Y591" s="6"/>
      <c r="Z591" s="6"/>
      <c r="AA591" s="6"/>
      <c r="AB591" s="6"/>
      <c r="AD591" s="6"/>
      <c r="AE591" s="6"/>
      <c r="AF591" s="6"/>
      <c r="AG591" s="6"/>
      <c r="AH591" s="6"/>
      <c r="AI591" s="6"/>
      <c r="AK591" s="6"/>
      <c r="AL591" s="6"/>
      <c r="AM591" s="6"/>
      <c r="AN591" s="6"/>
      <c r="AO591" s="6"/>
      <c r="AP591" s="6"/>
      <c r="AQ591" s="6"/>
      <c r="AR591" s="6"/>
      <c r="AS591" s="15"/>
      <c r="AT591" s="6" t="str">
        <f ca="1">IFERROR(__xludf.DUMMYFUNCTION("""COMPUTED_VALUE"""),"#N/A")</f>
        <v>#N/A</v>
      </c>
      <c r="AU591" s="6" t="str">
        <f ca="1">IFERROR(__xludf.DUMMYFUNCTION("""COMPUTED_VALUE"""),"FALSE")</f>
        <v>FALSE</v>
      </c>
      <c r="AV591" s="6">
        <f t="shared" si="42"/>
        <v>0</v>
      </c>
      <c r="AW591" s="6">
        <f t="shared" si="43"/>
        <v>0</v>
      </c>
      <c r="AX591" s="6">
        <f t="shared" si="44"/>
        <v>0</v>
      </c>
      <c r="AY591" s="6">
        <f t="shared" si="45"/>
        <v>0</v>
      </c>
      <c r="AZ591" s="9" t="str">
        <f t="shared" si="46"/>
        <v/>
      </c>
      <c r="BA591" s="6">
        <f t="shared" si="47"/>
        <v>0</v>
      </c>
      <c r="BB591" s="6">
        <f t="shared" si="48"/>
        <v>0</v>
      </c>
      <c r="BC591" s="9" t="str">
        <f t="shared" si="49"/>
        <v/>
      </c>
      <c r="BD591" s="6">
        <f t="shared" si="50"/>
        <v>0</v>
      </c>
      <c r="BE591" s="6">
        <f t="shared" si="51"/>
        <v>0</v>
      </c>
      <c r="BF591" s="9" t="str">
        <f t="shared" si="52"/>
        <v/>
      </c>
      <c r="BG591" s="6">
        <f t="shared" si="53"/>
        <v>0</v>
      </c>
      <c r="BH591" s="6">
        <f t="shared" si="54"/>
        <v>0</v>
      </c>
      <c r="BI591" s="9" t="str">
        <f t="shared" si="55"/>
        <v/>
      </c>
      <c r="BJ591" s="6">
        <f t="shared" si="56"/>
        <v>0</v>
      </c>
      <c r="BK591" s="6">
        <f t="shared" si="57"/>
        <v>0</v>
      </c>
      <c r="BL591" s="6">
        <f t="shared" si="58"/>
        <v>0</v>
      </c>
      <c r="BM591" s="6">
        <f t="shared" si="59"/>
        <v>0</v>
      </c>
      <c r="BN591" s="6">
        <f t="shared" si="60"/>
        <v>0</v>
      </c>
      <c r="BP591" s="6">
        <f t="shared" si="61"/>
        <v>0</v>
      </c>
      <c r="BQ591" s="6" t="b">
        <f ca="1">IFERROR(__xludf.DUMMYFUNCTION("IF(AND(ISERROR(FILTER('Items by Team'!D$2:D3410,'Items by Team'!C$2:C3410 = D591,'Items by Team'!B$2:B3410 = B591)),NOT(A591=""Practice"")),TRUE,FALSE)"),FALSE)</f>
        <v>0</v>
      </c>
      <c r="BR591" s="6">
        <f t="shared" ca="1" si="62"/>
        <v>0</v>
      </c>
    </row>
    <row r="592" spans="1:70">
      <c r="A592" s="6"/>
      <c r="B592" s="6"/>
      <c r="C592" s="6"/>
      <c r="D592" s="6"/>
      <c r="E592" s="6"/>
      <c r="F592" s="6"/>
      <c r="G592" s="6"/>
      <c r="H592" s="6"/>
      <c r="I592" s="6"/>
      <c r="J592" s="6"/>
      <c r="K592" s="6"/>
      <c r="L592" s="6"/>
      <c r="M592" s="6"/>
      <c r="N592" s="6"/>
      <c r="O592" s="6"/>
      <c r="P592" s="6"/>
      <c r="R592" s="6"/>
      <c r="S592" s="6"/>
      <c r="T592" s="6"/>
      <c r="U592" s="6"/>
      <c r="V592" s="6"/>
      <c r="W592" s="6"/>
      <c r="X592" s="6"/>
      <c r="Y592" s="6"/>
      <c r="Z592" s="6"/>
      <c r="AA592" s="6"/>
      <c r="AB592" s="6"/>
      <c r="AD592" s="6"/>
      <c r="AE592" s="6"/>
      <c r="AF592" s="6"/>
      <c r="AG592" s="6"/>
      <c r="AH592" s="6"/>
      <c r="AI592" s="6"/>
      <c r="AK592" s="6"/>
      <c r="AL592" s="6"/>
      <c r="AM592" s="6"/>
      <c r="AN592" s="6"/>
      <c r="AO592" s="6"/>
      <c r="AP592" s="6"/>
      <c r="AQ592" s="6"/>
      <c r="AR592" s="6"/>
      <c r="AS592" s="15"/>
      <c r="AT592" s="6" t="str">
        <f ca="1">IFERROR(__xludf.DUMMYFUNCTION("""COMPUTED_VALUE"""),"#N/A")</f>
        <v>#N/A</v>
      </c>
      <c r="AU592" s="6" t="str">
        <f ca="1">IFERROR(__xludf.DUMMYFUNCTION("""COMPUTED_VALUE"""),"FALSE")</f>
        <v>FALSE</v>
      </c>
      <c r="AV592" s="6">
        <f t="shared" si="42"/>
        <v>0</v>
      </c>
      <c r="AW592" s="6">
        <f t="shared" si="43"/>
        <v>0</v>
      </c>
      <c r="AX592" s="6">
        <f t="shared" si="44"/>
        <v>0</v>
      </c>
      <c r="AY592" s="6">
        <f t="shared" si="45"/>
        <v>0</v>
      </c>
      <c r="AZ592" s="9" t="str">
        <f t="shared" si="46"/>
        <v/>
      </c>
      <c r="BA592" s="6">
        <f t="shared" si="47"/>
        <v>0</v>
      </c>
      <c r="BB592" s="6">
        <f t="shared" si="48"/>
        <v>0</v>
      </c>
      <c r="BC592" s="9" t="str">
        <f t="shared" si="49"/>
        <v/>
      </c>
      <c r="BD592" s="6">
        <f t="shared" si="50"/>
        <v>0</v>
      </c>
      <c r="BE592" s="6">
        <f t="shared" si="51"/>
        <v>0</v>
      </c>
      <c r="BF592" s="9" t="str">
        <f t="shared" si="52"/>
        <v/>
      </c>
      <c r="BG592" s="6">
        <f t="shared" si="53"/>
        <v>0</v>
      </c>
      <c r="BH592" s="6">
        <f t="shared" si="54"/>
        <v>0</v>
      </c>
      <c r="BI592" s="9" t="str">
        <f t="shared" si="55"/>
        <v/>
      </c>
      <c r="BJ592" s="6">
        <f t="shared" si="56"/>
        <v>0</v>
      </c>
      <c r="BK592" s="6">
        <f t="shared" si="57"/>
        <v>0</v>
      </c>
      <c r="BL592" s="6">
        <f t="shared" si="58"/>
        <v>0</v>
      </c>
      <c r="BM592" s="6">
        <f t="shared" si="59"/>
        <v>0</v>
      </c>
      <c r="BN592" s="6">
        <f t="shared" si="60"/>
        <v>0</v>
      </c>
      <c r="BP592" s="6">
        <f t="shared" si="61"/>
        <v>0</v>
      </c>
      <c r="BQ592" s="6" t="b">
        <f ca="1">IFERROR(__xludf.DUMMYFUNCTION("IF(AND(ISERROR(FILTER('Items by Team'!D$2:D3410,'Items by Team'!C$2:C3410 = D592,'Items by Team'!B$2:B3410 = B592)),NOT(A592=""Practice"")),TRUE,FALSE)"),FALSE)</f>
        <v>0</v>
      </c>
      <c r="BR592" s="6">
        <f t="shared" ca="1" si="62"/>
        <v>0</v>
      </c>
    </row>
    <row r="593" spans="1:70">
      <c r="A593" s="6"/>
      <c r="B593" s="6"/>
      <c r="C593" s="6"/>
      <c r="D593" s="6"/>
      <c r="E593" s="6"/>
      <c r="F593" s="6"/>
      <c r="G593" s="6"/>
      <c r="H593" s="6"/>
      <c r="I593" s="6"/>
      <c r="J593" s="6"/>
      <c r="K593" s="6"/>
      <c r="L593" s="6"/>
      <c r="M593" s="6"/>
      <c r="N593" s="6"/>
      <c r="O593" s="6"/>
      <c r="P593" s="6"/>
      <c r="R593" s="6"/>
      <c r="S593" s="6"/>
      <c r="T593" s="6"/>
      <c r="U593" s="6"/>
      <c r="V593" s="6"/>
      <c r="W593" s="6"/>
      <c r="X593" s="6"/>
      <c r="Y593" s="6"/>
      <c r="Z593" s="6"/>
      <c r="AA593" s="6"/>
      <c r="AB593" s="6"/>
      <c r="AD593" s="6"/>
      <c r="AE593" s="6"/>
      <c r="AF593" s="6"/>
      <c r="AG593" s="6"/>
      <c r="AH593" s="6"/>
      <c r="AI593" s="6"/>
      <c r="AK593" s="6"/>
      <c r="AL593" s="6"/>
      <c r="AM593" s="6"/>
      <c r="AN593" s="6"/>
      <c r="AO593" s="6"/>
      <c r="AP593" s="6"/>
      <c r="AQ593" s="6"/>
      <c r="AR593" s="6"/>
      <c r="AS593" s="15"/>
      <c r="AT593" s="6" t="str">
        <f ca="1">IFERROR(__xludf.DUMMYFUNCTION("""COMPUTED_VALUE"""),"#N/A")</f>
        <v>#N/A</v>
      </c>
      <c r="AU593" s="6" t="str">
        <f ca="1">IFERROR(__xludf.DUMMYFUNCTION("""COMPUTED_VALUE"""),"FALSE")</f>
        <v>FALSE</v>
      </c>
      <c r="AV593" s="6">
        <f t="shared" si="42"/>
        <v>0</v>
      </c>
      <c r="AW593" s="6">
        <f t="shared" si="43"/>
        <v>0</v>
      </c>
      <c r="AX593" s="6">
        <f t="shared" si="44"/>
        <v>0</v>
      </c>
      <c r="AY593" s="6">
        <f t="shared" si="45"/>
        <v>0</v>
      </c>
      <c r="AZ593" s="9" t="str">
        <f t="shared" si="46"/>
        <v/>
      </c>
      <c r="BA593" s="6">
        <f t="shared" si="47"/>
        <v>0</v>
      </c>
      <c r="BB593" s="6">
        <f t="shared" si="48"/>
        <v>0</v>
      </c>
      <c r="BC593" s="9" t="str">
        <f t="shared" si="49"/>
        <v/>
      </c>
      <c r="BD593" s="6">
        <f t="shared" si="50"/>
        <v>0</v>
      </c>
      <c r="BE593" s="6">
        <f t="shared" si="51"/>
        <v>0</v>
      </c>
      <c r="BF593" s="9" t="str">
        <f t="shared" si="52"/>
        <v/>
      </c>
      <c r="BG593" s="6">
        <f t="shared" si="53"/>
        <v>0</v>
      </c>
      <c r="BH593" s="6">
        <f t="shared" si="54"/>
        <v>0</v>
      </c>
      <c r="BI593" s="9" t="str">
        <f t="shared" si="55"/>
        <v/>
      </c>
      <c r="BJ593" s="6">
        <f t="shared" si="56"/>
        <v>0</v>
      </c>
      <c r="BK593" s="6">
        <f t="shared" si="57"/>
        <v>0</v>
      </c>
      <c r="BL593" s="6">
        <f t="shared" si="58"/>
        <v>0</v>
      </c>
      <c r="BM593" s="6">
        <f t="shared" si="59"/>
        <v>0</v>
      </c>
      <c r="BN593" s="6">
        <f t="shared" si="60"/>
        <v>0</v>
      </c>
      <c r="BP593" s="6">
        <f t="shared" si="61"/>
        <v>0</v>
      </c>
      <c r="BQ593" s="6" t="b">
        <f ca="1">IFERROR(__xludf.DUMMYFUNCTION("IF(AND(ISERROR(FILTER('Items by Team'!D$2:D3410,'Items by Team'!C$2:C3410 = D593,'Items by Team'!B$2:B3410 = B593)),NOT(A593=""Practice"")),TRUE,FALSE)"),FALSE)</f>
        <v>0</v>
      </c>
      <c r="BR593" s="6">
        <f t="shared" ca="1" si="62"/>
        <v>0</v>
      </c>
    </row>
    <row r="594" spans="1:70">
      <c r="A594" s="6"/>
      <c r="B594" s="6"/>
      <c r="C594" s="6"/>
      <c r="D594" s="6"/>
      <c r="E594" s="6"/>
      <c r="F594" s="6"/>
      <c r="G594" s="6"/>
      <c r="H594" s="6"/>
      <c r="I594" s="6"/>
      <c r="J594" s="6"/>
      <c r="K594" s="6"/>
      <c r="L594" s="6"/>
      <c r="M594" s="6"/>
      <c r="N594" s="6"/>
      <c r="O594" s="6"/>
      <c r="P594" s="6"/>
      <c r="R594" s="6"/>
      <c r="S594" s="6"/>
      <c r="T594" s="6"/>
      <c r="U594" s="6"/>
      <c r="V594" s="6"/>
      <c r="W594" s="6"/>
      <c r="X594" s="6"/>
      <c r="Y594" s="6"/>
      <c r="Z594" s="6"/>
      <c r="AA594" s="6"/>
      <c r="AB594" s="6"/>
      <c r="AD594" s="6"/>
      <c r="AE594" s="6"/>
      <c r="AF594" s="6"/>
      <c r="AG594" s="6"/>
      <c r="AH594" s="6"/>
      <c r="AI594" s="6"/>
      <c r="AK594" s="6"/>
      <c r="AL594" s="6"/>
      <c r="AM594" s="6"/>
      <c r="AN594" s="6"/>
      <c r="AO594" s="6"/>
      <c r="AP594" s="6"/>
      <c r="AQ594" s="6"/>
      <c r="AR594" s="6"/>
      <c r="AS594" s="15"/>
      <c r="AT594" s="6" t="str">
        <f ca="1">IFERROR(__xludf.DUMMYFUNCTION("""COMPUTED_VALUE"""),"#N/A")</f>
        <v>#N/A</v>
      </c>
      <c r="AU594" s="6" t="str">
        <f ca="1">IFERROR(__xludf.DUMMYFUNCTION("""COMPUTED_VALUE"""),"FALSE")</f>
        <v>FALSE</v>
      </c>
      <c r="AV594" s="6">
        <f t="shared" si="42"/>
        <v>0</v>
      </c>
      <c r="AW594" s="6">
        <f t="shared" si="43"/>
        <v>0</v>
      </c>
      <c r="AX594" s="6">
        <f t="shared" si="44"/>
        <v>0</v>
      </c>
      <c r="AY594" s="6">
        <f t="shared" si="45"/>
        <v>0</v>
      </c>
      <c r="AZ594" s="9" t="str">
        <f t="shared" si="46"/>
        <v/>
      </c>
      <c r="BA594" s="6">
        <f t="shared" si="47"/>
        <v>0</v>
      </c>
      <c r="BB594" s="6">
        <f t="shared" si="48"/>
        <v>0</v>
      </c>
      <c r="BC594" s="9" t="str">
        <f t="shared" si="49"/>
        <v/>
      </c>
      <c r="BD594" s="6">
        <f t="shared" si="50"/>
        <v>0</v>
      </c>
      <c r="BE594" s="6">
        <f t="shared" si="51"/>
        <v>0</v>
      </c>
      <c r="BF594" s="9" t="str">
        <f t="shared" si="52"/>
        <v/>
      </c>
      <c r="BG594" s="6">
        <f t="shared" si="53"/>
        <v>0</v>
      </c>
      <c r="BH594" s="6">
        <f t="shared" si="54"/>
        <v>0</v>
      </c>
      <c r="BI594" s="9" t="str">
        <f t="shared" si="55"/>
        <v/>
      </c>
      <c r="BJ594" s="6">
        <f t="shared" si="56"/>
        <v>0</v>
      </c>
      <c r="BK594" s="6">
        <f t="shared" si="57"/>
        <v>0</v>
      </c>
      <c r="BL594" s="6">
        <f t="shared" si="58"/>
        <v>0</v>
      </c>
      <c r="BM594" s="6">
        <f t="shared" si="59"/>
        <v>0</v>
      </c>
      <c r="BN594" s="6">
        <f t="shared" si="60"/>
        <v>0</v>
      </c>
      <c r="BP594" s="6">
        <f t="shared" si="61"/>
        <v>0</v>
      </c>
      <c r="BQ594" s="6" t="b">
        <f ca="1">IFERROR(__xludf.DUMMYFUNCTION("IF(AND(ISERROR(FILTER('Items by Team'!D$2:D3410,'Items by Team'!C$2:C3410 = D594,'Items by Team'!B$2:B3410 = B594)),NOT(A594=""Practice"")),TRUE,FALSE)"),FALSE)</f>
        <v>0</v>
      </c>
      <c r="BR594" s="6">
        <f t="shared" ca="1" si="62"/>
        <v>0</v>
      </c>
    </row>
    <row r="595" spans="1:70">
      <c r="A595" s="6"/>
      <c r="B595" s="6"/>
      <c r="C595" s="6"/>
      <c r="D595" s="6"/>
      <c r="E595" s="6"/>
      <c r="F595" s="6"/>
      <c r="G595" s="6"/>
      <c r="H595" s="6"/>
      <c r="I595" s="6"/>
      <c r="J595" s="6"/>
      <c r="K595" s="6"/>
      <c r="L595" s="6"/>
      <c r="M595" s="6"/>
      <c r="N595" s="6"/>
      <c r="O595" s="6"/>
      <c r="P595" s="6"/>
      <c r="R595" s="6"/>
      <c r="S595" s="6"/>
      <c r="T595" s="6"/>
      <c r="U595" s="6"/>
      <c r="V595" s="6"/>
      <c r="W595" s="6"/>
      <c r="X595" s="6"/>
      <c r="Y595" s="6"/>
      <c r="Z595" s="6"/>
      <c r="AA595" s="6"/>
      <c r="AB595" s="6"/>
      <c r="AD595" s="6"/>
      <c r="AE595" s="6"/>
      <c r="AF595" s="6"/>
      <c r="AG595" s="6"/>
      <c r="AH595" s="6"/>
      <c r="AI595" s="6"/>
      <c r="AK595" s="6"/>
      <c r="AL595" s="6"/>
      <c r="AM595" s="6"/>
      <c r="AN595" s="6"/>
      <c r="AO595" s="6"/>
      <c r="AP595" s="6"/>
      <c r="AQ595" s="6"/>
      <c r="AR595" s="6"/>
      <c r="AS595" s="15"/>
      <c r="AT595" s="6" t="str">
        <f ca="1">IFERROR(__xludf.DUMMYFUNCTION("""COMPUTED_VALUE"""),"#N/A")</f>
        <v>#N/A</v>
      </c>
      <c r="AU595" s="6" t="str">
        <f ca="1">IFERROR(__xludf.DUMMYFUNCTION("""COMPUTED_VALUE"""),"FALSE")</f>
        <v>FALSE</v>
      </c>
      <c r="AV595" s="6">
        <f t="shared" si="42"/>
        <v>0</v>
      </c>
      <c r="AW595" s="6">
        <f t="shared" si="43"/>
        <v>0</v>
      </c>
      <c r="AX595" s="6">
        <f t="shared" si="44"/>
        <v>0</v>
      </c>
      <c r="AY595" s="6">
        <f t="shared" si="45"/>
        <v>0</v>
      </c>
      <c r="AZ595" s="9" t="str">
        <f t="shared" si="46"/>
        <v/>
      </c>
      <c r="BA595" s="6">
        <f t="shared" si="47"/>
        <v>0</v>
      </c>
      <c r="BB595" s="6">
        <f t="shared" si="48"/>
        <v>0</v>
      </c>
      <c r="BC595" s="9" t="str">
        <f t="shared" si="49"/>
        <v/>
      </c>
      <c r="BD595" s="6">
        <f t="shared" si="50"/>
        <v>0</v>
      </c>
      <c r="BE595" s="6">
        <f t="shared" si="51"/>
        <v>0</v>
      </c>
      <c r="BF595" s="9" t="str">
        <f t="shared" si="52"/>
        <v/>
      </c>
      <c r="BG595" s="6">
        <f t="shared" si="53"/>
        <v>0</v>
      </c>
      <c r="BH595" s="6">
        <f t="shared" si="54"/>
        <v>0</v>
      </c>
      <c r="BI595" s="9" t="str">
        <f t="shared" si="55"/>
        <v/>
      </c>
      <c r="BJ595" s="6">
        <f t="shared" si="56"/>
        <v>0</v>
      </c>
      <c r="BK595" s="6">
        <f t="shared" si="57"/>
        <v>0</v>
      </c>
      <c r="BL595" s="6">
        <f t="shared" si="58"/>
        <v>0</v>
      </c>
      <c r="BM595" s="6">
        <f t="shared" si="59"/>
        <v>0</v>
      </c>
      <c r="BN595" s="6">
        <f t="shared" si="60"/>
        <v>0</v>
      </c>
      <c r="BP595" s="6">
        <f t="shared" si="61"/>
        <v>0</v>
      </c>
      <c r="BQ595" s="6" t="b">
        <f ca="1">IFERROR(__xludf.DUMMYFUNCTION("IF(AND(ISERROR(FILTER('Items by Team'!D$2:D3410,'Items by Team'!C$2:C3410 = D595,'Items by Team'!B$2:B3410 = B595)),NOT(A595=""Practice"")),TRUE,FALSE)"),FALSE)</f>
        <v>0</v>
      </c>
      <c r="BR595" s="6">
        <f t="shared" ca="1" si="62"/>
        <v>0</v>
      </c>
    </row>
    <row r="596" spans="1:70">
      <c r="A596" s="6"/>
      <c r="B596" s="6"/>
      <c r="C596" s="6"/>
      <c r="D596" s="6"/>
      <c r="E596" s="6"/>
      <c r="F596" s="6"/>
      <c r="G596" s="6"/>
      <c r="H596" s="6"/>
      <c r="I596" s="6"/>
      <c r="J596" s="6"/>
      <c r="K596" s="6"/>
      <c r="L596" s="6"/>
      <c r="M596" s="6"/>
      <c r="N596" s="6"/>
      <c r="O596" s="6"/>
      <c r="P596" s="6"/>
      <c r="R596" s="6"/>
      <c r="S596" s="6"/>
      <c r="T596" s="6"/>
      <c r="U596" s="6"/>
      <c r="V596" s="6"/>
      <c r="W596" s="6"/>
      <c r="X596" s="6"/>
      <c r="Y596" s="6"/>
      <c r="Z596" s="6"/>
      <c r="AA596" s="6"/>
      <c r="AB596" s="6"/>
      <c r="AD596" s="6"/>
      <c r="AE596" s="6"/>
      <c r="AF596" s="6"/>
      <c r="AG596" s="6"/>
      <c r="AH596" s="6"/>
      <c r="AI596" s="6"/>
      <c r="AK596" s="6"/>
      <c r="AL596" s="6"/>
      <c r="AM596" s="6"/>
      <c r="AN596" s="6"/>
      <c r="AO596" s="6"/>
      <c r="AP596" s="6"/>
      <c r="AQ596" s="6"/>
      <c r="AR596" s="6"/>
      <c r="AS596" s="15"/>
      <c r="AT596" s="6" t="str">
        <f ca="1">IFERROR(__xludf.DUMMYFUNCTION("""COMPUTED_VALUE"""),"#N/A")</f>
        <v>#N/A</v>
      </c>
      <c r="AU596" s="6" t="str">
        <f ca="1">IFERROR(__xludf.DUMMYFUNCTION("""COMPUTED_VALUE"""),"FALSE")</f>
        <v>FALSE</v>
      </c>
      <c r="AV596" s="6">
        <f t="shared" si="42"/>
        <v>0</v>
      </c>
      <c r="AW596" s="6">
        <f t="shared" si="43"/>
        <v>0</v>
      </c>
      <c r="AX596" s="6">
        <f t="shared" si="44"/>
        <v>0</v>
      </c>
      <c r="AY596" s="6">
        <f t="shared" si="45"/>
        <v>0</v>
      </c>
      <c r="AZ596" s="9" t="str">
        <f t="shared" si="46"/>
        <v/>
      </c>
      <c r="BA596" s="6">
        <f t="shared" si="47"/>
        <v>0</v>
      </c>
      <c r="BB596" s="6">
        <f t="shared" si="48"/>
        <v>0</v>
      </c>
      <c r="BC596" s="9" t="str">
        <f t="shared" si="49"/>
        <v/>
      </c>
      <c r="BD596" s="6">
        <f t="shared" si="50"/>
        <v>0</v>
      </c>
      <c r="BE596" s="6">
        <f t="shared" si="51"/>
        <v>0</v>
      </c>
      <c r="BF596" s="9" t="str">
        <f t="shared" si="52"/>
        <v/>
      </c>
      <c r="BG596" s="6">
        <f t="shared" si="53"/>
        <v>0</v>
      </c>
      <c r="BH596" s="6">
        <f t="shared" si="54"/>
        <v>0</v>
      </c>
      <c r="BI596" s="9" t="str">
        <f t="shared" si="55"/>
        <v/>
      </c>
      <c r="BJ596" s="6">
        <f t="shared" si="56"/>
        <v>0</v>
      </c>
      <c r="BK596" s="6">
        <f t="shared" si="57"/>
        <v>0</v>
      </c>
      <c r="BL596" s="6">
        <f t="shared" si="58"/>
        <v>0</v>
      </c>
      <c r="BM596" s="6">
        <f t="shared" si="59"/>
        <v>0</v>
      </c>
      <c r="BN596" s="6">
        <f t="shared" si="60"/>
        <v>0</v>
      </c>
      <c r="BP596" s="6">
        <f t="shared" si="61"/>
        <v>0</v>
      </c>
      <c r="BQ596" s="6" t="b">
        <f ca="1">IFERROR(__xludf.DUMMYFUNCTION("IF(AND(ISERROR(FILTER('Items by Team'!D$2:D3410,'Items by Team'!C$2:C3410 = D596,'Items by Team'!B$2:B3410 = B596)),NOT(A596=""Practice"")),TRUE,FALSE)"),FALSE)</f>
        <v>0</v>
      </c>
      <c r="BR596" s="6">
        <f t="shared" ca="1" si="62"/>
        <v>0</v>
      </c>
    </row>
    <row r="597" spans="1:70">
      <c r="A597" s="6"/>
      <c r="B597" s="6"/>
      <c r="C597" s="6"/>
      <c r="D597" s="6"/>
      <c r="E597" s="6"/>
      <c r="F597" s="6"/>
      <c r="G597" s="6"/>
      <c r="H597" s="6"/>
      <c r="I597" s="6"/>
      <c r="J597" s="6"/>
      <c r="K597" s="6"/>
      <c r="L597" s="6"/>
      <c r="M597" s="6"/>
      <c r="N597" s="6"/>
      <c r="O597" s="6"/>
      <c r="P597" s="6"/>
      <c r="R597" s="6"/>
      <c r="S597" s="6"/>
      <c r="T597" s="6"/>
      <c r="U597" s="6"/>
      <c r="V597" s="6"/>
      <c r="W597" s="6"/>
      <c r="X597" s="6"/>
      <c r="Y597" s="6"/>
      <c r="Z597" s="6"/>
      <c r="AA597" s="6"/>
      <c r="AB597" s="6"/>
      <c r="AD597" s="6"/>
      <c r="AE597" s="6"/>
      <c r="AF597" s="6"/>
      <c r="AG597" s="6"/>
      <c r="AH597" s="6"/>
      <c r="AI597" s="6"/>
      <c r="AK597" s="6"/>
      <c r="AL597" s="6"/>
      <c r="AM597" s="6"/>
      <c r="AN597" s="6"/>
      <c r="AO597" s="6"/>
      <c r="AP597" s="6"/>
      <c r="AQ597" s="6"/>
      <c r="AR597" s="6"/>
      <c r="AS597" s="15"/>
      <c r="AT597" s="6" t="str">
        <f ca="1">IFERROR(__xludf.DUMMYFUNCTION("""COMPUTED_VALUE"""),"#N/A")</f>
        <v>#N/A</v>
      </c>
      <c r="AU597" s="6" t="str">
        <f ca="1">IFERROR(__xludf.DUMMYFUNCTION("""COMPUTED_VALUE"""),"FALSE")</f>
        <v>FALSE</v>
      </c>
      <c r="AV597" s="6">
        <f t="shared" si="42"/>
        <v>0</v>
      </c>
      <c r="AW597" s="6">
        <f t="shared" si="43"/>
        <v>0</v>
      </c>
      <c r="AX597" s="6">
        <f t="shared" si="44"/>
        <v>0</v>
      </c>
      <c r="AY597" s="6">
        <f t="shared" si="45"/>
        <v>0</v>
      </c>
      <c r="AZ597" s="9" t="str">
        <f t="shared" si="46"/>
        <v/>
      </c>
      <c r="BA597" s="6">
        <f t="shared" si="47"/>
        <v>0</v>
      </c>
      <c r="BB597" s="6">
        <f t="shared" si="48"/>
        <v>0</v>
      </c>
      <c r="BC597" s="9" t="str">
        <f t="shared" si="49"/>
        <v/>
      </c>
      <c r="BD597" s="6">
        <f t="shared" si="50"/>
        <v>0</v>
      </c>
      <c r="BE597" s="6">
        <f t="shared" si="51"/>
        <v>0</v>
      </c>
      <c r="BF597" s="9" t="str">
        <f t="shared" si="52"/>
        <v/>
      </c>
      <c r="BG597" s="6">
        <f t="shared" si="53"/>
        <v>0</v>
      </c>
      <c r="BH597" s="6">
        <f t="shared" si="54"/>
        <v>0</v>
      </c>
      <c r="BI597" s="9" t="str">
        <f t="shared" si="55"/>
        <v/>
      </c>
      <c r="BJ597" s="6">
        <f t="shared" si="56"/>
        <v>0</v>
      </c>
      <c r="BK597" s="6">
        <f t="shared" si="57"/>
        <v>0</v>
      </c>
      <c r="BL597" s="6">
        <f t="shared" si="58"/>
        <v>0</v>
      </c>
      <c r="BM597" s="6">
        <f t="shared" si="59"/>
        <v>0</v>
      </c>
      <c r="BN597" s="6">
        <f t="shared" si="60"/>
        <v>0</v>
      </c>
      <c r="BP597" s="6">
        <f t="shared" si="61"/>
        <v>0</v>
      </c>
      <c r="BQ597" s="6" t="b">
        <f ca="1">IFERROR(__xludf.DUMMYFUNCTION("IF(AND(ISERROR(FILTER('Items by Team'!D$2:D3410,'Items by Team'!C$2:C3410 = D597,'Items by Team'!B$2:B3410 = B597)),NOT(A597=""Practice"")),TRUE,FALSE)"),FALSE)</f>
        <v>0</v>
      </c>
      <c r="BR597" s="6">
        <f t="shared" ca="1" si="62"/>
        <v>0</v>
      </c>
    </row>
    <row r="598" spans="1:70">
      <c r="A598" s="6"/>
      <c r="B598" s="6"/>
      <c r="C598" s="6"/>
      <c r="D598" s="6"/>
      <c r="E598" s="6"/>
      <c r="F598" s="6"/>
      <c r="G598" s="6"/>
      <c r="H598" s="6"/>
      <c r="I598" s="6"/>
      <c r="J598" s="6"/>
      <c r="K598" s="6"/>
      <c r="L598" s="6"/>
      <c r="M598" s="6"/>
      <c r="N598" s="6"/>
      <c r="O598" s="6"/>
      <c r="P598" s="6"/>
      <c r="R598" s="6"/>
      <c r="S598" s="6"/>
      <c r="T598" s="6"/>
      <c r="U598" s="6"/>
      <c r="V598" s="6"/>
      <c r="W598" s="6"/>
      <c r="X598" s="6"/>
      <c r="Y598" s="6"/>
      <c r="Z598" s="6"/>
      <c r="AA598" s="6"/>
      <c r="AB598" s="6"/>
      <c r="AD598" s="6"/>
      <c r="AE598" s="6"/>
      <c r="AF598" s="6"/>
      <c r="AG598" s="6"/>
      <c r="AH598" s="6"/>
      <c r="AI598" s="6"/>
      <c r="AK598" s="6"/>
      <c r="AL598" s="6"/>
      <c r="AM598" s="6"/>
      <c r="AN598" s="6"/>
      <c r="AO598" s="6"/>
      <c r="AP598" s="6"/>
      <c r="AQ598" s="6"/>
      <c r="AR598" s="6"/>
      <c r="AS598" s="15"/>
      <c r="AT598" s="6" t="str">
        <f ca="1">IFERROR(__xludf.DUMMYFUNCTION("""COMPUTED_VALUE"""),"#N/A")</f>
        <v>#N/A</v>
      </c>
      <c r="AU598" s="6" t="str">
        <f ca="1">IFERROR(__xludf.DUMMYFUNCTION("""COMPUTED_VALUE"""),"FALSE")</f>
        <v>FALSE</v>
      </c>
      <c r="AV598" s="6">
        <f t="shared" si="42"/>
        <v>0</v>
      </c>
      <c r="AW598" s="6">
        <f t="shared" si="43"/>
        <v>0</v>
      </c>
      <c r="AX598" s="6">
        <f t="shared" si="44"/>
        <v>0</v>
      </c>
      <c r="AY598" s="6">
        <f t="shared" si="45"/>
        <v>0</v>
      </c>
      <c r="AZ598" s="9" t="str">
        <f t="shared" si="46"/>
        <v/>
      </c>
      <c r="BA598" s="6">
        <f t="shared" si="47"/>
        <v>0</v>
      </c>
      <c r="BB598" s="6">
        <f t="shared" si="48"/>
        <v>0</v>
      </c>
      <c r="BC598" s="9" t="str">
        <f t="shared" si="49"/>
        <v/>
      </c>
      <c r="BD598" s="6">
        <f t="shared" si="50"/>
        <v>0</v>
      </c>
      <c r="BE598" s="6">
        <f t="shared" si="51"/>
        <v>0</v>
      </c>
      <c r="BF598" s="9" t="str">
        <f t="shared" si="52"/>
        <v/>
      </c>
      <c r="BG598" s="6">
        <f t="shared" si="53"/>
        <v>0</v>
      </c>
      <c r="BH598" s="6">
        <f t="shared" si="54"/>
        <v>0</v>
      </c>
      <c r="BI598" s="9" t="str">
        <f t="shared" si="55"/>
        <v/>
      </c>
      <c r="BJ598" s="6">
        <f t="shared" si="56"/>
        <v>0</v>
      </c>
      <c r="BK598" s="6">
        <f t="shared" si="57"/>
        <v>0</v>
      </c>
      <c r="BL598" s="6">
        <f t="shared" si="58"/>
        <v>0</v>
      </c>
      <c r="BM598" s="6">
        <f t="shared" si="59"/>
        <v>0</v>
      </c>
      <c r="BN598" s="6">
        <f t="shared" si="60"/>
        <v>0</v>
      </c>
      <c r="BP598" s="6">
        <f t="shared" si="61"/>
        <v>0</v>
      </c>
      <c r="BQ598" s="6" t="b">
        <f ca="1">IFERROR(__xludf.DUMMYFUNCTION("IF(AND(ISERROR(FILTER('Items by Team'!D$2:D3410,'Items by Team'!C$2:C3410 = D598,'Items by Team'!B$2:B3410 = B598)),NOT(A598=""Practice"")),TRUE,FALSE)"),FALSE)</f>
        <v>0</v>
      </c>
      <c r="BR598" s="6">
        <f t="shared" ca="1" si="62"/>
        <v>0</v>
      </c>
    </row>
    <row r="599" spans="1:70">
      <c r="A599" s="6"/>
      <c r="B599" s="6"/>
      <c r="C599" s="6"/>
      <c r="D599" s="6"/>
      <c r="E599" s="6"/>
      <c r="F599" s="6"/>
      <c r="G599" s="6"/>
      <c r="H599" s="6"/>
      <c r="I599" s="6"/>
      <c r="J599" s="6"/>
      <c r="K599" s="6"/>
      <c r="L599" s="6"/>
      <c r="M599" s="6"/>
      <c r="N599" s="6"/>
      <c r="O599" s="6"/>
      <c r="P599" s="6"/>
      <c r="R599" s="6"/>
      <c r="S599" s="6"/>
      <c r="T599" s="6"/>
      <c r="U599" s="6"/>
      <c r="V599" s="6"/>
      <c r="W599" s="6"/>
      <c r="X599" s="6"/>
      <c r="Y599" s="6"/>
      <c r="Z599" s="6"/>
      <c r="AA599" s="6"/>
      <c r="AB599" s="6"/>
      <c r="AD599" s="6"/>
      <c r="AE599" s="6"/>
      <c r="AF599" s="6"/>
      <c r="AG599" s="6"/>
      <c r="AH599" s="6"/>
      <c r="AI599" s="6"/>
      <c r="AK599" s="6"/>
      <c r="AL599" s="6"/>
      <c r="AM599" s="6"/>
      <c r="AN599" s="6"/>
      <c r="AO599" s="6"/>
      <c r="AP599" s="6"/>
      <c r="AQ599" s="6"/>
      <c r="AR599" s="6"/>
      <c r="AS599" s="15"/>
      <c r="AT599" s="6" t="str">
        <f ca="1">IFERROR(__xludf.DUMMYFUNCTION("""COMPUTED_VALUE"""),"#N/A")</f>
        <v>#N/A</v>
      </c>
      <c r="AU599" s="6" t="str">
        <f ca="1">IFERROR(__xludf.DUMMYFUNCTION("""COMPUTED_VALUE"""),"FALSE")</f>
        <v>FALSE</v>
      </c>
      <c r="AV599" s="6">
        <f t="shared" si="42"/>
        <v>0</v>
      </c>
      <c r="AW599" s="6">
        <f t="shared" si="43"/>
        <v>0</v>
      </c>
      <c r="AX599" s="6">
        <f t="shared" si="44"/>
        <v>0</v>
      </c>
      <c r="AY599" s="6">
        <f t="shared" si="45"/>
        <v>0</v>
      </c>
      <c r="AZ599" s="9" t="str">
        <f t="shared" si="46"/>
        <v/>
      </c>
      <c r="BA599" s="6">
        <f t="shared" si="47"/>
        <v>0</v>
      </c>
      <c r="BB599" s="6">
        <f t="shared" si="48"/>
        <v>0</v>
      </c>
      <c r="BC599" s="9" t="str">
        <f t="shared" si="49"/>
        <v/>
      </c>
      <c r="BD599" s="6">
        <f t="shared" si="50"/>
        <v>0</v>
      </c>
      <c r="BE599" s="6">
        <f t="shared" si="51"/>
        <v>0</v>
      </c>
      <c r="BF599" s="9" t="str">
        <f t="shared" si="52"/>
        <v/>
      </c>
      <c r="BG599" s="6">
        <f t="shared" si="53"/>
        <v>0</v>
      </c>
      <c r="BH599" s="6">
        <f t="shared" si="54"/>
        <v>0</v>
      </c>
      <c r="BI599" s="9" t="str">
        <f t="shared" si="55"/>
        <v/>
      </c>
      <c r="BJ599" s="6">
        <f t="shared" si="56"/>
        <v>0</v>
      </c>
      <c r="BK599" s="6">
        <f t="shared" si="57"/>
        <v>0</v>
      </c>
      <c r="BL599" s="6">
        <f t="shared" si="58"/>
        <v>0</v>
      </c>
      <c r="BM599" s="6">
        <f t="shared" si="59"/>
        <v>0</v>
      </c>
      <c r="BN599" s="6">
        <f t="shared" si="60"/>
        <v>0</v>
      </c>
      <c r="BP599" s="6">
        <f t="shared" si="61"/>
        <v>0</v>
      </c>
      <c r="BQ599" s="6" t="b">
        <f ca="1">IFERROR(__xludf.DUMMYFUNCTION("IF(AND(ISERROR(FILTER('Items by Team'!D$2:D3410,'Items by Team'!C$2:C3410 = D599,'Items by Team'!B$2:B3410 = B599)),NOT(A599=""Practice"")),TRUE,FALSE)"),FALSE)</f>
        <v>0</v>
      </c>
      <c r="BR599" s="6">
        <f t="shared" ca="1" si="62"/>
        <v>0</v>
      </c>
    </row>
    <row r="600" spans="1:70">
      <c r="A600" s="6"/>
      <c r="B600" s="6"/>
      <c r="C600" s="6"/>
      <c r="D600" s="6"/>
      <c r="E600" s="6"/>
      <c r="F600" s="6"/>
      <c r="G600" s="6"/>
      <c r="H600" s="6"/>
      <c r="I600" s="6"/>
      <c r="J600" s="6"/>
      <c r="K600" s="6"/>
      <c r="L600" s="6"/>
      <c r="M600" s="6"/>
      <c r="N600" s="6"/>
      <c r="O600" s="6"/>
      <c r="P600" s="6"/>
      <c r="R600" s="6"/>
      <c r="S600" s="6"/>
      <c r="T600" s="6"/>
      <c r="U600" s="6"/>
      <c r="V600" s="6"/>
      <c r="W600" s="6"/>
      <c r="X600" s="6"/>
      <c r="Y600" s="6"/>
      <c r="Z600" s="6"/>
      <c r="AA600" s="6"/>
      <c r="AB600" s="6"/>
      <c r="AD600" s="6"/>
      <c r="AE600" s="6"/>
      <c r="AF600" s="6"/>
      <c r="AG600" s="6"/>
      <c r="AH600" s="6"/>
      <c r="AI600" s="6"/>
      <c r="AK600" s="6"/>
      <c r="AL600" s="6"/>
      <c r="AM600" s="6"/>
      <c r="AN600" s="6"/>
      <c r="AO600" s="6"/>
      <c r="AP600" s="6"/>
      <c r="AQ600" s="6"/>
      <c r="AR600" s="6"/>
      <c r="AS600" s="15"/>
      <c r="AT600" s="6" t="str">
        <f ca="1">IFERROR(__xludf.DUMMYFUNCTION("""COMPUTED_VALUE"""),"#N/A")</f>
        <v>#N/A</v>
      </c>
      <c r="AU600" s="6" t="str">
        <f ca="1">IFERROR(__xludf.DUMMYFUNCTION("""COMPUTED_VALUE"""),"FALSE")</f>
        <v>FALSE</v>
      </c>
      <c r="AV600" s="6">
        <f t="shared" si="42"/>
        <v>0</v>
      </c>
      <c r="AW600" s="6">
        <f t="shared" si="43"/>
        <v>0</v>
      </c>
      <c r="AX600" s="6">
        <f t="shared" si="44"/>
        <v>0</v>
      </c>
      <c r="AY600" s="6">
        <f t="shared" si="45"/>
        <v>0</v>
      </c>
      <c r="AZ600" s="9" t="str">
        <f t="shared" si="46"/>
        <v/>
      </c>
      <c r="BA600" s="6">
        <f t="shared" si="47"/>
        <v>0</v>
      </c>
      <c r="BB600" s="6">
        <f t="shared" si="48"/>
        <v>0</v>
      </c>
      <c r="BC600" s="9" t="str">
        <f t="shared" si="49"/>
        <v/>
      </c>
      <c r="BD600" s="6">
        <f t="shared" si="50"/>
        <v>0</v>
      </c>
      <c r="BE600" s="6">
        <f t="shared" si="51"/>
        <v>0</v>
      </c>
      <c r="BF600" s="9" t="str">
        <f t="shared" si="52"/>
        <v/>
      </c>
      <c r="BG600" s="6">
        <f t="shared" si="53"/>
        <v>0</v>
      </c>
      <c r="BH600" s="6">
        <f t="shared" si="54"/>
        <v>0</v>
      </c>
      <c r="BI600" s="9" t="str">
        <f t="shared" si="55"/>
        <v/>
      </c>
      <c r="BJ600" s="6">
        <f t="shared" si="56"/>
        <v>0</v>
      </c>
      <c r="BK600" s="6">
        <f t="shared" si="57"/>
        <v>0</v>
      </c>
      <c r="BL600" s="6">
        <f t="shared" si="58"/>
        <v>0</v>
      </c>
      <c r="BM600" s="6">
        <f t="shared" si="59"/>
        <v>0</v>
      </c>
      <c r="BN600" s="6">
        <f t="shared" si="60"/>
        <v>0</v>
      </c>
      <c r="BP600" s="6">
        <f t="shared" si="61"/>
        <v>0</v>
      </c>
      <c r="BQ600" s="6" t="b">
        <f ca="1">IFERROR(__xludf.DUMMYFUNCTION("IF(AND(ISERROR(FILTER('Items by Team'!D$2:D3410,'Items by Team'!C$2:C3410 = D600,'Items by Team'!B$2:B3410 = B600)),NOT(A600=""Practice"")),TRUE,FALSE)"),FALSE)</f>
        <v>0</v>
      </c>
      <c r="BR600" s="6">
        <f t="shared" ca="1" si="62"/>
        <v>0</v>
      </c>
    </row>
    <row r="601" spans="1:70">
      <c r="A601" s="6"/>
      <c r="B601" s="6"/>
      <c r="C601" s="6"/>
      <c r="D601" s="6"/>
      <c r="E601" s="6"/>
      <c r="F601" s="6"/>
      <c r="G601" s="6"/>
      <c r="H601" s="6"/>
      <c r="I601" s="6"/>
      <c r="J601" s="6"/>
      <c r="K601" s="6"/>
      <c r="L601" s="6"/>
      <c r="M601" s="6"/>
      <c r="N601" s="6"/>
      <c r="O601" s="6"/>
      <c r="P601" s="6"/>
      <c r="R601" s="6"/>
      <c r="S601" s="6"/>
      <c r="T601" s="6"/>
      <c r="U601" s="6"/>
      <c r="V601" s="6"/>
      <c r="W601" s="6"/>
      <c r="X601" s="6"/>
      <c r="Y601" s="6"/>
      <c r="Z601" s="6"/>
      <c r="AA601" s="6"/>
      <c r="AB601" s="6"/>
      <c r="AD601" s="6"/>
      <c r="AE601" s="6"/>
      <c r="AF601" s="6"/>
      <c r="AG601" s="6"/>
      <c r="AH601" s="6"/>
      <c r="AI601" s="6"/>
      <c r="AK601" s="6"/>
      <c r="AL601" s="6"/>
      <c r="AM601" s="6"/>
      <c r="AN601" s="6"/>
      <c r="AO601" s="6"/>
      <c r="AP601" s="6"/>
      <c r="AQ601" s="6"/>
      <c r="AR601" s="6"/>
      <c r="AS601" s="15"/>
      <c r="AT601" s="6" t="str">
        <f ca="1">IFERROR(__xludf.DUMMYFUNCTION("""COMPUTED_VALUE"""),"#N/A")</f>
        <v>#N/A</v>
      </c>
      <c r="AU601" s="6" t="str">
        <f ca="1">IFERROR(__xludf.DUMMYFUNCTION("""COMPUTED_VALUE"""),"FALSE")</f>
        <v>FALSE</v>
      </c>
      <c r="AV601" s="6">
        <f t="shared" si="42"/>
        <v>0</v>
      </c>
      <c r="AW601" s="6">
        <f t="shared" si="43"/>
        <v>0</v>
      </c>
      <c r="AX601" s="6">
        <f t="shared" si="44"/>
        <v>0</v>
      </c>
      <c r="AY601" s="6">
        <f t="shared" si="45"/>
        <v>0</v>
      </c>
      <c r="AZ601" s="9" t="str">
        <f t="shared" si="46"/>
        <v/>
      </c>
      <c r="BA601" s="6">
        <f t="shared" si="47"/>
        <v>0</v>
      </c>
      <c r="BB601" s="6">
        <f t="shared" si="48"/>
        <v>0</v>
      </c>
      <c r="BC601" s="9" t="str">
        <f t="shared" si="49"/>
        <v/>
      </c>
      <c r="BD601" s="6">
        <f t="shared" si="50"/>
        <v>0</v>
      </c>
      <c r="BE601" s="6">
        <f t="shared" si="51"/>
        <v>0</v>
      </c>
      <c r="BF601" s="9" t="str">
        <f t="shared" si="52"/>
        <v/>
      </c>
      <c r="BG601" s="6">
        <f t="shared" si="53"/>
        <v>0</v>
      </c>
      <c r="BH601" s="6">
        <f t="shared" si="54"/>
        <v>0</v>
      </c>
      <c r="BI601" s="9" t="str">
        <f t="shared" si="55"/>
        <v/>
      </c>
      <c r="BJ601" s="6">
        <f t="shared" si="56"/>
        <v>0</v>
      </c>
      <c r="BK601" s="6">
        <f t="shared" si="57"/>
        <v>0</v>
      </c>
      <c r="BL601" s="6">
        <f t="shared" si="58"/>
        <v>0</v>
      </c>
      <c r="BM601" s="6">
        <f t="shared" si="59"/>
        <v>0</v>
      </c>
      <c r="BN601" s="6">
        <f t="shared" si="60"/>
        <v>0</v>
      </c>
      <c r="BP601" s="6">
        <f t="shared" si="61"/>
        <v>0</v>
      </c>
      <c r="BQ601" s="6" t="b">
        <f ca="1">IFERROR(__xludf.DUMMYFUNCTION("IF(AND(ISERROR(FILTER('Items by Team'!D$2:D3410,'Items by Team'!C$2:C3410 = D601,'Items by Team'!B$2:B3410 = B601)),NOT(A601=""Practice"")),TRUE,FALSE)"),FALSE)</f>
        <v>0</v>
      </c>
      <c r="BR601" s="6">
        <f t="shared" ca="1" si="62"/>
        <v>0</v>
      </c>
    </row>
    <row r="602" spans="1:70">
      <c r="A602" s="6"/>
      <c r="B602" s="6"/>
      <c r="C602" s="6"/>
      <c r="D602" s="6"/>
      <c r="E602" s="6"/>
      <c r="F602" s="6"/>
      <c r="G602" s="6"/>
      <c r="H602" s="6"/>
      <c r="I602" s="6"/>
      <c r="J602" s="6"/>
      <c r="K602" s="6"/>
      <c r="L602" s="6"/>
      <c r="M602" s="6"/>
      <c r="N602" s="6"/>
      <c r="O602" s="6"/>
      <c r="P602" s="6"/>
      <c r="R602" s="6"/>
      <c r="S602" s="6"/>
      <c r="T602" s="6"/>
      <c r="U602" s="6"/>
      <c r="V602" s="6"/>
      <c r="W602" s="6"/>
      <c r="X602" s="6"/>
      <c r="Y602" s="6"/>
      <c r="Z602" s="6"/>
      <c r="AA602" s="6"/>
      <c r="AB602" s="6"/>
      <c r="AD602" s="6"/>
      <c r="AE602" s="6"/>
      <c r="AF602" s="6"/>
      <c r="AG602" s="6"/>
      <c r="AH602" s="6"/>
      <c r="AI602" s="6"/>
      <c r="AK602" s="6"/>
      <c r="AL602" s="6"/>
      <c r="AM602" s="6"/>
      <c r="AN602" s="6"/>
      <c r="AO602" s="6"/>
      <c r="AP602" s="6"/>
      <c r="AQ602" s="6"/>
      <c r="AR602" s="6"/>
      <c r="AS602" s="15"/>
      <c r="AT602" s="6" t="str">
        <f ca="1">IFERROR(__xludf.DUMMYFUNCTION("""COMPUTED_VALUE"""),"#N/A")</f>
        <v>#N/A</v>
      </c>
      <c r="AU602" s="6" t="str">
        <f ca="1">IFERROR(__xludf.DUMMYFUNCTION("""COMPUTED_VALUE"""),"FALSE")</f>
        <v>FALSE</v>
      </c>
      <c r="AV602" s="6">
        <f t="shared" si="42"/>
        <v>0</v>
      </c>
      <c r="AW602" s="6">
        <f t="shared" si="43"/>
        <v>0</v>
      </c>
      <c r="AX602" s="6">
        <f t="shared" si="44"/>
        <v>0</v>
      </c>
      <c r="AY602" s="6">
        <f t="shared" si="45"/>
        <v>0</v>
      </c>
      <c r="AZ602" s="9" t="str">
        <f t="shared" si="46"/>
        <v/>
      </c>
      <c r="BA602" s="6">
        <f t="shared" si="47"/>
        <v>0</v>
      </c>
      <c r="BB602" s="6">
        <f t="shared" si="48"/>
        <v>0</v>
      </c>
      <c r="BC602" s="9" t="str">
        <f t="shared" si="49"/>
        <v/>
      </c>
      <c r="BD602" s="6">
        <f t="shared" si="50"/>
        <v>0</v>
      </c>
      <c r="BE602" s="6">
        <f t="shared" si="51"/>
        <v>0</v>
      </c>
      <c r="BF602" s="9" t="str">
        <f t="shared" si="52"/>
        <v/>
      </c>
      <c r="BG602" s="6">
        <f t="shared" si="53"/>
        <v>0</v>
      </c>
      <c r="BH602" s="6">
        <f t="shared" si="54"/>
        <v>0</v>
      </c>
      <c r="BI602" s="9" t="str">
        <f t="shared" si="55"/>
        <v/>
      </c>
      <c r="BJ602" s="6">
        <f t="shared" si="56"/>
        <v>0</v>
      </c>
      <c r="BK602" s="6">
        <f t="shared" si="57"/>
        <v>0</v>
      </c>
      <c r="BL602" s="6">
        <f t="shared" si="58"/>
        <v>0</v>
      </c>
      <c r="BM602" s="6">
        <f t="shared" si="59"/>
        <v>0</v>
      </c>
      <c r="BN602" s="6">
        <f t="shared" si="60"/>
        <v>0</v>
      </c>
      <c r="BP602" s="6">
        <f t="shared" si="61"/>
        <v>0</v>
      </c>
      <c r="BQ602" s="6" t="b">
        <f ca="1">IFERROR(__xludf.DUMMYFUNCTION("IF(AND(ISERROR(FILTER('Items by Team'!D$2:D3410,'Items by Team'!C$2:C3410 = D602,'Items by Team'!B$2:B3410 = B602)),NOT(A602=""Practice"")),TRUE,FALSE)"),FALSE)</f>
        <v>0</v>
      </c>
      <c r="BR602" s="6">
        <f t="shared" ca="1" si="62"/>
        <v>0</v>
      </c>
    </row>
    <row r="603" spans="1:70">
      <c r="A603" s="6"/>
      <c r="B603" s="6"/>
      <c r="C603" s="6"/>
      <c r="D603" s="6"/>
      <c r="E603" s="6"/>
      <c r="F603" s="6"/>
      <c r="G603" s="6"/>
      <c r="H603" s="6"/>
      <c r="I603" s="6"/>
      <c r="J603" s="6"/>
      <c r="K603" s="6"/>
      <c r="L603" s="6"/>
      <c r="M603" s="6"/>
      <c r="N603" s="6"/>
      <c r="O603" s="6"/>
      <c r="P603" s="6"/>
      <c r="R603" s="6"/>
      <c r="S603" s="6"/>
      <c r="T603" s="6"/>
      <c r="U603" s="6"/>
      <c r="V603" s="6"/>
      <c r="W603" s="6"/>
      <c r="X603" s="6"/>
      <c r="Y603" s="6"/>
      <c r="Z603" s="6"/>
      <c r="AA603" s="6"/>
      <c r="AB603" s="6"/>
      <c r="AD603" s="6"/>
      <c r="AE603" s="6"/>
      <c r="AF603" s="6"/>
      <c r="AG603" s="6"/>
      <c r="AH603" s="6"/>
      <c r="AI603" s="6"/>
      <c r="AK603" s="6"/>
      <c r="AL603" s="6"/>
      <c r="AM603" s="6"/>
      <c r="AN603" s="6"/>
      <c r="AO603" s="6"/>
      <c r="AP603" s="6"/>
      <c r="AQ603" s="6"/>
      <c r="AR603" s="6"/>
      <c r="AS603" s="15"/>
      <c r="AT603" s="6" t="str">
        <f ca="1">IFERROR(__xludf.DUMMYFUNCTION("""COMPUTED_VALUE"""),"#N/A")</f>
        <v>#N/A</v>
      </c>
      <c r="AU603" s="6" t="str">
        <f ca="1">IFERROR(__xludf.DUMMYFUNCTION("""COMPUTED_VALUE"""),"FALSE")</f>
        <v>FALSE</v>
      </c>
      <c r="AV603" s="6">
        <f t="shared" si="42"/>
        <v>0</v>
      </c>
      <c r="AW603" s="6">
        <f t="shared" si="43"/>
        <v>0</v>
      </c>
      <c r="AX603" s="6">
        <f t="shared" si="44"/>
        <v>0</v>
      </c>
      <c r="AY603" s="6">
        <f t="shared" si="45"/>
        <v>0</v>
      </c>
      <c r="AZ603" s="9" t="str">
        <f t="shared" si="46"/>
        <v/>
      </c>
      <c r="BA603" s="6">
        <f t="shared" si="47"/>
        <v>0</v>
      </c>
      <c r="BB603" s="6">
        <f t="shared" si="48"/>
        <v>0</v>
      </c>
      <c r="BC603" s="9" t="str">
        <f t="shared" si="49"/>
        <v/>
      </c>
      <c r="BD603" s="6">
        <f t="shared" si="50"/>
        <v>0</v>
      </c>
      <c r="BE603" s="6">
        <f t="shared" si="51"/>
        <v>0</v>
      </c>
      <c r="BF603" s="9" t="str">
        <f t="shared" si="52"/>
        <v/>
      </c>
      <c r="BG603" s="6">
        <f t="shared" si="53"/>
        <v>0</v>
      </c>
      <c r="BH603" s="6">
        <f t="shared" si="54"/>
        <v>0</v>
      </c>
      <c r="BI603" s="9" t="str">
        <f t="shared" si="55"/>
        <v/>
      </c>
      <c r="BJ603" s="6">
        <f t="shared" si="56"/>
        <v>0</v>
      </c>
      <c r="BK603" s="6">
        <f t="shared" si="57"/>
        <v>0</v>
      </c>
      <c r="BL603" s="6">
        <f t="shared" si="58"/>
        <v>0</v>
      </c>
      <c r="BM603" s="6">
        <f t="shared" si="59"/>
        <v>0</v>
      </c>
      <c r="BN603" s="6">
        <f t="shared" si="60"/>
        <v>0</v>
      </c>
      <c r="BP603" s="6">
        <f t="shared" si="61"/>
        <v>0</v>
      </c>
      <c r="BQ603" s="6" t="b">
        <f ca="1">IFERROR(__xludf.DUMMYFUNCTION("IF(AND(ISERROR(FILTER('Items by Team'!D$2:D3410,'Items by Team'!C$2:C3410 = D603,'Items by Team'!B$2:B3410 = B603)),NOT(A603=""Practice"")),TRUE,FALSE)"),FALSE)</f>
        <v>0</v>
      </c>
      <c r="BR603" s="6">
        <f t="shared" ca="1" si="62"/>
        <v>0</v>
      </c>
    </row>
    <row r="604" spans="1:70">
      <c r="A604" s="6"/>
      <c r="B604" s="6"/>
      <c r="C604" s="6"/>
      <c r="D604" s="6"/>
      <c r="E604" s="6"/>
      <c r="F604" s="6"/>
      <c r="G604" s="6"/>
      <c r="H604" s="6"/>
      <c r="I604" s="6"/>
      <c r="J604" s="6"/>
      <c r="K604" s="6"/>
      <c r="L604" s="6"/>
      <c r="M604" s="6"/>
      <c r="N604" s="6"/>
      <c r="O604" s="6"/>
      <c r="P604" s="6"/>
      <c r="R604" s="6"/>
      <c r="S604" s="6"/>
      <c r="T604" s="6"/>
      <c r="U604" s="6"/>
      <c r="V604" s="6"/>
      <c r="W604" s="6"/>
      <c r="X604" s="6"/>
      <c r="Y604" s="6"/>
      <c r="Z604" s="6"/>
      <c r="AA604" s="6"/>
      <c r="AB604" s="6"/>
      <c r="AD604" s="6"/>
      <c r="AE604" s="6"/>
      <c r="AF604" s="6"/>
      <c r="AG604" s="6"/>
      <c r="AH604" s="6"/>
      <c r="AI604" s="6"/>
      <c r="AK604" s="6"/>
      <c r="AL604" s="6"/>
      <c r="AM604" s="6"/>
      <c r="AN604" s="6"/>
      <c r="AO604" s="6"/>
      <c r="AP604" s="6"/>
      <c r="AQ604" s="6"/>
      <c r="AR604" s="6"/>
      <c r="AS604" s="15"/>
      <c r="AT604" s="6" t="str">
        <f ca="1">IFERROR(__xludf.DUMMYFUNCTION("""COMPUTED_VALUE"""),"#N/A")</f>
        <v>#N/A</v>
      </c>
      <c r="AU604" s="6" t="str">
        <f ca="1">IFERROR(__xludf.DUMMYFUNCTION("""COMPUTED_VALUE"""),"FALSE")</f>
        <v>FALSE</v>
      </c>
      <c r="AV604" s="6">
        <f t="shared" si="42"/>
        <v>0</v>
      </c>
      <c r="AW604" s="6">
        <f t="shared" si="43"/>
        <v>0</v>
      </c>
      <c r="AX604" s="6">
        <f t="shared" si="44"/>
        <v>0</v>
      </c>
      <c r="AY604" s="6">
        <f t="shared" si="45"/>
        <v>0</v>
      </c>
      <c r="AZ604" s="9" t="str">
        <f t="shared" si="46"/>
        <v/>
      </c>
      <c r="BA604" s="6">
        <f t="shared" si="47"/>
        <v>0</v>
      </c>
      <c r="BB604" s="6">
        <f t="shared" si="48"/>
        <v>0</v>
      </c>
      <c r="BC604" s="9" t="str">
        <f t="shared" si="49"/>
        <v/>
      </c>
      <c r="BD604" s="6">
        <f t="shared" si="50"/>
        <v>0</v>
      </c>
      <c r="BE604" s="6">
        <f t="shared" si="51"/>
        <v>0</v>
      </c>
      <c r="BF604" s="9" t="str">
        <f t="shared" si="52"/>
        <v/>
      </c>
      <c r="BG604" s="6">
        <f t="shared" si="53"/>
        <v>0</v>
      </c>
      <c r="BH604" s="6">
        <f t="shared" si="54"/>
        <v>0</v>
      </c>
      <c r="BI604" s="9" t="str">
        <f t="shared" si="55"/>
        <v/>
      </c>
      <c r="BJ604" s="6">
        <f t="shared" si="56"/>
        <v>0</v>
      </c>
      <c r="BK604" s="6">
        <f t="shared" si="57"/>
        <v>0</v>
      </c>
      <c r="BL604" s="6">
        <f t="shared" si="58"/>
        <v>0</v>
      </c>
      <c r="BM604" s="6">
        <f t="shared" si="59"/>
        <v>0</v>
      </c>
      <c r="BN604" s="6">
        <f t="shared" si="60"/>
        <v>0</v>
      </c>
      <c r="BP604" s="6">
        <f t="shared" si="61"/>
        <v>0</v>
      </c>
      <c r="BQ604" s="6" t="b">
        <f ca="1">IFERROR(__xludf.DUMMYFUNCTION("IF(AND(ISERROR(FILTER('Items by Team'!D$2:D3410,'Items by Team'!C$2:C3410 = D604,'Items by Team'!B$2:B3410 = B604)),NOT(A604=""Practice"")),TRUE,FALSE)"),FALSE)</f>
        <v>0</v>
      </c>
      <c r="BR604" s="6">
        <f t="shared" ca="1" si="62"/>
        <v>0</v>
      </c>
    </row>
    <row r="605" spans="1:70">
      <c r="A605" s="6"/>
      <c r="B605" s="6"/>
      <c r="C605" s="6"/>
      <c r="D605" s="6"/>
      <c r="E605" s="6"/>
      <c r="F605" s="6"/>
      <c r="G605" s="6"/>
      <c r="H605" s="6"/>
      <c r="I605" s="6"/>
      <c r="J605" s="6"/>
      <c r="K605" s="6"/>
      <c r="L605" s="6"/>
      <c r="M605" s="6"/>
      <c r="N605" s="6"/>
      <c r="O605" s="6"/>
      <c r="P605" s="6"/>
      <c r="R605" s="6"/>
      <c r="S605" s="6"/>
      <c r="T605" s="6"/>
      <c r="U605" s="6"/>
      <c r="V605" s="6"/>
      <c r="W605" s="6"/>
      <c r="X605" s="6"/>
      <c r="Y605" s="6"/>
      <c r="Z605" s="6"/>
      <c r="AA605" s="6"/>
      <c r="AB605" s="6"/>
      <c r="AD605" s="6"/>
      <c r="AE605" s="6"/>
      <c r="AF605" s="6"/>
      <c r="AG605" s="6"/>
      <c r="AH605" s="6"/>
      <c r="AI605" s="6"/>
      <c r="AK605" s="6"/>
      <c r="AL605" s="6"/>
      <c r="AM605" s="6"/>
      <c r="AN605" s="6"/>
      <c r="AO605" s="6"/>
      <c r="AP605" s="6"/>
      <c r="AQ605" s="6"/>
      <c r="AR605" s="6"/>
      <c r="AS605" s="15"/>
      <c r="AT605" s="6" t="str">
        <f ca="1">IFERROR(__xludf.DUMMYFUNCTION("""COMPUTED_VALUE"""),"#N/A")</f>
        <v>#N/A</v>
      </c>
      <c r="AU605" s="6" t="str">
        <f ca="1">IFERROR(__xludf.DUMMYFUNCTION("""COMPUTED_VALUE"""),"FALSE")</f>
        <v>FALSE</v>
      </c>
      <c r="AV605" s="6">
        <f t="shared" si="42"/>
        <v>0</v>
      </c>
      <c r="AW605" s="6">
        <f t="shared" si="43"/>
        <v>0</v>
      </c>
      <c r="AX605" s="6">
        <f t="shared" si="44"/>
        <v>0</v>
      </c>
      <c r="AY605" s="6">
        <f t="shared" si="45"/>
        <v>0</v>
      </c>
      <c r="AZ605" s="9" t="str">
        <f t="shared" si="46"/>
        <v/>
      </c>
      <c r="BA605" s="6">
        <f t="shared" si="47"/>
        <v>0</v>
      </c>
      <c r="BB605" s="6">
        <f t="shared" si="48"/>
        <v>0</v>
      </c>
      <c r="BC605" s="9" t="str">
        <f t="shared" si="49"/>
        <v/>
      </c>
      <c r="BD605" s="6">
        <f t="shared" si="50"/>
        <v>0</v>
      </c>
      <c r="BE605" s="6">
        <f t="shared" si="51"/>
        <v>0</v>
      </c>
      <c r="BF605" s="9" t="str">
        <f t="shared" si="52"/>
        <v/>
      </c>
      <c r="BG605" s="6">
        <f t="shared" si="53"/>
        <v>0</v>
      </c>
      <c r="BH605" s="6">
        <f t="shared" si="54"/>
        <v>0</v>
      </c>
      <c r="BI605" s="9" t="str">
        <f t="shared" si="55"/>
        <v/>
      </c>
      <c r="BJ605" s="6">
        <f t="shared" si="56"/>
        <v>0</v>
      </c>
      <c r="BK605" s="6">
        <f t="shared" si="57"/>
        <v>0</v>
      </c>
      <c r="BL605" s="6">
        <f t="shared" si="58"/>
        <v>0</v>
      </c>
      <c r="BM605" s="6">
        <f t="shared" si="59"/>
        <v>0</v>
      </c>
      <c r="BN605" s="6">
        <f t="shared" si="60"/>
        <v>0</v>
      </c>
      <c r="BP605" s="6">
        <f t="shared" si="61"/>
        <v>0</v>
      </c>
      <c r="BQ605" s="6" t="b">
        <f ca="1">IFERROR(__xludf.DUMMYFUNCTION("IF(AND(ISERROR(FILTER('Items by Team'!D$2:D3410,'Items by Team'!C$2:C3410 = D605,'Items by Team'!B$2:B3410 = B605)),NOT(A605=""Practice"")),TRUE,FALSE)"),FALSE)</f>
        <v>0</v>
      </c>
      <c r="BR605" s="6">
        <f t="shared" ca="1" si="62"/>
        <v>0</v>
      </c>
    </row>
    <row r="606" spans="1:70">
      <c r="A606" s="6"/>
      <c r="B606" s="6"/>
      <c r="C606" s="6"/>
      <c r="D606" s="6"/>
      <c r="E606" s="6"/>
      <c r="F606" s="6"/>
      <c r="G606" s="6"/>
      <c r="H606" s="6"/>
      <c r="I606" s="6"/>
      <c r="J606" s="6"/>
      <c r="K606" s="6"/>
      <c r="L606" s="6"/>
      <c r="M606" s="6"/>
      <c r="N606" s="6"/>
      <c r="O606" s="6"/>
      <c r="P606" s="6"/>
      <c r="R606" s="6"/>
      <c r="S606" s="6"/>
      <c r="T606" s="6"/>
      <c r="U606" s="6"/>
      <c r="V606" s="6"/>
      <c r="W606" s="6"/>
      <c r="X606" s="6"/>
      <c r="Y606" s="6"/>
      <c r="Z606" s="6"/>
      <c r="AA606" s="6"/>
      <c r="AB606" s="6"/>
      <c r="AD606" s="6"/>
      <c r="AE606" s="6"/>
      <c r="AF606" s="6"/>
      <c r="AG606" s="6"/>
      <c r="AH606" s="6"/>
      <c r="AI606" s="6"/>
      <c r="AK606" s="6"/>
      <c r="AL606" s="6"/>
      <c r="AM606" s="6"/>
      <c r="AN606" s="6"/>
      <c r="AO606" s="6"/>
      <c r="AP606" s="6"/>
      <c r="AQ606" s="6"/>
      <c r="AR606" s="6"/>
      <c r="AS606" s="15"/>
      <c r="AT606" s="6" t="str">
        <f ca="1">IFERROR(__xludf.DUMMYFUNCTION("""COMPUTED_VALUE"""),"#N/A")</f>
        <v>#N/A</v>
      </c>
      <c r="AU606" s="6" t="str">
        <f ca="1">IFERROR(__xludf.DUMMYFUNCTION("""COMPUTED_VALUE"""),"FALSE")</f>
        <v>FALSE</v>
      </c>
      <c r="AV606" s="6">
        <f t="shared" si="42"/>
        <v>0</v>
      </c>
      <c r="AW606" s="6">
        <f t="shared" si="43"/>
        <v>0</v>
      </c>
      <c r="AX606" s="6">
        <f t="shared" si="44"/>
        <v>0</v>
      </c>
      <c r="AY606" s="6">
        <f t="shared" si="45"/>
        <v>0</v>
      </c>
      <c r="AZ606" s="9" t="str">
        <f t="shared" si="46"/>
        <v/>
      </c>
      <c r="BA606" s="6">
        <f t="shared" si="47"/>
        <v>0</v>
      </c>
      <c r="BB606" s="6">
        <f t="shared" si="48"/>
        <v>0</v>
      </c>
      <c r="BC606" s="9" t="str">
        <f t="shared" si="49"/>
        <v/>
      </c>
      <c r="BD606" s="6">
        <f t="shared" si="50"/>
        <v>0</v>
      </c>
      <c r="BE606" s="6">
        <f t="shared" si="51"/>
        <v>0</v>
      </c>
      <c r="BF606" s="9" t="str">
        <f t="shared" si="52"/>
        <v/>
      </c>
      <c r="BG606" s="6">
        <f t="shared" si="53"/>
        <v>0</v>
      </c>
      <c r="BH606" s="6">
        <f t="shared" si="54"/>
        <v>0</v>
      </c>
      <c r="BI606" s="9" t="str">
        <f t="shared" si="55"/>
        <v/>
      </c>
      <c r="BJ606" s="6">
        <f t="shared" si="56"/>
        <v>0</v>
      </c>
      <c r="BK606" s="6">
        <f t="shared" si="57"/>
        <v>0</v>
      </c>
      <c r="BL606" s="6">
        <f t="shared" si="58"/>
        <v>0</v>
      </c>
      <c r="BM606" s="6">
        <f t="shared" si="59"/>
        <v>0</v>
      </c>
      <c r="BN606" s="6">
        <f t="shared" si="60"/>
        <v>0</v>
      </c>
      <c r="BP606" s="6">
        <f t="shared" si="61"/>
        <v>0</v>
      </c>
      <c r="BQ606" s="6" t="b">
        <f ca="1">IFERROR(__xludf.DUMMYFUNCTION("IF(AND(ISERROR(FILTER('Items by Team'!D$2:D3410,'Items by Team'!C$2:C3410 = D606,'Items by Team'!B$2:B3410 = B606)),NOT(A606=""Practice"")),TRUE,FALSE)"),FALSE)</f>
        <v>0</v>
      </c>
      <c r="BR606" s="6">
        <f t="shared" ca="1" si="62"/>
        <v>0</v>
      </c>
    </row>
    <row r="607" spans="1:70">
      <c r="A607" s="6"/>
      <c r="B607" s="6"/>
      <c r="C607" s="6"/>
      <c r="D607" s="6"/>
      <c r="E607" s="6"/>
      <c r="F607" s="6"/>
      <c r="G607" s="6"/>
      <c r="H607" s="6"/>
      <c r="I607" s="6"/>
      <c r="J607" s="6"/>
      <c r="K607" s="6"/>
      <c r="L607" s="6"/>
      <c r="M607" s="6"/>
      <c r="N607" s="6"/>
      <c r="O607" s="6"/>
      <c r="P607" s="6"/>
      <c r="R607" s="6"/>
      <c r="S607" s="6"/>
      <c r="T607" s="6"/>
      <c r="U607" s="6"/>
      <c r="V607" s="6"/>
      <c r="W607" s="6"/>
      <c r="X607" s="6"/>
      <c r="Y607" s="6"/>
      <c r="Z607" s="6"/>
      <c r="AA607" s="6"/>
      <c r="AB607" s="6"/>
      <c r="AD607" s="6"/>
      <c r="AE607" s="6"/>
      <c r="AF607" s="6"/>
      <c r="AG607" s="6"/>
      <c r="AH607" s="6"/>
      <c r="AI607" s="6"/>
      <c r="AK607" s="6"/>
      <c r="AL607" s="6"/>
      <c r="AM607" s="6"/>
      <c r="AN607" s="6"/>
      <c r="AO607" s="6"/>
      <c r="AP607" s="6"/>
      <c r="AQ607" s="6"/>
      <c r="AR607" s="6"/>
      <c r="AS607" s="15"/>
      <c r="AT607" s="6" t="str">
        <f ca="1">IFERROR(__xludf.DUMMYFUNCTION("""COMPUTED_VALUE"""),"#N/A")</f>
        <v>#N/A</v>
      </c>
      <c r="AU607" s="6" t="str">
        <f ca="1">IFERROR(__xludf.DUMMYFUNCTION("""COMPUTED_VALUE"""),"FALSE")</f>
        <v>FALSE</v>
      </c>
      <c r="AV607" s="6">
        <f t="shared" si="42"/>
        <v>0</v>
      </c>
      <c r="AW607" s="6">
        <f t="shared" si="43"/>
        <v>0</v>
      </c>
      <c r="AX607" s="6">
        <f t="shared" si="44"/>
        <v>0</v>
      </c>
      <c r="AY607" s="6">
        <f t="shared" si="45"/>
        <v>0</v>
      </c>
      <c r="AZ607" s="9" t="str">
        <f t="shared" si="46"/>
        <v/>
      </c>
      <c r="BA607" s="6">
        <f t="shared" si="47"/>
        <v>0</v>
      </c>
      <c r="BB607" s="6">
        <f t="shared" si="48"/>
        <v>0</v>
      </c>
      <c r="BC607" s="9" t="str">
        <f t="shared" si="49"/>
        <v/>
      </c>
      <c r="BD607" s="6">
        <f t="shared" si="50"/>
        <v>0</v>
      </c>
      <c r="BE607" s="6">
        <f t="shared" si="51"/>
        <v>0</v>
      </c>
      <c r="BF607" s="9" t="str">
        <f t="shared" si="52"/>
        <v/>
      </c>
      <c r="BG607" s="6">
        <f t="shared" si="53"/>
        <v>0</v>
      </c>
      <c r="BH607" s="6">
        <f t="shared" si="54"/>
        <v>0</v>
      </c>
      <c r="BI607" s="9" t="str">
        <f t="shared" si="55"/>
        <v/>
      </c>
      <c r="BJ607" s="6">
        <f t="shared" si="56"/>
        <v>0</v>
      </c>
      <c r="BK607" s="6">
        <f t="shared" si="57"/>
        <v>0</v>
      </c>
      <c r="BL607" s="6">
        <f t="shared" si="58"/>
        <v>0</v>
      </c>
      <c r="BM607" s="6">
        <f t="shared" si="59"/>
        <v>0</v>
      </c>
      <c r="BN607" s="6">
        <f t="shared" si="60"/>
        <v>0</v>
      </c>
      <c r="BP607" s="6">
        <f t="shared" si="61"/>
        <v>0</v>
      </c>
      <c r="BQ607" s="6" t="b">
        <f ca="1">IFERROR(__xludf.DUMMYFUNCTION("IF(AND(ISERROR(FILTER('Items by Team'!D$2:D3410,'Items by Team'!C$2:C3410 = D607,'Items by Team'!B$2:B3410 = B607)),NOT(A607=""Practice"")),TRUE,FALSE)"),FALSE)</f>
        <v>0</v>
      </c>
      <c r="BR607" s="6">
        <f t="shared" ca="1" si="62"/>
        <v>0</v>
      </c>
    </row>
    <row r="608" spans="1:70">
      <c r="A608" s="6"/>
      <c r="B608" s="6"/>
      <c r="C608" s="6"/>
      <c r="D608" s="6"/>
      <c r="E608" s="6"/>
      <c r="F608" s="6"/>
      <c r="G608" s="6"/>
      <c r="H608" s="6"/>
      <c r="I608" s="6"/>
      <c r="J608" s="6"/>
      <c r="K608" s="6"/>
      <c r="L608" s="6"/>
      <c r="M608" s="6"/>
      <c r="N608" s="6"/>
      <c r="O608" s="6"/>
      <c r="P608" s="6"/>
      <c r="R608" s="6"/>
      <c r="S608" s="6"/>
      <c r="T608" s="6"/>
      <c r="U608" s="6"/>
      <c r="V608" s="6"/>
      <c r="W608" s="6"/>
      <c r="X608" s="6"/>
      <c r="Y608" s="6"/>
      <c r="Z608" s="6"/>
      <c r="AA608" s="6"/>
      <c r="AB608" s="6"/>
      <c r="AD608" s="6"/>
      <c r="AE608" s="6"/>
      <c r="AF608" s="6"/>
      <c r="AG608" s="6"/>
      <c r="AH608" s="6"/>
      <c r="AI608" s="6"/>
      <c r="AK608" s="6"/>
      <c r="AL608" s="6"/>
      <c r="AM608" s="6"/>
      <c r="AN608" s="6"/>
      <c r="AO608" s="6"/>
      <c r="AP608" s="6"/>
      <c r="AQ608" s="6"/>
      <c r="AR608" s="6"/>
      <c r="AS608" s="15"/>
      <c r="AT608" s="6" t="str">
        <f ca="1">IFERROR(__xludf.DUMMYFUNCTION("""COMPUTED_VALUE"""),"#N/A")</f>
        <v>#N/A</v>
      </c>
      <c r="AU608" s="6" t="str">
        <f ca="1">IFERROR(__xludf.DUMMYFUNCTION("""COMPUTED_VALUE"""),"FALSE")</f>
        <v>FALSE</v>
      </c>
      <c r="AV608" s="6">
        <f t="shared" si="42"/>
        <v>0</v>
      </c>
      <c r="AW608" s="6">
        <f t="shared" si="43"/>
        <v>0</v>
      </c>
      <c r="AX608" s="6">
        <f t="shared" si="44"/>
        <v>0</v>
      </c>
      <c r="AY608" s="6">
        <f t="shared" si="45"/>
        <v>0</v>
      </c>
      <c r="AZ608" s="9" t="str">
        <f t="shared" si="46"/>
        <v/>
      </c>
      <c r="BA608" s="6">
        <f t="shared" si="47"/>
        <v>0</v>
      </c>
      <c r="BB608" s="6">
        <f t="shared" si="48"/>
        <v>0</v>
      </c>
      <c r="BC608" s="9" t="str">
        <f t="shared" si="49"/>
        <v/>
      </c>
      <c r="BD608" s="6">
        <f t="shared" si="50"/>
        <v>0</v>
      </c>
      <c r="BE608" s="6">
        <f t="shared" si="51"/>
        <v>0</v>
      </c>
      <c r="BF608" s="9" t="str">
        <f t="shared" si="52"/>
        <v/>
      </c>
      <c r="BG608" s="6">
        <f t="shared" si="53"/>
        <v>0</v>
      </c>
      <c r="BH608" s="6">
        <f t="shared" si="54"/>
        <v>0</v>
      </c>
      <c r="BI608" s="9" t="str">
        <f t="shared" si="55"/>
        <v/>
      </c>
      <c r="BJ608" s="6">
        <f t="shared" si="56"/>
        <v>0</v>
      </c>
      <c r="BK608" s="6">
        <f t="shared" si="57"/>
        <v>0</v>
      </c>
      <c r="BL608" s="6">
        <f t="shared" si="58"/>
        <v>0</v>
      </c>
      <c r="BM608" s="6">
        <f t="shared" si="59"/>
        <v>0</v>
      </c>
      <c r="BN608" s="6">
        <f t="shared" si="60"/>
        <v>0</v>
      </c>
      <c r="BP608" s="6">
        <f t="shared" si="61"/>
        <v>0</v>
      </c>
      <c r="BQ608" s="6" t="b">
        <f ca="1">IFERROR(__xludf.DUMMYFUNCTION("IF(AND(ISERROR(FILTER('Items by Team'!D$2:D3410,'Items by Team'!C$2:C3410 = D608,'Items by Team'!B$2:B3410 = B608)),NOT(A608=""Practice"")),TRUE,FALSE)"),FALSE)</f>
        <v>0</v>
      </c>
      <c r="BR608" s="6">
        <f t="shared" ca="1" si="62"/>
        <v>0</v>
      </c>
    </row>
    <row r="609" spans="1:70">
      <c r="A609" s="6"/>
      <c r="B609" s="6"/>
      <c r="C609" s="6"/>
      <c r="D609" s="6"/>
      <c r="E609" s="6"/>
      <c r="F609" s="6"/>
      <c r="G609" s="6"/>
      <c r="H609" s="6"/>
      <c r="I609" s="6"/>
      <c r="J609" s="6"/>
      <c r="K609" s="6"/>
      <c r="L609" s="6"/>
      <c r="M609" s="6"/>
      <c r="N609" s="6"/>
      <c r="O609" s="6"/>
      <c r="P609" s="6"/>
      <c r="R609" s="6"/>
      <c r="S609" s="6"/>
      <c r="T609" s="6"/>
      <c r="U609" s="6"/>
      <c r="V609" s="6"/>
      <c r="W609" s="6"/>
      <c r="X609" s="6"/>
      <c r="Y609" s="6"/>
      <c r="Z609" s="6"/>
      <c r="AA609" s="6"/>
      <c r="AB609" s="6"/>
      <c r="AD609" s="6"/>
      <c r="AE609" s="6"/>
      <c r="AF609" s="6"/>
      <c r="AG609" s="6"/>
      <c r="AH609" s="6"/>
      <c r="AI609" s="6"/>
      <c r="AK609" s="6"/>
      <c r="AL609" s="6"/>
      <c r="AM609" s="6"/>
      <c r="AN609" s="6"/>
      <c r="AO609" s="6"/>
      <c r="AP609" s="6"/>
      <c r="AQ609" s="6"/>
      <c r="AR609" s="6"/>
      <c r="AS609" s="15"/>
      <c r="AT609" s="6" t="str">
        <f ca="1">IFERROR(__xludf.DUMMYFUNCTION("""COMPUTED_VALUE"""),"#N/A")</f>
        <v>#N/A</v>
      </c>
      <c r="AU609" s="6" t="str">
        <f ca="1">IFERROR(__xludf.DUMMYFUNCTION("""COMPUTED_VALUE"""),"FALSE")</f>
        <v>FALSE</v>
      </c>
      <c r="AV609" s="6">
        <f t="shared" si="42"/>
        <v>0</v>
      </c>
      <c r="AW609" s="6">
        <f t="shared" si="43"/>
        <v>0</v>
      </c>
      <c r="AX609" s="6">
        <f t="shared" si="44"/>
        <v>0</v>
      </c>
      <c r="AY609" s="6">
        <f t="shared" si="45"/>
        <v>0</v>
      </c>
      <c r="AZ609" s="9" t="str">
        <f t="shared" si="46"/>
        <v/>
      </c>
      <c r="BA609" s="6">
        <f t="shared" si="47"/>
        <v>0</v>
      </c>
      <c r="BB609" s="6">
        <f t="shared" si="48"/>
        <v>0</v>
      </c>
      <c r="BC609" s="9" t="str">
        <f t="shared" si="49"/>
        <v/>
      </c>
      <c r="BD609" s="6">
        <f t="shared" si="50"/>
        <v>0</v>
      </c>
      <c r="BE609" s="6">
        <f t="shared" si="51"/>
        <v>0</v>
      </c>
      <c r="BF609" s="9" t="str">
        <f t="shared" si="52"/>
        <v/>
      </c>
      <c r="BG609" s="6">
        <f t="shared" si="53"/>
        <v>0</v>
      </c>
      <c r="BH609" s="6">
        <f t="shared" si="54"/>
        <v>0</v>
      </c>
      <c r="BI609" s="9" t="str">
        <f t="shared" si="55"/>
        <v/>
      </c>
      <c r="BJ609" s="6">
        <f t="shared" si="56"/>
        <v>0</v>
      </c>
      <c r="BK609" s="6">
        <f t="shared" si="57"/>
        <v>0</v>
      </c>
      <c r="BL609" s="6">
        <f t="shared" si="58"/>
        <v>0</v>
      </c>
      <c r="BM609" s="6">
        <f t="shared" si="59"/>
        <v>0</v>
      </c>
      <c r="BN609" s="6">
        <f t="shared" si="60"/>
        <v>0</v>
      </c>
      <c r="BP609" s="6">
        <f t="shared" si="61"/>
        <v>0</v>
      </c>
      <c r="BQ609" s="6" t="b">
        <f ca="1">IFERROR(__xludf.DUMMYFUNCTION("IF(AND(ISERROR(FILTER('Items by Team'!D$2:D3410,'Items by Team'!C$2:C3410 = D609,'Items by Team'!B$2:B3410 = B609)),NOT(A609=""Practice"")),TRUE,FALSE)"),FALSE)</f>
        <v>0</v>
      </c>
      <c r="BR609" s="6">
        <f t="shared" ca="1" si="62"/>
        <v>0</v>
      </c>
    </row>
    <row r="610" spans="1:70">
      <c r="A610" s="6"/>
      <c r="B610" s="6"/>
      <c r="C610" s="6"/>
      <c r="D610" s="6"/>
      <c r="E610" s="6"/>
      <c r="F610" s="6"/>
      <c r="G610" s="6"/>
      <c r="H610" s="6"/>
      <c r="I610" s="6"/>
      <c r="J610" s="6"/>
      <c r="K610" s="6"/>
      <c r="L610" s="6"/>
      <c r="M610" s="6"/>
      <c r="N610" s="6"/>
      <c r="O610" s="6"/>
      <c r="P610" s="6"/>
      <c r="R610" s="6"/>
      <c r="S610" s="6"/>
      <c r="T610" s="6"/>
      <c r="U610" s="6"/>
      <c r="V610" s="6"/>
      <c r="W610" s="6"/>
      <c r="X610" s="6"/>
      <c r="Y610" s="6"/>
      <c r="Z610" s="6"/>
      <c r="AA610" s="6"/>
      <c r="AB610" s="6"/>
      <c r="AD610" s="6"/>
      <c r="AE610" s="6"/>
      <c r="AF610" s="6"/>
      <c r="AG610" s="6"/>
      <c r="AH610" s="6"/>
      <c r="AI610" s="6"/>
      <c r="AK610" s="6"/>
      <c r="AL610" s="6"/>
      <c r="AM610" s="6"/>
      <c r="AN610" s="6"/>
      <c r="AO610" s="6"/>
      <c r="AP610" s="6"/>
      <c r="AQ610" s="6"/>
      <c r="AR610" s="6"/>
      <c r="AS610" s="15"/>
      <c r="AT610" s="6" t="str">
        <f ca="1">IFERROR(__xludf.DUMMYFUNCTION("""COMPUTED_VALUE"""),"#N/A")</f>
        <v>#N/A</v>
      </c>
      <c r="AU610" s="6" t="str">
        <f ca="1">IFERROR(__xludf.DUMMYFUNCTION("""COMPUTED_VALUE"""),"FALSE")</f>
        <v>FALSE</v>
      </c>
      <c r="AV610" s="6">
        <f t="shared" si="42"/>
        <v>0</v>
      </c>
      <c r="AW610" s="6">
        <f t="shared" si="43"/>
        <v>0</v>
      </c>
      <c r="AX610" s="6">
        <f t="shared" si="44"/>
        <v>0</v>
      </c>
      <c r="AY610" s="6">
        <f t="shared" si="45"/>
        <v>0</v>
      </c>
      <c r="AZ610" s="9" t="str">
        <f t="shared" si="46"/>
        <v/>
      </c>
      <c r="BA610" s="6">
        <f t="shared" si="47"/>
        <v>0</v>
      </c>
      <c r="BB610" s="6">
        <f t="shared" si="48"/>
        <v>0</v>
      </c>
      <c r="BC610" s="9" t="str">
        <f t="shared" si="49"/>
        <v/>
      </c>
      <c r="BD610" s="6">
        <f t="shared" si="50"/>
        <v>0</v>
      </c>
      <c r="BE610" s="6">
        <f t="shared" si="51"/>
        <v>0</v>
      </c>
      <c r="BF610" s="9" t="str">
        <f t="shared" si="52"/>
        <v/>
      </c>
      <c r="BG610" s="6">
        <f t="shared" si="53"/>
        <v>0</v>
      </c>
      <c r="BH610" s="6">
        <f t="shared" si="54"/>
        <v>0</v>
      </c>
      <c r="BI610" s="9" t="str">
        <f t="shared" si="55"/>
        <v/>
      </c>
      <c r="BJ610" s="6">
        <f t="shared" si="56"/>
        <v>0</v>
      </c>
      <c r="BK610" s="6">
        <f t="shared" si="57"/>
        <v>0</v>
      </c>
      <c r="BL610" s="6">
        <f t="shared" si="58"/>
        <v>0</v>
      </c>
      <c r="BM610" s="6">
        <f t="shared" si="59"/>
        <v>0</v>
      </c>
      <c r="BN610" s="6">
        <f t="shared" si="60"/>
        <v>0</v>
      </c>
      <c r="BP610" s="6">
        <f t="shared" si="61"/>
        <v>0</v>
      </c>
      <c r="BQ610" s="6" t="b">
        <f ca="1">IFERROR(__xludf.DUMMYFUNCTION("IF(AND(ISERROR(FILTER('Items by Team'!D$2:D3410,'Items by Team'!C$2:C3410 = D610,'Items by Team'!B$2:B3410 = B610)),NOT(A610=""Practice"")),TRUE,FALSE)"),FALSE)</f>
        <v>0</v>
      </c>
      <c r="BR610" s="6">
        <f t="shared" ca="1" si="62"/>
        <v>0</v>
      </c>
    </row>
    <row r="611" spans="1:70">
      <c r="A611" s="6"/>
      <c r="B611" s="6"/>
      <c r="C611" s="6"/>
      <c r="D611" s="6"/>
      <c r="E611" s="6"/>
      <c r="F611" s="6"/>
      <c r="G611" s="6"/>
      <c r="H611" s="6"/>
      <c r="I611" s="6"/>
      <c r="J611" s="6"/>
      <c r="K611" s="6"/>
      <c r="L611" s="6"/>
      <c r="M611" s="6"/>
      <c r="N611" s="6"/>
      <c r="O611" s="6"/>
      <c r="P611" s="6"/>
      <c r="R611" s="6"/>
      <c r="S611" s="6"/>
      <c r="T611" s="6"/>
      <c r="U611" s="6"/>
      <c r="V611" s="6"/>
      <c r="W611" s="6"/>
      <c r="X611" s="6"/>
      <c r="Y611" s="6"/>
      <c r="Z611" s="6"/>
      <c r="AA611" s="6"/>
      <c r="AB611" s="6"/>
      <c r="AD611" s="6"/>
      <c r="AE611" s="6"/>
      <c r="AF611" s="6"/>
      <c r="AG611" s="6"/>
      <c r="AH611" s="6"/>
      <c r="AI611" s="6"/>
      <c r="AK611" s="6"/>
      <c r="AL611" s="6"/>
      <c r="AM611" s="6"/>
      <c r="AN611" s="6"/>
      <c r="AO611" s="6"/>
      <c r="AP611" s="6"/>
      <c r="AQ611" s="6"/>
      <c r="AR611" s="6"/>
      <c r="AS611" s="15"/>
      <c r="AT611" s="6" t="str">
        <f ca="1">IFERROR(__xludf.DUMMYFUNCTION("""COMPUTED_VALUE"""),"#N/A")</f>
        <v>#N/A</v>
      </c>
      <c r="AU611" s="6" t="str">
        <f ca="1">IFERROR(__xludf.DUMMYFUNCTION("""COMPUTED_VALUE"""),"FALSE")</f>
        <v>FALSE</v>
      </c>
      <c r="AV611" s="6">
        <f t="shared" si="42"/>
        <v>0</v>
      </c>
      <c r="AW611" s="6">
        <f t="shared" si="43"/>
        <v>0</v>
      </c>
      <c r="AX611" s="6">
        <f t="shared" si="44"/>
        <v>0</v>
      </c>
      <c r="AY611" s="6">
        <f t="shared" si="45"/>
        <v>0</v>
      </c>
      <c r="AZ611" s="9" t="str">
        <f t="shared" si="46"/>
        <v/>
      </c>
      <c r="BA611" s="6">
        <f t="shared" si="47"/>
        <v>0</v>
      </c>
      <c r="BB611" s="6">
        <f t="shared" si="48"/>
        <v>0</v>
      </c>
      <c r="BC611" s="9" t="str">
        <f t="shared" si="49"/>
        <v/>
      </c>
      <c r="BD611" s="6">
        <f t="shared" si="50"/>
        <v>0</v>
      </c>
      <c r="BE611" s="6">
        <f t="shared" si="51"/>
        <v>0</v>
      </c>
      <c r="BF611" s="9" t="str">
        <f t="shared" si="52"/>
        <v/>
      </c>
      <c r="BG611" s="6">
        <f t="shared" si="53"/>
        <v>0</v>
      </c>
      <c r="BH611" s="6">
        <f t="shared" si="54"/>
        <v>0</v>
      </c>
      <c r="BI611" s="9" t="str">
        <f t="shared" si="55"/>
        <v/>
      </c>
      <c r="BJ611" s="6">
        <f t="shared" si="56"/>
        <v>0</v>
      </c>
      <c r="BK611" s="6">
        <f t="shared" si="57"/>
        <v>0</v>
      </c>
      <c r="BL611" s="6">
        <f t="shared" si="58"/>
        <v>0</v>
      </c>
      <c r="BM611" s="6">
        <f t="shared" si="59"/>
        <v>0</v>
      </c>
      <c r="BN611" s="6">
        <f t="shared" si="60"/>
        <v>0</v>
      </c>
      <c r="BP611" s="6">
        <f t="shared" si="61"/>
        <v>0</v>
      </c>
      <c r="BQ611" s="6" t="b">
        <f ca="1">IFERROR(__xludf.DUMMYFUNCTION("IF(AND(ISERROR(FILTER('Items by Team'!D$2:D3410,'Items by Team'!C$2:C3410 = D611,'Items by Team'!B$2:B3410 = B611)),NOT(A611=""Practice"")),TRUE,FALSE)"),FALSE)</f>
        <v>0</v>
      </c>
      <c r="BR611" s="6">
        <f t="shared" ca="1" si="62"/>
        <v>0</v>
      </c>
    </row>
    <row r="612" spans="1:70">
      <c r="A612" s="6"/>
      <c r="B612" s="6"/>
      <c r="C612" s="6"/>
      <c r="D612" s="6"/>
      <c r="E612" s="6"/>
      <c r="F612" s="6"/>
      <c r="G612" s="6"/>
      <c r="H612" s="6"/>
      <c r="I612" s="6"/>
      <c r="J612" s="6"/>
      <c r="K612" s="6"/>
      <c r="L612" s="6"/>
      <c r="M612" s="6"/>
      <c r="N612" s="6"/>
      <c r="O612" s="6"/>
      <c r="P612" s="6"/>
      <c r="R612" s="6"/>
      <c r="S612" s="6"/>
      <c r="T612" s="6"/>
      <c r="U612" s="6"/>
      <c r="V612" s="6"/>
      <c r="W612" s="6"/>
      <c r="X612" s="6"/>
      <c r="Y612" s="6"/>
      <c r="Z612" s="6"/>
      <c r="AA612" s="6"/>
      <c r="AB612" s="6"/>
      <c r="AD612" s="6"/>
      <c r="AE612" s="6"/>
      <c r="AF612" s="6"/>
      <c r="AG612" s="6"/>
      <c r="AH612" s="6"/>
      <c r="AI612" s="6"/>
      <c r="AK612" s="6"/>
      <c r="AL612" s="6"/>
      <c r="AM612" s="6"/>
      <c r="AN612" s="6"/>
      <c r="AO612" s="6"/>
      <c r="AP612" s="6"/>
      <c r="AQ612" s="6"/>
      <c r="AR612" s="6"/>
      <c r="AS612" s="15"/>
      <c r="AT612" s="6" t="str">
        <f ca="1">IFERROR(__xludf.DUMMYFUNCTION("""COMPUTED_VALUE"""),"#N/A")</f>
        <v>#N/A</v>
      </c>
      <c r="AU612" s="6" t="str">
        <f ca="1">IFERROR(__xludf.DUMMYFUNCTION("""COMPUTED_VALUE"""),"FALSE")</f>
        <v>FALSE</v>
      </c>
      <c r="AV612" s="6">
        <f t="shared" si="42"/>
        <v>0</v>
      </c>
      <c r="AW612" s="6">
        <f t="shared" si="43"/>
        <v>0</v>
      </c>
      <c r="AX612" s="6">
        <f t="shared" si="44"/>
        <v>0</v>
      </c>
      <c r="AY612" s="6">
        <f t="shared" si="45"/>
        <v>0</v>
      </c>
      <c r="AZ612" s="9" t="str">
        <f t="shared" si="46"/>
        <v/>
      </c>
      <c r="BA612" s="6">
        <f t="shared" si="47"/>
        <v>0</v>
      </c>
      <c r="BB612" s="6">
        <f t="shared" si="48"/>
        <v>0</v>
      </c>
      <c r="BC612" s="9" t="str">
        <f t="shared" si="49"/>
        <v/>
      </c>
      <c r="BD612" s="6">
        <f t="shared" si="50"/>
        <v>0</v>
      </c>
      <c r="BE612" s="6">
        <f t="shared" si="51"/>
        <v>0</v>
      </c>
      <c r="BF612" s="9" t="str">
        <f t="shared" si="52"/>
        <v/>
      </c>
      <c r="BG612" s="6">
        <f t="shared" si="53"/>
        <v>0</v>
      </c>
      <c r="BH612" s="6">
        <f t="shared" si="54"/>
        <v>0</v>
      </c>
      <c r="BI612" s="9" t="str">
        <f t="shared" si="55"/>
        <v/>
      </c>
      <c r="BJ612" s="6">
        <f t="shared" si="56"/>
        <v>0</v>
      </c>
      <c r="BK612" s="6">
        <f t="shared" si="57"/>
        <v>0</v>
      </c>
      <c r="BL612" s="6">
        <f t="shared" si="58"/>
        <v>0</v>
      </c>
      <c r="BM612" s="6">
        <f t="shared" si="59"/>
        <v>0</v>
      </c>
      <c r="BN612" s="6">
        <f t="shared" si="60"/>
        <v>0</v>
      </c>
      <c r="BP612" s="6">
        <f t="shared" si="61"/>
        <v>0</v>
      </c>
      <c r="BQ612" s="6" t="b">
        <f ca="1">IFERROR(__xludf.DUMMYFUNCTION("IF(AND(ISERROR(FILTER('Items by Team'!D$2:D3410,'Items by Team'!C$2:C3410 = D612,'Items by Team'!B$2:B3410 = B612)),NOT(A612=""Practice"")),TRUE,FALSE)"),FALSE)</f>
        <v>0</v>
      </c>
      <c r="BR612" s="6">
        <f t="shared" ca="1" si="62"/>
        <v>0</v>
      </c>
    </row>
    <row r="613" spans="1:70">
      <c r="A613" s="6"/>
      <c r="B613" s="6"/>
      <c r="C613" s="6"/>
      <c r="D613" s="6"/>
      <c r="E613" s="6"/>
      <c r="F613" s="6"/>
      <c r="G613" s="6"/>
      <c r="H613" s="6"/>
      <c r="I613" s="6"/>
      <c r="J613" s="6"/>
      <c r="K613" s="6"/>
      <c r="L613" s="6"/>
      <c r="M613" s="6"/>
      <c r="N613" s="6"/>
      <c r="O613" s="6"/>
      <c r="P613" s="6"/>
      <c r="R613" s="6"/>
      <c r="S613" s="6"/>
      <c r="T613" s="6"/>
      <c r="U613" s="6"/>
      <c r="V613" s="6"/>
      <c r="W613" s="6"/>
      <c r="X613" s="6"/>
      <c r="Y613" s="6"/>
      <c r="Z613" s="6"/>
      <c r="AA613" s="6"/>
      <c r="AB613" s="6"/>
      <c r="AD613" s="6"/>
      <c r="AE613" s="6"/>
      <c r="AF613" s="6"/>
      <c r="AG613" s="6"/>
      <c r="AH613" s="6"/>
      <c r="AI613" s="6"/>
      <c r="AK613" s="6"/>
      <c r="AL613" s="6"/>
      <c r="AM613" s="6"/>
      <c r="AN613" s="6"/>
      <c r="AO613" s="6"/>
      <c r="AP613" s="6"/>
      <c r="AQ613" s="6"/>
      <c r="AR613" s="6"/>
      <c r="AS613" s="15"/>
      <c r="AT613" s="6" t="str">
        <f ca="1">IFERROR(__xludf.DUMMYFUNCTION("""COMPUTED_VALUE"""),"#N/A")</f>
        <v>#N/A</v>
      </c>
      <c r="AU613" s="6" t="str">
        <f ca="1">IFERROR(__xludf.DUMMYFUNCTION("""COMPUTED_VALUE"""),"FALSE")</f>
        <v>FALSE</v>
      </c>
      <c r="AV613" s="6">
        <f t="shared" si="42"/>
        <v>0</v>
      </c>
      <c r="AW613" s="6">
        <f t="shared" si="43"/>
        <v>0</v>
      </c>
      <c r="AX613" s="6">
        <f t="shared" si="44"/>
        <v>0</v>
      </c>
      <c r="AY613" s="6">
        <f t="shared" si="45"/>
        <v>0</v>
      </c>
      <c r="AZ613" s="9" t="str">
        <f t="shared" si="46"/>
        <v/>
      </c>
      <c r="BA613" s="6">
        <f t="shared" si="47"/>
        <v>0</v>
      </c>
      <c r="BB613" s="6">
        <f t="shared" si="48"/>
        <v>0</v>
      </c>
      <c r="BC613" s="9" t="str">
        <f t="shared" si="49"/>
        <v/>
      </c>
      <c r="BD613" s="6">
        <f t="shared" si="50"/>
        <v>0</v>
      </c>
      <c r="BE613" s="6">
        <f t="shared" si="51"/>
        <v>0</v>
      </c>
      <c r="BF613" s="9" t="str">
        <f t="shared" si="52"/>
        <v/>
      </c>
      <c r="BG613" s="6">
        <f t="shared" si="53"/>
        <v>0</v>
      </c>
      <c r="BH613" s="6">
        <f t="shared" si="54"/>
        <v>0</v>
      </c>
      <c r="BI613" s="9" t="str">
        <f t="shared" si="55"/>
        <v/>
      </c>
      <c r="BJ613" s="6">
        <f t="shared" si="56"/>
        <v>0</v>
      </c>
      <c r="BK613" s="6">
        <f t="shared" si="57"/>
        <v>0</v>
      </c>
      <c r="BL613" s="6">
        <f t="shared" si="58"/>
        <v>0</v>
      </c>
      <c r="BM613" s="6">
        <f t="shared" si="59"/>
        <v>0</v>
      </c>
      <c r="BN613" s="6">
        <f t="shared" si="60"/>
        <v>0</v>
      </c>
      <c r="BP613" s="6">
        <f t="shared" si="61"/>
        <v>0</v>
      </c>
      <c r="BQ613" s="6" t="b">
        <f ca="1">IFERROR(__xludf.DUMMYFUNCTION("IF(AND(ISERROR(FILTER('Items by Team'!D$2:D3410,'Items by Team'!C$2:C3410 = D613,'Items by Team'!B$2:B3410 = B613)),NOT(A613=""Practice"")),TRUE,FALSE)"),FALSE)</f>
        <v>0</v>
      </c>
      <c r="BR613" s="6">
        <f t="shared" ca="1" si="62"/>
        <v>0</v>
      </c>
    </row>
    <row r="614" spans="1:70">
      <c r="A614" s="6"/>
      <c r="B614" s="6"/>
      <c r="C614" s="6"/>
      <c r="D614" s="6"/>
      <c r="E614" s="6"/>
      <c r="F614" s="6"/>
      <c r="G614" s="6"/>
      <c r="H614" s="6"/>
      <c r="I614" s="6"/>
      <c r="J614" s="6"/>
      <c r="K614" s="6"/>
      <c r="L614" s="6"/>
      <c r="M614" s="6"/>
      <c r="N614" s="6"/>
      <c r="O614" s="6"/>
      <c r="P614" s="6"/>
      <c r="R614" s="6"/>
      <c r="S614" s="6"/>
      <c r="T614" s="6"/>
      <c r="U614" s="6"/>
      <c r="V614" s="6"/>
      <c r="W614" s="6"/>
      <c r="X614" s="6"/>
      <c r="Y614" s="6"/>
      <c r="Z614" s="6"/>
      <c r="AA614" s="6"/>
      <c r="AB614" s="6"/>
      <c r="AD614" s="6"/>
      <c r="AE614" s="6"/>
      <c r="AF614" s="6"/>
      <c r="AG614" s="6"/>
      <c r="AH614" s="6"/>
      <c r="AI614" s="6"/>
      <c r="AK614" s="6"/>
      <c r="AL614" s="6"/>
      <c r="AM614" s="6"/>
      <c r="AN614" s="6"/>
      <c r="AO614" s="6"/>
      <c r="AP614" s="6"/>
      <c r="AQ614" s="6"/>
      <c r="AR614" s="6"/>
      <c r="AS614" s="15"/>
      <c r="AT614" s="6" t="str">
        <f ca="1">IFERROR(__xludf.DUMMYFUNCTION("""COMPUTED_VALUE"""),"#N/A")</f>
        <v>#N/A</v>
      </c>
      <c r="AU614" s="6" t="str">
        <f ca="1">IFERROR(__xludf.DUMMYFUNCTION("""COMPUTED_VALUE"""),"FALSE")</f>
        <v>FALSE</v>
      </c>
      <c r="AV614" s="6">
        <f t="shared" si="42"/>
        <v>0</v>
      </c>
      <c r="AW614" s="6">
        <f t="shared" si="43"/>
        <v>0</v>
      </c>
      <c r="AX614" s="6">
        <f t="shared" si="44"/>
        <v>0</v>
      </c>
      <c r="AY614" s="6">
        <f t="shared" si="45"/>
        <v>0</v>
      </c>
      <c r="AZ614" s="9" t="str">
        <f t="shared" si="46"/>
        <v/>
      </c>
      <c r="BA614" s="6">
        <f t="shared" si="47"/>
        <v>0</v>
      </c>
      <c r="BB614" s="6">
        <f t="shared" si="48"/>
        <v>0</v>
      </c>
      <c r="BC614" s="9" t="str">
        <f t="shared" si="49"/>
        <v/>
      </c>
      <c r="BD614" s="6">
        <f t="shared" si="50"/>
        <v>0</v>
      </c>
      <c r="BE614" s="6">
        <f t="shared" si="51"/>
        <v>0</v>
      </c>
      <c r="BF614" s="9" t="str">
        <f t="shared" si="52"/>
        <v/>
      </c>
      <c r="BG614" s="6">
        <f t="shared" si="53"/>
        <v>0</v>
      </c>
      <c r="BH614" s="6">
        <f t="shared" si="54"/>
        <v>0</v>
      </c>
      <c r="BI614" s="9" t="str">
        <f t="shared" si="55"/>
        <v/>
      </c>
      <c r="BJ614" s="6">
        <f t="shared" si="56"/>
        <v>0</v>
      </c>
      <c r="BK614" s="6">
        <f t="shared" si="57"/>
        <v>0</v>
      </c>
      <c r="BL614" s="6">
        <f t="shared" si="58"/>
        <v>0</v>
      </c>
      <c r="BM614" s="6">
        <f t="shared" si="59"/>
        <v>0</v>
      </c>
      <c r="BN614" s="6">
        <f t="shared" si="60"/>
        <v>0</v>
      </c>
      <c r="BP614" s="6">
        <f t="shared" si="61"/>
        <v>0</v>
      </c>
      <c r="BQ614" s="6" t="b">
        <f ca="1">IFERROR(__xludf.DUMMYFUNCTION("IF(AND(ISERROR(FILTER('Items by Team'!D$2:D3410,'Items by Team'!C$2:C3410 = D614,'Items by Team'!B$2:B3410 = B614)),NOT(A614=""Practice"")),TRUE,FALSE)"),FALSE)</f>
        <v>0</v>
      </c>
      <c r="BR614" s="6">
        <f t="shared" ca="1" si="62"/>
        <v>0</v>
      </c>
    </row>
    <row r="615" spans="1:70">
      <c r="A615" s="6"/>
      <c r="B615" s="6"/>
      <c r="C615" s="6"/>
      <c r="D615" s="6"/>
      <c r="E615" s="6"/>
      <c r="F615" s="6"/>
      <c r="G615" s="6"/>
      <c r="H615" s="6"/>
      <c r="I615" s="6"/>
      <c r="J615" s="6"/>
      <c r="K615" s="6"/>
      <c r="L615" s="6"/>
      <c r="M615" s="6"/>
      <c r="N615" s="6"/>
      <c r="O615" s="6"/>
      <c r="P615" s="6"/>
      <c r="R615" s="6"/>
      <c r="S615" s="6"/>
      <c r="T615" s="6"/>
      <c r="U615" s="6"/>
      <c r="V615" s="6"/>
      <c r="W615" s="6"/>
      <c r="X615" s="6"/>
      <c r="Y615" s="6"/>
      <c r="Z615" s="6"/>
      <c r="AA615" s="6"/>
      <c r="AB615" s="6"/>
      <c r="AD615" s="6"/>
      <c r="AE615" s="6"/>
      <c r="AF615" s="6"/>
      <c r="AG615" s="6"/>
      <c r="AH615" s="6"/>
      <c r="AI615" s="6"/>
      <c r="AK615" s="6"/>
      <c r="AL615" s="6"/>
      <c r="AM615" s="6"/>
      <c r="AN615" s="6"/>
      <c r="AO615" s="6"/>
      <c r="AP615" s="6"/>
      <c r="AQ615" s="6"/>
      <c r="AR615" s="6"/>
      <c r="AS615" s="15"/>
      <c r="AT615" s="6" t="str">
        <f ca="1">IFERROR(__xludf.DUMMYFUNCTION("""COMPUTED_VALUE"""),"#N/A")</f>
        <v>#N/A</v>
      </c>
      <c r="AU615" s="6" t="str">
        <f ca="1">IFERROR(__xludf.DUMMYFUNCTION("""COMPUTED_VALUE"""),"FALSE")</f>
        <v>FALSE</v>
      </c>
      <c r="AV615" s="6">
        <f t="shared" si="42"/>
        <v>0</v>
      </c>
      <c r="AW615" s="6">
        <f t="shared" si="43"/>
        <v>0</v>
      </c>
      <c r="AX615" s="6">
        <f t="shared" si="44"/>
        <v>0</v>
      </c>
      <c r="AY615" s="6">
        <f t="shared" si="45"/>
        <v>0</v>
      </c>
      <c r="AZ615" s="9" t="str">
        <f t="shared" si="46"/>
        <v/>
      </c>
      <c r="BA615" s="6">
        <f t="shared" si="47"/>
        <v>0</v>
      </c>
      <c r="BB615" s="6">
        <f t="shared" si="48"/>
        <v>0</v>
      </c>
      <c r="BC615" s="9" t="str">
        <f t="shared" si="49"/>
        <v/>
      </c>
      <c r="BD615" s="6">
        <f t="shared" si="50"/>
        <v>0</v>
      </c>
      <c r="BE615" s="6">
        <f t="shared" si="51"/>
        <v>0</v>
      </c>
      <c r="BF615" s="9" t="str">
        <f t="shared" si="52"/>
        <v/>
      </c>
      <c r="BG615" s="6">
        <f t="shared" si="53"/>
        <v>0</v>
      </c>
      <c r="BH615" s="6">
        <f t="shared" si="54"/>
        <v>0</v>
      </c>
      <c r="BI615" s="9" t="str">
        <f t="shared" si="55"/>
        <v/>
      </c>
      <c r="BJ615" s="6">
        <f t="shared" si="56"/>
        <v>0</v>
      </c>
      <c r="BK615" s="6">
        <f t="shared" si="57"/>
        <v>0</v>
      </c>
      <c r="BL615" s="6">
        <f t="shared" si="58"/>
        <v>0</v>
      </c>
      <c r="BM615" s="6">
        <f t="shared" si="59"/>
        <v>0</v>
      </c>
      <c r="BN615" s="6">
        <f t="shared" si="60"/>
        <v>0</v>
      </c>
      <c r="BP615" s="6">
        <f t="shared" si="61"/>
        <v>0</v>
      </c>
      <c r="BQ615" s="6" t="b">
        <f ca="1">IFERROR(__xludf.DUMMYFUNCTION("IF(AND(ISERROR(FILTER('Items by Team'!D$2:D3410,'Items by Team'!C$2:C3410 = D615,'Items by Team'!B$2:B3410 = B615)),NOT(A615=""Practice"")),TRUE,FALSE)"),FALSE)</f>
        <v>0</v>
      </c>
      <c r="BR615" s="6">
        <f t="shared" ca="1" si="62"/>
        <v>0</v>
      </c>
    </row>
    <row r="616" spans="1:70">
      <c r="A616" s="6"/>
      <c r="B616" s="6"/>
      <c r="C616" s="6"/>
      <c r="D616" s="6"/>
      <c r="E616" s="6"/>
      <c r="F616" s="6"/>
      <c r="G616" s="6"/>
      <c r="H616" s="6"/>
      <c r="I616" s="6"/>
      <c r="J616" s="6"/>
      <c r="K616" s="6"/>
      <c r="L616" s="6"/>
      <c r="M616" s="6"/>
      <c r="N616" s="6"/>
      <c r="O616" s="6"/>
      <c r="P616" s="6"/>
      <c r="R616" s="6"/>
      <c r="S616" s="6"/>
      <c r="T616" s="6"/>
      <c r="U616" s="6"/>
      <c r="V616" s="6"/>
      <c r="W616" s="6"/>
      <c r="X616" s="6"/>
      <c r="Y616" s="6"/>
      <c r="Z616" s="6"/>
      <c r="AA616" s="6"/>
      <c r="AB616" s="6"/>
      <c r="AD616" s="6"/>
      <c r="AE616" s="6"/>
      <c r="AF616" s="6"/>
      <c r="AG616" s="6"/>
      <c r="AH616" s="6"/>
      <c r="AI616" s="6"/>
      <c r="AK616" s="6"/>
      <c r="AL616" s="6"/>
      <c r="AM616" s="6"/>
      <c r="AN616" s="6"/>
      <c r="AO616" s="6"/>
      <c r="AP616" s="6"/>
      <c r="AQ616" s="6"/>
      <c r="AR616" s="6"/>
      <c r="AS616" s="15"/>
      <c r="AT616" s="6" t="str">
        <f ca="1">IFERROR(__xludf.DUMMYFUNCTION("""COMPUTED_VALUE"""),"#N/A")</f>
        <v>#N/A</v>
      </c>
      <c r="AU616" s="6" t="str">
        <f ca="1">IFERROR(__xludf.DUMMYFUNCTION("""COMPUTED_VALUE"""),"FALSE")</f>
        <v>FALSE</v>
      </c>
      <c r="AV616" s="6">
        <f t="shared" si="42"/>
        <v>0</v>
      </c>
      <c r="AW616" s="6">
        <f t="shared" si="43"/>
        <v>0</v>
      </c>
      <c r="AX616" s="6">
        <f t="shared" si="44"/>
        <v>0</v>
      </c>
      <c r="AY616" s="6">
        <f t="shared" si="45"/>
        <v>0</v>
      </c>
      <c r="AZ616" s="9" t="str">
        <f t="shared" si="46"/>
        <v/>
      </c>
      <c r="BA616" s="6">
        <f t="shared" si="47"/>
        <v>0</v>
      </c>
      <c r="BB616" s="6">
        <f t="shared" si="48"/>
        <v>0</v>
      </c>
      <c r="BC616" s="9" t="str">
        <f t="shared" si="49"/>
        <v/>
      </c>
      <c r="BD616" s="6">
        <f t="shared" si="50"/>
        <v>0</v>
      </c>
      <c r="BE616" s="6">
        <f t="shared" si="51"/>
        <v>0</v>
      </c>
      <c r="BF616" s="9" t="str">
        <f t="shared" si="52"/>
        <v/>
      </c>
      <c r="BG616" s="6">
        <f t="shared" si="53"/>
        <v>0</v>
      </c>
      <c r="BH616" s="6">
        <f t="shared" si="54"/>
        <v>0</v>
      </c>
      <c r="BI616" s="9" t="str">
        <f t="shared" si="55"/>
        <v/>
      </c>
      <c r="BJ616" s="6">
        <f t="shared" si="56"/>
        <v>0</v>
      </c>
      <c r="BK616" s="6">
        <f t="shared" si="57"/>
        <v>0</v>
      </c>
      <c r="BL616" s="6">
        <f t="shared" si="58"/>
        <v>0</v>
      </c>
      <c r="BM616" s="6">
        <f t="shared" si="59"/>
        <v>0</v>
      </c>
      <c r="BN616" s="6">
        <f t="shared" si="60"/>
        <v>0</v>
      </c>
      <c r="BP616" s="6">
        <f t="shared" si="61"/>
        <v>0</v>
      </c>
      <c r="BQ616" s="6" t="b">
        <f ca="1">IFERROR(__xludf.DUMMYFUNCTION("IF(AND(ISERROR(FILTER('Items by Team'!D$2:D3410,'Items by Team'!C$2:C3410 = D616,'Items by Team'!B$2:B3410 = B616)),NOT(A616=""Practice"")),TRUE,FALSE)"),FALSE)</f>
        <v>0</v>
      </c>
      <c r="BR616" s="6">
        <f t="shared" ca="1" si="62"/>
        <v>0</v>
      </c>
    </row>
    <row r="617" spans="1:70">
      <c r="A617" s="6"/>
      <c r="B617" s="6"/>
      <c r="C617" s="6"/>
      <c r="D617" s="6"/>
      <c r="E617" s="6"/>
      <c r="F617" s="6"/>
      <c r="G617" s="6"/>
      <c r="H617" s="6"/>
      <c r="I617" s="6"/>
      <c r="J617" s="6"/>
      <c r="K617" s="6"/>
      <c r="L617" s="6"/>
      <c r="M617" s="6"/>
      <c r="N617" s="6"/>
      <c r="O617" s="6"/>
      <c r="P617" s="6"/>
      <c r="R617" s="6"/>
      <c r="S617" s="6"/>
      <c r="T617" s="6"/>
      <c r="U617" s="6"/>
      <c r="V617" s="6"/>
      <c r="W617" s="6"/>
      <c r="X617" s="6"/>
      <c r="Y617" s="6"/>
      <c r="Z617" s="6"/>
      <c r="AA617" s="6"/>
      <c r="AB617" s="6"/>
      <c r="AD617" s="6"/>
      <c r="AE617" s="6"/>
      <c r="AF617" s="6"/>
      <c r="AG617" s="6"/>
      <c r="AH617" s="6"/>
      <c r="AI617" s="6"/>
      <c r="AK617" s="6"/>
      <c r="AL617" s="6"/>
      <c r="AM617" s="6"/>
      <c r="AN617" s="6"/>
      <c r="AO617" s="6"/>
      <c r="AP617" s="6"/>
      <c r="AQ617" s="6"/>
      <c r="AR617" s="6"/>
      <c r="AS617" s="15"/>
      <c r="AT617" s="6" t="str">
        <f ca="1">IFERROR(__xludf.DUMMYFUNCTION("""COMPUTED_VALUE"""),"#N/A")</f>
        <v>#N/A</v>
      </c>
      <c r="AU617" s="6" t="str">
        <f ca="1">IFERROR(__xludf.DUMMYFUNCTION("""COMPUTED_VALUE"""),"FALSE")</f>
        <v>FALSE</v>
      </c>
      <c r="AV617" s="6">
        <f t="shared" si="42"/>
        <v>0</v>
      </c>
      <c r="AW617" s="6">
        <f t="shared" si="43"/>
        <v>0</v>
      </c>
      <c r="AX617" s="6">
        <f t="shared" si="44"/>
        <v>0</v>
      </c>
      <c r="AY617" s="6">
        <f t="shared" si="45"/>
        <v>0</v>
      </c>
      <c r="AZ617" s="9" t="str">
        <f t="shared" si="46"/>
        <v/>
      </c>
      <c r="BA617" s="6">
        <f t="shared" si="47"/>
        <v>0</v>
      </c>
      <c r="BB617" s="6">
        <f t="shared" si="48"/>
        <v>0</v>
      </c>
      <c r="BC617" s="9" t="str">
        <f t="shared" si="49"/>
        <v/>
      </c>
      <c r="BD617" s="6">
        <f t="shared" si="50"/>
        <v>0</v>
      </c>
      <c r="BE617" s="6">
        <f t="shared" si="51"/>
        <v>0</v>
      </c>
      <c r="BF617" s="9" t="str">
        <f t="shared" si="52"/>
        <v/>
      </c>
      <c r="BG617" s="6">
        <f t="shared" si="53"/>
        <v>0</v>
      </c>
      <c r="BH617" s="6">
        <f t="shared" si="54"/>
        <v>0</v>
      </c>
      <c r="BI617" s="9" t="str">
        <f t="shared" si="55"/>
        <v/>
      </c>
      <c r="BJ617" s="6">
        <f t="shared" si="56"/>
        <v>0</v>
      </c>
      <c r="BK617" s="6">
        <f t="shared" si="57"/>
        <v>0</v>
      </c>
      <c r="BL617" s="6">
        <f t="shared" si="58"/>
        <v>0</v>
      </c>
      <c r="BM617" s="6">
        <f t="shared" si="59"/>
        <v>0</v>
      </c>
      <c r="BN617" s="6">
        <f t="shared" si="60"/>
        <v>0</v>
      </c>
      <c r="BP617" s="6">
        <f t="shared" si="61"/>
        <v>0</v>
      </c>
      <c r="BQ617" s="6" t="b">
        <f ca="1">IFERROR(__xludf.DUMMYFUNCTION("IF(AND(ISERROR(FILTER('Items by Team'!D$2:D3410,'Items by Team'!C$2:C3410 = D617,'Items by Team'!B$2:B3410 = B617)),NOT(A617=""Practice"")),TRUE,FALSE)"),FALSE)</f>
        <v>0</v>
      </c>
      <c r="BR617" s="6">
        <f t="shared" ca="1" si="62"/>
        <v>0</v>
      </c>
    </row>
    <row r="618" spans="1:70">
      <c r="A618" s="6"/>
      <c r="B618" s="6"/>
      <c r="C618" s="6"/>
      <c r="D618" s="6"/>
      <c r="E618" s="6"/>
      <c r="F618" s="6"/>
      <c r="G618" s="6"/>
      <c r="H618" s="6"/>
      <c r="I618" s="6"/>
      <c r="J618" s="6"/>
      <c r="K618" s="6"/>
      <c r="L618" s="6"/>
      <c r="M618" s="6"/>
      <c r="N618" s="6"/>
      <c r="O618" s="6"/>
      <c r="P618" s="6"/>
      <c r="R618" s="6"/>
      <c r="S618" s="6"/>
      <c r="T618" s="6"/>
      <c r="U618" s="6"/>
      <c r="V618" s="6"/>
      <c r="W618" s="6"/>
      <c r="X618" s="6"/>
      <c r="Y618" s="6"/>
      <c r="Z618" s="6"/>
      <c r="AA618" s="6"/>
      <c r="AB618" s="6"/>
      <c r="AD618" s="6"/>
      <c r="AE618" s="6"/>
      <c r="AF618" s="6"/>
      <c r="AG618" s="6"/>
      <c r="AH618" s="6"/>
      <c r="AI618" s="6"/>
      <c r="AK618" s="6"/>
      <c r="AL618" s="6"/>
      <c r="AM618" s="6"/>
      <c r="AN618" s="6"/>
      <c r="AO618" s="6"/>
      <c r="AP618" s="6"/>
      <c r="AQ618" s="6"/>
      <c r="AR618" s="6"/>
      <c r="AS618" s="15"/>
      <c r="AT618" s="6" t="str">
        <f ca="1">IFERROR(__xludf.DUMMYFUNCTION("""COMPUTED_VALUE"""),"#N/A")</f>
        <v>#N/A</v>
      </c>
      <c r="AU618" s="6" t="str">
        <f ca="1">IFERROR(__xludf.DUMMYFUNCTION("""COMPUTED_VALUE"""),"FALSE")</f>
        <v>FALSE</v>
      </c>
      <c r="AV618" s="6">
        <f t="shared" si="42"/>
        <v>0</v>
      </c>
      <c r="AW618" s="6">
        <f t="shared" si="43"/>
        <v>0</v>
      </c>
      <c r="AX618" s="6">
        <f t="shared" si="44"/>
        <v>0</v>
      </c>
      <c r="AY618" s="6">
        <f t="shared" si="45"/>
        <v>0</v>
      </c>
      <c r="AZ618" s="9" t="str">
        <f t="shared" si="46"/>
        <v/>
      </c>
      <c r="BA618" s="6">
        <f t="shared" si="47"/>
        <v>0</v>
      </c>
      <c r="BB618" s="6">
        <f t="shared" si="48"/>
        <v>0</v>
      </c>
      <c r="BC618" s="9" t="str">
        <f t="shared" si="49"/>
        <v/>
      </c>
      <c r="BD618" s="6">
        <f t="shared" si="50"/>
        <v>0</v>
      </c>
      <c r="BE618" s="6">
        <f t="shared" si="51"/>
        <v>0</v>
      </c>
      <c r="BF618" s="9" t="str">
        <f t="shared" si="52"/>
        <v/>
      </c>
      <c r="BG618" s="6">
        <f t="shared" si="53"/>
        <v>0</v>
      </c>
      <c r="BH618" s="6">
        <f t="shared" si="54"/>
        <v>0</v>
      </c>
      <c r="BI618" s="9" t="str">
        <f t="shared" si="55"/>
        <v/>
      </c>
      <c r="BJ618" s="6">
        <f t="shared" si="56"/>
        <v>0</v>
      </c>
      <c r="BK618" s="6">
        <f t="shared" si="57"/>
        <v>0</v>
      </c>
      <c r="BL618" s="6">
        <f t="shared" si="58"/>
        <v>0</v>
      </c>
      <c r="BM618" s="6">
        <f t="shared" si="59"/>
        <v>0</v>
      </c>
      <c r="BN618" s="6">
        <f t="shared" si="60"/>
        <v>0</v>
      </c>
      <c r="BP618" s="6">
        <f t="shared" si="61"/>
        <v>0</v>
      </c>
      <c r="BQ618" s="6" t="b">
        <f ca="1">IFERROR(__xludf.DUMMYFUNCTION("IF(AND(ISERROR(FILTER('Items by Team'!D$2:D3410,'Items by Team'!C$2:C3410 = D618,'Items by Team'!B$2:B3410 = B618)),NOT(A618=""Practice"")),TRUE,FALSE)"),FALSE)</f>
        <v>0</v>
      </c>
      <c r="BR618" s="6">
        <f t="shared" ca="1" si="62"/>
        <v>0</v>
      </c>
    </row>
    <row r="619" spans="1:70">
      <c r="A619" s="6"/>
      <c r="B619" s="6"/>
      <c r="C619" s="6"/>
      <c r="D619" s="6"/>
      <c r="E619" s="6"/>
      <c r="F619" s="6"/>
      <c r="G619" s="6"/>
      <c r="H619" s="6"/>
      <c r="I619" s="6"/>
      <c r="J619" s="6"/>
      <c r="K619" s="6"/>
      <c r="L619" s="6"/>
      <c r="M619" s="6"/>
      <c r="N619" s="6"/>
      <c r="O619" s="6"/>
      <c r="P619" s="6"/>
      <c r="R619" s="6"/>
      <c r="S619" s="6"/>
      <c r="T619" s="6"/>
      <c r="U619" s="6"/>
      <c r="V619" s="6"/>
      <c r="W619" s="6"/>
      <c r="X619" s="6"/>
      <c r="Y619" s="6"/>
      <c r="Z619" s="6"/>
      <c r="AA619" s="6"/>
      <c r="AB619" s="6"/>
      <c r="AD619" s="6"/>
      <c r="AE619" s="6"/>
      <c r="AF619" s="6"/>
      <c r="AG619" s="6"/>
      <c r="AH619" s="6"/>
      <c r="AI619" s="6"/>
      <c r="AK619" s="6"/>
      <c r="AL619" s="6"/>
      <c r="AM619" s="6"/>
      <c r="AN619" s="6"/>
      <c r="AO619" s="6"/>
      <c r="AP619" s="6"/>
      <c r="AQ619" s="6"/>
      <c r="AR619" s="6"/>
      <c r="AS619" s="15"/>
      <c r="AT619" s="6" t="str">
        <f ca="1">IFERROR(__xludf.DUMMYFUNCTION("""COMPUTED_VALUE"""),"#N/A")</f>
        <v>#N/A</v>
      </c>
      <c r="AU619" s="6" t="str">
        <f ca="1">IFERROR(__xludf.DUMMYFUNCTION("""COMPUTED_VALUE"""),"FALSE")</f>
        <v>FALSE</v>
      </c>
      <c r="AV619" s="6">
        <f t="shared" si="42"/>
        <v>0</v>
      </c>
      <c r="AW619" s="6">
        <f t="shared" si="43"/>
        <v>0</v>
      </c>
      <c r="AX619" s="6">
        <f t="shared" si="44"/>
        <v>0</v>
      </c>
      <c r="AY619" s="6">
        <f t="shared" si="45"/>
        <v>0</v>
      </c>
      <c r="AZ619" s="9" t="str">
        <f t="shared" si="46"/>
        <v/>
      </c>
      <c r="BA619" s="6">
        <f t="shared" si="47"/>
        <v>0</v>
      </c>
      <c r="BB619" s="6">
        <f t="shared" si="48"/>
        <v>0</v>
      </c>
      <c r="BC619" s="9" t="str">
        <f t="shared" si="49"/>
        <v/>
      </c>
      <c r="BD619" s="6">
        <f t="shared" si="50"/>
        <v>0</v>
      </c>
      <c r="BE619" s="6">
        <f t="shared" si="51"/>
        <v>0</v>
      </c>
      <c r="BF619" s="9" t="str">
        <f t="shared" si="52"/>
        <v/>
      </c>
      <c r="BG619" s="6">
        <f t="shared" si="53"/>
        <v>0</v>
      </c>
      <c r="BH619" s="6">
        <f t="shared" si="54"/>
        <v>0</v>
      </c>
      <c r="BI619" s="9" t="str">
        <f t="shared" si="55"/>
        <v/>
      </c>
      <c r="BJ619" s="6">
        <f t="shared" si="56"/>
        <v>0</v>
      </c>
      <c r="BK619" s="6">
        <f t="shared" si="57"/>
        <v>0</v>
      </c>
      <c r="BL619" s="6">
        <f t="shared" si="58"/>
        <v>0</v>
      </c>
      <c r="BM619" s="6">
        <f t="shared" si="59"/>
        <v>0</v>
      </c>
      <c r="BN619" s="6">
        <f t="shared" si="60"/>
        <v>0</v>
      </c>
      <c r="BP619" s="6">
        <f t="shared" si="61"/>
        <v>0</v>
      </c>
      <c r="BQ619" s="6" t="b">
        <f ca="1">IFERROR(__xludf.DUMMYFUNCTION("IF(AND(ISERROR(FILTER('Items by Team'!D$2:D3410,'Items by Team'!C$2:C3410 = D619,'Items by Team'!B$2:B3410 = B619)),NOT(A619=""Practice"")),TRUE,FALSE)"),FALSE)</f>
        <v>0</v>
      </c>
      <c r="BR619" s="6">
        <f t="shared" ca="1" si="62"/>
        <v>0</v>
      </c>
    </row>
    <row r="620" spans="1:70">
      <c r="A620" s="6"/>
      <c r="B620" s="6"/>
      <c r="C620" s="6"/>
      <c r="D620" s="6"/>
      <c r="E620" s="6"/>
      <c r="F620" s="6"/>
      <c r="G620" s="6"/>
      <c r="H620" s="6"/>
      <c r="I620" s="6"/>
      <c r="J620" s="6"/>
      <c r="K620" s="6"/>
      <c r="L620" s="6"/>
      <c r="M620" s="6"/>
      <c r="N620" s="6"/>
      <c r="O620" s="6"/>
      <c r="P620" s="6"/>
      <c r="R620" s="6"/>
      <c r="S620" s="6"/>
      <c r="T620" s="6"/>
      <c r="U620" s="6"/>
      <c r="V620" s="6"/>
      <c r="W620" s="6"/>
      <c r="X620" s="6"/>
      <c r="Y620" s="6"/>
      <c r="Z620" s="6"/>
      <c r="AA620" s="6"/>
      <c r="AB620" s="6"/>
      <c r="AD620" s="6"/>
      <c r="AE620" s="6"/>
      <c r="AF620" s="6"/>
      <c r="AG620" s="6"/>
      <c r="AH620" s="6"/>
      <c r="AI620" s="6"/>
      <c r="AK620" s="6"/>
      <c r="AL620" s="6"/>
      <c r="AM620" s="6"/>
      <c r="AN620" s="6"/>
      <c r="AO620" s="6"/>
      <c r="AP620" s="6"/>
      <c r="AQ620" s="6"/>
      <c r="AR620" s="6"/>
      <c r="AS620" s="15"/>
      <c r="AT620" s="6" t="str">
        <f ca="1">IFERROR(__xludf.DUMMYFUNCTION("""COMPUTED_VALUE"""),"#N/A")</f>
        <v>#N/A</v>
      </c>
      <c r="AU620" s="6" t="str">
        <f ca="1">IFERROR(__xludf.DUMMYFUNCTION("""COMPUTED_VALUE"""),"FALSE")</f>
        <v>FALSE</v>
      </c>
      <c r="AV620" s="6">
        <f t="shared" si="42"/>
        <v>0</v>
      </c>
      <c r="AW620" s="6">
        <f t="shared" si="43"/>
        <v>0</v>
      </c>
      <c r="AX620" s="6">
        <f t="shared" si="44"/>
        <v>0</v>
      </c>
      <c r="AY620" s="6">
        <f t="shared" si="45"/>
        <v>0</v>
      </c>
      <c r="AZ620" s="9" t="str">
        <f t="shared" si="46"/>
        <v/>
      </c>
      <c r="BA620" s="6">
        <f t="shared" si="47"/>
        <v>0</v>
      </c>
      <c r="BB620" s="6">
        <f t="shared" si="48"/>
        <v>0</v>
      </c>
      <c r="BC620" s="9" t="str">
        <f t="shared" si="49"/>
        <v/>
      </c>
      <c r="BD620" s="6">
        <f t="shared" si="50"/>
        <v>0</v>
      </c>
      <c r="BE620" s="6">
        <f t="shared" si="51"/>
        <v>0</v>
      </c>
      <c r="BF620" s="9" t="str">
        <f t="shared" si="52"/>
        <v/>
      </c>
      <c r="BG620" s="6">
        <f t="shared" si="53"/>
        <v>0</v>
      </c>
      <c r="BH620" s="6">
        <f t="shared" si="54"/>
        <v>0</v>
      </c>
      <c r="BI620" s="9" t="str">
        <f t="shared" si="55"/>
        <v/>
      </c>
      <c r="BJ620" s="6">
        <f t="shared" si="56"/>
        <v>0</v>
      </c>
      <c r="BK620" s="6">
        <f t="shared" si="57"/>
        <v>0</v>
      </c>
      <c r="BL620" s="6">
        <f t="shared" si="58"/>
        <v>0</v>
      </c>
      <c r="BM620" s="6">
        <f t="shared" si="59"/>
        <v>0</v>
      </c>
      <c r="BN620" s="6">
        <f t="shared" si="60"/>
        <v>0</v>
      </c>
      <c r="BP620" s="6">
        <f t="shared" si="61"/>
        <v>0</v>
      </c>
      <c r="BQ620" s="6" t="b">
        <f ca="1">IFERROR(__xludf.DUMMYFUNCTION("IF(AND(ISERROR(FILTER('Items by Team'!D$2:D3410,'Items by Team'!C$2:C3410 = D620,'Items by Team'!B$2:B3410 = B620)),NOT(A620=""Practice"")),TRUE,FALSE)"),FALSE)</f>
        <v>0</v>
      </c>
      <c r="BR620" s="6">
        <f t="shared" ca="1" si="62"/>
        <v>0</v>
      </c>
    </row>
    <row r="621" spans="1:70">
      <c r="A621" s="6"/>
      <c r="B621" s="6"/>
      <c r="C621" s="6"/>
      <c r="D621" s="6"/>
      <c r="E621" s="6"/>
      <c r="F621" s="6"/>
      <c r="G621" s="6"/>
      <c r="H621" s="6"/>
      <c r="I621" s="6"/>
      <c r="J621" s="6"/>
      <c r="K621" s="6"/>
      <c r="L621" s="6"/>
      <c r="M621" s="6"/>
      <c r="N621" s="6"/>
      <c r="O621" s="6"/>
      <c r="P621" s="6"/>
      <c r="R621" s="6"/>
      <c r="S621" s="6"/>
      <c r="T621" s="6"/>
      <c r="U621" s="6"/>
      <c r="V621" s="6"/>
      <c r="W621" s="6"/>
      <c r="X621" s="6"/>
      <c r="Y621" s="6"/>
      <c r="Z621" s="6"/>
      <c r="AA621" s="6"/>
      <c r="AB621" s="6"/>
      <c r="AD621" s="6"/>
      <c r="AE621" s="6"/>
      <c r="AF621" s="6"/>
      <c r="AG621" s="6"/>
      <c r="AH621" s="6"/>
      <c r="AI621" s="6"/>
      <c r="AK621" s="6"/>
      <c r="AL621" s="6"/>
      <c r="AM621" s="6"/>
      <c r="AN621" s="6"/>
      <c r="AO621" s="6"/>
      <c r="AP621" s="6"/>
      <c r="AQ621" s="6"/>
      <c r="AR621" s="6"/>
      <c r="AS621" s="15"/>
      <c r="AT621" s="6" t="str">
        <f ca="1">IFERROR(__xludf.DUMMYFUNCTION("""COMPUTED_VALUE"""),"#N/A")</f>
        <v>#N/A</v>
      </c>
      <c r="AU621" s="6" t="str">
        <f ca="1">IFERROR(__xludf.DUMMYFUNCTION("""COMPUTED_VALUE"""),"FALSE")</f>
        <v>FALSE</v>
      </c>
      <c r="AV621" s="6">
        <f t="shared" si="42"/>
        <v>0</v>
      </c>
      <c r="AW621" s="6">
        <f t="shared" si="43"/>
        <v>0</v>
      </c>
      <c r="AX621" s="6">
        <f t="shared" si="44"/>
        <v>0</v>
      </c>
      <c r="AY621" s="6">
        <f t="shared" si="45"/>
        <v>0</v>
      </c>
      <c r="AZ621" s="9" t="str">
        <f t="shared" si="46"/>
        <v/>
      </c>
      <c r="BA621" s="6">
        <f t="shared" si="47"/>
        <v>0</v>
      </c>
      <c r="BB621" s="6">
        <f t="shared" si="48"/>
        <v>0</v>
      </c>
      <c r="BC621" s="9" t="str">
        <f t="shared" si="49"/>
        <v/>
      </c>
      <c r="BD621" s="6">
        <f t="shared" si="50"/>
        <v>0</v>
      </c>
      <c r="BE621" s="6">
        <f t="shared" si="51"/>
        <v>0</v>
      </c>
      <c r="BF621" s="9" t="str">
        <f t="shared" si="52"/>
        <v/>
      </c>
      <c r="BG621" s="6">
        <f t="shared" si="53"/>
        <v>0</v>
      </c>
      <c r="BH621" s="6">
        <f t="shared" si="54"/>
        <v>0</v>
      </c>
      <c r="BI621" s="9" t="str">
        <f t="shared" si="55"/>
        <v/>
      </c>
      <c r="BJ621" s="6">
        <f t="shared" si="56"/>
        <v>0</v>
      </c>
      <c r="BK621" s="6">
        <f t="shared" si="57"/>
        <v>0</v>
      </c>
      <c r="BL621" s="6">
        <f t="shared" si="58"/>
        <v>0</v>
      </c>
      <c r="BM621" s="6">
        <f t="shared" si="59"/>
        <v>0</v>
      </c>
      <c r="BN621" s="6">
        <f t="shared" si="60"/>
        <v>0</v>
      </c>
      <c r="BP621" s="6">
        <f t="shared" si="61"/>
        <v>0</v>
      </c>
      <c r="BQ621" s="6" t="b">
        <f ca="1">IFERROR(__xludf.DUMMYFUNCTION("IF(AND(ISERROR(FILTER('Items by Team'!D$2:D3410,'Items by Team'!C$2:C3410 = D621,'Items by Team'!B$2:B3410 = B621)),NOT(A621=""Practice"")),TRUE,FALSE)"),FALSE)</f>
        <v>0</v>
      </c>
      <c r="BR621" s="6">
        <f t="shared" ca="1" si="62"/>
        <v>0</v>
      </c>
    </row>
    <row r="622" spans="1:70">
      <c r="A622" s="6"/>
      <c r="B622" s="6"/>
      <c r="C622" s="6"/>
      <c r="D622" s="6"/>
      <c r="E622" s="6"/>
      <c r="F622" s="6"/>
      <c r="G622" s="6"/>
      <c r="H622" s="6"/>
      <c r="I622" s="6"/>
      <c r="J622" s="6"/>
      <c r="K622" s="6"/>
      <c r="L622" s="6"/>
      <c r="M622" s="6"/>
      <c r="N622" s="6"/>
      <c r="O622" s="6"/>
      <c r="P622" s="6"/>
      <c r="R622" s="6"/>
      <c r="S622" s="6"/>
      <c r="T622" s="6"/>
      <c r="U622" s="6"/>
      <c r="V622" s="6"/>
      <c r="W622" s="6"/>
      <c r="X622" s="6"/>
      <c r="Y622" s="6"/>
      <c r="Z622" s="6"/>
      <c r="AA622" s="6"/>
      <c r="AB622" s="6"/>
      <c r="AD622" s="6"/>
      <c r="AE622" s="6"/>
      <c r="AF622" s="6"/>
      <c r="AG622" s="6"/>
      <c r="AH622" s="6"/>
      <c r="AI622" s="6"/>
      <c r="AK622" s="6"/>
      <c r="AL622" s="6"/>
      <c r="AM622" s="6"/>
      <c r="AN622" s="6"/>
      <c r="AO622" s="6"/>
      <c r="AP622" s="6"/>
      <c r="AQ622" s="6"/>
      <c r="AR622" s="6"/>
      <c r="AS622" s="15"/>
      <c r="AT622" s="6" t="str">
        <f ca="1">IFERROR(__xludf.DUMMYFUNCTION("""COMPUTED_VALUE"""),"#N/A")</f>
        <v>#N/A</v>
      </c>
      <c r="AU622" s="6" t="str">
        <f ca="1">IFERROR(__xludf.DUMMYFUNCTION("""COMPUTED_VALUE"""),"FALSE")</f>
        <v>FALSE</v>
      </c>
      <c r="AV622" s="6">
        <f t="shared" si="42"/>
        <v>0</v>
      </c>
      <c r="AW622" s="6">
        <f t="shared" si="43"/>
        <v>0</v>
      </c>
      <c r="AX622" s="6">
        <f t="shared" si="44"/>
        <v>0</v>
      </c>
      <c r="AY622" s="6">
        <f t="shared" si="45"/>
        <v>0</v>
      </c>
      <c r="AZ622" s="9" t="str">
        <f t="shared" si="46"/>
        <v/>
      </c>
      <c r="BA622" s="6">
        <f t="shared" si="47"/>
        <v>0</v>
      </c>
      <c r="BB622" s="6">
        <f t="shared" si="48"/>
        <v>0</v>
      </c>
      <c r="BC622" s="9" t="str">
        <f t="shared" si="49"/>
        <v/>
      </c>
      <c r="BD622" s="6">
        <f t="shared" si="50"/>
        <v>0</v>
      </c>
      <c r="BE622" s="6">
        <f t="shared" si="51"/>
        <v>0</v>
      </c>
      <c r="BF622" s="9" t="str">
        <f t="shared" si="52"/>
        <v/>
      </c>
      <c r="BG622" s="6">
        <f t="shared" si="53"/>
        <v>0</v>
      </c>
      <c r="BH622" s="6">
        <f t="shared" si="54"/>
        <v>0</v>
      </c>
      <c r="BI622" s="9" t="str">
        <f t="shared" si="55"/>
        <v/>
      </c>
      <c r="BJ622" s="6">
        <f t="shared" si="56"/>
        <v>0</v>
      </c>
      <c r="BK622" s="6">
        <f t="shared" si="57"/>
        <v>0</v>
      </c>
      <c r="BL622" s="6">
        <f t="shared" si="58"/>
        <v>0</v>
      </c>
      <c r="BM622" s="6">
        <f t="shared" si="59"/>
        <v>0</v>
      </c>
      <c r="BN622" s="6">
        <f t="shared" si="60"/>
        <v>0</v>
      </c>
      <c r="BP622" s="6">
        <f t="shared" si="61"/>
        <v>0</v>
      </c>
      <c r="BQ622" s="6" t="b">
        <f ca="1">IFERROR(__xludf.DUMMYFUNCTION("IF(AND(ISERROR(FILTER('Items by Team'!D$2:D3410,'Items by Team'!C$2:C3410 = D622,'Items by Team'!B$2:B3410 = B622)),NOT(A622=""Practice"")),TRUE,FALSE)"),FALSE)</f>
        <v>0</v>
      </c>
      <c r="BR622" s="6">
        <f t="shared" ca="1" si="62"/>
        <v>0</v>
      </c>
    </row>
    <row r="623" spans="1:70">
      <c r="A623" s="6"/>
      <c r="B623" s="6"/>
      <c r="C623" s="6"/>
      <c r="D623" s="6"/>
      <c r="E623" s="6"/>
      <c r="F623" s="6"/>
      <c r="G623" s="6"/>
      <c r="H623" s="6"/>
      <c r="I623" s="6"/>
      <c r="J623" s="6"/>
      <c r="K623" s="6"/>
      <c r="L623" s="6"/>
      <c r="M623" s="6"/>
      <c r="N623" s="6"/>
      <c r="O623" s="6"/>
      <c r="P623" s="6"/>
      <c r="R623" s="6"/>
      <c r="S623" s="6"/>
      <c r="T623" s="6"/>
      <c r="U623" s="6"/>
      <c r="V623" s="6"/>
      <c r="W623" s="6"/>
      <c r="X623" s="6"/>
      <c r="Y623" s="6"/>
      <c r="Z623" s="6"/>
      <c r="AA623" s="6"/>
      <c r="AB623" s="6"/>
      <c r="AD623" s="6"/>
      <c r="AE623" s="6"/>
      <c r="AF623" s="6"/>
      <c r="AG623" s="6"/>
      <c r="AH623" s="6"/>
      <c r="AI623" s="6"/>
      <c r="AK623" s="6"/>
      <c r="AL623" s="6"/>
      <c r="AM623" s="6"/>
      <c r="AN623" s="6"/>
      <c r="AO623" s="6"/>
      <c r="AP623" s="6"/>
      <c r="AQ623" s="6"/>
      <c r="AR623" s="6"/>
      <c r="AS623" s="15"/>
      <c r="AT623" s="6" t="str">
        <f ca="1">IFERROR(__xludf.DUMMYFUNCTION("""COMPUTED_VALUE"""),"#N/A")</f>
        <v>#N/A</v>
      </c>
      <c r="AU623" s="6" t="str">
        <f ca="1">IFERROR(__xludf.DUMMYFUNCTION("""COMPUTED_VALUE"""),"FALSE")</f>
        <v>FALSE</v>
      </c>
      <c r="AV623" s="6">
        <f t="shared" si="42"/>
        <v>0</v>
      </c>
      <c r="AW623" s="6">
        <f t="shared" si="43"/>
        <v>0</v>
      </c>
      <c r="AX623" s="6">
        <f t="shared" si="44"/>
        <v>0</v>
      </c>
      <c r="AY623" s="6">
        <f t="shared" si="45"/>
        <v>0</v>
      </c>
      <c r="AZ623" s="9" t="str">
        <f t="shared" si="46"/>
        <v/>
      </c>
      <c r="BA623" s="6">
        <f t="shared" si="47"/>
        <v>0</v>
      </c>
      <c r="BB623" s="6">
        <f t="shared" si="48"/>
        <v>0</v>
      </c>
      <c r="BC623" s="9" t="str">
        <f t="shared" si="49"/>
        <v/>
      </c>
      <c r="BD623" s="6">
        <f t="shared" si="50"/>
        <v>0</v>
      </c>
      <c r="BE623" s="6">
        <f t="shared" si="51"/>
        <v>0</v>
      </c>
      <c r="BF623" s="9" t="str">
        <f t="shared" si="52"/>
        <v/>
      </c>
      <c r="BG623" s="6">
        <f t="shared" si="53"/>
        <v>0</v>
      </c>
      <c r="BH623" s="6">
        <f t="shared" si="54"/>
        <v>0</v>
      </c>
      <c r="BI623" s="9" t="str">
        <f t="shared" si="55"/>
        <v/>
      </c>
      <c r="BJ623" s="6">
        <f t="shared" si="56"/>
        <v>0</v>
      </c>
      <c r="BK623" s="6">
        <f t="shared" si="57"/>
        <v>0</v>
      </c>
      <c r="BL623" s="6">
        <f t="shared" si="58"/>
        <v>0</v>
      </c>
      <c r="BM623" s="6">
        <f t="shared" si="59"/>
        <v>0</v>
      </c>
      <c r="BN623" s="6">
        <f t="shared" si="60"/>
        <v>0</v>
      </c>
      <c r="BP623" s="6">
        <f t="shared" si="61"/>
        <v>0</v>
      </c>
      <c r="BQ623" s="6" t="b">
        <f ca="1">IFERROR(__xludf.DUMMYFUNCTION("IF(AND(ISERROR(FILTER('Items by Team'!D$2:D3410,'Items by Team'!C$2:C3410 = D623,'Items by Team'!B$2:B3410 = B623)),NOT(A623=""Practice"")),TRUE,FALSE)"),FALSE)</f>
        <v>0</v>
      </c>
      <c r="BR623" s="6">
        <f t="shared" ca="1" si="62"/>
        <v>0</v>
      </c>
    </row>
    <row r="624" spans="1:70">
      <c r="A624" s="6"/>
      <c r="B624" s="6"/>
      <c r="C624" s="6"/>
      <c r="D624" s="6"/>
      <c r="E624" s="6"/>
      <c r="F624" s="6"/>
      <c r="G624" s="6"/>
      <c r="H624" s="6"/>
      <c r="I624" s="6"/>
      <c r="J624" s="6"/>
      <c r="K624" s="6"/>
      <c r="L624" s="6"/>
      <c r="M624" s="6"/>
      <c r="N624" s="6"/>
      <c r="O624" s="6"/>
      <c r="P624" s="6"/>
      <c r="R624" s="6"/>
      <c r="S624" s="6"/>
      <c r="T624" s="6"/>
      <c r="U624" s="6"/>
      <c r="V624" s="6"/>
      <c r="W624" s="6"/>
      <c r="X624" s="6"/>
      <c r="Y624" s="6"/>
      <c r="Z624" s="6"/>
      <c r="AA624" s="6"/>
      <c r="AB624" s="6"/>
      <c r="AD624" s="6"/>
      <c r="AE624" s="6"/>
      <c r="AF624" s="6"/>
      <c r="AG624" s="6"/>
      <c r="AH624" s="6"/>
      <c r="AI624" s="6"/>
      <c r="AK624" s="6"/>
      <c r="AL624" s="6"/>
      <c r="AM624" s="6"/>
      <c r="AN624" s="6"/>
      <c r="AO624" s="6"/>
      <c r="AP624" s="6"/>
      <c r="AQ624" s="6"/>
      <c r="AR624" s="6"/>
      <c r="AS624" s="15"/>
      <c r="AT624" s="6" t="str">
        <f ca="1">IFERROR(__xludf.DUMMYFUNCTION("""COMPUTED_VALUE"""),"#N/A")</f>
        <v>#N/A</v>
      </c>
      <c r="AU624" s="6" t="str">
        <f ca="1">IFERROR(__xludf.DUMMYFUNCTION("""COMPUTED_VALUE"""),"FALSE")</f>
        <v>FALSE</v>
      </c>
      <c r="AV624" s="6">
        <f t="shared" si="42"/>
        <v>0</v>
      </c>
      <c r="AW624" s="6">
        <f t="shared" si="43"/>
        <v>0</v>
      </c>
      <c r="AX624" s="6">
        <f t="shared" si="44"/>
        <v>0</v>
      </c>
      <c r="AY624" s="6">
        <f t="shared" si="45"/>
        <v>0</v>
      </c>
      <c r="AZ624" s="9" t="str">
        <f t="shared" si="46"/>
        <v/>
      </c>
      <c r="BA624" s="6">
        <f t="shared" si="47"/>
        <v>0</v>
      </c>
      <c r="BB624" s="6">
        <f t="shared" si="48"/>
        <v>0</v>
      </c>
      <c r="BC624" s="9" t="str">
        <f t="shared" si="49"/>
        <v/>
      </c>
      <c r="BD624" s="6">
        <f t="shared" si="50"/>
        <v>0</v>
      </c>
      <c r="BE624" s="6">
        <f t="shared" si="51"/>
        <v>0</v>
      </c>
      <c r="BF624" s="9" t="str">
        <f t="shared" si="52"/>
        <v/>
      </c>
      <c r="BG624" s="6">
        <f t="shared" si="53"/>
        <v>0</v>
      </c>
      <c r="BH624" s="6">
        <f t="shared" si="54"/>
        <v>0</v>
      </c>
      <c r="BI624" s="9" t="str">
        <f t="shared" si="55"/>
        <v/>
      </c>
      <c r="BJ624" s="6">
        <f t="shared" si="56"/>
        <v>0</v>
      </c>
      <c r="BK624" s="6">
        <f t="shared" si="57"/>
        <v>0</v>
      </c>
      <c r="BL624" s="6">
        <f t="shared" si="58"/>
        <v>0</v>
      </c>
      <c r="BM624" s="6">
        <f t="shared" si="59"/>
        <v>0</v>
      </c>
      <c r="BN624" s="6">
        <f t="shared" si="60"/>
        <v>0</v>
      </c>
      <c r="BP624" s="6">
        <f t="shared" si="61"/>
        <v>0</v>
      </c>
      <c r="BQ624" s="6" t="b">
        <f ca="1">IFERROR(__xludf.DUMMYFUNCTION("IF(AND(ISERROR(FILTER('Items by Team'!D$2:D3410,'Items by Team'!C$2:C3410 = D624,'Items by Team'!B$2:B3410 = B624)),NOT(A624=""Practice"")),TRUE,FALSE)"),FALSE)</f>
        <v>0</v>
      </c>
      <c r="BR624" s="6">
        <f t="shared" ca="1" si="62"/>
        <v>0</v>
      </c>
    </row>
    <row r="625" spans="1:70">
      <c r="A625" s="6"/>
      <c r="B625" s="6"/>
      <c r="C625" s="6"/>
      <c r="D625" s="6"/>
      <c r="E625" s="6"/>
      <c r="F625" s="6"/>
      <c r="G625" s="6"/>
      <c r="H625" s="6"/>
      <c r="I625" s="6"/>
      <c r="J625" s="6"/>
      <c r="K625" s="6"/>
      <c r="L625" s="6"/>
      <c r="M625" s="6"/>
      <c r="N625" s="6"/>
      <c r="O625" s="6"/>
      <c r="P625" s="6"/>
      <c r="R625" s="6"/>
      <c r="S625" s="6"/>
      <c r="T625" s="6"/>
      <c r="U625" s="6"/>
      <c r="V625" s="6"/>
      <c r="W625" s="6"/>
      <c r="X625" s="6"/>
      <c r="Y625" s="6"/>
      <c r="Z625" s="6"/>
      <c r="AA625" s="6"/>
      <c r="AB625" s="6"/>
      <c r="AD625" s="6"/>
      <c r="AE625" s="6"/>
      <c r="AF625" s="6"/>
      <c r="AG625" s="6"/>
      <c r="AH625" s="6"/>
      <c r="AI625" s="6"/>
      <c r="AK625" s="6"/>
      <c r="AL625" s="6"/>
      <c r="AM625" s="6"/>
      <c r="AN625" s="6"/>
      <c r="AO625" s="6"/>
      <c r="AP625" s="6"/>
      <c r="AQ625" s="6"/>
      <c r="AR625" s="6"/>
      <c r="AS625" s="15"/>
      <c r="AT625" s="6" t="str">
        <f ca="1">IFERROR(__xludf.DUMMYFUNCTION("""COMPUTED_VALUE"""),"#N/A")</f>
        <v>#N/A</v>
      </c>
      <c r="AU625" s="6" t="str">
        <f ca="1">IFERROR(__xludf.DUMMYFUNCTION("""COMPUTED_VALUE"""),"FALSE")</f>
        <v>FALSE</v>
      </c>
      <c r="AV625" s="6">
        <f t="shared" si="42"/>
        <v>0</v>
      </c>
      <c r="AW625" s="6">
        <f t="shared" si="43"/>
        <v>0</v>
      </c>
      <c r="AX625" s="6">
        <f t="shared" si="44"/>
        <v>0</v>
      </c>
      <c r="AY625" s="6">
        <f t="shared" si="45"/>
        <v>0</v>
      </c>
      <c r="AZ625" s="9" t="str">
        <f t="shared" si="46"/>
        <v/>
      </c>
      <c r="BA625" s="6">
        <f t="shared" si="47"/>
        <v>0</v>
      </c>
      <c r="BB625" s="6">
        <f t="shared" si="48"/>
        <v>0</v>
      </c>
      <c r="BC625" s="9" t="str">
        <f t="shared" si="49"/>
        <v/>
      </c>
      <c r="BD625" s="6">
        <f t="shared" si="50"/>
        <v>0</v>
      </c>
      <c r="BE625" s="6">
        <f t="shared" si="51"/>
        <v>0</v>
      </c>
      <c r="BF625" s="9" t="str">
        <f t="shared" si="52"/>
        <v/>
      </c>
      <c r="BG625" s="6">
        <f t="shared" si="53"/>
        <v>0</v>
      </c>
      <c r="BH625" s="6">
        <f t="shared" si="54"/>
        <v>0</v>
      </c>
      <c r="BI625" s="9" t="str">
        <f t="shared" si="55"/>
        <v/>
      </c>
      <c r="BJ625" s="6">
        <f t="shared" si="56"/>
        <v>0</v>
      </c>
      <c r="BK625" s="6">
        <f t="shared" si="57"/>
        <v>0</v>
      </c>
      <c r="BL625" s="6">
        <f t="shared" si="58"/>
        <v>0</v>
      </c>
      <c r="BM625" s="6">
        <f t="shared" si="59"/>
        <v>0</v>
      </c>
      <c r="BN625" s="6">
        <f t="shared" si="60"/>
        <v>0</v>
      </c>
      <c r="BP625" s="6">
        <f t="shared" si="61"/>
        <v>0</v>
      </c>
      <c r="BQ625" s="6" t="b">
        <f ca="1">IFERROR(__xludf.DUMMYFUNCTION("IF(AND(ISERROR(FILTER('Items by Team'!D$2:D3410,'Items by Team'!C$2:C3410 = D625,'Items by Team'!B$2:B3410 = B625)),NOT(A625=""Practice"")),TRUE,FALSE)"),FALSE)</f>
        <v>0</v>
      </c>
      <c r="BR625" s="6">
        <f t="shared" ca="1" si="62"/>
        <v>0</v>
      </c>
    </row>
    <row r="626" spans="1:70">
      <c r="A626" s="6"/>
      <c r="B626" s="6"/>
      <c r="C626" s="6"/>
      <c r="D626" s="6"/>
      <c r="E626" s="6"/>
      <c r="F626" s="6"/>
      <c r="G626" s="6"/>
      <c r="H626" s="6"/>
      <c r="I626" s="6"/>
      <c r="J626" s="6"/>
      <c r="K626" s="6"/>
      <c r="L626" s="6"/>
      <c r="M626" s="6"/>
      <c r="N626" s="6"/>
      <c r="O626" s="6"/>
      <c r="P626" s="6"/>
      <c r="R626" s="6"/>
      <c r="S626" s="6"/>
      <c r="T626" s="6"/>
      <c r="U626" s="6"/>
      <c r="V626" s="6"/>
      <c r="W626" s="6"/>
      <c r="X626" s="6"/>
      <c r="Y626" s="6"/>
      <c r="Z626" s="6"/>
      <c r="AA626" s="6"/>
      <c r="AB626" s="6"/>
      <c r="AD626" s="6"/>
      <c r="AE626" s="6"/>
      <c r="AF626" s="6"/>
      <c r="AG626" s="6"/>
      <c r="AH626" s="6"/>
      <c r="AI626" s="6"/>
      <c r="AK626" s="6"/>
      <c r="AL626" s="6"/>
      <c r="AM626" s="6"/>
      <c r="AN626" s="6"/>
      <c r="AO626" s="6"/>
      <c r="AP626" s="6"/>
      <c r="AQ626" s="6"/>
      <c r="AR626" s="6"/>
      <c r="AS626" s="15"/>
      <c r="AT626" s="6" t="str">
        <f ca="1">IFERROR(__xludf.DUMMYFUNCTION("""COMPUTED_VALUE"""),"#N/A")</f>
        <v>#N/A</v>
      </c>
      <c r="AU626" s="6" t="str">
        <f ca="1">IFERROR(__xludf.DUMMYFUNCTION("""COMPUTED_VALUE"""),"FALSE")</f>
        <v>FALSE</v>
      </c>
      <c r="AV626" s="6">
        <f t="shared" si="42"/>
        <v>0</v>
      </c>
      <c r="AW626" s="6">
        <f t="shared" si="43"/>
        <v>0</v>
      </c>
      <c r="AX626" s="6">
        <f t="shared" si="44"/>
        <v>0</v>
      </c>
      <c r="AY626" s="6">
        <f t="shared" si="45"/>
        <v>0</v>
      </c>
      <c r="AZ626" s="9" t="str">
        <f t="shared" si="46"/>
        <v/>
      </c>
      <c r="BA626" s="6">
        <f t="shared" si="47"/>
        <v>0</v>
      </c>
      <c r="BB626" s="6">
        <f t="shared" si="48"/>
        <v>0</v>
      </c>
      <c r="BC626" s="9" t="str">
        <f t="shared" si="49"/>
        <v/>
      </c>
      <c r="BD626" s="6">
        <f t="shared" si="50"/>
        <v>0</v>
      </c>
      <c r="BE626" s="6">
        <f t="shared" si="51"/>
        <v>0</v>
      </c>
      <c r="BF626" s="9" t="str">
        <f t="shared" si="52"/>
        <v/>
      </c>
      <c r="BG626" s="6">
        <f t="shared" si="53"/>
        <v>0</v>
      </c>
      <c r="BH626" s="6">
        <f t="shared" si="54"/>
        <v>0</v>
      </c>
      <c r="BI626" s="9" t="str">
        <f t="shared" si="55"/>
        <v/>
      </c>
      <c r="BJ626" s="6">
        <f t="shared" si="56"/>
        <v>0</v>
      </c>
      <c r="BK626" s="6">
        <f t="shared" si="57"/>
        <v>0</v>
      </c>
      <c r="BL626" s="6">
        <f t="shared" si="58"/>
        <v>0</v>
      </c>
      <c r="BM626" s="6">
        <f t="shared" si="59"/>
        <v>0</v>
      </c>
      <c r="BN626" s="6">
        <f t="shared" si="60"/>
        <v>0</v>
      </c>
      <c r="BP626" s="6">
        <f t="shared" si="61"/>
        <v>0</v>
      </c>
      <c r="BQ626" s="6" t="b">
        <f ca="1">IFERROR(__xludf.DUMMYFUNCTION("IF(AND(ISERROR(FILTER('Items by Team'!D$2:D3410,'Items by Team'!C$2:C3410 = D626,'Items by Team'!B$2:B3410 = B626)),NOT(A626=""Practice"")),TRUE,FALSE)"),FALSE)</f>
        <v>0</v>
      </c>
      <c r="BR626" s="6">
        <f t="shared" ca="1" si="62"/>
        <v>0</v>
      </c>
    </row>
    <row r="627" spans="1:70">
      <c r="A627" s="6"/>
      <c r="B627" s="6"/>
      <c r="C627" s="6"/>
      <c r="D627" s="6"/>
      <c r="E627" s="6"/>
      <c r="F627" s="6"/>
      <c r="G627" s="6"/>
      <c r="H627" s="6"/>
      <c r="I627" s="6"/>
      <c r="J627" s="6"/>
      <c r="K627" s="6"/>
      <c r="L627" s="6"/>
      <c r="M627" s="6"/>
      <c r="N627" s="6"/>
      <c r="O627" s="6"/>
      <c r="P627" s="6"/>
      <c r="R627" s="6"/>
      <c r="S627" s="6"/>
      <c r="T627" s="6"/>
      <c r="U627" s="6"/>
      <c r="V627" s="6"/>
      <c r="W627" s="6"/>
      <c r="X627" s="6"/>
      <c r="Y627" s="6"/>
      <c r="Z627" s="6"/>
      <c r="AA627" s="6"/>
      <c r="AB627" s="6"/>
      <c r="AD627" s="6"/>
      <c r="AE627" s="6"/>
      <c r="AF627" s="6"/>
      <c r="AG627" s="6"/>
      <c r="AH627" s="6"/>
      <c r="AI627" s="6"/>
      <c r="AK627" s="6"/>
      <c r="AL627" s="6"/>
      <c r="AM627" s="6"/>
      <c r="AN627" s="6"/>
      <c r="AO627" s="6"/>
      <c r="AP627" s="6"/>
      <c r="AQ627" s="6"/>
      <c r="AR627" s="6"/>
      <c r="AS627" s="15"/>
      <c r="AT627" s="6" t="str">
        <f ca="1">IFERROR(__xludf.DUMMYFUNCTION("""COMPUTED_VALUE"""),"#N/A")</f>
        <v>#N/A</v>
      </c>
      <c r="AU627" s="6" t="str">
        <f ca="1">IFERROR(__xludf.DUMMYFUNCTION("""COMPUTED_VALUE"""),"FALSE")</f>
        <v>FALSE</v>
      </c>
      <c r="AV627" s="6">
        <f t="shared" si="42"/>
        <v>0</v>
      </c>
      <c r="AW627" s="6">
        <f t="shared" si="43"/>
        <v>0</v>
      </c>
      <c r="AX627" s="6">
        <f t="shared" si="44"/>
        <v>0</v>
      </c>
      <c r="AY627" s="6">
        <f t="shared" si="45"/>
        <v>0</v>
      </c>
      <c r="AZ627" s="9" t="str">
        <f t="shared" si="46"/>
        <v/>
      </c>
      <c r="BA627" s="6">
        <f t="shared" si="47"/>
        <v>0</v>
      </c>
      <c r="BB627" s="6">
        <f t="shared" si="48"/>
        <v>0</v>
      </c>
      <c r="BC627" s="9" t="str">
        <f t="shared" si="49"/>
        <v/>
      </c>
      <c r="BD627" s="6">
        <f t="shared" si="50"/>
        <v>0</v>
      </c>
      <c r="BE627" s="6">
        <f t="shared" si="51"/>
        <v>0</v>
      </c>
      <c r="BF627" s="9" t="str">
        <f t="shared" si="52"/>
        <v/>
      </c>
      <c r="BG627" s="6">
        <f t="shared" si="53"/>
        <v>0</v>
      </c>
      <c r="BH627" s="6">
        <f t="shared" si="54"/>
        <v>0</v>
      </c>
      <c r="BI627" s="9" t="str">
        <f t="shared" si="55"/>
        <v/>
      </c>
      <c r="BJ627" s="6">
        <f t="shared" si="56"/>
        <v>0</v>
      </c>
      <c r="BK627" s="6">
        <f t="shared" si="57"/>
        <v>0</v>
      </c>
      <c r="BL627" s="6">
        <f t="shared" si="58"/>
        <v>0</v>
      </c>
      <c r="BM627" s="6">
        <f t="shared" si="59"/>
        <v>0</v>
      </c>
      <c r="BN627" s="6">
        <f t="shared" si="60"/>
        <v>0</v>
      </c>
      <c r="BP627" s="6">
        <f t="shared" si="61"/>
        <v>0</v>
      </c>
      <c r="BQ627" s="6" t="b">
        <f ca="1">IFERROR(__xludf.DUMMYFUNCTION("IF(AND(ISERROR(FILTER('Items by Team'!D$2:D3410,'Items by Team'!C$2:C3410 = D627,'Items by Team'!B$2:B3410 = B627)),NOT(A627=""Practice"")),TRUE,FALSE)"),FALSE)</f>
        <v>0</v>
      </c>
      <c r="BR627" s="6">
        <f t="shared" ca="1" si="62"/>
        <v>0</v>
      </c>
    </row>
    <row r="628" spans="1:70">
      <c r="A628" s="6"/>
      <c r="B628" s="6"/>
      <c r="C628" s="6"/>
      <c r="D628" s="6"/>
      <c r="E628" s="6"/>
      <c r="F628" s="6"/>
      <c r="G628" s="6"/>
      <c r="H628" s="6"/>
      <c r="I628" s="6"/>
      <c r="J628" s="6"/>
      <c r="K628" s="6"/>
      <c r="L628" s="6"/>
      <c r="M628" s="6"/>
      <c r="N628" s="6"/>
      <c r="O628" s="6"/>
      <c r="P628" s="6"/>
      <c r="R628" s="6"/>
      <c r="S628" s="6"/>
      <c r="T628" s="6"/>
      <c r="U628" s="6"/>
      <c r="V628" s="6"/>
      <c r="W628" s="6"/>
      <c r="X628" s="6"/>
      <c r="Y628" s="6"/>
      <c r="Z628" s="6"/>
      <c r="AA628" s="6"/>
      <c r="AB628" s="6"/>
      <c r="AD628" s="6"/>
      <c r="AE628" s="6"/>
      <c r="AF628" s="6"/>
      <c r="AG628" s="6"/>
      <c r="AH628" s="6"/>
      <c r="AI628" s="6"/>
      <c r="AK628" s="6"/>
      <c r="AL628" s="6"/>
      <c r="AM628" s="6"/>
      <c r="AN628" s="6"/>
      <c r="AO628" s="6"/>
      <c r="AP628" s="6"/>
      <c r="AQ628" s="6"/>
      <c r="AR628" s="6"/>
      <c r="AS628" s="15"/>
      <c r="AT628" s="6" t="str">
        <f ca="1">IFERROR(__xludf.DUMMYFUNCTION("""COMPUTED_VALUE"""),"#N/A")</f>
        <v>#N/A</v>
      </c>
      <c r="AU628" s="6" t="str">
        <f ca="1">IFERROR(__xludf.DUMMYFUNCTION("""COMPUTED_VALUE"""),"FALSE")</f>
        <v>FALSE</v>
      </c>
      <c r="AV628" s="6">
        <f t="shared" si="42"/>
        <v>0</v>
      </c>
      <c r="AW628" s="6">
        <f t="shared" si="43"/>
        <v>0</v>
      </c>
      <c r="AX628" s="6">
        <f t="shared" si="44"/>
        <v>0</v>
      </c>
      <c r="AY628" s="6">
        <f t="shared" si="45"/>
        <v>0</v>
      </c>
      <c r="AZ628" s="9" t="str">
        <f t="shared" si="46"/>
        <v/>
      </c>
      <c r="BA628" s="6">
        <f t="shared" si="47"/>
        <v>0</v>
      </c>
      <c r="BB628" s="6">
        <f t="shared" si="48"/>
        <v>0</v>
      </c>
      <c r="BC628" s="9" t="str">
        <f t="shared" si="49"/>
        <v/>
      </c>
      <c r="BD628" s="6">
        <f t="shared" si="50"/>
        <v>0</v>
      </c>
      <c r="BE628" s="6">
        <f t="shared" si="51"/>
        <v>0</v>
      </c>
      <c r="BF628" s="9" t="str">
        <f t="shared" si="52"/>
        <v/>
      </c>
      <c r="BG628" s="6">
        <f t="shared" si="53"/>
        <v>0</v>
      </c>
      <c r="BH628" s="6">
        <f t="shared" si="54"/>
        <v>0</v>
      </c>
      <c r="BI628" s="9" t="str">
        <f t="shared" si="55"/>
        <v/>
      </c>
      <c r="BJ628" s="6">
        <f t="shared" si="56"/>
        <v>0</v>
      </c>
      <c r="BK628" s="6">
        <f t="shared" si="57"/>
        <v>0</v>
      </c>
      <c r="BL628" s="6">
        <f t="shared" si="58"/>
        <v>0</v>
      </c>
      <c r="BM628" s="6">
        <f t="shared" si="59"/>
        <v>0</v>
      </c>
      <c r="BN628" s="6">
        <f t="shared" si="60"/>
        <v>0</v>
      </c>
      <c r="BP628" s="6">
        <f t="shared" si="61"/>
        <v>0</v>
      </c>
      <c r="BQ628" s="6" t="b">
        <f ca="1">IFERROR(__xludf.DUMMYFUNCTION("IF(AND(ISERROR(FILTER('Items by Team'!D$2:D3410,'Items by Team'!C$2:C3410 = D628,'Items by Team'!B$2:B3410 = B628)),NOT(A628=""Practice"")),TRUE,FALSE)"),FALSE)</f>
        <v>0</v>
      </c>
      <c r="BR628" s="6">
        <f t="shared" ca="1" si="62"/>
        <v>0</v>
      </c>
    </row>
    <row r="629" spans="1:70">
      <c r="A629" s="6"/>
      <c r="B629" s="6"/>
      <c r="C629" s="6"/>
      <c r="D629" s="6"/>
      <c r="E629" s="6"/>
      <c r="F629" s="6"/>
      <c r="G629" s="6"/>
      <c r="H629" s="6"/>
      <c r="I629" s="6"/>
      <c r="J629" s="6"/>
      <c r="K629" s="6"/>
      <c r="L629" s="6"/>
      <c r="M629" s="6"/>
      <c r="N629" s="6"/>
      <c r="O629" s="6"/>
      <c r="P629" s="6"/>
      <c r="R629" s="6"/>
      <c r="S629" s="6"/>
      <c r="T629" s="6"/>
      <c r="U629" s="6"/>
      <c r="V629" s="6"/>
      <c r="W629" s="6"/>
      <c r="X629" s="6"/>
      <c r="Y629" s="6"/>
      <c r="Z629" s="6"/>
      <c r="AA629" s="6"/>
      <c r="AB629" s="6"/>
      <c r="AD629" s="6"/>
      <c r="AE629" s="6"/>
      <c r="AF629" s="6"/>
      <c r="AG629" s="6"/>
      <c r="AH629" s="6"/>
      <c r="AI629" s="6"/>
      <c r="AK629" s="6"/>
      <c r="AL629" s="6"/>
      <c r="AM629" s="6"/>
      <c r="AN629" s="6"/>
      <c r="AO629" s="6"/>
      <c r="AP629" s="6"/>
      <c r="AQ629" s="6"/>
      <c r="AR629" s="6"/>
      <c r="AS629" s="15"/>
      <c r="AT629" s="6" t="str">
        <f ca="1">IFERROR(__xludf.DUMMYFUNCTION("""COMPUTED_VALUE"""),"#N/A")</f>
        <v>#N/A</v>
      </c>
      <c r="AU629" s="6" t="str">
        <f ca="1">IFERROR(__xludf.DUMMYFUNCTION("""COMPUTED_VALUE"""),"FALSE")</f>
        <v>FALSE</v>
      </c>
      <c r="AV629" s="6">
        <f t="shared" si="42"/>
        <v>0</v>
      </c>
      <c r="AW629" s="6">
        <f t="shared" si="43"/>
        <v>0</v>
      </c>
      <c r="AX629" s="6">
        <f t="shared" si="44"/>
        <v>0</v>
      </c>
      <c r="AY629" s="6">
        <f t="shared" si="45"/>
        <v>0</v>
      </c>
      <c r="AZ629" s="9" t="str">
        <f t="shared" si="46"/>
        <v/>
      </c>
      <c r="BA629" s="6">
        <f t="shared" si="47"/>
        <v>0</v>
      </c>
      <c r="BB629" s="6">
        <f t="shared" si="48"/>
        <v>0</v>
      </c>
      <c r="BC629" s="9" t="str">
        <f t="shared" si="49"/>
        <v/>
      </c>
      <c r="BD629" s="6">
        <f t="shared" si="50"/>
        <v>0</v>
      </c>
      <c r="BE629" s="6">
        <f t="shared" si="51"/>
        <v>0</v>
      </c>
      <c r="BF629" s="9" t="str">
        <f t="shared" si="52"/>
        <v/>
      </c>
      <c r="BG629" s="6">
        <f t="shared" si="53"/>
        <v>0</v>
      </c>
      <c r="BH629" s="6">
        <f t="shared" si="54"/>
        <v>0</v>
      </c>
      <c r="BI629" s="9" t="str">
        <f t="shared" si="55"/>
        <v/>
      </c>
      <c r="BJ629" s="6">
        <f t="shared" si="56"/>
        <v>0</v>
      </c>
      <c r="BK629" s="6">
        <f t="shared" si="57"/>
        <v>0</v>
      </c>
      <c r="BL629" s="6">
        <f t="shared" si="58"/>
        <v>0</v>
      </c>
      <c r="BM629" s="6">
        <f t="shared" si="59"/>
        <v>0</v>
      </c>
      <c r="BN629" s="6">
        <f t="shared" si="60"/>
        <v>0</v>
      </c>
      <c r="BP629" s="6">
        <f t="shared" si="61"/>
        <v>0</v>
      </c>
      <c r="BQ629" s="6" t="b">
        <f ca="1">IFERROR(__xludf.DUMMYFUNCTION("IF(AND(ISERROR(FILTER('Items by Team'!D$2:D3410,'Items by Team'!C$2:C3410 = D629,'Items by Team'!B$2:B3410 = B629)),NOT(A629=""Practice"")),TRUE,FALSE)"),FALSE)</f>
        <v>0</v>
      </c>
      <c r="BR629" s="6">
        <f t="shared" ca="1" si="62"/>
        <v>0</v>
      </c>
    </row>
    <row r="630" spans="1:70">
      <c r="A630" s="6"/>
      <c r="B630" s="6"/>
      <c r="C630" s="6"/>
      <c r="D630" s="6"/>
      <c r="E630" s="6"/>
      <c r="F630" s="6"/>
      <c r="G630" s="6"/>
      <c r="H630" s="6"/>
      <c r="I630" s="6"/>
      <c r="J630" s="6"/>
      <c r="K630" s="6"/>
      <c r="L630" s="6"/>
      <c r="M630" s="6"/>
      <c r="N630" s="6"/>
      <c r="O630" s="6"/>
      <c r="P630" s="6"/>
      <c r="R630" s="6"/>
      <c r="S630" s="6"/>
      <c r="T630" s="6"/>
      <c r="U630" s="6"/>
      <c r="V630" s="6"/>
      <c r="W630" s="6"/>
      <c r="X630" s="6"/>
      <c r="Y630" s="6"/>
      <c r="Z630" s="6"/>
      <c r="AA630" s="6"/>
      <c r="AB630" s="6"/>
      <c r="AD630" s="6"/>
      <c r="AE630" s="6"/>
      <c r="AF630" s="6"/>
      <c r="AG630" s="6"/>
      <c r="AH630" s="6"/>
      <c r="AI630" s="6"/>
      <c r="AK630" s="6"/>
      <c r="AL630" s="6"/>
      <c r="AM630" s="6"/>
      <c r="AN630" s="6"/>
      <c r="AO630" s="6"/>
      <c r="AP630" s="6"/>
      <c r="AQ630" s="6"/>
      <c r="AR630" s="6"/>
      <c r="AS630" s="15"/>
      <c r="AT630" s="6" t="str">
        <f ca="1">IFERROR(__xludf.DUMMYFUNCTION("""COMPUTED_VALUE"""),"#N/A")</f>
        <v>#N/A</v>
      </c>
      <c r="AU630" s="6" t="str">
        <f ca="1">IFERROR(__xludf.DUMMYFUNCTION("""COMPUTED_VALUE"""),"FALSE")</f>
        <v>FALSE</v>
      </c>
      <c r="AV630" s="6">
        <f t="shared" si="42"/>
        <v>0</v>
      </c>
      <c r="AW630" s="6">
        <f t="shared" si="43"/>
        <v>0</v>
      </c>
      <c r="AX630" s="6">
        <f t="shared" si="44"/>
        <v>0</v>
      </c>
      <c r="AY630" s="6">
        <f t="shared" si="45"/>
        <v>0</v>
      </c>
      <c r="AZ630" s="9" t="str">
        <f t="shared" si="46"/>
        <v/>
      </c>
      <c r="BA630" s="6">
        <f t="shared" si="47"/>
        <v>0</v>
      </c>
      <c r="BB630" s="6">
        <f t="shared" si="48"/>
        <v>0</v>
      </c>
      <c r="BC630" s="9" t="str">
        <f t="shared" si="49"/>
        <v/>
      </c>
      <c r="BD630" s="6">
        <f t="shared" si="50"/>
        <v>0</v>
      </c>
      <c r="BE630" s="6">
        <f t="shared" si="51"/>
        <v>0</v>
      </c>
      <c r="BF630" s="9" t="str">
        <f t="shared" si="52"/>
        <v/>
      </c>
      <c r="BG630" s="6">
        <f t="shared" si="53"/>
        <v>0</v>
      </c>
      <c r="BH630" s="6">
        <f t="shared" si="54"/>
        <v>0</v>
      </c>
      <c r="BI630" s="9" t="str">
        <f t="shared" si="55"/>
        <v/>
      </c>
      <c r="BJ630" s="6">
        <f t="shared" si="56"/>
        <v>0</v>
      </c>
      <c r="BK630" s="6">
        <f t="shared" si="57"/>
        <v>0</v>
      </c>
      <c r="BL630" s="6">
        <f t="shared" si="58"/>
        <v>0</v>
      </c>
      <c r="BM630" s="6">
        <f t="shared" si="59"/>
        <v>0</v>
      </c>
      <c r="BN630" s="6">
        <f t="shared" si="60"/>
        <v>0</v>
      </c>
      <c r="BP630" s="6">
        <f t="shared" si="61"/>
        <v>0</v>
      </c>
      <c r="BQ630" s="6" t="b">
        <f ca="1">IFERROR(__xludf.DUMMYFUNCTION("IF(AND(ISERROR(FILTER('Items by Team'!D$2:D3410,'Items by Team'!C$2:C3410 = D630,'Items by Team'!B$2:B3410 = B630)),NOT(A630=""Practice"")),TRUE,FALSE)"),FALSE)</f>
        <v>0</v>
      </c>
      <c r="BR630" s="6">
        <f t="shared" ca="1" si="62"/>
        <v>0</v>
      </c>
    </row>
    <row r="631" spans="1:70">
      <c r="A631" s="6"/>
      <c r="B631" s="6"/>
      <c r="C631" s="6"/>
      <c r="D631" s="6"/>
      <c r="E631" s="6"/>
      <c r="F631" s="6"/>
      <c r="G631" s="6"/>
      <c r="H631" s="6"/>
      <c r="I631" s="6"/>
      <c r="J631" s="6"/>
      <c r="K631" s="6"/>
      <c r="L631" s="6"/>
      <c r="M631" s="6"/>
      <c r="N631" s="6"/>
      <c r="O631" s="6"/>
      <c r="P631" s="6"/>
      <c r="R631" s="6"/>
      <c r="S631" s="6"/>
      <c r="T631" s="6"/>
      <c r="U631" s="6"/>
      <c r="V631" s="6"/>
      <c r="W631" s="6"/>
      <c r="X631" s="6"/>
      <c r="Y631" s="6"/>
      <c r="Z631" s="6"/>
      <c r="AA631" s="6"/>
      <c r="AB631" s="6"/>
      <c r="AD631" s="6"/>
      <c r="AE631" s="6"/>
      <c r="AF631" s="6"/>
      <c r="AG631" s="6"/>
      <c r="AH631" s="6"/>
      <c r="AI631" s="6"/>
      <c r="AK631" s="6"/>
      <c r="AL631" s="6"/>
      <c r="AM631" s="6"/>
      <c r="AN631" s="6"/>
      <c r="AO631" s="6"/>
      <c r="AP631" s="6"/>
      <c r="AQ631" s="6"/>
      <c r="AR631" s="6"/>
      <c r="AS631" s="15"/>
      <c r="AT631" s="6" t="str">
        <f ca="1">IFERROR(__xludf.DUMMYFUNCTION("""COMPUTED_VALUE"""),"#N/A")</f>
        <v>#N/A</v>
      </c>
      <c r="AU631" s="6" t="str">
        <f ca="1">IFERROR(__xludf.DUMMYFUNCTION("""COMPUTED_VALUE"""),"FALSE")</f>
        <v>FALSE</v>
      </c>
      <c r="AV631" s="6">
        <f t="shared" si="42"/>
        <v>0</v>
      </c>
      <c r="AW631" s="6">
        <f t="shared" si="43"/>
        <v>0</v>
      </c>
      <c r="AX631" s="6">
        <f t="shared" si="44"/>
        <v>0</v>
      </c>
      <c r="AY631" s="6">
        <f t="shared" si="45"/>
        <v>0</v>
      </c>
      <c r="AZ631" s="9" t="str">
        <f t="shared" si="46"/>
        <v/>
      </c>
      <c r="BA631" s="6">
        <f t="shared" si="47"/>
        <v>0</v>
      </c>
      <c r="BB631" s="6">
        <f t="shared" si="48"/>
        <v>0</v>
      </c>
      <c r="BC631" s="9" t="str">
        <f t="shared" si="49"/>
        <v/>
      </c>
      <c r="BD631" s="6">
        <f t="shared" si="50"/>
        <v>0</v>
      </c>
      <c r="BE631" s="6">
        <f t="shared" si="51"/>
        <v>0</v>
      </c>
      <c r="BF631" s="9" t="str">
        <f t="shared" si="52"/>
        <v/>
      </c>
      <c r="BG631" s="6">
        <f t="shared" si="53"/>
        <v>0</v>
      </c>
      <c r="BH631" s="6">
        <f t="shared" si="54"/>
        <v>0</v>
      </c>
      <c r="BI631" s="9" t="str">
        <f t="shared" si="55"/>
        <v/>
      </c>
      <c r="BJ631" s="6">
        <f t="shared" si="56"/>
        <v>0</v>
      </c>
      <c r="BK631" s="6">
        <f t="shared" si="57"/>
        <v>0</v>
      </c>
      <c r="BL631" s="6">
        <f t="shared" si="58"/>
        <v>0</v>
      </c>
      <c r="BM631" s="6">
        <f t="shared" si="59"/>
        <v>0</v>
      </c>
      <c r="BN631" s="6">
        <f t="shared" si="60"/>
        <v>0</v>
      </c>
      <c r="BP631" s="6">
        <f t="shared" si="61"/>
        <v>0</v>
      </c>
      <c r="BQ631" s="6" t="b">
        <f ca="1">IFERROR(__xludf.DUMMYFUNCTION("IF(AND(ISERROR(FILTER('Items by Team'!D$2:D3410,'Items by Team'!C$2:C3410 = D631,'Items by Team'!B$2:B3410 = B631)),NOT(A631=""Practice"")),TRUE,FALSE)"),FALSE)</f>
        <v>0</v>
      </c>
      <c r="BR631" s="6">
        <f t="shared" ca="1" si="62"/>
        <v>0</v>
      </c>
    </row>
    <row r="632" spans="1:70">
      <c r="A632" s="6"/>
      <c r="B632" s="6"/>
      <c r="C632" s="6"/>
      <c r="D632" s="6"/>
      <c r="E632" s="6"/>
      <c r="F632" s="6"/>
      <c r="G632" s="6"/>
      <c r="H632" s="6"/>
      <c r="I632" s="6"/>
      <c r="J632" s="6"/>
      <c r="K632" s="6"/>
      <c r="L632" s="6"/>
      <c r="M632" s="6"/>
      <c r="N632" s="6"/>
      <c r="O632" s="6"/>
      <c r="P632" s="6"/>
      <c r="R632" s="6"/>
      <c r="S632" s="6"/>
      <c r="T632" s="6"/>
      <c r="U632" s="6"/>
      <c r="V632" s="6"/>
      <c r="W632" s="6"/>
      <c r="X632" s="6"/>
      <c r="Y632" s="6"/>
      <c r="Z632" s="6"/>
      <c r="AA632" s="6"/>
      <c r="AB632" s="6"/>
      <c r="AD632" s="6"/>
      <c r="AE632" s="6"/>
      <c r="AF632" s="6"/>
      <c r="AG632" s="6"/>
      <c r="AH632" s="6"/>
      <c r="AI632" s="6"/>
      <c r="AK632" s="6"/>
      <c r="AL632" s="6"/>
      <c r="AM632" s="6"/>
      <c r="AN632" s="6"/>
      <c r="AO632" s="6"/>
      <c r="AP632" s="6"/>
      <c r="AQ632" s="6"/>
      <c r="AR632" s="6"/>
      <c r="AS632" s="15"/>
      <c r="AT632" s="6" t="str">
        <f ca="1">IFERROR(__xludf.DUMMYFUNCTION("""COMPUTED_VALUE"""),"#N/A")</f>
        <v>#N/A</v>
      </c>
      <c r="AU632" s="6" t="str">
        <f ca="1">IFERROR(__xludf.DUMMYFUNCTION("""COMPUTED_VALUE"""),"FALSE")</f>
        <v>FALSE</v>
      </c>
      <c r="AV632" s="6">
        <f t="shared" si="42"/>
        <v>0</v>
      </c>
      <c r="AW632" s="6">
        <f t="shared" si="43"/>
        <v>0</v>
      </c>
      <c r="AX632" s="6">
        <f t="shared" si="44"/>
        <v>0</v>
      </c>
      <c r="AY632" s="6">
        <f t="shared" si="45"/>
        <v>0</v>
      </c>
      <c r="AZ632" s="9" t="str">
        <f t="shared" si="46"/>
        <v/>
      </c>
      <c r="BA632" s="6">
        <f t="shared" si="47"/>
        <v>0</v>
      </c>
      <c r="BB632" s="6">
        <f t="shared" si="48"/>
        <v>0</v>
      </c>
      <c r="BC632" s="9" t="str">
        <f t="shared" si="49"/>
        <v/>
      </c>
      <c r="BD632" s="6">
        <f t="shared" si="50"/>
        <v>0</v>
      </c>
      <c r="BE632" s="6">
        <f t="shared" si="51"/>
        <v>0</v>
      </c>
      <c r="BF632" s="9" t="str">
        <f t="shared" si="52"/>
        <v/>
      </c>
      <c r="BG632" s="6">
        <f t="shared" si="53"/>
        <v>0</v>
      </c>
      <c r="BH632" s="6">
        <f t="shared" si="54"/>
        <v>0</v>
      </c>
      <c r="BI632" s="9" t="str">
        <f t="shared" si="55"/>
        <v/>
      </c>
      <c r="BJ632" s="6">
        <f t="shared" si="56"/>
        <v>0</v>
      </c>
      <c r="BK632" s="6">
        <f t="shared" si="57"/>
        <v>0</v>
      </c>
      <c r="BL632" s="6">
        <f t="shared" si="58"/>
        <v>0</v>
      </c>
      <c r="BM632" s="6">
        <f t="shared" si="59"/>
        <v>0</v>
      </c>
      <c r="BN632" s="6">
        <f t="shared" si="60"/>
        <v>0</v>
      </c>
      <c r="BP632" s="6">
        <f t="shared" si="61"/>
        <v>0</v>
      </c>
      <c r="BQ632" s="6" t="b">
        <f ca="1">IFERROR(__xludf.DUMMYFUNCTION("IF(AND(ISERROR(FILTER('Items by Team'!D$2:D3410,'Items by Team'!C$2:C3410 = D632,'Items by Team'!B$2:B3410 = B632)),NOT(A632=""Practice"")),TRUE,FALSE)"),FALSE)</f>
        <v>0</v>
      </c>
      <c r="BR632" s="6">
        <f t="shared" ca="1" si="62"/>
        <v>0</v>
      </c>
    </row>
    <row r="633" spans="1:70">
      <c r="A633" s="6"/>
      <c r="B633" s="6"/>
      <c r="C633" s="6"/>
      <c r="D633" s="6"/>
      <c r="E633" s="6"/>
      <c r="F633" s="6"/>
      <c r="G633" s="6"/>
      <c r="H633" s="6"/>
      <c r="I633" s="6"/>
      <c r="J633" s="6"/>
      <c r="K633" s="6"/>
      <c r="L633" s="6"/>
      <c r="M633" s="6"/>
      <c r="N633" s="6"/>
      <c r="O633" s="6"/>
      <c r="P633" s="6"/>
      <c r="R633" s="6"/>
      <c r="S633" s="6"/>
      <c r="T633" s="6"/>
      <c r="U633" s="6"/>
      <c r="V633" s="6"/>
      <c r="W633" s="6"/>
      <c r="X633" s="6"/>
      <c r="Y633" s="6"/>
      <c r="Z633" s="6"/>
      <c r="AA633" s="6"/>
      <c r="AB633" s="6"/>
      <c r="AD633" s="6"/>
      <c r="AE633" s="6"/>
      <c r="AF633" s="6"/>
      <c r="AG633" s="6"/>
      <c r="AH633" s="6"/>
      <c r="AI633" s="6"/>
      <c r="AK633" s="6"/>
      <c r="AL633" s="6"/>
      <c r="AM633" s="6"/>
      <c r="AN633" s="6"/>
      <c r="AO633" s="6"/>
      <c r="AP633" s="6"/>
      <c r="AQ633" s="6"/>
      <c r="AR633" s="6"/>
      <c r="AS633" s="15"/>
      <c r="AT633" s="6" t="str">
        <f ca="1">IFERROR(__xludf.DUMMYFUNCTION("""COMPUTED_VALUE"""),"#N/A")</f>
        <v>#N/A</v>
      </c>
      <c r="AU633" s="6" t="str">
        <f ca="1">IFERROR(__xludf.DUMMYFUNCTION("""COMPUTED_VALUE"""),"FALSE")</f>
        <v>FALSE</v>
      </c>
      <c r="AV633" s="6">
        <f t="shared" si="42"/>
        <v>0</v>
      </c>
      <c r="AW633" s="6">
        <f t="shared" si="43"/>
        <v>0</v>
      </c>
      <c r="AX633" s="6">
        <f t="shared" si="44"/>
        <v>0</v>
      </c>
      <c r="AY633" s="6">
        <f t="shared" si="45"/>
        <v>0</v>
      </c>
      <c r="AZ633" s="9" t="str">
        <f t="shared" si="46"/>
        <v/>
      </c>
      <c r="BA633" s="6">
        <f t="shared" si="47"/>
        <v>0</v>
      </c>
      <c r="BB633" s="6">
        <f t="shared" si="48"/>
        <v>0</v>
      </c>
      <c r="BC633" s="9" t="str">
        <f t="shared" si="49"/>
        <v/>
      </c>
      <c r="BD633" s="6">
        <f t="shared" si="50"/>
        <v>0</v>
      </c>
      <c r="BE633" s="6">
        <f t="shared" si="51"/>
        <v>0</v>
      </c>
      <c r="BF633" s="9" t="str">
        <f t="shared" si="52"/>
        <v/>
      </c>
      <c r="BG633" s="6">
        <f t="shared" si="53"/>
        <v>0</v>
      </c>
      <c r="BH633" s="6">
        <f t="shared" si="54"/>
        <v>0</v>
      </c>
      <c r="BI633" s="9" t="str">
        <f t="shared" si="55"/>
        <v/>
      </c>
      <c r="BJ633" s="6">
        <f t="shared" si="56"/>
        <v>0</v>
      </c>
      <c r="BK633" s="6">
        <f t="shared" si="57"/>
        <v>0</v>
      </c>
      <c r="BL633" s="6">
        <f t="shared" si="58"/>
        <v>0</v>
      </c>
      <c r="BM633" s="6">
        <f t="shared" si="59"/>
        <v>0</v>
      </c>
      <c r="BN633" s="6">
        <f t="shared" si="60"/>
        <v>0</v>
      </c>
      <c r="BP633" s="6">
        <f t="shared" si="61"/>
        <v>0</v>
      </c>
      <c r="BQ633" s="6" t="b">
        <f ca="1">IFERROR(__xludf.DUMMYFUNCTION("IF(AND(ISERROR(FILTER('Items by Team'!D$2:D3410,'Items by Team'!C$2:C3410 = D633,'Items by Team'!B$2:B3410 = B633)),NOT(A633=""Practice"")),TRUE,FALSE)"),FALSE)</f>
        <v>0</v>
      </c>
      <c r="BR633" s="6">
        <f t="shared" ca="1" si="62"/>
        <v>0</v>
      </c>
    </row>
    <row r="634" spans="1:70">
      <c r="A634" s="6"/>
      <c r="B634" s="6"/>
      <c r="C634" s="6"/>
      <c r="D634" s="6"/>
      <c r="E634" s="6"/>
      <c r="F634" s="6"/>
      <c r="G634" s="6"/>
      <c r="H634" s="6"/>
      <c r="I634" s="6"/>
      <c r="J634" s="6"/>
      <c r="K634" s="6"/>
      <c r="L634" s="6"/>
      <c r="M634" s="6"/>
      <c r="N634" s="6"/>
      <c r="O634" s="6"/>
      <c r="P634" s="6"/>
      <c r="R634" s="6"/>
      <c r="S634" s="6"/>
      <c r="T634" s="6"/>
      <c r="U634" s="6"/>
      <c r="V634" s="6"/>
      <c r="W634" s="6"/>
      <c r="X634" s="6"/>
      <c r="Y634" s="6"/>
      <c r="Z634" s="6"/>
      <c r="AA634" s="6"/>
      <c r="AB634" s="6"/>
      <c r="AD634" s="6"/>
      <c r="AE634" s="6"/>
      <c r="AF634" s="6"/>
      <c r="AG634" s="6"/>
      <c r="AH634" s="6"/>
      <c r="AI634" s="6"/>
      <c r="AK634" s="6"/>
      <c r="AL634" s="6"/>
      <c r="AM634" s="6"/>
      <c r="AN634" s="6"/>
      <c r="AO634" s="6"/>
      <c r="AP634" s="6"/>
      <c r="AQ634" s="6"/>
      <c r="AR634" s="6"/>
      <c r="AS634" s="15"/>
      <c r="AT634" s="6" t="str">
        <f ca="1">IFERROR(__xludf.DUMMYFUNCTION("""COMPUTED_VALUE"""),"#N/A")</f>
        <v>#N/A</v>
      </c>
      <c r="AU634" s="6" t="str">
        <f ca="1">IFERROR(__xludf.DUMMYFUNCTION("""COMPUTED_VALUE"""),"FALSE")</f>
        <v>FALSE</v>
      </c>
      <c r="AV634" s="6">
        <f t="shared" si="42"/>
        <v>0</v>
      </c>
      <c r="AW634" s="6">
        <f t="shared" si="43"/>
        <v>0</v>
      </c>
      <c r="AX634" s="6">
        <f t="shared" si="44"/>
        <v>0</v>
      </c>
      <c r="AY634" s="6">
        <f t="shared" si="45"/>
        <v>0</v>
      </c>
      <c r="AZ634" s="9" t="str">
        <f t="shared" si="46"/>
        <v/>
      </c>
      <c r="BA634" s="6">
        <f t="shared" si="47"/>
        <v>0</v>
      </c>
      <c r="BB634" s="6">
        <f t="shared" si="48"/>
        <v>0</v>
      </c>
      <c r="BC634" s="9" t="str">
        <f t="shared" si="49"/>
        <v/>
      </c>
      <c r="BD634" s="6">
        <f t="shared" si="50"/>
        <v>0</v>
      </c>
      <c r="BE634" s="6">
        <f t="shared" si="51"/>
        <v>0</v>
      </c>
      <c r="BF634" s="9" t="str">
        <f t="shared" si="52"/>
        <v/>
      </c>
      <c r="BG634" s="6">
        <f t="shared" si="53"/>
        <v>0</v>
      </c>
      <c r="BH634" s="6">
        <f t="shared" si="54"/>
        <v>0</v>
      </c>
      <c r="BI634" s="9" t="str">
        <f t="shared" si="55"/>
        <v/>
      </c>
      <c r="BJ634" s="6">
        <f t="shared" si="56"/>
        <v>0</v>
      </c>
      <c r="BK634" s="6">
        <f t="shared" si="57"/>
        <v>0</v>
      </c>
      <c r="BL634" s="6">
        <f t="shared" si="58"/>
        <v>0</v>
      </c>
      <c r="BM634" s="6">
        <f t="shared" si="59"/>
        <v>0</v>
      </c>
      <c r="BN634" s="6">
        <f t="shared" si="60"/>
        <v>0</v>
      </c>
      <c r="BP634" s="6">
        <f t="shared" si="61"/>
        <v>0</v>
      </c>
      <c r="BQ634" s="6" t="b">
        <f ca="1">IFERROR(__xludf.DUMMYFUNCTION("IF(AND(ISERROR(FILTER('Items by Team'!D$2:D3410,'Items by Team'!C$2:C3410 = D634,'Items by Team'!B$2:B3410 = B634)),NOT(A634=""Practice"")),TRUE,FALSE)"),FALSE)</f>
        <v>0</v>
      </c>
      <c r="BR634" s="6">
        <f t="shared" ca="1" si="62"/>
        <v>0</v>
      </c>
    </row>
    <row r="635" spans="1:70">
      <c r="A635" s="6"/>
      <c r="B635" s="6"/>
      <c r="C635" s="6"/>
      <c r="D635" s="6"/>
      <c r="E635" s="6"/>
      <c r="F635" s="6"/>
      <c r="G635" s="6"/>
      <c r="H635" s="6"/>
      <c r="I635" s="6"/>
      <c r="J635" s="6"/>
      <c r="K635" s="6"/>
      <c r="L635" s="6"/>
      <c r="M635" s="6"/>
      <c r="N635" s="6"/>
      <c r="O635" s="6"/>
      <c r="P635" s="6"/>
      <c r="R635" s="6"/>
      <c r="S635" s="6"/>
      <c r="T635" s="6"/>
      <c r="U635" s="6"/>
      <c r="V635" s="6"/>
      <c r="W635" s="6"/>
      <c r="X635" s="6"/>
      <c r="Y635" s="6"/>
      <c r="Z635" s="6"/>
      <c r="AA635" s="6"/>
      <c r="AB635" s="6"/>
      <c r="AD635" s="6"/>
      <c r="AE635" s="6"/>
      <c r="AF635" s="6"/>
      <c r="AG635" s="6"/>
      <c r="AH635" s="6"/>
      <c r="AI635" s="6"/>
      <c r="AK635" s="6"/>
      <c r="AL635" s="6"/>
      <c r="AM635" s="6"/>
      <c r="AN635" s="6"/>
      <c r="AO635" s="6"/>
      <c r="AP635" s="6"/>
      <c r="AQ635" s="6"/>
      <c r="AR635" s="6"/>
      <c r="AS635" s="15"/>
      <c r="AT635" s="6" t="str">
        <f ca="1">IFERROR(__xludf.DUMMYFUNCTION("""COMPUTED_VALUE"""),"#N/A")</f>
        <v>#N/A</v>
      </c>
      <c r="AU635" s="6" t="str">
        <f ca="1">IFERROR(__xludf.DUMMYFUNCTION("""COMPUTED_VALUE"""),"FALSE")</f>
        <v>FALSE</v>
      </c>
      <c r="AV635" s="6">
        <f t="shared" si="42"/>
        <v>0</v>
      </c>
      <c r="AW635" s="6">
        <f t="shared" si="43"/>
        <v>0</v>
      </c>
      <c r="AX635" s="6">
        <f t="shared" si="44"/>
        <v>0</v>
      </c>
      <c r="AY635" s="6">
        <f t="shared" si="45"/>
        <v>0</v>
      </c>
      <c r="AZ635" s="9" t="str">
        <f t="shared" si="46"/>
        <v/>
      </c>
      <c r="BA635" s="6">
        <f t="shared" si="47"/>
        <v>0</v>
      </c>
      <c r="BB635" s="6">
        <f t="shared" si="48"/>
        <v>0</v>
      </c>
      <c r="BC635" s="9" t="str">
        <f t="shared" si="49"/>
        <v/>
      </c>
      <c r="BD635" s="6">
        <f t="shared" si="50"/>
        <v>0</v>
      </c>
      <c r="BE635" s="6">
        <f t="shared" si="51"/>
        <v>0</v>
      </c>
      <c r="BF635" s="9" t="str">
        <f t="shared" si="52"/>
        <v/>
      </c>
      <c r="BG635" s="6">
        <f t="shared" si="53"/>
        <v>0</v>
      </c>
      <c r="BH635" s="6">
        <f t="shared" si="54"/>
        <v>0</v>
      </c>
      <c r="BI635" s="9" t="str">
        <f t="shared" si="55"/>
        <v/>
      </c>
      <c r="BJ635" s="6">
        <f t="shared" si="56"/>
        <v>0</v>
      </c>
      <c r="BK635" s="6">
        <f t="shared" si="57"/>
        <v>0</v>
      </c>
      <c r="BL635" s="6">
        <f t="shared" si="58"/>
        <v>0</v>
      </c>
      <c r="BM635" s="6">
        <f t="shared" si="59"/>
        <v>0</v>
      </c>
      <c r="BN635" s="6">
        <f t="shared" si="60"/>
        <v>0</v>
      </c>
      <c r="BP635" s="6">
        <f t="shared" si="61"/>
        <v>0</v>
      </c>
      <c r="BQ635" s="6" t="b">
        <f ca="1">IFERROR(__xludf.DUMMYFUNCTION("IF(AND(ISERROR(FILTER('Items by Team'!D$2:D3410,'Items by Team'!C$2:C3410 = D635,'Items by Team'!B$2:B3410 = B635)),NOT(A635=""Practice"")),TRUE,FALSE)"),FALSE)</f>
        <v>0</v>
      </c>
      <c r="BR635" s="6">
        <f t="shared" ca="1" si="62"/>
        <v>0</v>
      </c>
    </row>
    <row r="636" spans="1:70">
      <c r="A636" s="6"/>
      <c r="B636" s="6"/>
      <c r="C636" s="6"/>
      <c r="D636" s="6"/>
      <c r="E636" s="6"/>
      <c r="F636" s="6"/>
      <c r="G636" s="6"/>
      <c r="H636" s="6"/>
      <c r="I636" s="6"/>
      <c r="J636" s="6"/>
      <c r="K636" s="6"/>
      <c r="L636" s="6"/>
      <c r="M636" s="6"/>
      <c r="N636" s="6"/>
      <c r="O636" s="6"/>
      <c r="P636" s="6"/>
      <c r="R636" s="6"/>
      <c r="S636" s="6"/>
      <c r="T636" s="6"/>
      <c r="U636" s="6"/>
      <c r="V636" s="6"/>
      <c r="W636" s="6"/>
      <c r="X636" s="6"/>
      <c r="Y636" s="6"/>
      <c r="Z636" s="6"/>
      <c r="AA636" s="6"/>
      <c r="AB636" s="6"/>
      <c r="AD636" s="6"/>
      <c r="AE636" s="6"/>
      <c r="AF636" s="6"/>
      <c r="AG636" s="6"/>
      <c r="AH636" s="6"/>
      <c r="AI636" s="6"/>
      <c r="AK636" s="6"/>
      <c r="AL636" s="6"/>
      <c r="AM636" s="6"/>
      <c r="AN636" s="6"/>
      <c r="AO636" s="6"/>
      <c r="AP636" s="6"/>
      <c r="AQ636" s="6"/>
      <c r="AR636" s="6"/>
      <c r="AS636" s="15"/>
      <c r="AT636" s="6" t="str">
        <f ca="1">IFERROR(__xludf.DUMMYFUNCTION("""COMPUTED_VALUE"""),"#N/A")</f>
        <v>#N/A</v>
      </c>
      <c r="AU636" s="6" t="str">
        <f ca="1">IFERROR(__xludf.DUMMYFUNCTION("""COMPUTED_VALUE"""),"FALSE")</f>
        <v>FALSE</v>
      </c>
      <c r="AV636" s="6">
        <f t="shared" si="42"/>
        <v>0</v>
      </c>
      <c r="AW636" s="6">
        <f t="shared" si="43"/>
        <v>0</v>
      </c>
      <c r="AX636" s="6">
        <f t="shared" si="44"/>
        <v>0</v>
      </c>
      <c r="AY636" s="6">
        <f t="shared" si="45"/>
        <v>0</v>
      </c>
      <c r="AZ636" s="9" t="str">
        <f t="shared" si="46"/>
        <v/>
      </c>
      <c r="BA636" s="6">
        <f t="shared" si="47"/>
        <v>0</v>
      </c>
      <c r="BB636" s="6">
        <f t="shared" si="48"/>
        <v>0</v>
      </c>
      <c r="BC636" s="9" t="str">
        <f t="shared" si="49"/>
        <v/>
      </c>
      <c r="BD636" s="6">
        <f t="shared" si="50"/>
        <v>0</v>
      </c>
      <c r="BE636" s="6">
        <f t="shared" si="51"/>
        <v>0</v>
      </c>
      <c r="BF636" s="9" t="str">
        <f t="shared" si="52"/>
        <v/>
      </c>
      <c r="BG636" s="6">
        <f t="shared" si="53"/>
        <v>0</v>
      </c>
      <c r="BH636" s="6">
        <f t="shared" si="54"/>
        <v>0</v>
      </c>
      <c r="BI636" s="9" t="str">
        <f t="shared" si="55"/>
        <v/>
      </c>
      <c r="BJ636" s="6">
        <f t="shared" si="56"/>
        <v>0</v>
      </c>
      <c r="BK636" s="6">
        <f t="shared" si="57"/>
        <v>0</v>
      </c>
      <c r="BL636" s="6">
        <f t="shared" si="58"/>
        <v>0</v>
      </c>
      <c r="BM636" s="6">
        <f t="shared" si="59"/>
        <v>0</v>
      </c>
      <c r="BN636" s="6">
        <f t="shared" si="60"/>
        <v>0</v>
      </c>
      <c r="BP636" s="6">
        <f t="shared" si="61"/>
        <v>0</v>
      </c>
      <c r="BQ636" s="6" t="b">
        <f ca="1">IFERROR(__xludf.DUMMYFUNCTION("IF(AND(ISERROR(FILTER('Items by Team'!D$2:D3410,'Items by Team'!C$2:C3410 = D636,'Items by Team'!B$2:B3410 = B636)),NOT(A636=""Practice"")),TRUE,FALSE)"),FALSE)</f>
        <v>0</v>
      </c>
      <c r="BR636" s="6">
        <f t="shared" ca="1" si="62"/>
        <v>0</v>
      </c>
    </row>
    <row r="637" spans="1:70">
      <c r="A637" s="6"/>
      <c r="B637" s="6"/>
      <c r="C637" s="6"/>
      <c r="D637" s="6"/>
      <c r="E637" s="6"/>
      <c r="F637" s="6"/>
      <c r="G637" s="6"/>
      <c r="H637" s="6"/>
      <c r="I637" s="6"/>
      <c r="J637" s="6"/>
      <c r="K637" s="6"/>
      <c r="L637" s="6"/>
      <c r="M637" s="6"/>
      <c r="N637" s="6"/>
      <c r="O637" s="6"/>
      <c r="P637" s="6"/>
      <c r="R637" s="6"/>
      <c r="S637" s="6"/>
      <c r="T637" s="6"/>
      <c r="U637" s="6"/>
      <c r="V637" s="6"/>
      <c r="W637" s="6"/>
      <c r="X637" s="6"/>
      <c r="Y637" s="6"/>
      <c r="Z637" s="6"/>
      <c r="AA637" s="6"/>
      <c r="AB637" s="6"/>
      <c r="AD637" s="6"/>
      <c r="AE637" s="6"/>
      <c r="AF637" s="6"/>
      <c r="AG637" s="6"/>
      <c r="AH637" s="6"/>
      <c r="AI637" s="6"/>
      <c r="AK637" s="6"/>
      <c r="AL637" s="6"/>
      <c r="AM637" s="6"/>
      <c r="AN637" s="6"/>
      <c r="AO637" s="6"/>
      <c r="AP637" s="6"/>
      <c r="AQ637" s="6"/>
      <c r="AR637" s="6"/>
      <c r="AS637" s="15"/>
      <c r="AT637" s="6" t="str">
        <f ca="1">IFERROR(__xludf.DUMMYFUNCTION("""COMPUTED_VALUE"""),"#N/A")</f>
        <v>#N/A</v>
      </c>
      <c r="AU637" s="6" t="str">
        <f ca="1">IFERROR(__xludf.DUMMYFUNCTION("""COMPUTED_VALUE"""),"FALSE")</f>
        <v>FALSE</v>
      </c>
      <c r="AV637" s="6">
        <f t="shared" si="42"/>
        <v>0</v>
      </c>
      <c r="AW637" s="6">
        <f t="shared" si="43"/>
        <v>0</v>
      </c>
      <c r="AX637" s="6">
        <f t="shared" si="44"/>
        <v>0</v>
      </c>
      <c r="AY637" s="6">
        <f t="shared" si="45"/>
        <v>0</v>
      </c>
      <c r="AZ637" s="9" t="str">
        <f t="shared" si="46"/>
        <v/>
      </c>
      <c r="BA637" s="6">
        <f t="shared" si="47"/>
        <v>0</v>
      </c>
      <c r="BB637" s="6">
        <f t="shared" si="48"/>
        <v>0</v>
      </c>
      <c r="BC637" s="9" t="str">
        <f t="shared" si="49"/>
        <v/>
      </c>
      <c r="BD637" s="6">
        <f t="shared" si="50"/>
        <v>0</v>
      </c>
      <c r="BE637" s="6">
        <f t="shared" si="51"/>
        <v>0</v>
      </c>
      <c r="BF637" s="9" t="str">
        <f t="shared" si="52"/>
        <v/>
      </c>
      <c r="BG637" s="6">
        <f t="shared" si="53"/>
        <v>0</v>
      </c>
      <c r="BH637" s="6">
        <f t="shared" si="54"/>
        <v>0</v>
      </c>
      <c r="BI637" s="9" t="str">
        <f t="shared" si="55"/>
        <v/>
      </c>
      <c r="BJ637" s="6">
        <f t="shared" si="56"/>
        <v>0</v>
      </c>
      <c r="BK637" s="6">
        <f t="shared" si="57"/>
        <v>0</v>
      </c>
      <c r="BL637" s="6">
        <f t="shared" si="58"/>
        <v>0</v>
      </c>
      <c r="BM637" s="6">
        <f t="shared" si="59"/>
        <v>0</v>
      </c>
      <c r="BN637" s="6">
        <f t="shared" si="60"/>
        <v>0</v>
      </c>
      <c r="BP637" s="6">
        <f t="shared" si="61"/>
        <v>0</v>
      </c>
      <c r="BQ637" s="6" t="b">
        <f ca="1">IFERROR(__xludf.DUMMYFUNCTION("IF(AND(ISERROR(FILTER('Items by Team'!D$2:D3410,'Items by Team'!C$2:C3410 = D637,'Items by Team'!B$2:B3410 = B637)),NOT(A637=""Practice"")),TRUE,FALSE)"),FALSE)</f>
        <v>0</v>
      </c>
      <c r="BR637" s="6">
        <f t="shared" ca="1" si="62"/>
        <v>0</v>
      </c>
    </row>
    <row r="638" spans="1:70">
      <c r="A638" s="6"/>
      <c r="B638" s="6"/>
      <c r="C638" s="6"/>
      <c r="D638" s="6"/>
      <c r="E638" s="6"/>
      <c r="F638" s="6"/>
      <c r="G638" s="6"/>
      <c r="H638" s="6"/>
      <c r="I638" s="6"/>
      <c r="J638" s="6"/>
      <c r="K638" s="6"/>
      <c r="L638" s="6"/>
      <c r="M638" s="6"/>
      <c r="N638" s="6"/>
      <c r="O638" s="6"/>
      <c r="P638" s="6"/>
      <c r="R638" s="6"/>
      <c r="S638" s="6"/>
      <c r="T638" s="6"/>
      <c r="U638" s="6"/>
      <c r="V638" s="6"/>
      <c r="W638" s="6"/>
      <c r="X638" s="6"/>
      <c r="Y638" s="6"/>
      <c r="Z638" s="6"/>
      <c r="AA638" s="6"/>
      <c r="AB638" s="6"/>
      <c r="AD638" s="6"/>
      <c r="AE638" s="6"/>
      <c r="AF638" s="6"/>
      <c r="AG638" s="6"/>
      <c r="AH638" s="6"/>
      <c r="AI638" s="6"/>
      <c r="AK638" s="6"/>
      <c r="AL638" s="6"/>
      <c r="AM638" s="6"/>
      <c r="AN638" s="6"/>
      <c r="AO638" s="6"/>
      <c r="AP638" s="6"/>
      <c r="AQ638" s="6"/>
      <c r="AR638" s="6"/>
      <c r="AS638" s="15"/>
      <c r="AT638" s="6" t="str">
        <f ca="1">IFERROR(__xludf.DUMMYFUNCTION("""COMPUTED_VALUE"""),"#N/A")</f>
        <v>#N/A</v>
      </c>
      <c r="AU638" s="6" t="str">
        <f ca="1">IFERROR(__xludf.DUMMYFUNCTION("""COMPUTED_VALUE"""),"FALSE")</f>
        <v>FALSE</v>
      </c>
      <c r="AV638" s="6">
        <f t="shared" si="42"/>
        <v>0</v>
      </c>
      <c r="AW638" s="6">
        <f t="shared" si="43"/>
        <v>0</v>
      </c>
      <c r="AX638" s="6">
        <f t="shared" si="44"/>
        <v>0</v>
      </c>
      <c r="AY638" s="6">
        <f t="shared" si="45"/>
        <v>0</v>
      </c>
      <c r="AZ638" s="9" t="str">
        <f t="shared" si="46"/>
        <v/>
      </c>
      <c r="BA638" s="6">
        <f t="shared" si="47"/>
        <v>0</v>
      </c>
      <c r="BB638" s="6">
        <f t="shared" si="48"/>
        <v>0</v>
      </c>
      <c r="BC638" s="9" t="str">
        <f t="shared" si="49"/>
        <v/>
      </c>
      <c r="BD638" s="6">
        <f t="shared" si="50"/>
        <v>0</v>
      </c>
      <c r="BE638" s="6">
        <f t="shared" si="51"/>
        <v>0</v>
      </c>
      <c r="BF638" s="9" t="str">
        <f t="shared" si="52"/>
        <v/>
      </c>
      <c r="BG638" s="6">
        <f t="shared" si="53"/>
        <v>0</v>
      </c>
      <c r="BH638" s="6">
        <f t="shared" si="54"/>
        <v>0</v>
      </c>
      <c r="BI638" s="9" t="str">
        <f t="shared" si="55"/>
        <v/>
      </c>
      <c r="BJ638" s="6">
        <f t="shared" si="56"/>
        <v>0</v>
      </c>
      <c r="BK638" s="6">
        <f t="shared" si="57"/>
        <v>0</v>
      </c>
      <c r="BL638" s="6">
        <f t="shared" si="58"/>
        <v>0</v>
      </c>
      <c r="BM638" s="6">
        <f t="shared" si="59"/>
        <v>0</v>
      </c>
      <c r="BN638" s="6">
        <f t="shared" si="60"/>
        <v>0</v>
      </c>
      <c r="BP638" s="6">
        <f t="shared" si="61"/>
        <v>0</v>
      </c>
      <c r="BQ638" s="6" t="b">
        <f ca="1">IFERROR(__xludf.DUMMYFUNCTION("IF(AND(ISERROR(FILTER('Items by Team'!D$2:D3410,'Items by Team'!C$2:C3410 = D638,'Items by Team'!B$2:B3410 = B638)),NOT(A638=""Practice"")),TRUE,FALSE)"),FALSE)</f>
        <v>0</v>
      </c>
      <c r="BR638" s="6">
        <f t="shared" ca="1" si="62"/>
        <v>0</v>
      </c>
    </row>
    <row r="639" spans="1:70">
      <c r="A639" s="6"/>
      <c r="B639" s="6"/>
      <c r="C639" s="6"/>
      <c r="D639" s="6"/>
      <c r="E639" s="6"/>
      <c r="F639" s="6"/>
      <c r="G639" s="6"/>
      <c r="H639" s="6"/>
      <c r="I639" s="6"/>
      <c r="J639" s="6"/>
      <c r="K639" s="6"/>
      <c r="L639" s="6"/>
      <c r="M639" s="6"/>
      <c r="N639" s="6"/>
      <c r="O639" s="6"/>
      <c r="P639" s="6"/>
      <c r="R639" s="6"/>
      <c r="S639" s="6"/>
      <c r="T639" s="6"/>
      <c r="U639" s="6"/>
      <c r="V639" s="6"/>
      <c r="W639" s="6"/>
      <c r="X639" s="6"/>
      <c r="Y639" s="6"/>
      <c r="Z639" s="6"/>
      <c r="AA639" s="6"/>
      <c r="AB639" s="6"/>
      <c r="AD639" s="6"/>
      <c r="AE639" s="6"/>
      <c r="AF639" s="6"/>
      <c r="AG639" s="6"/>
      <c r="AH639" s="6"/>
      <c r="AI639" s="6"/>
      <c r="AK639" s="6"/>
      <c r="AL639" s="6"/>
      <c r="AM639" s="6"/>
      <c r="AN639" s="6"/>
      <c r="AO639" s="6"/>
      <c r="AP639" s="6"/>
      <c r="AQ639" s="6"/>
      <c r="AR639" s="6"/>
      <c r="AS639" s="15"/>
      <c r="AT639" s="6" t="str">
        <f ca="1">IFERROR(__xludf.DUMMYFUNCTION("""COMPUTED_VALUE"""),"#N/A")</f>
        <v>#N/A</v>
      </c>
      <c r="AU639" s="6" t="str">
        <f ca="1">IFERROR(__xludf.DUMMYFUNCTION("""COMPUTED_VALUE"""),"FALSE")</f>
        <v>FALSE</v>
      </c>
      <c r="AV639" s="6">
        <f t="shared" si="42"/>
        <v>0</v>
      </c>
      <c r="AW639" s="6">
        <f t="shared" si="43"/>
        <v>0</v>
      </c>
      <c r="AX639" s="6">
        <f t="shared" si="44"/>
        <v>0</v>
      </c>
      <c r="AY639" s="6">
        <f t="shared" si="45"/>
        <v>0</v>
      </c>
      <c r="AZ639" s="9" t="str">
        <f t="shared" si="46"/>
        <v/>
      </c>
      <c r="BA639" s="6">
        <f t="shared" si="47"/>
        <v>0</v>
      </c>
      <c r="BB639" s="6">
        <f t="shared" si="48"/>
        <v>0</v>
      </c>
      <c r="BC639" s="9" t="str">
        <f t="shared" si="49"/>
        <v/>
      </c>
      <c r="BD639" s="6">
        <f t="shared" si="50"/>
        <v>0</v>
      </c>
      <c r="BE639" s="6">
        <f t="shared" si="51"/>
        <v>0</v>
      </c>
      <c r="BF639" s="9" t="str">
        <f t="shared" si="52"/>
        <v/>
      </c>
      <c r="BG639" s="6">
        <f t="shared" si="53"/>
        <v>0</v>
      </c>
      <c r="BH639" s="6">
        <f t="shared" si="54"/>
        <v>0</v>
      </c>
      <c r="BI639" s="9" t="str">
        <f t="shared" si="55"/>
        <v/>
      </c>
      <c r="BJ639" s="6">
        <f t="shared" si="56"/>
        <v>0</v>
      </c>
      <c r="BK639" s="6">
        <f t="shared" si="57"/>
        <v>0</v>
      </c>
      <c r="BL639" s="6">
        <f t="shared" si="58"/>
        <v>0</v>
      </c>
      <c r="BM639" s="6">
        <f t="shared" si="59"/>
        <v>0</v>
      </c>
      <c r="BN639" s="6">
        <f t="shared" si="60"/>
        <v>0</v>
      </c>
      <c r="BP639" s="6">
        <f t="shared" si="61"/>
        <v>0</v>
      </c>
      <c r="BQ639" s="6" t="b">
        <f ca="1">IFERROR(__xludf.DUMMYFUNCTION("IF(AND(ISERROR(FILTER('Items by Team'!D$2:D3410,'Items by Team'!C$2:C3410 = D639,'Items by Team'!B$2:B3410 = B639)),NOT(A639=""Practice"")),TRUE,FALSE)"),FALSE)</f>
        <v>0</v>
      </c>
      <c r="BR639" s="6">
        <f t="shared" ca="1" si="62"/>
        <v>0</v>
      </c>
    </row>
    <row r="640" spans="1:70">
      <c r="A640" s="6"/>
      <c r="B640" s="6"/>
      <c r="C640" s="6"/>
      <c r="D640" s="6"/>
      <c r="E640" s="6"/>
      <c r="F640" s="6"/>
      <c r="G640" s="6"/>
      <c r="H640" s="6"/>
      <c r="I640" s="6"/>
      <c r="J640" s="6"/>
      <c r="K640" s="6"/>
      <c r="L640" s="6"/>
      <c r="M640" s="6"/>
      <c r="N640" s="6"/>
      <c r="O640" s="6"/>
      <c r="P640" s="6"/>
      <c r="R640" s="6"/>
      <c r="S640" s="6"/>
      <c r="T640" s="6"/>
      <c r="U640" s="6"/>
      <c r="V640" s="6"/>
      <c r="W640" s="6"/>
      <c r="X640" s="6"/>
      <c r="Y640" s="6"/>
      <c r="Z640" s="6"/>
      <c r="AA640" s="6"/>
      <c r="AB640" s="6"/>
      <c r="AD640" s="6"/>
      <c r="AE640" s="6"/>
      <c r="AF640" s="6"/>
      <c r="AG640" s="6"/>
      <c r="AH640" s="6"/>
      <c r="AI640" s="6"/>
      <c r="AK640" s="6"/>
      <c r="AL640" s="6"/>
      <c r="AM640" s="6"/>
      <c r="AN640" s="6"/>
      <c r="AO640" s="6"/>
      <c r="AP640" s="6"/>
      <c r="AQ640" s="6"/>
      <c r="AR640" s="6"/>
      <c r="AS640" s="15"/>
      <c r="AT640" s="6" t="str">
        <f ca="1">IFERROR(__xludf.DUMMYFUNCTION("""COMPUTED_VALUE"""),"#N/A")</f>
        <v>#N/A</v>
      </c>
      <c r="AU640" s="6" t="str">
        <f ca="1">IFERROR(__xludf.DUMMYFUNCTION("""COMPUTED_VALUE"""),"FALSE")</f>
        <v>FALSE</v>
      </c>
      <c r="AV640" s="6">
        <f t="shared" si="42"/>
        <v>0</v>
      </c>
      <c r="AW640" s="6">
        <f t="shared" si="43"/>
        <v>0</v>
      </c>
      <c r="AX640" s="6">
        <f t="shared" si="44"/>
        <v>0</v>
      </c>
      <c r="AY640" s="6">
        <f t="shared" si="45"/>
        <v>0</v>
      </c>
      <c r="AZ640" s="9" t="str">
        <f t="shared" si="46"/>
        <v/>
      </c>
      <c r="BA640" s="6">
        <f t="shared" si="47"/>
        <v>0</v>
      </c>
      <c r="BB640" s="6">
        <f t="shared" si="48"/>
        <v>0</v>
      </c>
      <c r="BC640" s="9" t="str">
        <f t="shared" si="49"/>
        <v/>
      </c>
      <c r="BD640" s="6">
        <f t="shared" si="50"/>
        <v>0</v>
      </c>
      <c r="BE640" s="6">
        <f t="shared" si="51"/>
        <v>0</v>
      </c>
      <c r="BF640" s="9" t="str">
        <f t="shared" si="52"/>
        <v/>
      </c>
      <c r="BG640" s="6">
        <f t="shared" si="53"/>
        <v>0</v>
      </c>
      <c r="BH640" s="6">
        <f t="shared" si="54"/>
        <v>0</v>
      </c>
      <c r="BI640" s="9" t="str">
        <f t="shared" si="55"/>
        <v/>
      </c>
      <c r="BJ640" s="6">
        <f t="shared" si="56"/>
        <v>0</v>
      </c>
      <c r="BK640" s="6">
        <f t="shared" si="57"/>
        <v>0</v>
      </c>
      <c r="BL640" s="6">
        <f t="shared" si="58"/>
        <v>0</v>
      </c>
      <c r="BM640" s="6">
        <f t="shared" si="59"/>
        <v>0</v>
      </c>
      <c r="BN640" s="6">
        <f t="shared" si="60"/>
        <v>0</v>
      </c>
      <c r="BP640" s="6">
        <f t="shared" si="61"/>
        <v>0</v>
      </c>
      <c r="BQ640" s="6" t="b">
        <f ca="1">IFERROR(__xludf.DUMMYFUNCTION("IF(AND(ISERROR(FILTER('Items by Team'!D$2:D3410,'Items by Team'!C$2:C3410 = D640,'Items by Team'!B$2:B3410 = B640)),NOT(A640=""Practice"")),TRUE,FALSE)"),FALSE)</f>
        <v>0</v>
      </c>
      <c r="BR640" s="6">
        <f t="shared" ca="1" si="62"/>
        <v>0</v>
      </c>
    </row>
    <row r="641" spans="1:70">
      <c r="A641" s="6"/>
      <c r="B641" s="6"/>
      <c r="C641" s="6"/>
      <c r="D641" s="6"/>
      <c r="E641" s="6"/>
      <c r="F641" s="6"/>
      <c r="G641" s="6"/>
      <c r="H641" s="6"/>
      <c r="I641" s="6"/>
      <c r="J641" s="6"/>
      <c r="K641" s="6"/>
      <c r="L641" s="6"/>
      <c r="M641" s="6"/>
      <c r="N641" s="6"/>
      <c r="O641" s="6"/>
      <c r="P641" s="6"/>
      <c r="R641" s="6"/>
      <c r="S641" s="6"/>
      <c r="T641" s="6"/>
      <c r="U641" s="6"/>
      <c r="V641" s="6"/>
      <c r="W641" s="6"/>
      <c r="X641" s="6"/>
      <c r="Y641" s="6"/>
      <c r="Z641" s="6"/>
      <c r="AA641" s="6"/>
      <c r="AB641" s="6"/>
      <c r="AD641" s="6"/>
      <c r="AE641" s="6"/>
      <c r="AF641" s="6"/>
      <c r="AG641" s="6"/>
      <c r="AH641" s="6"/>
      <c r="AI641" s="6"/>
      <c r="AK641" s="6"/>
      <c r="AL641" s="6"/>
      <c r="AM641" s="6"/>
      <c r="AN641" s="6"/>
      <c r="AO641" s="6"/>
      <c r="AP641" s="6"/>
      <c r="AQ641" s="6"/>
      <c r="AR641" s="6"/>
      <c r="AS641" s="15"/>
      <c r="AT641" s="6" t="str">
        <f ca="1">IFERROR(__xludf.DUMMYFUNCTION("""COMPUTED_VALUE"""),"#N/A")</f>
        <v>#N/A</v>
      </c>
      <c r="AU641" s="6" t="str">
        <f ca="1">IFERROR(__xludf.DUMMYFUNCTION("""COMPUTED_VALUE"""),"FALSE")</f>
        <v>FALSE</v>
      </c>
      <c r="AV641" s="6">
        <f t="shared" si="42"/>
        <v>0</v>
      </c>
      <c r="AW641" s="6">
        <f t="shared" si="43"/>
        <v>0</v>
      </c>
      <c r="AX641" s="6">
        <f t="shared" si="44"/>
        <v>0</v>
      </c>
      <c r="AY641" s="6">
        <f t="shared" si="45"/>
        <v>0</v>
      </c>
      <c r="AZ641" s="9" t="str">
        <f t="shared" si="46"/>
        <v/>
      </c>
      <c r="BA641" s="6">
        <f t="shared" si="47"/>
        <v>0</v>
      </c>
      <c r="BB641" s="6">
        <f t="shared" si="48"/>
        <v>0</v>
      </c>
      <c r="BC641" s="9" t="str">
        <f t="shared" si="49"/>
        <v/>
      </c>
      <c r="BD641" s="6">
        <f t="shared" si="50"/>
        <v>0</v>
      </c>
      <c r="BE641" s="6">
        <f t="shared" si="51"/>
        <v>0</v>
      </c>
      <c r="BF641" s="9" t="str">
        <f t="shared" si="52"/>
        <v/>
      </c>
      <c r="BG641" s="6">
        <f t="shared" si="53"/>
        <v>0</v>
      </c>
      <c r="BH641" s="6">
        <f t="shared" si="54"/>
        <v>0</v>
      </c>
      <c r="BI641" s="9" t="str">
        <f t="shared" si="55"/>
        <v/>
      </c>
      <c r="BJ641" s="6">
        <f t="shared" si="56"/>
        <v>0</v>
      </c>
      <c r="BK641" s="6">
        <f t="shared" si="57"/>
        <v>0</v>
      </c>
      <c r="BL641" s="6">
        <f t="shared" si="58"/>
        <v>0</v>
      </c>
      <c r="BM641" s="6">
        <f t="shared" si="59"/>
        <v>0</v>
      </c>
      <c r="BN641" s="6">
        <f t="shared" si="60"/>
        <v>0</v>
      </c>
      <c r="BP641" s="6">
        <f t="shared" si="61"/>
        <v>0</v>
      </c>
      <c r="BQ641" s="6" t="b">
        <f ca="1">IFERROR(__xludf.DUMMYFUNCTION("IF(AND(ISERROR(FILTER('Items by Team'!D$2:D3410,'Items by Team'!C$2:C3410 = D641,'Items by Team'!B$2:B3410 = B641)),NOT(A641=""Practice"")),TRUE,FALSE)"),FALSE)</f>
        <v>0</v>
      </c>
      <c r="BR641" s="6">
        <f t="shared" ca="1" si="62"/>
        <v>0</v>
      </c>
    </row>
    <row r="642" spans="1:70">
      <c r="A642" s="6"/>
      <c r="B642" s="6"/>
      <c r="C642" s="6"/>
      <c r="D642" s="6"/>
      <c r="E642" s="6"/>
      <c r="F642" s="6"/>
      <c r="G642" s="6"/>
      <c r="H642" s="6"/>
      <c r="I642" s="6"/>
      <c r="J642" s="6"/>
      <c r="K642" s="6"/>
      <c r="L642" s="6"/>
      <c r="M642" s="6"/>
      <c r="N642" s="6"/>
      <c r="O642" s="6"/>
      <c r="P642" s="6"/>
      <c r="R642" s="6"/>
      <c r="S642" s="6"/>
      <c r="T642" s="6"/>
      <c r="U642" s="6"/>
      <c r="V642" s="6"/>
      <c r="W642" s="6"/>
      <c r="X642" s="6"/>
      <c r="Y642" s="6"/>
      <c r="Z642" s="6"/>
      <c r="AA642" s="6"/>
      <c r="AB642" s="6"/>
      <c r="AD642" s="6"/>
      <c r="AE642" s="6"/>
      <c r="AF642" s="6"/>
      <c r="AG642" s="6"/>
      <c r="AH642" s="6"/>
      <c r="AI642" s="6"/>
      <c r="AK642" s="6"/>
      <c r="AL642" s="6"/>
      <c r="AM642" s="6"/>
      <c r="AN642" s="6"/>
      <c r="AO642" s="6"/>
      <c r="AP642" s="6"/>
      <c r="AQ642" s="6"/>
      <c r="AR642" s="6"/>
      <c r="AS642" s="15"/>
      <c r="AT642" s="6" t="str">
        <f ca="1">IFERROR(__xludf.DUMMYFUNCTION("""COMPUTED_VALUE"""),"#N/A")</f>
        <v>#N/A</v>
      </c>
      <c r="AU642" s="6" t="str">
        <f ca="1">IFERROR(__xludf.DUMMYFUNCTION("""COMPUTED_VALUE"""),"FALSE")</f>
        <v>FALSE</v>
      </c>
      <c r="AV642" s="6">
        <f t="shared" si="42"/>
        <v>0</v>
      </c>
      <c r="AW642" s="6">
        <f t="shared" si="43"/>
        <v>0</v>
      </c>
      <c r="AX642" s="6">
        <f t="shared" si="44"/>
        <v>0</v>
      </c>
      <c r="AY642" s="6">
        <f t="shared" si="45"/>
        <v>0</v>
      </c>
      <c r="AZ642" s="9" t="str">
        <f t="shared" si="46"/>
        <v/>
      </c>
      <c r="BA642" s="6">
        <f t="shared" si="47"/>
        <v>0</v>
      </c>
      <c r="BB642" s="6">
        <f t="shared" si="48"/>
        <v>0</v>
      </c>
      <c r="BC642" s="9" t="str">
        <f t="shared" si="49"/>
        <v/>
      </c>
      <c r="BD642" s="6">
        <f t="shared" si="50"/>
        <v>0</v>
      </c>
      <c r="BE642" s="6">
        <f t="shared" si="51"/>
        <v>0</v>
      </c>
      <c r="BF642" s="9" t="str">
        <f t="shared" si="52"/>
        <v/>
      </c>
      <c r="BG642" s="6">
        <f t="shared" si="53"/>
        <v>0</v>
      </c>
      <c r="BH642" s="6">
        <f t="shared" si="54"/>
        <v>0</v>
      </c>
      <c r="BI642" s="9" t="str">
        <f t="shared" si="55"/>
        <v/>
      </c>
      <c r="BJ642" s="6">
        <f t="shared" si="56"/>
        <v>0</v>
      </c>
      <c r="BK642" s="6">
        <f t="shared" si="57"/>
        <v>0</v>
      </c>
      <c r="BL642" s="6">
        <f t="shared" si="58"/>
        <v>0</v>
      </c>
      <c r="BM642" s="6">
        <f t="shared" si="59"/>
        <v>0</v>
      </c>
      <c r="BN642" s="6">
        <f t="shared" si="60"/>
        <v>0</v>
      </c>
      <c r="BP642" s="6">
        <f t="shared" si="61"/>
        <v>0</v>
      </c>
      <c r="BQ642" s="6" t="b">
        <f ca="1">IFERROR(__xludf.DUMMYFUNCTION("IF(AND(ISERROR(FILTER('Items by Team'!D$2:D3410,'Items by Team'!C$2:C3410 = D642,'Items by Team'!B$2:B3410 = B642)),NOT(A642=""Practice"")),TRUE,FALSE)"),FALSE)</f>
        <v>0</v>
      </c>
      <c r="BR642" s="6">
        <f t="shared" ca="1" si="62"/>
        <v>0</v>
      </c>
    </row>
    <row r="643" spans="1:70">
      <c r="A643" s="6"/>
      <c r="B643" s="6"/>
      <c r="C643" s="6"/>
      <c r="D643" s="6"/>
      <c r="E643" s="6"/>
      <c r="F643" s="6"/>
      <c r="G643" s="6"/>
      <c r="H643" s="6"/>
      <c r="I643" s="6"/>
      <c r="J643" s="6"/>
      <c r="K643" s="6"/>
      <c r="L643" s="6"/>
      <c r="M643" s="6"/>
      <c r="N643" s="6"/>
      <c r="O643" s="6"/>
      <c r="P643" s="6"/>
      <c r="R643" s="6"/>
      <c r="S643" s="6"/>
      <c r="T643" s="6"/>
      <c r="U643" s="6"/>
      <c r="V643" s="6"/>
      <c r="W643" s="6"/>
      <c r="X643" s="6"/>
      <c r="Y643" s="6"/>
      <c r="Z643" s="6"/>
      <c r="AA643" s="6"/>
      <c r="AB643" s="6"/>
      <c r="AD643" s="6"/>
      <c r="AE643" s="6"/>
      <c r="AF643" s="6"/>
      <c r="AG643" s="6"/>
      <c r="AH643" s="6"/>
      <c r="AI643" s="6"/>
      <c r="AK643" s="6"/>
      <c r="AL643" s="6"/>
      <c r="AM643" s="6"/>
      <c r="AN643" s="6"/>
      <c r="AO643" s="6"/>
      <c r="AP643" s="6"/>
      <c r="AQ643" s="6"/>
      <c r="AR643" s="6"/>
      <c r="AS643" s="15"/>
      <c r="AT643" s="6" t="str">
        <f ca="1">IFERROR(__xludf.DUMMYFUNCTION("""COMPUTED_VALUE"""),"#N/A")</f>
        <v>#N/A</v>
      </c>
      <c r="AU643" s="6" t="str">
        <f ca="1">IFERROR(__xludf.DUMMYFUNCTION("""COMPUTED_VALUE"""),"FALSE")</f>
        <v>FALSE</v>
      </c>
      <c r="AV643" s="6">
        <f t="shared" si="42"/>
        <v>0</v>
      </c>
      <c r="AW643" s="6">
        <f t="shared" si="43"/>
        <v>0</v>
      </c>
      <c r="AX643" s="6">
        <f t="shared" si="44"/>
        <v>0</v>
      </c>
      <c r="AY643" s="6">
        <f t="shared" si="45"/>
        <v>0</v>
      </c>
      <c r="AZ643" s="9" t="str">
        <f t="shared" si="46"/>
        <v/>
      </c>
      <c r="BA643" s="6">
        <f t="shared" si="47"/>
        <v>0</v>
      </c>
      <c r="BB643" s="6">
        <f t="shared" si="48"/>
        <v>0</v>
      </c>
      <c r="BC643" s="9" t="str">
        <f t="shared" si="49"/>
        <v/>
      </c>
      <c r="BD643" s="6">
        <f t="shared" si="50"/>
        <v>0</v>
      </c>
      <c r="BE643" s="6">
        <f t="shared" si="51"/>
        <v>0</v>
      </c>
      <c r="BF643" s="9" t="str">
        <f t="shared" si="52"/>
        <v/>
      </c>
      <c r="BG643" s="6">
        <f t="shared" si="53"/>
        <v>0</v>
      </c>
      <c r="BH643" s="6">
        <f t="shared" si="54"/>
        <v>0</v>
      </c>
      <c r="BI643" s="9" t="str">
        <f t="shared" si="55"/>
        <v/>
      </c>
      <c r="BJ643" s="6">
        <f t="shared" si="56"/>
        <v>0</v>
      </c>
      <c r="BK643" s="6">
        <f t="shared" si="57"/>
        <v>0</v>
      </c>
      <c r="BL643" s="6">
        <f t="shared" si="58"/>
        <v>0</v>
      </c>
      <c r="BM643" s="6">
        <f t="shared" si="59"/>
        <v>0</v>
      </c>
      <c r="BN643" s="6">
        <f t="shared" si="60"/>
        <v>0</v>
      </c>
      <c r="BP643" s="6">
        <f t="shared" si="61"/>
        <v>0</v>
      </c>
      <c r="BQ643" s="6" t="b">
        <f ca="1">IFERROR(__xludf.DUMMYFUNCTION("IF(AND(ISERROR(FILTER('Items by Team'!D$2:D3410,'Items by Team'!C$2:C3410 = D643,'Items by Team'!B$2:B3410 = B643)),NOT(A643=""Practice"")),TRUE,FALSE)"),FALSE)</f>
        <v>0</v>
      </c>
      <c r="BR643" s="6">
        <f t="shared" ca="1" si="62"/>
        <v>0</v>
      </c>
    </row>
    <row r="644" spans="1:70">
      <c r="A644" s="6"/>
      <c r="B644" s="6"/>
      <c r="C644" s="6"/>
      <c r="D644" s="6"/>
      <c r="E644" s="6"/>
      <c r="F644" s="6"/>
      <c r="G644" s="6"/>
      <c r="H644" s="6"/>
      <c r="I644" s="6"/>
      <c r="J644" s="6"/>
      <c r="K644" s="6"/>
      <c r="L644" s="6"/>
      <c r="M644" s="6"/>
      <c r="N644" s="6"/>
      <c r="O644" s="6"/>
      <c r="P644" s="6"/>
      <c r="R644" s="6"/>
      <c r="S644" s="6"/>
      <c r="T644" s="6"/>
      <c r="U644" s="6"/>
      <c r="V644" s="6"/>
      <c r="W644" s="6"/>
      <c r="X644" s="6"/>
      <c r="Y644" s="6"/>
      <c r="Z644" s="6"/>
      <c r="AA644" s="6"/>
      <c r="AB644" s="6"/>
      <c r="AD644" s="6"/>
      <c r="AE644" s="6"/>
      <c r="AF644" s="6"/>
      <c r="AG644" s="6"/>
      <c r="AH644" s="6"/>
      <c r="AI644" s="6"/>
      <c r="AK644" s="6"/>
      <c r="AL644" s="6"/>
      <c r="AM644" s="6"/>
      <c r="AN644" s="6"/>
      <c r="AO644" s="6"/>
      <c r="AP644" s="6"/>
      <c r="AQ644" s="6"/>
      <c r="AR644" s="6"/>
      <c r="AS644" s="15"/>
      <c r="AT644" s="6" t="str">
        <f ca="1">IFERROR(__xludf.DUMMYFUNCTION("""COMPUTED_VALUE"""),"#N/A")</f>
        <v>#N/A</v>
      </c>
      <c r="AU644" s="6" t="str">
        <f ca="1">IFERROR(__xludf.DUMMYFUNCTION("""COMPUTED_VALUE"""),"FALSE")</f>
        <v>FALSE</v>
      </c>
      <c r="AV644" s="6">
        <f t="shared" si="42"/>
        <v>0</v>
      </c>
      <c r="AW644" s="6">
        <f t="shared" si="43"/>
        <v>0</v>
      </c>
      <c r="AX644" s="6">
        <f t="shared" si="44"/>
        <v>0</v>
      </c>
      <c r="AY644" s="6">
        <f t="shared" si="45"/>
        <v>0</v>
      </c>
      <c r="AZ644" s="9" t="str">
        <f t="shared" si="46"/>
        <v/>
      </c>
      <c r="BA644" s="6">
        <f t="shared" si="47"/>
        <v>0</v>
      </c>
      <c r="BB644" s="6">
        <f t="shared" si="48"/>
        <v>0</v>
      </c>
      <c r="BC644" s="9" t="str">
        <f t="shared" si="49"/>
        <v/>
      </c>
      <c r="BD644" s="6">
        <f t="shared" si="50"/>
        <v>0</v>
      </c>
      <c r="BE644" s="6">
        <f t="shared" si="51"/>
        <v>0</v>
      </c>
      <c r="BF644" s="9" t="str">
        <f t="shared" si="52"/>
        <v/>
      </c>
      <c r="BG644" s="6">
        <f t="shared" si="53"/>
        <v>0</v>
      </c>
      <c r="BH644" s="6">
        <f t="shared" si="54"/>
        <v>0</v>
      </c>
      <c r="BI644" s="9" t="str">
        <f t="shared" si="55"/>
        <v/>
      </c>
      <c r="BJ644" s="6">
        <f t="shared" si="56"/>
        <v>0</v>
      </c>
      <c r="BK644" s="6">
        <f t="shared" si="57"/>
        <v>0</v>
      </c>
      <c r="BL644" s="6">
        <f t="shared" si="58"/>
        <v>0</v>
      </c>
      <c r="BM644" s="6">
        <f t="shared" si="59"/>
        <v>0</v>
      </c>
      <c r="BN644" s="6">
        <f t="shared" si="60"/>
        <v>0</v>
      </c>
      <c r="BP644" s="6">
        <f t="shared" si="61"/>
        <v>0</v>
      </c>
      <c r="BQ644" s="6" t="b">
        <f ca="1">IFERROR(__xludf.DUMMYFUNCTION("IF(AND(ISERROR(FILTER('Items by Team'!D$2:D3410,'Items by Team'!C$2:C3410 = D644,'Items by Team'!B$2:B3410 = B644)),NOT(A644=""Practice"")),TRUE,FALSE)"),FALSE)</f>
        <v>0</v>
      </c>
      <c r="BR644" s="6">
        <f t="shared" ca="1" si="62"/>
        <v>0</v>
      </c>
    </row>
    <row r="645" spans="1:70">
      <c r="A645" s="6"/>
      <c r="B645" s="6"/>
      <c r="C645" s="6"/>
      <c r="D645" s="6"/>
      <c r="E645" s="6"/>
      <c r="F645" s="6"/>
      <c r="G645" s="6"/>
      <c r="H645" s="6"/>
      <c r="I645" s="6"/>
      <c r="J645" s="6"/>
      <c r="K645" s="6"/>
      <c r="L645" s="6"/>
      <c r="M645" s="6"/>
      <c r="N645" s="6"/>
      <c r="O645" s="6"/>
      <c r="P645" s="6"/>
      <c r="R645" s="6"/>
      <c r="S645" s="6"/>
      <c r="T645" s="6"/>
      <c r="U645" s="6"/>
      <c r="V645" s="6"/>
      <c r="W645" s="6"/>
      <c r="X645" s="6"/>
      <c r="Y645" s="6"/>
      <c r="Z645" s="6"/>
      <c r="AA645" s="6"/>
      <c r="AB645" s="6"/>
      <c r="AD645" s="6"/>
      <c r="AE645" s="6"/>
      <c r="AF645" s="6"/>
      <c r="AG645" s="6"/>
      <c r="AH645" s="6"/>
      <c r="AI645" s="6"/>
      <c r="AK645" s="6"/>
      <c r="AL645" s="6"/>
      <c r="AM645" s="6"/>
      <c r="AN645" s="6"/>
      <c r="AO645" s="6"/>
      <c r="AP645" s="6"/>
      <c r="AQ645" s="6"/>
      <c r="AR645" s="6"/>
      <c r="AS645" s="15"/>
      <c r="AT645" s="6" t="str">
        <f ca="1">IFERROR(__xludf.DUMMYFUNCTION("""COMPUTED_VALUE"""),"#N/A")</f>
        <v>#N/A</v>
      </c>
      <c r="AU645" s="6" t="str">
        <f ca="1">IFERROR(__xludf.DUMMYFUNCTION("""COMPUTED_VALUE"""),"FALSE")</f>
        <v>FALSE</v>
      </c>
      <c r="AV645" s="6">
        <f t="shared" si="42"/>
        <v>0</v>
      </c>
      <c r="AW645" s="6">
        <f t="shared" si="43"/>
        <v>0</v>
      </c>
      <c r="AX645" s="6">
        <f t="shared" si="44"/>
        <v>0</v>
      </c>
      <c r="AY645" s="6">
        <f t="shared" si="45"/>
        <v>0</v>
      </c>
      <c r="AZ645" s="9" t="str">
        <f t="shared" si="46"/>
        <v/>
      </c>
      <c r="BA645" s="6">
        <f t="shared" si="47"/>
        <v>0</v>
      </c>
      <c r="BB645" s="6">
        <f t="shared" si="48"/>
        <v>0</v>
      </c>
      <c r="BC645" s="9" t="str">
        <f t="shared" si="49"/>
        <v/>
      </c>
      <c r="BD645" s="6">
        <f t="shared" si="50"/>
        <v>0</v>
      </c>
      <c r="BE645" s="6">
        <f t="shared" si="51"/>
        <v>0</v>
      </c>
      <c r="BF645" s="9" t="str">
        <f t="shared" si="52"/>
        <v/>
      </c>
      <c r="BG645" s="6">
        <f t="shared" si="53"/>
        <v>0</v>
      </c>
      <c r="BH645" s="6">
        <f t="shared" si="54"/>
        <v>0</v>
      </c>
      <c r="BI645" s="9" t="str">
        <f t="shared" si="55"/>
        <v/>
      </c>
      <c r="BJ645" s="6">
        <f t="shared" si="56"/>
        <v>0</v>
      </c>
      <c r="BK645" s="6">
        <f t="shared" si="57"/>
        <v>0</v>
      </c>
      <c r="BL645" s="6">
        <f t="shared" si="58"/>
        <v>0</v>
      </c>
      <c r="BM645" s="6">
        <f t="shared" si="59"/>
        <v>0</v>
      </c>
      <c r="BN645" s="6">
        <f t="shared" si="60"/>
        <v>0</v>
      </c>
      <c r="BP645" s="6">
        <f t="shared" si="61"/>
        <v>0</v>
      </c>
      <c r="BQ645" s="6" t="b">
        <f ca="1">IFERROR(__xludf.DUMMYFUNCTION("IF(AND(ISERROR(FILTER('Items by Team'!D$2:D3410,'Items by Team'!C$2:C3410 = D645,'Items by Team'!B$2:B3410 = B645)),NOT(A645=""Practice"")),TRUE,FALSE)"),FALSE)</f>
        <v>0</v>
      </c>
      <c r="BR645" s="6">
        <f t="shared" ca="1" si="62"/>
        <v>0</v>
      </c>
    </row>
    <row r="646" spans="1:70">
      <c r="A646" s="6"/>
      <c r="B646" s="6"/>
      <c r="C646" s="6"/>
      <c r="D646" s="6"/>
      <c r="E646" s="6"/>
      <c r="F646" s="6"/>
      <c r="G646" s="6"/>
      <c r="H646" s="6"/>
      <c r="I646" s="6"/>
      <c r="J646" s="6"/>
      <c r="K646" s="6"/>
      <c r="L646" s="6"/>
      <c r="M646" s="6"/>
      <c r="N646" s="6"/>
      <c r="O646" s="6"/>
      <c r="P646" s="6"/>
      <c r="R646" s="6"/>
      <c r="S646" s="6"/>
      <c r="T646" s="6"/>
      <c r="U646" s="6"/>
      <c r="V646" s="6"/>
      <c r="W646" s="6"/>
      <c r="X646" s="6"/>
      <c r="Y646" s="6"/>
      <c r="Z646" s="6"/>
      <c r="AA646" s="6"/>
      <c r="AB646" s="6"/>
      <c r="AD646" s="6"/>
      <c r="AE646" s="6"/>
      <c r="AF646" s="6"/>
      <c r="AG646" s="6"/>
      <c r="AH646" s="6"/>
      <c r="AI646" s="6"/>
      <c r="AK646" s="6"/>
      <c r="AL646" s="6"/>
      <c r="AM646" s="6"/>
      <c r="AN646" s="6"/>
      <c r="AO646" s="6"/>
      <c r="AP646" s="6"/>
      <c r="AQ646" s="6"/>
      <c r="AR646" s="6"/>
      <c r="AS646" s="15"/>
      <c r="AT646" s="6" t="str">
        <f ca="1">IFERROR(__xludf.DUMMYFUNCTION("""COMPUTED_VALUE"""),"#N/A")</f>
        <v>#N/A</v>
      </c>
      <c r="AU646" s="6" t="str">
        <f ca="1">IFERROR(__xludf.DUMMYFUNCTION("""COMPUTED_VALUE"""),"FALSE")</f>
        <v>FALSE</v>
      </c>
      <c r="AV646" s="6">
        <f t="shared" si="42"/>
        <v>0</v>
      </c>
      <c r="AW646" s="6">
        <f t="shared" si="43"/>
        <v>0</v>
      </c>
      <c r="AX646" s="6">
        <f t="shared" si="44"/>
        <v>0</v>
      </c>
      <c r="AY646" s="6">
        <f t="shared" si="45"/>
        <v>0</v>
      </c>
      <c r="AZ646" s="9" t="str">
        <f t="shared" si="46"/>
        <v/>
      </c>
      <c r="BA646" s="6">
        <f t="shared" si="47"/>
        <v>0</v>
      </c>
      <c r="BB646" s="6">
        <f t="shared" si="48"/>
        <v>0</v>
      </c>
      <c r="BC646" s="9" t="str">
        <f t="shared" si="49"/>
        <v/>
      </c>
      <c r="BD646" s="6">
        <f t="shared" si="50"/>
        <v>0</v>
      </c>
      <c r="BE646" s="6">
        <f t="shared" si="51"/>
        <v>0</v>
      </c>
      <c r="BF646" s="9" t="str">
        <f t="shared" si="52"/>
        <v/>
      </c>
      <c r="BG646" s="6">
        <f t="shared" si="53"/>
        <v>0</v>
      </c>
      <c r="BH646" s="6">
        <f t="shared" si="54"/>
        <v>0</v>
      </c>
      <c r="BI646" s="9" t="str">
        <f t="shared" si="55"/>
        <v/>
      </c>
      <c r="BJ646" s="6">
        <f t="shared" si="56"/>
        <v>0</v>
      </c>
      <c r="BK646" s="6">
        <f t="shared" si="57"/>
        <v>0</v>
      </c>
      <c r="BL646" s="6">
        <f t="shared" si="58"/>
        <v>0</v>
      </c>
      <c r="BM646" s="6">
        <f t="shared" si="59"/>
        <v>0</v>
      </c>
      <c r="BN646" s="6">
        <f t="shared" si="60"/>
        <v>0</v>
      </c>
      <c r="BP646" s="6">
        <f t="shared" si="61"/>
        <v>0</v>
      </c>
      <c r="BQ646" s="6" t="b">
        <f ca="1">IFERROR(__xludf.DUMMYFUNCTION("IF(AND(ISERROR(FILTER('Items by Team'!D$2:D3410,'Items by Team'!C$2:C3410 = D646,'Items by Team'!B$2:B3410 = B646)),NOT(A646=""Practice"")),TRUE,FALSE)"),FALSE)</f>
        <v>0</v>
      </c>
      <c r="BR646" s="6">
        <f t="shared" ca="1" si="62"/>
        <v>0</v>
      </c>
    </row>
    <row r="647" spans="1:70">
      <c r="A647" s="6"/>
      <c r="B647" s="6"/>
      <c r="C647" s="6"/>
      <c r="D647" s="6"/>
      <c r="E647" s="6"/>
      <c r="F647" s="6"/>
      <c r="G647" s="6"/>
      <c r="H647" s="6"/>
      <c r="I647" s="6"/>
      <c r="J647" s="6"/>
      <c r="K647" s="6"/>
      <c r="L647" s="6"/>
      <c r="M647" s="6"/>
      <c r="N647" s="6"/>
      <c r="O647" s="6"/>
      <c r="P647" s="6"/>
      <c r="R647" s="6"/>
      <c r="S647" s="6"/>
      <c r="T647" s="6"/>
      <c r="U647" s="6"/>
      <c r="V647" s="6"/>
      <c r="W647" s="6"/>
      <c r="X647" s="6"/>
      <c r="Y647" s="6"/>
      <c r="Z647" s="6"/>
      <c r="AA647" s="6"/>
      <c r="AB647" s="6"/>
      <c r="AD647" s="6"/>
      <c r="AE647" s="6"/>
      <c r="AF647" s="6"/>
      <c r="AG647" s="6"/>
      <c r="AH647" s="6"/>
      <c r="AI647" s="6"/>
      <c r="AK647" s="6"/>
      <c r="AL647" s="6"/>
      <c r="AM647" s="6"/>
      <c r="AN647" s="6"/>
      <c r="AO647" s="6"/>
      <c r="AP647" s="6"/>
      <c r="AQ647" s="6"/>
      <c r="AR647" s="6"/>
      <c r="AS647" s="15"/>
      <c r="AT647" s="6" t="str">
        <f ca="1">IFERROR(__xludf.DUMMYFUNCTION("""COMPUTED_VALUE"""),"#N/A")</f>
        <v>#N/A</v>
      </c>
      <c r="AU647" s="6" t="str">
        <f ca="1">IFERROR(__xludf.DUMMYFUNCTION("""COMPUTED_VALUE"""),"FALSE")</f>
        <v>FALSE</v>
      </c>
      <c r="AV647" s="6">
        <f t="shared" si="42"/>
        <v>0</v>
      </c>
      <c r="AW647" s="6">
        <f t="shared" si="43"/>
        <v>0</v>
      </c>
      <c r="AX647" s="6">
        <f t="shared" si="44"/>
        <v>0</v>
      </c>
      <c r="AY647" s="6">
        <f t="shared" si="45"/>
        <v>0</v>
      </c>
      <c r="AZ647" s="9" t="str">
        <f t="shared" si="46"/>
        <v/>
      </c>
      <c r="BA647" s="6">
        <f t="shared" si="47"/>
        <v>0</v>
      </c>
      <c r="BB647" s="6">
        <f t="shared" si="48"/>
        <v>0</v>
      </c>
      <c r="BC647" s="9" t="str">
        <f t="shared" si="49"/>
        <v/>
      </c>
      <c r="BD647" s="6">
        <f t="shared" si="50"/>
        <v>0</v>
      </c>
      <c r="BE647" s="6">
        <f t="shared" si="51"/>
        <v>0</v>
      </c>
      <c r="BF647" s="9" t="str">
        <f t="shared" si="52"/>
        <v/>
      </c>
      <c r="BG647" s="6">
        <f t="shared" si="53"/>
        <v>0</v>
      </c>
      <c r="BH647" s="6">
        <f t="shared" si="54"/>
        <v>0</v>
      </c>
      <c r="BI647" s="9" t="str">
        <f t="shared" si="55"/>
        <v/>
      </c>
      <c r="BJ647" s="6">
        <f t="shared" si="56"/>
        <v>0</v>
      </c>
      <c r="BK647" s="6">
        <f t="shared" si="57"/>
        <v>0</v>
      </c>
      <c r="BL647" s="6">
        <f t="shared" si="58"/>
        <v>0</v>
      </c>
      <c r="BM647" s="6">
        <f t="shared" si="59"/>
        <v>0</v>
      </c>
      <c r="BN647" s="6">
        <f t="shared" si="60"/>
        <v>0</v>
      </c>
      <c r="BP647" s="6">
        <f t="shared" si="61"/>
        <v>0</v>
      </c>
      <c r="BQ647" s="6" t="b">
        <f ca="1">IFERROR(__xludf.DUMMYFUNCTION("IF(AND(ISERROR(FILTER('Items by Team'!D$2:D3410,'Items by Team'!C$2:C3410 = D647,'Items by Team'!B$2:B3410 = B647)),NOT(A647=""Practice"")),TRUE,FALSE)"),FALSE)</f>
        <v>0</v>
      </c>
      <c r="BR647" s="6">
        <f t="shared" ca="1" si="62"/>
        <v>0</v>
      </c>
    </row>
    <row r="648" spans="1:70">
      <c r="A648" s="6"/>
      <c r="B648" s="6"/>
      <c r="C648" s="6"/>
      <c r="D648" s="6"/>
      <c r="E648" s="6"/>
      <c r="F648" s="6"/>
      <c r="G648" s="6"/>
      <c r="H648" s="6"/>
      <c r="I648" s="6"/>
      <c r="J648" s="6"/>
      <c r="K648" s="6"/>
      <c r="L648" s="6"/>
      <c r="M648" s="6"/>
      <c r="N648" s="6"/>
      <c r="O648" s="6"/>
      <c r="P648" s="6"/>
      <c r="R648" s="6"/>
      <c r="S648" s="6"/>
      <c r="T648" s="6"/>
      <c r="U648" s="6"/>
      <c r="V648" s="6"/>
      <c r="W648" s="6"/>
      <c r="X648" s="6"/>
      <c r="Y648" s="6"/>
      <c r="Z648" s="6"/>
      <c r="AA648" s="6"/>
      <c r="AB648" s="6"/>
      <c r="AD648" s="6"/>
      <c r="AE648" s="6"/>
      <c r="AF648" s="6"/>
      <c r="AG648" s="6"/>
      <c r="AH648" s="6"/>
      <c r="AI648" s="6"/>
      <c r="AK648" s="6"/>
      <c r="AL648" s="6"/>
      <c r="AM648" s="6"/>
      <c r="AN648" s="6"/>
      <c r="AO648" s="6"/>
      <c r="AP648" s="6"/>
      <c r="AQ648" s="6"/>
      <c r="AR648" s="6"/>
      <c r="AS648" s="15"/>
      <c r="AT648" s="6" t="str">
        <f ca="1">IFERROR(__xludf.DUMMYFUNCTION("""COMPUTED_VALUE"""),"#N/A")</f>
        <v>#N/A</v>
      </c>
      <c r="AU648" s="6" t="str">
        <f ca="1">IFERROR(__xludf.DUMMYFUNCTION("""COMPUTED_VALUE"""),"FALSE")</f>
        <v>FALSE</v>
      </c>
      <c r="AV648" s="6">
        <f t="shared" si="42"/>
        <v>0</v>
      </c>
      <c r="AW648" s="6">
        <f t="shared" si="43"/>
        <v>0</v>
      </c>
      <c r="AX648" s="6">
        <f t="shared" si="44"/>
        <v>0</v>
      </c>
      <c r="AY648" s="6">
        <f t="shared" si="45"/>
        <v>0</v>
      </c>
      <c r="AZ648" s="9" t="str">
        <f t="shared" si="46"/>
        <v/>
      </c>
      <c r="BA648" s="6">
        <f t="shared" si="47"/>
        <v>0</v>
      </c>
      <c r="BB648" s="6">
        <f t="shared" si="48"/>
        <v>0</v>
      </c>
      <c r="BC648" s="9" t="str">
        <f t="shared" si="49"/>
        <v/>
      </c>
      <c r="BD648" s="6">
        <f t="shared" si="50"/>
        <v>0</v>
      </c>
      <c r="BE648" s="6">
        <f t="shared" si="51"/>
        <v>0</v>
      </c>
      <c r="BF648" s="9" t="str">
        <f t="shared" si="52"/>
        <v/>
      </c>
      <c r="BG648" s="6">
        <f t="shared" si="53"/>
        <v>0</v>
      </c>
      <c r="BH648" s="6">
        <f t="shared" si="54"/>
        <v>0</v>
      </c>
      <c r="BI648" s="9" t="str">
        <f t="shared" si="55"/>
        <v/>
      </c>
      <c r="BJ648" s="6">
        <f t="shared" si="56"/>
        <v>0</v>
      </c>
      <c r="BK648" s="6">
        <f t="shared" si="57"/>
        <v>0</v>
      </c>
      <c r="BL648" s="6">
        <f t="shared" si="58"/>
        <v>0</v>
      </c>
      <c r="BM648" s="6">
        <f t="shared" si="59"/>
        <v>0</v>
      </c>
      <c r="BN648" s="6">
        <f t="shared" si="60"/>
        <v>0</v>
      </c>
      <c r="BP648" s="6">
        <f t="shared" si="61"/>
        <v>0</v>
      </c>
      <c r="BQ648" s="6" t="b">
        <f ca="1">IFERROR(__xludf.DUMMYFUNCTION("IF(AND(ISERROR(FILTER('Items by Team'!D$2:D3410,'Items by Team'!C$2:C3410 = D648,'Items by Team'!B$2:B3410 = B648)),NOT(A648=""Practice"")),TRUE,FALSE)"),FALSE)</f>
        <v>0</v>
      </c>
      <c r="BR648" s="6">
        <f t="shared" ca="1" si="62"/>
        <v>0</v>
      </c>
    </row>
    <row r="649" spans="1:70">
      <c r="A649" s="6"/>
      <c r="B649" s="6"/>
      <c r="C649" s="6"/>
      <c r="D649" s="6"/>
      <c r="E649" s="6"/>
      <c r="F649" s="6"/>
      <c r="G649" s="6"/>
      <c r="H649" s="6"/>
      <c r="I649" s="6"/>
      <c r="J649" s="6"/>
      <c r="K649" s="6"/>
      <c r="L649" s="6"/>
      <c r="M649" s="6"/>
      <c r="N649" s="6"/>
      <c r="O649" s="6"/>
      <c r="P649" s="6"/>
      <c r="R649" s="6"/>
      <c r="S649" s="6"/>
      <c r="T649" s="6"/>
      <c r="U649" s="6"/>
      <c r="V649" s="6"/>
      <c r="W649" s="6"/>
      <c r="X649" s="6"/>
      <c r="Y649" s="6"/>
      <c r="Z649" s="6"/>
      <c r="AA649" s="6"/>
      <c r="AB649" s="6"/>
      <c r="AD649" s="6"/>
      <c r="AE649" s="6"/>
      <c r="AF649" s="6"/>
      <c r="AG649" s="6"/>
      <c r="AH649" s="6"/>
      <c r="AI649" s="6"/>
      <c r="AK649" s="6"/>
      <c r="AL649" s="6"/>
      <c r="AM649" s="6"/>
      <c r="AN649" s="6"/>
      <c r="AO649" s="6"/>
      <c r="AP649" s="6"/>
      <c r="AQ649" s="6"/>
      <c r="AR649" s="6"/>
      <c r="AS649" s="15"/>
      <c r="AT649" s="6" t="str">
        <f ca="1">IFERROR(__xludf.DUMMYFUNCTION("""COMPUTED_VALUE"""),"#N/A")</f>
        <v>#N/A</v>
      </c>
      <c r="AU649" s="6" t="str">
        <f ca="1">IFERROR(__xludf.DUMMYFUNCTION("""COMPUTED_VALUE"""),"FALSE")</f>
        <v>FALSE</v>
      </c>
      <c r="AV649" s="6">
        <f t="shared" si="42"/>
        <v>0</v>
      </c>
      <c r="AW649" s="6">
        <f t="shared" si="43"/>
        <v>0</v>
      </c>
      <c r="AX649" s="6">
        <f t="shared" si="44"/>
        <v>0</v>
      </c>
      <c r="AY649" s="6">
        <f t="shared" si="45"/>
        <v>0</v>
      </c>
      <c r="AZ649" s="9" t="str">
        <f t="shared" si="46"/>
        <v/>
      </c>
      <c r="BA649" s="6">
        <f t="shared" si="47"/>
        <v>0</v>
      </c>
      <c r="BB649" s="6">
        <f t="shared" si="48"/>
        <v>0</v>
      </c>
      <c r="BC649" s="9" t="str">
        <f t="shared" si="49"/>
        <v/>
      </c>
      <c r="BD649" s="6">
        <f t="shared" si="50"/>
        <v>0</v>
      </c>
      <c r="BE649" s="6">
        <f t="shared" si="51"/>
        <v>0</v>
      </c>
      <c r="BF649" s="9" t="str">
        <f t="shared" si="52"/>
        <v/>
      </c>
      <c r="BG649" s="6">
        <f t="shared" si="53"/>
        <v>0</v>
      </c>
      <c r="BH649" s="6">
        <f t="shared" si="54"/>
        <v>0</v>
      </c>
      <c r="BI649" s="9" t="str">
        <f t="shared" si="55"/>
        <v/>
      </c>
      <c r="BJ649" s="6">
        <f t="shared" si="56"/>
        <v>0</v>
      </c>
      <c r="BK649" s="6">
        <f t="shared" si="57"/>
        <v>0</v>
      </c>
      <c r="BL649" s="6">
        <f t="shared" si="58"/>
        <v>0</v>
      </c>
      <c r="BM649" s="6">
        <f t="shared" si="59"/>
        <v>0</v>
      </c>
      <c r="BN649" s="6">
        <f t="shared" si="60"/>
        <v>0</v>
      </c>
      <c r="BP649" s="6">
        <f t="shared" si="61"/>
        <v>0</v>
      </c>
      <c r="BQ649" s="6" t="b">
        <f ca="1">IFERROR(__xludf.DUMMYFUNCTION("IF(AND(ISERROR(FILTER('Items by Team'!D$2:D3410,'Items by Team'!C$2:C3410 = D649,'Items by Team'!B$2:B3410 = B649)),NOT(A649=""Practice"")),TRUE,FALSE)"),FALSE)</f>
        <v>0</v>
      </c>
      <c r="BR649" s="6">
        <f t="shared" ca="1" si="62"/>
        <v>0</v>
      </c>
    </row>
    <row r="650" spans="1:70">
      <c r="A650" s="6"/>
      <c r="B650" s="6"/>
      <c r="C650" s="6"/>
      <c r="D650" s="6"/>
      <c r="E650" s="6"/>
      <c r="F650" s="6"/>
      <c r="G650" s="6"/>
      <c r="H650" s="6"/>
      <c r="I650" s="6"/>
      <c r="J650" s="6"/>
      <c r="K650" s="6"/>
      <c r="L650" s="6"/>
      <c r="M650" s="6"/>
      <c r="N650" s="6"/>
      <c r="O650" s="6"/>
      <c r="P650" s="6"/>
      <c r="R650" s="6"/>
      <c r="S650" s="6"/>
      <c r="T650" s="6"/>
      <c r="U650" s="6"/>
      <c r="V650" s="6"/>
      <c r="W650" s="6"/>
      <c r="X650" s="6"/>
      <c r="Y650" s="6"/>
      <c r="Z650" s="6"/>
      <c r="AA650" s="6"/>
      <c r="AB650" s="6"/>
      <c r="AD650" s="6"/>
      <c r="AE650" s="6"/>
      <c r="AF650" s="6"/>
      <c r="AG650" s="6"/>
      <c r="AH650" s="6"/>
      <c r="AI650" s="6"/>
      <c r="AK650" s="6"/>
      <c r="AL650" s="6"/>
      <c r="AM650" s="6"/>
      <c r="AN650" s="6"/>
      <c r="AO650" s="6"/>
      <c r="AP650" s="6"/>
      <c r="AQ650" s="6"/>
      <c r="AR650" s="6"/>
      <c r="AS650" s="15"/>
      <c r="AT650" s="6" t="str">
        <f ca="1">IFERROR(__xludf.DUMMYFUNCTION("""COMPUTED_VALUE"""),"#N/A")</f>
        <v>#N/A</v>
      </c>
      <c r="AU650" s="6" t="str">
        <f ca="1">IFERROR(__xludf.DUMMYFUNCTION("""COMPUTED_VALUE"""),"FALSE")</f>
        <v>FALSE</v>
      </c>
      <c r="AV650" s="6">
        <f t="shared" si="42"/>
        <v>0</v>
      </c>
      <c r="AW650" s="6">
        <f t="shared" si="43"/>
        <v>0</v>
      </c>
      <c r="AX650" s="6">
        <f t="shared" si="44"/>
        <v>0</v>
      </c>
      <c r="AY650" s="6">
        <f t="shared" si="45"/>
        <v>0</v>
      </c>
      <c r="AZ650" s="9" t="str">
        <f t="shared" si="46"/>
        <v/>
      </c>
      <c r="BA650" s="6">
        <f t="shared" si="47"/>
        <v>0</v>
      </c>
      <c r="BB650" s="6">
        <f t="shared" si="48"/>
        <v>0</v>
      </c>
      <c r="BC650" s="9" t="str">
        <f t="shared" si="49"/>
        <v/>
      </c>
      <c r="BD650" s="6">
        <f t="shared" si="50"/>
        <v>0</v>
      </c>
      <c r="BE650" s="6">
        <f t="shared" si="51"/>
        <v>0</v>
      </c>
      <c r="BF650" s="9" t="str">
        <f t="shared" si="52"/>
        <v/>
      </c>
      <c r="BG650" s="6">
        <f t="shared" si="53"/>
        <v>0</v>
      </c>
      <c r="BH650" s="6">
        <f t="shared" si="54"/>
        <v>0</v>
      </c>
      <c r="BI650" s="9" t="str">
        <f t="shared" si="55"/>
        <v/>
      </c>
      <c r="BJ650" s="6">
        <f t="shared" si="56"/>
        <v>0</v>
      </c>
      <c r="BK650" s="6">
        <f t="shared" si="57"/>
        <v>0</v>
      </c>
      <c r="BL650" s="6">
        <f t="shared" si="58"/>
        <v>0</v>
      </c>
      <c r="BM650" s="6">
        <f t="shared" si="59"/>
        <v>0</v>
      </c>
      <c r="BN650" s="6">
        <f t="shared" si="60"/>
        <v>0</v>
      </c>
      <c r="BP650" s="6">
        <f t="shared" si="61"/>
        <v>0</v>
      </c>
      <c r="BQ650" s="6" t="b">
        <f ca="1">IFERROR(__xludf.DUMMYFUNCTION("IF(AND(ISERROR(FILTER('Items by Team'!D$2:D3410,'Items by Team'!C$2:C3410 = D650,'Items by Team'!B$2:B3410 = B650)),NOT(A650=""Practice"")),TRUE,FALSE)"),FALSE)</f>
        <v>0</v>
      </c>
      <c r="BR650" s="6">
        <f t="shared" ca="1" si="62"/>
        <v>0</v>
      </c>
    </row>
    <row r="651" spans="1:70">
      <c r="A651" s="6"/>
      <c r="B651" s="6"/>
      <c r="C651" s="6"/>
      <c r="D651" s="6"/>
      <c r="E651" s="6"/>
      <c r="F651" s="6"/>
      <c r="G651" s="6"/>
      <c r="H651" s="6"/>
      <c r="I651" s="6"/>
      <c r="J651" s="6"/>
      <c r="K651" s="6"/>
      <c r="L651" s="6"/>
      <c r="M651" s="6"/>
      <c r="N651" s="6"/>
      <c r="O651" s="6"/>
      <c r="P651" s="6"/>
      <c r="R651" s="6"/>
      <c r="S651" s="6"/>
      <c r="T651" s="6"/>
      <c r="U651" s="6"/>
      <c r="V651" s="6"/>
      <c r="W651" s="6"/>
      <c r="X651" s="6"/>
      <c r="Y651" s="6"/>
      <c r="Z651" s="6"/>
      <c r="AA651" s="6"/>
      <c r="AB651" s="6"/>
      <c r="AD651" s="6"/>
      <c r="AE651" s="6"/>
      <c r="AF651" s="6"/>
      <c r="AG651" s="6"/>
      <c r="AH651" s="6"/>
      <c r="AI651" s="6"/>
      <c r="AK651" s="6"/>
      <c r="AL651" s="6"/>
      <c r="AM651" s="6"/>
      <c r="AN651" s="6"/>
      <c r="AO651" s="6"/>
      <c r="AP651" s="6"/>
      <c r="AQ651" s="6"/>
      <c r="AR651" s="6"/>
      <c r="AS651" s="15"/>
      <c r="AT651" s="6" t="str">
        <f ca="1">IFERROR(__xludf.DUMMYFUNCTION("""COMPUTED_VALUE"""),"#N/A")</f>
        <v>#N/A</v>
      </c>
      <c r="AU651" s="6" t="str">
        <f ca="1">IFERROR(__xludf.DUMMYFUNCTION("""COMPUTED_VALUE"""),"FALSE")</f>
        <v>FALSE</v>
      </c>
      <c r="AV651" s="6">
        <f t="shared" si="42"/>
        <v>0</v>
      </c>
      <c r="AW651" s="6">
        <f t="shared" si="43"/>
        <v>0</v>
      </c>
      <c r="AX651" s="6">
        <f t="shared" si="44"/>
        <v>0</v>
      </c>
      <c r="AY651" s="6">
        <f t="shared" si="45"/>
        <v>0</v>
      </c>
      <c r="AZ651" s="9" t="str">
        <f t="shared" si="46"/>
        <v/>
      </c>
      <c r="BA651" s="6">
        <f t="shared" si="47"/>
        <v>0</v>
      </c>
      <c r="BB651" s="6">
        <f t="shared" si="48"/>
        <v>0</v>
      </c>
      <c r="BC651" s="9" t="str">
        <f t="shared" si="49"/>
        <v/>
      </c>
      <c r="BD651" s="6">
        <f t="shared" si="50"/>
        <v>0</v>
      </c>
      <c r="BE651" s="6">
        <f t="shared" si="51"/>
        <v>0</v>
      </c>
      <c r="BF651" s="9" t="str">
        <f t="shared" si="52"/>
        <v/>
      </c>
      <c r="BG651" s="6">
        <f t="shared" si="53"/>
        <v>0</v>
      </c>
      <c r="BH651" s="6">
        <f t="shared" si="54"/>
        <v>0</v>
      </c>
      <c r="BI651" s="9" t="str">
        <f t="shared" si="55"/>
        <v/>
      </c>
      <c r="BJ651" s="6">
        <f t="shared" si="56"/>
        <v>0</v>
      </c>
      <c r="BK651" s="6">
        <f t="shared" si="57"/>
        <v>0</v>
      </c>
      <c r="BL651" s="6">
        <f t="shared" si="58"/>
        <v>0</v>
      </c>
      <c r="BM651" s="6">
        <f t="shared" si="59"/>
        <v>0</v>
      </c>
      <c r="BN651" s="6">
        <f t="shared" si="60"/>
        <v>0</v>
      </c>
      <c r="BP651" s="6">
        <f t="shared" si="61"/>
        <v>0</v>
      </c>
      <c r="BQ651" s="6" t="b">
        <f ca="1">IFERROR(__xludf.DUMMYFUNCTION("IF(AND(ISERROR(FILTER('Items by Team'!D$2:D3410,'Items by Team'!C$2:C3410 = D651,'Items by Team'!B$2:B3410 = B651)),NOT(A651=""Practice"")),TRUE,FALSE)"),FALSE)</f>
        <v>0</v>
      </c>
      <c r="BR651" s="6">
        <f t="shared" ca="1" si="62"/>
        <v>0</v>
      </c>
    </row>
    <row r="652" spans="1:70">
      <c r="A652" s="6"/>
      <c r="B652" s="6"/>
      <c r="C652" s="6"/>
      <c r="D652" s="6"/>
      <c r="E652" s="6"/>
      <c r="F652" s="6"/>
      <c r="G652" s="6"/>
      <c r="H652" s="6"/>
      <c r="I652" s="6"/>
      <c r="J652" s="6"/>
      <c r="K652" s="6"/>
      <c r="L652" s="6"/>
      <c r="M652" s="6"/>
      <c r="N652" s="6"/>
      <c r="O652" s="6"/>
      <c r="P652" s="6"/>
      <c r="R652" s="6"/>
      <c r="S652" s="6"/>
      <c r="T652" s="6"/>
      <c r="U652" s="6"/>
      <c r="V652" s="6"/>
      <c r="W652" s="6"/>
      <c r="X652" s="6"/>
      <c r="Y652" s="6"/>
      <c r="Z652" s="6"/>
      <c r="AA652" s="6"/>
      <c r="AB652" s="6"/>
      <c r="AD652" s="6"/>
      <c r="AE652" s="6"/>
      <c r="AF652" s="6"/>
      <c r="AG652" s="6"/>
      <c r="AH652" s="6"/>
      <c r="AI652" s="6"/>
      <c r="AK652" s="6"/>
      <c r="AL652" s="6"/>
      <c r="AM652" s="6"/>
      <c r="AN652" s="6"/>
      <c r="AO652" s="6"/>
      <c r="AP652" s="6"/>
      <c r="AQ652" s="6"/>
      <c r="AR652" s="6"/>
      <c r="AS652" s="15"/>
      <c r="AT652" s="6" t="str">
        <f ca="1">IFERROR(__xludf.DUMMYFUNCTION("""COMPUTED_VALUE"""),"#N/A")</f>
        <v>#N/A</v>
      </c>
      <c r="AU652" s="6" t="str">
        <f ca="1">IFERROR(__xludf.DUMMYFUNCTION("""COMPUTED_VALUE"""),"FALSE")</f>
        <v>FALSE</v>
      </c>
      <c r="AV652" s="6">
        <f t="shared" si="42"/>
        <v>0</v>
      </c>
      <c r="AW652" s="6">
        <f t="shared" si="43"/>
        <v>0</v>
      </c>
      <c r="AX652" s="6">
        <f t="shared" si="44"/>
        <v>0</v>
      </c>
      <c r="AY652" s="6">
        <f t="shared" si="45"/>
        <v>0</v>
      </c>
      <c r="AZ652" s="9" t="str">
        <f t="shared" si="46"/>
        <v/>
      </c>
      <c r="BA652" s="6">
        <f t="shared" si="47"/>
        <v>0</v>
      </c>
      <c r="BB652" s="6">
        <f t="shared" si="48"/>
        <v>0</v>
      </c>
      <c r="BC652" s="9" t="str">
        <f t="shared" si="49"/>
        <v/>
      </c>
      <c r="BD652" s="6">
        <f t="shared" si="50"/>
        <v>0</v>
      </c>
      <c r="BE652" s="6">
        <f t="shared" si="51"/>
        <v>0</v>
      </c>
      <c r="BF652" s="9" t="str">
        <f t="shared" si="52"/>
        <v/>
      </c>
      <c r="BG652" s="6">
        <f t="shared" si="53"/>
        <v>0</v>
      </c>
      <c r="BH652" s="6">
        <f t="shared" si="54"/>
        <v>0</v>
      </c>
      <c r="BI652" s="9" t="str">
        <f t="shared" si="55"/>
        <v/>
      </c>
      <c r="BJ652" s="6">
        <f t="shared" si="56"/>
        <v>0</v>
      </c>
      <c r="BK652" s="6">
        <f t="shared" si="57"/>
        <v>0</v>
      </c>
      <c r="BL652" s="6">
        <f t="shared" si="58"/>
        <v>0</v>
      </c>
      <c r="BM652" s="6">
        <f t="shared" si="59"/>
        <v>0</v>
      </c>
      <c r="BN652" s="6">
        <f t="shared" si="60"/>
        <v>0</v>
      </c>
      <c r="BP652" s="6">
        <f t="shared" si="61"/>
        <v>0</v>
      </c>
      <c r="BQ652" s="6" t="b">
        <f ca="1">IFERROR(__xludf.DUMMYFUNCTION("IF(AND(ISERROR(FILTER('Items by Team'!D$2:D3410,'Items by Team'!C$2:C3410 = D652,'Items by Team'!B$2:B3410 = B652)),NOT(A652=""Practice"")),TRUE,FALSE)"),FALSE)</f>
        <v>0</v>
      </c>
      <c r="BR652" s="6">
        <f t="shared" ca="1" si="62"/>
        <v>0</v>
      </c>
    </row>
    <row r="653" spans="1:70">
      <c r="A653" s="6"/>
      <c r="B653" s="6"/>
      <c r="C653" s="6"/>
      <c r="D653" s="6"/>
      <c r="E653" s="6"/>
      <c r="F653" s="6"/>
      <c r="G653" s="6"/>
      <c r="H653" s="6"/>
      <c r="I653" s="6"/>
      <c r="J653" s="6"/>
      <c r="K653" s="6"/>
      <c r="L653" s="6"/>
      <c r="M653" s="6"/>
      <c r="N653" s="6"/>
      <c r="O653" s="6"/>
      <c r="P653" s="6"/>
      <c r="R653" s="6"/>
      <c r="S653" s="6"/>
      <c r="T653" s="6"/>
      <c r="U653" s="6"/>
      <c r="V653" s="6"/>
      <c r="W653" s="6"/>
      <c r="X653" s="6"/>
      <c r="Y653" s="6"/>
      <c r="Z653" s="6"/>
      <c r="AA653" s="6"/>
      <c r="AB653" s="6"/>
      <c r="AD653" s="6"/>
      <c r="AE653" s="6"/>
      <c r="AF653" s="6"/>
      <c r="AG653" s="6"/>
      <c r="AH653" s="6"/>
      <c r="AI653" s="6"/>
      <c r="AK653" s="6"/>
      <c r="AL653" s="6"/>
      <c r="AM653" s="6"/>
      <c r="AN653" s="6"/>
      <c r="AO653" s="6"/>
      <c r="AP653" s="6"/>
      <c r="AQ653" s="6"/>
      <c r="AR653" s="6"/>
      <c r="AS653" s="15"/>
      <c r="AT653" s="6" t="str">
        <f ca="1">IFERROR(__xludf.DUMMYFUNCTION("""COMPUTED_VALUE"""),"#N/A")</f>
        <v>#N/A</v>
      </c>
      <c r="AU653" s="6" t="str">
        <f ca="1">IFERROR(__xludf.DUMMYFUNCTION("""COMPUTED_VALUE"""),"FALSE")</f>
        <v>FALSE</v>
      </c>
      <c r="AV653" s="6">
        <f t="shared" si="42"/>
        <v>0</v>
      </c>
      <c r="AW653" s="6">
        <f t="shared" si="43"/>
        <v>0</v>
      </c>
      <c r="AX653" s="6">
        <f t="shared" si="44"/>
        <v>0</v>
      </c>
      <c r="AY653" s="6">
        <f t="shared" si="45"/>
        <v>0</v>
      </c>
      <c r="AZ653" s="9" t="str">
        <f t="shared" si="46"/>
        <v/>
      </c>
      <c r="BA653" s="6">
        <f t="shared" si="47"/>
        <v>0</v>
      </c>
      <c r="BB653" s="6">
        <f t="shared" si="48"/>
        <v>0</v>
      </c>
      <c r="BC653" s="9" t="str">
        <f t="shared" si="49"/>
        <v/>
      </c>
      <c r="BD653" s="6">
        <f t="shared" si="50"/>
        <v>0</v>
      </c>
      <c r="BE653" s="6">
        <f t="shared" si="51"/>
        <v>0</v>
      </c>
      <c r="BF653" s="9" t="str">
        <f t="shared" si="52"/>
        <v/>
      </c>
      <c r="BG653" s="6">
        <f t="shared" si="53"/>
        <v>0</v>
      </c>
      <c r="BH653" s="6">
        <f t="shared" si="54"/>
        <v>0</v>
      </c>
      <c r="BI653" s="9" t="str">
        <f t="shared" si="55"/>
        <v/>
      </c>
      <c r="BJ653" s="6">
        <f t="shared" si="56"/>
        <v>0</v>
      </c>
      <c r="BK653" s="6">
        <f t="shared" si="57"/>
        <v>0</v>
      </c>
      <c r="BL653" s="6">
        <f t="shared" si="58"/>
        <v>0</v>
      </c>
      <c r="BM653" s="6">
        <f t="shared" si="59"/>
        <v>0</v>
      </c>
      <c r="BN653" s="6">
        <f t="shared" si="60"/>
        <v>0</v>
      </c>
      <c r="BP653" s="6">
        <f t="shared" si="61"/>
        <v>0</v>
      </c>
      <c r="BQ653" s="6" t="b">
        <f ca="1">IFERROR(__xludf.DUMMYFUNCTION("IF(AND(ISERROR(FILTER('Items by Team'!D$2:D3410,'Items by Team'!C$2:C3410 = D653,'Items by Team'!B$2:B3410 = B653)),NOT(A653=""Practice"")),TRUE,FALSE)"),FALSE)</f>
        <v>0</v>
      </c>
      <c r="BR653" s="6">
        <f t="shared" ca="1" si="62"/>
        <v>0</v>
      </c>
    </row>
    <row r="654" spans="1:70">
      <c r="A654" s="6"/>
      <c r="B654" s="6"/>
      <c r="C654" s="6"/>
      <c r="D654" s="6"/>
      <c r="E654" s="6"/>
      <c r="F654" s="6"/>
      <c r="G654" s="6"/>
      <c r="H654" s="6"/>
      <c r="I654" s="6"/>
      <c r="J654" s="6"/>
      <c r="K654" s="6"/>
      <c r="L654" s="6"/>
      <c r="M654" s="6"/>
      <c r="N654" s="6"/>
      <c r="O654" s="6"/>
      <c r="P654" s="6"/>
      <c r="R654" s="6"/>
      <c r="S654" s="6"/>
      <c r="T654" s="6"/>
      <c r="U654" s="6"/>
      <c r="V654" s="6"/>
      <c r="W654" s="6"/>
      <c r="X654" s="6"/>
      <c r="Y654" s="6"/>
      <c r="Z654" s="6"/>
      <c r="AA654" s="6"/>
      <c r="AB654" s="6"/>
      <c r="AD654" s="6"/>
      <c r="AE654" s="6"/>
      <c r="AF654" s="6"/>
      <c r="AG654" s="6"/>
      <c r="AH654" s="6"/>
      <c r="AI654" s="6"/>
      <c r="AK654" s="6"/>
      <c r="AL654" s="6"/>
      <c r="AM654" s="6"/>
      <c r="AN654" s="6"/>
      <c r="AO654" s="6"/>
      <c r="AP654" s="6"/>
      <c r="AQ654" s="6"/>
      <c r="AR654" s="6"/>
      <c r="AS654" s="15"/>
      <c r="AT654" s="6" t="str">
        <f ca="1">IFERROR(__xludf.DUMMYFUNCTION("""COMPUTED_VALUE"""),"#N/A")</f>
        <v>#N/A</v>
      </c>
      <c r="AU654" s="6" t="str">
        <f ca="1">IFERROR(__xludf.DUMMYFUNCTION("""COMPUTED_VALUE"""),"FALSE")</f>
        <v>FALSE</v>
      </c>
      <c r="AV654" s="6">
        <f t="shared" si="42"/>
        <v>0</v>
      </c>
      <c r="AW654" s="6">
        <f t="shared" si="43"/>
        <v>0</v>
      </c>
      <c r="AX654" s="6">
        <f t="shared" si="44"/>
        <v>0</v>
      </c>
      <c r="AY654" s="6">
        <f t="shared" si="45"/>
        <v>0</v>
      </c>
      <c r="AZ654" s="9" t="str">
        <f t="shared" si="46"/>
        <v/>
      </c>
      <c r="BA654" s="6">
        <f t="shared" si="47"/>
        <v>0</v>
      </c>
      <c r="BB654" s="6">
        <f t="shared" si="48"/>
        <v>0</v>
      </c>
      <c r="BC654" s="9" t="str">
        <f t="shared" si="49"/>
        <v/>
      </c>
      <c r="BD654" s="6">
        <f t="shared" si="50"/>
        <v>0</v>
      </c>
      <c r="BE654" s="6">
        <f t="shared" si="51"/>
        <v>0</v>
      </c>
      <c r="BF654" s="9" t="str">
        <f t="shared" si="52"/>
        <v/>
      </c>
      <c r="BG654" s="6">
        <f t="shared" si="53"/>
        <v>0</v>
      </c>
      <c r="BH654" s="6">
        <f t="shared" si="54"/>
        <v>0</v>
      </c>
      <c r="BI654" s="9" t="str">
        <f t="shared" si="55"/>
        <v/>
      </c>
      <c r="BJ654" s="6">
        <f t="shared" si="56"/>
        <v>0</v>
      </c>
      <c r="BK654" s="6">
        <f t="shared" si="57"/>
        <v>0</v>
      </c>
      <c r="BL654" s="6">
        <f t="shared" si="58"/>
        <v>0</v>
      </c>
      <c r="BM654" s="6">
        <f t="shared" si="59"/>
        <v>0</v>
      </c>
      <c r="BN654" s="6">
        <f t="shared" si="60"/>
        <v>0</v>
      </c>
      <c r="BP654" s="6">
        <f t="shared" si="61"/>
        <v>0</v>
      </c>
      <c r="BQ654" s="6" t="b">
        <f ca="1">IFERROR(__xludf.DUMMYFUNCTION("IF(AND(ISERROR(FILTER('Items by Team'!D$2:D3410,'Items by Team'!C$2:C3410 = D654,'Items by Team'!B$2:B3410 = B654)),NOT(A654=""Practice"")),TRUE,FALSE)"),FALSE)</f>
        <v>0</v>
      </c>
      <c r="BR654" s="6">
        <f t="shared" ca="1" si="62"/>
        <v>0</v>
      </c>
    </row>
    <row r="655" spans="1:70">
      <c r="A655" s="6"/>
      <c r="B655" s="6"/>
      <c r="C655" s="6"/>
      <c r="D655" s="6"/>
      <c r="E655" s="6"/>
      <c r="F655" s="6"/>
      <c r="G655" s="6"/>
      <c r="H655" s="6"/>
      <c r="I655" s="6"/>
      <c r="J655" s="6"/>
      <c r="K655" s="6"/>
      <c r="L655" s="6"/>
      <c r="M655" s="6"/>
      <c r="N655" s="6"/>
      <c r="O655" s="6"/>
      <c r="P655" s="6"/>
      <c r="R655" s="6"/>
      <c r="S655" s="6"/>
      <c r="T655" s="6"/>
      <c r="U655" s="6"/>
      <c r="V655" s="6"/>
      <c r="W655" s="6"/>
      <c r="X655" s="6"/>
      <c r="Y655" s="6"/>
      <c r="Z655" s="6"/>
      <c r="AA655" s="6"/>
      <c r="AB655" s="6"/>
      <c r="AD655" s="6"/>
      <c r="AE655" s="6"/>
      <c r="AF655" s="6"/>
      <c r="AG655" s="6"/>
      <c r="AH655" s="6"/>
      <c r="AI655" s="6"/>
      <c r="AK655" s="6"/>
      <c r="AL655" s="6"/>
      <c r="AM655" s="6"/>
      <c r="AN655" s="6"/>
      <c r="AO655" s="6"/>
      <c r="AP655" s="6"/>
      <c r="AQ655" s="6"/>
      <c r="AR655" s="6"/>
      <c r="AS655" s="15"/>
      <c r="AT655" s="6" t="str">
        <f ca="1">IFERROR(__xludf.DUMMYFUNCTION("""COMPUTED_VALUE"""),"#N/A")</f>
        <v>#N/A</v>
      </c>
      <c r="AU655" s="6" t="str">
        <f ca="1">IFERROR(__xludf.DUMMYFUNCTION("""COMPUTED_VALUE"""),"FALSE")</f>
        <v>FALSE</v>
      </c>
      <c r="AV655" s="6">
        <f t="shared" si="42"/>
        <v>0</v>
      </c>
      <c r="AW655" s="6">
        <f t="shared" si="43"/>
        <v>0</v>
      </c>
      <c r="AX655" s="6">
        <f t="shared" si="44"/>
        <v>0</v>
      </c>
      <c r="AY655" s="6">
        <f t="shared" si="45"/>
        <v>0</v>
      </c>
      <c r="AZ655" s="9" t="str">
        <f t="shared" si="46"/>
        <v/>
      </c>
      <c r="BA655" s="6">
        <f t="shared" si="47"/>
        <v>0</v>
      </c>
      <c r="BB655" s="6">
        <f t="shared" si="48"/>
        <v>0</v>
      </c>
      <c r="BC655" s="9" t="str">
        <f t="shared" si="49"/>
        <v/>
      </c>
      <c r="BD655" s="6">
        <f t="shared" si="50"/>
        <v>0</v>
      </c>
      <c r="BE655" s="6">
        <f t="shared" si="51"/>
        <v>0</v>
      </c>
      <c r="BF655" s="9" t="str">
        <f t="shared" si="52"/>
        <v/>
      </c>
      <c r="BG655" s="6">
        <f t="shared" si="53"/>
        <v>0</v>
      </c>
      <c r="BH655" s="6">
        <f t="shared" si="54"/>
        <v>0</v>
      </c>
      <c r="BI655" s="9" t="str">
        <f t="shared" si="55"/>
        <v/>
      </c>
      <c r="BJ655" s="6">
        <f t="shared" si="56"/>
        <v>0</v>
      </c>
      <c r="BK655" s="6">
        <f t="shared" si="57"/>
        <v>0</v>
      </c>
      <c r="BL655" s="6">
        <f t="shared" si="58"/>
        <v>0</v>
      </c>
      <c r="BM655" s="6">
        <f t="shared" si="59"/>
        <v>0</v>
      </c>
      <c r="BN655" s="6">
        <f t="shared" si="60"/>
        <v>0</v>
      </c>
      <c r="BP655" s="6">
        <f t="shared" si="61"/>
        <v>0</v>
      </c>
      <c r="BQ655" s="6" t="b">
        <f ca="1">IFERROR(__xludf.DUMMYFUNCTION("IF(AND(ISERROR(FILTER('Items by Team'!D$2:D3410,'Items by Team'!C$2:C3410 = D655,'Items by Team'!B$2:B3410 = B655)),NOT(A655=""Practice"")),TRUE,FALSE)"),FALSE)</f>
        <v>0</v>
      </c>
      <c r="BR655" s="6">
        <f t="shared" ca="1" si="62"/>
        <v>0</v>
      </c>
    </row>
    <row r="656" spans="1:70">
      <c r="A656" s="6"/>
      <c r="B656" s="6"/>
      <c r="C656" s="6"/>
      <c r="D656" s="6"/>
      <c r="E656" s="6"/>
      <c r="F656" s="6"/>
      <c r="G656" s="6"/>
      <c r="H656" s="6"/>
      <c r="I656" s="6"/>
      <c r="J656" s="6"/>
      <c r="K656" s="6"/>
      <c r="L656" s="6"/>
      <c r="M656" s="6"/>
      <c r="N656" s="6"/>
      <c r="O656" s="6"/>
      <c r="P656" s="6"/>
      <c r="R656" s="6"/>
      <c r="S656" s="6"/>
      <c r="T656" s="6"/>
      <c r="U656" s="6"/>
      <c r="V656" s="6"/>
      <c r="W656" s="6"/>
      <c r="X656" s="6"/>
      <c r="Y656" s="6"/>
      <c r="Z656" s="6"/>
      <c r="AA656" s="6"/>
      <c r="AB656" s="6"/>
      <c r="AD656" s="6"/>
      <c r="AE656" s="6"/>
      <c r="AF656" s="6"/>
      <c r="AG656" s="6"/>
      <c r="AH656" s="6"/>
      <c r="AI656" s="6"/>
      <c r="AK656" s="6"/>
      <c r="AL656" s="6"/>
      <c r="AM656" s="6"/>
      <c r="AN656" s="6"/>
      <c r="AO656" s="6"/>
      <c r="AP656" s="6"/>
      <c r="AQ656" s="6"/>
      <c r="AR656" s="6"/>
      <c r="AS656" s="15"/>
      <c r="AT656" s="6" t="str">
        <f ca="1">IFERROR(__xludf.DUMMYFUNCTION("""COMPUTED_VALUE"""),"#N/A")</f>
        <v>#N/A</v>
      </c>
      <c r="AU656" s="6" t="str">
        <f ca="1">IFERROR(__xludf.DUMMYFUNCTION("""COMPUTED_VALUE"""),"FALSE")</f>
        <v>FALSE</v>
      </c>
      <c r="AV656" s="6">
        <f t="shared" si="42"/>
        <v>0</v>
      </c>
      <c r="AW656" s="6">
        <f t="shared" si="43"/>
        <v>0</v>
      </c>
      <c r="AX656" s="6">
        <f t="shared" si="44"/>
        <v>0</v>
      </c>
      <c r="AY656" s="6">
        <f t="shared" si="45"/>
        <v>0</v>
      </c>
      <c r="AZ656" s="9" t="str">
        <f t="shared" si="46"/>
        <v/>
      </c>
      <c r="BA656" s="6">
        <f t="shared" si="47"/>
        <v>0</v>
      </c>
      <c r="BB656" s="6">
        <f t="shared" si="48"/>
        <v>0</v>
      </c>
      <c r="BC656" s="9" t="str">
        <f t="shared" si="49"/>
        <v/>
      </c>
      <c r="BD656" s="6">
        <f t="shared" si="50"/>
        <v>0</v>
      </c>
      <c r="BE656" s="6">
        <f t="shared" si="51"/>
        <v>0</v>
      </c>
      <c r="BF656" s="9" t="str">
        <f t="shared" si="52"/>
        <v/>
      </c>
      <c r="BG656" s="6">
        <f t="shared" si="53"/>
        <v>0</v>
      </c>
      <c r="BH656" s="6">
        <f t="shared" si="54"/>
        <v>0</v>
      </c>
      <c r="BI656" s="9" t="str">
        <f t="shared" si="55"/>
        <v/>
      </c>
      <c r="BJ656" s="6">
        <f t="shared" si="56"/>
        <v>0</v>
      </c>
      <c r="BK656" s="6">
        <f t="shared" si="57"/>
        <v>0</v>
      </c>
      <c r="BL656" s="6">
        <f t="shared" si="58"/>
        <v>0</v>
      </c>
      <c r="BM656" s="6">
        <f t="shared" si="59"/>
        <v>0</v>
      </c>
      <c r="BN656" s="6">
        <f t="shared" si="60"/>
        <v>0</v>
      </c>
      <c r="BP656" s="6">
        <f t="shared" si="61"/>
        <v>0</v>
      </c>
      <c r="BQ656" s="6" t="b">
        <f ca="1">IFERROR(__xludf.DUMMYFUNCTION("IF(AND(ISERROR(FILTER('Items by Team'!D$2:D3410,'Items by Team'!C$2:C3410 = D656,'Items by Team'!B$2:B3410 = B656)),NOT(A656=""Practice"")),TRUE,FALSE)"),FALSE)</f>
        <v>0</v>
      </c>
      <c r="BR656" s="6">
        <f t="shared" ca="1" si="62"/>
        <v>0</v>
      </c>
    </row>
    <row r="657" spans="1:70">
      <c r="A657" s="6"/>
      <c r="B657" s="6"/>
      <c r="C657" s="6"/>
      <c r="D657" s="6"/>
      <c r="E657" s="6"/>
      <c r="F657" s="6"/>
      <c r="G657" s="6"/>
      <c r="H657" s="6"/>
      <c r="I657" s="6"/>
      <c r="J657" s="6"/>
      <c r="K657" s="6"/>
      <c r="L657" s="6"/>
      <c r="M657" s="6"/>
      <c r="N657" s="6"/>
      <c r="O657" s="6"/>
      <c r="P657" s="6"/>
      <c r="R657" s="6"/>
      <c r="S657" s="6"/>
      <c r="T657" s="6"/>
      <c r="U657" s="6"/>
      <c r="V657" s="6"/>
      <c r="W657" s="6"/>
      <c r="X657" s="6"/>
      <c r="Y657" s="6"/>
      <c r="Z657" s="6"/>
      <c r="AA657" s="6"/>
      <c r="AB657" s="6"/>
      <c r="AD657" s="6"/>
      <c r="AE657" s="6"/>
      <c r="AF657" s="6"/>
      <c r="AG657" s="6"/>
      <c r="AH657" s="6"/>
      <c r="AI657" s="6"/>
      <c r="AK657" s="6"/>
      <c r="AL657" s="6"/>
      <c r="AM657" s="6"/>
      <c r="AN657" s="6"/>
      <c r="AO657" s="6"/>
      <c r="AP657" s="6"/>
      <c r="AQ657" s="6"/>
      <c r="AR657" s="6"/>
      <c r="AS657" s="15"/>
      <c r="AT657" s="6" t="str">
        <f ca="1">IFERROR(__xludf.DUMMYFUNCTION("""COMPUTED_VALUE"""),"#N/A")</f>
        <v>#N/A</v>
      </c>
      <c r="AU657" s="6" t="str">
        <f ca="1">IFERROR(__xludf.DUMMYFUNCTION("""COMPUTED_VALUE"""),"FALSE")</f>
        <v>FALSE</v>
      </c>
      <c r="AV657" s="6">
        <f t="shared" si="42"/>
        <v>0</v>
      </c>
      <c r="AW657" s="6">
        <f t="shared" si="43"/>
        <v>0</v>
      </c>
      <c r="AX657" s="6">
        <f t="shared" si="44"/>
        <v>0</v>
      </c>
      <c r="AY657" s="6">
        <f t="shared" si="45"/>
        <v>0</v>
      </c>
      <c r="AZ657" s="9" t="str">
        <f t="shared" si="46"/>
        <v/>
      </c>
      <c r="BA657" s="6">
        <f t="shared" si="47"/>
        <v>0</v>
      </c>
      <c r="BB657" s="6">
        <f t="shared" si="48"/>
        <v>0</v>
      </c>
      <c r="BC657" s="9" t="str">
        <f t="shared" si="49"/>
        <v/>
      </c>
      <c r="BD657" s="6">
        <f t="shared" si="50"/>
        <v>0</v>
      </c>
      <c r="BE657" s="6">
        <f t="shared" si="51"/>
        <v>0</v>
      </c>
      <c r="BF657" s="9" t="str">
        <f t="shared" si="52"/>
        <v/>
      </c>
      <c r="BG657" s="6">
        <f t="shared" si="53"/>
        <v>0</v>
      </c>
      <c r="BH657" s="6">
        <f t="shared" si="54"/>
        <v>0</v>
      </c>
      <c r="BI657" s="9" t="str">
        <f t="shared" si="55"/>
        <v/>
      </c>
      <c r="BJ657" s="6">
        <f t="shared" si="56"/>
        <v>0</v>
      </c>
      <c r="BK657" s="6">
        <f t="shared" si="57"/>
        <v>0</v>
      </c>
      <c r="BL657" s="6">
        <f t="shared" si="58"/>
        <v>0</v>
      </c>
      <c r="BM657" s="6">
        <f t="shared" si="59"/>
        <v>0</v>
      </c>
      <c r="BN657" s="6">
        <f t="shared" si="60"/>
        <v>0</v>
      </c>
      <c r="BP657" s="6">
        <f t="shared" si="61"/>
        <v>0</v>
      </c>
      <c r="BQ657" s="6" t="b">
        <f ca="1">IFERROR(__xludf.DUMMYFUNCTION("IF(AND(ISERROR(FILTER('Items by Team'!D$2:D3410,'Items by Team'!C$2:C3410 = D657,'Items by Team'!B$2:B3410 = B657)),NOT(A657=""Practice"")),TRUE,FALSE)"),FALSE)</f>
        <v>0</v>
      </c>
      <c r="BR657" s="6">
        <f t="shared" ca="1" si="62"/>
        <v>0</v>
      </c>
    </row>
    <row r="658" spans="1:70">
      <c r="A658" s="6"/>
      <c r="B658" s="6"/>
      <c r="C658" s="6"/>
      <c r="D658" s="6"/>
      <c r="E658" s="6"/>
      <c r="F658" s="6"/>
      <c r="G658" s="6"/>
      <c r="H658" s="6"/>
      <c r="I658" s="6"/>
      <c r="J658" s="6"/>
      <c r="K658" s="6"/>
      <c r="L658" s="6"/>
      <c r="M658" s="6"/>
      <c r="N658" s="6"/>
      <c r="O658" s="6"/>
      <c r="P658" s="6"/>
      <c r="R658" s="6"/>
      <c r="S658" s="6"/>
      <c r="T658" s="6"/>
      <c r="U658" s="6"/>
      <c r="V658" s="6"/>
      <c r="W658" s="6"/>
      <c r="X658" s="6"/>
      <c r="Y658" s="6"/>
      <c r="Z658" s="6"/>
      <c r="AA658" s="6"/>
      <c r="AB658" s="6"/>
      <c r="AD658" s="6"/>
      <c r="AE658" s="6"/>
      <c r="AF658" s="6"/>
      <c r="AG658" s="6"/>
      <c r="AH658" s="6"/>
      <c r="AI658" s="6"/>
      <c r="AK658" s="6"/>
      <c r="AL658" s="6"/>
      <c r="AM658" s="6"/>
      <c r="AN658" s="6"/>
      <c r="AO658" s="6"/>
      <c r="AP658" s="6"/>
      <c r="AQ658" s="6"/>
      <c r="AR658" s="6"/>
      <c r="AS658" s="15"/>
      <c r="AT658" s="6" t="str">
        <f ca="1">IFERROR(__xludf.DUMMYFUNCTION("""COMPUTED_VALUE"""),"#N/A")</f>
        <v>#N/A</v>
      </c>
      <c r="AU658" s="6" t="str">
        <f ca="1">IFERROR(__xludf.DUMMYFUNCTION("""COMPUTED_VALUE"""),"FALSE")</f>
        <v>FALSE</v>
      </c>
      <c r="AV658" s="6">
        <f t="shared" si="42"/>
        <v>0</v>
      </c>
      <c r="AW658" s="6">
        <f t="shared" si="43"/>
        <v>0</v>
      </c>
      <c r="AX658" s="6">
        <f t="shared" si="44"/>
        <v>0</v>
      </c>
      <c r="AY658" s="6">
        <f t="shared" si="45"/>
        <v>0</v>
      </c>
      <c r="AZ658" s="9" t="str">
        <f t="shared" si="46"/>
        <v/>
      </c>
      <c r="BA658" s="6">
        <f t="shared" si="47"/>
        <v>0</v>
      </c>
      <c r="BB658" s="6">
        <f t="shared" si="48"/>
        <v>0</v>
      </c>
      <c r="BC658" s="9" t="str">
        <f t="shared" si="49"/>
        <v/>
      </c>
      <c r="BD658" s="6">
        <f t="shared" si="50"/>
        <v>0</v>
      </c>
      <c r="BE658" s="6">
        <f t="shared" si="51"/>
        <v>0</v>
      </c>
      <c r="BF658" s="9" t="str">
        <f t="shared" si="52"/>
        <v/>
      </c>
      <c r="BG658" s="6">
        <f t="shared" si="53"/>
        <v>0</v>
      </c>
      <c r="BH658" s="6">
        <f t="shared" si="54"/>
        <v>0</v>
      </c>
      <c r="BI658" s="9" t="str">
        <f t="shared" si="55"/>
        <v/>
      </c>
      <c r="BJ658" s="6">
        <f t="shared" si="56"/>
        <v>0</v>
      </c>
      <c r="BK658" s="6">
        <f t="shared" si="57"/>
        <v>0</v>
      </c>
      <c r="BL658" s="6">
        <f t="shared" si="58"/>
        <v>0</v>
      </c>
      <c r="BM658" s="6">
        <f t="shared" si="59"/>
        <v>0</v>
      </c>
      <c r="BN658" s="6">
        <f t="shared" si="60"/>
        <v>0</v>
      </c>
      <c r="BP658" s="6">
        <f t="shared" si="61"/>
        <v>0</v>
      </c>
      <c r="BQ658" s="6" t="b">
        <f ca="1">IFERROR(__xludf.DUMMYFUNCTION("IF(AND(ISERROR(FILTER('Items by Team'!D$2:D3410,'Items by Team'!C$2:C3410 = D658,'Items by Team'!B$2:B3410 = B658)),NOT(A658=""Practice"")),TRUE,FALSE)"),FALSE)</f>
        <v>0</v>
      </c>
      <c r="BR658" s="6">
        <f t="shared" ca="1" si="62"/>
        <v>0</v>
      </c>
    </row>
    <row r="659" spans="1:70">
      <c r="A659" s="6"/>
      <c r="B659" s="6"/>
      <c r="C659" s="6"/>
      <c r="D659" s="6"/>
      <c r="E659" s="6"/>
      <c r="F659" s="6"/>
      <c r="G659" s="6"/>
      <c r="H659" s="6"/>
      <c r="I659" s="6"/>
      <c r="J659" s="6"/>
      <c r="K659" s="6"/>
      <c r="L659" s="6"/>
      <c r="M659" s="6"/>
      <c r="N659" s="6"/>
      <c r="O659" s="6"/>
      <c r="P659" s="6"/>
      <c r="R659" s="6"/>
      <c r="S659" s="6"/>
      <c r="T659" s="6"/>
      <c r="U659" s="6"/>
      <c r="V659" s="6"/>
      <c r="W659" s="6"/>
      <c r="X659" s="6"/>
      <c r="Y659" s="6"/>
      <c r="Z659" s="6"/>
      <c r="AA659" s="6"/>
      <c r="AB659" s="6"/>
      <c r="AD659" s="6"/>
      <c r="AE659" s="6"/>
      <c r="AF659" s="6"/>
      <c r="AG659" s="6"/>
      <c r="AH659" s="6"/>
      <c r="AI659" s="6"/>
      <c r="AK659" s="6"/>
      <c r="AL659" s="6"/>
      <c r="AM659" s="6"/>
      <c r="AN659" s="6"/>
      <c r="AO659" s="6"/>
      <c r="AP659" s="6"/>
      <c r="AQ659" s="6"/>
      <c r="AR659" s="6"/>
      <c r="AS659" s="15"/>
      <c r="AT659" s="6" t="str">
        <f ca="1">IFERROR(__xludf.DUMMYFUNCTION("""COMPUTED_VALUE"""),"#N/A")</f>
        <v>#N/A</v>
      </c>
      <c r="AU659" s="6" t="str">
        <f ca="1">IFERROR(__xludf.DUMMYFUNCTION("""COMPUTED_VALUE"""),"FALSE")</f>
        <v>FALSE</v>
      </c>
      <c r="AV659" s="6">
        <f t="shared" si="42"/>
        <v>0</v>
      </c>
      <c r="AW659" s="6">
        <f t="shared" si="43"/>
        <v>0</v>
      </c>
      <c r="AX659" s="6">
        <f t="shared" si="44"/>
        <v>0</v>
      </c>
      <c r="AY659" s="6">
        <f t="shared" si="45"/>
        <v>0</v>
      </c>
      <c r="AZ659" s="9" t="str">
        <f t="shared" si="46"/>
        <v/>
      </c>
      <c r="BA659" s="6">
        <f t="shared" si="47"/>
        <v>0</v>
      </c>
      <c r="BB659" s="6">
        <f t="shared" si="48"/>
        <v>0</v>
      </c>
      <c r="BC659" s="9" t="str">
        <f t="shared" si="49"/>
        <v/>
      </c>
      <c r="BD659" s="6">
        <f t="shared" si="50"/>
        <v>0</v>
      </c>
      <c r="BE659" s="6">
        <f t="shared" si="51"/>
        <v>0</v>
      </c>
      <c r="BF659" s="9" t="str">
        <f t="shared" si="52"/>
        <v/>
      </c>
      <c r="BG659" s="6">
        <f t="shared" si="53"/>
        <v>0</v>
      </c>
      <c r="BH659" s="6">
        <f t="shared" si="54"/>
        <v>0</v>
      </c>
      <c r="BI659" s="9" t="str">
        <f t="shared" si="55"/>
        <v/>
      </c>
      <c r="BJ659" s="6">
        <f t="shared" si="56"/>
        <v>0</v>
      </c>
      <c r="BK659" s="6">
        <f t="shared" si="57"/>
        <v>0</v>
      </c>
      <c r="BL659" s="6">
        <f t="shared" si="58"/>
        <v>0</v>
      </c>
      <c r="BM659" s="6">
        <f t="shared" si="59"/>
        <v>0</v>
      </c>
      <c r="BN659" s="6">
        <f t="shared" si="60"/>
        <v>0</v>
      </c>
      <c r="BP659" s="6">
        <f t="shared" si="61"/>
        <v>0</v>
      </c>
      <c r="BQ659" s="6" t="b">
        <f ca="1">IFERROR(__xludf.DUMMYFUNCTION("IF(AND(ISERROR(FILTER('Items by Team'!D$2:D3410,'Items by Team'!C$2:C3410 = D659,'Items by Team'!B$2:B3410 = B659)),NOT(A659=""Practice"")),TRUE,FALSE)"),FALSE)</f>
        <v>0</v>
      </c>
      <c r="BR659" s="6">
        <f t="shared" ca="1" si="62"/>
        <v>0</v>
      </c>
    </row>
    <row r="660" spans="1:70">
      <c r="A660" s="6"/>
      <c r="B660" s="6"/>
      <c r="C660" s="6"/>
      <c r="D660" s="6"/>
      <c r="E660" s="6"/>
      <c r="F660" s="6"/>
      <c r="G660" s="6"/>
      <c r="H660" s="6"/>
      <c r="I660" s="6"/>
      <c r="J660" s="6"/>
      <c r="K660" s="6"/>
      <c r="L660" s="6"/>
      <c r="M660" s="6"/>
      <c r="N660" s="6"/>
      <c r="O660" s="6"/>
      <c r="P660" s="6"/>
      <c r="R660" s="6"/>
      <c r="S660" s="6"/>
      <c r="T660" s="6"/>
      <c r="U660" s="6"/>
      <c r="V660" s="6"/>
      <c r="W660" s="6"/>
      <c r="X660" s="6"/>
      <c r="Y660" s="6"/>
      <c r="Z660" s="6"/>
      <c r="AA660" s="6"/>
      <c r="AB660" s="6"/>
      <c r="AD660" s="6"/>
      <c r="AE660" s="6"/>
      <c r="AF660" s="6"/>
      <c r="AG660" s="6"/>
      <c r="AH660" s="6"/>
      <c r="AI660" s="6"/>
      <c r="AK660" s="6"/>
      <c r="AL660" s="6"/>
      <c r="AM660" s="6"/>
      <c r="AN660" s="6"/>
      <c r="AO660" s="6"/>
      <c r="AP660" s="6"/>
      <c r="AQ660" s="6"/>
      <c r="AR660" s="6"/>
      <c r="AS660" s="15"/>
      <c r="AT660" s="6" t="str">
        <f ca="1">IFERROR(__xludf.DUMMYFUNCTION("""COMPUTED_VALUE"""),"#N/A")</f>
        <v>#N/A</v>
      </c>
      <c r="AU660" s="6" t="str">
        <f ca="1">IFERROR(__xludf.DUMMYFUNCTION("""COMPUTED_VALUE"""),"FALSE")</f>
        <v>FALSE</v>
      </c>
      <c r="AV660" s="6">
        <f t="shared" si="42"/>
        <v>0</v>
      </c>
      <c r="AW660" s="6">
        <f t="shared" si="43"/>
        <v>0</v>
      </c>
      <c r="AX660" s="6">
        <f t="shared" si="44"/>
        <v>0</v>
      </c>
      <c r="AY660" s="6">
        <f t="shared" si="45"/>
        <v>0</v>
      </c>
      <c r="AZ660" s="9" t="str">
        <f t="shared" si="46"/>
        <v/>
      </c>
      <c r="BA660" s="6">
        <f t="shared" si="47"/>
        <v>0</v>
      </c>
      <c r="BB660" s="6">
        <f t="shared" si="48"/>
        <v>0</v>
      </c>
      <c r="BC660" s="9" t="str">
        <f t="shared" si="49"/>
        <v/>
      </c>
      <c r="BD660" s="6">
        <f t="shared" si="50"/>
        <v>0</v>
      </c>
      <c r="BE660" s="6">
        <f t="shared" si="51"/>
        <v>0</v>
      </c>
      <c r="BF660" s="9" t="str">
        <f t="shared" si="52"/>
        <v/>
      </c>
      <c r="BG660" s="6">
        <f t="shared" si="53"/>
        <v>0</v>
      </c>
      <c r="BH660" s="6">
        <f t="shared" si="54"/>
        <v>0</v>
      </c>
      <c r="BI660" s="9" t="str">
        <f t="shared" si="55"/>
        <v/>
      </c>
      <c r="BJ660" s="6">
        <f t="shared" si="56"/>
        <v>0</v>
      </c>
      <c r="BK660" s="6">
        <f t="shared" si="57"/>
        <v>0</v>
      </c>
      <c r="BL660" s="6">
        <f t="shared" si="58"/>
        <v>0</v>
      </c>
      <c r="BM660" s="6">
        <f t="shared" si="59"/>
        <v>0</v>
      </c>
      <c r="BN660" s="6">
        <f t="shared" si="60"/>
        <v>0</v>
      </c>
      <c r="BP660" s="6">
        <f t="shared" si="61"/>
        <v>0</v>
      </c>
      <c r="BQ660" s="6" t="b">
        <f ca="1">IFERROR(__xludf.DUMMYFUNCTION("IF(AND(ISERROR(FILTER('Items by Team'!D$2:D3410,'Items by Team'!C$2:C3410 = D660,'Items by Team'!B$2:B3410 = B660)),NOT(A660=""Practice"")),TRUE,FALSE)"),FALSE)</f>
        <v>0</v>
      </c>
      <c r="BR660" s="6">
        <f t="shared" ca="1" si="62"/>
        <v>0</v>
      </c>
    </row>
    <row r="661" spans="1:70">
      <c r="A661" s="6"/>
      <c r="B661" s="6"/>
      <c r="C661" s="6"/>
      <c r="D661" s="6"/>
      <c r="E661" s="6"/>
      <c r="F661" s="6"/>
      <c r="G661" s="6"/>
      <c r="H661" s="6"/>
      <c r="I661" s="6"/>
      <c r="J661" s="6"/>
      <c r="K661" s="6"/>
      <c r="L661" s="6"/>
      <c r="M661" s="6"/>
      <c r="N661" s="6"/>
      <c r="O661" s="6"/>
      <c r="P661" s="6"/>
      <c r="R661" s="6"/>
      <c r="S661" s="6"/>
      <c r="T661" s="6"/>
      <c r="U661" s="6"/>
      <c r="V661" s="6"/>
      <c r="W661" s="6"/>
      <c r="X661" s="6"/>
      <c r="Y661" s="6"/>
      <c r="Z661" s="6"/>
      <c r="AA661" s="6"/>
      <c r="AB661" s="6"/>
      <c r="AD661" s="6"/>
      <c r="AE661" s="6"/>
      <c r="AF661" s="6"/>
      <c r="AG661" s="6"/>
      <c r="AH661" s="6"/>
      <c r="AI661" s="6"/>
      <c r="AK661" s="6"/>
      <c r="AL661" s="6"/>
      <c r="AM661" s="6"/>
      <c r="AN661" s="6"/>
      <c r="AO661" s="6"/>
      <c r="AP661" s="6"/>
      <c r="AQ661" s="6"/>
      <c r="AR661" s="6"/>
      <c r="AS661" s="15"/>
      <c r="AT661" s="6" t="str">
        <f ca="1">IFERROR(__xludf.DUMMYFUNCTION("""COMPUTED_VALUE"""),"#N/A")</f>
        <v>#N/A</v>
      </c>
      <c r="AU661" s="6" t="str">
        <f ca="1">IFERROR(__xludf.DUMMYFUNCTION("""COMPUTED_VALUE"""),"FALSE")</f>
        <v>FALSE</v>
      </c>
      <c r="AV661" s="6">
        <f t="shared" si="42"/>
        <v>0</v>
      </c>
      <c r="AW661" s="6">
        <f t="shared" si="43"/>
        <v>0</v>
      </c>
      <c r="AX661" s="6">
        <f t="shared" si="44"/>
        <v>0</v>
      </c>
      <c r="AY661" s="6">
        <f t="shared" si="45"/>
        <v>0</v>
      </c>
      <c r="AZ661" s="9" t="str">
        <f t="shared" si="46"/>
        <v/>
      </c>
      <c r="BA661" s="6">
        <f t="shared" si="47"/>
        <v>0</v>
      </c>
      <c r="BB661" s="6">
        <f t="shared" si="48"/>
        <v>0</v>
      </c>
      <c r="BC661" s="9" t="str">
        <f t="shared" si="49"/>
        <v/>
      </c>
      <c r="BD661" s="6">
        <f t="shared" si="50"/>
        <v>0</v>
      </c>
      <c r="BE661" s="6">
        <f t="shared" si="51"/>
        <v>0</v>
      </c>
      <c r="BF661" s="9" t="str">
        <f t="shared" si="52"/>
        <v/>
      </c>
      <c r="BG661" s="6">
        <f t="shared" si="53"/>
        <v>0</v>
      </c>
      <c r="BH661" s="6">
        <f t="shared" si="54"/>
        <v>0</v>
      </c>
      <c r="BI661" s="9" t="str">
        <f t="shared" si="55"/>
        <v/>
      </c>
      <c r="BJ661" s="6">
        <f t="shared" si="56"/>
        <v>0</v>
      </c>
      <c r="BK661" s="6">
        <f t="shared" si="57"/>
        <v>0</v>
      </c>
      <c r="BL661" s="6">
        <f t="shared" si="58"/>
        <v>0</v>
      </c>
      <c r="BM661" s="6">
        <f t="shared" si="59"/>
        <v>0</v>
      </c>
      <c r="BN661" s="6">
        <f t="shared" si="60"/>
        <v>0</v>
      </c>
      <c r="BP661" s="6">
        <f t="shared" si="61"/>
        <v>0</v>
      </c>
      <c r="BQ661" s="6" t="b">
        <f ca="1">IFERROR(__xludf.DUMMYFUNCTION("IF(AND(ISERROR(FILTER('Items by Team'!D$2:D3410,'Items by Team'!C$2:C3410 = D661,'Items by Team'!B$2:B3410 = B661)),NOT(A661=""Practice"")),TRUE,FALSE)"),FALSE)</f>
        <v>0</v>
      </c>
      <c r="BR661" s="6">
        <f t="shared" ca="1" si="62"/>
        <v>0</v>
      </c>
    </row>
    <row r="662" spans="1:70">
      <c r="A662" s="6"/>
      <c r="B662" s="6"/>
      <c r="C662" s="6"/>
      <c r="D662" s="6"/>
      <c r="E662" s="6"/>
      <c r="F662" s="6"/>
      <c r="G662" s="6"/>
      <c r="H662" s="6"/>
      <c r="I662" s="6"/>
      <c r="J662" s="6"/>
      <c r="K662" s="6"/>
      <c r="L662" s="6"/>
      <c r="M662" s="6"/>
      <c r="N662" s="6"/>
      <c r="O662" s="6"/>
      <c r="P662" s="6"/>
      <c r="R662" s="6"/>
      <c r="S662" s="6"/>
      <c r="T662" s="6"/>
      <c r="U662" s="6"/>
      <c r="V662" s="6"/>
      <c r="W662" s="6"/>
      <c r="X662" s="6"/>
      <c r="Y662" s="6"/>
      <c r="Z662" s="6"/>
      <c r="AA662" s="6"/>
      <c r="AB662" s="6"/>
      <c r="AD662" s="6"/>
      <c r="AE662" s="6"/>
      <c r="AF662" s="6"/>
      <c r="AG662" s="6"/>
      <c r="AH662" s="6"/>
      <c r="AI662" s="6"/>
      <c r="AK662" s="6"/>
      <c r="AL662" s="6"/>
      <c r="AM662" s="6"/>
      <c r="AN662" s="6"/>
      <c r="AO662" s="6"/>
      <c r="AP662" s="6"/>
      <c r="AQ662" s="6"/>
      <c r="AR662" s="6"/>
      <c r="AS662" s="15"/>
      <c r="AT662" s="6" t="str">
        <f ca="1">IFERROR(__xludf.DUMMYFUNCTION("""COMPUTED_VALUE"""),"#N/A")</f>
        <v>#N/A</v>
      </c>
      <c r="AU662" s="6" t="str">
        <f ca="1">IFERROR(__xludf.DUMMYFUNCTION("""COMPUTED_VALUE"""),"FALSE")</f>
        <v>FALSE</v>
      </c>
      <c r="AV662" s="6">
        <f t="shared" si="42"/>
        <v>0</v>
      </c>
      <c r="AW662" s="6">
        <f t="shared" si="43"/>
        <v>0</v>
      </c>
      <c r="AX662" s="6">
        <f t="shared" si="44"/>
        <v>0</v>
      </c>
      <c r="AY662" s="6">
        <f t="shared" si="45"/>
        <v>0</v>
      </c>
      <c r="AZ662" s="9" t="str">
        <f t="shared" si="46"/>
        <v/>
      </c>
      <c r="BA662" s="6">
        <f t="shared" si="47"/>
        <v>0</v>
      </c>
      <c r="BB662" s="6">
        <f t="shared" si="48"/>
        <v>0</v>
      </c>
      <c r="BC662" s="9" t="str">
        <f t="shared" si="49"/>
        <v/>
      </c>
      <c r="BD662" s="6">
        <f t="shared" si="50"/>
        <v>0</v>
      </c>
      <c r="BE662" s="6">
        <f t="shared" si="51"/>
        <v>0</v>
      </c>
      <c r="BF662" s="9" t="str">
        <f t="shared" si="52"/>
        <v/>
      </c>
      <c r="BG662" s="6">
        <f t="shared" si="53"/>
        <v>0</v>
      </c>
      <c r="BH662" s="6">
        <f t="shared" si="54"/>
        <v>0</v>
      </c>
      <c r="BI662" s="9" t="str">
        <f t="shared" si="55"/>
        <v/>
      </c>
      <c r="BJ662" s="6">
        <f t="shared" si="56"/>
        <v>0</v>
      </c>
      <c r="BK662" s="6">
        <f t="shared" si="57"/>
        <v>0</v>
      </c>
      <c r="BL662" s="6">
        <f t="shared" si="58"/>
        <v>0</v>
      </c>
      <c r="BM662" s="6">
        <f t="shared" si="59"/>
        <v>0</v>
      </c>
      <c r="BN662" s="6">
        <f t="shared" si="60"/>
        <v>0</v>
      </c>
      <c r="BP662" s="6">
        <f t="shared" si="61"/>
        <v>0</v>
      </c>
      <c r="BQ662" s="6" t="b">
        <f ca="1">IFERROR(__xludf.DUMMYFUNCTION("IF(AND(ISERROR(FILTER('Items by Team'!D$2:D3410,'Items by Team'!C$2:C3410 = D662,'Items by Team'!B$2:B3410 = B662)),NOT(A662=""Practice"")),TRUE,FALSE)"),FALSE)</f>
        <v>0</v>
      </c>
      <c r="BR662" s="6">
        <f t="shared" ca="1" si="62"/>
        <v>0</v>
      </c>
    </row>
    <row r="663" spans="1:70">
      <c r="A663" s="6"/>
      <c r="B663" s="6"/>
      <c r="C663" s="6"/>
      <c r="D663" s="6"/>
      <c r="E663" s="6"/>
      <c r="F663" s="6"/>
      <c r="G663" s="6"/>
      <c r="H663" s="6"/>
      <c r="I663" s="6"/>
      <c r="J663" s="6"/>
      <c r="K663" s="6"/>
      <c r="L663" s="6"/>
      <c r="M663" s="6"/>
      <c r="N663" s="6"/>
      <c r="O663" s="6"/>
      <c r="P663" s="6"/>
      <c r="R663" s="6"/>
      <c r="S663" s="6"/>
      <c r="T663" s="6"/>
      <c r="U663" s="6"/>
      <c r="V663" s="6"/>
      <c r="W663" s="6"/>
      <c r="X663" s="6"/>
      <c r="Y663" s="6"/>
      <c r="Z663" s="6"/>
      <c r="AA663" s="6"/>
      <c r="AB663" s="6"/>
      <c r="AD663" s="6"/>
      <c r="AE663" s="6"/>
      <c r="AF663" s="6"/>
      <c r="AG663" s="6"/>
      <c r="AH663" s="6"/>
      <c r="AI663" s="6"/>
      <c r="AK663" s="6"/>
      <c r="AL663" s="6"/>
      <c r="AM663" s="6"/>
      <c r="AN663" s="6"/>
      <c r="AO663" s="6"/>
      <c r="AP663" s="6"/>
      <c r="AQ663" s="6"/>
      <c r="AR663" s="6"/>
      <c r="AS663" s="15"/>
      <c r="AT663" s="6" t="str">
        <f ca="1">IFERROR(__xludf.DUMMYFUNCTION("""COMPUTED_VALUE"""),"#N/A")</f>
        <v>#N/A</v>
      </c>
      <c r="AU663" s="6" t="str">
        <f ca="1">IFERROR(__xludf.DUMMYFUNCTION("""COMPUTED_VALUE"""),"FALSE")</f>
        <v>FALSE</v>
      </c>
      <c r="AV663" s="6">
        <f t="shared" si="42"/>
        <v>0</v>
      </c>
      <c r="AW663" s="6">
        <f t="shared" si="43"/>
        <v>0</v>
      </c>
      <c r="AX663" s="6">
        <f t="shared" si="44"/>
        <v>0</v>
      </c>
      <c r="AY663" s="6">
        <f t="shared" si="45"/>
        <v>0</v>
      </c>
      <c r="AZ663" s="9" t="str">
        <f t="shared" si="46"/>
        <v/>
      </c>
      <c r="BA663" s="6">
        <f t="shared" si="47"/>
        <v>0</v>
      </c>
      <c r="BB663" s="6">
        <f t="shared" si="48"/>
        <v>0</v>
      </c>
      <c r="BC663" s="9" t="str">
        <f t="shared" si="49"/>
        <v/>
      </c>
      <c r="BD663" s="6">
        <f t="shared" si="50"/>
        <v>0</v>
      </c>
      <c r="BE663" s="6">
        <f t="shared" si="51"/>
        <v>0</v>
      </c>
      <c r="BF663" s="9" t="str">
        <f t="shared" si="52"/>
        <v/>
      </c>
      <c r="BG663" s="6">
        <f t="shared" si="53"/>
        <v>0</v>
      </c>
      <c r="BH663" s="6">
        <f t="shared" si="54"/>
        <v>0</v>
      </c>
      <c r="BI663" s="9" t="str">
        <f t="shared" si="55"/>
        <v/>
      </c>
      <c r="BJ663" s="6">
        <f t="shared" si="56"/>
        <v>0</v>
      </c>
      <c r="BK663" s="6">
        <f t="shared" si="57"/>
        <v>0</v>
      </c>
      <c r="BL663" s="6">
        <f t="shared" si="58"/>
        <v>0</v>
      </c>
      <c r="BM663" s="6">
        <f t="shared" si="59"/>
        <v>0</v>
      </c>
      <c r="BN663" s="6">
        <f t="shared" si="60"/>
        <v>0</v>
      </c>
      <c r="BP663" s="6">
        <f t="shared" si="61"/>
        <v>0</v>
      </c>
      <c r="BQ663" s="6" t="b">
        <f ca="1">IFERROR(__xludf.DUMMYFUNCTION("IF(AND(ISERROR(FILTER('Items by Team'!D$2:D3410,'Items by Team'!C$2:C3410 = D663,'Items by Team'!B$2:B3410 = B663)),NOT(A663=""Practice"")),TRUE,FALSE)"),FALSE)</f>
        <v>0</v>
      </c>
      <c r="BR663" s="6">
        <f t="shared" ca="1" si="62"/>
        <v>0</v>
      </c>
    </row>
    <row r="664" spans="1:70">
      <c r="A664" s="6"/>
      <c r="B664" s="6"/>
      <c r="C664" s="6"/>
      <c r="D664" s="6"/>
      <c r="E664" s="6"/>
      <c r="F664" s="6"/>
      <c r="G664" s="6"/>
      <c r="H664" s="6"/>
      <c r="I664" s="6"/>
      <c r="J664" s="6"/>
      <c r="K664" s="6"/>
      <c r="L664" s="6"/>
      <c r="M664" s="6"/>
      <c r="N664" s="6"/>
      <c r="O664" s="6"/>
      <c r="P664" s="6"/>
      <c r="R664" s="6"/>
      <c r="S664" s="6"/>
      <c r="T664" s="6"/>
      <c r="U664" s="6"/>
      <c r="V664" s="6"/>
      <c r="W664" s="6"/>
      <c r="X664" s="6"/>
      <c r="Y664" s="6"/>
      <c r="Z664" s="6"/>
      <c r="AA664" s="6"/>
      <c r="AB664" s="6"/>
      <c r="AD664" s="6"/>
      <c r="AE664" s="6"/>
      <c r="AF664" s="6"/>
      <c r="AG664" s="6"/>
      <c r="AH664" s="6"/>
      <c r="AI664" s="6"/>
      <c r="AK664" s="6"/>
      <c r="AL664" s="6"/>
      <c r="AM664" s="6"/>
      <c r="AN664" s="6"/>
      <c r="AO664" s="6"/>
      <c r="AP664" s="6"/>
      <c r="AQ664" s="6"/>
      <c r="AR664" s="6"/>
      <c r="AS664" s="15"/>
      <c r="AT664" s="6" t="str">
        <f ca="1">IFERROR(__xludf.DUMMYFUNCTION("""COMPUTED_VALUE"""),"#N/A")</f>
        <v>#N/A</v>
      </c>
      <c r="AU664" s="6" t="str">
        <f ca="1">IFERROR(__xludf.DUMMYFUNCTION("""COMPUTED_VALUE"""),"FALSE")</f>
        <v>FALSE</v>
      </c>
      <c r="AV664" s="6">
        <f t="shared" si="42"/>
        <v>0</v>
      </c>
      <c r="AW664" s="6">
        <f t="shared" si="43"/>
        <v>0</v>
      </c>
      <c r="AX664" s="6">
        <f t="shared" si="44"/>
        <v>0</v>
      </c>
      <c r="AY664" s="6">
        <f t="shared" si="45"/>
        <v>0</v>
      </c>
      <c r="AZ664" s="9" t="str">
        <f t="shared" si="46"/>
        <v/>
      </c>
      <c r="BA664" s="6">
        <f t="shared" si="47"/>
        <v>0</v>
      </c>
      <c r="BB664" s="6">
        <f t="shared" si="48"/>
        <v>0</v>
      </c>
      <c r="BC664" s="9" t="str">
        <f t="shared" si="49"/>
        <v/>
      </c>
      <c r="BD664" s="6">
        <f t="shared" si="50"/>
        <v>0</v>
      </c>
      <c r="BE664" s="6">
        <f t="shared" si="51"/>
        <v>0</v>
      </c>
      <c r="BF664" s="9" t="str">
        <f t="shared" si="52"/>
        <v/>
      </c>
      <c r="BG664" s="6">
        <f t="shared" si="53"/>
        <v>0</v>
      </c>
      <c r="BH664" s="6">
        <f t="shared" si="54"/>
        <v>0</v>
      </c>
      <c r="BI664" s="9" t="str">
        <f t="shared" si="55"/>
        <v/>
      </c>
      <c r="BJ664" s="6">
        <f t="shared" si="56"/>
        <v>0</v>
      </c>
      <c r="BK664" s="6">
        <f t="shared" si="57"/>
        <v>0</v>
      </c>
      <c r="BL664" s="6">
        <f t="shared" si="58"/>
        <v>0</v>
      </c>
      <c r="BM664" s="6">
        <f t="shared" si="59"/>
        <v>0</v>
      </c>
      <c r="BN664" s="6">
        <f t="shared" si="60"/>
        <v>0</v>
      </c>
      <c r="BP664" s="6">
        <f t="shared" si="61"/>
        <v>0</v>
      </c>
      <c r="BQ664" s="6" t="b">
        <f ca="1">IFERROR(__xludf.DUMMYFUNCTION("IF(AND(ISERROR(FILTER('Items by Team'!D$2:D3410,'Items by Team'!C$2:C3410 = D664,'Items by Team'!B$2:B3410 = B664)),NOT(A664=""Practice"")),TRUE,FALSE)"),FALSE)</f>
        <v>0</v>
      </c>
      <c r="BR664" s="6">
        <f t="shared" ca="1" si="62"/>
        <v>0</v>
      </c>
    </row>
    <row r="665" spans="1:70">
      <c r="A665" s="6"/>
      <c r="B665" s="6"/>
      <c r="C665" s="6"/>
      <c r="D665" s="6"/>
      <c r="E665" s="6"/>
      <c r="F665" s="6"/>
      <c r="G665" s="6"/>
      <c r="H665" s="6"/>
      <c r="I665" s="6"/>
      <c r="J665" s="6"/>
      <c r="K665" s="6"/>
      <c r="L665" s="6"/>
      <c r="M665" s="6"/>
      <c r="N665" s="6"/>
      <c r="O665" s="6"/>
      <c r="P665" s="6"/>
      <c r="R665" s="6"/>
      <c r="S665" s="6"/>
      <c r="T665" s="6"/>
      <c r="U665" s="6"/>
      <c r="V665" s="6"/>
      <c r="W665" s="6"/>
      <c r="X665" s="6"/>
      <c r="Y665" s="6"/>
      <c r="Z665" s="6"/>
      <c r="AA665" s="6"/>
      <c r="AB665" s="6"/>
      <c r="AD665" s="6"/>
      <c r="AE665" s="6"/>
      <c r="AF665" s="6"/>
      <c r="AG665" s="6"/>
      <c r="AH665" s="6"/>
      <c r="AI665" s="6"/>
      <c r="AK665" s="6"/>
      <c r="AL665" s="6"/>
      <c r="AM665" s="6"/>
      <c r="AN665" s="6"/>
      <c r="AO665" s="6"/>
      <c r="AP665" s="6"/>
      <c r="AQ665" s="6"/>
      <c r="AR665" s="6"/>
      <c r="AS665" s="15"/>
      <c r="AT665" s="6" t="str">
        <f ca="1">IFERROR(__xludf.DUMMYFUNCTION("""COMPUTED_VALUE"""),"#N/A")</f>
        <v>#N/A</v>
      </c>
      <c r="AU665" s="6" t="str">
        <f ca="1">IFERROR(__xludf.DUMMYFUNCTION("""COMPUTED_VALUE"""),"FALSE")</f>
        <v>FALSE</v>
      </c>
      <c r="AV665" s="6">
        <f t="shared" si="42"/>
        <v>0</v>
      </c>
      <c r="AW665" s="6">
        <f t="shared" si="43"/>
        <v>0</v>
      </c>
      <c r="AX665" s="6">
        <f t="shared" si="44"/>
        <v>0</v>
      </c>
      <c r="AY665" s="6">
        <f t="shared" si="45"/>
        <v>0</v>
      </c>
      <c r="AZ665" s="9" t="str">
        <f t="shared" si="46"/>
        <v/>
      </c>
      <c r="BA665" s="6">
        <f t="shared" si="47"/>
        <v>0</v>
      </c>
      <c r="BB665" s="6">
        <f t="shared" si="48"/>
        <v>0</v>
      </c>
      <c r="BC665" s="9" t="str">
        <f t="shared" si="49"/>
        <v/>
      </c>
      <c r="BD665" s="6">
        <f t="shared" si="50"/>
        <v>0</v>
      </c>
      <c r="BE665" s="6">
        <f t="shared" si="51"/>
        <v>0</v>
      </c>
      <c r="BF665" s="9" t="str">
        <f t="shared" si="52"/>
        <v/>
      </c>
      <c r="BG665" s="6">
        <f t="shared" si="53"/>
        <v>0</v>
      </c>
      <c r="BH665" s="6">
        <f t="shared" si="54"/>
        <v>0</v>
      </c>
      <c r="BI665" s="9" t="str">
        <f t="shared" si="55"/>
        <v/>
      </c>
      <c r="BJ665" s="6">
        <f t="shared" si="56"/>
        <v>0</v>
      </c>
      <c r="BK665" s="6">
        <f t="shared" si="57"/>
        <v>0</v>
      </c>
      <c r="BL665" s="6">
        <f t="shared" si="58"/>
        <v>0</v>
      </c>
      <c r="BM665" s="6">
        <f t="shared" si="59"/>
        <v>0</v>
      </c>
      <c r="BN665" s="6">
        <f t="shared" si="60"/>
        <v>0</v>
      </c>
      <c r="BP665" s="6">
        <f t="shared" si="61"/>
        <v>0</v>
      </c>
      <c r="BQ665" s="6" t="b">
        <f ca="1">IFERROR(__xludf.DUMMYFUNCTION("IF(AND(ISERROR(FILTER('Items by Team'!D$2:D3410,'Items by Team'!C$2:C3410 = D665,'Items by Team'!B$2:B3410 = B665)),NOT(A665=""Practice"")),TRUE,FALSE)"),FALSE)</f>
        <v>0</v>
      </c>
      <c r="BR665" s="6">
        <f t="shared" ca="1" si="62"/>
        <v>0</v>
      </c>
    </row>
    <row r="666" spans="1:70">
      <c r="A666" s="6"/>
      <c r="B666" s="6"/>
      <c r="C666" s="6"/>
      <c r="D666" s="6"/>
      <c r="E666" s="6"/>
      <c r="F666" s="6"/>
      <c r="G666" s="6"/>
      <c r="H666" s="6"/>
      <c r="I666" s="6"/>
      <c r="J666" s="6"/>
      <c r="K666" s="6"/>
      <c r="L666" s="6"/>
      <c r="M666" s="6"/>
      <c r="N666" s="6"/>
      <c r="O666" s="6"/>
      <c r="P666" s="6"/>
      <c r="R666" s="6"/>
      <c r="S666" s="6"/>
      <c r="T666" s="6"/>
      <c r="U666" s="6"/>
      <c r="V666" s="6"/>
      <c r="W666" s="6"/>
      <c r="X666" s="6"/>
      <c r="Y666" s="6"/>
      <c r="Z666" s="6"/>
      <c r="AA666" s="6"/>
      <c r="AB666" s="6"/>
      <c r="AD666" s="6"/>
      <c r="AE666" s="6"/>
      <c r="AF666" s="6"/>
      <c r="AG666" s="6"/>
      <c r="AH666" s="6"/>
      <c r="AI666" s="6"/>
      <c r="AK666" s="6"/>
      <c r="AL666" s="6"/>
      <c r="AM666" s="6"/>
      <c r="AN666" s="6"/>
      <c r="AO666" s="6"/>
      <c r="AP666" s="6"/>
      <c r="AQ666" s="6"/>
      <c r="AR666" s="6"/>
      <c r="AS666" s="15"/>
      <c r="AT666" s="6" t="str">
        <f ca="1">IFERROR(__xludf.DUMMYFUNCTION("""COMPUTED_VALUE"""),"#N/A")</f>
        <v>#N/A</v>
      </c>
      <c r="AU666" s="6" t="str">
        <f ca="1">IFERROR(__xludf.DUMMYFUNCTION("""COMPUTED_VALUE"""),"FALSE")</f>
        <v>FALSE</v>
      </c>
      <c r="AV666" s="6">
        <f t="shared" si="42"/>
        <v>0</v>
      </c>
      <c r="AW666" s="6">
        <f t="shared" si="43"/>
        <v>0</v>
      </c>
      <c r="AX666" s="6">
        <f t="shared" si="44"/>
        <v>0</v>
      </c>
      <c r="AY666" s="6">
        <f t="shared" si="45"/>
        <v>0</v>
      </c>
      <c r="AZ666" s="9" t="str">
        <f t="shared" si="46"/>
        <v/>
      </c>
      <c r="BA666" s="6">
        <f t="shared" si="47"/>
        <v>0</v>
      </c>
      <c r="BB666" s="6">
        <f t="shared" si="48"/>
        <v>0</v>
      </c>
      <c r="BC666" s="9" t="str">
        <f t="shared" si="49"/>
        <v/>
      </c>
      <c r="BD666" s="6">
        <f t="shared" si="50"/>
        <v>0</v>
      </c>
      <c r="BE666" s="6">
        <f t="shared" si="51"/>
        <v>0</v>
      </c>
      <c r="BF666" s="9" t="str">
        <f t="shared" si="52"/>
        <v/>
      </c>
      <c r="BG666" s="6">
        <f t="shared" si="53"/>
        <v>0</v>
      </c>
      <c r="BH666" s="6">
        <f t="shared" si="54"/>
        <v>0</v>
      </c>
      <c r="BI666" s="9" t="str">
        <f t="shared" si="55"/>
        <v/>
      </c>
      <c r="BJ666" s="6">
        <f t="shared" si="56"/>
        <v>0</v>
      </c>
      <c r="BK666" s="6">
        <f t="shared" si="57"/>
        <v>0</v>
      </c>
      <c r="BL666" s="6">
        <f t="shared" si="58"/>
        <v>0</v>
      </c>
      <c r="BM666" s="6">
        <f t="shared" si="59"/>
        <v>0</v>
      </c>
      <c r="BN666" s="6">
        <f t="shared" si="60"/>
        <v>0</v>
      </c>
      <c r="BP666" s="6">
        <f t="shared" si="61"/>
        <v>0</v>
      </c>
      <c r="BQ666" s="6" t="b">
        <f ca="1">IFERROR(__xludf.DUMMYFUNCTION("IF(AND(ISERROR(FILTER('Items by Team'!D$2:D3410,'Items by Team'!C$2:C3410 = D666,'Items by Team'!B$2:B3410 = B666)),NOT(A666=""Practice"")),TRUE,FALSE)"),FALSE)</f>
        <v>0</v>
      </c>
      <c r="BR666" s="6">
        <f t="shared" ca="1" si="62"/>
        <v>0</v>
      </c>
    </row>
    <row r="667" spans="1:70">
      <c r="A667" s="6"/>
      <c r="B667" s="6"/>
      <c r="C667" s="6"/>
      <c r="D667" s="6"/>
      <c r="E667" s="6"/>
      <c r="F667" s="6"/>
      <c r="G667" s="6"/>
      <c r="H667" s="6"/>
      <c r="I667" s="6"/>
      <c r="J667" s="6"/>
      <c r="K667" s="6"/>
      <c r="L667" s="6"/>
      <c r="M667" s="6"/>
      <c r="N667" s="6"/>
      <c r="O667" s="6"/>
      <c r="P667" s="6"/>
      <c r="R667" s="6"/>
      <c r="S667" s="6"/>
      <c r="T667" s="6"/>
      <c r="U667" s="6"/>
      <c r="V667" s="6"/>
      <c r="W667" s="6"/>
      <c r="X667" s="6"/>
      <c r="Y667" s="6"/>
      <c r="Z667" s="6"/>
      <c r="AA667" s="6"/>
      <c r="AB667" s="6"/>
      <c r="AD667" s="6"/>
      <c r="AE667" s="6"/>
      <c r="AF667" s="6"/>
      <c r="AG667" s="6"/>
      <c r="AH667" s="6"/>
      <c r="AI667" s="6"/>
      <c r="AK667" s="6"/>
      <c r="AL667" s="6"/>
      <c r="AM667" s="6"/>
      <c r="AN667" s="6"/>
      <c r="AO667" s="6"/>
      <c r="AP667" s="6"/>
      <c r="AQ667" s="6"/>
      <c r="AR667" s="6"/>
      <c r="AS667" s="15"/>
      <c r="AT667" s="6" t="str">
        <f ca="1">IFERROR(__xludf.DUMMYFUNCTION("""COMPUTED_VALUE"""),"#N/A")</f>
        <v>#N/A</v>
      </c>
      <c r="AU667" s="6" t="str">
        <f ca="1">IFERROR(__xludf.DUMMYFUNCTION("""COMPUTED_VALUE"""),"FALSE")</f>
        <v>FALSE</v>
      </c>
      <c r="AV667" s="6">
        <f t="shared" si="42"/>
        <v>0</v>
      </c>
      <c r="AW667" s="6">
        <f t="shared" si="43"/>
        <v>0</v>
      </c>
      <c r="AX667" s="6">
        <f t="shared" si="44"/>
        <v>0</v>
      </c>
      <c r="AY667" s="6">
        <f t="shared" si="45"/>
        <v>0</v>
      </c>
      <c r="AZ667" s="9" t="str">
        <f t="shared" si="46"/>
        <v/>
      </c>
      <c r="BA667" s="6">
        <f t="shared" si="47"/>
        <v>0</v>
      </c>
      <c r="BB667" s="6">
        <f t="shared" si="48"/>
        <v>0</v>
      </c>
      <c r="BC667" s="9" t="str">
        <f t="shared" si="49"/>
        <v/>
      </c>
      <c r="BD667" s="6">
        <f t="shared" si="50"/>
        <v>0</v>
      </c>
      <c r="BE667" s="6">
        <f t="shared" si="51"/>
        <v>0</v>
      </c>
      <c r="BF667" s="9" t="str">
        <f t="shared" si="52"/>
        <v/>
      </c>
      <c r="BG667" s="6">
        <f t="shared" si="53"/>
        <v>0</v>
      </c>
      <c r="BH667" s="6">
        <f t="shared" si="54"/>
        <v>0</v>
      </c>
      <c r="BI667" s="9" t="str">
        <f t="shared" si="55"/>
        <v/>
      </c>
      <c r="BJ667" s="6">
        <f t="shared" si="56"/>
        <v>0</v>
      </c>
      <c r="BK667" s="6">
        <f t="shared" si="57"/>
        <v>0</v>
      </c>
      <c r="BL667" s="6">
        <f t="shared" si="58"/>
        <v>0</v>
      </c>
      <c r="BM667" s="6">
        <f t="shared" si="59"/>
        <v>0</v>
      </c>
      <c r="BN667" s="6">
        <f t="shared" si="60"/>
        <v>0</v>
      </c>
      <c r="BP667" s="6">
        <f t="shared" si="61"/>
        <v>0</v>
      </c>
      <c r="BQ667" s="6" t="b">
        <f ca="1">IFERROR(__xludf.DUMMYFUNCTION("IF(AND(ISERROR(FILTER('Items by Team'!D$2:D3410,'Items by Team'!C$2:C3410 = D667,'Items by Team'!B$2:B3410 = B667)),NOT(A667=""Practice"")),TRUE,FALSE)"),FALSE)</f>
        <v>0</v>
      </c>
      <c r="BR667" s="6">
        <f t="shared" ca="1" si="62"/>
        <v>0</v>
      </c>
    </row>
    <row r="668" spans="1:70">
      <c r="A668" s="6"/>
      <c r="B668" s="6"/>
      <c r="C668" s="6"/>
      <c r="D668" s="6"/>
      <c r="E668" s="6"/>
      <c r="F668" s="6"/>
      <c r="G668" s="6"/>
      <c r="H668" s="6"/>
      <c r="I668" s="6"/>
      <c r="J668" s="6"/>
      <c r="K668" s="6"/>
      <c r="L668" s="6"/>
      <c r="M668" s="6"/>
      <c r="N668" s="6"/>
      <c r="O668" s="6"/>
      <c r="P668" s="6"/>
      <c r="R668" s="6"/>
      <c r="S668" s="6"/>
      <c r="T668" s="6"/>
      <c r="U668" s="6"/>
      <c r="V668" s="6"/>
      <c r="W668" s="6"/>
      <c r="X668" s="6"/>
      <c r="Y668" s="6"/>
      <c r="Z668" s="6"/>
      <c r="AA668" s="6"/>
      <c r="AB668" s="6"/>
      <c r="AD668" s="6"/>
      <c r="AE668" s="6"/>
      <c r="AF668" s="6"/>
      <c r="AG668" s="6"/>
      <c r="AH668" s="6"/>
      <c r="AI668" s="6"/>
      <c r="AK668" s="6"/>
      <c r="AL668" s="6"/>
      <c r="AM668" s="6"/>
      <c r="AN668" s="6"/>
      <c r="AO668" s="6"/>
      <c r="AP668" s="6"/>
      <c r="AQ668" s="6"/>
      <c r="AR668" s="6"/>
      <c r="AS668" s="15"/>
      <c r="AT668" s="6" t="str">
        <f ca="1">IFERROR(__xludf.DUMMYFUNCTION("""COMPUTED_VALUE"""),"#N/A")</f>
        <v>#N/A</v>
      </c>
      <c r="AU668" s="6" t="str">
        <f ca="1">IFERROR(__xludf.DUMMYFUNCTION("""COMPUTED_VALUE"""),"FALSE")</f>
        <v>FALSE</v>
      </c>
      <c r="AV668" s="6">
        <f t="shared" si="42"/>
        <v>0</v>
      </c>
      <c r="AW668" s="6">
        <f t="shared" si="43"/>
        <v>0</v>
      </c>
      <c r="AX668" s="6">
        <f t="shared" si="44"/>
        <v>0</v>
      </c>
      <c r="AY668" s="6">
        <f t="shared" si="45"/>
        <v>0</v>
      </c>
      <c r="AZ668" s="9" t="str">
        <f t="shared" si="46"/>
        <v/>
      </c>
      <c r="BA668" s="6">
        <f t="shared" si="47"/>
        <v>0</v>
      </c>
      <c r="BB668" s="6">
        <f t="shared" si="48"/>
        <v>0</v>
      </c>
      <c r="BC668" s="9" t="str">
        <f t="shared" si="49"/>
        <v/>
      </c>
      <c r="BD668" s="6">
        <f t="shared" si="50"/>
        <v>0</v>
      </c>
      <c r="BE668" s="6">
        <f t="shared" si="51"/>
        <v>0</v>
      </c>
      <c r="BF668" s="9" t="str">
        <f t="shared" si="52"/>
        <v/>
      </c>
      <c r="BG668" s="6">
        <f t="shared" si="53"/>
        <v>0</v>
      </c>
      <c r="BH668" s="6">
        <f t="shared" si="54"/>
        <v>0</v>
      </c>
      <c r="BI668" s="9" t="str">
        <f t="shared" si="55"/>
        <v/>
      </c>
      <c r="BJ668" s="6">
        <f t="shared" si="56"/>
        <v>0</v>
      </c>
      <c r="BK668" s="6">
        <f t="shared" si="57"/>
        <v>0</v>
      </c>
      <c r="BL668" s="6">
        <f t="shared" si="58"/>
        <v>0</v>
      </c>
      <c r="BM668" s="6">
        <f t="shared" si="59"/>
        <v>0</v>
      </c>
      <c r="BN668" s="6">
        <f t="shared" si="60"/>
        <v>0</v>
      </c>
      <c r="BP668" s="6">
        <f t="shared" si="61"/>
        <v>0</v>
      </c>
      <c r="BQ668" s="6" t="b">
        <f ca="1">IFERROR(__xludf.DUMMYFUNCTION("IF(AND(ISERROR(FILTER('Items by Team'!D$2:D3410,'Items by Team'!C$2:C3410 = D668,'Items by Team'!B$2:B3410 = B668)),NOT(A668=""Practice"")),TRUE,FALSE)"),FALSE)</f>
        <v>0</v>
      </c>
      <c r="BR668" s="6">
        <f t="shared" ca="1" si="62"/>
        <v>0</v>
      </c>
    </row>
    <row r="669" spans="1:70">
      <c r="A669" s="6"/>
      <c r="B669" s="6"/>
      <c r="C669" s="6"/>
      <c r="D669" s="6"/>
      <c r="E669" s="6"/>
      <c r="F669" s="6"/>
      <c r="G669" s="6"/>
      <c r="H669" s="6"/>
      <c r="I669" s="6"/>
      <c r="J669" s="6"/>
      <c r="K669" s="6"/>
      <c r="L669" s="6"/>
      <c r="M669" s="6"/>
      <c r="N669" s="6"/>
      <c r="O669" s="6"/>
      <c r="P669" s="6"/>
      <c r="R669" s="6"/>
      <c r="S669" s="6"/>
      <c r="T669" s="6"/>
      <c r="U669" s="6"/>
      <c r="V669" s="6"/>
      <c r="W669" s="6"/>
      <c r="X669" s="6"/>
      <c r="Y669" s="6"/>
      <c r="Z669" s="6"/>
      <c r="AA669" s="6"/>
      <c r="AB669" s="6"/>
      <c r="AD669" s="6"/>
      <c r="AE669" s="6"/>
      <c r="AF669" s="6"/>
      <c r="AG669" s="6"/>
      <c r="AH669" s="6"/>
      <c r="AI669" s="6"/>
      <c r="AK669" s="6"/>
      <c r="AL669" s="6"/>
      <c r="AM669" s="6"/>
      <c r="AN669" s="6"/>
      <c r="AO669" s="6"/>
      <c r="AP669" s="6"/>
      <c r="AQ669" s="6"/>
      <c r="AR669" s="6"/>
      <c r="AS669" s="15"/>
      <c r="AT669" s="6" t="str">
        <f ca="1">IFERROR(__xludf.DUMMYFUNCTION("""COMPUTED_VALUE"""),"#N/A")</f>
        <v>#N/A</v>
      </c>
      <c r="AU669" s="6" t="str">
        <f ca="1">IFERROR(__xludf.DUMMYFUNCTION("""COMPUTED_VALUE"""),"FALSE")</f>
        <v>FALSE</v>
      </c>
      <c r="AV669" s="6">
        <f t="shared" si="42"/>
        <v>0</v>
      </c>
      <c r="AW669" s="6">
        <f t="shared" si="43"/>
        <v>0</v>
      </c>
      <c r="AX669" s="6">
        <f t="shared" si="44"/>
        <v>0</v>
      </c>
      <c r="AY669" s="6">
        <f t="shared" si="45"/>
        <v>0</v>
      </c>
      <c r="AZ669" s="9" t="str">
        <f t="shared" si="46"/>
        <v/>
      </c>
      <c r="BA669" s="6">
        <f t="shared" si="47"/>
        <v>0</v>
      </c>
      <c r="BB669" s="6">
        <f t="shared" si="48"/>
        <v>0</v>
      </c>
      <c r="BC669" s="9" t="str">
        <f t="shared" si="49"/>
        <v/>
      </c>
      <c r="BD669" s="6">
        <f t="shared" si="50"/>
        <v>0</v>
      </c>
      <c r="BE669" s="6">
        <f t="shared" si="51"/>
        <v>0</v>
      </c>
      <c r="BF669" s="9" t="str">
        <f t="shared" si="52"/>
        <v/>
      </c>
      <c r="BG669" s="6">
        <f t="shared" si="53"/>
        <v>0</v>
      </c>
      <c r="BH669" s="6">
        <f t="shared" si="54"/>
        <v>0</v>
      </c>
      <c r="BI669" s="9" t="str">
        <f t="shared" si="55"/>
        <v/>
      </c>
      <c r="BJ669" s="6">
        <f t="shared" si="56"/>
        <v>0</v>
      </c>
      <c r="BK669" s="6">
        <f t="shared" si="57"/>
        <v>0</v>
      </c>
      <c r="BL669" s="6">
        <f t="shared" si="58"/>
        <v>0</v>
      </c>
      <c r="BM669" s="6">
        <f t="shared" si="59"/>
        <v>0</v>
      </c>
      <c r="BN669" s="6">
        <f t="shared" si="60"/>
        <v>0</v>
      </c>
      <c r="BP669" s="6">
        <f t="shared" si="61"/>
        <v>0</v>
      </c>
      <c r="BQ669" s="6" t="b">
        <f ca="1">IFERROR(__xludf.DUMMYFUNCTION("IF(AND(ISERROR(FILTER('Items by Team'!D$2:D3410,'Items by Team'!C$2:C3410 = D669,'Items by Team'!B$2:B3410 = B669)),NOT(A669=""Practice"")),TRUE,FALSE)"),FALSE)</f>
        <v>0</v>
      </c>
      <c r="BR669" s="6">
        <f t="shared" ca="1" si="62"/>
        <v>0</v>
      </c>
    </row>
    <row r="670" spans="1:70">
      <c r="A670" s="6"/>
      <c r="B670" s="6"/>
      <c r="C670" s="6"/>
      <c r="D670" s="6"/>
      <c r="E670" s="6"/>
      <c r="F670" s="6"/>
      <c r="G670" s="6"/>
      <c r="H670" s="6"/>
      <c r="I670" s="6"/>
      <c r="J670" s="6"/>
      <c r="K670" s="6"/>
      <c r="L670" s="6"/>
      <c r="M670" s="6"/>
      <c r="N670" s="6"/>
      <c r="O670" s="6"/>
      <c r="P670" s="6"/>
      <c r="R670" s="6"/>
      <c r="S670" s="6"/>
      <c r="T670" s="6"/>
      <c r="U670" s="6"/>
      <c r="V670" s="6"/>
      <c r="W670" s="6"/>
      <c r="X670" s="6"/>
      <c r="Y670" s="6"/>
      <c r="Z670" s="6"/>
      <c r="AA670" s="6"/>
      <c r="AB670" s="6"/>
      <c r="AD670" s="6"/>
      <c r="AE670" s="6"/>
      <c r="AF670" s="6"/>
      <c r="AG670" s="6"/>
      <c r="AH670" s="6"/>
      <c r="AI670" s="6"/>
      <c r="AK670" s="6"/>
      <c r="AL670" s="6"/>
      <c r="AM670" s="6"/>
      <c r="AN670" s="6"/>
      <c r="AO670" s="6"/>
      <c r="AP670" s="6"/>
      <c r="AQ670" s="6"/>
      <c r="AR670" s="6"/>
      <c r="AS670" s="15"/>
      <c r="AT670" s="6" t="str">
        <f ca="1">IFERROR(__xludf.DUMMYFUNCTION("""COMPUTED_VALUE"""),"#N/A")</f>
        <v>#N/A</v>
      </c>
      <c r="AU670" s="6" t="str">
        <f ca="1">IFERROR(__xludf.DUMMYFUNCTION("""COMPUTED_VALUE"""),"FALSE")</f>
        <v>FALSE</v>
      </c>
      <c r="AV670" s="6">
        <f t="shared" si="42"/>
        <v>0</v>
      </c>
      <c r="AW670" s="6">
        <f t="shared" si="43"/>
        <v>0</v>
      </c>
      <c r="AX670" s="6">
        <f t="shared" si="44"/>
        <v>0</v>
      </c>
      <c r="AY670" s="6">
        <f t="shared" si="45"/>
        <v>0</v>
      </c>
      <c r="AZ670" s="9" t="str">
        <f t="shared" si="46"/>
        <v/>
      </c>
      <c r="BA670" s="6">
        <f t="shared" si="47"/>
        <v>0</v>
      </c>
      <c r="BB670" s="6">
        <f t="shared" si="48"/>
        <v>0</v>
      </c>
      <c r="BC670" s="9" t="str">
        <f t="shared" si="49"/>
        <v/>
      </c>
      <c r="BD670" s="6">
        <f t="shared" si="50"/>
        <v>0</v>
      </c>
      <c r="BE670" s="6">
        <f t="shared" si="51"/>
        <v>0</v>
      </c>
      <c r="BF670" s="9" t="str">
        <f t="shared" si="52"/>
        <v/>
      </c>
      <c r="BG670" s="6">
        <f t="shared" si="53"/>
        <v>0</v>
      </c>
      <c r="BH670" s="6">
        <f t="shared" si="54"/>
        <v>0</v>
      </c>
      <c r="BI670" s="9" t="str">
        <f t="shared" si="55"/>
        <v/>
      </c>
      <c r="BJ670" s="6">
        <f t="shared" si="56"/>
        <v>0</v>
      </c>
      <c r="BK670" s="6">
        <f t="shared" si="57"/>
        <v>0</v>
      </c>
      <c r="BL670" s="6">
        <f t="shared" si="58"/>
        <v>0</v>
      </c>
      <c r="BM670" s="6">
        <f t="shared" si="59"/>
        <v>0</v>
      </c>
      <c r="BN670" s="6">
        <f t="shared" si="60"/>
        <v>0</v>
      </c>
      <c r="BP670" s="6">
        <f t="shared" si="61"/>
        <v>0</v>
      </c>
      <c r="BQ670" s="6" t="b">
        <f ca="1">IFERROR(__xludf.DUMMYFUNCTION("IF(AND(ISERROR(FILTER('Items by Team'!D$2:D3410,'Items by Team'!C$2:C3410 = D670,'Items by Team'!B$2:B3410 = B670)),NOT(A670=""Practice"")),TRUE,FALSE)"),FALSE)</f>
        <v>0</v>
      </c>
      <c r="BR670" s="6">
        <f t="shared" ca="1" si="62"/>
        <v>0</v>
      </c>
    </row>
    <row r="671" spans="1:70">
      <c r="A671" s="6"/>
      <c r="B671" s="6"/>
      <c r="C671" s="6"/>
      <c r="D671" s="6"/>
      <c r="E671" s="6"/>
      <c r="F671" s="6"/>
      <c r="G671" s="6"/>
      <c r="H671" s="6"/>
      <c r="I671" s="6"/>
      <c r="J671" s="6"/>
      <c r="K671" s="6"/>
      <c r="L671" s="6"/>
      <c r="M671" s="6"/>
      <c r="N671" s="6"/>
      <c r="O671" s="6"/>
      <c r="P671" s="6"/>
      <c r="R671" s="6"/>
      <c r="S671" s="6"/>
      <c r="T671" s="6"/>
      <c r="U671" s="6"/>
      <c r="V671" s="6"/>
      <c r="W671" s="6"/>
      <c r="X671" s="6"/>
      <c r="Y671" s="6"/>
      <c r="Z671" s="6"/>
      <c r="AA671" s="6"/>
      <c r="AB671" s="6"/>
      <c r="AD671" s="6"/>
      <c r="AE671" s="6"/>
      <c r="AF671" s="6"/>
      <c r="AG671" s="6"/>
      <c r="AH671" s="6"/>
      <c r="AI671" s="6"/>
      <c r="AK671" s="6"/>
      <c r="AL671" s="6"/>
      <c r="AM671" s="6"/>
      <c r="AN671" s="6"/>
      <c r="AO671" s="6"/>
      <c r="AP671" s="6"/>
      <c r="AQ671" s="6"/>
      <c r="AR671" s="6"/>
      <c r="AS671" s="15"/>
      <c r="AT671" s="6" t="str">
        <f ca="1">IFERROR(__xludf.DUMMYFUNCTION("""COMPUTED_VALUE"""),"#N/A")</f>
        <v>#N/A</v>
      </c>
      <c r="AU671" s="6" t="str">
        <f ca="1">IFERROR(__xludf.DUMMYFUNCTION("""COMPUTED_VALUE"""),"FALSE")</f>
        <v>FALSE</v>
      </c>
      <c r="AV671" s="6">
        <f t="shared" si="42"/>
        <v>0</v>
      </c>
      <c r="AW671" s="6">
        <f t="shared" si="43"/>
        <v>0</v>
      </c>
      <c r="AX671" s="6">
        <f t="shared" si="44"/>
        <v>0</v>
      </c>
      <c r="AY671" s="6">
        <f t="shared" si="45"/>
        <v>0</v>
      </c>
      <c r="AZ671" s="9" t="str">
        <f t="shared" si="46"/>
        <v/>
      </c>
      <c r="BA671" s="6">
        <f t="shared" si="47"/>
        <v>0</v>
      </c>
      <c r="BB671" s="6">
        <f t="shared" si="48"/>
        <v>0</v>
      </c>
      <c r="BC671" s="9" t="str">
        <f t="shared" si="49"/>
        <v/>
      </c>
      <c r="BD671" s="6">
        <f t="shared" si="50"/>
        <v>0</v>
      </c>
      <c r="BE671" s="6">
        <f t="shared" si="51"/>
        <v>0</v>
      </c>
      <c r="BF671" s="9" t="str">
        <f t="shared" si="52"/>
        <v/>
      </c>
      <c r="BG671" s="6">
        <f t="shared" si="53"/>
        <v>0</v>
      </c>
      <c r="BH671" s="6">
        <f t="shared" si="54"/>
        <v>0</v>
      </c>
      <c r="BI671" s="9" t="str">
        <f t="shared" si="55"/>
        <v/>
      </c>
      <c r="BJ671" s="6">
        <f t="shared" si="56"/>
        <v>0</v>
      </c>
      <c r="BK671" s="6">
        <f t="shared" si="57"/>
        <v>0</v>
      </c>
      <c r="BL671" s="6">
        <f t="shared" si="58"/>
        <v>0</v>
      </c>
      <c r="BM671" s="6">
        <f t="shared" si="59"/>
        <v>0</v>
      </c>
      <c r="BN671" s="6">
        <f t="shared" si="60"/>
        <v>0</v>
      </c>
      <c r="BP671" s="6">
        <f t="shared" si="61"/>
        <v>0</v>
      </c>
      <c r="BQ671" s="6" t="b">
        <f ca="1">IFERROR(__xludf.DUMMYFUNCTION("IF(AND(ISERROR(FILTER('Items by Team'!D$2:D3410,'Items by Team'!C$2:C3410 = D671,'Items by Team'!B$2:B3410 = B671)),NOT(A671=""Practice"")),TRUE,FALSE)"),FALSE)</f>
        <v>0</v>
      </c>
      <c r="BR671" s="6">
        <f t="shared" ca="1" si="62"/>
        <v>0</v>
      </c>
    </row>
    <row r="672" spans="1:70">
      <c r="A672" s="6"/>
      <c r="B672" s="6"/>
      <c r="C672" s="6"/>
      <c r="D672" s="6"/>
      <c r="E672" s="6"/>
      <c r="F672" s="6"/>
      <c r="G672" s="6"/>
      <c r="H672" s="6"/>
      <c r="I672" s="6"/>
      <c r="J672" s="6"/>
      <c r="K672" s="6"/>
      <c r="L672" s="6"/>
      <c r="M672" s="6"/>
      <c r="N672" s="6"/>
      <c r="O672" s="6"/>
      <c r="P672" s="6"/>
      <c r="R672" s="6"/>
      <c r="S672" s="6"/>
      <c r="T672" s="6"/>
      <c r="U672" s="6"/>
      <c r="V672" s="6"/>
      <c r="W672" s="6"/>
      <c r="X672" s="6"/>
      <c r="Y672" s="6"/>
      <c r="Z672" s="6"/>
      <c r="AA672" s="6"/>
      <c r="AB672" s="6"/>
      <c r="AD672" s="6"/>
      <c r="AE672" s="6"/>
      <c r="AF672" s="6"/>
      <c r="AG672" s="6"/>
      <c r="AH672" s="6"/>
      <c r="AI672" s="6"/>
      <c r="AK672" s="6"/>
      <c r="AL672" s="6"/>
      <c r="AM672" s="6"/>
      <c r="AN672" s="6"/>
      <c r="AO672" s="6"/>
      <c r="AP672" s="6"/>
      <c r="AQ672" s="6"/>
      <c r="AR672" s="6"/>
      <c r="AS672" s="15"/>
      <c r="AT672" s="6" t="str">
        <f ca="1">IFERROR(__xludf.DUMMYFUNCTION("""COMPUTED_VALUE"""),"#N/A")</f>
        <v>#N/A</v>
      </c>
      <c r="AU672" s="6" t="str">
        <f ca="1">IFERROR(__xludf.DUMMYFUNCTION("""COMPUTED_VALUE"""),"FALSE")</f>
        <v>FALSE</v>
      </c>
      <c r="AV672" s="6">
        <f t="shared" si="42"/>
        <v>0</v>
      </c>
      <c r="AW672" s="6">
        <f t="shared" si="43"/>
        <v>0</v>
      </c>
      <c r="AX672" s="6">
        <f t="shared" si="44"/>
        <v>0</v>
      </c>
      <c r="AY672" s="6">
        <f t="shared" si="45"/>
        <v>0</v>
      </c>
      <c r="AZ672" s="9" t="str">
        <f t="shared" si="46"/>
        <v/>
      </c>
      <c r="BA672" s="6">
        <f t="shared" si="47"/>
        <v>0</v>
      </c>
      <c r="BB672" s="6">
        <f t="shared" si="48"/>
        <v>0</v>
      </c>
      <c r="BC672" s="9" t="str">
        <f t="shared" si="49"/>
        <v/>
      </c>
      <c r="BD672" s="6">
        <f t="shared" si="50"/>
        <v>0</v>
      </c>
      <c r="BE672" s="6">
        <f t="shared" si="51"/>
        <v>0</v>
      </c>
      <c r="BF672" s="9" t="str">
        <f t="shared" si="52"/>
        <v/>
      </c>
      <c r="BG672" s="6">
        <f t="shared" si="53"/>
        <v>0</v>
      </c>
      <c r="BH672" s="6">
        <f t="shared" si="54"/>
        <v>0</v>
      </c>
      <c r="BI672" s="9" t="str">
        <f t="shared" si="55"/>
        <v/>
      </c>
      <c r="BJ672" s="6">
        <f t="shared" si="56"/>
        <v>0</v>
      </c>
      <c r="BK672" s="6">
        <f t="shared" si="57"/>
        <v>0</v>
      </c>
      <c r="BL672" s="6">
        <f t="shared" si="58"/>
        <v>0</v>
      </c>
      <c r="BM672" s="6">
        <f t="shared" si="59"/>
        <v>0</v>
      </c>
      <c r="BN672" s="6">
        <f t="shared" si="60"/>
        <v>0</v>
      </c>
      <c r="BP672" s="6">
        <f t="shared" si="61"/>
        <v>0</v>
      </c>
      <c r="BQ672" s="6" t="b">
        <f ca="1">IFERROR(__xludf.DUMMYFUNCTION("IF(AND(ISERROR(FILTER('Items by Team'!D$2:D3410,'Items by Team'!C$2:C3410 = D672,'Items by Team'!B$2:B3410 = B672)),NOT(A672=""Practice"")),TRUE,FALSE)"),FALSE)</f>
        <v>0</v>
      </c>
      <c r="BR672" s="6">
        <f t="shared" ca="1" si="62"/>
        <v>0</v>
      </c>
    </row>
    <row r="673" spans="1:70">
      <c r="A673" s="6"/>
      <c r="B673" s="6"/>
      <c r="C673" s="6"/>
      <c r="D673" s="6"/>
      <c r="E673" s="6"/>
      <c r="F673" s="6"/>
      <c r="G673" s="6"/>
      <c r="H673" s="6"/>
      <c r="I673" s="6"/>
      <c r="J673" s="6"/>
      <c r="K673" s="6"/>
      <c r="L673" s="6"/>
      <c r="M673" s="6"/>
      <c r="N673" s="6"/>
      <c r="O673" s="6"/>
      <c r="P673" s="6"/>
      <c r="R673" s="6"/>
      <c r="S673" s="6"/>
      <c r="T673" s="6"/>
      <c r="U673" s="6"/>
      <c r="V673" s="6"/>
      <c r="W673" s="6"/>
      <c r="X673" s="6"/>
      <c r="Y673" s="6"/>
      <c r="Z673" s="6"/>
      <c r="AA673" s="6"/>
      <c r="AB673" s="6"/>
      <c r="AD673" s="6"/>
      <c r="AE673" s="6"/>
      <c r="AF673" s="6"/>
      <c r="AG673" s="6"/>
      <c r="AH673" s="6"/>
      <c r="AI673" s="6"/>
      <c r="AK673" s="6"/>
      <c r="AL673" s="6"/>
      <c r="AM673" s="6"/>
      <c r="AN673" s="6"/>
      <c r="AO673" s="6"/>
      <c r="AP673" s="6"/>
      <c r="AQ673" s="6"/>
      <c r="AR673" s="6"/>
      <c r="AS673" s="15"/>
      <c r="AT673" s="6" t="str">
        <f ca="1">IFERROR(__xludf.DUMMYFUNCTION("""COMPUTED_VALUE"""),"#N/A")</f>
        <v>#N/A</v>
      </c>
      <c r="AU673" s="6" t="str">
        <f ca="1">IFERROR(__xludf.DUMMYFUNCTION("""COMPUTED_VALUE"""),"FALSE")</f>
        <v>FALSE</v>
      </c>
      <c r="AV673" s="6">
        <f t="shared" si="42"/>
        <v>0</v>
      </c>
      <c r="AW673" s="6">
        <f t="shared" si="43"/>
        <v>0</v>
      </c>
      <c r="AX673" s="6">
        <f t="shared" si="44"/>
        <v>0</v>
      </c>
      <c r="AY673" s="6">
        <f t="shared" si="45"/>
        <v>0</v>
      </c>
      <c r="AZ673" s="9" t="str">
        <f t="shared" si="46"/>
        <v/>
      </c>
      <c r="BA673" s="6">
        <f t="shared" si="47"/>
        <v>0</v>
      </c>
      <c r="BB673" s="6">
        <f t="shared" si="48"/>
        <v>0</v>
      </c>
      <c r="BC673" s="9" t="str">
        <f t="shared" si="49"/>
        <v/>
      </c>
      <c r="BD673" s="6">
        <f t="shared" si="50"/>
        <v>0</v>
      </c>
      <c r="BE673" s="6">
        <f t="shared" si="51"/>
        <v>0</v>
      </c>
      <c r="BF673" s="9" t="str">
        <f t="shared" si="52"/>
        <v/>
      </c>
      <c r="BG673" s="6">
        <f t="shared" si="53"/>
        <v>0</v>
      </c>
      <c r="BH673" s="6">
        <f t="shared" si="54"/>
        <v>0</v>
      </c>
      <c r="BI673" s="9" t="str">
        <f t="shared" si="55"/>
        <v/>
      </c>
      <c r="BJ673" s="6">
        <f t="shared" si="56"/>
        <v>0</v>
      </c>
      <c r="BK673" s="6">
        <f t="shared" si="57"/>
        <v>0</v>
      </c>
      <c r="BL673" s="6">
        <f t="shared" si="58"/>
        <v>0</v>
      </c>
      <c r="BM673" s="6">
        <f t="shared" si="59"/>
        <v>0</v>
      </c>
      <c r="BN673" s="6">
        <f t="shared" si="60"/>
        <v>0</v>
      </c>
      <c r="BP673" s="6">
        <f t="shared" si="61"/>
        <v>0</v>
      </c>
      <c r="BQ673" s="6" t="b">
        <f ca="1">IFERROR(__xludf.DUMMYFUNCTION("IF(AND(ISERROR(FILTER('Items by Team'!D$2:D3410,'Items by Team'!C$2:C3410 = D673,'Items by Team'!B$2:B3410 = B673)),NOT(A673=""Practice"")),TRUE,FALSE)"),FALSE)</f>
        <v>0</v>
      </c>
      <c r="BR673" s="6">
        <f t="shared" ca="1" si="62"/>
        <v>0</v>
      </c>
    </row>
    <row r="674" spans="1:70">
      <c r="A674" s="6"/>
      <c r="B674" s="6"/>
      <c r="C674" s="6"/>
      <c r="D674" s="6"/>
      <c r="E674" s="6"/>
      <c r="F674" s="6"/>
      <c r="G674" s="6"/>
      <c r="H674" s="6"/>
      <c r="I674" s="6"/>
      <c r="J674" s="6"/>
      <c r="K674" s="6"/>
      <c r="L674" s="6"/>
      <c r="M674" s="6"/>
      <c r="N674" s="6"/>
      <c r="O674" s="6"/>
      <c r="P674" s="6"/>
      <c r="R674" s="6"/>
      <c r="S674" s="6"/>
      <c r="T674" s="6"/>
      <c r="U674" s="6"/>
      <c r="V674" s="6"/>
      <c r="W674" s="6"/>
      <c r="X674" s="6"/>
      <c r="Y674" s="6"/>
      <c r="Z674" s="6"/>
      <c r="AA674" s="6"/>
      <c r="AB674" s="6"/>
      <c r="AD674" s="6"/>
      <c r="AE674" s="6"/>
      <c r="AF674" s="6"/>
      <c r="AG674" s="6"/>
      <c r="AH674" s="6"/>
      <c r="AI674" s="6"/>
      <c r="AK674" s="6"/>
      <c r="AL674" s="6"/>
      <c r="AM674" s="6"/>
      <c r="AN674" s="6"/>
      <c r="AO674" s="6"/>
      <c r="AP674" s="6"/>
      <c r="AQ674" s="6"/>
      <c r="AR674" s="6"/>
      <c r="AS674" s="15"/>
      <c r="AT674" s="6" t="str">
        <f ca="1">IFERROR(__xludf.DUMMYFUNCTION("""COMPUTED_VALUE"""),"#N/A")</f>
        <v>#N/A</v>
      </c>
      <c r="AU674" s="6" t="str">
        <f ca="1">IFERROR(__xludf.DUMMYFUNCTION("""COMPUTED_VALUE"""),"FALSE")</f>
        <v>FALSE</v>
      </c>
      <c r="AV674" s="6">
        <f t="shared" si="42"/>
        <v>0</v>
      </c>
      <c r="AW674" s="6">
        <f t="shared" si="43"/>
        <v>0</v>
      </c>
      <c r="AX674" s="6">
        <f t="shared" si="44"/>
        <v>0</v>
      </c>
      <c r="AY674" s="6">
        <f t="shared" si="45"/>
        <v>0</v>
      </c>
      <c r="AZ674" s="9" t="str">
        <f t="shared" si="46"/>
        <v/>
      </c>
      <c r="BA674" s="6">
        <f t="shared" si="47"/>
        <v>0</v>
      </c>
      <c r="BB674" s="6">
        <f t="shared" si="48"/>
        <v>0</v>
      </c>
      <c r="BC674" s="9" t="str">
        <f t="shared" si="49"/>
        <v/>
      </c>
      <c r="BD674" s="6">
        <f t="shared" si="50"/>
        <v>0</v>
      </c>
      <c r="BE674" s="6">
        <f t="shared" si="51"/>
        <v>0</v>
      </c>
      <c r="BF674" s="9" t="str">
        <f t="shared" si="52"/>
        <v/>
      </c>
      <c r="BG674" s="6">
        <f t="shared" si="53"/>
        <v>0</v>
      </c>
      <c r="BH674" s="6">
        <f t="shared" si="54"/>
        <v>0</v>
      </c>
      <c r="BI674" s="9" t="str">
        <f t="shared" si="55"/>
        <v/>
      </c>
      <c r="BJ674" s="6">
        <f t="shared" si="56"/>
        <v>0</v>
      </c>
      <c r="BK674" s="6">
        <f t="shared" si="57"/>
        <v>0</v>
      </c>
      <c r="BL674" s="6">
        <f t="shared" si="58"/>
        <v>0</v>
      </c>
      <c r="BM674" s="6">
        <f t="shared" si="59"/>
        <v>0</v>
      </c>
      <c r="BN674" s="6">
        <f t="shared" si="60"/>
        <v>0</v>
      </c>
      <c r="BP674" s="6">
        <f t="shared" si="61"/>
        <v>0</v>
      </c>
      <c r="BQ674" s="6" t="b">
        <f ca="1">IFERROR(__xludf.DUMMYFUNCTION("IF(AND(ISERROR(FILTER('Items by Team'!D$2:D3410,'Items by Team'!C$2:C3410 = D674,'Items by Team'!B$2:B3410 = B674)),NOT(A674=""Practice"")),TRUE,FALSE)"),FALSE)</f>
        <v>0</v>
      </c>
      <c r="BR674" s="6">
        <f t="shared" ca="1" si="62"/>
        <v>0</v>
      </c>
    </row>
    <row r="675" spans="1:70">
      <c r="A675" s="6"/>
      <c r="B675" s="6"/>
      <c r="C675" s="6"/>
      <c r="D675" s="6"/>
      <c r="E675" s="6"/>
      <c r="F675" s="6"/>
      <c r="G675" s="6"/>
      <c r="H675" s="6"/>
      <c r="I675" s="6"/>
      <c r="J675" s="6"/>
      <c r="K675" s="6"/>
      <c r="L675" s="6"/>
      <c r="M675" s="6"/>
      <c r="N675" s="6"/>
      <c r="O675" s="6"/>
      <c r="P675" s="6"/>
      <c r="R675" s="6"/>
      <c r="S675" s="6"/>
      <c r="T675" s="6"/>
      <c r="U675" s="6"/>
      <c r="V675" s="6"/>
      <c r="W675" s="6"/>
      <c r="X675" s="6"/>
      <c r="Y675" s="6"/>
      <c r="Z675" s="6"/>
      <c r="AA675" s="6"/>
      <c r="AB675" s="6"/>
      <c r="AD675" s="6"/>
      <c r="AE675" s="6"/>
      <c r="AF675" s="6"/>
      <c r="AG675" s="6"/>
      <c r="AH675" s="6"/>
      <c r="AI675" s="6"/>
      <c r="AK675" s="6"/>
      <c r="AL675" s="6"/>
      <c r="AM675" s="6"/>
      <c r="AN675" s="6"/>
      <c r="AO675" s="6"/>
      <c r="AP675" s="6"/>
      <c r="AQ675" s="6"/>
      <c r="AR675" s="6"/>
      <c r="AS675" s="15"/>
      <c r="AT675" s="6" t="str">
        <f ca="1">IFERROR(__xludf.DUMMYFUNCTION("""COMPUTED_VALUE"""),"#N/A")</f>
        <v>#N/A</v>
      </c>
      <c r="AU675" s="6" t="str">
        <f ca="1">IFERROR(__xludf.DUMMYFUNCTION("""COMPUTED_VALUE"""),"FALSE")</f>
        <v>FALSE</v>
      </c>
      <c r="AV675" s="6">
        <f t="shared" si="42"/>
        <v>0</v>
      </c>
      <c r="AW675" s="6">
        <f t="shared" si="43"/>
        <v>0</v>
      </c>
      <c r="AX675" s="6">
        <f t="shared" si="44"/>
        <v>0</v>
      </c>
      <c r="AY675" s="6">
        <f t="shared" si="45"/>
        <v>0</v>
      </c>
      <c r="AZ675" s="9" t="str">
        <f t="shared" si="46"/>
        <v/>
      </c>
      <c r="BA675" s="6">
        <f t="shared" si="47"/>
        <v>0</v>
      </c>
      <c r="BB675" s="6">
        <f t="shared" si="48"/>
        <v>0</v>
      </c>
      <c r="BC675" s="9" t="str">
        <f t="shared" si="49"/>
        <v/>
      </c>
      <c r="BD675" s="6">
        <f t="shared" si="50"/>
        <v>0</v>
      </c>
      <c r="BE675" s="6">
        <f t="shared" si="51"/>
        <v>0</v>
      </c>
      <c r="BF675" s="9" t="str">
        <f t="shared" si="52"/>
        <v/>
      </c>
      <c r="BG675" s="6">
        <f t="shared" si="53"/>
        <v>0</v>
      </c>
      <c r="BH675" s="6">
        <f t="shared" si="54"/>
        <v>0</v>
      </c>
      <c r="BI675" s="9" t="str">
        <f t="shared" si="55"/>
        <v/>
      </c>
      <c r="BJ675" s="6">
        <f t="shared" si="56"/>
        <v>0</v>
      </c>
      <c r="BK675" s="6">
        <f t="shared" si="57"/>
        <v>0</v>
      </c>
      <c r="BL675" s="6">
        <f t="shared" si="58"/>
        <v>0</v>
      </c>
      <c r="BM675" s="6">
        <f t="shared" si="59"/>
        <v>0</v>
      </c>
      <c r="BN675" s="6">
        <f t="shared" si="60"/>
        <v>0</v>
      </c>
      <c r="BP675" s="6">
        <f t="shared" si="61"/>
        <v>0</v>
      </c>
      <c r="BQ675" s="6" t="b">
        <f ca="1">IFERROR(__xludf.DUMMYFUNCTION("IF(AND(ISERROR(FILTER('Items by Team'!D$2:D3410,'Items by Team'!C$2:C3410 = D675,'Items by Team'!B$2:B3410 = B675)),NOT(A675=""Practice"")),TRUE,FALSE)"),FALSE)</f>
        <v>0</v>
      </c>
      <c r="BR675" s="6">
        <f t="shared" ca="1" si="62"/>
        <v>0</v>
      </c>
    </row>
    <row r="676" spans="1:70">
      <c r="A676" s="6"/>
      <c r="B676" s="6"/>
      <c r="C676" s="6"/>
      <c r="D676" s="6"/>
      <c r="E676" s="6"/>
      <c r="F676" s="6"/>
      <c r="G676" s="6"/>
      <c r="H676" s="6"/>
      <c r="I676" s="6"/>
      <c r="J676" s="6"/>
      <c r="K676" s="6"/>
      <c r="L676" s="6"/>
      <c r="M676" s="6"/>
      <c r="N676" s="6"/>
      <c r="O676" s="6"/>
      <c r="P676" s="6"/>
      <c r="R676" s="6"/>
      <c r="S676" s="6"/>
      <c r="T676" s="6"/>
      <c r="U676" s="6"/>
      <c r="V676" s="6"/>
      <c r="W676" s="6"/>
      <c r="X676" s="6"/>
      <c r="Y676" s="6"/>
      <c r="Z676" s="6"/>
      <c r="AA676" s="6"/>
      <c r="AB676" s="6"/>
      <c r="AD676" s="6"/>
      <c r="AE676" s="6"/>
      <c r="AF676" s="6"/>
      <c r="AG676" s="6"/>
      <c r="AH676" s="6"/>
      <c r="AI676" s="6"/>
      <c r="AK676" s="6"/>
      <c r="AL676" s="6"/>
      <c r="AM676" s="6"/>
      <c r="AN676" s="6"/>
      <c r="AO676" s="6"/>
      <c r="AP676" s="6"/>
      <c r="AQ676" s="6"/>
      <c r="AR676" s="6"/>
      <c r="AS676" s="15"/>
      <c r="AT676" s="6" t="str">
        <f ca="1">IFERROR(__xludf.DUMMYFUNCTION("""COMPUTED_VALUE"""),"#N/A")</f>
        <v>#N/A</v>
      </c>
      <c r="AU676" s="6" t="str">
        <f ca="1">IFERROR(__xludf.DUMMYFUNCTION("""COMPUTED_VALUE"""),"FALSE")</f>
        <v>FALSE</v>
      </c>
      <c r="AV676" s="6">
        <f t="shared" si="42"/>
        <v>0</v>
      </c>
      <c r="AW676" s="6">
        <f t="shared" si="43"/>
        <v>0</v>
      </c>
      <c r="AX676" s="6">
        <f t="shared" si="44"/>
        <v>0</v>
      </c>
      <c r="AY676" s="6">
        <f t="shared" si="45"/>
        <v>0</v>
      </c>
      <c r="AZ676" s="9" t="str">
        <f t="shared" si="46"/>
        <v/>
      </c>
      <c r="BA676" s="6">
        <f t="shared" si="47"/>
        <v>0</v>
      </c>
      <c r="BB676" s="6">
        <f t="shared" si="48"/>
        <v>0</v>
      </c>
      <c r="BC676" s="9" t="str">
        <f t="shared" si="49"/>
        <v/>
      </c>
      <c r="BD676" s="6">
        <f t="shared" si="50"/>
        <v>0</v>
      </c>
      <c r="BE676" s="6">
        <f t="shared" si="51"/>
        <v>0</v>
      </c>
      <c r="BF676" s="9" t="str">
        <f t="shared" si="52"/>
        <v/>
      </c>
      <c r="BG676" s="6">
        <f t="shared" si="53"/>
        <v>0</v>
      </c>
      <c r="BH676" s="6">
        <f t="shared" si="54"/>
        <v>0</v>
      </c>
      <c r="BI676" s="9" t="str">
        <f t="shared" si="55"/>
        <v/>
      </c>
      <c r="BJ676" s="6">
        <f t="shared" si="56"/>
        <v>0</v>
      </c>
      <c r="BK676" s="6">
        <f t="shared" si="57"/>
        <v>0</v>
      </c>
      <c r="BL676" s="6">
        <f t="shared" si="58"/>
        <v>0</v>
      </c>
      <c r="BM676" s="6">
        <f t="shared" si="59"/>
        <v>0</v>
      </c>
      <c r="BN676" s="6">
        <f t="shared" si="60"/>
        <v>0</v>
      </c>
      <c r="BP676" s="6">
        <f t="shared" si="61"/>
        <v>0</v>
      </c>
      <c r="BQ676" s="6" t="b">
        <f ca="1">IFERROR(__xludf.DUMMYFUNCTION("IF(AND(ISERROR(FILTER('Items by Team'!D$2:D3410,'Items by Team'!C$2:C3410 = D676,'Items by Team'!B$2:B3410 = B676)),NOT(A676=""Practice"")),TRUE,FALSE)"),FALSE)</f>
        <v>0</v>
      </c>
      <c r="BR676" s="6">
        <f t="shared" ca="1" si="62"/>
        <v>0</v>
      </c>
    </row>
    <row r="677" spans="1:70">
      <c r="A677" s="6"/>
      <c r="B677" s="6"/>
      <c r="C677" s="6"/>
      <c r="D677" s="6"/>
      <c r="E677" s="6"/>
      <c r="F677" s="6"/>
      <c r="G677" s="6"/>
      <c r="H677" s="6"/>
      <c r="I677" s="6"/>
      <c r="J677" s="6"/>
      <c r="K677" s="6"/>
      <c r="L677" s="6"/>
      <c r="M677" s="6"/>
      <c r="N677" s="6"/>
      <c r="O677" s="6"/>
      <c r="P677" s="6"/>
      <c r="R677" s="6"/>
      <c r="S677" s="6"/>
      <c r="T677" s="6"/>
      <c r="U677" s="6"/>
      <c r="V677" s="6"/>
      <c r="W677" s="6"/>
      <c r="X677" s="6"/>
      <c r="Y677" s="6"/>
      <c r="Z677" s="6"/>
      <c r="AA677" s="6"/>
      <c r="AB677" s="6"/>
      <c r="AD677" s="6"/>
      <c r="AE677" s="6"/>
      <c r="AF677" s="6"/>
      <c r="AG677" s="6"/>
      <c r="AH677" s="6"/>
      <c r="AI677" s="6"/>
      <c r="AK677" s="6"/>
      <c r="AL677" s="6"/>
      <c r="AM677" s="6"/>
      <c r="AN677" s="6"/>
      <c r="AO677" s="6"/>
      <c r="AP677" s="6"/>
      <c r="AQ677" s="6"/>
      <c r="AR677" s="6"/>
      <c r="AS677" s="15"/>
      <c r="AT677" s="6" t="str">
        <f ca="1">IFERROR(__xludf.DUMMYFUNCTION("""COMPUTED_VALUE"""),"#N/A")</f>
        <v>#N/A</v>
      </c>
      <c r="AU677" s="6" t="str">
        <f ca="1">IFERROR(__xludf.DUMMYFUNCTION("""COMPUTED_VALUE"""),"FALSE")</f>
        <v>FALSE</v>
      </c>
      <c r="AV677" s="6">
        <f t="shared" si="42"/>
        <v>0</v>
      </c>
      <c r="AW677" s="6">
        <f t="shared" si="43"/>
        <v>0</v>
      </c>
      <c r="AX677" s="6">
        <f t="shared" si="44"/>
        <v>0</v>
      </c>
      <c r="AY677" s="6">
        <f t="shared" si="45"/>
        <v>0</v>
      </c>
      <c r="AZ677" s="9" t="str">
        <f t="shared" si="46"/>
        <v/>
      </c>
      <c r="BA677" s="6">
        <f t="shared" si="47"/>
        <v>0</v>
      </c>
      <c r="BB677" s="6">
        <f t="shared" si="48"/>
        <v>0</v>
      </c>
      <c r="BC677" s="9" t="str">
        <f t="shared" si="49"/>
        <v/>
      </c>
      <c r="BD677" s="6">
        <f t="shared" si="50"/>
        <v>0</v>
      </c>
      <c r="BE677" s="6">
        <f t="shared" si="51"/>
        <v>0</v>
      </c>
      <c r="BF677" s="9" t="str">
        <f t="shared" si="52"/>
        <v/>
      </c>
      <c r="BG677" s="6">
        <f t="shared" si="53"/>
        <v>0</v>
      </c>
      <c r="BH677" s="6">
        <f t="shared" si="54"/>
        <v>0</v>
      </c>
      <c r="BI677" s="9" t="str">
        <f t="shared" si="55"/>
        <v/>
      </c>
      <c r="BJ677" s="6">
        <f t="shared" si="56"/>
        <v>0</v>
      </c>
      <c r="BK677" s="6">
        <f t="shared" si="57"/>
        <v>0</v>
      </c>
      <c r="BL677" s="6">
        <f t="shared" si="58"/>
        <v>0</v>
      </c>
      <c r="BM677" s="6">
        <f t="shared" si="59"/>
        <v>0</v>
      </c>
      <c r="BN677" s="6">
        <f t="shared" si="60"/>
        <v>0</v>
      </c>
      <c r="BP677" s="6">
        <f t="shared" si="61"/>
        <v>0</v>
      </c>
      <c r="BQ677" s="6" t="b">
        <f ca="1">IFERROR(__xludf.DUMMYFUNCTION("IF(AND(ISERROR(FILTER('Items by Team'!D$2:D3410,'Items by Team'!C$2:C3410 = D677,'Items by Team'!B$2:B3410 = B677)),NOT(A677=""Practice"")),TRUE,FALSE)"),FALSE)</f>
        <v>0</v>
      </c>
      <c r="BR677" s="6">
        <f t="shared" ca="1" si="62"/>
        <v>0</v>
      </c>
    </row>
    <row r="678" spans="1:70">
      <c r="A678" s="6"/>
      <c r="B678" s="6"/>
      <c r="C678" s="6"/>
      <c r="D678" s="6"/>
      <c r="E678" s="6"/>
      <c r="F678" s="6"/>
      <c r="G678" s="6"/>
      <c r="H678" s="6"/>
      <c r="I678" s="6"/>
      <c r="J678" s="6"/>
      <c r="K678" s="6"/>
      <c r="L678" s="6"/>
      <c r="M678" s="6"/>
      <c r="N678" s="6"/>
      <c r="O678" s="6"/>
      <c r="P678" s="6"/>
      <c r="R678" s="6"/>
      <c r="S678" s="6"/>
      <c r="T678" s="6"/>
      <c r="U678" s="6"/>
      <c r="V678" s="6"/>
      <c r="W678" s="6"/>
      <c r="X678" s="6"/>
      <c r="Y678" s="6"/>
      <c r="Z678" s="6"/>
      <c r="AA678" s="6"/>
      <c r="AB678" s="6"/>
      <c r="AD678" s="6"/>
      <c r="AE678" s="6"/>
      <c r="AF678" s="6"/>
      <c r="AG678" s="6"/>
      <c r="AH678" s="6"/>
      <c r="AI678" s="6"/>
      <c r="AK678" s="6"/>
      <c r="AL678" s="6"/>
      <c r="AM678" s="6"/>
      <c r="AN678" s="6"/>
      <c r="AO678" s="6"/>
      <c r="AP678" s="6"/>
      <c r="AQ678" s="6"/>
      <c r="AR678" s="6"/>
      <c r="AS678" s="15"/>
      <c r="AT678" s="6" t="str">
        <f ca="1">IFERROR(__xludf.DUMMYFUNCTION("""COMPUTED_VALUE"""),"#N/A")</f>
        <v>#N/A</v>
      </c>
      <c r="AU678" s="6" t="str">
        <f ca="1">IFERROR(__xludf.DUMMYFUNCTION("""COMPUTED_VALUE"""),"FALSE")</f>
        <v>FALSE</v>
      </c>
      <c r="AV678" s="6">
        <f t="shared" si="42"/>
        <v>0</v>
      </c>
      <c r="AW678" s="6">
        <f t="shared" si="43"/>
        <v>0</v>
      </c>
      <c r="AX678" s="6">
        <f t="shared" si="44"/>
        <v>0</v>
      </c>
      <c r="AY678" s="6">
        <f t="shared" si="45"/>
        <v>0</v>
      </c>
      <c r="AZ678" s="9" t="str">
        <f t="shared" si="46"/>
        <v/>
      </c>
      <c r="BA678" s="6">
        <f t="shared" si="47"/>
        <v>0</v>
      </c>
      <c r="BB678" s="6">
        <f t="shared" si="48"/>
        <v>0</v>
      </c>
      <c r="BC678" s="9" t="str">
        <f t="shared" si="49"/>
        <v/>
      </c>
      <c r="BD678" s="6">
        <f t="shared" si="50"/>
        <v>0</v>
      </c>
      <c r="BE678" s="6">
        <f t="shared" si="51"/>
        <v>0</v>
      </c>
      <c r="BF678" s="9" t="str">
        <f t="shared" si="52"/>
        <v/>
      </c>
      <c r="BG678" s="6">
        <f t="shared" si="53"/>
        <v>0</v>
      </c>
      <c r="BH678" s="6">
        <f t="shared" si="54"/>
        <v>0</v>
      </c>
      <c r="BI678" s="9" t="str">
        <f t="shared" si="55"/>
        <v/>
      </c>
      <c r="BJ678" s="6">
        <f t="shared" si="56"/>
        <v>0</v>
      </c>
      <c r="BK678" s="6">
        <f t="shared" si="57"/>
        <v>0</v>
      </c>
      <c r="BL678" s="6">
        <f t="shared" si="58"/>
        <v>0</v>
      </c>
      <c r="BM678" s="6">
        <f t="shared" si="59"/>
        <v>0</v>
      </c>
      <c r="BN678" s="6">
        <f t="shared" si="60"/>
        <v>0</v>
      </c>
      <c r="BP678" s="6">
        <f t="shared" si="61"/>
        <v>0</v>
      </c>
      <c r="BQ678" s="6" t="b">
        <f ca="1">IFERROR(__xludf.DUMMYFUNCTION("IF(AND(ISERROR(FILTER('Items by Team'!D$2:D3410,'Items by Team'!C$2:C3410 = D678,'Items by Team'!B$2:B3410 = B678)),NOT(A678=""Practice"")),TRUE,FALSE)"),FALSE)</f>
        <v>0</v>
      </c>
      <c r="BR678" s="6">
        <f t="shared" ca="1" si="62"/>
        <v>0</v>
      </c>
    </row>
    <row r="679" spans="1:70">
      <c r="A679" s="6"/>
      <c r="B679" s="6"/>
      <c r="C679" s="6"/>
      <c r="D679" s="6"/>
      <c r="E679" s="6"/>
      <c r="F679" s="6"/>
      <c r="G679" s="6"/>
      <c r="H679" s="6"/>
      <c r="I679" s="6"/>
      <c r="J679" s="6"/>
      <c r="K679" s="6"/>
      <c r="L679" s="6"/>
      <c r="M679" s="6"/>
      <c r="N679" s="6"/>
      <c r="O679" s="6"/>
      <c r="P679" s="6"/>
      <c r="R679" s="6"/>
      <c r="S679" s="6"/>
      <c r="T679" s="6"/>
      <c r="U679" s="6"/>
      <c r="V679" s="6"/>
      <c r="W679" s="6"/>
      <c r="X679" s="6"/>
      <c r="Y679" s="6"/>
      <c r="Z679" s="6"/>
      <c r="AA679" s="6"/>
      <c r="AB679" s="6"/>
      <c r="AD679" s="6"/>
      <c r="AE679" s="6"/>
      <c r="AF679" s="6"/>
      <c r="AG679" s="6"/>
      <c r="AH679" s="6"/>
      <c r="AI679" s="6"/>
      <c r="AK679" s="6"/>
      <c r="AL679" s="6"/>
      <c r="AM679" s="6"/>
      <c r="AN679" s="6"/>
      <c r="AO679" s="6"/>
      <c r="AP679" s="6"/>
      <c r="AQ679" s="6"/>
      <c r="AR679" s="6"/>
      <c r="AS679" s="15"/>
      <c r="AT679" s="6" t="str">
        <f ca="1">IFERROR(__xludf.DUMMYFUNCTION("""COMPUTED_VALUE"""),"#N/A")</f>
        <v>#N/A</v>
      </c>
      <c r="AU679" s="6" t="str">
        <f ca="1">IFERROR(__xludf.DUMMYFUNCTION("""COMPUTED_VALUE"""),"FALSE")</f>
        <v>FALSE</v>
      </c>
      <c r="AV679" s="6">
        <f t="shared" si="42"/>
        <v>0</v>
      </c>
      <c r="AW679" s="6">
        <f t="shared" si="43"/>
        <v>0</v>
      </c>
      <c r="AX679" s="6">
        <f t="shared" si="44"/>
        <v>0</v>
      </c>
      <c r="AY679" s="6">
        <f t="shared" si="45"/>
        <v>0</v>
      </c>
      <c r="AZ679" s="9" t="str">
        <f t="shared" si="46"/>
        <v/>
      </c>
      <c r="BA679" s="6">
        <f t="shared" si="47"/>
        <v>0</v>
      </c>
      <c r="BB679" s="6">
        <f t="shared" si="48"/>
        <v>0</v>
      </c>
      <c r="BC679" s="9" t="str">
        <f t="shared" si="49"/>
        <v/>
      </c>
      <c r="BD679" s="6">
        <f t="shared" si="50"/>
        <v>0</v>
      </c>
      <c r="BE679" s="6">
        <f t="shared" si="51"/>
        <v>0</v>
      </c>
      <c r="BF679" s="9" t="str">
        <f t="shared" si="52"/>
        <v/>
      </c>
      <c r="BG679" s="6">
        <f t="shared" si="53"/>
        <v>0</v>
      </c>
      <c r="BH679" s="6">
        <f t="shared" si="54"/>
        <v>0</v>
      </c>
      <c r="BI679" s="9" t="str">
        <f t="shared" si="55"/>
        <v/>
      </c>
      <c r="BJ679" s="6">
        <f t="shared" si="56"/>
        <v>0</v>
      </c>
      <c r="BK679" s="6">
        <f t="shared" si="57"/>
        <v>0</v>
      </c>
      <c r="BL679" s="6">
        <f t="shared" si="58"/>
        <v>0</v>
      </c>
      <c r="BM679" s="6">
        <f t="shared" si="59"/>
        <v>0</v>
      </c>
      <c r="BN679" s="6">
        <f t="shared" si="60"/>
        <v>0</v>
      </c>
      <c r="BP679" s="6">
        <f t="shared" si="61"/>
        <v>0</v>
      </c>
      <c r="BQ679" s="6" t="b">
        <f ca="1">IFERROR(__xludf.DUMMYFUNCTION("IF(AND(ISERROR(FILTER('Items by Team'!D$2:D3410,'Items by Team'!C$2:C3410 = D679,'Items by Team'!B$2:B3410 = B679)),NOT(A679=""Practice"")),TRUE,FALSE)"),FALSE)</f>
        <v>0</v>
      </c>
      <c r="BR679" s="6">
        <f t="shared" ca="1" si="62"/>
        <v>0</v>
      </c>
    </row>
    <row r="680" spans="1:70">
      <c r="A680" s="6"/>
      <c r="B680" s="6"/>
      <c r="C680" s="6"/>
      <c r="D680" s="6"/>
      <c r="E680" s="6"/>
      <c r="F680" s="6"/>
      <c r="G680" s="6"/>
      <c r="H680" s="6"/>
      <c r="I680" s="6"/>
      <c r="J680" s="6"/>
      <c r="K680" s="6"/>
      <c r="L680" s="6"/>
      <c r="M680" s="6"/>
      <c r="N680" s="6"/>
      <c r="O680" s="6"/>
      <c r="P680" s="6"/>
      <c r="R680" s="6"/>
      <c r="S680" s="6"/>
      <c r="T680" s="6"/>
      <c r="U680" s="6"/>
      <c r="V680" s="6"/>
      <c r="W680" s="6"/>
      <c r="X680" s="6"/>
      <c r="Y680" s="6"/>
      <c r="Z680" s="6"/>
      <c r="AA680" s="6"/>
      <c r="AB680" s="6"/>
      <c r="AD680" s="6"/>
      <c r="AE680" s="6"/>
      <c r="AF680" s="6"/>
      <c r="AG680" s="6"/>
      <c r="AH680" s="6"/>
      <c r="AI680" s="6"/>
      <c r="AK680" s="6"/>
      <c r="AL680" s="6"/>
      <c r="AM680" s="6"/>
      <c r="AN680" s="6"/>
      <c r="AO680" s="6"/>
      <c r="AP680" s="6"/>
      <c r="AQ680" s="6"/>
      <c r="AR680" s="6"/>
      <c r="AS680" s="15"/>
      <c r="AT680" s="6" t="str">
        <f ca="1">IFERROR(__xludf.DUMMYFUNCTION("""COMPUTED_VALUE"""),"#N/A")</f>
        <v>#N/A</v>
      </c>
      <c r="AU680" s="6" t="str">
        <f ca="1">IFERROR(__xludf.DUMMYFUNCTION("""COMPUTED_VALUE"""),"FALSE")</f>
        <v>FALSE</v>
      </c>
      <c r="AV680" s="6">
        <f t="shared" si="42"/>
        <v>0</v>
      </c>
      <c r="AW680" s="6">
        <f t="shared" si="43"/>
        <v>0</v>
      </c>
      <c r="AX680" s="6">
        <f t="shared" si="44"/>
        <v>0</v>
      </c>
      <c r="AY680" s="6">
        <f t="shared" si="45"/>
        <v>0</v>
      </c>
      <c r="AZ680" s="9" t="str">
        <f t="shared" si="46"/>
        <v/>
      </c>
      <c r="BA680" s="6">
        <f t="shared" si="47"/>
        <v>0</v>
      </c>
      <c r="BB680" s="6">
        <f t="shared" si="48"/>
        <v>0</v>
      </c>
      <c r="BC680" s="9" t="str">
        <f t="shared" si="49"/>
        <v/>
      </c>
      <c r="BD680" s="6">
        <f t="shared" si="50"/>
        <v>0</v>
      </c>
      <c r="BE680" s="6">
        <f t="shared" si="51"/>
        <v>0</v>
      </c>
      <c r="BF680" s="9" t="str">
        <f t="shared" si="52"/>
        <v/>
      </c>
      <c r="BG680" s="6">
        <f t="shared" si="53"/>
        <v>0</v>
      </c>
      <c r="BH680" s="6">
        <f t="shared" si="54"/>
        <v>0</v>
      </c>
      <c r="BI680" s="9" t="str">
        <f t="shared" si="55"/>
        <v/>
      </c>
      <c r="BJ680" s="6">
        <f t="shared" si="56"/>
        <v>0</v>
      </c>
      <c r="BK680" s="6">
        <f t="shared" si="57"/>
        <v>0</v>
      </c>
      <c r="BL680" s="6">
        <f t="shared" si="58"/>
        <v>0</v>
      </c>
      <c r="BM680" s="6">
        <f t="shared" si="59"/>
        <v>0</v>
      </c>
      <c r="BN680" s="6">
        <f t="shared" si="60"/>
        <v>0</v>
      </c>
      <c r="BP680" s="6">
        <f t="shared" si="61"/>
        <v>0</v>
      </c>
      <c r="BQ680" s="6" t="b">
        <f ca="1">IFERROR(__xludf.DUMMYFUNCTION("IF(AND(ISERROR(FILTER('Items by Team'!D$2:D3410,'Items by Team'!C$2:C3410 = D680,'Items by Team'!B$2:B3410 = B680)),NOT(A680=""Practice"")),TRUE,FALSE)"),FALSE)</f>
        <v>0</v>
      </c>
      <c r="BR680" s="6">
        <f t="shared" ca="1" si="62"/>
        <v>0</v>
      </c>
    </row>
    <row r="681" spans="1:70">
      <c r="A681" s="6"/>
      <c r="B681" s="6"/>
      <c r="C681" s="6"/>
      <c r="D681" s="6"/>
      <c r="E681" s="6"/>
      <c r="F681" s="6"/>
      <c r="G681" s="6"/>
      <c r="H681" s="6"/>
      <c r="I681" s="6"/>
      <c r="J681" s="6"/>
      <c r="K681" s="6"/>
      <c r="L681" s="6"/>
      <c r="M681" s="6"/>
      <c r="N681" s="6"/>
      <c r="O681" s="6"/>
      <c r="P681" s="6"/>
      <c r="R681" s="6"/>
      <c r="S681" s="6"/>
      <c r="T681" s="6"/>
      <c r="U681" s="6"/>
      <c r="V681" s="6"/>
      <c r="W681" s="6"/>
      <c r="X681" s="6"/>
      <c r="Y681" s="6"/>
      <c r="Z681" s="6"/>
      <c r="AA681" s="6"/>
      <c r="AB681" s="6"/>
      <c r="AD681" s="6"/>
      <c r="AE681" s="6"/>
      <c r="AF681" s="6"/>
      <c r="AG681" s="6"/>
      <c r="AH681" s="6"/>
      <c r="AI681" s="6"/>
      <c r="AK681" s="6"/>
      <c r="AL681" s="6"/>
      <c r="AM681" s="6"/>
      <c r="AN681" s="6"/>
      <c r="AO681" s="6"/>
      <c r="AP681" s="6"/>
      <c r="AQ681" s="6"/>
      <c r="AR681" s="6"/>
      <c r="AS681" s="15"/>
      <c r="AT681" s="6" t="str">
        <f ca="1">IFERROR(__xludf.DUMMYFUNCTION("""COMPUTED_VALUE"""),"#N/A")</f>
        <v>#N/A</v>
      </c>
      <c r="AU681" s="6" t="str">
        <f ca="1">IFERROR(__xludf.DUMMYFUNCTION("""COMPUTED_VALUE"""),"FALSE")</f>
        <v>FALSE</v>
      </c>
      <c r="AV681" s="6">
        <f t="shared" si="42"/>
        <v>0</v>
      </c>
      <c r="AW681" s="6">
        <f t="shared" si="43"/>
        <v>0</v>
      </c>
      <c r="AX681" s="6">
        <f t="shared" si="44"/>
        <v>0</v>
      </c>
      <c r="AY681" s="6">
        <f t="shared" si="45"/>
        <v>0</v>
      </c>
      <c r="AZ681" s="9" t="str">
        <f t="shared" si="46"/>
        <v/>
      </c>
      <c r="BA681" s="6">
        <f t="shared" si="47"/>
        <v>0</v>
      </c>
      <c r="BB681" s="6">
        <f t="shared" si="48"/>
        <v>0</v>
      </c>
      <c r="BC681" s="9" t="str">
        <f t="shared" si="49"/>
        <v/>
      </c>
      <c r="BD681" s="6">
        <f t="shared" si="50"/>
        <v>0</v>
      </c>
      <c r="BE681" s="6">
        <f t="shared" si="51"/>
        <v>0</v>
      </c>
      <c r="BF681" s="9" t="str">
        <f t="shared" si="52"/>
        <v/>
      </c>
      <c r="BG681" s="6">
        <f t="shared" si="53"/>
        <v>0</v>
      </c>
      <c r="BH681" s="6">
        <f t="shared" si="54"/>
        <v>0</v>
      </c>
      <c r="BI681" s="9" t="str">
        <f t="shared" si="55"/>
        <v/>
      </c>
      <c r="BJ681" s="6">
        <f t="shared" si="56"/>
        <v>0</v>
      </c>
      <c r="BK681" s="6">
        <f t="shared" si="57"/>
        <v>0</v>
      </c>
      <c r="BL681" s="6">
        <f t="shared" si="58"/>
        <v>0</v>
      </c>
      <c r="BM681" s="6">
        <f t="shared" si="59"/>
        <v>0</v>
      </c>
      <c r="BN681" s="6">
        <f t="shared" si="60"/>
        <v>0</v>
      </c>
      <c r="BP681" s="6">
        <f t="shared" si="61"/>
        <v>0</v>
      </c>
      <c r="BQ681" s="6" t="b">
        <f ca="1">IFERROR(__xludf.DUMMYFUNCTION("IF(AND(ISERROR(FILTER('Items by Team'!D$2:D3410,'Items by Team'!C$2:C3410 = D681,'Items by Team'!B$2:B3410 = B681)),NOT(A681=""Practice"")),TRUE,FALSE)"),FALSE)</f>
        <v>0</v>
      </c>
      <c r="BR681" s="6">
        <f t="shared" ca="1" si="62"/>
        <v>0</v>
      </c>
    </row>
    <row r="682" spans="1:70">
      <c r="A682" s="6"/>
      <c r="B682" s="6"/>
      <c r="C682" s="6"/>
      <c r="D682" s="6"/>
      <c r="E682" s="6"/>
      <c r="F682" s="6"/>
      <c r="G682" s="6"/>
      <c r="H682" s="6"/>
      <c r="I682" s="6"/>
      <c r="J682" s="6"/>
      <c r="K682" s="6"/>
      <c r="L682" s="6"/>
      <c r="M682" s="6"/>
      <c r="N682" s="6"/>
      <c r="O682" s="6"/>
      <c r="P682" s="6"/>
      <c r="R682" s="6"/>
      <c r="S682" s="6"/>
      <c r="T682" s="6"/>
      <c r="U682" s="6"/>
      <c r="V682" s="6"/>
      <c r="W682" s="6"/>
      <c r="X682" s="6"/>
      <c r="Y682" s="6"/>
      <c r="Z682" s="6"/>
      <c r="AA682" s="6"/>
      <c r="AB682" s="6"/>
      <c r="AD682" s="6"/>
      <c r="AE682" s="6"/>
      <c r="AF682" s="6"/>
      <c r="AG682" s="6"/>
      <c r="AH682" s="6"/>
      <c r="AI682" s="6"/>
      <c r="AK682" s="6"/>
      <c r="AL682" s="6"/>
      <c r="AM682" s="6"/>
      <c r="AN682" s="6"/>
      <c r="AO682" s="6"/>
      <c r="AP682" s="6"/>
      <c r="AQ682" s="6"/>
      <c r="AR682" s="6"/>
      <c r="AS682" s="15"/>
      <c r="AT682" s="6" t="str">
        <f ca="1">IFERROR(__xludf.DUMMYFUNCTION("""COMPUTED_VALUE"""),"#N/A")</f>
        <v>#N/A</v>
      </c>
      <c r="AU682" s="6" t="str">
        <f ca="1">IFERROR(__xludf.DUMMYFUNCTION("""COMPUTED_VALUE"""),"FALSE")</f>
        <v>FALSE</v>
      </c>
      <c r="AV682" s="6">
        <f t="shared" si="42"/>
        <v>0</v>
      </c>
      <c r="AW682" s="6">
        <f t="shared" si="43"/>
        <v>0</v>
      </c>
      <c r="AX682" s="6">
        <f t="shared" si="44"/>
        <v>0</v>
      </c>
      <c r="AY682" s="6">
        <f t="shared" si="45"/>
        <v>0</v>
      </c>
      <c r="AZ682" s="9" t="str">
        <f t="shared" si="46"/>
        <v/>
      </c>
      <c r="BA682" s="6">
        <f t="shared" si="47"/>
        <v>0</v>
      </c>
      <c r="BB682" s="6">
        <f t="shared" si="48"/>
        <v>0</v>
      </c>
      <c r="BC682" s="9" t="str">
        <f t="shared" si="49"/>
        <v/>
      </c>
      <c r="BD682" s="6">
        <f t="shared" si="50"/>
        <v>0</v>
      </c>
      <c r="BE682" s="6">
        <f t="shared" si="51"/>
        <v>0</v>
      </c>
      <c r="BF682" s="9" t="str">
        <f t="shared" si="52"/>
        <v/>
      </c>
      <c r="BG682" s="6">
        <f t="shared" si="53"/>
        <v>0</v>
      </c>
      <c r="BH682" s="6">
        <f t="shared" si="54"/>
        <v>0</v>
      </c>
      <c r="BI682" s="9" t="str">
        <f t="shared" si="55"/>
        <v/>
      </c>
      <c r="BJ682" s="6">
        <f t="shared" si="56"/>
        <v>0</v>
      </c>
      <c r="BK682" s="6">
        <f t="shared" si="57"/>
        <v>0</v>
      </c>
      <c r="BL682" s="6">
        <f t="shared" si="58"/>
        <v>0</v>
      </c>
      <c r="BM682" s="6">
        <f t="shared" si="59"/>
        <v>0</v>
      </c>
      <c r="BN682" s="6">
        <f t="shared" si="60"/>
        <v>0</v>
      </c>
      <c r="BP682" s="6">
        <f t="shared" si="61"/>
        <v>0</v>
      </c>
      <c r="BQ682" s="6" t="b">
        <f ca="1">IFERROR(__xludf.DUMMYFUNCTION("IF(AND(ISERROR(FILTER('Items by Team'!D$2:D3410,'Items by Team'!C$2:C3410 = D682,'Items by Team'!B$2:B3410 = B682)),NOT(A682=""Practice"")),TRUE,FALSE)"),FALSE)</f>
        <v>0</v>
      </c>
      <c r="BR682" s="6">
        <f t="shared" ca="1" si="62"/>
        <v>0</v>
      </c>
    </row>
    <row r="683" spans="1:70">
      <c r="A683" s="6"/>
      <c r="B683" s="6"/>
      <c r="C683" s="6"/>
      <c r="D683" s="6"/>
      <c r="E683" s="6"/>
      <c r="F683" s="6"/>
      <c r="G683" s="6"/>
      <c r="H683" s="6"/>
      <c r="I683" s="6"/>
      <c r="J683" s="6"/>
      <c r="K683" s="6"/>
      <c r="L683" s="6"/>
      <c r="M683" s="6"/>
      <c r="N683" s="6"/>
      <c r="O683" s="6"/>
      <c r="P683" s="6"/>
      <c r="R683" s="6"/>
      <c r="S683" s="6"/>
      <c r="T683" s="6"/>
      <c r="U683" s="6"/>
      <c r="V683" s="6"/>
      <c r="W683" s="6"/>
      <c r="X683" s="6"/>
      <c r="Y683" s="6"/>
      <c r="Z683" s="6"/>
      <c r="AA683" s="6"/>
      <c r="AB683" s="6"/>
      <c r="AD683" s="6"/>
      <c r="AE683" s="6"/>
      <c r="AF683" s="6"/>
      <c r="AG683" s="6"/>
      <c r="AH683" s="6"/>
      <c r="AI683" s="6"/>
      <c r="AK683" s="6"/>
      <c r="AL683" s="6"/>
      <c r="AM683" s="6"/>
      <c r="AN683" s="6"/>
      <c r="AO683" s="6"/>
      <c r="AP683" s="6"/>
      <c r="AQ683" s="6"/>
      <c r="AR683" s="6"/>
      <c r="AS683" s="15"/>
      <c r="AT683" s="6" t="str">
        <f ca="1">IFERROR(__xludf.DUMMYFUNCTION("""COMPUTED_VALUE"""),"#N/A")</f>
        <v>#N/A</v>
      </c>
      <c r="AU683" s="6" t="str">
        <f ca="1">IFERROR(__xludf.DUMMYFUNCTION("""COMPUTED_VALUE"""),"FALSE")</f>
        <v>FALSE</v>
      </c>
      <c r="AV683" s="6">
        <f t="shared" si="42"/>
        <v>0</v>
      </c>
      <c r="AW683" s="6">
        <f t="shared" si="43"/>
        <v>0</v>
      </c>
      <c r="AX683" s="6">
        <f t="shared" si="44"/>
        <v>0</v>
      </c>
      <c r="AY683" s="6">
        <f t="shared" si="45"/>
        <v>0</v>
      </c>
      <c r="AZ683" s="9" t="str">
        <f t="shared" si="46"/>
        <v/>
      </c>
      <c r="BA683" s="6">
        <f t="shared" si="47"/>
        <v>0</v>
      </c>
      <c r="BB683" s="6">
        <f t="shared" si="48"/>
        <v>0</v>
      </c>
      <c r="BC683" s="9" t="str">
        <f t="shared" si="49"/>
        <v/>
      </c>
      <c r="BD683" s="6">
        <f t="shared" si="50"/>
        <v>0</v>
      </c>
      <c r="BE683" s="6">
        <f t="shared" si="51"/>
        <v>0</v>
      </c>
      <c r="BF683" s="9" t="str">
        <f t="shared" si="52"/>
        <v/>
      </c>
      <c r="BG683" s="6">
        <f t="shared" si="53"/>
        <v>0</v>
      </c>
      <c r="BH683" s="6">
        <f t="shared" si="54"/>
        <v>0</v>
      </c>
      <c r="BI683" s="9" t="str">
        <f t="shared" si="55"/>
        <v/>
      </c>
      <c r="BJ683" s="6">
        <f t="shared" si="56"/>
        <v>0</v>
      </c>
      <c r="BK683" s="6">
        <f t="shared" si="57"/>
        <v>0</v>
      </c>
      <c r="BL683" s="6">
        <f t="shared" si="58"/>
        <v>0</v>
      </c>
      <c r="BM683" s="6">
        <f t="shared" si="59"/>
        <v>0</v>
      </c>
      <c r="BN683" s="6">
        <f t="shared" si="60"/>
        <v>0</v>
      </c>
      <c r="BP683" s="6">
        <f t="shared" si="61"/>
        <v>0</v>
      </c>
      <c r="BQ683" s="6" t="b">
        <f ca="1">IFERROR(__xludf.DUMMYFUNCTION("IF(AND(ISERROR(FILTER('Items by Team'!D$2:D3410,'Items by Team'!C$2:C3410 = D683,'Items by Team'!B$2:B3410 = B683)),NOT(A683=""Practice"")),TRUE,FALSE)"),FALSE)</f>
        <v>0</v>
      </c>
      <c r="BR683" s="6">
        <f t="shared" ca="1" si="62"/>
        <v>0</v>
      </c>
    </row>
    <row r="684" spans="1:70">
      <c r="A684" s="6"/>
      <c r="B684" s="6"/>
      <c r="C684" s="6"/>
      <c r="D684" s="6"/>
      <c r="E684" s="6"/>
      <c r="F684" s="6"/>
      <c r="G684" s="6"/>
      <c r="H684" s="6"/>
      <c r="I684" s="6"/>
      <c r="J684" s="6"/>
      <c r="K684" s="6"/>
      <c r="L684" s="6"/>
      <c r="M684" s="6"/>
      <c r="N684" s="6"/>
      <c r="O684" s="6"/>
      <c r="P684" s="6"/>
      <c r="R684" s="6"/>
      <c r="S684" s="6"/>
      <c r="T684" s="6"/>
      <c r="U684" s="6"/>
      <c r="V684" s="6"/>
      <c r="W684" s="6"/>
      <c r="X684" s="6"/>
      <c r="Y684" s="6"/>
      <c r="Z684" s="6"/>
      <c r="AA684" s="6"/>
      <c r="AB684" s="6"/>
      <c r="AD684" s="6"/>
      <c r="AE684" s="6"/>
      <c r="AF684" s="6"/>
      <c r="AG684" s="6"/>
      <c r="AH684" s="6"/>
      <c r="AI684" s="6"/>
      <c r="AK684" s="6"/>
      <c r="AL684" s="6"/>
      <c r="AM684" s="6"/>
      <c r="AN684" s="6"/>
      <c r="AO684" s="6"/>
      <c r="AP684" s="6"/>
      <c r="AQ684" s="6"/>
      <c r="AR684" s="6"/>
      <c r="AS684" s="15"/>
      <c r="AT684" s="6" t="str">
        <f ca="1">IFERROR(__xludf.DUMMYFUNCTION("""COMPUTED_VALUE"""),"#N/A")</f>
        <v>#N/A</v>
      </c>
      <c r="AU684" s="6" t="str">
        <f ca="1">IFERROR(__xludf.DUMMYFUNCTION("""COMPUTED_VALUE"""),"FALSE")</f>
        <v>FALSE</v>
      </c>
      <c r="AV684" s="6">
        <f t="shared" si="42"/>
        <v>0</v>
      </c>
      <c r="AW684" s="6">
        <f t="shared" si="43"/>
        <v>0</v>
      </c>
      <c r="AX684" s="6">
        <f t="shared" si="44"/>
        <v>0</v>
      </c>
      <c r="AY684" s="6">
        <f t="shared" si="45"/>
        <v>0</v>
      </c>
      <c r="AZ684" s="9" t="str">
        <f t="shared" si="46"/>
        <v/>
      </c>
      <c r="BA684" s="6">
        <f t="shared" si="47"/>
        <v>0</v>
      </c>
      <c r="BB684" s="6">
        <f t="shared" si="48"/>
        <v>0</v>
      </c>
      <c r="BC684" s="9" t="str">
        <f t="shared" si="49"/>
        <v/>
      </c>
      <c r="BD684" s="6">
        <f t="shared" si="50"/>
        <v>0</v>
      </c>
      <c r="BE684" s="6">
        <f t="shared" si="51"/>
        <v>0</v>
      </c>
      <c r="BF684" s="9" t="str">
        <f t="shared" si="52"/>
        <v/>
      </c>
      <c r="BG684" s="6">
        <f t="shared" si="53"/>
        <v>0</v>
      </c>
      <c r="BH684" s="6">
        <f t="shared" si="54"/>
        <v>0</v>
      </c>
      <c r="BI684" s="9" t="str">
        <f t="shared" si="55"/>
        <v/>
      </c>
      <c r="BJ684" s="6">
        <f t="shared" si="56"/>
        <v>0</v>
      </c>
      <c r="BK684" s="6">
        <f t="shared" si="57"/>
        <v>0</v>
      </c>
      <c r="BL684" s="6">
        <f t="shared" si="58"/>
        <v>0</v>
      </c>
      <c r="BM684" s="6">
        <f t="shared" si="59"/>
        <v>0</v>
      </c>
      <c r="BN684" s="6">
        <f t="shared" si="60"/>
        <v>0</v>
      </c>
      <c r="BP684" s="6">
        <f t="shared" si="61"/>
        <v>0</v>
      </c>
      <c r="BQ684" s="6" t="b">
        <f ca="1">IFERROR(__xludf.DUMMYFUNCTION("IF(AND(ISERROR(FILTER('Items by Team'!D$2:D3410,'Items by Team'!C$2:C3410 = D684,'Items by Team'!B$2:B3410 = B684)),NOT(A684=""Practice"")),TRUE,FALSE)"),FALSE)</f>
        <v>0</v>
      </c>
      <c r="BR684" s="6">
        <f t="shared" ca="1" si="62"/>
        <v>0</v>
      </c>
    </row>
    <row r="685" spans="1:70">
      <c r="A685" s="6"/>
      <c r="B685" s="6"/>
      <c r="C685" s="6"/>
      <c r="D685" s="6"/>
      <c r="E685" s="6"/>
      <c r="F685" s="6"/>
      <c r="G685" s="6"/>
      <c r="H685" s="6"/>
      <c r="I685" s="6"/>
      <c r="J685" s="6"/>
      <c r="K685" s="6"/>
      <c r="L685" s="6"/>
      <c r="M685" s="6"/>
      <c r="N685" s="6"/>
      <c r="O685" s="6"/>
      <c r="P685" s="6"/>
      <c r="R685" s="6"/>
      <c r="S685" s="6"/>
      <c r="T685" s="6"/>
      <c r="U685" s="6"/>
      <c r="V685" s="6"/>
      <c r="W685" s="6"/>
      <c r="X685" s="6"/>
      <c r="Y685" s="6"/>
      <c r="Z685" s="6"/>
      <c r="AA685" s="6"/>
      <c r="AB685" s="6"/>
      <c r="AD685" s="6"/>
      <c r="AE685" s="6"/>
      <c r="AF685" s="6"/>
      <c r="AG685" s="6"/>
      <c r="AH685" s="6"/>
      <c r="AI685" s="6"/>
      <c r="AK685" s="6"/>
      <c r="AL685" s="6"/>
      <c r="AM685" s="6"/>
      <c r="AN685" s="6"/>
      <c r="AO685" s="6"/>
      <c r="AP685" s="6"/>
      <c r="AQ685" s="6"/>
      <c r="AR685" s="6"/>
      <c r="AS685" s="15"/>
      <c r="AT685" s="6" t="str">
        <f ca="1">IFERROR(__xludf.DUMMYFUNCTION("""COMPUTED_VALUE"""),"#N/A")</f>
        <v>#N/A</v>
      </c>
      <c r="AU685" s="6" t="str">
        <f ca="1">IFERROR(__xludf.DUMMYFUNCTION("""COMPUTED_VALUE"""),"FALSE")</f>
        <v>FALSE</v>
      </c>
      <c r="AV685" s="6">
        <f t="shared" si="42"/>
        <v>0</v>
      </c>
      <c r="AW685" s="6">
        <f t="shared" si="43"/>
        <v>0</v>
      </c>
      <c r="AX685" s="6">
        <f t="shared" si="44"/>
        <v>0</v>
      </c>
      <c r="AY685" s="6">
        <f t="shared" si="45"/>
        <v>0</v>
      </c>
      <c r="AZ685" s="9" t="str">
        <f t="shared" si="46"/>
        <v/>
      </c>
      <c r="BA685" s="6">
        <f t="shared" si="47"/>
        <v>0</v>
      </c>
      <c r="BB685" s="6">
        <f t="shared" si="48"/>
        <v>0</v>
      </c>
      <c r="BC685" s="9" t="str">
        <f t="shared" si="49"/>
        <v/>
      </c>
      <c r="BD685" s="6">
        <f t="shared" si="50"/>
        <v>0</v>
      </c>
      <c r="BE685" s="6">
        <f t="shared" si="51"/>
        <v>0</v>
      </c>
      <c r="BF685" s="9" t="str">
        <f t="shared" si="52"/>
        <v/>
      </c>
      <c r="BG685" s="6">
        <f t="shared" si="53"/>
        <v>0</v>
      </c>
      <c r="BH685" s="6">
        <f t="shared" si="54"/>
        <v>0</v>
      </c>
      <c r="BI685" s="9" t="str">
        <f t="shared" si="55"/>
        <v/>
      </c>
      <c r="BJ685" s="6">
        <f t="shared" si="56"/>
        <v>0</v>
      </c>
      <c r="BK685" s="6">
        <f t="shared" si="57"/>
        <v>0</v>
      </c>
      <c r="BL685" s="6">
        <f t="shared" si="58"/>
        <v>0</v>
      </c>
      <c r="BM685" s="6">
        <f t="shared" si="59"/>
        <v>0</v>
      </c>
      <c r="BN685" s="6">
        <f t="shared" si="60"/>
        <v>0</v>
      </c>
      <c r="BP685" s="6">
        <f t="shared" si="61"/>
        <v>0</v>
      </c>
      <c r="BQ685" s="6" t="b">
        <f ca="1">IFERROR(__xludf.DUMMYFUNCTION("IF(AND(ISERROR(FILTER('Items by Team'!D$2:D3410,'Items by Team'!C$2:C3410 = D685,'Items by Team'!B$2:B3410 = B685)),NOT(A685=""Practice"")),TRUE,FALSE)"),FALSE)</f>
        <v>0</v>
      </c>
      <c r="BR685" s="6">
        <f t="shared" ca="1" si="62"/>
        <v>0</v>
      </c>
    </row>
    <row r="686" spans="1:70">
      <c r="A686" s="6"/>
      <c r="B686" s="6"/>
      <c r="C686" s="6"/>
      <c r="D686" s="6"/>
      <c r="E686" s="6"/>
      <c r="F686" s="6"/>
      <c r="G686" s="6"/>
      <c r="H686" s="6"/>
      <c r="I686" s="6"/>
      <c r="J686" s="6"/>
      <c r="K686" s="6"/>
      <c r="L686" s="6"/>
      <c r="M686" s="6"/>
      <c r="N686" s="6"/>
      <c r="O686" s="6"/>
      <c r="P686" s="6"/>
      <c r="R686" s="6"/>
      <c r="S686" s="6"/>
      <c r="T686" s="6"/>
      <c r="U686" s="6"/>
      <c r="V686" s="6"/>
      <c r="W686" s="6"/>
      <c r="X686" s="6"/>
      <c r="Y686" s="6"/>
      <c r="Z686" s="6"/>
      <c r="AA686" s="6"/>
      <c r="AB686" s="6"/>
      <c r="AD686" s="6"/>
      <c r="AE686" s="6"/>
      <c r="AF686" s="6"/>
      <c r="AG686" s="6"/>
      <c r="AH686" s="6"/>
      <c r="AI686" s="6"/>
      <c r="AK686" s="6"/>
      <c r="AL686" s="6"/>
      <c r="AM686" s="6"/>
      <c r="AN686" s="6"/>
      <c r="AO686" s="6"/>
      <c r="AP686" s="6"/>
      <c r="AQ686" s="6"/>
      <c r="AR686" s="6"/>
      <c r="AS686" s="15"/>
      <c r="AT686" s="6" t="str">
        <f ca="1">IFERROR(__xludf.DUMMYFUNCTION("""COMPUTED_VALUE"""),"#N/A")</f>
        <v>#N/A</v>
      </c>
      <c r="AU686" s="6" t="str">
        <f ca="1">IFERROR(__xludf.DUMMYFUNCTION("""COMPUTED_VALUE"""),"FALSE")</f>
        <v>FALSE</v>
      </c>
      <c r="AV686" s="6">
        <f t="shared" si="42"/>
        <v>0</v>
      </c>
      <c r="AW686" s="6">
        <f t="shared" si="43"/>
        <v>0</v>
      </c>
      <c r="AX686" s="6">
        <f t="shared" si="44"/>
        <v>0</v>
      </c>
      <c r="AY686" s="6">
        <f t="shared" si="45"/>
        <v>0</v>
      </c>
      <c r="AZ686" s="9" t="str">
        <f t="shared" si="46"/>
        <v/>
      </c>
      <c r="BA686" s="6">
        <f t="shared" si="47"/>
        <v>0</v>
      </c>
      <c r="BB686" s="6">
        <f t="shared" si="48"/>
        <v>0</v>
      </c>
      <c r="BC686" s="9" t="str">
        <f t="shared" si="49"/>
        <v/>
      </c>
      <c r="BD686" s="6">
        <f t="shared" si="50"/>
        <v>0</v>
      </c>
      <c r="BE686" s="6">
        <f t="shared" si="51"/>
        <v>0</v>
      </c>
      <c r="BF686" s="9" t="str">
        <f t="shared" si="52"/>
        <v/>
      </c>
      <c r="BG686" s="6">
        <f t="shared" si="53"/>
        <v>0</v>
      </c>
      <c r="BH686" s="6">
        <f t="shared" si="54"/>
        <v>0</v>
      </c>
      <c r="BI686" s="9" t="str">
        <f t="shared" si="55"/>
        <v/>
      </c>
      <c r="BJ686" s="6">
        <f t="shared" si="56"/>
        <v>0</v>
      </c>
      <c r="BK686" s="6">
        <f t="shared" si="57"/>
        <v>0</v>
      </c>
      <c r="BL686" s="6">
        <f t="shared" si="58"/>
        <v>0</v>
      </c>
      <c r="BM686" s="6">
        <f t="shared" si="59"/>
        <v>0</v>
      </c>
      <c r="BN686" s="6">
        <f t="shared" si="60"/>
        <v>0</v>
      </c>
      <c r="BP686" s="6">
        <f t="shared" si="61"/>
        <v>0</v>
      </c>
      <c r="BQ686" s="6" t="b">
        <f ca="1">IFERROR(__xludf.DUMMYFUNCTION("IF(AND(ISERROR(FILTER('Items by Team'!D$2:D3410,'Items by Team'!C$2:C3410 = D686,'Items by Team'!B$2:B3410 = B686)),NOT(A686=""Practice"")),TRUE,FALSE)"),FALSE)</f>
        <v>0</v>
      </c>
      <c r="BR686" s="6">
        <f t="shared" ca="1" si="62"/>
        <v>0</v>
      </c>
    </row>
    <row r="687" spans="1:70">
      <c r="A687" s="6"/>
      <c r="B687" s="6"/>
      <c r="C687" s="6"/>
      <c r="D687" s="6"/>
      <c r="E687" s="6"/>
      <c r="F687" s="6"/>
      <c r="G687" s="6"/>
      <c r="H687" s="6"/>
      <c r="I687" s="6"/>
      <c r="J687" s="6"/>
      <c r="K687" s="6"/>
      <c r="L687" s="6"/>
      <c r="M687" s="6"/>
      <c r="N687" s="6"/>
      <c r="O687" s="6"/>
      <c r="P687" s="6"/>
      <c r="R687" s="6"/>
      <c r="S687" s="6"/>
      <c r="T687" s="6"/>
      <c r="U687" s="6"/>
      <c r="V687" s="6"/>
      <c r="W687" s="6"/>
      <c r="X687" s="6"/>
      <c r="Y687" s="6"/>
      <c r="Z687" s="6"/>
      <c r="AA687" s="6"/>
      <c r="AB687" s="6"/>
      <c r="AD687" s="6"/>
      <c r="AE687" s="6"/>
      <c r="AF687" s="6"/>
      <c r="AG687" s="6"/>
      <c r="AH687" s="6"/>
      <c r="AI687" s="6"/>
      <c r="AK687" s="6"/>
      <c r="AL687" s="6"/>
      <c r="AM687" s="6"/>
      <c r="AN687" s="6"/>
      <c r="AO687" s="6"/>
      <c r="AP687" s="6"/>
      <c r="AQ687" s="6"/>
      <c r="AR687" s="6"/>
      <c r="AS687" s="15"/>
      <c r="AT687" s="6" t="str">
        <f ca="1">IFERROR(__xludf.DUMMYFUNCTION("""COMPUTED_VALUE"""),"#N/A")</f>
        <v>#N/A</v>
      </c>
      <c r="AU687" s="6" t="str">
        <f ca="1">IFERROR(__xludf.DUMMYFUNCTION("""COMPUTED_VALUE"""),"FALSE")</f>
        <v>FALSE</v>
      </c>
      <c r="AV687" s="6">
        <f t="shared" si="42"/>
        <v>0</v>
      </c>
      <c r="AW687" s="6">
        <f t="shared" si="43"/>
        <v>0</v>
      </c>
      <c r="AX687" s="6">
        <f t="shared" si="44"/>
        <v>0</v>
      </c>
      <c r="AY687" s="6">
        <f t="shared" si="45"/>
        <v>0</v>
      </c>
      <c r="AZ687" s="9" t="str">
        <f t="shared" si="46"/>
        <v/>
      </c>
      <c r="BA687" s="6">
        <f t="shared" si="47"/>
        <v>0</v>
      </c>
      <c r="BB687" s="6">
        <f t="shared" si="48"/>
        <v>0</v>
      </c>
      <c r="BC687" s="9" t="str">
        <f t="shared" si="49"/>
        <v/>
      </c>
      <c r="BD687" s="6">
        <f t="shared" si="50"/>
        <v>0</v>
      </c>
      <c r="BE687" s="6">
        <f t="shared" si="51"/>
        <v>0</v>
      </c>
      <c r="BF687" s="9" t="str">
        <f t="shared" si="52"/>
        <v/>
      </c>
      <c r="BG687" s="6">
        <f t="shared" si="53"/>
        <v>0</v>
      </c>
      <c r="BH687" s="6">
        <f t="shared" si="54"/>
        <v>0</v>
      </c>
      <c r="BI687" s="9" t="str">
        <f t="shared" si="55"/>
        <v/>
      </c>
      <c r="BJ687" s="6">
        <f t="shared" si="56"/>
        <v>0</v>
      </c>
      <c r="BK687" s="6">
        <f t="shared" si="57"/>
        <v>0</v>
      </c>
      <c r="BL687" s="6">
        <f t="shared" si="58"/>
        <v>0</v>
      </c>
      <c r="BM687" s="6">
        <f t="shared" si="59"/>
        <v>0</v>
      </c>
      <c r="BN687" s="6">
        <f t="shared" si="60"/>
        <v>0</v>
      </c>
      <c r="BP687" s="6">
        <f t="shared" si="61"/>
        <v>0</v>
      </c>
      <c r="BQ687" s="6" t="b">
        <f ca="1">IFERROR(__xludf.DUMMYFUNCTION("IF(AND(ISERROR(FILTER('Items by Team'!D$2:D3410,'Items by Team'!C$2:C3410 = D687,'Items by Team'!B$2:B3410 = B687)),NOT(A687=""Practice"")),TRUE,FALSE)"),FALSE)</f>
        <v>0</v>
      </c>
      <c r="BR687" s="6">
        <f t="shared" ca="1" si="62"/>
        <v>0</v>
      </c>
    </row>
    <row r="688" spans="1:70">
      <c r="A688" s="6"/>
      <c r="B688" s="6"/>
      <c r="C688" s="6"/>
      <c r="D688" s="6"/>
      <c r="E688" s="6"/>
      <c r="F688" s="6"/>
      <c r="G688" s="6"/>
      <c r="H688" s="6"/>
      <c r="I688" s="6"/>
      <c r="J688" s="6"/>
      <c r="K688" s="6"/>
      <c r="L688" s="6"/>
      <c r="M688" s="6"/>
      <c r="N688" s="6"/>
      <c r="O688" s="6"/>
      <c r="P688" s="6"/>
      <c r="R688" s="6"/>
      <c r="S688" s="6"/>
      <c r="T688" s="6"/>
      <c r="U688" s="6"/>
      <c r="V688" s="6"/>
      <c r="W688" s="6"/>
      <c r="X688" s="6"/>
      <c r="Y688" s="6"/>
      <c r="Z688" s="6"/>
      <c r="AA688" s="6"/>
      <c r="AB688" s="6"/>
      <c r="AD688" s="6"/>
      <c r="AE688" s="6"/>
      <c r="AF688" s="6"/>
      <c r="AG688" s="6"/>
      <c r="AH688" s="6"/>
      <c r="AI688" s="6"/>
      <c r="AK688" s="6"/>
      <c r="AL688" s="6"/>
      <c r="AM688" s="6"/>
      <c r="AN688" s="6"/>
      <c r="AO688" s="6"/>
      <c r="AP688" s="6"/>
      <c r="AQ688" s="6"/>
      <c r="AR688" s="6"/>
      <c r="AS688" s="15"/>
      <c r="AT688" s="6" t="str">
        <f ca="1">IFERROR(__xludf.DUMMYFUNCTION("""COMPUTED_VALUE"""),"#N/A")</f>
        <v>#N/A</v>
      </c>
      <c r="AU688" s="6" t="str">
        <f ca="1">IFERROR(__xludf.DUMMYFUNCTION("""COMPUTED_VALUE"""),"FALSE")</f>
        <v>FALSE</v>
      </c>
      <c r="AV688" s="6">
        <f t="shared" si="42"/>
        <v>0</v>
      </c>
      <c r="AW688" s="6">
        <f t="shared" si="43"/>
        <v>0</v>
      </c>
      <c r="AX688" s="6">
        <f t="shared" si="44"/>
        <v>0</v>
      </c>
      <c r="AY688" s="6">
        <f t="shared" si="45"/>
        <v>0</v>
      </c>
      <c r="AZ688" s="9" t="str">
        <f t="shared" si="46"/>
        <v/>
      </c>
      <c r="BA688" s="6">
        <f t="shared" si="47"/>
        <v>0</v>
      </c>
      <c r="BB688" s="6">
        <f t="shared" si="48"/>
        <v>0</v>
      </c>
      <c r="BC688" s="9" t="str">
        <f t="shared" si="49"/>
        <v/>
      </c>
      <c r="BD688" s="6">
        <f t="shared" si="50"/>
        <v>0</v>
      </c>
      <c r="BE688" s="6">
        <f t="shared" si="51"/>
        <v>0</v>
      </c>
      <c r="BF688" s="9" t="str">
        <f t="shared" si="52"/>
        <v/>
      </c>
      <c r="BG688" s="6">
        <f t="shared" si="53"/>
        <v>0</v>
      </c>
      <c r="BH688" s="6">
        <f t="shared" si="54"/>
        <v>0</v>
      </c>
      <c r="BI688" s="9" t="str">
        <f t="shared" si="55"/>
        <v/>
      </c>
      <c r="BJ688" s="6">
        <f t="shared" si="56"/>
        <v>0</v>
      </c>
      <c r="BK688" s="6">
        <f t="shared" si="57"/>
        <v>0</v>
      </c>
      <c r="BL688" s="6">
        <f t="shared" si="58"/>
        <v>0</v>
      </c>
      <c r="BM688" s="6">
        <f t="shared" si="59"/>
        <v>0</v>
      </c>
      <c r="BN688" s="6">
        <f t="shared" si="60"/>
        <v>0</v>
      </c>
      <c r="BP688" s="6">
        <f t="shared" si="61"/>
        <v>0</v>
      </c>
      <c r="BQ688" s="6" t="b">
        <f ca="1">IFERROR(__xludf.DUMMYFUNCTION("IF(AND(ISERROR(FILTER('Items by Team'!D$2:D3410,'Items by Team'!C$2:C3410 = D688,'Items by Team'!B$2:B3410 = B688)),NOT(A688=""Practice"")),TRUE,FALSE)"),FALSE)</f>
        <v>0</v>
      </c>
      <c r="BR688" s="6">
        <f t="shared" ca="1" si="62"/>
        <v>0</v>
      </c>
    </row>
    <row r="689" spans="1:70">
      <c r="A689" s="6"/>
      <c r="B689" s="6"/>
      <c r="C689" s="6"/>
      <c r="D689" s="6"/>
      <c r="E689" s="6"/>
      <c r="F689" s="6"/>
      <c r="G689" s="6"/>
      <c r="H689" s="6"/>
      <c r="I689" s="6"/>
      <c r="J689" s="6"/>
      <c r="K689" s="6"/>
      <c r="L689" s="6"/>
      <c r="M689" s="6"/>
      <c r="N689" s="6"/>
      <c r="O689" s="6"/>
      <c r="P689" s="6"/>
      <c r="R689" s="6"/>
      <c r="S689" s="6"/>
      <c r="T689" s="6"/>
      <c r="U689" s="6"/>
      <c r="V689" s="6"/>
      <c r="W689" s="6"/>
      <c r="X689" s="6"/>
      <c r="Y689" s="6"/>
      <c r="Z689" s="6"/>
      <c r="AA689" s="6"/>
      <c r="AB689" s="6"/>
      <c r="AD689" s="6"/>
      <c r="AE689" s="6"/>
      <c r="AF689" s="6"/>
      <c r="AG689" s="6"/>
      <c r="AH689" s="6"/>
      <c r="AI689" s="6"/>
      <c r="AK689" s="6"/>
      <c r="AL689" s="6"/>
      <c r="AM689" s="6"/>
      <c r="AN689" s="6"/>
      <c r="AO689" s="6"/>
      <c r="AP689" s="6"/>
      <c r="AQ689" s="6"/>
      <c r="AR689" s="6"/>
      <c r="AS689" s="15"/>
      <c r="AT689" s="6" t="str">
        <f ca="1">IFERROR(__xludf.DUMMYFUNCTION("""COMPUTED_VALUE"""),"#N/A")</f>
        <v>#N/A</v>
      </c>
      <c r="AU689" s="6" t="str">
        <f ca="1">IFERROR(__xludf.DUMMYFUNCTION("""COMPUTED_VALUE"""),"FALSE")</f>
        <v>FALSE</v>
      </c>
      <c r="AV689" s="6">
        <f t="shared" si="42"/>
        <v>0</v>
      </c>
      <c r="AW689" s="6">
        <f t="shared" si="43"/>
        <v>0</v>
      </c>
      <c r="AX689" s="6">
        <f t="shared" si="44"/>
        <v>0</v>
      </c>
      <c r="AY689" s="6">
        <f t="shared" si="45"/>
        <v>0</v>
      </c>
      <c r="AZ689" s="9" t="str">
        <f t="shared" si="46"/>
        <v/>
      </c>
      <c r="BA689" s="6">
        <f t="shared" si="47"/>
        <v>0</v>
      </c>
      <c r="BB689" s="6">
        <f t="shared" si="48"/>
        <v>0</v>
      </c>
      <c r="BC689" s="9" t="str">
        <f t="shared" si="49"/>
        <v/>
      </c>
      <c r="BD689" s="6">
        <f t="shared" si="50"/>
        <v>0</v>
      </c>
      <c r="BE689" s="6">
        <f t="shared" si="51"/>
        <v>0</v>
      </c>
      <c r="BF689" s="9" t="str">
        <f t="shared" si="52"/>
        <v/>
      </c>
      <c r="BG689" s="6">
        <f t="shared" si="53"/>
        <v>0</v>
      </c>
      <c r="BH689" s="6">
        <f t="shared" si="54"/>
        <v>0</v>
      </c>
      <c r="BI689" s="9" t="str">
        <f t="shared" si="55"/>
        <v/>
      </c>
      <c r="BJ689" s="6">
        <f t="shared" si="56"/>
        <v>0</v>
      </c>
      <c r="BK689" s="6">
        <f t="shared" si="57"/>
        <v>0</v>
      </c>
      <c r="BL689" s="6">
        <f t="shared" si="58"/>
        <v>0</v>
      </c>
      <c r="BM689" s="6">
        <f t="shared" si="59"/>
        <v>0</v>
      </c>
      <c r="BN689" s="6">
        <f t="shared" si="60"/>
        <v>0</v>
      </c>
      <c r="BP689" s="6">
        <f t="shared" si="61"/>
        <v>0</v>
      </c>
      <c r="BQ689" s="6" t="b">
        <f ca="1">IFERROR(__xludf.DUMMYFUNCTION("IF(AND(ISERROR(FILTER('Items by Team'!D$2:D3410,'Items by Team'!C$2:C3410 = D689,'Items by Team'!B$2:B3410 = B689)),NOT(A689=""Practice"")),TRUE,FALSE)"),FALSE)</f>
        <v>0</v>
      </c>
      <c r="BR689" s="6">
        <f t="shared" ca="1" si="62"/>
        <v>0</v>
      </c>
    </row>
    <row r="690" spans="1:70">
      <c r="A690" s="6"/>
      <c r="B690" s="6"/>
      <c r="C690" s="6"/>
      <c r="D690" s="6"/>
      <c r="E690" s="6"/>
      <c r="F690" s="6"/>
      <c r="G690" s="6"/>
      <c r="H690" s="6"/>
      <c r="I690" s="6"/>
      <c r="J690" s="6"/>
      <c r="K690" s="6"/>
      <c r="L690" s="6"/>
      <c r="M690" s="6"/>
      <c r="N690" s="6"/>
      <c r="O690" s="6"/>
      <c r="P690" s="6"/>
      <c r="R690" s="6"/>
      <c r="S690" s="6"/>
      <c r="T690" s="6"/>
      <c r="U690" s="6"/>
      <c r="V690" s="6"/>
      <c r="W690" s="6"/>
      <c r="X690" s="6"/>
      <c r="Y690" s="6"/>
      <c r="Z690" s="6"/>
      <c r="AA690" s="6"/>
      <c r="AB690" s="6"/>
      <c r="AD690" s="6"/>
      <c r="AE690" s="6"/>
      <c r="AF690" s="6"/>
      <c r="AG690" s="6"/>
      <c r="AH690" s="6"/>
      <c r="AI690" s="6"/>
      <c r="AK690" s="6"/>
      <c r="AL690" s="6"/>
      <c r="AM690" s="6"/>
      <c r="AN690" s="6"/>
      <c r="AO690" s="6"/>
      <c r="AP690" s="6"/>
      <c r="AQ690" s="6"/>
      <c r="AR690" s="6"/>
      <c r="AS690" s="15"/>
      <c r="AT690" s="6" t="str">
        <f ca="1">IFERROR(__xludf.DUMMYFUNCTION("""COMPUTED_VALUE"""),"#N/A")</f>
        <v>#N/A</v>
      </c>
      <c r="AU690" s="6" t="str">
        <f ca="1">IFERROR(__xludf.DUMMYFUNCTION("""COMPUTED_VALUE"""),"FALSE")</f>
        <v>FALSE</v>
      </c>
      <c r="AV690" s="6">
        <f t="shared" si="42"/>
        <v>0</v>
      </c>
      <c r="AW690" s="6">
        <f t="shared" si="43"/>
        <v>0</v>
      </c>
      <c r="AX690" s="6">
        <f t="shared" si="44"/>
        <v>0</v>
      </c>
      <c r="AY690" s="6">
        <f t="shared" si="45"/>
        <v>0</v>
      </c>
      <c r="AZ690" s="9" t="str">
        <f t="shared" si="46"/>
        <v/>
      </c>
      <c r="BA690" s="6">
        <f t="shared" si="47"/>
        <v>0</v>
      </c>
      <c r="BB690" s="6">
        <f t="shared" si="48"/>
        <v>0</v>
      </c>
      <c r="BC690" s="9" t="str">
        <f t="shared" si="49"/>
        <v/>
      </c>
      <c r="BD690" s="6">
        <f t="shared" si="50"/>
        <v>0</v>
      </c>
      <c r="BE690" s="6">
        <f t="shared" si="51"/>
        <v>0</v>
      </c>
      <c r="BF690" s="9" t="str">
        <f t="shared" si="52"/>
        <v/>
      </c>
      <c r="BG690" s="6">
        <f t="shared" si="53"/>
        <v>0</v>
      </c>
      <c r="BH690" s="6">
        <f t="shared" si="54"/>
        <v>0</v>
      </c>
      <c r="BI690" s="9" t="str">
        <f t="shared" si="55"/>
        <v/>
      </c>
      <c r="BJ690" s="6">
        <f t="shared" si="56"/>
        <v>0</v>
      </c>
      <c r="BK690" s="6">
        <f t="shared" si="57"/>
        <v>0</v>
      </c>
      <c r="BL690" s="6">
        <f t="shared" si="58"/>
        <v>0</v>
      </c>
      <c r="BM690" s="6">
        <f t="shared" si="59"/>
        <v>0</v>
      </c>
      <c r="BN690" s="6">
        <f t="shared" si="60"/>
        <v>0</v>
      </c>
      <c r="BP690" s="6">
        <f t="shared" si="61"/>
        <v>0</v>
      </c>
      <c r="BQ690" s="6" t="b">
        <f ca="1">IFERROR(__xludf.DUMMYFUNCTION("IF(AND(ISERROR(FILTER('Items by Team'!D$2:D3410,'Items by Team'!C$2:C3410 = D690,'Items by Team'!B$2:B3410 = B690)),NOT(A690=""Practice"")),TRUE,FALSE)"),FALSE)</f>
        <v>0</v>
      </c>
      <c r="BR690" s="6">
        <f t="shared" ca="1" si="62"/>
        <v>0</v>
      </c>
    </row>
    <row r="691" spans="1:70">
      <c r="A691" s="6"/>
      <c r="B691" s="6"/>
      <c r="C691" s="6"/>
      <c r="D691" s="6"/>
      <c r="E691" s="6"/>
      <c r="F691" s="6"/>
      <c r="G691" s="6"/>
      <c r="H691" s="6"/>
      <c r="I691" s="6"/>
      <c r="J691" s="6"/>
      <c r="K691" s="6"/>
      <c r="L691" s="6"/>
      <c r="M691" s="6"/>
      <c r="N691" s="6"/>
      <c r="O691" s="6"/>
      <c r="P691" s="6"/>
      <c r="R691" s="6"/>
      <c r="S691" s="6"/>
      <c r="T691" s="6"/>
      <c r="U691" s="6"/>
      <c r="V691" s="6"/>
      <c r="W691" s="6"/>
      <c r="X691" s="6"/>
      <c r="Y691" s="6"/>
      <c r="Z691" s="6"/>
      <c r="AA691" s="6"/>
      <c r="AB691" s="6"/>
      <c r="AD691" s="6"/>
      <c r="AE691" s="6"/>
      <c r="AF691" s="6"/>
      <c r="AG691" s="6"/>
      <c r="AH691" s="6"/>
      <c r="AI691" s="6"/>
      <c r="AK691" s="6"/>
      <c r="AL691" s="6"/>
      <c r="AM691" s="6"/>
      <c r="AN691" s="6"/>
      <c r="AO691" s="6"/>
      <c r="AP691" s="6"/>
      <c r="AQ691" s="6"/>
      <c r="AR691" s="6"/>
      <c r="AS691" s="15"/>
      <c r="AT691" s="6" t="str">
        <f ca="1">IFERROR(__xludf.DUMMYFUNCTION("""COMPUTED_VALUE"""),"#N/A")</f>
        <v>#N/A</v>
      </c>
      <c r="AU691" s="6" t="str">
        <f ca="1">IFERROR(__xludf.DUMMYFUNCTION("""COMPUTED_VALUE"""),"FALSE")</f>
        <v>FALSE</v>
      </c>
      <c r="AV691" s="6">
        <f t="shared" si="42"/>
        <v>0</v>
      </c>
      <c r="AW691" s="6">
        <f t="shared" si="43"/>
        <v>0</v>
      </c>
      <c r="AX691" s="6">
        <f t="shared" si="44"/>
        <v>0</v>
      </c>
      <c r="AY691" s="6">
        <f t="shared" si="45"/>
        <v>0</v>
      </c>
      <c r="AZ691" s="9" t="str">
        <f t="shared" si="46"/>
        <v/>
      </c>
      <c r="BA691" s="6">
        <f t="shared" si="47"/>
        <v>0</v>
      </c>
      <c r="BB691" s="6">
        <f t="shared" si="48"/>
        <v>0</v>
      </c>
      <c r="BC691" s="9" t="str">
        <f t="shared" si="49"/>
        <v/>
      </c>
      <c r="BD691" s="6">
        <f t="shared" si="50"/>
        <v>0</v>
      </c>
      <c r="BE691" s="6">
        <f t="shared" si="51"/>
        <v>0</v>
      </c>
      <c r="BF691" s="9" t="str">
        <f t="shared" si="52"/>
        <v/>
      </c>
      <c r="BG691" s="6">
        <f t="shared" si="53"/>
        <v>0</v>
      </c>
      <c r="BH691" s="6">
        <f t="shared" si="54"/>
        <v>0</v>
      </c>
      <c r="BI691" s="9" t="str">
        <f t="shared" si="55"/>
        <v/>
      </c>
      <c r="BJ691" s="6">
        <f t="shared" si="56"/>
        <v>0</v>
      </c>
      <c r="BK691" s="6">
        <f t="shared" si="57"/>
        <v>0</v>
      </c>
      <c r="BL691" s="6">
        <f t="shared" si="58"/>
        <v>0</v>
      </c>
      <c r="BM691" s="6">
        <f t="shared" si="59"/>
        <v>0</v>
      </c>
      <c r="BN691" s="6">
        <f t="shared" si="60"/>
        <v>0</v>
      </c>
      <c r="BP691" s="6">
        <f t="shared" si="61"/>
        <v>0</v>
      </c>
      <c r="BQ691" s="6" t="b">
        <f ca="1">IFERROR(__xludf.DUMMYFUNCTION("IF(AND(ISERROR(FILTER('Items by Team'!D$2:D3410,'Items by Team'!C$2:C3410 = D691,'Items by Team'!B$2:B3410 = B691)),NOT(A691=""Practice"")),TRUE,FALSE)"),FALSE)</f>
        <v>0</v>
      </c>
      <c r="BR691" s="6">
        <f t="shared" ca="1" si="62"/>
        <v>0</v>
      </c>
    </row>
    <row r="692" spans="1:70">
      <c r="A692" s="6"/>
      <c r="B692" s="6"/>
      <c r="C692" s="6"/>
      <c r="D692" s="6"/>
      <c r="E692" s="6"/>
      <c r="F692" s="6"/>
      <c r="G692" s="6"/>
      <c r="H692" s="6"/>
      <c r="I692" s="6"/>
      <c r="J692" s="6"/>
      <c r="K692" s="6"/>
      <c r="L692" s="6"/>
      <c r="M692" s="6"/>
      <c r="N692" s="6"/>
      <c r="O692" s="6"/>
      <c r="P692" s="6"/>
      <c r="R692" s="6"/>
      <c r="S692" s="6"/>
      <c r="T692" s="6"/>
      <c r="U692" s="6"/>
      <c r="V692" s="6"/>
      <c r="W692" s="6"/>
      <c r="X692" s="6"/>
      <c r="Y692" s="6"/>
      <c r="Z692" s="6"/>
      <c r="AA692" s="6"/>
      <c r="AB692" s="6"/>
      <c r="AD692" s="6"/>
      <c r="AE692" s="6"/>
      <c r="AF692" s="6"/>
      <c r="AG692" s="6"/>
      <c r="AH692" s="6"/>
      <c r="AI692" s="6"/>
      <c r="AK692" s="6"/>
      <c r="AL692" s="6"/>
      <c r="AM692" s="6"/>
      <c r="AN692" s="6"/>
      <c r="AO692" s="6"/>
      <c r="AP692" s="6"/>
      <c r="AQ692" s="6"/>
      <c r="AR692" s="6"/>
      <c r="AS692" s="15"/>
      <c r="AT692" s="6" t="str">
        <f ca="1">IFERROR(__xludf.DUMMYFUNCTION("""COMPUTED_VALUE"""),"#N/A")</f>
        <v>#N/A</v>
      </c>
      <c r="AU692" s="6" t="str">
        <f ca="1">IFERROR(__xludf.DUMMYFUNCTION("""COMPUTED_VALUE"""),"FALSE")</f>
        <v>FALSE</v>
      </c>
      <c r="AV692" s="6">
        <f t="shared" si="42"/>
        <v>0</v>
      </c>
      <c r="AW692" s="6">
        <f t="shared" si="43"/>
        <v>0</v>
      </c>
      <c r="AX692" s="6">
        <f t="shared" si="44"/>
        <v>0</v>
      </c>
      <c r="AY692" s="6">
        <f t="shared" si="45"/>
        <v>0</v>
      </c>
      <c r="AZ692" s="9" t="str">
        <f t="shared" si="46"/>
        <v/>
      </c>
      <c r="BA692" s="6">
        <f t="shared" si="47"/>
        <v>0</v>
      </c>
      <c r="BB692" s="6">
        <f t="shared" si="48"/>
        <v>0</v>
      </c>
      <c r="BC692" s="9" t="str">
        <f t="shared" si="49"/>
        <v/>
      </c>
      <c r="BD692" s="6">
        <f t="shared" si="50"/>
        <v>0</v>
      </c>
      <c r="BE692" s="6">
        <f t="shared" si="51"/>
        <v>0</v>
      </c>
      <c r="BF692" s="9" t="str">
        <f t="shared" si="52"/>
        <v/>
      </c>
      <c r="BG692" s="6">
        <f t="shared" si="53"/>
        <v>0</v>
      </c>
      <c r="BH692" s="6">
        <f t="shared" si="54"/>
        <v>0</v>
      </c>
      <c r="BI692" s="9" t="str">
        <f t="shared" si="55"/>
        <v/>
      </c>
      <c r="BJ692" s="6">
        <f t="shared" si="56"/>
        <v>0</v>
      </c>
      <c r="BK692" s="6">
        <f t="shared" si="57"/>
        <v>0</v>
      </c>
      <c r="BL692" s="6">
        <f t="shared" si="58"/>
        <v>0</v>
      </c>
      <c r="BM692" s="6">
        <f t="shared" si="59"/>
        <v>0</v>
      </c>
      <c r="BN692" s="6">
        <f t="shared" si="60"/>
        <v>0</v>
      </c>
      <c r="BP692" s="6">
        <f t="shared" si="61"/>
        <v>0</v>
      </c>
      <c r="BQ692" s="6" t="b">
        <f ca="1">IFERROR(__xludf.DUMMYFUNCTION("IF(AND(ISERROR(FILTER('Items by Team'!D$2:D3410,'Items by Team'!C$2:C3410 = D692,'Items by Team'!B$2:B3410 = B692)),NOT(A692=""Practice"")),TRUE,FALSE)"),FALSE)</f>
        <v>0</v>
      </c>
      <c r="BR692" s="6">
        <f t="shared" ca="1" si="62"/>
        <v>0</v>
      </c>
    </row>
    <row r="693" spans="1:70">
      <c r="A693" s="6"/>
      <c r="B693" s="6"/>
      <c r="C693" s="6"/>
      <c r="D693" s="6"/>
      <c r="E693" s="6"/>
      <c r="F693" s="6"/>
      <c r="G693" s="6"/>
      <c r="H693" s="6"/>
      <c r="I693" s="6"/>
      <c r="J693" s="6"/>
      <c r="K693" s="6"/>
      <c r="L693" s="6"/>
      <c r="M693" s="6"/>
      <c r="N693" s="6"/>
      <c r="O693" s="6"/>
      <c r="P693" s="6"/>
      <c r="R693" s="6"/>
      <c r="S693" s="6"/>
      <c r="T693" s="6"/>
      <c r="U693" s="6"/>
      <c r="V693" s="6"/>
      <c r="W693" s="6"/>
      <c r="X693" s="6"/>
      <c r="Y693" s="6"/>
      <c r="Z693" s="6"/>
      <c r="AA693" s="6"/>
      <c r="AB693" s="6"/>
      <c r="AD693" s="6"/>
      <c r="AE693" s="6"/>
      <c r="AF693" s="6"/>
      <c r="AG693" s="6"/>
      <c r="AH693" s="6"/>
      <c r="AI693" s="6"/>
      <c r="AK693" s="6"/>
      <c r="AL693" s="6"/>
      <c r="AM693" s="6"/>
      <c r="AN693" s="6"/>
      <c r="AO693" s="6"/>
      <c r="AP693" s="6"/>
      <c r="AQ693" s="6"/>
      <c r="AR693" s="6"/>
      <c r="AS693" s="15"/>
      <c r="AT693" s="6" t="str">
        <f ca="1">IFERROR(__xludf.DUMMYFUNCTION("""COMPUTED_VALUE"""),"#N/A")</f>
        <v>#N/A</v>
      </c>
      <c r="AU693" s="6" t="str">
        <f ca="1">IFERROR(__xludf.DUMMYFUNCTION("""COMPUTED_VALUE"""),"FALSE")</f>
        <v>FALSE</v>
      </c>
      <c r="AV693" s="6">
        <f t="shared" si="42"/>
        <v>0</v>
      </c>
      <c r="AW693" s="6">
        <f t="shared" si="43"/>
        <v>0</v>
      </c>
      <c r="AX693" s="6">
        <f t="shared" si="44"/>
        <v>0</v>
      </c>
      <c r="AY693" s="6">
        <f t="shared" si="45"/>
        <v>0</v>
      </c>
      <c r="AZ693" s="9" t="str">
        <f t="shared" si="46"/>
        <v/>
      </c>
      <c r="BA693" s="6">
        <f t="shared" si="47"/>
        <v>0</v>
      </c>
      <c r="BB693" s="6">
        <f t="shared" si="48"/>
        <v>0</v>
      </c>
      <c r="BC693" s="9" t="str">
        <f t="shared" si="49"/>
        <v/>
      </c>
      <c r="BD693" s="6">
        <f t="shared" si="50"/>
        <v>0</v>
      </c>
      <c r="BE693" s="6">
        <f t="shared" si="51"/>
        <v>0</v>
      </c>
      <c r="BF693" s="9" t="str">
        <f t="shared" si="52"/>
        <v/>
      </c>
      <c r="BG693" s="6">
        <f t="shared" si="53"/>
        <v>0</v>
      </c>
      <c r="BH693" s="6">
        <f t="shared" si="54"/>
        <v>0</v>
      </c>
      <c r="BI693" s="9" t="str">
        <f t="shared" si="55"/>
        <v/>
      </c>
      <c r="BJ693" s="6">
        <f t="shared" si="56"/>
        <v>0</v>
      </c>
      <c r="BK693" s="6">
        <f t="shared" si="57"/>
        <v>0</v>
      </c>
      <c r="BL693" s="6">
        <f t="shared" si="58"/>
        <v>0</v>
      </c>
      <c r="BM693" s="6">
        <f t="shared" si="59"/>
        <v>0</v>
      </c>
      <c r="BN693" s="6">
        <f t="shared" si="60"/>
        <v>0</v>
      </c>
      <c r="BP693" s="6">
        <f t="shared" si="61"/>
        <v>0</v>
      </c>
      <c r="BQ693" s="6" t="b">
        <f ca="1">IFERROR(__xludf.DUMMYFUNCTION("IF(AND(ISERROR(FILTER('Items by Team'!D$2:D3410,'Items by Team'!C$2:C3410 = D693,'Items by Team'!B$2:B3410 = B693)),NOT(A693=""Practice"")),TRUE,FALSE)"),FALSE)</f>
        <v>0</v>
      </c>
      <c r="BR693" s="6">
        <f t="shared" ca="1" si="62"/>
        <v>0</v>
      </c>
    </row>
    <row r="694" spans="1:70">
      <c r="A694" s="6"/>
      <c r="B694" s="6"/>
      <c r="C694" s="6"/>
      <c r="D694" s="6"/>
      <c r="E694" s="6"/>
      <c r="F694" s="6"/>
      <c r="G694" s="6"/>
      <c r="H694" s="6"/>
      <c r="I694" s="6"/>
      <c r="J694" s="6"/>
      <c r="K694" s="6"/>
      <c r="L694" s="6"/>
      <c r="M694" s="6"/>
      <c r="N694" s="6"/>
      <c r="O694" s="6"/>
      <c r="P694" s="6"/>
      <c r="R694" s="6"/>
      <c r="S694" s="6"/>
      <c r="T694" s="6"/>
      <c r="U694" s="6"/>
      <c r="V694" s="6"/>
      <c r="W694" s="6"/>
      <c r="X694" s="6"/>
      <c r="Y694" s="6"/>
      <c r="Z694" s="6"/>
      <c r="AA694" s="6"/>
      <c r="AB694" s="6"/>
      <c r="AD694" s="6"/>
      <c r="AE694" s="6"/>
      <c r="AF694" s="6"/>
      <c r="AG694" s="6"/>
      <c r="AH694" s="6"/>
      <c r="AI694" s="6"/>
      <c r="AK694" s="6"/>
      <c r="AL694" s="6"/>
      <c r="AM694" s="6"/>
      <c r="AN694" s="6"/>
      <c r="AO694" s="6"/>
      <c r="AP694" s="6"/>
      <c r="AQ694" s="6"/>
      <c r="AR694" s="6"/>
      <c r="AS694" s="15"/>
      <c r="AT694" s="6" t="str">
        <f ca="1">IFERROR(__xludf.DUMMYFUNCTION("""COMPUTED_VALUE"""),"#N/A")</f>
        <v>#N/A</v>
      </c>
      <c r="AU694" s="6" t="str">
        <f ca="1">IFERROR(__xludf.DUMMYFUNCTION("""COMPUTED_VALUE"""),"FALSE")</f>
        <v>FALSE</v>
      </c>
      <c r="AV694" s="6">
        <f t="shared" si="42"/>
        <v>0</v>
      </c>
      <c r="AW694" s="6">
        <f t="shared" si="43"/>
        <v>0</v>
      </c>
      <c r="AX694" s="6">
        <f t="shared" si="44"/>
        <v>0</v>
      </c>
      <c r="AY694" s="6">
        <f t="shared" si="45"/>
        <v>0</v>
      </c>
      <c r="AZ694" s="9" t="str">
        <f t="shared" si="46"/>
        <v/>
      </c>
      <c r="BA694" s="6">
        <f t="shared" si="47"/>
        <v>0</v>
      </c>
      <c r="BB694" s="6">
        <f t="shared" si="48"/>
        <v>0</v>
      </c>
      <c r="BC694" s="9" t="str">
        <f t="shared" si="49"/>
        <v/>
      </c>
      <c r="BD694" s="6">
        <f t="shared" si="50"/>
        <v>0</v>
      </c>
      <c r="BE694" s="6">
        <f t="shared" si="51"/>
        <v>0</v>
      </c>
      <c r="BF694" s="9" t="str">
        <f t="shared" si="52"/>
        <v/>
      </c>
      <c r="BG694" s="6">
        <f t="shared" si="53"/>
        <v>0</v>
      </c>
      <c r="BH694" s="6">
        <f t="shared" si="54"/>
        <v>0</v>
      </c>
      <c r="BI694" s="9" t="str">
        <f t="shared" si="55"/>
        <v/>
      </c>
      <c r="BJ694" s="6">
        <f t="shared" si="56"/>
        <v>0</v>
      </c>
      <c r="BK694" s="6">
        <f t="shared" si="57"/>
        <v>0</v>
      </c>
      <c r="BL694" s="6">
        <f t="shared" si="58"/>
        <v>0</v>
      </c>
      <c r="BM694" s="6">
        <f t="shared" si="59"/>
        <v>0</v>
      </c>
      <c r="BN694" s="6">
        <f t="shared" si="60"/>
        <v>0</v>
      </c>
      <c r="BP694" s="6">
        <f t="shared" si="61"/>
        <v>0</v>
      </c>
      <c r="BQ694" s="6" t="b">
        <f ca="1">IFERROR(__xludf.DUMMYFUNCTION("IF(AND(ISERROR(FILTER('Items by Team'!D$2:D3410,'Items by Team'!C$2:C3410 = D694,'Items by Team'!B$2:B3410 = B694)),NOT(A694=""Practice"")),TRUE,FALSE)"),FALSE)</f>
        <v>0</v>
      </c>
      <c r="BR694" s="6">
        <f t="shared" ca="1" si="62"/>
        <v>0</v>
      </c>
    </row>
    <row r="695" spans="1:70">
      <c r="A695" s="6"/>
      <c r="B695" s="6"/>
      <c r="C695" s="6"/>
      <c r="D695" s="6"/>
      <c r="E695" s="6"/>
      <c r="F695" s="6"/>
      <c r="G695" s="6"/>
      <c r="H695" s="6"/>
      <c r="I695" s="6"/>
      <c r="J695" s="6"/>
      <c r="K695" s="6"/>
      <c r="L695" s="6"/>
      <c r="M695" s="6"/>
      <c r="N695" s="6"/>
      <c r="O695" s="6"/>
      <c r="P695" s="6"/>
      <c r="R695" s="6"/>
      <c r="S695" s="6"/>
      <c r="T695" s="6"/>
      <c r="U695" s="6"/>
      <c r="V695" s="6"/>
      <c r="W695" s="6"/>
      <c r="X695" s="6"/>
      <c r="Y695" s="6"/>
      <c r="Z695" s="6"/>
      <c r="AA695" s="6"/>
      <c r="AB695" s="6"/>
      <c r="AD695" s="6"/>
      <c r="AE695" s="6"/>
      <c r="AF695" s="6"/>
      <c r="AG695" s="6"/>
      <c r="AH695" s="6"/>
      <c r="AI695" s="6"/>
      <c r="AK695" s="6"/>
      <c r="AL695" s="6"/>
      <c r="AM695" s="6"/>
      <c r="AN695" s="6"/>
      <c r="AO695" s="6"/>
      <c r="AP695" s="6"/>
      <c r="AQ695" s="6"/>
      <c r="AR695" s="6"/>
      <c r="AS695" s="15"/>
      <c r="AT695" s="6" t="str">
        <f ca="1">IFERROR(__xludf.DUMMYFUNCTION("""COMPUTED_VALUE"""),"#N/A")</f>
        <v>#N/A</v>
      </c>
      <c r="AU695" s="6" t="str">
        <f ca="1">IFERROR(__xludf.DUMMYFUNCTION("""COMPUTED_VALUE"""),"FALSE")</f>
        <v>FALSE</v>
      </c>
      <c r="AV695" s="6">
        <f t="shared" si="42"/>
        <v>0</v>
      </c>
      <c r="AW695" s="6">
        <f t="shared" si="43"/>
        <v>0</v>
      </c>
      <c r="AX695" s="6">
        <f t="shared" si="44"/>
        <v>0</v>
      </c>
      <c r="AY695" s="6">
        <f t="shared" si="45"/>
        <v>0</v>
      </c>
      <c r="AZ695" s="9" t="str">
        <f t="shared" si="46"/>
        <v/>
      </c>
      <c r="BA695" s="6">
        <f t="shared" si="47"/>
        <v>0</v>
      </c>
      <c r="BB695" s="6">
        <f t="shared" si="48"/>
        <v>0</v>
      </c>
      <c r="BC695" s="9" t="str">
        <f t="shared" si="49"/>
        <v/>
      </c>
      <c r="BD695" s="6">
        <f t="shared" si="50"/>
        <v>0</v>
      </c>
      <c r="BE695" s="6">
        <f t="shared" si="51"/>
        <v>0</v>
      </c>
      <c r="BF695" s="9" t="str">
        <f t="shared" si="52"/>
        <v/>
      </c>
      <c r="BG695" s="6">
        <f t="shared" si="53"/>
        <v>0</v>
      </c>
      <c r="BH695" s="6">
        <f t="shared" si="54"/>
        <v>0</v>
      </c>
      <c r="BI695" s="9" t="str">
        <f t="shared" si="55"/>
        <v/>
      </c>
      <c r="BJ695" s="6">
        <f t="shared" si="56"/>
        <v>0</v>
      </c>
      <c r="BK695" s="6">
        <f t="shared" si="57"/>
        <v>0</v>
      </c>
      <c r="BL695" s="6">
        <f t="shared" si="58"/>
        <v>0</v>
      </c>
      <c r="BM695" s="6">
        <f t="shared" si="59"/>
        <v>0</v>
      </c>
      <c r="BN695" s="6">
        <f t="shared" si="60"/>
        <v>0</v>
      </c>
      <c r="BP695" s="6">
        <f t="shared" si="61"/>
        <v>0</v>
      </c>
      <c r="BQ695" s="6" t="b">
        <f ca="1">IFERROR(__xludf.DUMMYFUNCTION("IF(AND(ISERROR(FILTER('Items by Team'!D$2:D3410,'Items by Team'!C$2:C3410 = D695,'Items by Team'!B$2:B3410 = B695)),NOT(A695=""Practice"")),TRUE,FALSE)"),FALSE)</f>
        <v>0</v>
      </c>
      <c r="BR695" s="6">
        <f t="shared" ca="1" si="62"/>
        <v>0</v>
      </c>
    </row>
    <row r="696" spans="1:70">
      <c r="A696" s="6"/>
      <c r="B696" s="6"/>
      <c r="C696" s="6"/>
      <c r="D696" s="6"/>
      <c r="E696" s="6"/>
      <c r="F696" s="6"/>
      <c r="G696" s="6"/>
      <c r="H696" s="6"/>
      <c r="I696" s="6"/>
      <c r="J696" s="6"/>
      <c r="K696" s="6"/>
      <c r="L696" s="6"/>
      <c r="M696" s="6"/>
      <c r="N696" s="6"/>
      <c r="O696" s="6"/>
      <c r="P696" s="6"/>
      <c r="R696" s="6"/>
      <c r="S696" s="6"/>
      <c r="T696" s="6"/>
      <c r="U696" s="6"/>
      <c r="V696" s="6"/>
      <c r="W696" s="6"/>
      <c r="X696" s="6"/>
      <c r="Y696" s="6"/>
      <c r="Z696" s="6"/>
      <c r="AA696" s="6"/>
      <c r="AB696" s="6"/>
      <c r="AD696" s="6"/>
      <c r="AE696" s="6"/>
      <c r="AF696" s="6"/>
      <c r="AG696" s="6"/>
      <c r="AH696" s="6"/>
      <c r="AI696" s="6"/>
      <c r="AK696" s="6"/>
      <c r="AL696" s="6"/>
      <c r="AM696" s="6"/>
      <c r="AN696" s="6"/>
      <c r="AO696" s="6"/>
      <c r="AP696" s="6"/>
      <c r="AQ696" s="6"/>
      <c r="AR696" s="6"/>
      <c r="AS696" s="15"/>
      <c r="AT696" s="6" t="str">
        <f ca="1">IFERROR(__xludf.DUMMYFUNCTION("""COMPUTED_VALUE"""),"#N/A")</f>
        <v>#N/A</v>
      </c>
      <c r="AU696" s="6" t="str">
        <f ca="1">IFERROR(__xludf.DUMMYFUNCTION("""COMPUTED_VALUE"""),"FALSE")</f>
        <v>FALSE</v>
      </c>
      <c r="AV696" s="6">
        <f t="shared" si="42"/>
        <v>0</v>
      </c>
      <c r="AW696" s="6">
        <f t="shared" si="43"/>
        <v>0</v>
      </c>
      <c r="AX696" s="6">
        <f t="shared" si="44"/>
        <v>0</v>
      </c>
      <c r="AY696" s="6">
        <f t="shared" si="45"/>
        <v>0</v>
      </c>
      <c r="AZ696" s="9" t="str">
        <f t="shared" si="46"/>
        <v/>
      </c>
      <c r="BA696" s="6">
        <f t="shared" si="47"/>
        <v>0</v>
      </c>
      <c r="BB696" s="6">
        <f t="shared" si="48"/>
        <v>0</v>
      </c>
      <c r="BC696" s="9" t="str">
        <f t="shared" si="49"/>
        <v/>
      </c>
      <c r="BD696" s="6">
        <f t="shared" si="50"/>
        <v>0</v>
      </c>
      <c r="BE696" s="6">
        <f t="shared" si="51"/>
        <v>0</v>
      </c>
      <c r="BF696" s="9" t="str">
        <f t="shared" si="52"/>
        <v/>
      </c>
      <c r="BG696" s="6">
        <f t="shared" si="53"/>
        <v>0</v>
      </c>
      <c r="BH696" s="6">
        <f t="shared" si="54"/>
        <v>0</v>
      </c>
      <c r="BI696" s="9" t="str">
        <f t="shared" si="55"/>
        <v/>
      </c>
      <c r="BJ696" s="6">
        <f t="shared" si="56"/>
        <v>0</v>
      </c>
      <c r="BK696" s="6">
        <f t="shared" si="57"/>
        <v>0</v>
      </c>
      <c r="BL696" s="6">
        <f t="shared" si="58"/>
        <v>0</v>
      </c>
      <c r="BM696" s="6">
        <f t="shared" si="59"/>
        <v>0</v>
      </c>
      <c r="BN696" s="6">
        <f t="shared" si="60"/>
        <v>0</v>
      </c>
      <c r="BP696" s="6">
        <f t="shared" si="61"/>
        <v>0</v>
      </c>
      <c r="BQ696" s="6" t="b">
        <f ca="1">IFERROR(__xludf.DUMMYFUNCTION("IF(AND(ISERROR(FILTER('Items by Team'!D$2:D3410,'Items by Team'!C$2:C3410 = D696,'Items by Team'!B$2:B3410 = B696)),NOT(A696=""Practice"")),TRUE,FALSE)"),FALSE)</f>
        <v>0</v>
      </c>
      <c r="BR696" s="6">
        <f t="shared" ca="1" si="62"/>
        <v>0</v>
      </c>
    </row>
    <row r="697" spans="1:70">
      <c r="A697" s="6"/>
      <c r="B697" s="6"/>
      <c r="C697" s="6"/>
      <c r="D697" s="6"/>
      <c r="E697" s="6"/>
      <c r="F697" s="6"/>
      <c r="G697" s="6"/>
      <c r="H697" s="6"/>
      <c r="I697" s="6"/>
      <c r="J697" s="6"/>
      <c r="K697" s="6"/>
      <c r="L697" s="6"/>
      <c r="M697" s="6"/>
      <c r="N697" s="6"/>
      <c r="O697" s="6"/>
      <c r="P697" s="6"/>
      <c r="R697" s="6"/>
      <c r="S697" s="6"/>
      <c r="T697" s="6"/>
      <c r="U697" s="6"/>
      <c r="V697" s="6"/>
      <c r="W697" s="6"/>
      <c r="X697" s="6"/>
      <c r="Y697" s="6"/>
      <c r="Z697" s="6"/>
      <c r="AA697" s="6"/>
      <c r="AB697" s="6"/>
      <c r="AD697" s="6"/>
      <c r="AE697" s="6"/>
      <c r="AF697" s="6"/>
      <c r="AG697" s="6"/>
      <c r="AH697" s="6"/>
      <c r="AI697" s="6"/>
      <c r="AK697" s="6"/>
      <c r="AL697" s="6"/>
      <c r="AM697" s="6"/>
      <c r="AN697" s="6"/>
      <c r="AO697" s="6"/>
      <c r="AP697" s="6"/>
      <c r="AQ697" s="6"/>
      <c r="AR697" s="6"/>
      <c r="AS697" s="15"/>
      <c r="AT697" s="6" t="str">
        <f ca="1">IFERROR(__xludf.DUMMYFUNCTION("""COMPUTED_VALUE"""),"#N/A")</f>
        <v>#N/A</v>
      </c>
      <c r="AU697" s="6" t="str">
        <f ca="1">IFERROR(__xludf.DUMMYFUNCTION("""COMPUTED_VALUE"""),"FALSE")</f>
        <v>FALSE</v>
      </c>
      <c r="AV697" s="6">
        <f t="shared" si="42"/>
        <v>0</v>
      </c>
      <c r="AW697" s="6">
        <f t="shared" si="43"/>
        <v>0</v>
      </c>
      <c r="AX697" s="6">
        <f t="shared" si="44"/>
        <v>0</v>
      </c>
      <c r="AY697" s="6">
        <f t="shared" si="45"/>
        <v>0</v>
      </c>
      <c r="AZ697" s="9" t="str">
        <f t="shared" si="46"/>
        <v/>
      </c>
      <c r="BA697" s="6">
        <f t="shared" si="47"/>
        <v>0</v>
      </c>
      <c r="BB697" s="6">
        <f t="shared" si="48"/>
        <v>0</v>
      </c>
      <c r="BC697" s="9" t="str">
        <f t="shared" si="49"/>
        <v/>
      </c>
      <c r="BD697" s="6">
        <f t="shared" si="50"/>
        <v>0</v>
      </c>
      <c r="BE697" s="6">
        <f t="shared" si="51"/>
        <v>0</v>
      </c>
      <c r="BF697" s="9" t="str">
        <f t="shared" si="52"/>
        <v/>
      </c>
      <c r="BG697" s="6">
        <f t="shared" si="53"/>
        <v>0</v>
      </c>
      <c r="BH697" s="6">
        <f t="shared" si="54"/>
        <v>0</v>
      </c>
      <c r="BI697" s="9" t="str">
        <f t="shared" si="55"/>
        <v/>
      </c>
      <c r="BJ697" s="6">
        <f t="shared" si="56"/>
        <v>0</v>
      </c>
      <c r="BK697" s="6">
        <f t="shared" si="57"/>
        <v>0</v>
      </c>
      <c r="BL697" s="6">
        <f t="shared" si="58"/>
        <v>0</v>
      </c>
      <c r="BM697" s="6">
        <f t="shared" si="59"/>
        <v>0</v>
      </c>
      <c r="BN697" s="6">
        <f t="shared" si="60"/>
        <v>0</v>
      </c>
      <c r="BP697" s="6">
        <f t="shared" si="61"/>
        <v>0</v>
      </c>
      <c r="BQ697" s="6" t="b">
        <f ca="1">IFERROR(__xludf.DUMMYFUNCTION("IF(AND(ISERROR(FILTER('Items by Team'!D$2:D3410,'Items by Team'!C$2:C3410 = D697,'Items by Team'!B$2:B3410 = B697)),NOT(A697=""Practice"")),TRUE,FALSE)"),FALSE)</f>
        <v>0</v>
      </c>
      <c r="BR697" s="6">
        <f t="shared" ca="1" si="62"/>
        <v>0</v>
      </c>
    </row>
    <row r="698" spans="1:70">
      <c r="A698" s="6"/>
      <c r="B698" s="6"/>
      <c r="C698" s="6"/>
      <c r="D698" s="6"/>
      <c r="E698" s="6"/>
      <c r="F698" s="6"/>
      <c r="G698" s="6"/>
      <c r="H698" s="6"/>
      <c r="I698" s="6"/>
      <c r="J698" s="6"/>
      <c r="K698" s="6"/>
      <c r="L698" s="6"/>
      <c r="M698" s="6"/>
      <c r="N698" s="6"/>
      <c r="O698" s="6"/>
      <c r="P698" s="6"/>
      <c r="R698" s="6"/>
      <c r="S698" s="6"/>
      <c r="T698" s="6"/>
      <c r="U698" s="6"/>
      <c r="V698" s="6"/>
      <c r="W698" s="6"/>
      <c r="X698" s="6"/>
      <c r="Y698" s="6"/>
      <c r="Z698" s="6"/>
      <c r="AA698" s="6"/>
      <c r="AB698" s="6"/>
      <c r="AD698" s="6"/>
      <c r="AE698" s="6"/>
      <c r="AF698" s="6"/>
      <c r="AG698" s="6"/>
      <c r="AH698" s="6"/>
      <c r="AI698" s="6"/>
      <c r="AK698" s="6"/>
      <c r="AL698" s="6"/>
      <c r="AM698" s="6"/>
      <c r="AN698" s="6"/>
      <c r="AO698" s="6"/>
      <c r="AP698" s="6"/>
      <c r="AQ698" s="6"/>
      <c r="AR698" s="6"/>
      <c r="AS698" s="15"/>
      <c r="AT698" s="6" t="str">
        <f ca="1">IFERROR(__xludf.DUMMYFUNCTION("""COMPUTED_VALUE"""),"#N/A")</f>
        <v>#N/A</v>
      </c>
      <c r="AU698" s="6" t="str">
        <f ca="1">IFERROR(__xludf.DUMMYFUNCTION("""COMPUTED_VALUE"""),"FALSE")</f>
        <v>FALSE</v>
      </c>
      <c r="AV698" s="6">
        <f t="shared" si="42"/>
        <v>0</v>
      </c>
      <c r="AW698" s="6">
        <f t="shared" si="43"/>
        <v>0</v>
      </c>
      <c r="AX698" s="6">
        <f t="shared" si="44"/>
        <v>0</v>
      </c>
      <c r="AY698" s="6">
        <f t="shared" si="45"/>
        <v>0</v>
      </c>
      <c r="AZ698" s="9" t="str">
        <f t="shared" si="46"/>
        <v/>
      </c>
      <c r="BA698" s="6">
        <f t="shared" si="47"/>
        <v>0</v>
      </c>
      <c r="BB698" s="6">
        <f t="shared" si="48"/>
        <v>0</v>
      </c>
      <c r="BC698" s="9" t="str">
        <f t="shared" si="49"/>
        <v/>
      </c>
      <c r="BD698" s="6">
        <f t="shared" si="50"/>
        <v>0</v>
      </c>
      <c r="BE698" s="6">
        <f t="shared" si="51"/>
        <v>0</v>
      </c>
      <c r="BF698" s="9" t="str">
        <f t="shared" si="52"/>
        <v/>
      </c>
      <c r="BG698" s="6">
        <f t="shared" si="53"/>
        <v>0</v>
      </c>
      <c r="BH698" s="6">
        <f t="shared" si="54"/>
        <v>0</v>
      </c>
      <c r="BI698" s="9" t="str">
        <f t="shared" si="55"/>
        <v/>
      </c>
      <c r="BJ698" s="6">
        <f t="shared" si="56"/>
        <v>0</v>
      </c>
      <c r="BK698" s="6">
        <f t="shared" si="57"/>
        <v>0</v>
      </c>
      <c r="BL698" s="6">
        <f t="shared" si="58"/>
        <v>0</v>
      </c>
      <c r="BM698" s="6">
        <f t="shared" si="59"/>
        <v>0</v>
      </c>
      <c r="BN698" s="6">
        <f t="shared" si="60"/>
        <v>0</v>
      </c>
      <c r="BP698" s="6">
        <f t="shared" si="61"/>
        <v>0</v>
      </c>
      <c r="BQ698" s="6" t="b">
        <f ca="1">IFERROR(__xludf.DUMMYFUNCTION("IF(AND(ISERROR(FILTER('Items by Team'!D$2:D3410,'Items by Team'!C$2:C3410 = D698,'Items by Team'!B$2:B3410 = B698)),NOT(A698=""Practice"")),TRUE,FALSE)"),FALSE)</f>
        <v>0</v>
      </c>
      <c r="BR698" s="6">
        <f t="shared" ca="1" si="62"/>
        <v>0</v>
      </c>
    </row>
    <row r="699" spans="1:70">
      <c r="A699" s="6"/>
      <c r="B699" s="6"/>
      <c r="C699" s="6"/>
      <c r="D699" s="6"/>
      <c r="E699" s="6"/>
      <c r="F699" s="6"/>
      <c r="G699" s="6"/>
      <c r="H699" s="6"/>
      <c r="I699" s="6"/>
      <c r="J699" s="6"/>
      <c r="K699" s="6"/>
      <c r="L699" s="6"/>
      <c r="M699" s="6"/>
      <c r="N699" s="6"/>
      <c r="O699" s="6"/>
      <c r="P699" s="6"/>
      <c r="R699" s="6"/>
      <c r="S699" s="6"/>
      <c r="T699" s="6"/>
      <c r="U699" s="6"/>
      <c r="V699" s="6"/>
      <c r="W699" s="6"/>
      <c r="X699" s="6"/>
      <c r="Y699" s="6"/>
      <c r="Z699" s="6"/>
      <c r="AA699" s="6"/>
      <c r="AB699" s="6"/>
      <c r="AD699" s="6"/>
      <c r="AE699" s="6"/>
      <c r="AF699" s="6"/>
      <c r="AG699" s="6"/>
      <c r="AH699" s="6"/>
      <c r="AI699" s="6"/>
      <c r="AK699" s="6"/>
      <c r="AL699" s="6"/>
      <c r="AM699" s="6"/>
      <c r="AN699" s="6"/>
      <c r="AO699" s="6"/>
      <c r="AP699" s="6"/>
      <c r="AQ699" s="6"/>
      <c r="AR699" s="6"/>
      <c r="AS699" s="15"/>
      <c r="AT699" s="6" t="str">
        <f ca="1">IFERROR(__xludf.DUMMYFUNCTION("""COMPUTED_VALUE"""),"#N/A")</f>
        <v>#N/A</v>
      </c>
      <c r="AU699" s="6" t="str">
        <f ca="1">IFERROR(__xludf.DUMMYFUNCTION("""COMPUTED_VALUE"""),"FALSE")</f>
        <v>FALSE</v>
      </c>
      <c r="AV699" s="6">
        <f t="shared" si="42"/>
        <v>0</v>
      </c>
      <c r="AW699" s="6">
        <f t="shared" si="43"/>
        <v>0</v>
      </c>
      <c r="AX699" s="6">
        <f t="shared" si="44"/>
        <v>0</v>
      </c>
      <c r="AY699" s="6">
        <f t="shared" si="45"/>
        <v>0</v>
      </c>
      <c r="AZ699" s="9" t="str">
        <f t="shared" si="46"/>
        <v/>
      </c>
      <c r="BA699" s="6">
        <f t="shared" si="47"/>
        <v>0</v>
      </c>
      <c r="BB699" s="6">
        <f t="shared" si="48"/>
        <v>0</v>
      </c>
      <c r="BC699" s="9" t="str">
        <f t="shared" si="49"/>
        <v/>
      </c>
      <c r="BD699" s="6">
        <f t="shared" si="50"/>
        <v>0</v>
      </c>
      <c r="BE699" s="6">
        <f t="shared" si="51"/>
        <v>0</v>
      </c>
      <c r="BF699" s="9" t="str">
        <f t="shared" si="52"/>
        <v/>
      </c>
      <c r="BG699" s="6">
        <f t="shared" si="53"/>
        <v>0</v>
      </c>
      <c r="BH699" s="6">
        <f t="shared" si="54"/>
        <v>0</v>
      </c>
      <c r="BI699" s="9" t="str">
        <f t="shared" si="55"/>
        <v/>
      </c>
      <c r="BJ699" s="6">
        <f t="shared" si="56"/>
        <v>0</v>
      </c>
      <c r="BK699" s="6">
        <f t="shared" si="57"/>
        <v>0</v>
      </c>
      <c r="BL699" s="6">
        <f t="shared" si="58"/>
        <v>0</v>
      </c>
      <c r="BM699" s="6">
        <f t="shared" si="59"/>
        <v>0</v>
      </c>
      <c r="BN699" s="6">
        <f t="shared" si="60"/>
        <v>0</v>
      </c>
      <c r="BP699" s="6">
        <f t="shared" si="61"/>
        <v>0</v>
      </c>
      <c r="BQ699" s="6" t="b">
        <f ca="1">IFERROR(__xludf.DUMMYFUNCTION("IF(AND(ISERROR(FILTER('Items by Team'!D$2:D3410,'Items by Team'!C$2:C3410 = D699,'Items by Team'!B$2:B3410 = B699)),NOT(A699=""Practice"")),TRUE,FALSE)"),FALSE)</f>
        <v>0</v>
      </c>
      <c r="BR699" s="6">
        <f t="shared" ca="1" si="62"/>
        <v>0</v>
      </c>
    </row>
    <row r="700" spans="1:70">
      <c r="A700" s="6"/>
      <c r="B700" s="6"/>
      <c r="C700" s="6"/>
      <c r="D700" s="6"/>
      <c r="E700" s="6"/>
      <c r="F700" s="6"/>
      <c r="G700" s="6"/>
      <c r="H700" s="6"/>
      <c r="I700" s="6"/>
      <c r="J700" s="6"/>
      <c r="K700" s="6"/>
      <c r="L700" s="6"/>
      <c r="M700" s="6"/>
      <c r="N700" s="6"/>
      <c r="O700" s="6"/>
      <c r="P700" s="6"/>
      <c r="R700" s="6"/>
      <c r="S700" s="6"/>
      <c r="T700" s="6"/>
      <c r="U700" s="6"/>
      <c r="V700" s="6"/>
      <c r="W700" s="6"/>
      <c r="X700" s="6"/>
      <c r="Y700" s="6"/>
      <c r="Z700" s="6"/>
      <c r="AA700" s="6"/>
      <c r="AB700" s="6"/>
      <c r="AD700" s="6"/>
      <c r="AE700" s="6"/>
      <c r="AF700" s="6"/>
      <c r="AG700" s="6"/>
      <c r="AH700" s="6"/>
      <c r="AI700" s="6"/>
      <c r="AK700" s="6"/>
      <c r="AL700" s="6"/>
      <c r="AM700" s="6"/>
      <c r="AN700" s="6"/>
      <c r="AO700" s="6"/>
      <c r="AP700" s="6"/>
      <c r="AQ700" s="6"/>
      <c r="AR700" s="6"/>
      <c r="AS700" s="15"/>
      <c r="AT700" s="6" t="str">
        <f ca="1">IFERROR(__xludf.DUMMYFUNCTION("""COMPUTED_VALUE"""),"#N/A")</f>
        <v>#N/A</v>
      </c>
      <c r="AU700" s="6" t="str">
        <f ca="1">IFERROR(__xludf.DUMMYFUNCTION("""COMPUTED_VALUE"""),"FALSE")</f>
        <v>FALSE</v>
      </c>
      <c r="AV700" s="6">
        <f t="shared" si="42"/>
        <v>0</v>
      </c>
      <c r="AW700" s="6">
        <f t="shared" si="43"/>
        <v>0</v>
      </c>
      <c r="AX700" s="6">
        <f t="shared" si="44"/>
        <v>0</v>
      </c>
      <c r="AY700" s="6">
        <f t="shared" si="45"/>
        <v>0</v>
      </c>
      <c r="AZ700" s="9" t="str">
        <f t="shared" si="46"/>
        <v/>
      </c>
      <c r="BA700" s="6">
        <f t="shared" si="47"/>
        <v>0</v>
      </c>
      <c r="BB700" s="6">
        <f t="shared" si="48"/>
        <v>0</v>
      </c>
      <c r="BC700" s="9" t="str">
        <f t="shared" si="49"/>
        <v/>
      </c>
      <c r="BD700" s="6">
        <f t="shared" si="50"/>
        <v>0</v>
      </c>
      <c r="BE700" s="6">
        <f t="shared" si="51"/>
        <v>0</v>
      </c>
      <c r="BF700" s="9" t="str">
        <f t="shared" si="52"/>
        <v/>
      </c>
      <c r="BG700" s="6">
        <f t="shared" si="53"/>
        <v>0</v>
      </c>
      <c r="BH700" s="6">
        <f t="shared" si="54"/>
        <v>0</v>
      </c>
      <c r="BI700" s="9" t="str">
        <f t="shared" si="55"/>
        <v/>
      </c>
      <c r="BJ700" s="6">
        <f t="shared" si="56"/>
        <v>0</v>
      </c>
      <c r="BK700" s="6">
        <f t="shared" si="57"/>
        <v>0</v>
      </c>
      <c r="BL700" s="6">
        <f t="shared" si="58"/>
        <v>0</v>
      </c>
      <c r="BM700" s="6">
        <f t="shared" si="59"/>
        <v>0</v>
      </c>
      <c r="BN700" s="6">
        <f t="shared" si="60"/>
        <v>0</v>
      </c>
      <c r="BP700" s="6">
        <f t="shared" si="61"/>
        <v>0</v>
      </c>
      <c r="BQ700" s="6" t="b">
        <f ca="1">IFERROR(__xludf.DUMMYFUNCTION("IF(AND(ISERROR(FILTER('Items by Team'!D$2:D3410,'Items by Team'!C$2:C3410 = D700,'Items by Team'!B$2:B3410 = B700)),NOT(A700=""Practice"")),TRUE,FALSE)"),FALSE)</f>
        <v>0</v>
      </c>
      <c r="BR700" s="6">
        <f t="shared" ca="1" si="62"/>
        <v>0</v>
      </c>
    </row>
    <row r="701" spans="1:70">
      <c r="A701" s="6"/>
      <c r="B701" s="6"/>
      <c r="C701" s="6"/>
      <c r="D701" s="6"/>
      <c r="E701" s="6"/>
      <c r="F701" s="6"/>
      <c r="G701" s="6"/>
      <c r="H701" s="6"/>
      <c r="I701" s="6"/>
      <c r="J701" s="6"/>
      <c r="K701" s="6"/>
      <c r="L701" s="6"/>
      <c r="M701" s="6"/>
      <c r="N701" s="6"/>
      <c r="O701" s="6"/>
      <c r="P701" s="6"/>
      <c r="R701" s="6"/>
      <c r="S701" s="6"/>
      <c r="T701" s="6"/>
      <c r="U701" s="6"/>
      <c r="V701" s="6"/>
      <c r="W701" s="6"/>
      <c r="X701" s="6"/>
      <c r="Y701" s="6"/>
      <c r="Z701" s="6"/>
      <c r="AA701" s="6"/>
      <c r="AB701" s="6"/>
      <c r="AD701" s="6"/>
      <c r="AE701" s="6"/>
      <c r="AF701" s="6"/>
      <c r="AG701" s="6"/>
      <c r="AH701" s="6"/>
      <c r="AI701" s="6"/>
      <c r="AK701" s="6"/>
      <c r="AL701" s="6"/>
      <c r="AM701" s="6"/>
      <c r="AN701" s="6"/>
      <c r="AO701" s="6"/>
      <c r="AP701" s="6"/>
      <c r="AQ701" s="6"/>
      <c r="AR701" s="6"/>
      <c r="AS701" s="15"/>
      <c r="AT701" s="6" t="str">
        <f ca="1">IFERROR(__xludf.DUMMYFUNCTION("""COMPUTED_VALUE"""),"#N/A")</f>
        <v>#N/A</v>
      </c>
      <c r="AU701" s="6" t="str">
        <f ca="1">IFERROR(__xludf.DUMMYFUNCTION("""COMPUTED_VALUE"""),"FALSE")</f>
        <v>FALSE</v>
      </c>
      <c r="AV701" s="6">
        <f t="shared" si="42"/>
        <v>0</v>
      </c>
      <c r="AW701" s="6">
        <f t="shared" si="43"/>
        <v>0</v>
      </c>
      <c r="AX701" s="6">
        <f t="shared" si="44"/>
        <v>0</v>
      </c>
      <c r="AY701" s="6">
        <f t="shared" si="45"/>
        <v>0</v>
      </c>
      <c r="AZ701" s="9" t="str">
        <f t="shared" si="46"/>
        <v/>
      </c>
      <c r="BA701" s="6">
        <f t="shared" si="47"/>
        <v>0</v>
      </c>
      <c r="BB701" s="6">
        <f t="shared" si="48"/>
        <v>0</v>
      </c>
      <c r="BC701" s="9" t="str">
        <f t="shared" si="49"/>
        <v/>
      </c>
      <c r="BD701" s="6">
        <f t="shared" si="50"/>
        <v>0</v>
      </c>
      <c r="BE701" s="6">
        <f t="shared" si="51"/>
        <v>0</v>
      </c>
      <c r="BF701" s="9" t="str">
        <f t="shared" si="52"/>
        <v/>
      </c>
      <c r="BG701" s="6">
        <f t="shared" si="53"/>
        <v>0</v>
      </c>
      <c r="BH701" s="6">
        <f t="shared" si="54"/>
        <v>0</v>
      </c>
      <c r="BI701" s="9" t="str">
        <f t="shared" si="55"/>
        <v/>
      </c>
      <c r="BJ701" s="6">
        <f t="shared" si="56"/>
        <v>0</v>
      </c>
      <c r="BK701" s="6">
        <f t="shared" si="57"/>
        <v>0</v>
      </c>
      <c r="BL701" s="6">
        <f t="shared" si="58"/>
        <v>0</v>
      </c>
      <c r="BM701" s="6">
        <f t="shared" si="59"/>
        <v>0</v>
      </c>
      <c r="BN701" s="6">
        <f t="shared" si="60"/>
        <v>0</v>
      </c>
      <c r="BP701" s="6">
        <f t="shared" si="61"/>
        <v>0</v>
      </c>
      <c r="BQ701" s="6" t="b">
        <f ca="1">IFERROR(__xludf.DUMMYFUNCTION("IF(AND(ISERROR(FILTER('Items by Team'!D$2:D3410,'Items by Team'!C$2:C3410 = D701,'Items by Team'!B$2:B3410 = B701)),NOT(A701=""Practice"")),TRUE,FALSE)"),FALSE)</f>
        <v>0</v>
      </c>
      <c r="BR701" s="6">
        <f t="shared" ca="1" si="62"/>
        <v>0</v>
      </c>
    </row>
    <row r="702" spans="1:70">
      <c r="A702" s="6"/>
      <c r="B702" s="6"/>
      <c r="C702" s="6"/>
      <c r="D702" s="6"/>
      <c r="E702" s="6"/>
      <c r="F702" s="6"/>
      <c r="G702" s="6"/>
      <c r="H702" s="6"/>
      <c r="I702" s="6"/>
      <c r="J702" s="6"/>
      <c r="K702" s="6"/>
      <c r="L702" s="6"/>
      <c r="M702" s="6"/>
      <c r="N702" s="6"/>
      <c r="O702" s="6"/>
      <c r="P702" s="6"/>
      <c r="R702" s="6"/>
      <c r="S702" s="6"/>
      <c r="T702" s="6"/>
      <c r="U702" s="6"/>
      <c r="V702" s="6"/>
      <c r="W702" s="6"/>
      <c r="X702" s="6"/>
      <c r="Y702" s="6"/>
      <c r="Z702" s="6"/>
      <c r="AA702" s="6"/>
      <c r="AB702" s="6"/>
      <c r="AD702" s="6"/>
      <c r="AE702" s="6"/>
      <c r="AF702" s="6"/>
      <c r="AG702" s="6"/>
      <c r="AH702" s="6"/>
      <c r="AI702" s="6"/>
      <c r="AK702" s="6"/>
      <c r="AL702" s="6"/>
      <c r="AM702" s="6"/>
      <c r="AN702" s="6"/>
      <c r="AO702" s="6"/>
      <c r="AP702" s="6"/>
      <c r="AQ702" s="6"/>
      <c r="AR702" s="6"/>
      <c r="AS702" s="15"/>
      <c r="AT702" s="6" t="str">
        <f ca="1">IFERROR(__xludf.DUMMYFUNCTION("""COMPUTED_VALUE"""),"#N/A")</f>
        <v>#N/A</v>
      </c>
      <c r="AU702" s="6" t="str">
        <f ca="1">IFERROR(__xludf.DUMMYFUNCTION("""COMPUTED_VALUE"""),"FALSE")</f>
        <v>FALSE</v>
      </c>
      <c r="AV702" s="6">
        <f t="shared" si="42"/>
        <v>0</v>
      </c>
      <c r="AW702" s="6">
        <f t="shared" si="43"/>
        <v>0</v>
      </c>
      <c r="AX702" s="6">
        <f t="shared" si="44"/>
        <v>0</v>
      </c>
      <c r="AY702" s="6">
        <f t="shared" si="45"/>
        <v>0</v>
      </c>
      <c r="AZ702" s="9" t="str">
        <f t="shared" si="46"/>
        <v/>
      </c>
      <c r="BA702" s="6">
        <f t="shared" si="47"/>
        <v>0</v>
      </c>
      <c r="BB702" s="6">
        <f t="shared" si="48"/>
        <v>0</v>
      </c>
      <c r="BC702" s="9" t="str">
        <f t="shared" si="49"/>
        <v/>
      </c>
      <c r="BD702" s="6">
        <f t="shared" si="50"/>
        <v>0</v>
      </c>
      <c r="BE702" s="6">
        <f t="shared" si="51"/>
        <v>0</v>
      </c>
      <c r="BF702" s="9" t="str">
        <f t="shared" si="52"/>
        <v/>
      </c>
      <c r="BG702" s="6">
        <f t="shared" si="53"/>
        <v>0</v>
      </c>
      <c r="BH702" s="6">
        <f t="shared" si="54"/>
        <v>0</v>
      </c>
      <c r="BI702" s="9" t="str">
        <f t="shared" si="55"/>
        <v/>
      </c>
      <c r="BJ702" s="6">
        <f t="shared" si="56"/>
        <v>0</v>
      </c>
      <c r="BK702" s="6">
        <f t="shared" si="57"/>
        <v>0</v>
      </c>
      <c r="BL702" s="6">
        <f t="shared" si="58"/>
        <v>0</v>
      </c>
      <c r="BM702" s="6">
        <f t="shared" si="59"/>
        <v>0</v>
      </c>
      <c r="BN702" s="6">
        <f t="shared" si="60"/>
        <v>0</v>
      </c>
      <c r="BP702" s="6">
        <f t="shared" si="61"/>
        <v>0</v>
      </c>
      <c r="BQ702" s="6" t="b">
        <f ca="1">IFERROR(__xludf.DUMMYFUNCTION("IF(AND(ISERROR(FILTER('Items by Team'!D$2:D3410,'Items by Team'!C$2:C3410 = D702,'Items by Team'!B$2:B3410 = B702)),NOT(A702=""Practice"")),TRUE,FALSE)"),FALSE)</f>
        <v>0</v>
      </c>
      <c r="BR702" s="6">
        <f t="shared" ca="1" si="62"/>
        <v>0</v>
      </c>
    </row>
    <row r="703" spans="1:70">
      <c r="A703" s="6"/>
      <c r="B703" s="6"/>
      <c r="C703" s="6"/>
      <c r="D703" s="6"/>
      <c r="E703" s="6"/>
      <c r="F703" s="6"/>
      <c r="G703" s="6"/>
      <c r="H703" s="6"/>
      <c r="I703" s="6"/>
      <c r="J703" s="6"/>
      <c r="K703" s="6"/>
      <c r="L703" s="6"/>
      <c r="M703" s="6"/>
      <c r="N703" s="6"/>
      <c r="O703" s="6"/>
      <c r="P703" s="6"/>
      <c r="R703" s="6"/>
      <c r="S703" s="6"/>
      <c r="T703" s="6"/>
      <c r="U703" s="6"/>
      <c r="V703" s="6"/>
      <c r="W703" s="6"/>
      <c r="X703" s="6"/>
      <c r="Y703" s="6"/>
      <c r="Z703" s="6"/>
      <c r="AA703" s="6"/>
      <c r="AB703" s="6"/>
      <c r="AD703" s="6"/>
      <c r="AE703" s="6"/>
      <c r="AF703" s="6"/>
      <c r="AG703" s="6"/>
      <c r="AH703" s="6"/>
      <c r="AI703" s="6"/>
      <c r="AK703" s="6"/>
      <c r="AL703" s="6"/>
      <c r="AM703" s="6"/>
      <c r="AN703" s="6"/>
      <c r="AO703" s="6"/>
      <c r="AP703" s="6"/>
      <c r="AQ703" s="6"/>
      <c r="AR703" s="6"/>
      <c r="AS703" s="15"/>
      <c r="AT703" s="6" t="str">
        <f ca="1">IFERROR(__xludf.DUMMYFUNCTION("""COMPUTED_VALUE"""),"#N/A")</f>
        <v>#N/A</v>
      </c>
      <c r="AU703" s="6" t="str">
        <f ca="1">IFERROR(__xludf.DUMMYFUNCTION("""COMPUTED_VALUE"""),"FALSE")</f>
        <v>FALSE</v>
      </c>
      <c r="AV703" s="6">
        <f t="shared" si="42"/>
        <v>0</v>
      </c>
      <c r="AW703" s="6">
        <f t="shared" si="43"/>
        <v>0</v>
      </c>
      <c r="AX703" s="6">
        <f t="shared" si="44"/>
        <v>0</v>
      </c>
      <c r="AY703" s="6">
        <f t="shared" si="45"/>
        <v>0</v>
      </c>
      <c r="AZ703" s="9" t="str">
        <f t="shared" si="46"/>
        <v/>
      </c>
      <c r="BA703" s="6">
        <f t="shared" si="47"/>
        <v>0</v>
      </c>
      <c r="BB703" s="6">
        <f t="shared" si="48"/>
        <v>0</v>
      </c>
      <c r="BC703" s="9" t="str">
        <f t="shared" si="49"/>
        <v/>
      </c>
      <c r="BD703" s="6">
        <f t="shared" si="50"/>
        <v>0</v>
      </c>
      <c r="BE703" s="6">
        <f t="shared" si="51"/>
        <v>0</v>
      </c>
      <c r="BF703" s="9" t="str">
        <f t="shared" si="52"/>
        <v/>
      </c>
      <c r="BG703" s="6">
        <f t="shared" si="53"/>
        <v>0</v>
      </c>
      <c r="BH703" s="6">
        <f t="shared" si="54"/>
        <v>0</v>
      </c>
      <c r="BI703" s="9" t="str">
        <f t="shared" si="55"/>
        <v/>
      </c>
      <c r="BJ703" s="6">
        <f t="shared" si="56"/>
        <v>0</v>
      </c>
      <c r="BK703" s="6">
        <f t="shared" si="57"/>
        <v>0</v>
      </c>
      <c r="BL703" s="6">
        <f t="shared" si="58"/>
        <v>0</v>
      </c>
      <c r="BM703" s="6">
        <f t="shared" si="59"/>
        <v>0</v>
      </c>
      <c r="BN703" s="6">
        <f t="shared" si="60"/>
        <v>0</v>
      </c>
      <c r="BP703" s="6">
        <f t="shared" si="61"/>
        <v>0</v>
      </c>
      <c r="BQ703" s="6" t="b">
        <f ca="1">IFERROR(__xludf.DUMMYFUNCTION("IF(AND(ISERROR(FILTER('Items by Team'!D$2:D3410,'Items by Team'!C$2:C3410 = D703,'Items by Team'!B$2:B3410 = B703)),NOT(A703=""Practice"")),TRUE,FALSE)"),FALSE)</f>
        <v>0</v>
      </c>
      <c r="BR703" s="6">
        <f t="shared" ca="1" si="62"/>
        <v>0</v>
      </c>
    </row>
    <row r="704" spans="1:70">
      <c r="A704" s="6"/>
      <c r="B704" s="6"/>
      <c r="C704" s="6"/>
      <c r="D704" s="6"/>
      <c r="E704" s="6"/>
      <c r="F704" s="6"/>
      <c r="G704" s="6"/>
      <c r="H704" s="6"/>
      <c r="I704" s="6"/>
      <c r="J704" s="6"/>
      <c r="K704" s="6"/>
      <c r="L704" s="6"/>
      <c r="M704" s="6"/>
      <c r="N704" s="6"/>
      <c r="O704" s="6"/>
      <c r="P704" s="6"/>
      <c r="R704" s="6"/>
      <c r="S704" s="6"/>
      <c r="T704" s="6"/>
      <c r="U704" s="6"/>
      <c r="V704" s="6"/>
      <c r="W704" s="6"/>
      <c r="X704" s="6"/>
      <c r="Y704" s="6"/>
      <c r="Z704" s="6"/>
      <c r="AA704" s="6"/>
      <c r="AB704" s="6"/>
      <c r="AD704" s="6"/>
      <c r="AE704" s="6"/>
      <c r="AF704" s="6"/>
      <c r="AG704" s="6"/>
      <c r="AH704" s="6"/>
      <c r="AI704" s="6"/>
      <c r="AK704" s="6"/>
      <c r="AL704" s="6"/>
      <c r="AM704" s="6"/>
      <c r="AN704" s="6"/>
      <c r="AO704" s="6"/>
      <c r="AP704" s="6"/>
      <c r="AQ704" s="6"/>
      <c r="AR704" s="6"/>
      <c r="AS704" s="15"/>
      <c r="AT704" s="6" t="str">
        <f ca="1">IFERROR(__xludf.DUMMYFUNCTION("""COMPUTED_VALUE"""),"#N/A")</f>
        <v>#N/A</v>
      </c>
      <c r="AU704" s="6" t="str">
        <f ca="1">IFERROR(__xludf.DUMMYFUNCTION("""COMPUTED_VALUE"""),"FALSE")</f>
        <v>FALSE</v>
      </c>
      <c r="AV704" s="6">
        <f t="shared" si="42"/>
        <v>0</v>
      </c>
      <c r="AW704" s="6">
        <f t="shared" si="43"/>
        <v>0</v>
      </c>
      <c r="AX704" s="6">
        <f t="shared" si="44"/>
        <v>0</v>
      </c>
      <c r="AY704" s="6">
        <f t="shared" si="45"/>
        <v>0</v>
      </c>
      <c r="AZ704" s="9" t="str">
        <f t="shared" si="46"/>
        <v/>
      </c>
      <c r="BA704" s="6">
        <f t="shared" si="47"/>
        <v>0</v>
      </c>
      <c r="BB704" s="6">
        <f t="shared" si="48"/>
        <v>0</v>
      </c>
      <c r="BC704" s="9" t="str">
        <f t="shared" si="49"/>
        <v/>
      </c>
      <c r="BD704" s="6">
        <f t="shared" si="50"/>
        <v>0</v>
      </c>
      <c r="BE704" s="6">
        <f t="shared" si="51"/>
        <v>0</v>
      </c>
      <c r="BF704" s="9" t="str">
        <f t="shared" si="52"/>
        <v/>
      </c>
      <c r="BG704" s="6">
        <f t="shared" si="53"/>
        <v>0</v>
      </c>
      <c r="BH704" s="6">
        <f t="shared" si="54"/>
        <v>0</v>
      </c>
      <c r="BI704" s="9" t="str">
        <f t="shared" si="55"/>
        <v/>
      </c>
      <c r="BJ704" s="6">
        <f t="shared" si="56"/>
        <v>0</v>
      </c>
      <c r="BK704" s="6">
        <f t="shared" si="57"/>
        <v>0</v>
      </c>
      <c r="BL704" s="6">
        <f t="shared" si="58"/>
        <v>0</v>
      </c>
      <c r="BM704" s="6">
        <f t="shared" si="59"/>
        <v>0</v>
      </c>
      <c r="BN704" s="6">
        <f t="shared" si="60"/>
        <v>0</v>
      </c>
      <c r="BP704" s="6">
        <f t="shared" si="61"/>
        <v>0</v>
      </c>
      <c r="BQ704" s="6" t="b">
        <f ca="1">IFERROR(__xludf.DUMMYFUNCTION("IF(AND(ISERROR(FILTER('Items by Team'!D$2:D3410,'Items by Team'!C$2:C3410 = D704,'Items by Team'!B$2:B3410 = B704)),NOT(A704=""Practice"")),TRUE,FALSE)"),FALSE)</f>
        <v>0</v>
      </c>
      <c r="BR704" s="6">
        <f t="shared" ca="1" si="62"/>
        <v>0</v>
      </c>
    </row>
    <row r="705" spans="1:70">
      <c r="A705" s="6"/>
      <c r="B705" s="6"/>
      <c r="C705" s="6"/>
      <c r="D705" s="6"/>
      <c r="E705" s="6"/>
      <c r="F705" s="6"/>
      <c r="G705" s="6"/>
      <c r="H705" s="6"/>
      <c r="I705" s="6"/>
      <c r="J705" s="6"/>
      <c r="K705" s="6"/>
      <c r="L705" s="6"/>
      <c r="M705" s="6"/>
      <c r="N705" s="6"/>
      <c r="O705" s="6"/>
      <c r="P705" s="6"/>
      <c r="R705" s="6"/>
      <c r="S705" s="6"/>
      <c r="T705" s="6"/>
      <c r="U705" s="6"/>
      <c r="V705" s="6"/>
      <c r="W705" s="6"/>
      <c r="X705" s="6"/>
      <c r="Y705" s="6"/>
      <c r="Z705" s="6"/>
      <c r="AA705" s="6"/>
      <c r="AB705" s="6"/>
      <c r="AD705" s="6"/>
      <c r="AE705" s="6"/>
      <c r="AF705" s="6"/>
      <c r="AG705" s="6"/>
      <c r="AH705" s="6"/>
      <c r="AI705" s="6"/>
      <c r="AK705" s="6"/>
      <c r="AL705" s="6"/>
      <c r="AM705" s="6"/>
      <c r="AN705" s="6"/>
      <c r="AO705" s="6"/>
      <c r="AP705" s="6"/>
      <c r="AQ705" s="6"/>
      <c r="AR705" s="6"/>
      <c r="AS705" s="15"/>
      <c r="AT705" s="6" t="str">
        <f ca="1">IFERROR(__xludf.DUMMYFUNCTION("""COMPUTED_VALUE"""),"#N/A")</f>
        <v>#N/A</v>
      </c>
      <c r="AU705" s="6" t="str">
        <f ca="1">IFERROR(__xludf.DUMMYFUNCTION("""COMPUTED_VALUE"""),"FALSE")</f>
        <v>FALSE</v>
      </c>
      <c r="AV705" s="6">
        <f t="shared" si="42"/>
        <v>0</v>
      </c>
      <c r="AW705" s="6">
        <f t="shared" si="43"/>
        <v>0</v>
      </c>
      <c r="AX705" s="6">
        <f t="shared" si="44"/>
        <v>0</v>
      </c>
      <c r="AY705" s="6">
        <f t="shared" si="45"/>
        <v>0</v>
      </c>
      <c r="AZ705" s="9" t="str">
        <f t="shared" si="46"/>
        <v/>
      </c>
      <c r="BA705" s="6">
        <f t="shared" si="47"/>
        <v>0</v>
      </c>
      <c r="BB705" s="6">
        <f t="shared" si="48"/>
        <v>0</v>
      </c>
      <c r="BC705" s="9" t="str">
        <f t="shared" si="49"/>
        <v/>
      </c>
      <c r="BD705" s="6">
        <f t="shared" si="50"/>
        <v>0</v>
      </c>
      <c r="BE705" s="6">
        <f t="shared" si="51"/>
        <v>0</v>
      </c>
      <c r="BF705" s="9" t="str">
        <f t="shared" si="52"/>
        <v/>
      </c>
      <c r="BG705" s="6">
        <f t="shared" si="53"/>
        <v>0</v>
      </c>
      <c r="BH705" s="6">
        <f t="shared" si="54"/>
        <v>0</v>
      </c>
      <c r="BI705" s="9" t="str">
        <f t="shared" si="55"/>
        <v/>
      </c>
      <c r="BJ705" s="6">
        <f t="shared" si="56"/>
        <v>0</v>
      </c>
      <c r="BK705" s="6">
        <f t="shared" si="57"/>
        <v>0</v>
      </c>
      <c r="BL705" s="6">
        <f t="shared" si="58"/>
        <v>0</v>
      </c>
      <c r="BM705" s="6">
        <f t="shared" si="59"/>
        <v>0</v>
      </c>
      <c r="BN705" s="6">
        <f t="shared" si="60"/>
        <v>0</v>
      </c>
      <c r="BP705" s="6">
        <f t="shared" si="61"/>
        <v>0</v>
      </c>
      <c r="BQ705" s="6" t="b">
        <f ca="1">IFERROR(__xludf.DUMMYFUNCTION("IF(AND(ISERROR(FILTER('Items by Team'!D$2:D3410,'Items by Team'!C$2:C3410 = D705,'Items by Team'!B$2:B3410 = B705)),NOT(A705=""Practice"")),TRUE,FALSE)"),FALSE)</f>
        <v>0</v>
      </c>
      <c r="BR705" s="6">
        <f t="shared" ca="1" si="62"/>
        <v>0</v>
      </c>
    </row>
    <row r="706" spans="1:70">
      <c r="A706" s="6"/>
      <c r="B706" s="6"/>
      <c r="C706" s="6"/>
      <c r="D706" s="6"/>
      <c r="E706" s="6"/>
      <c r="F706" s="6"/>
      <c r="G706" s="6"/>
      <c r="H706" s="6"/>
      <c r="I706" s="6"/>
      <c r="J706" s="6"/>
      <c r="K706" s="6"/>
      <c r="L706" s="6"/>
      <c r="M706" s="6"/>
      <c r="N706" s="6"/>
      <c r="O706" s="6"/>
      <c r="P706" s="6"/>
      <c r="R706" s="6"/>
      <c r="S706" s="6"/>
      <c r="T706" s="6"/>
      <c r="U706" s="6"/>
      <c r="V706" s="6"/>
      <c r="W706" s="6"/>
      <c r="X706" s="6"/>
      <c r="Y706" s="6"/>
      <c r="Z706" s="6"/>
      <c r="AA706" s="6"/>
      <c r="AB706" s="6"/>
      <c r="AD706" s="6"/>
      <c r="AE706" s="6"/>
      <c r="AF706" s="6"/>
      <c r="AG706" s="6"/>
      <c r="AH706" s="6"/>
      <c r="AI706" s="6"/>
      <c r="AK706" s="6"/>
      <c r="AL706" s="6"/>
      <c r="AM706" s="6"/>
      <c r="AN706" s="6"/>
      <c r="AO706" s="6"/>
      <c r="AP706" s="6"/>
      <c r="AQ706" s="6"/>
      <c r="AR706" s="6"/>
      <c r="AS706" s="15"/>
      <c r="AT706" s="6" t="str">
        <f ca="1">IFERROR(__xludf.DUMMYFUNCTION("""COMPUTED_VALUE"""),"#N/A")</f>
        <v>#N/A</v>
      </c>
      <c r="AU706" s="6" t="str">
        <f ca="1">IFERROR(__xludf.DUMMYFUNCTION("""COMPUTED_VALUE"""),"FALSE")</f>
        <v>FALSE</v>
      </c>
      <c r="AV706" s="6">
        <f t="shared" si="42"/>
        <v>0</v>
      </c>
      <c r="AW706" s="6">
        <f t="shared" si="43"/>
        <v>0</v>
      </c>
      <c r="AX706" s="6">
        <f t="shared" si="44"/>
        <v>0</v>
      </c>
      <c r="AY706" s="6">
        <f t="shared" si="45"/>
        <v>0</v>
      </c>
      <c r="AZ706" s="9" t="str">
        <f t="shared" si="46"/>
        <v/>
      </c>
      <c r="BA706" s="6">
        <f t="shared" si="47"/>
        <v>0</v>
      </c>
      <c r="BB706" s="6">
        <f t="shared" si="48"/>
        <v>0</v>
      </c>
      <c r="BC706" s="9" t="str">
        <f t="shared" si="49"/>
        <v/>
      </c>
      <c r="BD706" s="6">
        <f t="shared" si="50"/>
        <v>0</v>
      </c>
      <c r="BE706" s="6">
        <f t="shared" si="51"/>
        <v>0</v>
      </c>
      <c r="BF706" s="9" t="str">
        <f t="shared" si="52"/>
        <v/>
      </c>
      <c r="BG706" s="6">
        <f t="shared" si="53"/>
        <v>0</v>
      </c>
      <c r="BH706" s="6">
        <f t="shared" si="54"/>
        <v>0</v>
      </c>
      <c r="BI706" s="9" t="str">
        <f t="shared" si="55"/>
        <v/>
      </c>
      <c r="BJ706" s="6">
        <f t="shared" si="56"/>
        <v>0</v>
      </c>
      <c r="BK706" s="6">
        <f t="shared" si="57"/>
        <v>0</v>
      </c>
      <c r="BL706" s="6">
        <f t="shared" si="58"/>
        <v>0</v>
      </c>
      <c r="BM706" s="6">
        <f t="shared" si="59"/>
        <v>0</v>
      </c>
      <c r="BN706" s="6">
        <f t="shared" si="60"/>
        <v>0</v>
      </c>
      <c r="BP706" s="6">
        <f t="shared" si="61"/>
        <v>0</v>
      </c>
      <c r="BQ706" s="6" t="b">
        <f ca="1">IFERROR(__xludf.DUMMYFUNCTION("IF(AND(ISERROR(FILTER('Items by Team'!D$2:D3410,'Items by Team'!C$2:C3410 = D706,'Items by Team'!B$2:B3410 = B706)),NOT(A706=""Practice"")),TRUE,FALSE)"),FALSE)</f>
        <v>0</v>
      </c>
      <c r="BR706" s="6">
        <f t="shared" ca="1" si="62"/>
        <v>0</v>
      </c>
    </row>
    <row r="707" spans="1:70">
      <c r="A707" s="6"/>
      <c r="B707" s="6"/>
      <c r="C707" s="6"/>
      <c r="D707" s="6"/>
      <c r="E707" s="6"/>
      <c r="F707" s="6"/>
      <c r="G707" s="6"/>
      <c r="H707" s="6"/>
      <c r="I707" s="6"/>
      <c r="J707" s="6"/>
      <c r="K707" s="6"/>
      <c r="L707" s="6"/>
      <c r="M707" s="6"/>
      <c r="N707" s="6"/>
      <c r="O707" s="6"/>
      <c r="P707" s="6"/>
      <c r="R707" s="6"/>
      <c r="S707" s="6"/>
      <c r="T707" s="6"/>
      <c r="U707" s="6"/>
      <c r="V707" s="6"/>
      <c r="W707" s="6"/>
      <c r="X707" s="6"/>
      <c r="Y707" s="6"/>
      <c r="Z707" s="6"/>
      <c r="AA707" s="6"/>
      <c r="AB707" s="6"/>
      <c r="AD707" s="6"/>
      <c r="AE707" s="6"/>
      <c r="AF707" s="6"/>
      <c r="AG707" s="6"/>
      <c r="AH707" s="6"/>
      <c r="AI707" s="6"/>
      <c r="AK707" s="6"/>
      <c r="AL707" s="6"/>
      <c r="AM707" s="6"/>
      <c r="AN707" s="6"/>
      <c r="AO707" s="6"/>
      <c r="AP707" s="6"/>
      <c r="AQ707" s="6"/>
      <c r="AR707" s="6"/>
      <c r="AS707" s="15"/>
      <c r="AT707" s="6" t="str">
        <f ca="1">IFERROR(__xludf.DUMMYFUNCTION("""COMPUTED_VALUE"""),"#N/A")</f>
        <v>#N/A</v>
      </c>
      <c r="AU707" s="6" t="str">
        <f ca="1">IFERROR(__xludf.DUMMYFUNCTION("""COMPUTED_VALUE"""),"FALSE")</f>
        <v>FALSE</v>
      </c>
      <c r="AV707" s="6">
        <f t="shared" si="42"/>
        <v>0</v>
      </c>
      <c r="AW707" s="6">
        <f t="shared" si="43"/>
        <v>0</v>
      </c>
      <c r="AX707" s="6">
        <f t="shared" si="44"/>
        <v>0</v>
      </c>
      <c r="AY707" s="6">
        <f t="shared" si="45"/>
        <v>0</v>
      </c>
      <c r="AZ707" s="9" t="str">
        <f t="shared" si="46"/>
        <v/>
      </c>
      <c r="BA707" s="6">
        <f t="shared" si="47"/>
        <v>0</v>
      </c>
      <c r="BB707" s="6">
        <f t="shared" si="48"/>
        <v>0</v>
      </c>
      <c r="BC707" s="9" t="str">
        <f t="shared" si="49"/>
        <v/>
      </c>
      <c r="BD707" s="6">
        <f t="shared" si="50"/>
        <v>0</v>
      </c>
      <c r="BE707" s="6">
        <f t="shared" si="51"/>
        <v>0</v>
      </c>
      <c r="BF707" s="9" t="str">
        <f t="shared" si="52"/>
        <v/>
      </c>
      <c r="BG707" s="6">
        <f t="shared" si="53"/>
        <v>0</v>
      </c>
      <c r="BH707" s="6">
        <f t="shared" si="54"/>
        <v>0</v>
      </c>
      <c r="BI707" s="9" t="str">
        <f t="shared" si="55"/>
        <v/>
      </c>
      <c r="BJ707" s="6">
        <f t="shared" si="56"/>
        <v>0</v>
      </c>
      <c r="BK707" s="6">
        <f t="shared" si="57"/>
        <v>0</v>
      </c>
      <c r="BL707" s="6">
        <f t="shared" si="58"/>
        <v>0</v>
      </c>
      <c r="BM707" s="6">
        <f t="shared" si="59"/>
        <v>0</v>
      </c>
      <c r="BN707" s="6">
        <f t="shared" si="60"/>
        <v>0</v>
      </c>
      <c r="BP707" s="6">
        <f t="shared" si="61"/>
        <v>0</v>
      </c>
      <c r="BQ707" s="6" t="b">
        <f ca="1">IFERROR(__xludf.DUMMYFUNCTION("IF(AND(ISERROR(FILTER('Items by Team'!D$2:D3410,'Items by Team'!C$2:C3410 = D707,'Items by Team'!B$2:B3410 = B707)),NOT(A707=""Practice"")),TRUE,FALSE)"),FALSE)</f>
        <v>0</v>
      </c>
      <c r="BR707" s="6">
        <f t="shared" ca="1" si="62"/>
        <v>0</v>
      </c>
    </row>
    <row r="708" spans="1:70">
      <c r="A708" s="6"/>
      <c r="B708" s="6"/>
      <c r="C708" s="6"/>
      <c r="D708" s="6"/>
      <c r="E708" s="6"/>
      <c r="F708" s="6"/>
      <c r="G708" s="6"/>
      <c r="H708" s="6"/>
      <c r="I708" s="6"/>
      <c r="J708" s="6"/>
      <c r="K708" s="6"/>
      <c r="L708" s="6"/>
      <c r="M708" s="6"/>
      <c r="N708" s="6"/>
      <c r="O708" s="6"/>
      <c r="P708" s="6"/>
      <c r="R708" s="6"/>
      <c r="S708" s="6"/>
      <c r="T708" s="6"/>
      <c r="U708" s="6"/>
      <c r="V708" s="6"/>
      <c r="W708" s="6"/>
      <c r="X708" s="6"/>
      <c r="Y708" s="6"/>
      <c r="Z708" s="6"/>
      <c r="AA708" s="6"/>
      <c r="AB708" s="6"/>
      <c r="AD708" s="6"/>
      <c r="AE708" s="6"/>
      <c r="AF708" s="6"/>
      <c r="AG708" s="6"/>
      <c r="AH708" s="6"/>
      <c r="AI708" s="6"/>
      <c r="AK708" s="6"/>
      <c r="AL708" s="6"/>
      <c r="AM708" s="6"/>
      <c r="AN708" s="6"/>
      <c r="AO708" s="6"/>
      <c r="AP708" s="6"/>
      <c r="AQ708" s="6"/>
      <c r="AR708" s="6"/>
      <c r="AS708" s="15"/>
      <c r="AT708" s="6" t="str">
        <f ca="1">IFERROR(__xludf.DUMMYFUNCTION("""COMPUTED_VALUE"""),"#N/A")</f>
        <v>#N/A</v>
      </c>
      <c r="AU708" s="6" t="str">
        <f ca="1">IFERROR(__xludf.DUMMYFUNCTION("""COMPUTED_VALUE"""),"FALSE")</f>
        <v>FALSE</v>
      </c>
      <c r="AV708" s="6">
        <f t="shared" si="42"/>
        <v>0</v>
      </c>
      <c r="AW708" s="6">
        <f t="shared" si="43"/>
        <v>0</v>
      </c>
      <c r="AX708" s="6">
        <f t="shared" si="44"/>
        <v>0</v>
      </c>
      <c r="AY708" s="6">
        <f t="shared" si="45"/>
        <v>0</v>
      </c>
      <c r="AZ708" s="9" t="str">
        <f t="shared" si="46"/>
        <v/>
      </c>
      <c r="BA708" s="6">
        <f t="shared" si="47"/>
        <v>0</v>
      </c>
      <c r="BB708" s="6">
        <f t="shared" si="48"/>
        <v>0</v>
      </c>
      <c r="BC708" s="9" t="str">
        <f t="shared" si="49"/>
        <v/>
      </c>
      <c r="BD708" s="6">
        <f t="shared" si="50"/>
        <v>0</v>
      </c>
      <c r="BE708" s="6">
        <f t="shared" si="51"/>
        <v>0</v>
      </c>
      <c r="BF708" s="9" t="str">
        <f t="shared" si="52"/>
        <v/>
      </c>
      <c r="BG708" s="6">
        <f t="shared" si="53"/>
        <v>0</v>
      </c>
      <c r="BH708" s="6">
        <f t="shared" si="54"/>
        <v>0</v>
      </c>
      <c r="BI708" s="9" t="str">
        <f t="shared" si="55"/>
        <v/>
      </c>
      <c r="BJ708" s="6">
        <f t="shared" si="56"/>
        <v>0</v>
      </c>
      <c r="BK708" s="6">
        <f t="shared" si="57"/>
        <v>0</v>
      </c>
      <c r="BL708" s="6">
        <f t="shared" si="58"/>
        <v>0</v>
      </c>
      <c r="BM708" s="6">
        <f t="shared" si="59"/>
        <v>0</v>
      </c>
      <c r="BN708" s="6">
        <f t="shared" si="60"/>
        <v>0</v>
      </c>
      <c r="BP708" s="6">
        <f t="shared" si="61"/>
        <v>0</v>
      </c>
      <c r="BQ708" s="6" t="b">
        <f ca="1">IFERROR(__xludf.DUMMYFUNCTION("IF(AND(ISERROR(FILTER('Items by Team'!D$2:D3410,'Items by Team'!C$2:C3410 = D708,'Items by Team'!B$2:B3410 = B708)),NOT(A708=""Practice"")),TRUE,FALSE)"),FALSE)</f>
        <v>0</v>
      </c>
      <c r="BR708" s="6">
        <f t="shared" ca="1" si="62"/>
        <v>0</v>
      </c>
    </row>
    <row r="709" spans="1:70">
      <c r="A709" s="6"/>
      <c r="B709" s="6"/>
      <c r="C709" s="6"/>
      <c r="D709" s="6"/>
      <c r="E709" s="6"/>
      <c r="F709" s="6"/>
      <c r="G709" s="6"/>
      <c r="H709" s="6"/>
      <c r="I709" s="6"/>
      <c r="J709" s="6"/>
      <c r="K709" s="6"/>
      <c r="L709" s="6"/>
      <c r="M709" s="6"/>
      <c r="N709" s="6"/>
      <c r="O709" s="6"/>
      <c r="P709" s="6"/>
      <c r="R709" s="6"/>
      <c r="S709" s="6"/>
      <c r="T709" s="6"/>
      <c r="U709" s="6"/>
      <c r="V709" s="6"/>
      <c r="W709" s="6"/>
      <c r="X709" s="6"/>
      <c r="Y709" s="6"/>
      <c r="Z709" s="6"/>
      <c r="AA709" s="6"/>
      <c r="AB709" s="6"/>
      <c r="AD709" s="6"/>
      <c r="AE709" s="6"/>
      <c r="AF709" s="6"/>
      <c r="AG709" s="6"/>
      <c r="AH709" s="6"/>
      <c r="AI709" s="6"/>
      <c r="AK709" s="6"/>
      <c r="AL709" s="6"/>
      <c r="AM709" s="6"/>
      <c r="AN709" s="6"/>
      <c r="AO709" s="6"/>
      <c r="AP709" s="6"/>
      <c r="AQ709" s="6"/>
      <c r="AR709" s="6"/>
      <c r="AS709" s="15"/>
      <c r="AT709" s="6" t="str">
        <f ca="1">IFERROR(__xludf.DUMMYFUNCTION("""COMPUTED_VALUE"""),"#N/A")</f>
        <v>#N/A</v>
      </c>
      <c r="AU709" s="6" t="str">
        <f ca="1">IFERROR(__xludf.DUMMYFUNCTION("""COMPUTED_VALUE"""),"FALSE")</f>
        <v>FALSE</v>
      </c>
      <c r="AV709" s="6">
        <f t="shared" si="42"/>
        <v>0</v>
      </c>
      <c r="AW709" s="6">
        <f t="shared" si="43"/>
        <v>0</v>
      </c>
      <c r="AX709" s="6">
        <f t="shared" si="44"/>
        <v>0</v>
      </c>
      <c r="AY709" s="6">
        <f t="shared" si="45"/>
        <v>0</v>
      </c>
      <c r="AZ709" s="9" t="str">
        <f t="shared" si="46"/>
        <v/>
      </c>
      <c r="BA709" s="6">
        <f t="shared" si="47"/>
        <v>0</v>
      </c>
      <c r="BB709" s="6">
        <f t="shared" si="48"/>
        <v>0</v>
      </c>
      <c r="BC709" s="9" t="str">
        <f t="shared" si="49"/>
        <v/>
      </c>
      <c r="BD709" s="6">
        <f t="shared" si="50"/>
        <v>0</v>
      </c>
      <c r="BE709" s="6">
        <f t="shared" si="51"/>
        <v>0</v>
      </c>
      <c r="BF709" s="9" t="str">
        <f t="shared" si="52"/>
        <v/>
      </c>
      <c r="BG709" s="6">
        <f t="shared" si="53"/>
        <v>0</v>
      </c>
      <c r="BH709" s="6">
        <f t="shared" si="54"/>
        <v>0</v>
      </c>
      <c r="BI709" s="9" t="str">
        <f t="shared" si="55"/>
        <v/>
      </c>
      <c r="BJ709" s="6">
        <f t="shared" si="56"/>
        <v>0</v>
      </c>
      <c r="BK709" s="6">
        <f t="shared" si="57"/>
        <v>0</v>
      </c>
      <c r="BL709" s="6">
        <f t="shared" si="58"/>
        <v>0</v>
      </c>
      <c r="BM709" s="6">
        <f t="shared" si="59"/>
        <v>0</v>
      </c>
      <c r="BN709" s="6">
        <f t="shared" si="60"/>
        <v>0</v>
      </c>
      <c r="BP709" s="6">
        <f t="shared" si="61"/>
        <v>0</v>
      </c>
      <c r="BQ709" s="6" t="b">
        <f ca="1">IFERROR(__xludf.DUMMYFUNCTION("IF(AND(ISERROR(FILTER('Items by Team'!D$2:D3410,'Items by Team'!C$2:C3410 = D709,'Items by Team'!B$2:B3410 = B709)),NOT(A709=""Practice"")),TRUE,FALSE)"),FALSE)</f>
        <v>0</v>
      </c>
      <c r="BR709" s="6">
        <f t="shared" ca="1" si="62"/>
        <v>0</v>
      </c>
    </row>
    <row r="710" spans="1:70">
      <c r="A710" s="6"/>
      <c r="B710" s="6"/>
      <c r="C710" s="6"/>
      <c r="D710" s="6"/>
      <c r="E710" s="6"/>
      <c r="F710" s="6"/>
      <c r="G710" s="6"/>
      <c r="H710" s="6"/>
      <c r="I710" s="6"/>
      <c r="J710" s="6"/>
      <c r="K710" s="6"/>
      <c r="L710" s="6"/>
      <c r="M710" s="6"/>
      <c r="N710" s="6"/>
      <c r="O710" s="6"/>
      <c r="P710" s="6"/>
      <c r="R710" s="6"/>
      <c r="S710" s="6"/>
      <c r="T710" s="6"/>
      <c r="U710" s="6"/>
      <c r="V710" s="6"/>
      <c r="W710" s="6"/>
      <c r="X710" s="6"/>
      <c r="Y710" s="6"/>
      <c r="Z710" s="6"/>
      <c r="AA710" s="6"/>
      <c r="AB710" s="6"/>
      <c r="AD710" s="6"/>
      <c r="AE710" s="6"/>
      <c r="AF710" s="6"/>
      <c r="AG710" s="6"/>
      <c r="AH710" s="6"/>
      <c r="AI710" s="6"/>
      <c r="AK710" s="6"/>
      <c r="AL710" s="6"/>
      <c r="AM710" s="6"/>
      <c r="AN710" s="6"/>
      <c r="AO710" s="6"/>
      <c r="AP710" s="6"/>
      <c r="AQ710" s="6"/>
      <c r="AR710" s="6"/>
      <c r="AS710" s="15"/>
      <c r="AT710" s="6" t="str">
        <f ca="1">IFERROR(__xludf.DUMMYFUNCTION("""COMPUTED_VALUE"""),"#N/A")</f>
        <v>#N/A</v>
      </c>
      <c r="AU710" s="6" t="str">
        <f ca="1">IFERROR(__xludf.DUMMYFUNCTION("""COMPUTED_VALUE"""),"FALSE")</f>
        <v>FALSE</v>
      </c>
      <c r="AV710" s="6">
        <f t="shared" si="42"/>
        <v>0</v>
      </c>
      <c r="AW710" s="6">
        <f t="shared" si="43"/>
        <v>0</v>
      </c>
      <c r="AX710" s="6">
        <f t="shared" si="44"/>
        <v>0</v>
      </c>
      <c r="AY710" s="6">
        <f t="shared" si="45"/>
        <v>0</v>
      </c>
      <c r="AZ710" s="9" t="str">
        <f t="shared" si="46"/>
        <v/>
      </c>
      <c r="BA710" s="6">
        <f t="shared" si="47"/>
        <v>0</v>
      </c>
      <c r="BB710" s="6">
        <f t="shared" si="48"/>
        <v>0</v>
      </c>
      <c r="BC710" s="9" t="str">
        <f t="shared" si="49"/>
        <v/>
      </c>
      <c r="BD710" s="6">
        <f t="shared" si="50"/>
        <v>0</v>
      </c>
      <c r="BE710" s="6">
        <f t="shared" si="51"/>
        <v>0</v>
      </c>
      <c r="BF710" s="9" t="str">
        <f t="shared" si="52"/>
        <v/>
      </c>
      <c r="BG710" s="6">
        <f t="shared" si="53"/>
        <v>0</v>
      </c>
      <c r="BH710" s="6">
        <f t="shared" si="54"/>
        <v>0</v>
      </c>
      <c r="BI710" s="9" t="str">
        <f t="shared" si="55"/>
        <v/>
      </c>
      <c r="BJ710" s="6">
        <f t="shared" si="56"/>
        <v>0</v>
      </c>
      <c r="BK710" s="6">
        <f t="shared" si="57"/>
        <v>0</v>
      </c>
      <c r="BL710" s="6">
        <f t="shared" si="58"/>
        <v>0</v>
      </c>
      <c r="BM710" s="6">
        <f t="shared" si="59"/>
        <v>0</v>
      </c>
      <c r="BN710" s="6">
        <f t="shared" si="60"/>
        <v>0</v>
      </c>
      <c r="BP710" s="6">
        <f t="shared" si="61"/>
        <v>0</v>
      </c>
      <c r="BQ710" s="6" t="b">
        <f ca="1">IFERROR(__xludf.DUMMYFUNCTION("IF(AND(ISERROR(FILTER('Items by Team'!D$2:D3410,'Items by Team'!C$2:C3410 = D710,'Items by Team'!B$2:B3410 = B710)),NOT(A710=""Practice"")),TRUE,FALSE)"),FALSE)</f>
        <v>0</v>
      </c>
      <c r="BR710" s="6">
        <f t="shared" ca="1" si="62"/>
        <v>0</v>
      </c>
    </row>
    <row r="711" spans="1:70">
      <c r="A711" s="6"/>
      <c r="B711" s="6"/>
      <c r="C711" s="6"/>
      <c r="D711" s="6"/>
      <c r="E711" s="6"/>
      <c r="F711" s="6"/>
      <c r="G711" s="6"/>
      <c r="H711" s="6"/>
      <c r="I711" s="6"/>
      <c r="J711" s="6"/>
      <c r="K711" s="6"/>
      <c r="L711" s="6"/>
      <c r="M711" s="6"/>
      <c r="N711" s="6"/>
      <c r="O711" s="6"/>
      <c r="P711" s="6"/>
      <c r="R711" s="6"/>
      <c r="S711" s="6"/>
      <c r="T711" s="6"/>
      <c r="U711" s="6"/>
      <c r="V711" s="6"/>
      <c r="W711" s="6"/>
      <c r="X711" s="6"/>
      <c r="Y711" s="6"/>
      <c r="Z711" s="6"/>
      <c r="AA711" s="6"/>
      <c r="AB711" s="6"/>
      <c r="AD711" s="6"/>
      <c r="AE711" s="6"/>
      <c r="AF711" s="6"/>
      <c r="AG711" s="6"/>
      <c r="AH711" s="6"/>
      <c r="AI711" s="6"/>
      <c r="AK711" s="6"/>
      <c r="AL711" s="6"/>
      <c r="AM711" s="6"/>
      <c r="AN711" s="6"/>
      <c r="AO711" s="6"/>
      <c r="AP711" s="6"/>
      <c r="AQ711" s="6"/>
      <c r="AR711" s="6"/>
      <c r="AS711" s="15"/>
      <c r="AT711" s="6" t="str">
        <f ca="1">IFERROR(__xludf.DUMMYFUNCTION("""COMPUTED_VALUE"""),"#N/A")</f>
        <v>#N/A</v>
      </c>
      <c r="AU711" s="6" t="str">
        <f ca="1">IFERROR(__xludf.DUMMYFUNCTION("""COMPUTED_VALUE"""),"FALSE")</f>
        <v>FALSE</v>
      </c>
      <c r="AV711" s="6">
        <f t="shared" si="42"/>
        <v>0</v>
      </c>
      <c r="AW711" s="6">
        <f t="shared" si="43"/>
        <v>0</v>
      </c>
      <c r="AX711" s="6">
        <f t="shared" si="44"/>
        <v>0</v>
      </c>
      <c r="AY711" s="6">
        <f t="shared" si="45"/>
        <v>0</v>
      </c>
      <c r="AZ711" s="9" t="str">
        <f t="shared" si="46"/>
        <v/>
      </c>
      <c r="BA711" s="6">
        <f t="shared" si="47"/>
        <v>0</v>
      </c>
      <c r="BB711" s="6">
        <f t="shared" si="48"/>
        <v>0</v>
      </c>
      <c r="BC711" s="9" t="str">
        <f t="shared" si="49"/>
        <v/>
      </c>
      <c r="BD711" s="6">
        <f t="shared" si="50"/>
        <v>0</v>
      </c>
      <c r="BE711" s="6">
        <f t="shared" si="51"/>
        <v>0</v>
      </c>
      <c r="BF711" s="9" t="str">
        <f t="shared" si="52"/>
        <v/>
      </c>
      <c r="BG711" s="6">
        <f t="shared" si="53"/>
        <v>0</v>
      </c>
      <c r="BH711" s="6">
        <f t="shared" si="54"/>
        <v>0</v>
      </c>
      <c r="BI711" s="9" t="str">
        <f t="shared" si="55"/>
        <v/>
      </c>
      <c r="BJ711" s="6">
        <f t="shared" si="56"/>
        <v>0</v>
      </c>
      <c r="BK711" s="6">
        <f t="shared" si="57"/>
        <v>0</v>
      </c>
      <c r="BL711" s="6">
        <f t="shared" si="58"/>
        <v>0</v>
      </c>
      <c r="BM711" s="6">
        <f t="shared" si="59"/>
        <v>0</v>
      </c>
      <c r="BN711" s="6">
        <f t="shared" si="60"/>
        <v>0</v>
      </c>
      <c r="BP711" s="6">
        <f t="shared" si="61"/>
        <v>0</v>
      </c>
      <c r="BQ711" s="6" t="b">
        <f ca="1">IFERROR(__xludf.DUMMYFUNCTION("IF(AND(ISERROR(FILTER('Items by Team'!D$2:D3410,'Items by Team'!C$2:C3410 = D711,'Items by Team'!B$2:B3410 = B711)),NOT(A711=""Practice"")),TRUE,FALSE)"),FALSE)</f>
        <v>0</v>
      </c>
      <c r="BR711" s="6">
        <f t="shared" ca="1" si="62"/>
        <v>0</v>
      </c>
    </row>
    <row r="712" spans="1:70">
      <c r="A712" s="6"/>
      <c r="B712" s="6"/>
      <c r="C712" s="6"/>
      <c r="D712" s="6"/>
      <c r="E712" s="6"/>
      <c r="F712" s="6"/>
      <c r="G712" s="6"/>
      <c r="H712" s="6"/>
      <c r="I712" s="6"/>
      <c r="J712" s="6"/>
      <c r="K712" s="6"/>
      <c r="L712" s="6"/>
      <c r="M712" s="6"/>
      <c r="N712" s="6"/>
      <c r="O712" s="6"/>
      <c r="P712" s="6"/>
      <c r="R712" s="6"/>
      <c r="S712" s="6"/>
      <c r="T712" s="6"/>
      <c r="U712" s="6"/>
      <c r="V712" s="6"/>
      <c r="W712" s="6"/>
      <c r="X712" s="6"/>
      <c r="Y712" s="6"/>
      <c r="Z712" s="6"/>
      <c r="AA712" s="6"/>
      <c r="AB712" s="6"/>
      <c r="AD712" s="6"/>
      <c r="AE712" s="6"/>
      <c r="AF712" s="6"/>
      <c r="AG712" s="6"/>
      <c r="AH712" s="6"/>
      <c r="AI712" s="6"/>
      <c r="AK712" s="6"/>
      <c r="AL712" s="6"/>
      <c r="AM712" s="6"/>
      <c r="AN712" s="6"/>
      <c r="AO712" s="6"/>
      <c r="AP712" s="6"/>
      <c r="AQ712" s="6"/>
      <c r="AR712" s="6"/>
      <c r="AS712" s="15"/>
      <c r="AT712" s="6" t="str">
        <f ca="1">IFERROR(__xludf.DUMMYFUNCTION("""COMPUTED_VALUE"""),"#N/A")</f>
        <v>#N/A</v>
      </c>
      <c r="AU712" s="6" t="str">
        <f ca="1">IFERROR(__xludf.DUMMYFUNCTION("""COMPUTED_VALUE"""),"FALSE")</f>
        <v>FALSE</v>
      </c>
      <c r="AV712" s="6">
        <f t="shared" si="42"/>
        <v>0</v>
      </c>
      <c r="AW712" s="6">
        <f t="shared" si="43"/>
        <v>0</v>
      </c>
      <c r="AX712" s="6">
        <f t="shared" si="44"/>
        <v>0</v>
      </c>
      <c r="AY712" s="6">
        <f t="shared" si="45"/>
        <v>0</v>
      </c>
      <c r="AZ712" s="9" t="str">
        <f t="shared" si="46"/>
        <v/>
      </c>
      <c r="BA712" s="6">
        <f t="shared" si="47"/>
        <v>0</v>
      </c>
      <c r="BB712" s="6">
        <f t="shared" si="48"/>
        <v>0</v>
      </c>
      <c r="BC712" s="9" t="str">
        <f t="shared" si="49"/>
        <v/>
      </c>
      <c r="BD712" s="6">
        <f t="shared" si="50"/>
        <v>0</v>
      </c>
      <c r="BE712" s="6">
        <f t="shared" si="51"/>
        <v>0</v>
      </c>
      <c r="BF712" s="9" t="str">
        <f t="shared" si="52"/>
        <v/>
      </c>
      <c r="BG712" s="6">
        <f t="shared" si="53"/>
        <v>0</v>
      </c>
      <c r="BH712" s="6">
        <f t="shared" si="54"/>
        <v>0</v>
      </c>
      <c r="BI712" s="9" t="str">
        <f t="shared" si="55"/>
        <v/>
      </c>
      <c r="BJ712" s="6">
        <f t="shared" si="56"/>
        <v>0</v>
      </c>
      <c r="BK712" s="6">
        <f t="shared" si="57"/>
        <v>0</v>
      </c>
      <c r="BL712" s="6">
        <f t="shared" si="58"/>
        <v>0</v>
      </c>
      <c r="BM712" s="6">
        <f t="shared" si="59"/>
        <v>0</v>
      </c>
      <c r="BN712" s="6">
        <f t="shared" si="60"/>
        <v>0</v>
      </c>
      <c r="BP712" s="6">
        <f t="shared" si="61"/>
        <v>0</v>
      </c>
      <c r="BQ712" s="6" t="b">
        <f ca="1">IFERROR(__xludf.DUMMYFUNCTION("IF(AND(ISERROR(FILTER('Items by Team'!D$2:D3410,'Items by Team'!C$2:C3410 = D712,'Items by Team'!B$2:B3410 = B712)),NOT(A712=""Practice"")),TRUE,FALSE)"),FALSE)</f>
        <v>0</v>
      </c>
      <c r="BR712" s="6">
        <f t="shared" ca="1" si="62"/>
        <v>0</v>
      </c>
    </row>
    <row r="713" spans="1:70">
      <c r="A713" s="6"/>
      <c r="B713" s="6"/>
      <c r="C713" s="6"/>
      <c r="D713" s="6"/>
      <c r="E713" s="6"/>
      <c r="F713" s="6"/>
      <c r="G713" s="6"/>
      <c r="H713" s="6"/>
      <c r="I713" s="6"/>
      <c r="J713" s="6"/>
      <c r="K713" s="6"/>
      <c r="L713" s="6"/>
      <c r="M713" s="6"/>
      <c r="N713" s="6"/>
      <c r="O713" s="6"/>
      <c r="P713" s="6"/>
      <c r="R713" s="6"/>
      <c r="S713" s="6"/>
      <c r="T713" s="6"/>
      <c r="U713" s="6"/>
      <c r="V713" s="6"/>
      <c r="W713" s="6"/>
      <c r="X713" s="6"/>
      <c r="Y713" s="6"/>
      <c r="Z713" s="6"/>
      <c r="AA713" s="6"/>
      <c r="AB713" s="6"/>
      <c r="AD713" s="6"/>
      <c r="AE713" s="6"/>
      <c r="AF713" s="6"/>
      <c r="AG713" s="6"/>
      <c r="AH713" s="6"/>
      <c r="AI713" s="6"/>
      <c r="AK713" s="6"/>
      <c r="AL713" s="6"/>
      <c r="AM713" s="6"/>
      <c r="AN713" s="6"/>
      <c r="AO713" s="6"/>
      <c r="AP713" s="6"/>
      <c r="AQ713" s="6"/>
      <c r="AR713" s="6"/>
      <c r="AS713" s="15"/>
      <c r="AT713" s="6" t="str">
        <f ca="1">IFERROR(__xludf.DUMMYFUNCTION("""COMPUTED_VALUE"""),"#N/A")</f>
        <v>#N/A</v>
      </c>
      <c r="AU713" s="6" t="str">
        <f ca="1">IFERROR(__xludf.DUMMYFUNCTION("""COMPUTED_VALUE"""),"FALSE")</f>
        <v>FALSE</v>
      </c>
      <c r="AV713" s="6">
        <f t="shared" si="42"/>
        <v>0</v>
      </c>
      <c r="AW713" s="6">
        <f t="shared" si="43"/>
        <v>0</v>
      </c>
      <c r="AX713" s="6">
        <f t="shared" si="44"/>
        <v>0</v>
      </c>
      <c r="AY713" s="6">
        <f t="shared" si="45"/>
        <v>0</v>
      </c>
      <c r="AZ713" s="9" t="str">
        <f t="shared" si="46"/>
        <v/>
      </c>
      <c r="BA713" s="6">
        <f t="shared" si="47"/>
        <v>0</v>
      </c>
      <c r="BB713" s="6">
        <f t="shared" si="48"/>
        <v>0</v>
      </c>
      <c r="BC713" s="9" t="str">
        <f t="shared" si="49"/>
        <v/>
      </c>
      <c r="BD713" s="6">
        <f t="shared" si="50"/>
        <v>0</v>
      </c>
      <c r="BE713" s="6">
        <f t="shared" si="51"/>
        <v>0</v>
      </c>
      <c r="BF713" s="9" t="str">
        <f t="shared" si="52"/>
        <v/>
      </c>
      <c r="BG713" s="6">
        <f t="shared" si="53"/>
        <v>0</v>
      </c>
      <c r="BH713" s="6">
        <f t="shared" si="54"/>
        <v>0</v>
      </c>
      <c r="BI713" s="9" t="str">
        <f t="shared" si="55"/>
        <v/>
      </c>
      <c r="BJ713" s="6">
        <f t="shared" si="56"/>
        <v>0</v>
      </c>
      <c r="BK713" s="6">
        <f t="shared" si="57"/>
        <v>0</v>
      </c>
      <c r="BL713" s="6">
        <f t="shared" si="58"/>
        <v>0</v>
      </c>
      <c r="BM713" s="6">
        <f t="shared" si="59"/>
        <v>0</v>
      </c>
      <c r="BN713" s="6">
        <f t="shared" si="60"/>
        <v>0</v>
      </c>
      <c r="BP713" s="6">
        <f t="shared" si="61"/>
        <v>0</v>
      </c>
      <c r="BQ713" s="6" t="b">
        <f ca="1">IFERROR(__xludf.DUMMYFUNCTION("IF(AND(ISERROR(FILTER('Items by Team'!D$2:D3410,'Items by Team'!C$2:C3410 = D713,'Items by Team'!B$2:B3410 = B713)),NOT(A713=""Practice"")),TRUE,FALSE)"),FALSE)</f>
        <v>0</v>
      </c>
      <c r="BR713" s="6">
        <f t="shared" ca="1" si="62"/>
        <v>0</v>
      </c>
    </row>
    <row r="714" spans="1:70">
      <c r="A714" s="6"/>
      <c r="B714" s="6"/>
      <c r="C714" s="6"/>
      <c r="D714" s="6"/>
      <c r="E714" s="6"/>
      <c r="F714" s="6"/>
      <c r="G714" s="6"/>
      <c r="H714" s="6"/>
      <c r="I714" s="6"/>
      <c r="J714" s="6"/>
      <c r="K714" s="6"/>
      <c r="L714" s="6"/>
      <c r="M714" s="6"/>
      <c r="N714" s="6"/>
      <c r="O714" s="6"/>
      <c r="P714" s="6"/>
      <c r="R714" s="6"/>
      <c r="S714" s="6"/>
      <c r="T714" s="6"/>
      <c r="U714" s="6"/>
      <c r="V714" s="6"/>
      <c r="W714" s="6"/>
      <c r="X714" s="6"/>
      <c r="Y714" s="6"/>
      <c r="Z714" s="6"/>
      <c r="AA714" s="6"/>
      <c r="AB714" s="6"/>
      <c r="AD714" s="6"/>
      <c r="AE714" s="6"/>
      <c r="AF714" s="6"/>
      <c r="AG714" s="6"/>
      <c r="AH714" s="6"/>
      <c r="AI714" s="6"/>
      <c r="AK714" s="6"/>
      <c r="AL714" s="6"/>
      <c r="AM714" s="6"/>
      <c r="AN714" s="6"/>
      <c r="AO714" s="6"/>
      <c r="AP714" s="6"/>
      <c r="AQ714" s="6"/>
      <c r="AR714" s="6"/>
      <c r="AS714" s="15"/>
      <c r="AT714" s="6" t="str">
        <f ca="1">IFERROR(__xludf.DUMMYFUNCTION("""COMPUTED_VALUE"""),"#N/A")</f>
        <v>#N/A</v>
      </c>
      <c r="AU714" s="6" t="str">
        <f ca="1">IFERROR(__xludf.DUMMYFUNCTION("""COMPUTED_VALUE"""),"FALSE")</f>
        <v>FALSE</v>
      </c>
      <c r="AV714" s="6">
        <f t="shared" si="42"/>
        <v>0</v>
      </c>
      <c r="AW714" s="6">
        <f t="shared" si="43"/>
        <v>0</v>
      </c>
      <c r="AX714" s="6">
        <f t="shared" si="44"/>
        <v>0</v>
      </c>
      <c r="AY714" s="6">
        <f t="shared" si="45"/>
        <v>0</v>
      </c>
      <c r="AZ714" s="9" t="str">
        <f t="shared" si="46"/>
        <v/>
      </c>
      <c r="BA714" s="6">
        <f t="shared" si="47"/>
        <v>0</v>
      </c>
      <c r="BB714" s="6">
        <f t="shared" si="48"/>
        <v>0</v>
      </c>
      <c r="BC714" s="9" t="str">
        <f t="shared" si="49"/>
        <v/>
      </c>
      <c r="BD714" s="6">
        <f t="shared" si="50"/>
        <v>0</v>
      </c>
      <c r="BE714" s="6">
        <f t="shared" si="51"/>
        <v>0</v>
      </c>
      <c r="BF714" s="9" t="str">
        <f t="shared" si="52"/>
        <v/>
      </c>
      <c r="BG714" s="6">
        <f t="shared" si="53"/>
        <v>0</v>
      </c>
      <c r="BH714" s="6">
        <f t="shared" si="54"/>
        <v>0</v>
      </c>
      <c r="BI714" s="9" t="str">
        <f t="shared" si="55"/>
        <v/>
      </c>
      <c r="BJ714" s="6">
        <f t="shared" si="56"/>
        <v>0</v>
      </c>
      <c r="BK714" s="6">
        <f t="shared" si="57"/>
        <v>0</v>
      </c>
      <c r="BL714" s="6">
        <f t="shared" si="58"/>
        <v>0</v>
      </c>
      <c r="BM714" s="6">
        <f t="shared" si="59"/>
        <v>0</v>
      </c>
      <c r="BN714" s="6">
        <f t="shared" si="60"/>
        <v>0</v>
      </c>
      <c r="BP714" s="6">
        <f t="shared" si="61"/>
        <v>0</v>
      </c>
      <c r="BQ714" s="6" t="b">
        <f ca="1">IFERROR(__xludf.DUMMYFUNCTION("IF(AND(ISERROR(FILTER('Items by Team'!D$2:D3410,'Items by Team'!C$2:C3410 = D714,'Items by Team'!B$2:B3410 = B714)),NOT(A714=""Practice"")),TRUE,FALSE)"),FALSE)</f>
        <v>0</v>
      </c>
      <c r="BR714" s="6">
        <f t="shared" ca="1" si="62"/>
        <v>0</v>
      </c>
    </row>
    <row r="715" spans="1:70">
      <c r="A715" s="6"/>
      <c r="B715" s="6"/>
      <c r="C715" s="6"/>
      <c r="D715" s="6"/>
      <c r="E715" s="6"/>
      <c r="F715" s="6"/>
      <c r="G715" s="6"/>
      <c r="H715" s="6"/>
      <c r="I715" s="6"/>
      <c r="J715" s="6"/>
      <c r="K715" s="6"/>
      <c r="L715" s="6"/>
      <c r="M715" s="6"/>
      <c r="N715" s="6"/>
      <c r="O715" s="6"/>
      <c r="P715" s="6"/>
      <c r="R715" s="6"/>
      <c r="S715" s="6"/>
      <c r="T715" s="6"/>
      <c r="U715" s="6"/>
      <c r="V715" s="6"/>
      <c r="W715" s="6"/>
      <c r="X715" s="6"/>
      <c r="Y715" s="6"/>
      <c r="Z715" s="6"/>
      <c r="AA715" s="6"/>
      <c r="AB715" s="6"/>
      <c r="AD715" s="6"/>
      <c r="AE715" s="6"/>
      <c r="AF715" s="6"/>
      <c r="AG715" s="6"/>
      <c r="AH715" s="6"/>
      <c r="AI715" s="6"/>
      <c r="AK715" s="6"/>
      <c r="AL715" s="6"/>
      <c r="AM715" s="6"/>
      <c r="AN715" s="6"/>
      <c r="AO715" s="6"/>
      <c r="AP715" s="6"/>
      <c r="AQ715" s="6"/>
      <c r="AR715" s="6"/>
      <c r="AS715" s="15"/>
      <c r="AT715" s="6" t="str">
        <f ca="1">IFERROR(__xludf.DUMMYFUNCTION("""COMPUTED_VALUE"""),"#N/A")</f>
        <v>#N/A</v>
      </c>
      <c r="AU715" s="6" t="str">
        <f ca="1">IFERROR(__xludf.DUMMYFUNCTION("""COMPUTED_VALUE"""),"FALSE")</f>
        <v>FALSE</v>
      </c>
      <c r="AV715" s="6">
        <f t="shared" si="42"/>
        <v>0</v>
      </c>
      <c r="AW715" s="6">
        <f t="shared" si="43"/>
        <v>0</v>
      </c>
      <c r="AX715" s="6">
        <f t="shared" si="44"/>
        <v>0</v>
      </c>
      <c r="AY715" s="6">
        <f t="shared" si="45"/>
        <v>0</v>
      </c>
      <c r="AZ715" s="9" t="str">
        <f t="shared" si="46"/>
        <v/>
      </c>
      <c r="BA715" s="6">
        <f t="shared" si="47"/>
        <v>0</v>
      </c>
      <c r="BB715" s="6">
        <f t="shared" si="48"/>
        <v>0</v>
      </c>
      <c r="BC715" s="9" t="str">
        <f t="shared" si="49"/>
        <v/>
      </c>
      <c r="BD715" s="6">
        <f t="shared" si="50"/>
        <v>0</v>
      </c>
      <c r="BE715" s="6">
        <f t="shared" si="51"/>
        <v>0</v>
      </c>
      <c r="BF715" s="9" t="str">
        <f t="shared" si="52"/>
        <v/>
      </c>
      <c r="BG715" s="6">
        <f t="shared" si="53"/>
        <v>0</v>
      </c>
      <c r="BH715" s="6">
        <f t="shared" si="54"/>
        <v>0</v>
      </c>
      <c r="BI715" s="9" t="str">
        <f t="shared" si="55"/>
        <v/>
      </c>
      <c r="BJ715" s="6">
        <f t="shared" si="56"/>
        <v>0</v>
      </c>
      <c r="BK715" s="6">
        <f t="shared" si="57"/>
        <v>0</v>
      </c>
      <c r="BL715" s="6">
        <f t="shared" si="58"/>
        <v>0</v>
      </c>
      <c r="BM715" s="6">
        <f t="shared" si="59"/>
        <v>0</v>
      </c>
      <c r="BN715" s="6">
        <f t="shared" si="60"/>
        <v>0</v>
      </c>
      <c r="BP715" s="6">
        <f t="shared" si="61"/>
        <v>0</v>
      </c>
      <c r="BQ715" s="6" t="b">
        <f ca="1">IFERROR(__xludf.DUMMYFUNCTION("IF(AND(ISERROR(FILTER('Items by Team'!D$2:D3410,'Items by Team'!C$2:C3410 = D715,'Items by Team'!B$2:B3410 = B715)),NOT(A715=""Practice"")),TRUE,FALSE)"),FALSE)</f>
        <v>0</v>
      </c>
      <c r="BR715" s="6">
        <f t="shared" ca="1" si="62"/>
        <v>0</v>
      </c>
    </row>
    <row r="716" spans="1:70">
      <c r="A716" s="6"/>
      <c r="B716" s="6"/>
      <c r="C716" s="6"/>
      <c r="D716" s="6"/>
      <c r="E716" s="6"/>
      <c r="F716" s="6"/>
      <c r="G716" s="6"/>
      <c r="H716" s="6"/>
      <c r="I716" s="6"/>
      <c r="J716" s="6"/>
      <c r="K716" s="6"/>
      <c r="L716" s="6"/>
      <c r="M716" s="6"/>
      <c r="N716" s="6"/>
      <c r="O716" s="6"/>
      <c r="P716" s="6"/>
      <c r="R716" s="6"/>
      <c r="S716" s="6"/>
      <c r="T716" s="6"/>
      <c r="U716" s="6"/>
      <c r="V716" s="6"/>
      <c r="W716" s="6"/>
      <c r="X716" s="6"/>
      <c r="Y716" s="6"/>
      <c r="Z716" s="6"/>
      <c r="AA716" s="6"/>
      <c r="AB716" s="6"/>
      <c r="AD716" s="6"/>
      <c r="AE716" s="6"/>
      <c r="AF716" s="6"/>
      <c r="AG716" s="6"/>
      <c r="AH716" s="6"/>
      <c r="AI716" s="6"/>
      <c r="AK716" s="6"/>
      <c r="AL716" s="6"/>
      <c r="AM716" s="6"/>
      <c r="AN716" s="6"/>
      <c r="AO716" s="6"/>
      <c r="AP716" s="6"/>
      <c r="AQ716" s="6"/>
      <c r="AR716" s="6"/>
      <c r="AS716" s="15"/>
      <c r="AT716" s="6" t="str">
        <f ca="1">IFERROR(__xludf.DUMMYFUNCTION("""COMPUTED_VALUE"""),"#N/A")</f>
        <v>#N/A</v>
      </c>
      <c r="AU716" s="6" t="str">
        <f ca="1">IFERROR(__xludf.DUMMYFUNCTION("""COMPUTED_VALUE"""),"FALSE")</f>
        <v>FALSE</v>
      </c>
      <c r="AV716" s="6">
        <f t="shared" si="42"/>
        <v>0</v>
      </c>
      <c r="AW716" s="6">
        <f t="shared" si="43"/>
        <v>0</v>
      </c>
      <c r="AX716" s="6">
        <f t="shared" si="44"/>
        <v>0</v>
      </c>
      <c r="AY716" s="6">
        <f t="shared" si="45"/>
        <v>0</v>
      </c>
      <c r="AZ716" s="9" t="str">
        <f t="shared" si="46"/>
        <v/>
      </c>
      <c r="BA716" s="6">
        <f t="shared" si="47"/>
        <v>0</v>
      </c>
      <c r="BB716" s="6">
        <f t="shared" si="48"/>
        <v>0</v>
      </c>
      <c r="BC716" s="9" t="str">
        <f t="shared" si="49"/>
        <v/>
      </c>
      <c r="BD716" s="6">
        <f t="shared" si="50"/>
        <v>0</v>
      </c>
      <c r="BE716" s="6">
        <f t="shared" si="51"/>
        <v>0</v>
      </c>
      <c r="BF716" s="9" t="str">
        <f t="shared" si="52"/>
        <v/>
      </c>
      <c r="BG716" s="6">
        <f t="shared" si="53"/>
        <v>0</v>
      </c>
      <c r="BH716" s="6">
        <f t="shared" si="54"/>
        <v>0</v>
      </c>
      <c r="BI716" s="9" t="str">
        <f t="shared" si="55"/>
        <v/>
      </c>
      <c r="BJ716" s="6">
        <f t="shared" si="56"/>
        <v>0</v>
      </c>
      <c r="BK716" s="6">
        <f t="shared" si="57"/>
        <v>0</v>
      </c>
      <c r="BL716" s="6">
        <f t="shared" si="58"/>
        <v>0</v>
      </c>
      <c r="BM716" s="6">
        <f t="shared" si="59"/>
        <v>0</v>
      </c>
      <c r="BN716" s="6">
        <f t="shared" si="60"/>
        <v>0</v>
      </c>
      <c r="BP716" s="6">
        <f t="shared" si="61"/>
        <v>0</v>
      </c>
      <c r="BQ716" s="6" t="b">
        <f ca="1">IFERROR(__xludf.DUMMYFUNCTION("IF(AND(ISERROR(FILTER('Items by Team'!D$2:D3410,'Items by Team'!C$2:C3410 = D716,'Items by Team'!B$2:B3410 = B716)),NOT(A716=""Practice"")),TRUE,FALSE)"),FALSE)</f>
        <v>0</v>
      </c>
      <c r="BR716" s="6">
        <f t="shared" ca="1" si="62"/>
        <v>0</v>
      </c>
    </row>
    <row r="717" spans="1:70">
      <c r="A717" s="6"/>
      <c r="B717" s="6"/>
      <c r="C717" s="6"/>
      <c r="D717" s="6"/>
      <c r="E717" s="6"/>
      <c r="F717" s="6"/>
      <c r="G717" s="6"/>
      <c r="H717" s="6"/>
      <c r="I717" s="6"/>
      <c r="J717" s="6"/>
      <c r="K717" s="6"/>
      <c r="L717" s="6"/>
      <c r="M717" s="6"/>
      <c r="N717" s="6"/>
      <c r="O717" s="6"/>
      <c r="P717" s="6"/>
      <c r="R717" s="6"/>
      <c r="S717" s="6"/>
      <c r="T717" s="6"/>
      <c r="U717" s="6"/>
      <c r="V717" s="6"/>
      <c r="W717" s="6"/>
      <c r="X717" s="6"/>
      <c r="Y717" s="6"/>
      <c r="Z717" s="6"/>
      <c r="AA717" s="6"/>
      <c r="AB717" s="6"/>
      <c r="AD717" s="6"/>
      <c r="AE717" s="6"/>
      <c r="AF717" s="6"/>
      <c r="AG717" s="6"/>
      <c r="AH717" s="6"/>
      <c r="AI717" s="6"/>
      <c r="AK717" s="6"/>
      <c r="AL717" s="6"/>
      <c r="AM717" s="6"/>
      <c r="AN717" s="6"/>
      <c r="AO717" s="6"/>
      <c r="AP717" s="6"/>
      <c r="AQ717" s="6"/>
      <c r="AR717" s="6"/>
      <c r="AS717" s="15"/>
      <c r="AT717" s="6" t="str">
        <f ca="1">IFERROR(__xludf.DUMMYFUNCTION("""COMPUTED_VALUE"""),"#N/A")</f>
        <v>#N/A</v>
      </c>
      <c r="AU717" s="6" t="str">
        <f ca="1">IFERROR(__xludf.DUMMYFUNCTION("""COMPUTED_VALUE"""),"FALSE")</f>
        <v>FALSE</v>
      </c>
      <c r="AV717" s="6">
        <f t="shared" si="42"/>
        <v>0</v>
      </c>
      <c r="AW717" s="6">
        <f t="shared" si="43"/>
        <v>0</v>
      </c>
      <c r="AX717" s="6">
        <f t="shared" si="44"/>
        <v>0</v>
      </c>
      <c r="AY717" s="6">
        <f t="shared" si="45"/>
        <v>0</v>
      </c>
      <c r="AZ717" s="9" t="str">
        <f t="shared" si="46"/>
        <v/>
      </c>
      <c r="BA717" s="6">
        <f t="shared" si="47"/>
        <v>0</v>
      </c>
      <c r="BB717" s="6">
        <f t="shared" si="48"/>
        <v>0</v>
      </c>
      <c r="BC717" s="9" t="str">
        <f t="shared" si="49"/>
        <v/>
      </c>
      <c r="BD717" s="6">
        <f t="shared" si="50"/>
        <v>0</v>
      </c>
      <c r="BE717" s="6">
        <f t="shared" si="51"/>
        <v>0</v>
      </c>
      <c r="BF717" s="9" t="str">
        <f t="shared" si="52"/>
        <v/>
      </c>
      <c r="BG717" s="6">
        <f t="shared" si="53"/>
        <v>0</v>
      </c>
      <c r="BH717" s="6">
        <f t="shared" si="54"/>
        <v>0</v>
      </c>
      <c r="BI717" s="9" t="str">
        <f t="shared" si="55"/>
        <v/>
      </c>
      <c r="BJ717" s="6">
        <f t="shared" si="56"/>
        <v>0</v>
      </c>
      <c r="BK717" s="6">
        <f t="shared" si="57"/>
        <v>0</v>
      </c>
      <c r="BL717" s="6">
        <f t="shared" si="58"/>
        <v>0</v>
      </c>
      <c r="BM717" s="6">
        <f t="shared" si="59"/>
        <v>0</v>
      </c>
      <c r="BN717" s="6">
        <f t="shared" si="60"/>
        <v>0</v>
      </c>
      <c r="BP717" s="6">
        <f t="shared" si="61"/>
        <v>0</v>
      </c>
      <c r="BQ717" s="6" t="b">
        <f ca="1">IFERROR(__xludf.DUMMYFUNCTION("IF(AND(ISERROR(FILTER('Items by Team'!D$2:D3410,'Items by Team'!C$2:C3410 = D717,'Items by Team'!B$2:B3410 = B717)),NOT(A717=""Practice"")),TRUE,FALSE)"),FALSE)</f>
        <v>0</v>
      </c>
      <c r="BR717" s="6">
        <f t="shared" ca="1" si="62"/>
        <v>0</v>
      </c>
    </row>
    <row r="718" spans="1:70">
      <c r="A718" s="6"/>
      <c r="B718" s="6"/>
      <c r="C718" s="6"/>
      <c r="D718" s="6"/>
      <c r="E718" s="6"/>
      <c r="F718" s="6"/>
      <c r="G718" s="6"/>
      <c r="H718" s="6"/>
      <c r="I718" s="6"/>
      <c r="J718" s="6"/>
      <c r="K718" s="6"/>
      <c r="L718" s="6"/>
      <c r="M718" s="6"/>
      <c r="N718" s="6"/>
      <c r="O718" s="6"/>
      <c r="P718" s="6"/>
      <c r="R718" s="6"/>
      <c r="S718" s="6"/>
      <c r="T718" s="6"/>
      <c r="U718" s="6"/>
      <c r="V718" s="6"/>
      <c r="W718" s="6"/>
      <c r="X718" s="6"/>
      <c r="Y718" s="6"/>
      <c r="Z718" s="6"/>
      <c r="AA718" s="6"/>
      <c r="AB718" s="6"/>
      <c r="AD718" s="6"/>
      <c r="AE718" s="6"/>
      <c r="AF718" s="6"/>
      <c r="AG718" s="6"/>
      <c r="AH718" s="6"/>
      <c r="AI718" s="6"/>
      <c r="AK718" s="6"/>
      <c r="AL718" s="6"/>
      <c r="AM718" s="6"/>
      <c r="AN718" s="6"/>
      <c r="AO718" s="6"/>
      <c r="AP718" s="6"/>
      <c r="AQ718" s="6"/>
      <c r="AR718" s="6"/>
      <c r="AS718" s="15"/>
      <c r="AT718" s="6" t="str">
        <f ca="1">IFERROR(__xludf.DUMMYFUNCTION("""COMPUTED_VALUE"""),"#N/A")</f>
        <v>#N/A</v>
      </c>
      <c r="AU718" s="6" t="str">
        <f ca="1">IFERROR(__xludf.DUMMYFUNCTION("""COMPUTED_VALUE"""),"FALSE")</f>
        <v>FALSE</v>
      </c>
      <c r="AV718" s="6">
        <f t="shared" si="42"/>
        <v>0</v>
      </c>
      <c r="AW718" s="6">
        <f t="shared" si="43"/>
        <v>0</v>
      </c>
      <c r="AX718" s="6">
        <f t="shared" si="44"/>
        <v>0</v>
      </c>
      <c r="AY718" s="6">
        <f t="shared" si="45"/>
        <v>0</v>
      </c>
      <c r="AZ718" s="9" t="str">
        <f t="shared" si="46"/>
        <v/>
      </c>
      <c r="BA718" s="6">
        <f t="shared" si="47"/>
        <v>0</v>
      </c>
      <c r="BB718" s="6">
        <f t="shared" si="48"/>
        <v>0</v>
      </c>
      <c r="BC718" s="9" t="str">
        <f t="shared" si="49"/>
        <v/>
      </c>
      <c r="BD718" s="6">
        <f t="shared" si="50"/>
        <v>0</v>
      </c>
      <c r="BE718" s="6">
        <f t="shared" si="51"/>
        <v>0</v>
      </c>
      <c r="BF718" s="9" t="str">
        <f t="shared" si="52"/>
        <v/>
      </c>
      <c r="BG718" s="6">
        <f t="shared" si="53"/>
        <v>0</v>
      </c>
      <c r="BH718" s="6">
        <f t="shared" si="54"/>
        <v>0</v>
      </c>
      <c r="BI718" s="9" t="str">
        <f t="shared" si="55"/>
        <v/>
      </c>
      <c r="BJ718" s="6">
        <f t="shared" si="56"/>
        <v>0</v>
      </c>
      <c r="BK718" s="6">
        <f t="shared" si="57"/>
        <v>0</v>
      </c>
      <c r="BL718" s="6">
        <f t="shared" si="58"/>
        <v>0</v>
      </c>
      <c r="BM718" s="6">
        <f t="shared" si="59"/>
        <v>0</v>
      </c>
      <c r="BN718" s="6">
        <f t="shared" si="60"/>
        <v>0</v>
      </c>
      <c r="BP718" s="6">
        <f t="shared" si="61"/>
        <v>0</v>
      </c>
      <c r="BQ718" s="6" t="b">
        <f ca="1">IFERROR(__xludf.DUMMYFUNCTION("IF(AND(ISERROR(FILTER('Items by Team'!D$2:D3410,'Items by Team'!C$2:C3410 = D718,'Items by Team'!B$2:B3410 = B718)),NOT(A718=""Practice"")),TRUE,FALSE)"),FALSE)</f>
        <v>0</v>
      </c>
      <c r="BR718" s="6">
        <f t="shared" ca="1" si="62"/>
        <v>0</v>
      </c>
    </row>
    <row r="719" spans="1:70">
      <c r="A719" s="6"/>
      <c r="B719" s="6"/>
      <c r="C719" s="6"/>
      <c r="D719" s="6"/>
      <c r="E719" s="6"/>
      <c r="F719" s="6"/>
      <c r="G719" s="6"/>
      <c r="H719" s="6"/>
      <c r="I719" s="6"/>
      <c r="J719" s="6"/>
      <c r="K719" s="6"/>
      <c r="L719" s="6"/>
      <c r="M719" s="6"/>
      <c r="N719" s="6"/>
      <c r="O719" s="6"/>
      <c r="P719" s="6"/>
      <c r="R719" s="6"/>
      <c r="S719" s="6"/>
      <c r="T719" s="6"/>
      <c r="U719" s="6"/>
      <c r="V719" s="6"/>
      <c r="W719" s="6"/>
      <c r="X719" s="6"/>
      <c r="Y719" s="6"/>
      <c r="Z719" s="6"/>
      <c r="AA719" s="6"/>
      <c r="AB719" s="6"/>
      <c r="AD719" s="6"/>
      <c r="AE719" s="6"/>
      <c r="AF719" s="6"/>
      <c r="AG719" s="6"/>
      <c r="AH719" s="6"/>
      <c r="AI719" s="6"/>
      <c r="AK719" s="6"/>
      <c r="AL719" s="6"/>
      <c r="AM719" s="6"/>
      <c r="AN719" s="6"/>
      <c r="AO719" s="6"/>
      <c r="AP719" s="6"/>
      <c r="AQ719" s="6"/>
      <c r="AR719" s="6"/>
      <c r="AS719" s="15"/>
      <c r="AT719" s="6" t="str">
        <f ca="1">IFERROR(__xludf.DUMMYFUNCTION("""COMPUTED_VALUE"""),"#N/A")</f>
        <v>#N/A</v>
      </c>
      <c r="AU719" s="6" t="str">
        <f ca="1">IFERROR(__xludf.DUMMYFUNCTION("""COMPUTED_VALUE"""),"FALSE")</f>
        <v>FALSE</v>
      </c>
      <c r="AV719" s="6">
        <f t="shared" si="42"/>
        <v>0</v>
      </c>
      <c r="AW719" s="6">
        <f t="shared" si="43"/>
        <v>0</v>
      </c>
      <c r="AX719" s="6">
        <f t="shared" si="44"/>
        <v>0</v>
      </c>
      <c r="AY719" s="6">
        <f t="shared" si="45"/>
        <v>0</v>
      </c>
      <c r="AZ719" s="9" t="str">
        <f t="shared" si="46"/>
        <v/>
      </c>
      <c r="BA719" s="6">
        <f t="shared" si="47"/>
        <v>0</v>
      </c>
      <c r="BB719" s="6">
        <f t="shared" si="48"/>
        <v>0</v>
      </c>
      <c r="BC719" s="9" t="str">
        <f t="shared" si="49"/>
        <v/>
      </c>
      <c r="BD719" s="6">
        <f t="shared" si="50"/>
        <v>0</v>
      </c>
      <c r="BE719" s="6">
        <f t="shared" si="51"/>
        <v>0</v>
      </c>
      <c r="BF719" s="9" t="str">
        <f t="shared" si="52"/>
        <v/>
      </c>
      <c r="BG719" s="6">
        <f t="shared" si="53"/>
        <v>0</v>
      </c>
      <c r="BH719" s="6">
        <f t="shared" si="54"/>
        <v>0</v>
      </c>
      <c r="BI719" s="9" t="str">
        <f t="shared" si="55"/>
        <v/>
      </c>
      <c r="BJ719" s="6">
        <f t="shared" si="56"/>
        <v>0</v>
      </c>
      <c r="BK719" s="6">
        <f t="shared" si="57"/>
        <v>0</v>
      </c>
      <c r="BL719" s="6">
        <f t="shared" si="58"/>
        <v>0</v>
      </c>
      <c r="BM719" s="6">
        <f t="shared" si="59"/>
        <v>0</v>
      </c>
      <c r="BN719" s="6">
        <f t="shared" si="60"/>
        <v>0</v>
      </c>
      <c r="BP719" s="6">
        <f t="shared" si="61"/>
        <v>0</v>
      </c>
      <c r="BQ719" s="6" t="b">
        <f ca="1">IFERROR(__xludf.DUMMYFUNCTION("IF(AND(ISERROR(FILTER('Items by Team'!D$2:D3410,'Items by Team'!C$2:C3410 = D719,'Items by Team'!B$2:B3410 = B719)),NOT(A719=""Practice"")),TRUE,FALSE)"),FALSE)</f>
        <v>0</v>
      </c>
      <c r="BR719" s="6">
        <f t="shared" ca="1" si="62"/>
        <v>0</v>
      </c>
    </row>
    <row r="720" spans="1:70">
      <c r="A720" s="6"/>
      <c r="B720" s="6"/>
      <c r="C720" s="6"/>
      <c r="D720" s="6"/>
      <c r="E720" s="6"/>
      <c r="F720" s="6"/>
      <c r="G720" s="6"/>
      <c r="H720" s="6"/>
      <c r="I720" s="6"/>
      <c r="J720" s="6"/>
      <c r="K720" s="6"/>
      <c r="L720" s="6"/>
      <c r="M720" s="6"/>
      <c r="N720" s="6"/>
      <c r="O720" s="6"/>
      <c r="P720" s="6"/>
      <c r="R720" s="6"/>
      <c r="S720" s="6"/>
      <c r="T720" s="6"/>
      <c r="U720" s="6"/>
      <c r="V720" s="6"/>
      <c r="W720" s="6"/>
      <c r="X720" s="6"/>
      <c r="Y720" s="6"/>
      <c r="Z720" s="6"/>
      <c r="AA720" s="6"/>
      <c r="AB720" s="6"/>
      <c r="AD720" s="6"/>
      <c r="AE720" s="6"/>
      <c r="AF720" s="6"/>
      <c r="AG720" s="6"/>
      <c r="AH720" s="6"/>
      <c r="AI720" s="6"/>
      <c r="AK720" s="6"/>
      <c r="AL720" s="6"/>
      <c r="AM720" s="6"/>
      <c r="AN720" s="6"/>
      <c r="AO720" s="6"/>
      <c r="AP720" s="6"/>
      <c r="AQ720" s="6"/>
      <c r="AR720" s="6"/>
      <c r="AS720" s="15"/>
      <c r="AT720" s="6" t="str">
        <f ca="1">IFERROR(__xludf.DUMMYFUNCTION("""COMPUTED_VALUE"""),"#N/A")</f>
        <v>#N/A</v>
      </c>
      <c r="AU720" s="6" t="str">
        <f ca="1">IFERROR(__xludf.DUMMYFUNCTION("""COMPUTED_VALUE"""),"FALSE")</f>
        <v>FALSE</v>
      </c>
      <c r="AV720" s="6">
        <f t="shared" si="42"/>
        <v>0</v>
      </c>
      <c r="AW720" s="6">
        <f t="shared" si="43"/>
        <v>0</v>
      </c>
      <c r="AX720" s="6">
        <f t="shared" si="44"/>
        <v>0</v>
      </c>
      <c r="AY720" s="6">
        <f t="shared" si="45"/>
        <v>0</v>
      </c>
      <c r="AZ720" s="9" t="str">
        <f t="shared" si="46"/>
        <v/>
      </c>
      <c r="BA720" s="6">
        <f t="shared" si="47"/>
        <v>0</v>
      </c>
      <c r="BB720" s="6">
        <f t="shared" si="48"/>
        <v>0</v>
      </c>
      <c r="BC720" s="9" t="str">
        <f t="shared" si="49"/>
        <v/>
      </c>
      <c r="BD720" s="6">
        <f t="shared" si="50"/>
        <v>0</v>
      </c>
      <c r="BE720" s="6">
        <f t="shared" si="51"/>
        <v>0</v>
      </c>
      <c r="BF720" s="9" t="str">
        <f t="shared" si="52"/>
        <v/>
      </c>
      <c r="BG720" s="6">
        <f t="shared" si="53"/>
        <v>0</v>
      </c>
      <c r="BH720" s="6">
        <f t="shared" si="54"/>
        <v>0</v>
      </c>
      <c r="BI720" s="9" t="str">
        <f t="shared" si="55"/>
        <v/>
      </c>
      <c r="BJ720" s="6">
        <f t="shared" si="56"/>
        <v>0</v>
      </c>
      <c r="BK720" s="6">
        <f t="shared" si="57"/>
        <v>0</v>
      </c>
      <c r="BL720" s="6">
        <f t="shared" si="58"/>
        <v>0</v>
      </c>
      <c r="BM720" s="6">
        <f t="shared" si="59"/>
        <v>0</v>
      </c>
      <c r="BN720" s="6">
        <f t="shared" si="60"/>
        <v>0</v>
      </c>
      <c r="BP720" s="6">
        <f t="shared" si="61"/>
        <v>0</v>
      </c>
      <c r="BQ720" s="6" t="b">
        <f ca="1">IFERROR(__xludf.DUMMYFUNCTION("IF(AND(ISERROR(FILTER('Items by Team'!D$2:D3410,'Items by Team'!C$2:C3410 = D720,'Items by Team'!B$2:B3410 = B720)),NOT(A720=""Practice"")),TRUE,FALSE)"),FALSE)</f>
        <v>0</v>
      </c>
      <c r="BR720" s="6">
        <f t="shared" ca="1" si="62"/>
        <v>0</v>
      </c>
    </row>
    <row r="721" spans="1:70">
      <c r="A721" s="6"/>
      <c r="B721" s="6"/>
      <c r="C721" s="6"/>
      <c r="D721" s="6"/>
      <c r="E721" s="6"/>
      <c r="F721" s="6"/>
      <c r="G721" s="6"/>
      <c r="H721" s="6"/>
      <c r="I721" s="6"/>
      <c r="J721" s="6"/>
      <c r="K721" s="6"/>
      <c r="L721" s="6"/>
      <c r="M721" s="6"/>
      <c r="N721" s="6"/>
      <c r="O721" s="6"/>
      <c r="P721" s="6"/>
      <c r="R721" s="6"/>
      <c r="S721" s="6"/>
      <c r="T721" s="6"/>
      <c r="U721" s="6"/>
      <c r="V721" s="6"/>
      <c r="W721" s="6"/>
      <c r="X721" s="6"/>
      <c r="Y721" s="6"/>
      <c r="Z721" s="6"/>
      <c r="AA721" s="6"/>
      <c r="AB721" s="6"/>
      <c r="AD721" s="6"/>
      <c r="AE721" s="6"/>
      <c r="AF721" s="6"/>
      <c r="AG721" s="6"/>
      <c r="AH721" s="6"/>
      <c r="AI721" s="6"/>
      <c r="AK721" s="6"/>
      <c r="AL721" s="6"/>
      <c r="AM721" s="6"/>
      <c r="AN721" s="6"/>
      <c r="AO721" s="6"/>
      <c r="AP721" s="6"/>
      <c r="AQ721" s="6"/>
      <c r="AR721" s="6"/>
      <c r="AS721" s="15"/>
      <c r="AT721" s="6" t="str">
        <f ca="1">IFERROR(__xludf.DUMMYFUNCTION("""COMPUTED_VALUE"""),"#N/A")</f>
        <v>#N/A</v>
      </c>
      <c r="AU721" s="6" t="str">
        <f ca="1">IFERROR(__xludf.DUMMYFUNCTION("""COMPUTED_VALUE"""),"FALSE")</f>
        <v>FALSE</v>
      </c>
      <c r="AV721" s="6">
        <f t="shared" si="42"/>
        <v>0</v>
      </c>
      <c r="AW721" s="6">
        <f t="shared" si="43"/>
        <v>0</v>
      </c>
      <c r="AX721" s="6">
        <f t="shared" si="44"/>
        <v>0</v>
      </c>
      <c r="AY721" s="6">
        <f t="shared" si="45"/>
        <v>0</v>
      </c>
      <c r="AZ721" s="9" t="str">
        <f t="shared" si="46"/>
        <v/>
      </c>
      <c r="BA721" s="6">
        <f t="shared" si="47"/>
        <v>0</v>
      </c>
      <c r="BB721" s="6">
        <f t="shared" si="48"/>
        <v>0</v>
      </c>
      <c r="BC721" s="9" t="str">
        <f t="shared" si="49"/>
        <v/>
      </c>
      <c r="BD721" s="6">
        <f t="shared" si="50"/>
        <v>0</v>
      </c>
      <c r="BE721" s="6">
        <f t="shared" si="51"/>
        <v>0</v>
      </c>
      <c r="BF721" s="9" t="str">
        <f t="shared" si="52"/>
        <v/>
      </c>
      <c r="BG721" s="6">
        <f t="shared" si="53"/>
        <v>0</v>
      </c>
      <c r="BH721" s="6">
        <f t="shared" si="54"/>
        <v>0</v>
      </c>
      <c r="BI721" s="9" t="str">
        <f t="shared" si="55"/>
        <v/>
      </c>
      <c r="BJ721" s="6">
        <f t="shared" si="56"/>
        <v>0</v>
      </c>
      <c r="BK721" s="6">
        <f t="shared" si="57"/>
        <v>0</v>
      </c>
      <c r="BL721" s="6">
        <f t="shared" si="58"/>
        <v>0</v>
      </c>
      <c r="BM721" s="6">
        <f t="shared" si="59"/>
        <v>0</v>
      </c>
      <c r="BN721" s="6">
        <f t="shared" si="60"/>
        <v>0</v>
      </c>
      <c r="BP721" s="6">
        <f t="shared" si="61"/>
        <v>0</v>
      </c>
      <c r="BQ721" s="6" t="b">
        <f ca="1">IFERROR(__xludf.DUMMYFUNCTION("IF(AND(ISERROR(FILTER('Items by Team'!D$2:D3410,'Items by Team'!C$2:C3410 = D721,'Items by Team'!B$2:B3410 = B721)),NOT(A721=""Practice"")),TRUE,FALSE)"),FALSE)</f>
        <v>0</v>
      </c>
      <c r="BR721" s="6">
        <f t="shared" ca="1" si="62"/>
        <v>0</v>
      </c>
    </row>
    <row r="722" spans="1:70">
      <c r="A722" s="6"/>
      <c r="B722" s="6"/>
      <c r="C722" s="6"/>
      <c r="D722" s="6"/>
      <c r="E722" s="6"/>
      <c r="F722" s="6"/>
      <c r="G722" s="6"/>
      <c r="H722" s="6"/>
      <c r="I722" s="6"/>
      <c r="J722" s="6"/>
      <c r="K722" s="6"/>
      <c r="L722" s="6"/>
      <c r="M722" s="6"/>
      <c r="N722" s="6"/>
      <c r="O722" s="6"/>
      <c r="P722" s="6"/>
      <c r="R722" s="6"/>
      <c r="S722" s="6"/>
      <c r="T722" s="6"/>
      <c r="U722" s="6"/>
      <c r="V722" s="6"/>
      <c r="W722" s="6"/>
      <c r="X722" s="6"/>
      <c r="Y722" s="6"/>
      <c r="Z722" s="6"/>
      <c r="AA722" s="6"/>
      <c r="AB722" s="6"/>
      <c r="AD722" s="6"/>
      <c r="AE722" s="6"/>
      <c r="AF722" s="6"/>
      <c r="AG722" s="6"/>
      <c r="AH722" s="6"/>
      <c r="AI722" s="6"/>
      <c r="AK722" s="6"/>
      <c r="AL722" s="6"/>
      <c r="AM722" s="6"/>
      <c r="AN722" s="6"/>
      <c r="AO722" s="6"/>
      <c r="AP722" s="6"/>
      <c r="AQ722" s="6"/>
      <c r="AR722" s="6"/>
      <c r="AS722" s="15"/>
      <c r="AT722" s="6" t="str">
        <f ca="1">IFERROR(__xludf.DUMMYFUNCTION("""COMPUTED_VALUE"""),"#N/A")</f>
        <v>#N/A</v>
      </c>
      <c r="AU722" s="6" t="str">
        <f ca="1">IFERROR(__xludf.DUMMYFUNCTION("""COMPUTED_VALUE"""),"FALSE")</f>
        <v>FALSE</v>
      </c>
      <c r="AV722" s="6">
        <f t="shared" si="42"/>
        <v>0</v>
      </c>
      <c r="AW722" s="6">
        <f t="shared" si="43"/>
        <v>0</v>
      </c>
      <c r="AX722" s="6">
        <f t="shared" si="44"/>
        <v>0</v>
      </c>
      <c r="AY722" s="6">
        <f t="shared" si="45"/>
        <v>0</v>
      </c>
      <c r="AZ722" s="9" t="str">
        <f t="shared" si="46"/>
        <v/>
      </c>
      <c r="BA722" s="6">
        <f t="shared" si="47"/>
        <v>0</v>
      </c>
      <c r="BB722" s="6">
        <f t="shared" si="48"/>
        <v>0</v>
      </c>
      <c r="BC722" s="9" t="str">
        <f t="shared" si="49"/>
        <v/>
      </c>
      <c r="BD722" s="6">
        <f t="shared" si="50"/>
        <v>0</v>
      </c>
      <c r="BE722" s="6">
        <f t="shared" si="51"/>
        <v>0</v>
      </c>
      <c r="BF722" s="9" t="str">
        <f t="shared" si="52"/>
        <v/>
      </c>
      <c r="BG722" s="6">
        <f t="shared" si="53"/>
        <v>0</v>
      </c>
      <c r="BH722" s="6">
        <f t="shared" si="54"/>
        <v>0</v>
      </c>
      <c r="BI722" s="9" t="str">
        <f t="shared" si="55"/>
        <v/>
      </c>
      <c r="BJ722" s="6">
        <f t="shared" si="56"/>
        <v>0</v>
      </c>
      <c r="BK722" s="6">
        <f t="shared" si="57"/>
        <v>0</v>
      </c>
      <c r="BL722" s="6">
        <f t="shared" si="58"/>
        <v>0</v>
      </c>
      <c r="BM722" s="6">
        <f t="shared" si="59"/>
        <v>0</v>
      </c>
      <c r="BN722" s="6">
        <f t="shared" si="60"/>
        <v>0</v>
      </c>
      <c r="BP722" s="6">
        <f t="shared" si="61"/>
        <v>0</v>
      </c>
      <c r="BQ722" s="6" t="b">
        <f ca="1">IFERROR(__xludf.DUMMYFUNCTION("IF(AND(ISERROR(FILTER('Items by Team'!D$2:D3410,'Items by Team'!C$2:C3410 = D722,'Items by Team'!B$2:B3410 = B722)),NOT(A722=""Practice"")),TRUE,FALSE)"),FALSE)</f>
        <v>0</v>
      </c>
      <c r="BR722" s="6">
        <f t="shared" ca="1" si="62"/>
        <v>0</v>
      </c>
    </row>
    <row r="723" spans="1:70">
      <c r="A723" s="6"/>
      <c r="B723" s="6"/>
      <c r="C723" s="6"/>
      <c r="D723" s="6"/>
      <c r="E723" s="6"/>
      <c r="F723" s="6"/>
      <c r="G723" s="6"/>
      <c r="H723" s="6"/>
      <c r="I723" s="6"/>
      <c r="J723" s="6"/>
      <c r="K723" s="6"/>
      <c r="L723" s="6"/>
      <c r="M723" s="6"/>
      <c r="N723" s="6"/>
      <c r="O723" s="6"/>
      <c r="P723" s="6"/>
      <c r="R723" s="6"/>
      <c r="S723" s="6"/>
      <c r="T723" s="6"/>
      <c r="U723" s="6"/>
      <c r="V723" s="6"/>
      <c r="W723" s="6"/>
      <c r="X723" s="6"/>
      <c r="Y723" s="6"/>
      <c r="Z723" s="6"/>
      <c r="AA723" s="6"/>
      <c r="AB723" s="6"/>
      <c r="AD723" s="6"/>
      <c r="AE723" s="6"/>
      <c r="AF723" s="6"/>
      <c r="AG723" s="6"/>
      <c r="AH723" s="6"/>
      <c r="AI723" s="6"/>
      <c r="AK723" s="6"/>
      <c r="AL723" s="6"/>
      <c r="AM723" s="6"/>
      <c r="AN723" s="6"/>
      <c r="AO723" s="6"/>
      <c r="AP723" s="6"/>
      <c r="AQ723" s="6"/>
      <c r="AR723" s="6"/>
      <c r="AS723" s="15"/>
      <c r="AT723" s="6" t="str">
        <f ca="1">IFERROR(__xludf.DUMMYFUNCTION("""COMPUTED_VALUE"""),"#N/A")</f>
        <v>#N/A</v>
      </c>
      <c r="AU723" s="6" t="str">
        <f ca="1">IFERROR(__xludf.DUMMYFUNCTION("""COMPUTED_VALUE"""),"FALSE")</f>
        <v>FALSE</v>
      </c>
      <c r="AV723" s="6">
        <f t="shared" si="42"/>
        <v>0</v>
      </c>
      <c r="AW723" s="6">
        <f t="shared" si="43"/>
        <v>0</v>
      </c>
      <c r="AX723" s="6">
        <f t="shared" si="44"/>
        <v>0</v>
      </c>
      <c r="AY723" s="6">
        <f t="shared" si="45"/>
        <v>0</v>
      </c>
      <c r="AZ723" s="9" t="str">
        <f t="shared" si="46"/>
        <v/>
      </c>
      <c r="BA723" s="6">
        <f t="shared" si="47"/>
        <v>0</v>
      </c>
      <c r="BB723" s="6">
        <f t="shared" si="48"/>
        <v>0</v>
      </c>
      <c r="BC723" s="9" t="str">
        <f t="shared" si="49"/>
        <v/>
      </c>
      <c r="BD723" s="6">
        <f t="shared" si="50"/>
        <v>0</v>
      </c>
      <c r="BE723" s="6">
        <f t="shared" si="51"/>
        <v>0</v>
      </c>
      <c r="BF723" s="9" t="str">
        <f t="shared" si="52"/>
        <v/>
      </c>
      <c r="BG723" s="6">
        <f t="shared" si="53"/>
        <v>0</v>
      </c>
      <c r="BH723" s="6">
        <f t="shared" si="54"/>
        <v>0</v>
      </c>
      <c r="BI723" s="9" t="str">
        <f t="shared" si="55"/>
        <v/>
      </c>
      <c r="BJ723" s="6">
        <f t="shared" si="56"/>
        <v>0</v>
      </c>
      <c r="BK723" s="6">
        <f t="shared" si="57"/>
        <v>0</v>
      </c>
      <c r="BL723" s="6">
        <f t="shared" si="58"/>
        <v>0</v>
      </c>
      <c r="BM723" s="6">
        <f t="shared" si="59"/>
        <v>0</v>
      </c>
      <c r="BN723" s="6">
        <f t="shared" si="60"/>
        <v>0</v>
      </c>
      <c r="BP723" s="6">
        <f t="shared" si="61"/>
        <v>0</v>
      </c>
      <c r="BQ723" s="6" t="b">
        <f ca="1">IFERROR(__xludf.DUMMYFUNCTION("IF(AND(ISERROR(FILTER('Items by Team'!D$2:D3410,'Items by Team'!C$2:C3410 = D723,'Items by Team'!B$2:B3410 = B723)),NOT(A723=""Practice"")),TRUE,FALSE)"),FALSE)</f>
        <v>0</v>
      </c>
      <c r="BR723" s="6">
        <f t="shared" ca="1" si="62"/>
        <v>0</v>
      </c>
    </row>
    <row r="724" spans="1:70">
      <c r="A724" s="6"/>
      <c r="B724" s="6"/>
      <c r="C724" s="6"/>
      <c r="D724" s="6"/>
      <c r="E724" s="6"/>
      <c r="F724" s="6"/>
      <c r="G724" s="6"/>
      <c r="H724" s="6"/>
      <c r="I724" s="6"/>
      <c r="J724" s="6"/>
      <c r="K724" s="6"/>
      <c r="L724" s="6"/>
      <c r="M724" s="6"/>
      <c r="N724" s="6"/>
      <c r="O724" s="6"/>
      <c r="P724" s="6"/>
      <c r="R724" s="6"/>
      <c r="S724" s="6"/>
      <c r="T724" s="6"/>
      <c r="U724" s="6"/>
      <c r="V724" s="6"/>
      <c r="W724" s="6"/>
      <c r="X724" s="6"/>
      <c r="Y724" s="6"/>
      <c r="Z724" s="6"/>
      <c r="AA724" s="6"/>
      <c r="AB724" s="6"/>
      <c r="AD724" s="6"/>
      <c r="AE724" s="6"/>
      <c r="AF724" s="6"/>
      <c r="AG724" s="6"/>
      <c r="AH724" s="6"/>
      <c r="AI724" s="6"/>
      <c r="AK724" s="6"/>
      <c r="AL724" s="6"/>
      <c r="AM724" s="6"/>
      <c r="AN724" s="6"/>
      <c r="AO724" s="6"/>
      <c r="AP724" s="6"/>
      <c r="AQ724" s="6"/>
      <c r="AR724" s="6"/>
      <c r="AS724" s="15"/>
      <c r="AT724" s="6" t="str">
        <f ca="1">IFERROR(__xludf.DUMMYFUNCTION("""COMPUTED_VALUE"""),"#N/A")</f>
        <v>#N/A</v>
      </c>
      <c r="AU724" s="6" t="str">
        <f ca="1">IFERROR(__xludf.DUMMYFUNCTION("""COMPUTED_VALUE"""),"FALSE")</f>
        <v>FALSE</v>
      </c>
      <c r="AV724" s="6">
        <f t="shared" si="42"/>
        <v>0</v>
      </c>
      <c r="AW724" s="6">
        <f t="shared" si="43"/>
        <v>0</v>
      </c>
      <c r="AX724" s="6">
        <f t="shared" si="44"/>
        <v>0</v>
      </c>
      <c r="AY724" s="6">
        <f t="shared" si="45"/>
        <v>0</v>
      </c>
      <c r="AZ724" s="9" t="str">
        <f t="shared" si="46"/>
        <v/>
      </c>
      <c r="BA724" s="6">
        <f t="shared" si="47"/>
        <v>0</v>
      </c>
      <c r="BB724" s="6">
        <f t="shared" si="48"/>
        <v>0</v>
      </c>
      <c r="BC724" s="9" t="str">
        <f t="shared" si="49"/>
        <v/>
      </c>
      <c r="BD724" s="6">
        <f t="shared" si="50"/>
        <v>0</v>
      </c>
      <c r="BE724" s="6">
        <f t="shared" si="51"/>
        <v>0</v>
      </c>
      <c r="BF724" s="9" t="str">
        <f t="shared" si="52"/>
        <v/>
      </c>
      <c r="BG724" s="6">
        <f t="shared" si="53"/>
        <v>0</v>
      </c>
      <c r="BH724" s="6">
        <f t="shared" si="54"/>
        <v>0</v>
      </c>
      <c r="BI724" s="9" t="str">
        <f t="shared" si="55"/>
        <v/>
      </c>
      <c r="BJ724" s="6">
        <f t="shared" si="56"/>
        <v>0</v>
      </c>
      <c r="BK724" s="6">
        <f t="shared" si="57"/>
        <v>0</v>
      </c>
      <c r="BL724" s="6">
        <f t="shared" si="58"/>
        <v>0</v>
      </c>
      <c r="BM724" s="6">
        <f t="shared" si="59"/>
        <v>0</v>
      </c>
      <c r="BN724" s="6">
        <f t="shared" si="60"/>
        <v>0</v>
      </c>
      <c r="BP724" s="6">
        <f t="shared" si="61"/>
        <v>0</v>
      </c>
      <c r="BQ724" s="6" t="b">
        <f ca="1">IFERROR(__xludf.DUMMYFUNCTION("IF(AND(ISERROR(FILTER('Items by Team'!D$2:D3410,'Items by Team'!C$2:C3410 = D724,'Items by Team'!B$2:B3410 = B724)),NOT(A724=""Practice"")),TRUE,FALSE)"),FALSE)</f>
        <v>0</v>
      </c>
      <c r="BR724" s="6">
        <f t="shared" ca="1" si="62"/>
        <v>0</v>
      </c>
    </row>
    <row r="725" spans="1:70">
      <c r="A725" s="6"/>
      <c r="B725" s="6"/>
      <c r="C725" s="6"/>
      <c r="D725" s="6"/>
      <c r="E725" s="6"/>
      <c r="F725" s="6"/>
      <c r="G725" s="6"/>
      <c r="H725" s="6"/>
      <c r="I725" s="6"/>
      <c r="J725" s="6"/>
      <c r="K725" s="6"/>
      <c r="L725" s="6"/>
      <c r="M725" s="6"/>
      <c r="N725" s="6"/>
      <c r="O725" s="6"/>
      <c r="P725" s="6"/>
      <c r="R725" s="6"/>
      <c r="S725" s="6"/>
      <c r="T725" s="6"/>
      <c r="U725" s="6"/>
      <c r="V725" s="6"/>
      <c r="W725" s="6"/>
      <c r="X725" s="6"/>
      <c r="Y725" s="6"/>
      <c r="Z725" s="6"/>
      <c r="AA725" s="6"/>
      <c r="AB725" s="6"/>
      <c r="AD725" s="6"/>
      <c r="AE725" s="6"/>
      <c r="AF725" s="6"/>
      <c r="AG725" s="6"/>
      <c r="AH725" s="6"/>
      <c r="AI725" s="6"/>
      <c r="AK725" s="6"/>
      <c r="AL725" s="6"/>
      <c r="AM725" s="6"/>
      <c r="AN725" s="6"/>
      <c r="AO725" s="6"/>
      <c r="AP725" s="6"/>
      <c r="AQ725" s="6"/>
      <c r="AR725" s="6"/>
      <c r="AS725" s="15"/>
      <c r="AT725" s="6" t="str">
        <f ca="1">IFERROR(__xludf.DUMMYFUNCTION("""COMPUTED_VALUE"""),"#N/A")</f>
        <v>#N/A</v>
      </c>
      <c r="AU725" s="6" t="str">
        <f ca="1">IFERROR(__xludf.DUMMYFUNCTION("""COMPUTED_VALUE"""),"FALSE")</f>
        <v>FALSE</v>
      </c>
      <c r="AV725" s="6">
        <f t="shared" si="42"/>
        <v>0</v>
      </c>
      <c r="AW725" s="6">
        <f t="shared" si="43"/>
        <v>0</v>
      </c>
      <c r="AX725" s="6">
        <f t="shared" si="44"/>
        <v>0</v>
      </c>
      <c r="AY725" s="6">
        <f t="shared" si="45"/>
        <v>0</v>
      </c>
      <c r="AZ725" s="9" t="str">
        <f t="shared" si="46"/>
        <v/>
      </c>
      <c r="BA725" s="6">
        <f t="shared" si="47"/>
        <v>0</v>
      </c>
      <c r="BB725" s="6">
        <f t="shared" si="48"/>
        <v>0</v>
      </c>
      <c r="BC725" s="9" t="str">
        <f t="shared" si="49"/>
        <v/>
      </c>
      <c r="BD725" s="6">
        <f t="shared" si="50"/>
        <v>0</v>
      </c>
      <c r="BE725" s="6">
        <f t="shared" si="51"/>
        <v>0</v>
      </c>
      <c r="BF725" s="9" t="str">
        <f t="shared" si="52"/>
        <v/>
      </c>
      <c r="BG725" s="6">
        <f t="shared" si="53"/>
        <v>0</v>
      </c>
      <c r="BH725" s="6">
        <f t="shared" si="54"/>
        <v>0</v>
      </c>
      <c r="BI725" s="9" t="str">
        <f t="shared" si="55"/>
        <v/>
      </c>
      <c r="BJ725" s="6">
        <f t="shared" si="56"/>
        <v>0</v>
      </c>
      <c r="BK725" s="6">
        <f t="shared" si="57"/>
        <v>0</v>
      </c>
      <c r="BL725" s="6">
        <f t="shared" si="58"/>
        <v>0</v>
      </c>
      <c r="BM725" s="6">
        <f t="shared" si="59"/>
        <v>0</v>
      </c>
      <c r="BN725" s="6">
        <f t="shared" si="60"/>
        <v>0</v>
      </c>
      <c r="BP725" s="6">
        <f t="shared" si="61"/>
        <v>0</v>
      </c>
      <c r="BQ725" s="6" t="b">
        <f ca="1">IFERROR(__xludf.DUMMYFUNCTION("IF(AND(ISERROR(FILTER('Items by Team'!D$2:D3410,'Items by Team'!C$2:C3410 = D725,'Items by Team'!B$2:B3410 = B725)),NOT(A725=""Practice"")),TRUE,FALSE)"),FALSE)</f>
        <v>0</v>
      </c>
      <c r="BR725" s="6">
        <f t="shared" ca="1" si="62"/>
        <v>0</v>
      </c>
    </row>
    <row r="726" spans="1:70">
      <c r="A726" s="6"/>
      <c r="B726" s="6"/>
      <c r="C726" s="6"/>
      <c r="D726" s="6"/>
      <c r="E726" s="6"/>
      <c r="F726" s="6"/>
      <c r="G726" s="6"/>
      <c r="H726" s="6"/>
      <c r="I726" s="6"/>
      <c r="J726" s="6"/>
      <c r="K726" s="6"/>
      <c r="L726" s="6"/>
      <c r="M726" s="6"/>
      <c r="N726" s="6"/>
      <c r="O726" s="6"/>
      <c r="P726" s="6"/>
      <c r="R726" s="6"/>
      <c r="S726" s="6"/>
      <c r="T726" s="6"/>
      <c r="U726" s="6"/>
      <c r="V726" s="6"/>
      <c r="W726" s="6"/>
      <c r="X726" s="6"/>
      <c r="Y726" s="6"/>
      <c r="Z726" s="6"/>
      <c r="AA726" s="6"/>
      <c r="AB726" s="6"/>
      <c r="AD726" s="6"/>
      <c r="AE726" s="6"/>
      <c r="AF726" s="6"/>
      <c r="AG726" s="6"/>
      <c r="AH726" s="6"/>
      <c r="AI726" s="6"/>
      <c r="AK726" s="6"/>
      <c r="AL726" s="6"/>
      <c r="AM726" s="6"/>
      <c r="AN726" s="6"/>
      <c r="AO726" s="6"/>
      <c r="AP726" s="6"/>
      <c r="AQ726" s="6"/>
      <c r="AR726" s="6"/>
      <c r="AS726" s="15"/>
      <c r="AT726" s="6" t="str">
        <f ca="1">IFERROR(__xludf.DUMMYFUNCTION("""COMPUTED_VALUE"""),"#N/A")</f>
        <v>#N/A</v>
      </c>
      <c r="AU726" s="6" t="str">
        <f ca="1">IFERROR(__xludf.DUMMYFUNCTION("""COMPUTED_VALUE"""),"FALSE")</f>
        <v>FALSE</v>
      </c>
      <c r="AV726" s="6">
        <f t="shared" si="42"/>
        <v>0</v>
      </c>
      <c r="AW726" s="6">
        <f t="shared" si="43"/>
        <v>0</v>
      </c>
      <c r="AX726" s="6">
        <f t="shared" si="44"/>
        <v>0</v>
      </c>
      <c r="AY726" s="6">
        <f t="shared" si="45"/>
        <v>0</v>
      </c>
      <c r="AZ726" s="9" t="str">
        <f t="shared" si="46"/>
        <v/>
      </c>
      <c r="BA726" s="6">
        <f t="shared" si="47"/>
        <v>0</v>
      </c>
      <c r="BB726" s="6">
        <f t="shared" si="48"/>
        <v>0</v>
      </c>
      <c r="BC726" s="9" t="str">
        <f t="shared" si="49"/>
        <v/>
      </c>
      <c r="BD726" s="6">
        <f t="shared" si="50"/>
        <v>0</v>
      </c>
      <c r="BE726" s="6">
        <f t="shared" si="51"/>
        <v>0</v>
      </c>
      <c r="BF726" s="9" t="str">
        <f t="shared" si="52"/>
        <v/>
      </c>
      <c r="BG726" s="6">
        <f t="shared" si="53"/>
        <v>0</v>
      </c>
      <c r="BH726" s="6">
        <f t="shared" si="54"/>
        <v>0</v>
      </c>
      <c r="BI726" s="9" t="str">
        <f t="shared" si="55"/>
        <v/>
      </c>
      <c r="BJ726" s="6">
        <f t="shared" si="56"/>
        <v>0</v>
      </c>
      <c r="BK726" s="6">
        <f t="shared" si="57"/>
        <v>0</v>
      </c>
      <c r="BL726" s="6">
        <f t="shared" si="58"/>
        <v>0</v>
      </c>
      <c r="BM726" s="6">
        <f t="shared" si="59"/>
        <v>0</v>
      </c>
      <c r="BN726" s="6">
        <f t="shared" si="60"/>
        <v>0</v>
      </c>
      <c r="BP726" s="6">
        <f t="shared" si="61"/>
        <v>0</v>
      </c>
      <c r="BQ726" s="6" t="b">
        <f ca="1">IFERROR(__xludf.DUMMYFUNCTION("IF(AND(ISERROR(FILTER('Items by Team'!D$2:D3410,'Items by Team'!C$2:C3410 = D726,'Items by Team'!B$2:B3410 = B726)),NOT(A726=""Practice"")),TRUE,FALSE)"),FALSE)</f>
        <v>0</v>
      </c>
      <c r="BR726" s="6">
        <f t="shared" ca="1" si="62"/>
        <v>0</v>
      </c>
    </row>
    <row r="727" spans="1:70">
      <c r="A727" s="6"/>
      <c r="B727" s="6"/>
      <c r="C727" s="6"/>
      <c r="D727" s="6"/>
      <c r="E727" s="6"/>
      <c r="F727" s="6"/>
      <c r="G727" s="6"/>
      <c r="H727" s="6"/>
      <c r="I727" s="6"/>
      <c r="J727" s="6"/>
      <c r="K727" s="6"/>
      <c r="L727" s="6"/>
      <c r="M727" s="6"/>
      <c r="N727" s="6"/>
      <c r="O727" s="6"/>
      <c r="P727" s="6"/>
      <c r="R727" s="6"/>
      <c r="S727" s="6"/>
      <c r="T727" s="6"/>
      <c r="U727" s="6"/>
      <c r="V727" s="6"/>
      <c r="W727" s="6"/>
      <c r="X727" s="6"/>
      <c r="Y727" s="6"/>
      <c r="Z727" s="6"/>
      <c r="AA727" s="6"/>
      <c r="AB727" s="6"/>
      <c r="AD727" s="6"/>
      <c r="AE727" s="6"/>
      <c r="AF727" s="6"/>
      <c r="AG727" s="6"/>
      <c r="AH727" s="6"/>
      <c r="AI727" s="6"/>
      <c r="AK727" s="6"/>
      <c r="AL727" s="6"/>
      <c r="AM727" s="6"/>
      <c r="AN727" s="6"/>
      <c r="AO727" s="6"/>
      <c r="AP727" s="6"/>
      <c r="AQ727" s="6"/>
      <c r="AR727" s="6"/>
      <c r="AS727" s="15"/>
      <c r="AT727" s="6" t="str">
        <f ca="1">IFERROR(__xludf.DUMMYFUNCTION("""COMPUTED_VALUE"""),"#N/A")</f>
        <v>#N/A</v>
      </c>
      <c r="AU727" s="6" t="str">
        <f ca="1">IFERROR(__xludf.DUMMYFUNCTION("""COMPUTED_VALUE"""),"FALSE")</f>
        <v>FALSE</v>
      </c>
      <c r="AV727" s="6">
        <f t="shared" si="42"/>
        <v>0</v>
      </c>
      <c r="AW727" s="6">
        <f t="shared" si="43"/>
        <v>0</v>
      </c>
      <c r="AX727" s="6">
        <f t="shared" si="44"/>
        <v>0</v>
      </c>
      <c r="AY727" s="6">
        <f t="shared" si="45"/>
        <v>0</v>
      </c>
      <c r="AZ727" s="9" t="str">
        <f t="shared" si="46"/>
        <v/>
      </c>
      <c r="BA727" s="6">
        <f t="shared" si="47"/>
        <v>0</v>
      </c>
      <c r="BB727" s="6">
        <f t="shared" si="48"/>
        <v>0</v>
      </c>
      <c r="BC727" s="9" t="str">
        <f t="shared" si="49"/>
        <v/>
      </c>
      <c r="BD727" s="6">
        <f t="shared" si="50"/>
        <v>0</v>
      </c>
      <c r="BE727" s="6">
        <f t="shared" si="51"/>
        <v>0</v>
      </c>
      <c r="BF727" s="9" t="str">
        <f t="shared" si="52"/>
        <v/>
      </c>
      <c r="BG727" s="6">
        <f t="shared" si="53"/>
        <v>0</v>
      </c>
      <c r="BH727" s="6">
        <f t="shared" si="54"/>
        <v>0</v>
      </c>
      <c r="BI727" s="9" t="str">
        <f t="shared" si="55"/>
        <v/>
      </c>
      <c r="BJ727" s="6">
        <f t="shared" si="56"/>
        <v>0</v>
      </c>
      <c r="BK727" s="6">
        <f t="shared" si="57"/>
        <v>0</v>
      </c>
      <c r="BL727" s="6">
        <f t="shared" si="58"/>
        <v>0</v>
      </c>
      <c r="BM727" s="6">
        <f t="shared" si="59"/>
        <v>0</v>
      </c>
      <c r="BN727" s="6">
        <f t="shared" si="60"/>
        <v>0</v>
      </c>
      <c r="BP727" s="6">
        <f t="shared" si="61"/>
        <v>0</v>
      </c>
      <c r="BQ727" s="6" t="b">
        <f ca="1">IFERROR(__xludf.DUMMYFUNCTION("IF(AND(ISERROR(FILTER('Items by Team'!D$2:D3410,'Items by Team'!C$2:C3410 = D727,'Items by Team'!B$2:B3410 = B727)),NOT(A727=""Practice"")),TRUE,FALSE)"),FALSE)</f>
        <v>0</v>
      </c>
      <c r="BR727" s="6">
        <f t="shared" ca="1" si="62"/>
        <v>0</v>
      </c>
    </row>
    <row r="728" spans="1:70">
      <c r="A728" s="6"/>
      <c r="B728" s="6"/>
      <c r="C728" s="6"/>
      <c r="D728" s="6"/>
      <c r="E728" s="6"/>
      <c r="F728" s="6"/>
      <c r="G728" s="6"/>
      <c r="H728" s="6"/>
      <c r="I728" s="6"/>
      <c r="J728" s="6"/>
      <c r="K728" s="6"/>
      <c r="L728" s="6"/>
      <c r="M728" s="6"/>
      <c r="N728" s="6"/>
      <c r="O728" s="6"/>
      <c r="P728" s="6"/>
      <c r="R728" s="6"/>
      <c r="S728" s="6"/>
      <c r="T728" s="6"/>
      <c r="U728" s="6"/>
      <c r="V728" s="6"/>
      <c r="W728" s="6"/>
      <c r="X728" s="6"/>
      <c r="Y728" s="6"/>
      <c r="Z728" s="6"/>
      <c r="AA728" s="6"/>
      <c r="AB728" s="6"/>
      <c r="AD728" s="6"/>
      <c r="AE728" s="6"/>
      <c r="AF728" s="6"/>
      <c r="AG728" s="6"/>
      <c r="AH728" s="6"/>
      <c r="AI728" s="6"/>
      <c r="AK728" s="6"/>
      <c r="AL728" s="6"/>
      <c r="AM728" s="6"/>
      <c r="AN728" s="6"/>
      <c r="AO728" s="6"/>
      <c r="AP728" s="6"/>
      <c r="AQ728" s="6"/>
      <c r="AR728" s="6"/>
      <c r="AS728" s="15"/>
      <c r="AT728" s="6" t="str">
        <f ca="1">IFERROR(__xludf.DUMMYFUNCTION("""COMPUTED_VALUE"""),"#N/A")</f>
        <v>#N/A</v>
      </c>
      <c r="AU728" s="6" t="str">
        <f ca="1">IFERROR(__xludf.DUMMYFUNCTION("""COMPUTED_VALUE"""),"FALSE")</f>
        <v>FALSE</v>
      </c>
      <c r="AV728" s="6">
        <f t="shared" si="42"/>
        <v>0</v>
      </c>
      <c r="AW728" s="6">
        <f t="shared" si="43"/>
        <v>0</v>
      </c>
      <c r="AX728" s="6">
        <f t="shared" si="44"/>
        <v>0</v>
      </c>
      <c r="AY728" s="6">
        <f t="shared" si="45"/>
        <v>0</v>
      </c>
      <c r="AZ728" s="9" t="str">
        <f t="shared" si="46"/>
        <v/>
      </c>
      <c r="BA728" s="6">
        <f t="shared" si="47"/>
        <v>0</v>
      </c>
      <c r="BB728" s="6">
        <f t="shared" si="48"/>
        <v>0</v>
      </c>
      <c r="BC728" s="9" t="str">
        <f t="shared" si="49"/>
        <v/>
      </c>
      <c r="BD728" s="6">
        <f t="shared" si="50"/>
        <v>0</v>
      </c>
      <c r="BE728" s="6">
        <f t="shared" si="51"/>
        <v>0</v>
      </c>
      <c r="BF728" s="9" t="str">
        <f t="shared" si="52"/>
        <v/>
      </c>
      <c r="BG728" s="6">
        <f t="shared" si="53"/>
        <v>0</v>
      </c>
      <c r="BH728" s="6">
        <f t="shared" si="54"/>
        <v>0</v>
      </c>
      <c r="BI728" s="9" t="str">
        <f t="shared" si="55"/>
        <v/>
      </c>
      <c r="BJ728" s="6">
        <f t="shared" si="56"/>
        <v>0</v>
      </c>
      <c r="BK728" s="6">
        <f t="shared" si="57"/>
        <v>0</v>
      </c>
      <c r="BL728" s="6">
        <f t="shared" si="58"/>
        <v>0</v>
      </c>
      <c r="BM728" s="6">
        <f t="shared" si="59"/>
        <v>0</v>
      </c>
      <c r="BN728" s="6">
        <f t="shared" si="60"/>
        <v>0</v>
      </c>
      <c r="BP728" s="6">
        <f t="shared" si="61"/>
        <v>0</v>
      </c>
      <c r="BQ728" s="6" t="b">
        <f ca="1">IFERROR(__xludf.DUMMYFUNCTION("IF(AND(ISERROR(FILTER('Items by Team'!D$2:D3410,'Items by Team'!C$2:C3410 = D728,'Items by Team'!B$2:B3410 = B728)),NOT(A728=""Practice"")),TRUE,FALSE)"),FALSE)</f>
        <v>0</v>
      </c>
      <c r="BR728" s="6">
        <f t="shared" ca="1" si="62"/>
        <v>0</v>
      </c>
    </row>
    <row r="729" spans="1:70">
      <c r="A729" s="6"/>
      <c r="B729" s="6"/>
      <c r="C729" s="6"/>
      <c r="D729" s="6"/>
      <c r="E729" s="6"/>
      <c r="F729" s="6"/>
      <c r="G729" s="6"/>
      <c r="H729" s="6"/>
      <c r="I729" s="6"/>
      <c r="J729" s="6"/>
      <c r="K729" s="6"/>
      <c r="L729" s="6"/>
      <c r="M729" s="6"/>
      <c r="N729" s="6"/>
      <c r="O729" s="6"/>
      <c r="P729" s="6"/>
      <c r="R729" s="6"/>
      <c r="S729" s="6"/>
      <c r="T729" s="6"/>
      <c r="U729" s="6"/>
      <c r="V729" s="6"/>
      <c r="W729" s="6"/>
      <c r="X729" s="6"/>
      <c r="Y729" s="6"/>
      <c r="Z729" s="6"/>
      <c r="AA729" s="6"/>
      <c r="AB729" s="6"/>
      <c r="AD729" s="6"/>
      <c r="AE729" s="6"/>
      <c r="AF729" s="6"/>
      <c r="AG729" s="6"/>
      <c r="AH729" s="6"/>
      <c r="AI729" s="6"/>
      <c r="AK729" s="6"/>
      <c r="AL729" s="6"/>
      <c r="AM729" s="6"/>
      <c r="AN729" s="6"/>
      <c r="AO729" s="6"/>
      <c r="AP729" s="6"/>
      <c r="AQ729" s="6"/>
      <c r="AR729" s="6"/>
      <c r="AS729" s="15"/>
      <c r="AT729" s="6" t="str">
        <f ca="1">IFERROR(__xludf.DUMMYFUNCTION("""COMPUTED_VALUE"""),"#N/A")</f>
        <v>#N/A</v>
      </c>
      <c r="AU729" s="6" t="str">
        <f ca="1">IFERROR(__xludf.DUMMYFUNCTION("""COMPUTED_VALUE"""),"FALSE")</f>
        <v>FALSE</v>
      </c>
      <c r="AV729" s="6">
        <f t="shared" si="42"/>
        <v>0</v>
      </c>
      <c r="AW729" s="6">
        <f t="shared" si="43"/>
        <v>0</v>
      </c>
      <c r="AX729" s="6">
        <f t="shared" si="44"/>
        <v>0</v>
      </c>
      <c r="AY729" s="6">
        <f t="shared" si="45"/>
        <v>0</v>
      </c>
      <c r="AZ729" s="9" t="str">
        <f t="shared" si="46"/>
        <v/>
      </c>
      <c r="BA729" s="6">
        <f t="shared" si="47"/>
        <v>0</v>
      </c>
      <c r="BB729" s="6">
        <f t="shared" si="48"/>
        <v>0</v>
      </c>
      <c r="BC729" s="9" t="str">
        <f t="shared" si="49"/>
        <v/>
      </c>
      <c r="BD729" s="6">
        <f t="shared" si="50"/>
        <v>0</v>
      </c>
      <c r="BE729" s="6">
        <f t="shared" si="51"/>
        <v>0</v>
      </c>
      <c r="BF729" s="9" t="str">
        <f t="shared" si="52"/>
        <v/>
      </c>
      <c r="BG729" s="6">
        <f t="shared" si="53"/>
        <v>0</v>
      </c>
      <c r="BH729" s="6">
        <f t="shared" si="54"/>
        <v>0</v>
      </c>
      <c r="BI729" s="9" t="str">
        <f t="shared" si="55"/>
        <v/>
      </c>
      <c r="BJ729" s="6">
        <f t="shared" si="56"/>
        <v>0</v>
      </c>
      <c r="BK729" s="6">
        <f t="shared" si="57"/>
        <v>0</v>
      </c>
      <c r="BL729" s="6">
        <f t="shared" si="58"/>
        <v>0</v>
      </c>
      <c r="BM729" s="6">
        <f t="shared" si="59"/>
        <v>0</v>
      </c>
      <c r="BN729" s="6">
        <f t="shared" si="60"/>
        <v>0</v>
      </c>
      <c r="BP729" s="6">
        <f t="shared" si="61"/>
        <v>0</v>
      </c>
      <c r="BQ729" s="6" t="b">
        <f ca="1">IFERROR(__xludf.DUMMYFUNCTION("IF(AND(ISERROR(FILTER('Items by Team'!D$2:D3410,'Items by Team'!C$2:C3410 = D729,'Items by Team'!B$2:B3410 = B729)),NOT(A729=""Practice"")),TRUE,FALSE)"),FALSE)</f>
        <v>0</v>
      </c>
      <c r="BR729" s="6">
        <f t="shared" ca="1" si="62"/>
        <v>0</v>
      </c>
    </row>
    <row r="730" spans="1:70">
      <c r="A730" s="6"/>
      <c r="B730" s="6"/>
      <c r="C730" s="6"/>
      <c r="D730" s="6"/>
      <c r="E730" s="6"/>
      <c r="F730" s="6"/>
      <c r="G730" s="6"/>
      <c r="H730" s="6"/>
      <c r="I730" s="6"/>
      <c r="J730" s="6"/>
      <c r="K730" s="6"/>
      <c r="L730" s="6"/>
      <c r="M730" s="6"/>
      <c r="N730" s="6"/>
      <c r="O730" s="6"/>
      <c r="P730" s="6"/>
      <c r="R730" s="6"/>
      <c r="S730" s="6"/>
      <c r="T730" s="6"/>
      <c r="U730" s="6"/>
      <c r="V730" s="6"/>
      <c r="W730" s="6"/>
      <c r="X730" s="6"/>
      <c r="Y730" s="6"/>
      <c r="Z730" s="6"/>
      <c r="AA730" s="6"/>
      <c r="AB730" s="6"/>
      <c r="AD730" s="6"/>
      <c r="AE730" s="6"/>
      <c r="AF730" s="6"/>
      <c r="AG730" s="6"/>
      <c r="AH730" s="6"/>
      <c r="AI730" s="6"/>
      <c r="AK730" s="6"/>
      <c r="AL730" s="6"/>
      <c r="AM730" s="6"/>
      <c r="AN730" s="6"/>
      <c r="AO730" s="6"/>
      <c r="AP730" s="6"/>
      <c r="AQ730" s="6"/>
      <c r="AR730" s="6"/>
      <c r="AS730" s="15"/>
      <c r="AT730" s="6" t="str">
        <f ca="1">IFERROR(__xludf.DUMMYFUNCTION("""COMPUTED_VALUE"""),"#N/A")</f>
        <v>#N/A</v>
      </c>
      <c r="AU730" s="6" t="str">
        <f ca="1">IFERROR(__xludf.DUMMYFUNCTION("""COMPUTED_VALUE"""),"FALSE")</f>
        <v>FALSE</v>
      </c>
      <c r="AV730" s="6">
        <f t="shared" si="42"/>
        <v>0</v>
      </c>
      <c r="AW730" s="6">
        <f t="shared" si="43"/>
        <v>0</v>
      </c>
      <c r="AX730" s="6">
        <f t="shared" si="44"/>
        <v>0</v>
      </c>
      <c r="AY730" s="6">
        <f t="shared" si="45"/>
        <v>0</v>
      </c>
      <c r="AZ730" s="9" t="str">
        <f t="shared" si="46"/>
        <v/>
      </c>
      <c r="BA730" s="6">
        <f t="shared" si="47"/>
        <v>0</v>
      </c>
      <c r="BB730" s="6">
        <f t="shared" si="48"/>
        <v>0</v>
      </c>
      <c r="BC730" s="9" t="str">
        <f t="shared" si="49"/>
        <v/>
      </c>
      <c r="BD730" s="6">
        <f t="shared" si="50"/>
        <v>0</v>
      </c>
      <c r="BE730" s="6">
        <f t="shared" si="51"/>
        <v>0</v>
      </c>
      <c r="BF730" s="9" t="str">
        <f t="shared" si="52"/>
        <v/>
      </c>
      <c r="BG730" s="6">
        <f t="shared" si="53"/>
        <v>0</v>
      </c>
      <c r="BH730" s="6">
        <f t="shared" si="54"/>
        <v>0</v>
      </c>
      <c r="BI730" s="9" t="str">
        <f t="shared" si="55"/>
        <v/>
      </c>
      <c r="BJ730" s="6">
        <f t="shared" si="56"/>
        <v>0</v>
      </c>
      <c r="BK730" s="6">
        <f t="shared" si="57"/>
        <v>0</v>
      </c>
      <c r="BL730" s="6">
        <f t="shared" si="58"/>
        <v>0</v>
      </c>
      <c r="BM730" s="6">
        <f t="shared" si="59"/>
        <v>0</v>
      </c>
      <c r="BN730" s="6">
        <f t="shared" si="60"/>
        <v>0</v>
      </c>
      <c r="BP730" s="6">
        <f t="shared" si="61"/>
        <v>0</v>
      </c>
      <c r="BQ730" s="6" t="b">
        <f ca="1">IFERROR(__xludf.DUMMYFUNCTION("IF(AND(ISERROR(FILTER('Items by Team'!D$2:D3410,'Items by Team'!C$2:C3410 = D730,'Items by Team'!B$2:B3410 = B730)),NOT(A730=""Practice"")),TRUE,FALSE)"),FALSE)</f>
        <v>0</v>
      </c>
      <c r="BR730" s="6">
        <f t="shared" ca="1" si="62"/>
        <v>0</v>
      </c>
    </row>
    <row r="731" spans="1:70">
      <c r="A731" s="6"/>
      <c r="B731" s="6"/>
      <c r="C731" s="6"/>
      <c r="D731" s="6"/>
      <c r="E731" s="6"/>
      <c r="F731" s="6"/>
      <c r="G731" s="6"/>
      <c r="H731" s="6"/>
      <c r="I731" s="6"/>
      <c r="J731" s="6"/>
      <c r="K731" s="6"/>
      <c r="L731" s="6"/>
      <c r="M731" s="6"/>
      <c r="N731" s="6"/>
      <c r="O731" s="6"/>
      <c r="P731" s="6"/>
      <c r="R731" s="6"/>
      <c r="S731" s="6"/>
      <c r="T731" s="6"/>
      <c r="U731" s="6"/>
      <c r="V731" s="6"/>
      <c r="W731" s="6"/>
      <c r="X731" s="6"/>
      <c r="Y731" s="6"/>
      <c r="Z731" s="6"/>
      <c r="AA731" s="6"/>
      <c r="AB731" s="6"/>
      <c r="AD731" s="6"/>
      <c r="AE731" s="6"/>
      <c r="AF731" s="6"/>
      <c r="AG731" s="6"/>
      <c r="AH731" s="6"/>
      <c r="AI731" s="6"/>
      <c r="AK731" s="6"/>
      <c r="AL731" s="6"/>
      <c r="AM731" s="6"/>
      <c r="AN731" s="6"/>
      <c r="AO731" s="6"/>
      <c r="AP731" s="6"/>
      <c r="AQ731" s="6"/>
      <c r="AR731" s="6"/>
      <c r="AS731" s="15"/>
      <c r="AT731" s="6" t="str">
        <f ca="1">IFERROR(__xludf.DUMMYFUNCTION("""COMPUTED_VALUE"""),"#N/A")</f>
        <v>#N/A</v>
      </c>
      <c r="AU731" s="6" t="str">
        <f ca="1">IFERROR(__xludf.DUMMYFUNCTION("""COMPUTED_VALUE"""),"FALSE")</f>
        <v>FALSE</v>
      </c>
      <c r="AV731" s="6">
        <f t="shared" si="42"/>
        <v>0</v>
      </c>
      <c r="AW731" s="6">
        <f t="shared" si="43"/>
        <v>0</v>
      </c>
      <c r="AX731" s="6">
        <f t="shared" si="44"/>
        <v>0</v>
      </c>
      <c r="AY731" s="6">
        <f t="shared" si="45"/>
        <v>0</v>
      </c>
      <c r="AZ731" s="9" t="str">
        <f t="shared" si="46"/>
        <v/>
      </c>
      <c r="BA731" s="6">
        <f t="shared" si="47"/>
        <v>0</v>
      </c>
      <c r="BB731" s="6">
        <f t="shared" si="48"/>
        <v>0</v>
      </c>
      <c r="BC731" s="9" t="str">
        <f t="shared" si="49"/>
        <v/>
      </c>
      <c r="BD731" s="6">
        <f t="shared" si="50"/>
        <v>0</v>
      </c>
      <c r="BE731" s="6">
        <f t="shared" si="51"/>
        <v>0</v>
      </c>
      <c r="BF731" s="9" t="str">
        <f t="shared" si="52"/>
        <v/>
      </c>
      <c r="BG731" s="6">
        <f t="shared" si="53"/>
        <v>0</v>
      </c>
      <c r="BH731" s="6">
        <f t="shared" si="54"/>
        <v>0</v>
      </c>
      <c r="BI731" s="9" t="str">
        <f t="shared" si="55"/>
        <v/>
      </c>
      <c r="BJ731" s="6">
        <f t="shared" si="56"/>
        <v>0</v>
      </c>
      <c r="BK731" s="6">
        <f t="shared" si="57"/>
        <v>0</v>
      </c>
      <c r="BL731" s="6">
        <f t="shared" si="58"/>
        <v>0</v>
      </c>
      <c r="BM731" s="6">
        <f t="shared" si="59"/>
        <v>0</v>
      </c>
      <c r="BN731" s="6">
        <f t="shared" si="60"/>
        <v>0</v>
      </c>
      <c r="BP731" s="6">
        <f t="shared" si="61"/>
        <v>0</v>
      </c>
      <c r="BQ731" s="6" t="b">
        <f ca="1">IFERROR(__xludf.DUMMYFUNCTION("IF(AND(ISERROR(FILTER('Items by Team'!D$2:D3410,'Items by Team'!C$2:C3410 = D731,'Items by Team'!B$2:B3410 = B731)),NOT(A731=""Practice"")),TRUE,FALSE)"),FALSE)</f>
        <v>0</v>
      </c>
      <c r="BR731" s="6">
        <f t="shared" ca="1" si="62"/>
        <v>0</v>
      </c>
    </row>
    <row r="732" spans="1:70">
      <c r="A732" s="6"/>
      <c r="B732" s="6"/>
      <c r="C732" s="6"/>
      <c r="D732" s="6"/>
      <c r="E732" s="6"/>
      <c r="F732" s="6"/>
      <c r="G732" s="6"/>
      <c r="H732" s="6"/>
      <c r="I732" s="6"/>
      <c r="J732" s="6"/>
      <c r="K732" s="6"/>
      <c r="L732" s="6"/>
      <c r="M732" s="6"/>
      <c r="N732" s="6"/>
      <c r="O732" s="6"/>
      <c r="P732" s="6"/>
      <c r="R732" s="6"/>
      <c r="S732" s="6"/>
      <c r="T732" s="6"/>
      <c r="U732" s="6"/>
      <c r="V732" s="6"/>
      <c r="W732" s="6"/>
      <c r="X732" s="6"/>
      <c r="Y732" s="6"/>
      <c r="Z732" s="6"/>
      <c r="AA732" s="6"/>
      <c r="AB732" s="6"/>
      <c r="AD732" s="6"/>
      <c r="AE732" s="6"/>
      <c r="AF732" s="6"/>
      <c r="AG732" s="6"/>
      <c r="AH732" s="6"/>
      <c r="AI732" s="6"/>
      <c r="AK732" s="6"/>
      <c r="AL732" s="6"/>
      <c r="AM732" s="6"/>
      <c r="AN732" s="6"/>
      <c r="AO732" s="6"/>
      <c r="AP732" s="6"/>
      <c r="AQ732" s="6"/>
      <c r="AR732" s="6"/>
      <c r="AS732" s="15"/>
      <c r="AT732" s="6" t="str">
        <f ca="1">IFERROR(__xludf.DUMMYFUNCTION("""COMPUTED_VALUE"""),"#N/A")</f>
        <v>#N/A</v>
      </c>
      <c r="AU732" s="6" t="str">
        <f ca="1">IFERROR(__xludf.DUMMYFUNCTION("""COMPUTED_VALUE"""),"FALSE")</f>
        <v>FALSE</v>
      </c>
      <c r="AV732" s="6">
        <f t="shared" si="42"/>
        <v>0</v>
      </c>
      <c r="AW732" s="6">
        <f t="shared" si="43"/>
        <v>0</v>
      </c>
      <c r="AX732" s="6">
        <f t="shared" si="44"/>
        <v>0</v>
      </c>
      <c r="AY732" s="6">
        <f t="shared" si="45"/>
        <v>0</v>
      </c>
      <c r="AZ732" s="9" t="str">
        <f t="shared" si="46"/>
        <v/>
      </c>
      <c r="BA732" s="6">
        <f t="shared" si="47"/>
        <v>0</v>
      </c>
      <c r="BB732" s="6">
        <f t="shared" si="48"/>
        <v>0</v>
      </c>
      <c r="BC732" s="9" t="str">
        <f t="shared" si="49"/>
        <v/>
      </c>
      <c r="BD732" s="6">
        <f t="shared" si="50"/>
        <v>0</v>
      </c>
      <c r="BE732" s="6">
        <f t="shared" si="51"/>
        <v>0</v>
      </c>
      <c r="BF732" s="9" t="str">
        <f t="shared" si="52"/>
        <v/>
      </c>
      <c r="BG732" s="6">
        <f t="shared" si="53"/>
        <v>0</v>
      </c>
      <c r="BH732" s="6">
        <f t="shared" si="54"/>
        <v>0</v>
      </c>
      <c r="BI732" s="9" t="str">
        <f t="shared" si="55"/>
        <v/>
      </c>
      <c r="BJ732" s="6">
        <f t="shared" si="56"/>
        <v>0</v>
      </c>
      <c r="BK732" s="6">
        <f t="shared" si="57"/>
        <v>0</v>
      </c>
      <c r="BL732" s="6">
        <f t="shared" si="58"/>
        <v>0</v>
      </c>
      <c r="BM732" s="6">
        <f t="shared" si="59"/>
        <v>0</v>
      </c>
      <c r="BN732" s="6">
        <f t="shared" si="60"/>
        <v>0</v>
      </c>
      <c r="BP732" s="6">
        <f t="shared" si="61"/>
        <v>0</v>
      </c>
      <c r="BQ732" s="6" t="b">
        <f ca="1">IFERROR(__xludf.DUMMYFUNCTION("IF(AND(ISERROR(FILTER('Items by Team'!D$2:D3410,'Items by Team'!C$2:C3410 = D732,'Items by Team'!B$2:B3410 = B732)),NOT(A732=""Practice"")),TRUE,FALSE)"),FALSE)</f>
        <v>0</v>
      </c>
      <c r="BR732" s="6">
        <f t="shared" ca="1" si="62"/>
        <v>0</v>
      </c>
    </row>
    <row r="733" spans="1:70">
      <c r="A733" s="6"/>
      <c r="B733" s="6"/>
      <c r="C733" s="6"/>
      <c r="D733" s="6"/>
      <c r="E733" s="6"/>
      <c r="F733" s="6"/>
      <c r="G733" s="6"/>
      <c r="H733" s="6"/>
      <c r="I733" s="6"/>
      <c r="J733" s="6"/>
      <c r="K733" s="6"/>
      <c r="L733" s="6"/>
      <c r="M733" s="6"/>
      <c r="N733" s="6"/>
      <c r="O733" s="6"/>
      <c r="P733" s="6"/>
      <c r="R733" s="6"/>
      <c r="S733" s="6"/>
      <c r="T733" s="6"/>
      <c r="U733" s="6"/>
      <c r="V733" s="6"/>
      <c r="W733" s="6"/>
      <c r="X733" s="6"/>
      <c r="Y733" s="6"/>
      <c r="Z733" s="6"/>
      <c r="AA733" s="6"/>
      <c r="AB733" s="6"/>
      <c r="AD733" s="6"/>
      <c r="AE733" s="6"/>
      <c r="AF733" s="6"/>
      <c r="AG733" s="6"/>
      <c r="AH733" s="6"/>
      <c r="AI733" s="6"/>
      <c r="AK733" s="6"/>
      <c r="AL733" s="6"/>
      <c r="AM733" s="6"/>
      <c r="AN733" s="6"/>
      <c r="AO733" s="6"/>
      <c r="AP733" s="6"/>
      <c r="AQ733" s="6"/>
      <c r="AR733" s="6"/>
      <c r="AS733" s="15"/>
      <c r="AT733" s="6" t="str">
        <f ca="1">IFERROR(__xludf.DUMMYFUNCTION("""COMPUTED_VALUE"""),"#N/A")</f>
        <v>#N/A</v>
      </c>
      <c r="AU733" s="6" t="str">
        <f ca="1">IFERROR(__xludf.DUMMYFUNCTION("""COMPUTED_VALUE"""),"FALSE")</f>
        <v>FALSE</v>
      </c>
      <c r="AV733" s="6">
        <f t="shared" si="42"/>
        <v>0</v>
      </c>
      <c r="AW733" s="6">
        <f t="shared" si="43"/>
        <v>0</v>
      </c>
      <c r="AX733" s="6">
        <f t="shared" si="44"/>
        <v>0</v>
      </c>
      <c r="AY733" s="6">
        <f t="shared" si="45"/>
        <v>0</v>
      </c>
      <c r="AZ733" s="9" t="str">
        <f t="shared" si="46"/>
        <v/>
      </c>
      <c r="BA733" s="6">
        <f t="shared" si="47"/>
        <v>0</v>
      </c>
      <c r="BB733" s="6">
        <f t="shared" si="48"/>
        <v>0</v>
      </c>
      <c r="BC733" s="9" t="str">
        <f t="shared" si="49"/>
        <v/>
      </c>
      <c r="BD733" s="6">
        <f t="shared" si="50"/>
        <v>0</v>
      </c>
      <c r="BE733" s="6">
        <f t="shared" si="51"/>
        <v>0</v>
      </c>
      <c r="BF733" s="9" t="str">
        <f t="shared" si="52"/>
        <v/>
      </c>
      <c r="BG733" s="6">
        <f t="shared" si="53"/>
        <v>0</v>
      </c>
      <c r="BH733" s="6">
        <f t="shared" si="54"/>
        <v>0</v>
      </c>
      <c r="BI733" s="9" t="str">
        <f t="shared" si="55"/>
        <v/>
      </c>
      <c r="BJ733" s="6">
        <f t="shared" si="56"/>
        <v>0</v>
      </c>
      <c r="BK733" s="6">
        <f t="shared" si="57"/>
        <v>0</v>
      </c>
      <c r="BL733" s="6">
        <f t="shared" si="58"/>
        <v>0</v>
      </c>
      <c r="BM733" s="6">
        <f t="shared" si="59"/>
        <v>0</v>
      </c>
      <c r="BN733" s="6">
        <f t="shared" si="60"/>
        <v>0</v>
      </c>
      <c r="BP733" s="6">
        <f t="shared" si="61"/>
        <v>0</v>
      </c>
      <c r="BQ733" s="6" t="b">
        <f ca="1">IFERROR(__xludf.DUMMYFUNCTION("IF(AND(ISERROR(FILTER('Items by Team'!D$2:D3410,'Items by Team'!C$2:C3410 = D733,'Items by Team'!B$2:B3410 = B733)),NOT(A733=""Practice"")),TRUE,FALSE)"),FALSE)</f>
        <v>0</v>
      </c>
      <c r="BR733" s="6">
        <f t="shared" ca="1" si="62"/>
        <v>0</v>
      </c>
    </row>
    <row r="734" spans="1:70">
      <c r="A734" s="6"/>
      <c r="B734" s="6"/>
      <c r="C734" s="6"/>
      <c r="D734" s="6"/>
      <c r="E734" s="6"/>
      <c r="F734" s="6"/>
      <c r="G734" s="6"/>
      <c r="H734" s="6"/>
      <c r="I734" s="6"/>
      <c r="J734" s="6"/>
      <c r="K734" s="6"/>
      <c r="L734" s="6"/>
      <c r="M734" s="6"/>
      <c r="N734" s="6"/>
      <c r="O734" s="6"/>
      <c r="P734" s="6"/>
      <c r="R734" s="6"/>
      <c r="S734" s="6"/>
      <c r="T734" s="6"/>
      <c r="U734" s="6"/>
      <c r="V734" s="6"/>
      <c r="W734" s="6"/>
      <c r="X734" s="6"/>
      <c r="Y734" s="6"/>
      <c r="Z734" s="6"/>
      <c r="AA734" s="6"/>
      <c r="AB734" s="6"/>
      <c r="AD734" s="6"/>
      <c r="AE734" s="6"/>
      <c r="AF734" s="6"/>
      <c r="AG734" s="6"/>
      <c r="AH734" s="6"/>
      <c r="AI734" s="6"/>
      <c r="AK734" s="6"/>
      <c r="AL734" s="6"/>
      <c r="AM734" s="6"/>
      <c r="AN734" s="6"/>
      <c r="AO734" s="6"/>
      <c r="AP734" s="6"/>
      <c r="AQ734" s="6"/>
      <c r="AR734" s="6"/>
      <c r="AS734" s="15"/>
      <c r="AT734" s="6" t="str">
        <f ca="1">IFERROR(__xludf.DUMMYFUNCTION("""COMPUTED_VALUE"""),"#N/A")</f>
        <v>#N/A</v>
      </c>
      <c r="AU734" s="6" t="str">
        <f ca="1">IFERROR(__xludf.DUMMYFUNCTION("""COMPUTED_VALUE"""),"FALSE")</f>
        <v>FALSE</v>
      </c>
      <c r="AV734" s="6">
        <f t="shared" si="42"/>
        <v>0</v>
      </c>
      <c r="AW734" s="6">
        <f t="shared" si="43"/>
        <v>0</v>
      </c>
      <c r="AX734" s="6">
        <f t="shared" si="44"/>
        <v>0</v>
      </c>
      <c r="AY734" s="6">
        <f t="shared" si="45"/>
        <v>0</v>
      </c>
      <c r="AZ734" s="9" t="str">
        <f t="shared" si="46"/>
        <v/>
      </c>
      <c r="BA734" s="6">
        <f t="shared" si="47"/>
        <v>0</v>
      </c>
      <c r="BB734" s="6">
        <f t="shared" si="48"/>
        <v>0</v>
      </c>
      <c r="BC734" s="9" t="str">
        <f t="shared" si="49"/>
        <v/>
      </c>
      <c r="BD734" s="6">
        <f t="shared" si="50"/>
        <v>0</v>
      </c>
      <c r="BE734" s="6">
        <f t="shared" si="51"/>
        <v>0</v>
      </c>
      <c r="BF734" s="9" t="str">
        <f t="shared" si="52"/>
        <v/>
      </c>
      <c r="BG734" s="6">
        <f t="shared" si="53"/>
        <v>0</v>
      </c>
      <c r="BH734" s="6">
        <f t="shared" si="54"/>
        <v>0</v>
      </c>
      <c r="BI734" s="9" t="str">
        <f t="shared" si="55"/>
        <v/>
      </c>
      <c r="BJ734" s="6">
        <f t="shared" si="56"/>
        <v>0</v>
      </c>
      <c r="BK734" s="6">
        <f t="shared" si="57"/>
        <v>0</v>
      </c>
      <c r="BL734" s="6">
        <f t="shared" si="58"/>
        <v>0</v>
      </c>
      <c r="BM734" s="6">
        <f t="shared" si="59"/>
        <v>0</v>
      </c>
      <c r="BN734" s="6">
        <f t="shared" si="60"/>
        <v>0</v>
      </c>
      <c r="BP734" s="6">
        <f t="shared" si="61"/>
        <v>0</v>
      </c>
      <c r="BQ734" s="6" t="b">
        <f ca="1">IFERROR(__xludf.DUMMYFUNCTION("IF(AND(ISERROR(FILTER('Items by Team'!D$2:D3410,'Items by Team'!C$2:C3410 = D734,'Items by Team'!B$2:B3410 = B734)),NOT(A734=""Practice"")),TRUE,FALSE)"),FALSE)</f>
        <v>0</v>
      </c>
      <c r="BR734" s="6">
        <f t="shared" ca="1" si="62"/>
        <v>0</v>
      </c>
    </row>
    <row r="735" spans="1:70">
      <c r="A735" s="6"/>
      <c r="B735" s="6"/>
      <c r="C735" s="6"/>
      <c r="D735" s="6"/>
      <c r="E735" s="6"/>
      <c r="F735" s="6"/>
      <c r="G735" s="6"/>
      <c r="H735" s="6"/>
      <c r="I735" s="6"/>
      <c r="J735" s="6"/>
      <c r="K735" s="6"/>
      <c r="L735" s="6"/>
      <c r="M735" s="6"/>
      <c r="N735" s="6"/>
      <c r="O735" s="6"/>
      <c r="P735" s="6"/>
      <c r="R735" s="6"/>
      <c r="S735" s="6"/>
      <c r="T735" s="6"/>
      <c r="U735" s="6"/>
      <c r="V735" s="6"/>
      <c r="W735" s="6"/>
      <c r="X735" s="6"/>
      <c r="Y735" s="6"/>
      <c r="Z735" s="6"/>
      <c r="AA735" s="6"/>
      <c r="AB735" s="6"/>
      <c r="AD735" s="6"/>
      <c r="AE735" s="6"/>
      <c r="AF735" s="6"/>
      <c r="AG735" s="6"/>
      <c r="AH735" s="6"/>
      <c r="AI735" s="6"/>
      <c r="AK735" s="6"/>
      <c r="AL735" s="6"/>
      <c r="AM735" s="6"/>
      <c r="AN735" s="6"/>
      <c r="AO735" s="6"/>
      <c r="AP735" s="6"/>
      <c r="AQ735" s="6"/>
      <c r="AR735" s="6"/>
      <c r="AS735" s="15"/>
      <c r="AT735" s="6" t="str">
        <f ca="1">IFERROR(__xludf.DUMMYFUNCTION("""COMPUTED_VALUE"""),"#N/A")</f>
        <v>#N/A</v>
      </c>
      <c r="AU735" s="6" t="str">
        <f ca="1">IFERROR(__xludf.DUMMYFUNCTION("""COMPUTED_VALUE"""),"FALSE")</f>
        <v>FALSE</v>
      </c>
      <c r="AV735" s="6">
        <f t="shared" si="42"/>
        <v>0</v>
      </c>
      <c r="AW735" s="6">
        <f t="shared" si="43"/>
        <v>0</v>
      </c>
      <c r="AX735" s="6">
        <f t="shared" si="44"/>
        <v>0</v>
      </c>
      <c r="AY735" s="6">
        <f t="shared" si="45"/>
        <v>0</v>
      </c>
      <c r="AZ735" s="9" t="str">
        <f t="shared" si="46"/>
        <v/>
      </c>
      <c r="BA735" s="6">
        <f t="shared" si="47"/>
        <v>0</v>
      </c>
      <c r="BB735" s="6">
        <f t="shared" si="48"/>
        <v>0</v>
      </c>
      <c r="BC735" s="9" t="str">
        <f t="shared" si="49"/>
        <v/>
      </c>
      <c r="BD735" s="6">
        <f t="shared" si="50"/>
        <v>0</v>
      </c>
      <c r="BE735" s="6">
        <f t="shared" si="51"/>
        <v>0</v>
      </c>
      <c r="BF735" s="9" t="str">
        <f t="shared" si="52"/>
        <v/>
      </c>
      <c r="BG735" s="6">
        <f t="shared" si="53"/>
        <v>0</v>
      </c>
      <c r="BH735" s="6">
        <f t="shared" si="54"/>
        <v>0</v>
      </c>
      <c r="BI735" s="9" t="str">
        <f t="shared" si="55"/>
        <v/>
      </c>
      <c r="BJ735" s="6">
        <f t="shared" si="56"/>
        <v>0</v>
      </c>
      <c r="BK735" s="6">
        <f t="shared" si="57"/>
        <v>0</v>
      </c>
      <c r="BL735" s="6">
        <f t="shared" si="58"/>
        <v>0</v>
      </c>
      <c r="BM735" s="6">
        <f t="shared" si="59"/>
        <v>0</v>
      </c>
      <c r="BN735" s="6">
        <f t="shared" si="60"/>
        <v>0</v>
      </c>
      <c r="BP735" s="6">
        <f t="shared" si="61"/>
        <v>0</v>
      </c>
      <c r="BQ735" s="6" t="b">
        <f ca="1">IFERROR(__xludf.DUMMYFUNCTION("IF(AND(ISERROR(FILTER('Items by Team'!D$2:D3410,'Items by Team'!C$2:C3410 = D735,'Items by Team'!B$2:B3410 = B735)),NOT(A735=""Practice"")),TRUE,FALSE)"),FALSE)</f>
        <v>0</v>
      </c>
      <c r="BR735" s="6">
        <f t="shared" ca="1" si="62"/>
        <v>0</v>
      </c>
    </row>
    <row r="736" spans="1:70">
      <c r="A736" s="6"/>
      <c r="B736" s="6"/>
      <c r="C736" s="6"/>
      <c r="D736" s="6"/>
      <c r="E736" s="6"/>
      <c r="F736" s="6"/>
      <c r="G736" s="6"/>
      <c r="H736" s="6"/>
      <c r="I736" s="6"/>
      <c r="J736" s="6"/>
      <c r="K736" s="6"/>
      <c r="L736" s="6"/>
      <c r="M736" s="6"/>
      <c r="N736" s="6"/>
      <c r="O736" s="6"/>
      <c r="P736" s="6"/>
      <c r="R736" s="6"/>
      <c r="S736" s="6"/>
      <c r="T736" s="6"/>
      <c r="U736" s="6"/>
      <c r="V736" s="6"/>
      <c r="W736" s="6"/>
      <c r="X736" s="6"/>
      <c r="Y736" s="6"/>
      <c r="Z736" s="6"/>
      <c r="AA736" s="6"/>
      <c r="AB736" s="6"/>
      <c r="AD736" s="6"/>
      <c r="AE736" s="6"/>
      <c r="AF736" s="6"/>
      <c r="AG736" s="6"/>
      <c r="AH736" s="6"/>
      <c r="AI736" s="6"/>
      <c r="AK736" s="6"/>
      <c r="AL736" s="6"/>
      <c r="AM736" s="6"/>
      <c r="AN736" s="6"/>
      <c r="AO736" s="6"/>
      <c r="AP736" s="6"/>
      <c r="AQ736" s="6"/>
      <c r="AR736" s="6"/>
      <c r="AS736" s="15"/>
      <c r="AT736" s="6" t="str">
        <f ca="1">IFERROR(__xludf.DUMMYFUNCTION("""COMPUTED_VALUE"""),"#N/A")</f>
        <v>#N/A</v>
      </c>
      <c r="AU736" s="6" t="str">
        <f ca="1">IFERROR(__xludf.DUMMYFUNCTION("""COMPUTED_VALUE"""),"FALSE")</f>
        <v>FALSE</v>
      </c>
      <c r="AV736" s="6">
        <f t="shared" si="42"/>
        <v>0</v>
      </c>
      <c r="AW736" s="6">
        <f t="shared" si="43"/>
        <v>0</v>
      </c>
      <c r="AX736" s="6">
        <f t="shared" si="44"/>
        <v>0</v>
      </c>
      <c r="AY736" s="6">
        <f t="shared" si="45"/>
        <v>0</v>
      </c>
      <c r="AZ736" s="9" t="str">
        <f t="shared" si="46"/>
        <v/>
      </c>
      <c r="BA736" s="6">
        <f t="shared" si="47"/>
        <v>0</v>
      </c>
      <c r="BB736" s="6">
        <f t="shared" si="48"/>
        <v>0</v>
      </c>
      <c r="BC736" s="9" t="str">
        <f t="shared" si="49"/>
        <v/>
      </c>
      <c r="BD736" s="6">
        <f t="shared" si="50"/>
        <v>0</v>
      </c>
      <c r="BE736" s="6">
        <f t="shared" si="51"/>
        <v>0</v>
      </c>
      <c r="BF736" s="9" t="str">
        <f t="shared" si="52"/>
        <v/>
      </c>
      <c r="BG736" s="6">
        <f t="shared" si="53"/>
        <v>0</v>
      </c>
      <c r="BH736" s="6">
        <f t="shared" si="54"/>
        <v>0</v>
      </c>
      <c r="BI736" s="9" t="str">
        <f t="shared" si="55"/>
        <v/>
      </c>
      <c r="BJ736" s="6">
        <f t="shared" si="56"/>
        <v>0</v>
      </c>
      <c r="BK736" s="6">
        <f t="shared" si="57"/>
        <v>0</v>
      </c>
      <c r="BL736" s="6">
        <f t="shared" si="58"/>
        <v>0</v>
      </c>
      <c r="BM736" s="6">
        <f t="shared" si="59"/>
        <v>0</v>
      </c>
      <c r="BN736" s="6">
        <f t="shared" si="60"/>
        <v>0</v>
      </c>
      <c r="BP736" s="6">
        <f t="shared" si="61"/>
        <v>0</v>
      </c>
      <c r="BQ736" s="6" t="b">
        <f ca="1">IFERROR(__xludf.DUMMYFUNCTION("IF(AND(ISERROR(FILTER('Items by Team'!D$2:D3410,'Items by Team'!C$2:C3410 = D736,'Items by Team'!B$2:B3410 = B736)),NOT(A736=""Practice"")),TRUE,FALSE)"),FALSE)</f>
        <v>0</v>
      </c>
      <c r="BR736" s="6">
        <f t="shared" ca="1" si="62"/>
        <v>0</v>
      </c>
    </row>
    <row r="737" spans="1:70">
      <c r="A737" s="6"/>
      <c r="B737" s="6"/>
      <c r="C737" s="6"/>
      <c r="D737" s="6"/>
      <c r="E737" s="6"/>
      <c r="F737" s="6"/>
      <c r="G737" s="6"/>
      <c r="H737" s="6"/>
      <c r="I737" s="6"/>
      <c r="J737" s="6"/>
      <c r="K737" s="6"/>
      <c r="L737" s="6"/>
      <c r="M737" s="6"/>
      <c r="N737" s="6"/>
      <c r="O737" s="6"/>
      <c r="P737" s="6"/>
      <c r="R737" s="6"/>
      <c r="S737" s="6"/>
      <c r="T737" s="6"/>
      <c r="U737" s="6"/>
      <c r="V737" s="6"/>
      <c r="W737" s="6"/>
      <c r="X737" s="6"/>
      <c r="Y737" s="6"/>
      <c r="Z737" s="6"/>
      <c r="AA737" s="6"/>
      <c r="AB737" s="6"/>
      <c r="AD737" s="6"/>
      <c r="AE737" s="6"/>
      <c r="AF737" s="6"/>
      <c r="AG737" s="6"/>
      <c r="AH737" s="6"/>
      <c r="AI737" s="6"/>
      <c r="AK737" s="6"/>
      <c r="AL737" s="6"/>
      <c r="AM737" s="6"/>
      <c r="AN737" s="6"/>
      <c r="AO737" s="6"/>
      <c r="AP737" s="6"/>
      <c r="AQ737" s="6"/>
      <c r="AR737" s="6"/>
      <c r="AS737" s="15"/>
      <c r="AT737" s="6" t="str">
        <f ca="1">IFERROR(__xludf.DUMMYFUNCTION("""COMPUTED_VALUE"""),"#N/A")</f>
        <v>#N/A</v>
      </c>
      <c r="AU737" s="6" t="str">
        <f ca="1">IFERROR(__xludf.DUMMYFUNCTION("""COMPUTED_VALUE"""),"FALSE")</f>
        <v>FALSE</v>
      </c>
      <c r="AV737" s="6">
        <f t="shared" si="42"/>
        <v>0</v>
      </c>
      <c r="AW737" s="6">
        <f t="shared" si="43"/>
        <v>0</v>
      </c>
      <c r="AX737" s="6">
        <f t="shared" si="44"/>
        <v>0</v>
      </c>
      <c r="AY737" s="6">
        <f t="shared" si="45"/>
        <v>0</v>
      </c>
      <c r="AZ737" s="9" t="str">
        <f t="shared" si="46"/>
        <v/>
      </c>
      <c r="BA737" s="6">
        <f t="shared" si="47"/>
        <v>0</v>
      </c>
      <c r="BB737" s="6">
        <f t="shared" si="48"/>
        <v>0</v>
      </c>
      <c r="BC737" s="9" t="str">
        <f t="shared" si="49"/>
        <v/>
      </c>
      <c r="BD737" s="6">
        <f t="shared" si="50"/>
        <v>0</v>
      </c>
      <c r="BE737" s="6">
        <f t="shared" si="51"/>
        <v>0</v>
      </c>
      <c r="BF737" s="9" t="str">
        <f t="shared" si="52"/>
        <v/>
      </c>
      <c r="BG737" s="6">
        <f t="shared" si="53"/>
        <v>0</v>
      </c>
      <c r="BH737" s="6">
        <f t="shared" si="54"/>
        <v>0</v>
      </c>
      <c r="BI737" s="9" t="str">
        <f t="shared" si="55"/>
        <v/>
      </c>
      <c r="BJ737" s="6">
        <f t="shared" si="56"/>
        <v>0</v>
      </c>
      <c r="BK737" s="6">
        <f t="shared" si="57"/>
        <v>0</v>
      </c>
      <c r="BL737" s="6">
        <f t="shared" si="58"/>
        <v>0</v>
      </c>
      <c r="BM737" s="6">
        <f t="shared" si="59"/>
        <v>0</v>
      </c>
      <c r="BN737" s="6">
        <f t="shared" si="60"/>
        <v>0</v>
      </c>
      <c r="BP737" s="6">
        <f t="shared" si="61"/>
        <v>0</v>
      </c>
      <c r="BQ737" s="6" t="b">
        <f ca="1">IFERROR(__xludf.DUMMYFUNCTION("IF(AND(ISERROR(FILTER('Items by Team'!D$2:D3410,'Items by Team'!C$2:C3410 = D737,'Items by Team'!B$2:B3410 = B737)),NOT(A737=""Practice"")),TRUE,FALSE)"),FALSE)</f>
        <v>0</v>
      </c>
      <c r="BR737" s="6">
        <f t="shared" ca="1" si="62"/>
        <v>0</v>
      </c>
    </row>
    <row r="738" spans="1:70">
      <c r="A738" s="6"/>
      <c r="B738" s="6"/>
      <c r="C738" s="6"/>
      <c r="D738" s="6"/>
      <c r="E738" s="6"/>
      <c r="F738" s="6"/>
      <c r="G738" s="6"/>
      <c r="H738" s="6"/>
      <c r="I738" s="6"/>
      <c r="J738" s="6"/>
      <c r="K738" s="6"/>
      <c r="L738" s="6"/>
      <c r="M738" s="6"/>
      <c r="N738" s="6"/>
      <c r="O738" s="6"/>
      <c r="P738" s="6"/>
      <c r="R738" s="6"/>
      <c r="S738" s="6"/>
      <c r="T738" s="6"/>
      <c r="U738" s="6"/>
      <c r="V738" s="6"/>
      <c r="W738" s="6"/>
      <c r="X738" s="6"/>
      <c r="Y738" s="6"/>
      <c r="Z738" s="6"/>
      <c r="AA738" s="6"/>
      <c r="AB738" s="6"/>
      <c r="AD738" s="6"/>
      <c r="AE738" s="6"/>
      <c r="AF738" s="6"/>
      <c r="AG738" s="6"/>
      <c r="AH738" s="6"/>
      <c r="AI738" s="6"/>
      <c r="AK738" s="6"/>
      <c r="AL738" s="6"/>
      <c r="AM738" s="6"/>
      <c r="AN738" s="6"/>
      <c r="AO738" s="6"/>
      <c r="AP738" s="6"/>
      <c r="AQ738" s="6"/>
      <c r="AR738" s="6"/>
      <c r="AS738" s="15"/>
      <c r="AT738" s="6" t="str">
        <f ca="1">IFERROR(__xludf.DUMMYFUNCTION("""COMPUTED_VALUE"""),"#N/A")</f>
        <v>#N/A</v>
      </c>
      <c r="AU738" s="6" t="str">
        <f ca="1">IFERROR(__xludf.DUMMYFUNCTION("""COMPUTED_VALUE"""),"FALSE")</f>
        <v>FALSE</v>
      </c>
      <c r="AV738" s="6">
        <f t="shared" si="42"/>
        <v>0</v>
      </c>
      <c r="AW738" s="6">
        <f t="shared" si="43"/>
        <v>0</v>
      </c>
      <c r="AX738" s="6">
        <f t="shared" si="44"/>
        <v>0</v>
      </c>
      <c r="AY738" s="6">
        <f t="shared" si="45"/>
        <v>0</v>
      </c>
      <c r="AZ738" s="9" t="str">
        <f t="shared" si="46"/>
        <v/>
      </c>
      <c r="BA738" s="6">
        <f t="shared" si="47"/>
        <v>0</v>
      </c>
      <c r="BB738" s="6">
        <f t="shared" si="48"/>
        <v>0</v>
      </c>
      <c r="BC738" s="9" t="str">
        <f t="shared" si="49"/>
        <v/>
      </c>
      <c r="BD738" s="6">
        <f t="shared" si="50"/>
        <v>0</v>
      </c>
      <c r="BE738" s="6">
        <f t="shared" si="51"/>
        <v>0</v>
      </c>
      <c r="BF738" s="9" t="str">
        <f t="shared" si="52"/>
        <v/>
      </c>
      <c r="BG738" s="6">
        <f t="shared" si="53"/>
        <v>0</v>
      </c>
      <c r="BH738" s="6">
        <f t="shared" si="54"/>
        <v>0</v>
      </c>
      <c r="BI738" s="9" t="str">
        <f t="shared" si="55"/>
        <v/>
      </c>
      <c r="BJ738" s="6">
        <f t="shared" si="56"/>
        <v>0</v>
      </c>
      <c r="BK738" s="6">
        <f t="shared" si="57"/>
        <v>0</v>
      </c>
      <c r="BL738" s="6">
        <f t="shared" si="58"/>
        <v>0</v>
      </c>
      <c r="BM738" s="6">
        <f t="shared" si="59"/>
        <v>0</v>
      </c>
      <c r="BN738" s="6">
        <f t="shared" si="60"/>
        <v>0</v>
      </c>
      <c r="BP738" s="6">
        <f t="shared" si="61"/>
        <v>0</v>
      </c>
      <c r="BQ738" s="6" t="b">
        <f ca="1">IFERROR(__xludf.DUMMYFUNCTION("IF(AND(ISERROR(FILTER('Items by Team'!D$2:D3410,'Items by Team'!C$2:C3410 = D738,'Items by Team'!B$2:B3410 = B738)),NOT(A738=""Practice"")),TRUE,FALSE)"),FALSE)</f>
        <v>0</v>
      </c>
      <c r="BR738" s="6">
        <f t="shared" ca="1" si="62"/>
        <v>0</v>
      </c>
    </row>
    <row r="739" spans="1:70">
      <c r="A739" s="6"/>
      <c r="B739" s="6"/>
      <c r="C739" s="6"/>
      <c r="D739" s="6"/>
      <c r="E739" s="6"/>
      <c r="F739" s="6"/>
      <c r="G739" s="6"/>
      <c r="H739" s="6"/>
      <c r="I739" s="6"/>
      <c r="J739" s="6"/>
      <c r="K739" s="6"/>
      <c r="L739" s="6"/>
      <c r="M739" s="6"/>
      <c r="N739" s="6"/>
      <c r="O739" s="6"/>
      <c r="P739" s="6"/>
      <c r="R739" s="6"/>
      <c r="S739" s="6"/>
      <c r="T739" s="6"/>
      <c r="U739" s="6"/>
      <c r="V739" s="6"/>
      <c r="W739" s="6"/>
      <c r="X739" s="6"/>
      <c r="Y739" s="6"/>
      <c r="Z739" s="6"/>
      <c r="AA739" s="6"/>
      <c r="AB739" s="6"/>
      <c r="AD739" s="6"/>
      <c r="AE739" s="6"/>
      <c r="AF739" s="6"/>
      <c r="AG739" s="6"/>
      <c r="AH739" s="6"/>
      <c r="AI739" s="6"/>
      <c r="AK739" s="6"/>
      <c r="AL739" s="6"/>
      <c r="AM739" s="6"/>
      <c r="AN739" s="6"/>
      <c r="AO739" s="6"/>
      <c r="AP739" s="6"/>
      <c r="AQ739" s="6"/>
      <c r="AR739" s="6"/>
      <c r="AS739" s="15"/>
      <c r="AT739" s="6" t="str">
        <f ca="1">IFERROR(__xludf.DUMMYFUNCTION("""COMPUTED_VALUE"""),"#N/A")</f>
        <v>#N/A</v>
      </c>
      <c r="AU739" s="6" t="str">
        <f ca="1">IFERROR(__xludf.DUMMYFUNCTION("""COMPUTED_VALUE"""),"FALSE")</f>
        <v>FALSE</v>
      </c>
      <c r="AV739" s="6">
        <f t="shared" si="42"/>
        <v>0</v>
      </c>
      <c r="AW739" s="6">
        <f t="shared" si="43"/>
        <v>0</v>
      </c>
      <c r="AX739" s="6">
        <f t="shared" si="44"/>
        <v>0</v>
      </c>
      <c r="AY739" s="6">
        <f t="shared" si="45"/>
        <v>0</v>
      </c>
      <c r="AZ739" s="9" t="str">
        <f t="shared" si="46"/>
        <v/>
      </c>
      <c r="BA739" s="6">
        <f t="shared" si="47"/>
        <v>0</v>
      </c>
      <c r="BB739" s="6">
        <f t="shared" si="48"/>
        <v>0</v>
      </c>
      <c r="BC739" s="9" t="str">
        <f t="shared" si="49"/>
        <v/>
      </c>
      <c r="BD739" s="6">
        <f t="shared" si="50"/>
        <v>0</v>
      </c>
      <c r="BE739" s="6">
        <f t="shared" si="51"/>
        <v>0</v>
      </c>
      <c r="BF739" s="9" t="str">
        <f t="shared" si="52"/>
        <v/>
      </c>
      <c r="BG739" s="6">
        <f t="shared" si="53"/>
        <v>0</v>
      </c>
      <c r="BH739" s="6">
        <f t="shared" si="54"/>
        <v>0</v>
      </c>
      <c r="BI739" s="9" t="str">
        <f t="shared" si="55"/>
        <v/>
      </c>
      <c r="BJ739" s="6">
        <f t="shared" si="56"/>
        <v>0</v>
      </c>
      <c r="BK739" s="6">
        <f t="shared" si="57"/>
        <v>0</v>
      </c>
      <c r="BL739" s="6">
        <f t="shared" si="58"/>
        <v>0</v>
      </c>
      <c r="BM739" s="6">
        <f t="shared" si="59"/>
        <v>0</v>
      </c>
      <c r="BN739" s="6">
        <f t="shared" si="60"/>
        <v>0</v>
      </c>
      <c r="BP739" s="6">
        <f t="shared" si="61"/>
        <v>0</v>
      </c>
      <c r="BQ739" s="6" t="b">
        <f ca="1">IFERROR(__xludf.DUMMYFUNCTION("IF(AND(ISERROR(FILTER('Items by Team'!D$2:D3410,'Items by Team'!C$2:C3410 = D739,'Items by Team'!B$2:B3410 = B739)),NOT(A739=""Practice"")),TRUE,FALSE)"),FALSE)</f>
        <v>0</v>
      </c>
      <c r="BR739" s="6">
        <f t="shared" ca="1" si="62"/>
        <v>0</v>
      </c>
    </row>
    <row r="740" spans="1:70">
      <c r="A740" s="6"/>
      <c r="B740" s="6"/>
      <c r="C740" s="6"/>
      <c r="D740" s="6"/>
      <c r="E740" s="6"/>
      <c r="F740" s="6"/>
      <c r="G740" s="6"/>
      <c r="H740" s="6"/>
      <c r="I740" s="6"/>
      <c r="J740" s="6"/>
      <c r="K740" s="6"/>
      <c r="L740" s="6"/>
      <c r="M740" s="6"/>
      <c r="N740" s="6"/>
      <c r="O740" s="6"/>
      <c r="P740" s="6"/>
      <c r="R740" s="6"/>
      <c r="S740" s="6"/>
      <c r="T740" s="6"/>
      <c r="U740" s="6"/>
      <c r="V740" s="6"/>
      <c r="W740" s="6"/>
      <c r="X740" s="6"/>
      <c r="Y740" s="6"/>
      <c r="Z740" s="6"/>
      <c r="AA740" s="6"/>
      <c r="AB740" s="6"/>
      <c r="AD740" s="6"/>
      <c r="AE740" s="6"/>
      <c r="AF740" s="6"/>
      <c r="AG740" s="6"/>
      <c r="AH740" s="6"/>
      <c r="AI740" s="6"/>
      <c r="AK740" s="6"/>
      <c r="AL740" s="6"/>
      <c r="AM740" s="6"/>
      <c r="AN740" s="6"/>
      <c r="AO740" s="6"/>
      <c r="AP740" s="6"/>
      <c r="AQ740" s="6"/>
      <c r="AR740" s="6"/>
      <c r="AS740" s="15"/>
      <c r="AT740" s="6" t="str">
        <f ca="1">IFERROR(__xludf.DUMMYFUNCTION("""COMPUTED_VALUE"""),"#N/A")</f>
        <v>#N/A</v>
      </c>
      <c r="AU740" s="6" t="str">
        <f ca="1">IFERROR(__xludf.DUMMYFUNCTION("""COMPUTED_VALUE"""),"FALSE")</f>
        <v>FALSE</v>
      </c>
      <c r="AV740" s="6">
        <f t="shared" si="42"/>
        <v>0</v>
      </c>
      <c r="AW740" s="6">
        <f t="shared" si="43"/>
        <v>0</v>
      </c>
      <c r="AX740" s="6">
        <f t="shared" si="44"/>
        <v>0</v>
      </c>
      <c r="AY740" s="6">
        <f t="shared" si="45"/>
        <v>0</v>
      </c>
      <c r="AZ740" s="9" t="str">
        <f t="shared" si="46"/>
        <v/>
      </c>
      <c r="BA740" s="6">
        <f t="shared" si="47"/>
        <v>0</v>
      </c>
      <c r="BB740" s="6">
        <f t="shared" si="48"/>
        <v>0</v>
      </c>
      <c r="BC740" s="9" t="str">
        <f t="shared" si="49"/>
        <v/>
      </c>
      <c r="BD740" s="6">
        <f t="shared" si="50"/>
        <v>0</v>
      </c>
      <c r="BE740" s="6">
        <f t="shared" si="51"/>
        <v>0</v>
      </c>
      <c r="BF740" s="9" t="str">
        <f t="shared" si="52"/>
        <v/>
      </c>
      <c r="BG740" s="6">
        <f t="shared" si="53"/>
        <v>0</v>
      </c>
      <c r="BH740" s="6">
        <f t="shared" si="54"/>
        <v>0</v>
      </c>
      <c r="BI740" s="9" t="str">
        <f t="shared" si="55"/>
        <v/>
      </c>
      <c r="BJ740" s="6">
        <f t="shared" si="56"/>
        <v>0</v>
      </c>
      <c r="BK740" s="6">
        <f t="shared" si="57"/>
        <v>0</v>
      </c>
      <c r="BL740" s="6">
        <f t="shared" si="58"/>
        <v>0</v>
      </c>
      <c r="BM740" s="6">
        <f t="shared" si="59"/>
        <v>0</v>
      </c>
      <c r="BN740" s="6">
        <f t="shared" si="60"/>
        <v>0</v>
      </c>
      <c r="BP740" s="6">
        <f t="shared" si="61"/>
        <v>0</v>
      </c>
      <c r="BQ740" s="6" t="b">
        <f ca="1">IFERROR(__xludf.DUMMYFUNCTION("IF(AND(ISERROR(FILTER('Items by Team'!D$2:D3410,'Items by Team'!C$2:C3410 = D740,'Items by Team'!B$2:B3410 = B740)),NOT(A740=""Practice"")),TRUE,FALSE)"),FALSE)</f>
        <v>0</v>
      </c>
      <c r="BR740" s="6">
        <f t="shared" ca="1" si="62"/>
        <v>0</v>
      </c>
    </row>
    <row r="741" spans="1:70">
      <c r="A741" s="6"/>
      <c r="B741" s="6"/>
      <c r="C741" s="6"/>
      <c r="D741" s="6"/>
      <c r="E741" s="6"/>
      <c r="F741" s="6"/>
      <c r="G741" s="6"/>
      <c r="H741" s="6"/>
      <c r="I741" s="6"/>
      <c r="J741" s="6"/>
      <c r="K741" s="6"/>
      <c r="L741" s="6"/>
      <c r="M741" s="6"/>
      <c r="N741" s="6"/>
      <c r="O741" s="6"/>
      <c r="P741" s="6"/>
      <c r="R741" s="6"/>
      <c r="S741" s="6"/>
      <c r="T741" s="6"/>
      <c r="U741" s="6"/>
      <c r="V741" s="6"/>
      <c r="W741" s="6"/>
      <c r="X741" s="6"/>
      <c r="Y741" s="6"/>
      <c r="Z741" s="6"/>
      <c r="AA741" s="6"/>
      <c r="AB741" s="6"/>
      <c r="AD741" s="6"/>
      <c r="AE741" s="6"/>
      <c r="AF741" s="6"/>
      <c r="AG741" s="6"/>
      <c r="AH741" s="6"/>
      <c r="AI741" s="6"/>
      <c r="AK741" s="6"/>
      <c r="AL741" s="6"/>
      <c r="AM741" s="6"/>
      <c r="AN741" s="6"/>
      <c r="AO741" s="6"/>
      <c r="AP741" s="6"/>
      <c r="AQ741" s="6"/>
      <c r="AR741" s="6"/>
      <c r="AS741" s="15"/>
      <c r="AT741" s="6" t="str">
        <f ca="1">IFERROR(__xludf.DUMMYFUNCTION("""COMPUTED_VALUE"""),"#N/A")</f>
        <v>#N/A</v>
      </c>
      <c r="AU741" s="6" t="str">
        <f ca="1">IFERROR(__xludf.DUMMYFUNCTION("""COMPUTED_VALUE"""),"FALSE")</f>
        <v>FALSE</v>
      </c>
      <c r="AV741" s="6">
        <f t="shared" si="42"/>
        <v>0</v>
      </c>
      <c r="AW741" s="6">
        <f t="shared" si="43"/>
        <v>0</v>
      </c>
      <c r="AX741" s="6">
        <f t="shared" si="44"/>
        <v>0</v>
      </c>
      <c r="AY741" s="6">
        <f t="shared" si="45"/>
        <v>0</v>
      </c>
      <c r="AZ741" s="9" t="str">
        <f t="shared" si="46"/>
        <v/>
      </c>
      <c r="BA741" s="6">
        <f t="shared" si="47"/>
        <v>0</v>
      </c>
      <c r="BB741" s="6">
        <f t="shared" si="48"/>
        <v>0</v>
      </c>
      <c r="BC741" s="9" t="str">
        <f t="shared" si="49"/>
        <v/>
      </c>
      <c r="BD741" s="6">
        <f t="shared" si="50"/>
        <v>0</v>
      </c>
      <c r="BE741" s="6">
        <f t="shared" si="51"/>
        <v>0</v>
      </c>
      <c r="BF741" s="9" t="str">
        <f t="shared" si="52"/>
        <v/>
      </c>
      <c r="BG741" s="6">
        <f t="shared" si="53"/>
        <v>0</v>
      </c>
      <c r="BH741" s="6">
        <f t="shared" si="54"/>
        <v>0</v>
      </c>
      <c r="BI741" s="9" t="str">
        <f t="shared" si="55"/>
        <v/>
      </c>
      <c r="BJ741" s="6">
        <f t="shared" si="56"/>
        <v>0</v>
      </c>
      <c r="BK741" s="6">
        <f t="shared" si="57"/>
        <v>0</v>
      </c>
      <c r="BL741" s="6">
        <f t="shared" si="58"/>
        <v>0</v>
      </c>
      <c r="BM741" s="6">
        <f t="shared" si="59"/>
        <v>0</v>
      </c>
      <c r="BN741" s="6">
        <f t="shared" si="60"/>
        <v>0</v>
      </c>
      <c r="BP741" s="6">
        <f t="shared" si="61"/>
        <v>0</v>
      </c>
      <c r="BQ741" s="6" t="b">
        <f ca="1">IFERROR(__xludf.DUMMYFUNCTION("IF(AND(ISERROR(FILTER('Items by Team'!D$2:D3410,'Items by Team'!C$2:C3410 = D741,'Items by Team'!B$2:B3410 = B741)),NOT(A741=""Practice"")),TRUE,FALSE)"),FALSE)</f>
        <v>0</v>
      </c>
      <c r="BR741" s="6">
        <f t="shared" ca="1" si="62"/>
        <v>0</v>
      </c>
    </row>
    <row r="742" spans="1:70">
      <c r="A742" s="6"/>
      <c r="B742" s="6"/>
      <c r="C742" s="6"/>
      <c r="D742" s="6"/>
      <c r="E742" s="6"/>
      <c r="F742" s="6"/>
      <c r="G742" s="6"/>
      <c r="H742" s="6"/>
      <c r="I742" s="6"/>
      <c r="J742" s="6"/>
      <c r="K742" s="6"/>
      <c r="L742" s="6"/>
      <c r="M742" s="6"/>
      <c r="N742" s="6"/>
      <c r="O742" s="6"/>
      <c r="P742" s="6"/>
      <c r="R742" s="6"/>
      <c r="S742" s="6"/>
      <c r="T742" s="6"/>
      <c r="U742" s="6"/>
      <c r="V742" s="6"/>
      <c r="W742" s="6"/>
      <c r="X742" s="6"/>
      <c r="Y742" s="6"/>
      <c r="Z742" s="6"/>
      <c r="AA742" s="6"/>
      <c r="AB742" s="6"/>
      <c r="AD742" s="6"/>
      <c r="AE742" s="6"/>
      <c r="AF742" s="6"/>
      <c r="AG742" s="6"/>
      <c r="AH742" s="6"/>
      <c r="AI742" s="6"/>
      <c r="AK742" s="6"/>
      <c r="AL742" s="6"/>
      <c r="AM742" s="6"/>
      <c r="AN742" s="6"/>
      <c r="AO742" s="6"/>
      <c r="AP742" s="6"/>
      <c r="AQ742" s="6"/>
      <c r="AR742" s="6"/>
      <c r="AS742" s="15"/>
      <c r="AT742" s="6" t="str">
        <f ca="1">IFERROR(__xludf.DUMMYFUNCTION("""COMPUTED_VALUE"""),"#N/A")</f>
        <v>#N/A</v>
      </c>
      <c r="AU742" s="6" t="str">
        <f ca="1">IFERROR(__xludf.DUMMYFUNCTION("""COMPUTED_VALUE"""),"FALSE")</f>
        <v>FALSE</v>
      </c>
      <c r="AV742" s="6">
        <f t="shared" si="42"/>
        <v>0</v>
      </c>
      <c r="AW742" s="6">
        <f t="shared" si="43"/>
        <v>0</v>
      </c>
      <c r="AX742" s="6">
        <f t="shared" si="44"/>
        <v>0</v>
      </c>
      <c r="AY742" s="6">
        <f t="shared" si="45"/>
        <v>0</v>
      </c>
      <c r="AZ742" s="9" t="str">
        <f t="shared" si="46"/>
        <v/>
      </c>
      <c r="BA742" s="6">
        <f t="shared" si="47"/>
        <v>0</v>
      </c>
      <c r="BB742" s="6">
        <f t="shared" si="48"/>
        <v>0</v>
      </c>
      <c r="BC742" s="9" t="str">
        <f t="shared" si="49"/>
        <v/>
      </c>
      <c r="BD742" s="6">
        <f t="shared" si="50"/>
        <v>0</v>
      </c>
      <c r="BE742" s="6">
        <f t="shared" si="51"/>
        <v>0</v>
      </c>
      <c r="BF742" s="9" t="str">
        <f t="shared" si="52"/>
        <v/>
      </c>
      <c r="BG742" s="6">
        <f t="shared" si="53"/>
        <v>0</v>
      </c>
      <c r="BH742" s="6">
        <f t="shared" si="54"/>
        <v>0</v>
      </c>
      <c r="BI742" s="9" t="str">
        <f t="shared" si="55"/>
        <v/>
      </c>
      <c r="BJ742" s="6">
        <f t="shared" si="56"/>
        <v>0</v>
      </c>
      <c r="BK742" s="6">
        <f t="shared" si="57"/>
        <v>0</v>
      </c>
      <c r="BL742" s="6">
        <f t="shared" si="58"/>
        <v>0</v>
      </c>
      <c r="BM742" s="6">
        <f t="shared" si="59"/>
        <v>0</v>
      </c>
      <c r="BN742" s="6">
        <f t="shared" si="60"/>
        <v>0</v>
      </c>
      <c r="BP742" s="6">
        <f t="shared" si="61"/>
        <v>0</v>
      </c>
      <c r="BQ742" s="6" t="b">
        <f ca="1">IFERROR(__xludf.DUMMYFUNCTION("IF(AND(ISERROR(FILTER('Items by Team'!D$2:D3410,'Items by Team'!C$2:C3410 = D742,'Items by Team'!B$2:B3410 = B742)),NOT(A742=""Practice"")),TRUE,FALSE)"),FALSE)</f>
        <v>0</v>
      </c>
      <c r="BR742" s="6">
        <f t="shared" ca="1" si="62"/>
        <v>0</v>
      </c>
    </row>
    <row r="743" spans="1:70">
      <c r="A743" s="6"/>
      <c r="B743" s="6"/>
      <c r="C743" s="6"/>
      <c r="D743" s="6"/>
      <c r="E743" s="6"/>
      <c r="F743" s="6"/>
      <c r="G743" s="6"/>
      <c r="H743" s="6"/>
      <c r="I743" s="6"/>
      <c r="J743" s="6"/>
      <c r="K743" s="6"/>
      <c r="L743" s="6"/>
      <c r="M743" s="6"/>
      <c r="N743" s="6"/>
      <c r="O743" s="6"/>
      <c r="P743" s="6"/>
      <c r="R743" s="6"/>
      <c r="S743" s="6"/>
      <c r="T743" s="6"/>
      <c r="U743" s="6"/>
      <c r="V743" s="6"/>
      <c r="W743" s="6"/>
      <c r="X743" s="6"/>
      <c r="Y743" s="6"/>
      <c r="Z743" s="6"/>
      <c r="AA743" s="6"/>
      <c r="AB743" s="6"/>
      <c r="AD743" s="6"/>
      <c r="AE743" s="6"/>
      <c r="AF743" s="6"/>
      <c r="AG743" s="6"/>
      <c r="AH743" s="6"/>
      <c r="AI743" s="6"/>
      <c r="AK743" s="6"/>
      <c r="AL743" s="6"/>
      <c r="AM743" s="6"/>
      <c r="AN743" s="6"/>
      <c r="AO743" s="6"/>
      <c r="AP743" s="6"/>
      <c r="AQ743" s="6"/>
      <c r="AR743" s="6"/>
      <c r="AS743" s="15"/>
      <c r="AT743" s="6" t="str">
        <f ca="1">IFERROR(__xludf.DUMMYFUNCTION("""COMPUTED_VALUE"""),"#N/A")</f>
        <v>#N/A</v>
      </c>
      <c r="AU743" s="6" t="str">
        <f ca="1">IFERROR(__xludf.DUMMYFUNCTION("""COMPUTED_VALUE"""),"FALSE")</f>
        <v>FALSE</v>
      </c>
      <c r="AV743" s="6">
        <f t="shared" si="42"/>
        <v>0</v>
      </c>
      <c r="AW743" s="6">
        <f t="shared" si="43"/>
        <v>0</v>
      </c>
      <c r="AX743" s="6">
        <f t="shared" si="44"/>
        <v>0</v>
      </c>
      <c r="AY743" s="6">
        <f t="shared" si="45"/>
        <v>0</v>
      </c>
      <c r="AZ743" s="9" t="str">
        <f t="shared" si="46"/>
        <v/>
      </c>
      <c r="BA743" s="6">
        <f t="shared" si="47"/>
        <v>0</v>
      </c>
      <c r="BB743" s="6">
        <f t="shared" si="48"/>
        <v>0</v>
      </c>
      <c r="BC743" s="9" t="str">
        <f t="shared" si="49"/>
        <v/>
      </c>
      <c r="BD743" s="6">
        <f t="shared" si="50"/>
        <v>0</v>
      </c>
      <c r="BE743" s="6">
        <f t="shared" si="51"/>
        <v>0</v>
      </c>
      <c r="BF743" s="9" t="str">
        <f t="shared" si="52"/>
        <v/>
      </c>
      <c r="BG743" s="6">
        <f t="shared" si="53"/>
        <v>0</v>
      </c>
      <c r="BH743" s="6">
        <f t="shared" si="54"/>
        <v>0</v>
      </c>
      <c r="BI743" s="9" t="str">
        <f t="shared" si="55"/>
        <v/>
      </c>
      <c r="BJ743" s="6">
        <f t="shared" si="56"/>
        <v>0</v>
      </c>
      <c r="BK743" s="6">
        <f t="shared" si="57"/>
        <v>0</v>
      </c>
      <c r="BL743" s="6">
        <f t="shared" si="58"/>
        <v>0</v>
      </c>
      <c r="BM743" s="6">
        <f t="shared" si="59"/>
        <v>0</v>
      </c>
      <c r="BN743" s="6">
        <f t="shared" si="60"/>
        <v>0</v>
      </c>
      <c r="BP743" s="6">
        <f t="shared" si="61"/>
        <v>0</v>
      </c>
      <c r="BQ743" s="6" t="b">
        <f ca="1">IFERROR(__xludf.DUMMYFUNCTION("IF(AND(ISERROR(FILTER('Items by Team'!D$2:D3410,'Items by Team'!C$2:C3410 = D743,'Items by Team'!B$2:B3410 = B743)),NOT(A743=""Practice"")),TRUE,FALSE)"),FALSE)</f>
        <v>0</v>
      </c>
      <c r="BR743" s="6">
        <f t="shared" ca="1" si="62"/>
        <v>0</v>
      </c>
    </row>
    <row r="744" spans="1:70">
      <c r="A744" s="6"/>
      <c r="B744" s="6"/>
      <c r="C744" s="6"/>
      <c r="D744" s="6"/>
      <c r="E744" s="6"/>
      <c r="F744" s="6"/>
      <c r="G744" s="6"/>
      <c r="H744" s="6"/>
      <c r="I744" s="6"/>
      <c r="J744" s="6"/>
      <c r="K744" s="6"/>
      <c r="L744" s="6"/>
      <c r="M744" s="6"/>
      <c r="N744" s="6"/>
      <c r="O744" s="6"/>
      <c r="P744" s="6"/>
      <c r="R744" s="6"/>
      <c r="S744" s="6"/>
      <c r="T744" s="6"/>
      <c r="U744" s="6"/>
      <c r="V744" s="6"/>
      <c r="W744" s="6"/>
      <c r="X744" s="6"/>
      <c r="Y744" s="6"/>
      <c r="Z744" s="6"/>
      <c r="AA744" s="6"/>
      <c r="AB744" s="6"/>
      <c r="AD744" s="6"/>
      <c r="AE744" s="6"/>
      <c r="AF744" s="6"/>
      <c r="AG744" s="6"/>
      <c r="AH744" s="6"/>
      <c r="AI744" s="6"/>
      <c r="AK744" s="6"/>
      <c r="AL744" s="6"/>
      <c r="AM744" s="6"/>
      <c r="AN744" s="6"/>
      <c r="AO744" s="6"/>
      <c r="AP744" s="6"/>
      <c r="AQ744" s="6"/>
      <c r="AR744" s="6"/>
      <c r="AS744" s="15"/>
      <c r="AT744" s="6" t="str">
        <f ca="1">IFERROR(__xludf.DUMMYFUNCTION("""COMPUTED_VALUE"""),"#N/A")</f>
        <v>#N/A</v>
      </c>
      <c r="AU744" s="6" t="str">
        <f ca="1">IFERROR(__xludf.DUMMYFUNCTION("""COMPUTED_VALUE"""),"FALSE")</f>
        <v>FALSE</v>
      </c>
      <c r="AV744" s="6">
        <f t="shared" si="42"/>
        <v>0</v>
      </c>
      <c r="AW744" s="6">
        <f t="shared" si="43"/>
        <v>0</v>
      </c>
      <c r="AX744" s="6">
        <f t="shared" si="44"/>
        <v>0</v>
      </c>
      <c r="AY744" s="6">
        <f t="shared" si="45"/>
        <v>0</v>
      </c>
      <c r="AZ744" s="9" t="str">
        <f t="shared" si="46"/>
        <v/>
      </c>
      <c r="BA744" s="6">
        <f t="shared" si="47"/>
        <v>0</v>
      </c>
      <c r="BB744" s="6">
        <f t="shared" si="48"/>
        <v>0</v>
      </c>
      <c r="BC744" s="9" t="str">
        <f t="shared" si="49"/>
        <v/>
      </c>
      <c r="BD744" s="6">
        <f t="shared" si="50"/>
        <v>0</v>
      </c>
      <c r="BE744" s="6">
        <f t="shared" si="51"/>
        <v>0</v>
      </c>
      <c r="BF744" s="9" t="str">
        <f t="shared" si="52"/>
        <v/>
      </c>
      <c r="BG744" s="6">
        <f t="shared" si="53"/>
        <v>0</v>
      </c>
      <c r="BH744" s="6">
        <f t="shared" si="54"/>
        <v>0</v>
      </c>
      <c r="BI744" s="9" t="str">
        <f t="shared" si="55"/>
        <v/>
      </c>
      <c r="BJ744" s="6">
        <f t="shared" si="56"/>
        <v>0</v>
      </c>
      <c r="BK744" s="6">
        <f t="shared" si="57"/>
        <v>0</v>
      </c>
      <c r="BL744" s="6">
        <f t="shared" si="58"/>
        <v>0</v>
      </c>
      <c r="BM744" s="6">
        <f t="shared" si="59"/>
        <v>0</v>
      </c>
      <c r="BN744" s="6">
        <f t="shared" si="60"/>
        <v>0</v>
      </c>
      <c r="BP744" s="6">
        <f t="shared" si="61"/>
        <v>0</v>
      </c>
      <c r="BQ744" s="6" t="b">
        <f ca="1">IFERROR(__xludf.DUMMYFUNCTION("IF(AND(ISERROR(FILTER('Items by Team'!D$2:D3410,'Items by Team'!C$2:C3410 = D744,'Items by Team'!B$2:B3410 = B744)),NOT(A744=""Practice"")),TRUE,FALSE)"),FALSE)</f>
        <v>0</v>
      </c>
      <c r="BR744" s="6">
        <f t="shared" ca="1" si="62"/>
        <v>0</v>
      </c>
    </row>
    <row r="745" spans="1:70">
      <c r="A745" s="6"/>
      <c r="B745" s="6"/>
      <c r="C745" s="6"/>
      <c r="D745" s="6"/>
      <c r="E745" s="6"/>
      <c r="F745" s="6"/>
      <c r="G745" s="6"/>
      <c r="H745" s="6"/>
      <c r="I745" s="6"/>
      <c r="J745" s="6"/>
      <c r="K745" s="6"/>
      <c r="L745" s="6"/>
      <c r="M745" s="6"/>
      <c r="N745" s="6"/>
      <c r="O745" s="6"/>
      <c r="P745" s="6"/>
      <c r="R745" s="6"/>
      <c r="S745" s="6"/>
      <c r="T745" s="6"/>
      <c r="U745" s="6"/>
      <c r="V745" s="6"/>
      <c r="W745" s="6"/>
      <c r="X745" s="6"/>
      <c r="Y745" s="6"/>
      <c r="Z745" s="6"/>
      <c r="AA745" s="6"/>
      <c r="AB745" s="6"/>
      <c r="AD745" s="6"/>
      <c r="AE745" s="6"/>
      <c r="AF745" s="6"/>
      <c r="AG745" s="6"/>
      <c r="AH745" s="6"/>
      <c r="AI745" s="6"/>
      <c r="AK745" s="6"/>
      <c r="AL745" s="6"/>
      <c r="AM745" s="6"/>
      <c r="AN745" s="6"/>
      <c r="AO745" s="6"/>
      <c r="AP745" s="6"/>
      <c r="AQ745" s="6"/>
      <c r="AR745" s="6"/>
      <c r="AS745" s="15"/>
      <c r="AT745" s="6" t="str">
        <f ca="1">IFERROR(__xludf.DUMMYFUNCTION("""COMPUTED_VALUE"""),"#N/A")</f>
        <v>#N/A</v>
      </c>
      <c r="AU745" s="6" t="str">
        <f ca="1">IFERROR(__xludf.DUMMYFUNCTION("""COMPUTED_VALUE"""),"FALSE")</f>
        <v>FALSE</v>
      </c>
      <c r="AV745" s="6">
        <f t="shared" si="42"/>
        <v>0</v>
      </c>
      <c r="AW745" s="6">
        <f t="shared" si="43"/>
        <v>0</v>
      </c>
      <c r="AX745" s="6">
        <f t="shared" si="44"/>
        <v>0</v>
      </c>
      <c r="AY745" s="6">
        <f t="shared" si="45"/>
        <v>0</v>
      </c>
      <c r="AZ745" s="9" t="str">
        <f t="shared" si="46"/>
        <v/>
      </c>
      <c r="BA745" s="6">
        <f t="shared" si="47"/>
        <v>0</v>
      </c>
      <c r="BB745" s="6">
        <f t="shared" si="48"/>
        <v>0</v>
      </c>
      <c r="BC745" s="9" t="str">
        <f t="shared" si="49"/>
        <v/>
      </c>
      <c r="BD745" s="6">
        <f t="shared" si="50"/>
        <v>0</v>
      </c>
      <c r="BE745" s="6">
        <f t="shared" si="51"/>
        <v>0</v>
      </c>
      <c r="BF745" s="9" t="str">
        <f t="shared" si="52"/>
        <v/>
      </c>
      <c r="BG745" s="6">
        <f t="shared" si="53"/>
        <v>0</v>
      </c>
      <c r="BH745" s="6">
        <f t="shared" si="54"/>
        <v>0</v>
      </c>
      <c r="BI745" s="9" t="str">
        <f t="shared" si="55"/>
        <v/>
      </c>
      <c r="BJ745" s="6">
        <f t="shared" si="56"/>
        <v>0</v>
      </c>
      <c r="BK745" s="6">
        <f t="shared" si="57"/>
        <v>0</v>
      </c>
      <c r="BL745" s="6">
        <f t="shared" si="58"/>
        <v>0</v>
      </c>
      <c r="BM745" s="6">
        <f t="shared" si="59"/>
        <v>0</v>
      </c>
      <c r="BN745" s="6">
        <f t="shared" si="60"/>
        <v>0</v>
      </c>
      <c r="BP745" s="6">
        <f t="shared" si="61"/>
        <v>0</v>
      </c>
      <c r="BQ745" s="6" t="b">
        <f ca="1">IFERROR(__xludf.DUMMYFUNCTION("IF(AND(ISERROR(FILTER('Items by Team'!D$2:D3410,'Items by Team'!C$2:C3410 = D745,'Items by Team'!B$2:B3410 = B745)),NOT(A745=""Practice"")),TRUE,FALSE)"),FALSE)</f>
        <v>0</v>
      </c>
      <c r="BR745" s="6">
        <f t="shared" ca="1" si="62"/>
        <v>0</v>
      </c>
    </row>
    <row r="746" spans="1:70">
      <c r="A746" s="6"/>
      <c r="B746" s="6"/>
      <c r="C746" s="6"/>
      <c r="D746" s="6"/>
      <c r="E746" s="6"/>
      <c r="F746" s="6"/>
      <c r="G746" s="6"/>
      <c r="H746" s="6"/>
      <c r="I746" s="6"/>
      <c r="J746" s="6"/>
      <c r="K746" s="6"/>
      <c r="L746" s="6"/>
      <c r="M746" s="6"/>
      <c r="N746" s="6"/>
      <c r="O746" s="6"/>
      <c r="P746" s="6"/>
      <c r="R746" s="6"/>
      <c r="S746" s="6"/>
      <c r="T746" s="6"/>
      <c r="U746" s="6"/>
      <c r="V746" s="6"/>
      <c r="W746" s="6"/>
      <c r="X746" s="6"/>
      <c r="Y746" s="6"/>
      <c r="Z746" s="6"/>
      <c r="AA746" s="6"/>
      <c r="AB746" s="6"/>
      <c r="AD746" s="6"/>
      <c r="AE746" s="6"/>
      <c r="AF746" s="6"/>
      <c r="AG746" s="6"/>
      <c r="AH746" s="6"/>
      <c r="AI746" s="6"/>
      <c r="AK746" s="6"/>
      <c r="AL746" s="6"/>
      <c r="AM746" s="6"/>
      <c r="AN746" s="6"/>
      <c r="AO746" s="6"/>
      <c r="AP746" s="6"/>
      <c r="AQ746" s="6"/>
      <c r="AR746" s="6"/>
      <c r="AS746" s="15"/>
      <c r="AT746" s="6" t="str">
        <f ca="1">IFERROR(__xludf.DUMMYFUNCTION("""COMPUTED_VALUE"""),"#N/A")</f>
        <v>#N/A</v>
      </c>
      <c r="AU746" s="6" t="str">
        <f ca="1">IFERROR(__xludf.DUMMYFUNCTION("""COMPUTED_VALUE"""),"FALSE")</f>
        <v>FALSE</v>
      </c>
      <c r="AV746" s="6">
        <f t="shared" si="42"/>
        <v>0</v>
      </c>
      <c r="AW746" s="6">
        <f t="shared" si="43"/>
        <v>0</v>
      </c>
      <c r="AX746" s="6">
        <f t="shared" si="44"/>
        <v>0</v>
      </c>
      <c r="AY746" s="6">
        <f t="shared" si="45"/>
        <v>0</v>
      </c>
      <c r="AZ746" s="9" t="str">
        <f t="shared" si="46"/>
        <v/>
      </c>
      <c r="BA746" s="6">
        <f t="shared" si="47"/>
        <v>0</v>
      </c>
      <c r="BB746" s="6">
        <f t="shared" si="48"/>
        <v>0</v>
      </c>
      <c r="BC746" s="9" t="str">
        <f t="shared" si="49"/>
        <v/>
      </c>
      <c r="BD746" s="6">
        <f t="shared" si="50"/>
        <v>0</v>
      </c>
      <c r="BE746" s="6">
        <f t="shared" si="51"/>
        <v>0</v>
      </c>
      <c r="BF746" s="9" t="str">
        <f t="shared" si="52"/>
        <v/>
      </c>
      <c r="BG746" s="6">
        <f t="shared" si="53"/>
        <v>0</v>
      </c>
      <c r="BH746" s="6">
        <f t="shared" si="54"/>
        <v>0</v>
      </c>
      <c r="BI746" s="9" t="str">
        <f t="shared" si="55"/>
        <v/>
      </c>
      <c r="BJ746" s="6">
        <f t="shared" si="56"/>
        <v>0</v>
      </c>
      <c r="BK746" s="6">
        <f t="shared" si="57"/>
        <v>0</v>
      </c>
      <c r="BL746" s="6">
        <f t="shared" si="58"/>
        <v>0</v>
      </c>
      <c r="BM746" s="6">
        <f t="shared" si="59"/>
        <v>0</v>
      </c>
      <c r="BN746" s="6">
        <f t="shared" si="60"/>
        <v>0</v>
      </c>
      <c r="BP746" s="6">
        <f t="shared" si="61"/>
        <v>0</v>
      </c>
      <c r="BQ746" s="6" t="b">
        <f ca="1">IFERROR(__xludf.DUMMYFUNCTION("IF(AND(ISERROR(FILTER('Items by Team'!D$2:D3410,'Items by Team'!C$2:C3410 = D746,'Items by Team'!B$2:B3410 = B746)),NOT(A746=""Practice"")),TRUE,FALSE)"),FALSE)</f>
        <v>0</v>
      </c>
      <c r="BR746" s="6">
        <f t="shared" ca="1" si="62"/>
        <v>0</v>
      </c>
    </row>
    <row r="747" spans="1:70">
      <c r="A747" s="6"/>
      <c r="B747" s="6"/>
      <c r="C747" s="6"/>
      <c r="D747" s="6"/>
      <c r="E747" s="6"/>
      <c r="F747" s="6"/>
      <c r="G747" s="6"/>
      <c r="H747" s="6"/>
      <c r="I747" s="6"/>
      <c r="J747" s="6"/>
      <c r="K747" s="6"/>
      <c r="L747" s="6"/>
      <c r="M747" s="6"/>
      <c r="N747" s="6"/>
      <c r="O747" s="6"/>
      <c r="P747" s="6"/>
      <c r="R747" s="6"/>
      <c r="S747" s="6"/>
      <c r="T747" s="6"/>
      <c r="U747" s="6"/>
      <c r="V747" s="6"/>
      <c r="W747" s="6"/>
      <c r="X747" s="6"/>
      <c r="Y747" s="6"/>
      <c r="Z747" s="6"/>
      <c r="AA747" s="6"/>
      <c r="AB747" s="6"/>
      <c r="AD747" s="6"/>
      <c r="AE747" s="6"/>
      <c r="AF747" s="6"/>
      <c r="AG747" s="6"/>
      <c r="AH747" s="6"/>
      <c r="AI747" s="6"/>
      <c r="AK747" s="6"/>
      <c r="AL747" s="6"/>
      <c r="AM747" s="6"/>
      <c r="AN747" s="6"/>
      <c r="AO747" s="6"/>
      <c r="AP747" s="6"/>
      <c r="AQ747" s="6"/>
      <c r="AR747" s="6"/>
      <c r="AS747" s="15"/>
      <c r="AT747" s="6" t="str">
        <f ca="1">IFERROR(__xludf.DUMMYFUNCTION("""COMPUTED_VALUE"""),"#N/A")</f>
        <v>#N/A</v>
      </c>
      <c r="AU747" s="6" t="str">
        <f ca="1">IFERROR(__xludf.DUMMYFUNCTION("""COMPUTED_VALUE"""),"FALSE")</f>
        <v>FALSE</v>
      </c>
      <c r="AV747" s="6">
        <f t="shared" si="42"/>
        <v>0</v>
      </c>
      <c r="AW747" s="6">
        <f t="shared" si="43"/>
        <v>0</v>
      </c>
      <c r="AX747" s="6">
        <f t="shared" si="44"/>
        <v>0</v>
      </c>
      <c r="AY747" s="6">
        <f t="shared" si="45"/>
        <v>0</v>
      </c>
      <c r="AZ747" s="9" t="str">
        <f t="shared" si="46"/>
        <v/>
      </c>
      <c r="BA747" s="6">
        <f t="shared" si="47"/>
        <v>0</v>
      </c>
      <c r="BB747" s="6">
        <f t="shared" si="48"/>
        <v>0</v>
      </c>
      <c r="BC747" s="9" t="str">
        <f t="shared" si="49"/>
        <v/>
      </c>
      <c r="BD747" s="6">
        <f t="shared" si="50"/>
        <v>0</v>
      </c>
      <c r="BE747" s="6">
        <f t="shared" si="51"/>
        <v>0</v>
      </c>
      <c r="BF747" s="9" t="str">
        <f t="shared" si="52"/>
        <v/>
      </c>
      <c r="BG747" s="6">
        <f t="shared" si="53"/>
        <v>0</v>
      </c>
      <c r="BH747" s="6">
        <f t="shared" si="54"/>
        <v>0</v>
      </c>
      <c r="BI747" s="9" t="str">
        <f t="shared" si="55"/>
        <v/>
      </c>
      <c r="BJ747" s="6">
        <f t="shared" si="56"/>
        <v>0</v>
      </c>
      <c r="BK747" s="6">
        <f t="shared" si="57"/>
        <v>0</v>
      </c>
      <c r="BL747" s="6">
        <f t="shared" si="58"/>
        <v>0</v>
      </c>
      <c r="BM747" s="6">
        <f t="shared" si="59"/>
        <v>0</v>
      </c>
      <c r="BN747" s="6">
        <f t="shared" si="60"/>
        <v>0</v>
      </c>
      <c r="BP747" s="6">
        <f t="shared" si="61"/>
        <v>0</v>
      </c>
      <c r="BQ747" s="6" t="b">
        <f ca="1">IFERROR(__xludf.DUMMYFUNCTION("IF(AND(ISERROR(FILTER('Items by Team'!D$2:D3410,'Items by Team'!C$2:C3410 = D747,'Items by Team'!B$2:B3410 = B747)),NOT(A747=""Practice"")),TRUE,FALSE)"),FALSE)</f>
        <v>0</v>
      </c>
      <c r="BR747" s="6">
        <f t="shared" ca="1" si="62"/>
        <v>0</v>
      </c>
    </row>
    <row r="748" spans="1:70">
      <c r="A748" s="6"/>
      <c r="B748" s="6"/>
      <c r="C748" s="6"/>
      <c r="D748" s="6"/>
      <c r="E748" s="6"/>
      <c r="F748" s="6"/>
      <c r="G748" s="6"/>
      <c r="H748" s="6"/>
      <c r="I748" s="6"/>
      <c r="J748" s="6"/>
      <c r="K748" s="6"/>
      <c r="L748" s="6"/>
      <c r="M748" s="6"/>
      <c r="N748" s="6"/>
      <c r="O748" s="6"/>
      <c r="P748" s="6"/>
      <c r="R748" s="6"/>
      <c r="S748" s="6"/>
      <c r="T748" s="6"/>
      <c r="U748" s="6"/>
      <c r="V748" s="6"/>
      <c r="W748" s="6"/>
      <c r="X748" s="6"/>
      <c r="Y748" s="6"/>
      <c r="Z748" s="6"/>
      <c r="AA748" s="6"/>
      <c r="AB748" s="6"/>
      <c r="AD748" s="6"/>
      <c r="AE748" s="6"/>
      <c r="AF748" s="6"/>
      <c r="AG748" s="6"/>
      <c r="AH748" s="6"/>
      <c r="AI748" s="6"/>
      <c r="AK748" s="6"/>
      <c r="AL748" s="6"/>
      <c r="AM748" s="6"/>
      <c r="AN748" s="6"/>
      <c r="AO748" s="6"/>
      <c r="AP748" s="6"/>
      <c r="AQ748" s="6"/>
      <c r="AR748" s="6"/>
      <c r="AS748" s="15"/>
      <c r="AT748" s="6" t="str">
        <f ca="1">IFERROR(__xludf.DUMMYFUNCTION("""COMPUTED_VALUE"""),"#N/A")</f>
        <v>#N/A</v>
      </c>
      <c r="AU748" s="6" t="str">
        <f ca="1">IFERROR(__xludf.DUMMYFUNCTION("""COMPUTED_VALUE"""),"FALSE")</f>
        <v>FALSE</v>
      </c>
      <c r="AV748" s="6">
        <f t="shared" si="42"/>
        <v>0</v>
      </c>
      <c r="AW748" s="6">
        <f t="shared" si="43"/>
        <v>0</v>
      </c>
      <c r="AX748" s="6">
        <f t="shared" si="44"/>
        <v>0</v>
      </c>
      <c r="AY748" s="6">
        <f t="shared" si="45"/>
        <v>0</v>
      </c>
      <c r="AZ748" s="9" t="str">
        <f t="shared" si="46"/>
        <v/>
      </c>
      <c r="BA748" s="6">
        <f t="shared" si="47"/>
        <v>0</v>
      </c>
      <c r="BB748" s="6">
        <f t="shared" si="48"/>
        <v>0</v>
      </c>
      <c r="BC748" s="9" t="str">
        <f t="shared" si="49"/>
        <v/>
      </c>
      <c r="BD748" s="6">
        <f t="shared" si="50"/>
        <v>0</v>
      </c>
      <c r="BE748" s="6">
        <f t="shared" si="51"/>
        <v>0</v>
      </c>
      <c r="BF748" s="9" t="str">
        <f t="shared" si="52"/>
        <v/>
      </c>
      <c r="BG748" s="6">
        <f t="shared" si="53"/>
        <v>0</v>
      </c>
      <c r="BH748" s="6">
        <f t="shared" si="54"/>
        <v>0</v>
      </c>
      <c r="BI748" s="9" t="str">
        <f t="shared" si="55"/>
        <v/>
      </c>
      <c r="BJ748" s="6">
        <f t="shared" si="56"/>
        <v>0</v>
      </c>
      <c r="BK748" s="6">
        <f t="shared" si="57"/>
        <v>0</v>
      </c>
      <c r="BL748" s="6">
        <f t="shared" si="58"/>
        <v>0</v>
      </c>
      <c r="BM748" s="6">
        <f t="shared" si="59"/>
        <v>0</v>
      </c>
      <c r="BN748" s="6">
        <f t="shared" si="60"/>
        <v>0</v>
      </c>
      <c r="BP748" s="6">
        <f t="shared" si="61"/>
        <v>0</v>
      </c>
      <c r="BQ748" s="6" t="b">
        <f ca="1">IFERROR(__xludf.DUMMYFUNCTION("IF(AND(ISERROR(FILTER('Items by Team'!D$2:D3410,'Items by Team'!C$2:C3410 = D748,'Items by Team'!B$2:B3410 = B748)),NOT(A748=""Practice"")),TRUE,FALSE)"),FALSE)</f>
        <v>0</v>
      </c>
      <c r="BR748" s="6">
        <f t="shared" ca="1" si="62"/>
        <v>0</v>
      </c>
    </row>
    <row r="749" spans="1:70">
      <c r="A749" s="6"/>
      <c r="B749" s="6"/>
      <c r="C749" s="6"/>
      <c r="D749" s="6"/>
      <c r="E749" s="6"/>
      <c r="F749" s="6"/>
      <c r="G749" s="6"/>
      <c r="H749" s="6"/>
      <c r="I749" s="6"/>
      <c r="J749" s="6"/>
      <c r="K749" s="6"/>
      <c r="L749" s="6"/>
      <c r="M749" s="6"/>
      <c r="N749" s="6"/>
      <c r="O749" s="6"/>
      <c r="P749" s="6"/>
      <c r="R749" s="6"/>
      <c r="S749" s="6"/>
      <c r="T749" s="6"/>
      <c r="U749" s="6"/>
      <c r="V749" s="6"/>
      <c r="W749" s="6"/>
      <c r="X749" s="6"/>
      <c r="Y749" s="6"/>
      <c r="Z749" s="6"/>
      <c r="AA749" s="6"/>
      <c r="AB749" s="6"/>
      <c r="AD749" s="6"/>
      <c r="AE749" s="6"/>
      <c r="AF749" s="6"/>
      <c r="AG749" s="6"/>
      <c r="AH749" s="6"/>
      <c r="AI749" s="6"/>
      <c r="AK749" s="6"/>
      <c r="AL749" s="6"/>
      <c r="AM749" s="6"/>
      <c r="AN749" s="6"/>
      <c r="AO749" s="6"/>
      <c r="AP749" s="6"/>
      <c r="AQ749" s="6"/>
      <c r="AR749" s="6"/>
      <c r="AS749" s="15"/>
      <c r="AT749" s="6" t="str">
        <f ca="1">IFERROR(__xludf.DUMMYFUNCTION("""COMPUTED_VALUE"""),"#N/A")</f>
        <v>#N/A</v>
      </c>
      <c r="AU749" s="6" t="str">
        <f ca="1">IFERROR(__xludf.DUMMYFUNCTION("""COMPUTED_VALUE"""),"FALSE")</f>
        <v>FALSE</v>
      </c>
      <c r="AV749" s="6">
        <f t="shared" si="42"/>
        <v>0</v>
      </c>
      <c r="AW749" s="6">
        <f t="shared" si="43"/>
        <v>0</v>
      </c>
      <c r="AX749" s="6">
        <f t="shared" si="44"/>
        <v>0</v>
      </c>
      <c r="AY749" s="6">
        <f t="shared" si="45"/>
        <v>0</v>
      </c>
      <c r="AZ749" s="9" t="str">
        <f t="shared" si="46"/>
        <v/>
      </c>
      <c r="BA749" s="6">
        <f t="shared" si="47"/>
        <v>0</v>
      </c>
      <c r="BB749" s="6">
        <f t="shared" si="48"/>
        <v>0</v>
      </c>
      <c r="BC749" s="9" t="str">
        <f t="shared" si="49"/>
        <v/>
      </c>
      <c r="BD749" s="6">
        <f t="shared" si="50"/>
        <v>0</v>
      </c>
      <c r="BE749" s="6">
        <f t="shared" si="51"/>
        <v>0</v>
      </c>
      <c r="BF749" s="9" t="str">
        <f t="shared" si="52"/>
        <v/>
      </c>
      <c r="BG749" s="6">
        <f t="shared" si="53"/>
        <v>0</v>
      </c>
      <c r="BH749" s="6">
        <f t="shared" si="54"/>
        <v>0</v>
      </c>
      <c r="BI749" s="9" t="str">
        <f t="shared" si="55"/>
        <v/>
      </c>
      <c r="BJ749" s="6">
        <f t="shared" si="56"/>
        <v>0</v>
      </c>
      <c r="BK749" s="6">
        <f t="shared" si="57"/>
        <v>0</v>
      </c>
      <c r="BL749" s="6">
        <f t="shared" si="58"/>
        <v>0</v>
      </c>
      <c r="BM749" s="6">
        <f t="shared" si="59"/>
        <v>0</v>
      </c>
      <c r="BN749" s="6">
        <f t="shared" si="60"/>
        <v>0</v>
      </c>
      <c r="BP749" s="6">
        <f t="shared" si="61"/>
        <v>0</v>
      </c>
      <c r="BQ749" s="6" t="b">
        <f ca="1">IFERROR(__xludf.DUMMYFUNCTION("IF(AND(ISERROR(FILTER('Items by Team'!D$2:D3410,'Items by Team'!C$2:C3410 = D749,'Items by Team'!B$2:B3410 = B749)),NOT(A749=""Practice"")),TRUE,FALSE)"),FALSE)</f>
        <v>0</v>
      </c>
      <c r="BR749" s="6">
        <f t="shared" ca="1" si="62"/>
        <v>0</v>
      </c>
    </row>
    <row r="750" spans="1:70">
      <c r="A750" s="6"/>
      <c r="B750" s="6"/>
      <c r="C750" s="6"/>
      <c r="D750" s="6"/>
      <c r="E750" s="6"/>
      <c r="F750" s="6"/>
      <c r="G750" s="6"/>
      <c r="H750" s="6"/>
      <c r="I750" s="6"/>
      <c r="J750" s="6"/>
      <c r="K750" s="6"/>
      <c r="L750" s="6"/>
      <c r="M750" s="6"/>
      <c r="N750" s="6"/>
      <c r="O750" s="6"/>
      <c r="P750" s="6"/>
      <c r="R750" s="6"/>
      <c r="S750" s="6"/>
      <c r="T750" s="6"/>
      <c r="U750" s="6"/>
      <c r="V750" s="6"/>
      <c r="W750" s="6"/>
      <c r="X750" s="6"/>
      <c r="Y750" s="6"/>
      <c r="Z750" s="6"/>
      <c r="AA750" s="6"/>
      <c r="AB750" s="6"/>
      <c r="AD750" s="6"/>
      <c r="AE750" s="6"/>
      <c r="AF750" s="6"/>
      <c r="AG750" s="6"/>
      <c r="AH750" s="6"/>
      <c r="AI750" s="6"/>
      <c r="AK750" s="6"/>
      <c r="AL750" s="6"/>
      <c r="AM750" s="6"/>
      <c r="AN750" s="6"/>
      <c r="AO750" s="6"/>
      <c r="AP750" s="6"/>
      <c r="AQ750" s="6"/>
      <c r="AR750" s="6"/>
      <c r="AS750" s="15"/>
      <c r="AT750" s="6" t="str">
        <f ca="1">IFERROR(__xludf.DUMMYFUNCTION("""COMPUTED_VALUE"""),"#N/A")</f>
        <v>#N/A</v>
      </c>
      <c r="AU750" s="6" t="str">
        <f ca="1">IFERROR(__xludf.DUMMYFUNCTION("""COMPUTED_VALUE"""),"FALSE")</f>
        <v>FALSE</v>
      </c>
      <c r="AV750" s="6">
        <f t="shared" si="42"/>
        <v>0</v>
      </c>
      <c r="AW750" s="6">
        <f t="shared" si="43"/>
        <v>0</v>
      </c>
      <c r="AX750" s="6">
        <f t="shared" si="44"/>
        <v>0</v>
      </c>
      <c r="AY750" s="6">
        <f t="shared" si="45"/>
        <v>0</v>
      </c>
      <c r="AZ750" s="9" t="str">
        <f t="shared" si="46"/>
        <v/>
      </c>
      <c r="BA750" s="6">
        <f t="shared" si="47"/>
        <v>0</v>
      </c>
      <c r="BB750" s="6">
        <f t="shared" si="48"/>
        <v>0</v>
      </c>
      <c r="BC750" s="9" t="str">
        <f t="shared" si="49"/>
        <v/>
      </c>
      <c r="BD750" s="6">
        <f t="shared" si="50"/>
        <v>0</v>
      </c>
      <c r="BE750" s="6">
        <f t="shared" si="51"/>
        <v>0</v>
      </c>
      <c r="BF750" s="9" t="str">
        <f t="shared" si="52"/>
        <v/>
      </c>
      <c r="BG750" s="6">
        <f t="shared" si="53"/>
        <v>0</v>
      </c>
      <c r="BH750" s="6">
        <f t="shared" si="54"/>
        <v>0</v>
      </c>
      <c r="BI750" s="9" t="str">
        <f t="shared" si="55"/>
        <v/>
      </c>
      <c r="BJ750" s="6">
        <f t="shared" si="56"/>
        <v>0</v>
      </c>
      <c r="BK750" s="6">
        <f t="shared" si="57"/>
        <v>0</v>
      </c>
      <c r="BL750" s="6">
        <f t="shared" si="58"/>
        <v>0</v>
      </c>
      <c r="BM750" s="6">
        <f t="shared" si="59"/>
        <v>0</v>
      </c>
      <c r="BN750" s="6">
        <f t="shared" si="60"/>
        <v>0</v>
      </c>
      <c r="BP750" s="6">
        <f t="shared" si="61"/>
        <v>0</v>
      </c>
      <c r="BQ750" s="6" t="b">
        <f ca="1">IFERROR(__xludf.DUMMYFUNCTION("IF(AND(ISERROR(FILTER('Items by Team'!D$2:D3410,'Items by Team'!C$2:C3410 = D750,'Items by Team'!B$2:B3410 = B750)),NOT(A750=""Practice"")),TRUE,FALSE)"),FALSE)</f>
        <v>0</v>
      </c>
      <c r="BR750" s="6">
        <f t="shared" ca="1" si="62"/>
        <v>0</v>
      </c>
    </row>
    <row r="751" spans="1:70">
      <c r="A751" s="6"/>
      <c r="B751" s="6"/>
      <c r="C751" s="6"/>
      <c r="D751" s="6"/>
      <c r="E751" s="6"/>
      <c r="F751" s="6"/>
      <c r="G751" s="6"/>
      <c r="H751" s="6"/>
      <c r="I751" s="6"/>
      <c r="J751" s="6"/>
      <c r="K751" s="6"/>
      <c r="L751" s="6"/>
      <c r="M751" s="6"/>
      <c r="N751" s="6"/>
      <c r="O751" s="6"/>
      <c r="P751" s="6"/>
      <c r="R751" s="6"/>
      <c r="S751" s="6"/>
      <c r="T751" s="6"/>
      <c r="U751" s="6"/>
      <c r="V751" s="6"/>
      <c r="W751" s="6"/>
      <c r="X751" s="6"/>
      <c r="Y751" s="6"/>
      <c r="Z751" s="6"/>
      <c r="AA751" s="6"/>
      <c r="AB751" s="6"/>
      <c r="AD751" s="6"/>
      <c r="AE751" s="6"/>
      <c r="AF751" s="6"/>
      <c r="AG751" s="6"/>
      <c r="AH751" s="6"/>
      <c r="AI751" s="6"/>
      <c r="AK751" s="6"/>
      <c r="AL751" s="6"/>
      <c r="AM751" s="6"/>
      <c r="AN751" s="6"/>
      <c r="AO751" s="6"/>
      <c r="AP751" s="6"/>
      <c r="AQ751" s="6"/>
      <c r="AR751" s="6"/>
      <c r="AS751" s="15"/>
      <c r="AT751" s="6" t="str">
        <f ca="1">IFERROR(__xludf.DUMMYFUNCTION("""COMPUTED_VALUE"""),"#N/A")</f>
        <v>#N/A</v>
      </c>
      <c r="AU751" s="6" t="str">
        <f ca="1">IFERROR(__xludf.DUMMYFUNCTION("""COMPUTED_VALUE"""),"FALSE")</f>
        <v>FALSE</v>
      </c>
      <c r="AV751" s="6">
        <f t="shared" si="42"/>
        <v>0</v>
      </c>
      <c r="AW751" s="6">
        <f t="shared" si="43"/>
        <v>0</v>
      </c>
      <c r="AX751" s="6">
        <f t="shared" si="44"/>
        <v>0</v>
      </c>
      <c r="AY751" s="6">
        <f t="shared" si="45"/>
        <v>0</v>
      </c>
      <c r="AZ751" s="9" t="str">
        <f t="shared" si="46"/>
        <v/>
      </c>
      <c r="BA751" s="6">
        <f t="shared" si="47"/>
        <v>0</v>
      </c>
      <c r="BB751" s="6">
        <f t="shared" si="48"/>
        <v>0</v>
      </c>
      <c r="BC751" s="9" t="str">
        <f t="shared" si="49"/>
        <v/>
      </c>
      <c r="BD751" s="6">
        <f t="shared" si="50"/>
        <v>0</v>
      </c>
      <c r="BE751" s="6">
        <f t="shared" si="51"/>
        <v>0</v>
      </c>
      <c r="BF751" s="9" t="str">
        <f t="shared" si="52"/>
        <v/>
      </c>
      <c r="BG751" s="6">
        <f t="shared" si="53"/>
        <v>0</v>
      </c>
      <c r="BH751" s="6">
        <f t="shared" si="54"/>
        <v>0</v>
      </c>
      <c r="BI751" s="9" t="str">
        <f t="shared" si="55"/>
        <v/>
      </c>
      <c r="BJ751" s="6">
        <f t="shared" si="56"/>
        <v>0</v>
      </c>
      <c r="BK751" s="6">
        <f t="shared" si="57"/>
        <v>0</v>
      </c>
      <c r="BL751" s="6">
        <f t="shared" si="58"/>
        <v>0</v>
      </c>
      <c r="BM751" s="6">
        <f t="shared" si="59"/>
        <v>0</v>
      </c>
      <c r="BN751" s="6">
        <f t="shared" si="60"/>
        <v>0</v>
      </c>
      <c r="BP751" s="6">
        <f t="shared" si="61"/>
        <v>0</v>
      </c>
      <c r="BQ751" s="6" t="b">
        <f ca="1">IFERROR(__xludf.DUMMYFUNCTION("IF(AND(ISERROR(FILTER('Items by Team'!D$2:D3410,'Items by Team'!C$2:C3410 = D751,'Items by Team'!B$2:B3410 = B751)),NOT(A751=""Practice"")),TRUE,FALSE)"),FALSE)</f>
        <v>0</v>
      </c>
      <c r="BR751" s="6">
        <f t="shared" ca="1" si="62"/>
        <v>0</v>
      </c>
    </row>
    <row r="752" spans="1:70">
      <c r="A752" s="6"/>
      <c r="B752" s="6"/>
      <c r="C752" s="6"/>
      <c r="D752" s="6"/>
      <c r="E752" s="6"/>
      <c r="F752" s="6"/>
      <c r="G752" s="6"/>
      <c r="H752" s="6"/>
      <c r="I752" s="6"/>
      <c r="J752" s="6"/>
      <c r="K752" s="6"/>
      <c r="L752" s="6"/>
      <c r="M752" s="6"/>
      <c r="N752" s="6"/>
      <c r="O752" s="6"/>
      <c r="P752" s="6"/>
      <c r="R752" s="6"/>
      <c r="S752" s="6"/>
      <c r="T752" s="6"/>
      <c r="U752" s="6"/>
      <c r="V752" s="6"/>
      <c r="W752" s="6"/>
      <c r="X752" s="6"/>
      <c r="Y752" s="6"/>
      <c r="Z752" s="6"/>
      <c r="AA752" s="6"/>
      <c r="AB752" s="6"/>
      <c r="AD752" s="6"/>
      <c r="AE752" s="6"/>
      <c r="AF752" s="6"/>
      <c r="AG752" s="6"/>
      <c r="AH752" s="6"/>
      <c r="AI752" s="6"/>
      <c r="AK752" s="6"/>
      <c r="AL752" s="6"/>
      <c r="AM752" s="6"/>
      <c r="AN752" s="6"/>
      <c r="AO752" s="6"/>
      <c r="AP752" s="6"/>
      <c r="AQ752" s="6"/>
      <c r="AR752" s="6"/>
      <c r="AS752" s="15"/>
      <c r="AT752" s="6" t="str">
        <f ca="1">IFERROR(__xludf.DUMMYFUNCTION("""COMPUTED_VALUE"""),"#N/A")</f>
        <v>#N/A</v>
      </c>
      <c r="AU752" s="6" t="str">
        <f ca="1">IFERROR(__xludf.DUMMYFUNCTION("""COMPUTED_VALUE"""),"FALSE")</f>
        <v>FALSE</v>
      </c>
      <c r="AV752" s="6">
        <f t="shared" si="42"/>
        <v>0</v>
      </c>
      <c r="AW752" s="6">
        <f t="shared" si="43"/>
        <v>0</v>
      </c>
      <c r="AX752" s="6">
        <f t="shared" si="44"/>
        <v>0</v>
      </c>
      <c r="AY752" s="6">
        <f t="shared" si="45"/>
        <v>0</v>
      </c>
      <c r="AZ752" s="9" t="str">
        <f t="shared" si="46"/>
        <v/>
      </c>
      <c r="BA752" s="6">
        <f t="shared" si="47"/>
        <v>0</v>
      </c>
      <c r="BB752" s="6">
        <f t="shared" si="48"/>
        <v>0</v>
      </c>
      <c r="BC752" s="9" t="str">
        <f t="shared" si="49"/>
        <v/>
      </c>
      <c r="BD752" s="6">
        <f t="shared" si="50"/>
        <v>0</v>
      </c>
      <c r="BE752" s="6">
        <f t="shared" si="51"/>
        <v>0</v>
      </c>
      <c r="BF752" s="9" t="str">
        <f t="shared" si="52"/>
        <v/>
      </c>
      <c r="BG752" s="6">
        <f t="shared" si="53"/>
        <v>0</v>
      </c>
      <c r="BH752" s="6">
        <f t="shared" si="54"/>
        <v>0</v>
      </c>
      <c r="BI752" s="9" t="str">
        <f t="shared" si="55"/>
        <v/>
      </c>
      <c r="BJ752" s="6">
        <f t="shared" si="56"/>
        <v>0</v>
      </c>
      <c r="BK752" s="6">
        <f t="shared" si="57"/>
        <v>0</v>
      </c>
      <c r="BL752" s="6">
        <f t="shared" si="58"/>
        <v>0</v>
      </c>
      <c r="BM752" s="6">
        <f t="shared" si="59"/>
        <v>0</v>
      </c>
      <c r="BN752" s="6">
        <f t="shared" si="60"/>
        <v>0</v>
      </c>
      <c r="BP752" s="6">
        <f t="shared" si="61"/>
        <v>0</v>
      </c>
      <c r="BQ752" s="6" t="b">
        <f ca="1">IFERROR(__xludf.DUMMYFUNCTION("IF(AND(ISERROR(FILTER('Items by Team'!D$2:D3410,'Items by Team'!C$2:C3410 = D752,'Items by Team'!B$2:B3410 = B752)),NOT(A752=""Practice"")),TRUE,FALSE)"),FALSE)</f>
        <v>0</v>
      </c>
      <c r="BR752" s="6">
        <f t="shared" ca="1" si="62"/>
        <v>0</v>
      </c>
    </row>
    <row r="753" spans="1:70">
      <c r="A753" s="6"/>
      <c r="B753" s="6"/>
      <c r="C753" s="6"/>
      <c r="D753" s="6"/>
      <c r="E753" s="6"/>
      <c r="F753" s="6"/>
      <c r="G753" s="6"/>
      <c r="H753" s="6"/>
      <c r="I753" s="6"/>
      <c r="J753" s="6"/>
      <c r="K753" s="6"/>
      <c r="L753" s="6"/>
      <c r="M753" s="6"/>
      <c r="N753" s="6"/>
      <c r="O753" s="6"/>
      <c r="P753" s="6"/>
      <c r="R753" s="6"/>
      <c r="S753" s="6"/>
      <c r="T753" s="6"/>
      <c r="U753" s="6"/>
      <c r="V753" s="6"/>
      <c r="W753" s="6"/>
      <c r="X753" s="6"/>
      <c r="Y753" s="6"/>
      <c r="Z753" s="6"/>
      <c r="AA753" s="6"/>
      <c r="AB753" s="6"/>
      <c r="AD753" s="6"/>
      <c r="AE753" s="6"/>
      <c r="AF753" s="6"/>
      <c r="AG753" s="6"/>
      <c r="AH753" s="6"/>
      <c r="AI753" s="6"/>
      <c r="AK753" s="6"/>
      <c r="AL753" s="6"/>
      <c r="AM753" s="6"/>
      <c r="AN753" s="6"/>
      <c r="AO753" s="6"/>
      <c r="AP753" s="6"/>
      <c r="AQ753" s="6"/>
      <c r="AR753" s="6"/>
      <c r="AS753" s="15"/>
      <c r="AT753" s="6" t="str">
        <f ca="1">IFERROR(__xludf.DUMMYFUNCTION("""COMPUTED_VALUE"""),"#N/A")</f>
        <v>#N/A</v>
      </c>
      <c r="AU753" s="6" t="str">
        <f ca="1">IFERROR(__xludf.DUMMYFUNCTION("""COMPUTED_VALUE"""),"FALSE")</f>
        <v>FALSE</v>
      </c>
      <c r="AV753" s="6">
        <f t="shared" si="42"/>
        <v>0</v>
      </c>
      <c r="AW753" s="6">
        <f t="shared" si="43"/>
        <v>0</v>
      </c>
      <c r="AX753" s="6">
        <f t="shared" si="44"/>
        <v>0</v>
      </c>
      <c r="AY753" s="6">
        <f t="shared" si="45"/>
        <v>0</v>
      </c>
      <c r="AZ753" s="9" t="str">
        <f t="shared" si="46"/>
        <v/>
      </c>
      <c r="BA753" s="6">
        <f t="shared" si="47"/>
        <v>0</v>
      </c>
      <c r="BB753" s="6">
        <f t="shared" si="48"/>
        <v>0</v>
      </c>
      <c r="BC753" s="9" t="str">
        <f t="shared" si="49"/>
        <v/>
      </c>
      <c r="BD753" s="6">
        <f t="shared" si="50"/>
        <v>0</v>
      </c>
      <c r="BE753" s="6">
        <f t="shared" si="51"/>
        <v>0</v>
      </c>
      <c r="BF753" s="9" t="str">
        <f t="shared" si="52"/>
        <v/>
      </c>
      <c r="BG753" s="6">
        <f t="shared" si="53"/>
        <v>0</v>
      </c>
      <c r="BH753" s="6">
        <f t="shared" si="54"/>
        <v>0</v>
      </c>
      <c r="BI753" s="9" t="str">
        <f t="shared" si="55"/>
        <v/>
      </c>
      <c r="BJ753" s="6">
        <f t="shared" si="56"/>
        <v>0</v>
      </c>
      <c r="BK753" s="6">
        <f t="shared" si="57"/>
        <v>0</v>
      </c>
      <c r="BL753" s="6">
        <f t="shared" si="58"/>
        <v>0</v>
      </c>
      <c r="BM753" s="6">
        <f t="shared" si="59"/>
        <v>0</v>
      </c>
      <c r="BN753" s="6">
        <f t="shared" si="60"/>
        <v>0</v>
      </c>
      <c r="BP753" s="6">
        <f t="shared" si="61"/>
        <v>0</v>
      </c>
      <c r="BQ753" s="6" t="b">
        <f ca="1">IFERROR(__xludf.DUMMYFUNCTION("IF(AND(ISERROR(FILTER('Items by Team'!D$2:D3410,'Items by Team'!C$2:C3410 = D753,'Items by Team'!B$2:B3410 = B753)),NOT(A753=""Practice"")),TRUE,FALSE)"),FALSE)</f>
        <v>0</v>
      </c>
      <c r="BR753" s="6">
        <f t="shared" ca="1" si="62"/>
        <v>0</v>
      </c>
    </row>
    <row r="754" spans="1:70">
      <c r="A754" s="6"/>
      <c r="B754" s="6"/>
      <c r="C754" s="6"/>
      <c r="D754" s="6"/>
      <c r="E754" s="6"/>
      <c r="F754" s="6"/>
      <c r="G754" s="6"/>
      <c r="H754" s="6"/>
      <c r="I754" s="6"/>
      <c r="J754" s="6"/>
      <c r="K754" s="6"/>
      <c r="L754" s="6"/>
      <c r="M754" s="6"/>
      <c r="N754" s="6"/>
      <c r="O754" s="6"/>
      <c r="P754" s="6"/>
      <c r="R754" s="6"/>
      <c r="S754" s="6"/>
      <c r="T754" s="6"/>
      <c r="U754" s="6"/>
      <c r="V754" s="6"/>
      <c r="W754" s="6"/>
      <c r="X754" s="6"/>
      <c r="Y754" s="6"/>
      <c r="Z754" s="6"/>
      <c r="AA754" s="6"/>
      <c r="AB754" s="6"/>
      <c r="AD754" s="6"/>
      <c r="AE754" s="6"/>
      <c r="AF754" s="6"/>
      <c r="AG754" s="6"/>
      <c r="AH754" s="6"/>
      <c r="AI754" s="6"/>
      <c r="AK754" s="6"/>
      <c r="AL754" s="6"/>
      <c r="AM754" s="6"/>
      <c r="AN754" s="6"/>
      <c r="AO754" s="6"/>
      <c r="AP754" s="6"/>
      <c r="AQ754" s="6"/>
      <c r="AR754" s="6"/>
      <c r="AS754" s="15"/>
      <c r="AT754" s="6" t="str">
        <f ca="1">IFERROR(__xludf.DUMMYFUNCTION("""COMPUTED_VALUE"""),"#N/A")</f>
        <v>#N/A</v>
      </c>
      <c r="AU754" s="6" t="str">
        <f ca="1">IFERROR(__xludf.DUMMYFUNCTION("""COMPUTED_VALUE"""),"FALSE")</f>
        <v>FALSE</v>
      </c>
      <c r="AV754" s="6">
        <f t="shared" si="42"/>
        <v>0</v>
      </c>
      <c r="AW754" s="6">
        <f t="shared" si="43"/>
        <v>0</v>
      </c>
      <c r="AX754" s="6">
        <f t="shared" si="44"/>
        <v>0</v>
      </c>
      <c r="AY754" s="6">
        <f t="shared" si="45"/>
        <v>0</v>
      </c>
      <c r="AZ754" s="9" t="str">
        <f t="shared" si="46"/>
        <v/>
      </c>
      <c r="BA754" s="6">
        <f t="shared" si="47"/>
        <v>0</v>
      </c>
      <c r="BB754" s="6">
        <f t="shared" si="48"/>
        <v>0</v>
      </c>
      <c r="BC754" s="9" t="str">
        <f t="shared" si="49"/>
        <v/>
      </c>
      <c r="BD754" s="6">
        <f t="shared" si="50"/>
        <v>0</v>
      </c>
      <c r="BE754" s="6">
        <f t="shared" si="51"/>
        <v>0</v>
      </c>
      <c r="BF754" s="9" t="str">
        <f t="shared" si="52"/>
        <v/>
      </c>
      <c r="BG754" s="6">
        <f t="shared" si="53"/>
        <v>0</v>
      </c>
      <c r="BH754" s="6">
        <f t="shared" si="54"/>
        <v>0</v>
      </c>
      <c r="BI754" s="9" t="str">
        <f t="shared" si="55"/>
        <v/>
      </c>
      <c r="BJ754" s="6">
        <f t="shared" si="56"/>
        <v>0</v>
      </c>
      <c r="BK754" s="6">
        <f t="shared" si="57"/>
        <v>0</v>
      </c>
      <c r="BL754" s="6">
        <f t="shared" si="58"/>
        <v>0</v>
      </c>
      <c r="BM754" s="6">
        <f t="shared" si="59"/>
        <v>0</v>
      </c>
      <c r="BN754" s="6">
        <f t="shared" si="60"/>
        <v>0</v>
      </c>
      <c r="BP754" s="6">
        <f t="shared" si="61"/>
        <v>0</v>
      </c>
      <c r="BQ754" s="6" t="b">
        <f ca="1">IFERROR(__xludf.DUMMYFUNCTION("IF(AND(ISERROR(FILTER('Items by Team'!D$2:D3410,'Items by Team'!C$2:C3410 = D754,'Items by Team'!B$2:B3410 = B754)),NOT(A754=""Practice"")),TRUE,FALSE)"),FALSE)</f>
        <v>0</v>
      </c>
      <c r="BR754" s="6">
        <f t="shared" ca="1" si="62"/>
        <v>0</v>
      </c>
    </row>
    <row r="755" spans="1:70">
      <c r="A755" s="6"/>
      <c r="B755" s="6"/>
      <c r="C755" s="6"/>
      <c r="D755" s="6"/>
      <c r="E755" s="6"/>
      <c r="F755" s="6"/>
      <c r="G755" s="6"/>
      <c r="H755" s="6"/>
      <c r="I755" s="6"/>
      <c r="J755" s="6"/>
      <c r="K755" s="6"/>
      <c r="L755" s="6"/>
      <c r="M755" s="6"/>
      <c r="N755" s="6"/>
      <c r="O755" s="6"/>
      <c r="P755" s="6"/>
      <c r="R755" s="6"/>
      <c r="S755" s="6"/>
      <c r="T755" s="6"/>
      <c r="U755" s="6"/>
      <c r="V755" s="6"/>
      <c r="W755" s="6"/>
      <c r="X755" s="6"/>
      <c r="Y755" s="6"/>
      <c r="Z755" s="6"/>
      <c r="AA755" s="6"/>
      <c r="AB755" s="6"/>
      <c r="AD755" s="6"/>
      <c r="AE755" s="6"/>
      <c r="AF755" s="6"/>
      <c r="AG755" s="6"/>
      <c r="AH755" s="6"/>
      <c r="AI755" s="6"/>
      <c r="AK755" s="6"/>
      <c r="AL755" s="6"/>
      <c r="AM755" s="6"/>
      <c r="AN755" s="6"/>
      <c r="AO755" s="6"/>
      <c r="AP755" s="6"/>
      <c r="AQ755" s="6"/>
      <c r="AR755" s="6"/>
      <c r="AS755" s="15"/>
      <c r="AT755" s="6" t="str">
        <f ca="1">IFERROR(__xludf.DUMMYFUNCTION("""COMPUTED_VALUE"""),"#N/A")</f>
        <v>#N/A</v>
      </c>
      <c r="AU755" s="6" t="str">
        <f ca="1">IFERROR(__xludf.DUMMYFUNCTION("""COMPUTED_VALUE"""),"FALSE")</f>
        <v>FALSE</v>
      </c>
      <c r="AV755" s="6">
        <f t="shared" si="42"/>
        <v>0</v>
      </c>
      <c r="AW755" s="6">
        <f t="shared" si="43"/>
        <v>0</v>
      </c>
      <c r="AX755" s="6">
        <f t="shared" si="44"/>
        <v>0</v>
      </c>
      <c r="AY755" s="6">
        <f t="shared" si="45"/>
        <v>0</v>
      </c>
      <c r="AZ755" s="9" t="str">
        <f t="shared" si="46"/>
        <v/>
      </c>
      <c r="BA755" s="6">
        <f t="shared" si="47"/>
        <v>0</v>
      </c>
      <c r="BB755" s="6">
        <f t="shared" si="48"/>
        <v>0</v>
      </c>
      <c r="BC755" s="9" t="str">
        <f t="shared" si="49"/>
        <v/>
      </c>
      <c r="BD755" s="6">
        <f t="shared" si="50"/>
        <v>0</v>
      </c>
      <c r="BE755" s="6">
        <f t="shared" si="51"/>
        <v>0</v>
      </c>
      <c r="BF755" s="9" t="str">
        <f t="shared" si="52"/>
        <v/>
      </c>
      <c r="BG755" s="6">
        <f t="shared" si="53"/>
        <v>0</v>
      </c>
      <c r="BH755" s="6">
        <f t="shared" si="54"/>
        <v>0</v>
      </c>
      <c r="BI755" s="9" t="str">
        <f t="shared" si="55"/>
        <v/>
      </c>
      <c r="BJ755" s="6">
        <f t="shared" si="56"/>
        <v>0</v>
      </c>
      <c r="BK755" s="6">
        <f t="shared" si="57"/>
        <v>0</v>
      </c>
      <c r="BL755" s="6">
        <f t="shared" si="58"/>
        <v>0</v>
      </c>
      <c r="BM755" s="6">
        <f t="shared" si="59"/>
        <v>0</v>
      </c>
      <c r="BN755" s="6">
        <f t="shared" si="60"/>
        <v>0</v>
      </c>
      <c r="BP755" s="6">
        <f t="shared" si="61"/>
        <v>0</v>
      </c>
      <c r="BQ755" s="6" t="b">
        <f ca="1">IFERROR(__xludf.DUMMYFUNCTION("IF(AND(ISERROR(FILTER('Items by Team'!D$2:D3410,'Items by Team'!C$2:C3410 = D755,'Items by Team'!B$2:B3410 = B755)),NOT(A755=""Practice"")),TRUE,FALSE)"),FALSE)</f>
        <v>0</v>
      </c>
      <c r="BR755" s="6">
        <f t="shared" ca="1" si="62"/>
        <v>0</v>
      </c>
    </row>
    <row r="756" spans="1:70">
      <c r="A756" s="6"/>
      <c r="B756" s="6"/>
      <c r="C756" s="6"/>
      <c r="D756" s="6"/>
      <c r="E756" s="6"/>
      <c r="F756" s="6"/>
      <c r="G756" s="6"/>
      <c r="H756" s="6"/>
      <c r="I756" s="6"/>
      <c r="J756" s="6"/>
      <c r="K756" s="6"/>
      <c r="L756" s="6"/>
      <c r="M756" s="6"/>
      <c r="N756" s="6"/>
      <c r="O756" s="6"/>
      <c r="P756" s="6"/>
      <c r="R756" s="6"/>
      <c r="S756" s="6"/>
      <c r="T756" s="6"/>
      <c r="U756" s="6"/>
      <c r="V756" s="6"/>
      <c r="W756" s="6"/>
      <c r="X756" s="6"/>
      <c r="Y756" s="6"/>
      <c r="Z756" s="6"/>
      <c r="AA756" s="6"/>
      <c r="AB756" s="6"/>
      <c r="AD756" s="6"/>
      <c r="AE756" s="6"/>
      <c r="AF756" s="6"/>
      <c r="AG756" s="6"/>
      <c r="AH756" s="6"/>
      <c r="AI756" s="6"/>
      <c r="AK756" s="6"/>
      <c r="AL756" s="6"/>
      <c r="AM756" s="6"/>
      <c r="AN756" s="6"/>
      <c r="AO756" s="6"/>
      <c r="AP756" s="6"/>
      <c r="AQ756" s="6"/>
      <c r="AR756" s="6"/>
      <c r="AS756" s="15"/>
      <c r="AT756" s="6" t="str">
        <f ca="1">IFERROR(__xludf.DUMMYFUNCTION("""COMPUTED_VALUE"""),"#N/A")</f>
        <v>#N/A</v>
      </c>
      <c r="AU756" s="6" t="str">
        <f ca="1">IFERROR(__xludf.DUMMYFUNCTION("""COMPUTED_VALUE"""),"FALSE")</f>
        <v>FALSE</v>
      </c>
      <c r="AV756" s="6">
        <f t="shared" si="42"/>
        <v>0</v>
      </c>
      <c r="AW756" s="6">
        <f t="shared" si="43"/>
        <v>0</v>
      </c>
      <c r="AX756" s="6">
        <f t="shared" si="44"/>
        <v>0</v>
      </c>
      <c r="AY756" s="6">
        <f t="shared" si="45"/>
        <v>0</v>
      </c>
      <c r="AZ756" s="9" t="str">
        <f t="shared" si="46"/>
        <v/>
      </c>
      <c r="BA756" s="6">
        <f t="shared" si="47"/>
        <v>0</v>
      </c>
      <c r="BB756" s="6">
        <f t="shared" si="48"/>
        <v>0</v>
      </c>
      <c r="BC756" s="9" t="str">
        <f t="shared" si="49"/>
        <v/>
      </c>
      <c r="BD756" s="6">
        <f t="shared" si="50"/>
        <v>0</v>
      </c>
      <c r="BE756" s="6">
        <f t="shared" si="51"/>
        <v>0</v>
      </c>
      <c r="BF756" s="9" t="str">
        <f t="shared" si="52"/>
        <v/>
      </c>
      <c r="BG756" s="6">
        <f t="shared" si="53"/>
        <v>0</v>
      </c>
      <c r="BH756" s="6">
        <f t="shared" si="54"/>
        <v>0</v>
      </c>
      <c r="BI756" s="9" t="str">
        <f t="shared" si="55"/>
        <v/>
      </c>
      <c r="BJ756" s="6">
        <f t="shared" si="56"/>
        <v>0</v>
      </c>
      <c r="BK756" s="6">
        <f t="shared" si="57"/>
        <v>0</v>
      </c>
      <c r="BL756" s="6">
        <f t="shared" si="58"/>
        <v>0</v>
      </c>
      <c r="BM756" s="6">
        <f t="shared" si="59"/>
        <v>0</v>
      </c>
      <c r="BN756" s="6">
        <f t="shared" si="60"/>
        <v>0</v>
      </c>
      <c r="BP756" s="6">
        <f t="shared" si="61"/>
        <v>0</v>
      </c>
      <c r="BQ756" s="6" t="b">
        <f ca="1">IFERROR(__xludf.DUMMYFUNCTION("IF(AND(ISERROR(FILTER('Items by Team'!D$2:D3410,'Items by Team'!C$2:C3410 = D756,'Items by Team'!B$2:B3410 = B756)),NOT(A756=""Practice"")),TRUE,FALSE)"),FALSE)</f>
        <v>0</v>
      </c>
      <c r="BR756" s="6">
        <f t="shared" ca="1" si="62"/>
        <v>0</v>
      </c>
    </row>
    <row r="757" spans="1:70">
      <c r="A757" s="6"/>
      <c r="B757" s="6"/>
      <c r="C757" s="6"/>
      <c r="D757" s="6"/>
      <c r="E757" s="6"/>
      <c r="F757" s="6"/>
      <c r="G757" s="6"/>
      <c r="H757" s="6"/>
      <c r="I757" s="6"/>
      <c r="J757" s="6"/>
      <c r="K757" s="6"/>
      <c r="L757" s="6"/>
      <c r="M757" s="6"/>
      <c r="N757" s="6"/>
      <c r="O757" s="6"/>
      <c r="P757" s="6"/>
      <c r="R757" s="6"/>
      <c r="S757" s="6"/>
      <c r="T757" s="6"/>
      <c r="U757" s="6"/>
      <c r="V757" s="6"/>
      <c r="W757" s="6"/>
      <c r="X757" s="6"/>
      <c r="Y757" s="6"/>
      <c r="Z757" s="6"/>
      <c r="AA757" s="6"/>
      <c r="AB757" s="6"/>
      <c r="AD757" s="6"/>
      <c r="AE757" s="6"/>
      <c r="AF757" s="6"/>
      <c r="AG757" s="6"/>
      <c r="AH757" s="6"/>
      <c r="AI757" s="6"/>
      <c r="AK757" s="6"/>
      <c r="AL757" s="6"/>
      <c r="AM757" s="6"/>
      <c r="AN757" s="6"/>
      <c r="AO757" s="6"/>
      <c r="AP757" s="6"/>
      <c r="AQ757" s="6"/>
      <c r="AR757" s="6"/>
      <c r="AS757" s="15"/>
      <c r="AT757" s="6" t="str">
        <f ca="1">IFERROR(__xludf.DUMMYFUNCTION("""COMPUTED_VALUE"""),"#N/A")</f>
        <v>#N/A</v>
      </c>
      <c r="AU757" s="6" t="str">
        <f ca="1">IFERROR(__xludf.DUMMYFUNCTION("""COMPUTED_VALUE"""),"FALSE")</f>
        <v>FALSE</v>
      </c>
      <c r="AV757" s="6">
        <f t="shared" si="42"/>
        <v>0</v>
      </c>
      <c r="AW757" s="6">
        <f t="shared" si="43"/>
        <v>0</v>
      </c>
      <c r="AX757" s="6">
        <f t="shared" si="44"/>
        <v>0</v>
      </c>
      <c r="AY757" s="6">
        <f t="shared" si="45"/>
        <v>0</v>
      </c>
      <c r="AZ757" s="9" t="str">
        <f t="shared" si="46"/>
        <v/>
      </c>
      <c r="BA757" s="6">
        <f t="shared" si="47"/>
        <v>0</v>
      </c>
      <c r="BB757" s="6">
        <f t="shared" si="48"/>
        <v>0</v>
      </c>
      <c r="BC757" s="9" t="str">
        <f t="shared" si="49"/>
        <v/>
      </c>
      <c r="BD757" s="6">
        <f t="shared" si="50"/>
        <v>0</v>
      </c>
      <c r="BE757" s="6">
        <f t="shared" si="51"/>
        <v>0</v>
      </c>
      <c r="BF757" s="9" t="str">
        <f t="shared" si="52"/>
        <v/>
      </c>
      <c r="BG757" s="6">
        <f t="shared" si="53"/>
        <v>0</v>
      </c>
      <c r="BH757" s="6">
        <f t="shared" si="54"/>
        <v>0</v>
      </c>
      <c r="BI757" s="9" t="str">
        <f t="shared" si="55"/>
        <v/>
      </c>
      <c r="BJ757" s="6">
        <f t="shared" si="56"/>
        <v>0</v>
      </c>
      <c r="BK757" s="6">
        <f t="shared" si="57"/>
        <v>0</v>
      </c>
      <c r="BL757" s="6">
        <f t="shared" si="58"/>
        <v>0</v>
      </c>
      <c r="BM757" s="6">
        <f t="shared" si="59"/>
        <v>0</v>
      </c>
      <c r="BN757" s="6">
        <f t="shared" si="60"/>
        <v>0</v>
      </c>
      <c r="BP757" s="6">
        <f t="shared" si="61"/>
        <v>0</v>
      </c>
      <c r="BQ757" s="6" t="b">
        <f ca="1">IFERROR(__xludf.DUMMYFUNCTION("IF(AND(ISERROR(FILTER('Items by Team'!D$2:D3410,'Items by Team'!C$2:C3410 = D757,'Items by Team'!B$2:B3410 = B757)),NOT(A757=""Practice"")),TRUE,FALSE)"),FALSE)</f>
        <v>0</v>
      </c>
      <c r="BR757" s="6">
        <f t="shared" ca="1" si="62"/>
        <v>0</v>
      </c>
    </row>
    <row r="758" spans="1:70">
      <c r="A758" s="6"/>
      <c r="B758" s="6"/>
      <c r="C758" s="6"/>
      <c r="D758" s="6"/>
      <c r="E758" s="6"/>
      <c r="F758" s="6"/>
      <c r="G758" s="6"/>
      <c r="H758" s="6"/>
      <c r="I758" s="6"/>
      <c r="J758" s="6"/>
      <c r="K758" s="6"/>
      <c r="L758" s="6"/>
      <c r="M758" s="6"/>
      <c r="N758" s="6"/>
      <c r="O758" s="6"/>
      <c r="P758" s="6"/>
      <c r="R758" s="6"/>
      <c r="S758" s="6"/>
      <c r="T758" s="6"/>
      <c r="U758" s="6"/>
      <c r="V758" s="6"/>
      <c r="W758" s="6"/>
      <c r="X758" s="6"/>
      <c r="Y758" s="6"/>
      <c r="Z758" s="6"/>
      <c r="AA758" s="6"/>
      <c r="AB758" s="6"/>
      <c r="AD758" s="6"/>
      <c r="AE758" s="6"/>
      <c r="AF758" s="6"/>
      <c r="AG758" s="6"/>
      <c r="AH758" s="6"/>
      <c r="AI758" s="6"/>
      <c r="AK758" s="6"/>
      <c r="AL758" s="6"/>
      <c r="AM758" s="6"/>
      <c r="AN758" s="6"/>
      <c r="AO758" s="6"/>
      <c r="AP758" s="6"/>
      <c r="AQ758" s="6"/>
      <c r="AR758" s="6"/>
      <c r="AS758" s="15"/>
      <c r="AT758" s="6" t="str">
        <f ca="1">IFERROR(__xludf.DUMMYFUNCTION("""COMPUTED_VALUE"""),"#N/A")</f>
        <v>#N/A</v>
      </c>
      <c r="AU758" s="6" t="str">
        <f ca="1">IFERROR(__xludf.DUMMYFUNCTION("""COMPUTED_VALUE"""),"FALSE")</f>
        <v>FALSE</v>
      </c>
      <c r="AV758" s="6">
        <f t="shared" si="42"/>
        <v>0</v>
      </c>
      <c r="AW758" s="6">
        <f t="shared" si="43"/>
        <v>0</v>
      </c>
      <c r="AX758" s="6">
        <f t="shared" si="44"/>
        <v>0</v>
      </c>
      <c r="AY758" s="6">
        <f t="shared" si="45"/>
        <v>0</v>
      </c>
      <c r="AZ758" s="9" t="str">
        <f t="shared" si="46"/>
        <v/>
      </c>
      <c r="BA758" s="6">
        <f t="shared" si="47"/>
        <v>0</v>
      </c>
      <c r="BB758" s="6">
        <f t="shared" si="48"/>
        <v>0</v>
      </c>
      <c r="BC758" s="9" t="str">
        <f t="shared" si="49"/>
        <v/>
      </c>
      <c r="BD758" s="6">
        <f t="shared" si="50"/>
        <v>0</v>
      </c>
      <c r="BE758" s="6">
        <f t="shared" si="51"/>
        <v>0</v>
      </c>
      <c r="BF758" s="9" t="str">
        <f t="shared" si="52"/>
        <v/>
      </c>
      <c r="BG758" s="6">
        <f t="shared" si="53"/>
        <v>0</v>
      </c>
      <c r="BH758" s="6">
        <f t="shared" si="54"/>
        <v>0</v>
      </c>
      <c r="BI758" s="9" t="str">
        <f t="shared" si="55"/>
        <v/>
      </c>
      <c r="BJ758" s="6">
        <f t="shared" si="56"/>
        <v>0</v>
      </c>
      <c r="BK758" s="6">
        <f t="shared" si="57"/>
        <v>0</v>
      </c>
      <c r="BL758" s="6">
        <f t="shared" si="58"/>
        <v>0</v>
      </c>
      <c r="BM758" s="6">
        <f t="shared" si="59"/>
        <v>0</v>
      </c>
      <c r="BN758" s="6">
        <f t="shared" si="60"/>
        <v>0</v>
      </c>
      <c r="BP758" s="6">
        <f t="shared" si="61"/>
        <v>0</v>
      </c>
      <c r="BQ758" s="6" t="b">
        <f ca="1">IFERROR(__xludf.DUMMYFUNCTION("IF(AND(ISERROR(FILTER('Items by Team'!D$2:D3410,'Items by Team'!C$2:C3410 = D758,'Items by Team'!B$2:B3410 = B758)),NOT(A758=""Practice"")),TRUE,FALSE)"),FALSE)</f>
        <v>0</v>
      </c>
      <c r="BR758" s="6">
        <f t="shared" ca="1" si="62"/>
        <v>0</v>
      </c>
    </row>
    <row r="759" spans="1:70">
      <c r="A759" s="6"/>
      <c r="B759" s="6"/>
      <c r="C759" s="6"/>
      <c r="D759" s="6"/>
      <c r="E759" s="6"/>
      <c r="F759" s="6"/>
      <c r="G759" s="6"/>
      <c r="H759" s="6"/>
      <c r="I759" s="6"/>
      <c r="J759" s="6"/>
      <c r="K759" s="6"/>
      <c r="L759" s="6"/>
      <c r="M759" s="6"/>
      <c r="N759" s="6"/>
      <c r="O759" s="6"/>
      <c r="P759" s="6"/>
      <c r="R759" s="6"/>
      <c r="S759" s="6"/>
      <c r="T759" s="6"/>
      <c r="U759" s="6"/>
      <c r="V759" s="6"/>
      <c r="W759" s="6"/>
      <c r="X759" s="6"/>
      <c r="Y759" s="6"/>
      <c r="Z759" s="6"/>
      <c r="AA759" s="6"/>
      <c r="AB759" s="6"/>
      <c r="AD759" s="6"/>
      <c r="AE759" s="6"/>
      <c r="AF759" s="6"/>
      <c r="AG759" s="6"/>
      <c r="AH759" s="6"/>
      <c r="AI759" s="6"/>
      <c r="AK759" s="6"/>
      <c r="AL759" s="6"/>
      <c r="AM759" s="6"/>
      <c r="AN759" s="6"/>
      <c r="AO759" s="6"/>
      <c r="AP759" s="6"/>
      <c r="AQ759" s="6"/>
      <c r="AR759" s="6"/>
      <c r="AS759" s="15"/>
      <c r="AT759" s="6" t="str">
        <f ca="1">IFERROR(__xludf.DUMMYFUNCTION("""COMPUTED_VALUE"""),"#N/A")</f>
        <v>#N/A</v>
      </c>
      <c r="AU759" s="6" t="str">
        <f ca="1">IFERROR(__xludf.DUMMYFUNCTION("""COMPUTED_VALUE"""),"FALSE")</f>
        <v>FALSE</v>
      </c>
      <c r="AV759" s="6">
        <f t="shared" si="42"/>
        <v>0</v>
      </c>
      <c r="AW759" s="6">
        <f t="shared" si="43"/>
        <v>0</v>
      </c>
      <c r="AX759" s="6">
        <f t="shared" si="44"/>
        <v>0</v>
      </c>
      <c r="AY759" s="6">
        <f t="shared" si="45"/>
        <v>0</v>
      </c>
      <c r="AZ759" s="9" t="str">
        <f t="shared" si="46"/>
        <v/>
      </c>
      <c r="BA759" s="6">
        <f t="shared" si="47"/>
        <v>0</v>
      </c>
      <c r="BB759" s="6">
        <f t="shared" si="48"/>
        <v>0</v>
      </c>
      <c r="BC759" s="9" t="str">
        <f t="shared" si="49"/>
        <v/>
      </c>
      <c r="BD759" s="6">
        <f t="shared" si="50"/>
        <v>0</v>
      </c>
      <c r="BE759" s="6">
        <f t="shared" si="51"/>
        <v>0</v>
      </c>
      <c r="BF759" s="9" t="str">
        <f t="shared" si="52"/>
        <v/>
      </c>
      <c r="BG759" s="6">
        <f t="shared" si="53"/>
        <v>0</v>
      </c>
      <c r="BH759" s="6">
        <f t="shared" si="54"/>
        <v>0</v>
      </c>
      <c r="BI759" s="9" t="str">
        <f t="shared" si="55"/>
        <v/>
      </c>
      <c r="BJ759" s="6">
        <f t="shared" si="56"/>
        <v>0</v>
      </c>
      <c r="BK759" s="6">
        <f t="shared" si="57"/>
        <v>0</v>
      </c>
      <c r="BL759" s="6">
        <f t="shared" si="58"/>
        <v>0</v>
      </c>
      <c r="BM759" s="6">
        <f t="shared" si="59"/>
        <v>0</v>
      </c>
      <c r="BN759" s="6">
        <f t="shared" si="60"/>
        <v>0</v>
      </c>
      <c r="BP759" s="6">
        <f t="shared" si="61"/>
        <v>0</v>
      </c>
      <c r="BQ759" s="6" t="b">
        <f ca="1">IFERROR(__xludf.DUMMYFUNCTION("IF(AND(ISERROR(FILTER('Items by Team'!D$2:D3410,'Items by Team'!C$2:C3410 = D759,'Items by Team'!B$2:B3410 = B759)),NOT(A759=""Practice"")),TRUE,FALSE)"),FALSE)</f>
        <v>0</v>
      </c>
      <c r="BR759" s="6">
        <f t="shared" ca="1" si="62"/>
        <v>0</v>
      </c>
    </row>
    <row r="760" spans="1:70">
      <c r="A760" s="6"/>
      <c r="B760" s="6"/>
      <c r="C760" s="6"/>
      <c r="D760" s="6"/>
      <c r="E760" s="6"/>
      <c r="F760" s="6"/>
      <c r="G760" s="6"/>
      <c r="H760" s="6"/>
      <c r="I760" s="6"/>
      <c r="J760" s="6"/>
      <c r="K760" s="6"/>
      <c r="L760" s="6"/>
      <c r="M760" s="6"/>
      <c r="N760" s="6"/>
      <c r="O760" s="6"/>
      <c r="P760" s="6"/>
      <c r="R760" s="6"/>
      <c r="S760" s="6"/>
      <c r="T760" s="6"/>
      <c r="U760" s="6"/>
      <c r="V760" s="6"/>
      <c r="W760" s="6"/>
      <c r="X760" s="6"/>
      <c r="Y760" s="6"/>
      <c r="Z760" s="6"/>
      <c r="AA760" s="6"/>
      <c r="AB760" s="6"/>
      <c r="AD760" s="6"/>
      <c r="AE760" s="6"/>
      <c r="AF760" s="6"/>
      <c r="AG760" s="6"/>
      <c r="AH760" s="6"/>
      <c r="AI760" s="6"/>
      <c r="AK760" s="6"/>
      <c r="AL760" s="6"/>
      <c r="AM760" s="6"/>
      <c r="AN760" s="6"/>
      <c r="AO760" s="6"/>
      <c r="AP760" s="6"/>
      <c r="AQ760" s="6"/>
      <c r="AR760" s="6"/>
      <c r="AS760" s="15"/>
      <c r="AT760" s="6" t="str">
        <f ca="1">IFERROR(__xludf.DUMMYFUNCTION("""COMPUTED_VALUE"""),"#N/A")</f>
        <v>#N/A</v>
      </c>
      <c r="AU760" s="6" t="str">
        <f ca="1">IFERROR(__xludf.DUMMYFUNCTION("""COMPUTED_VALUE"""),"FALSE")</f>
        <v>FALSE</v>
      </c>
      <c r="AV760" s="6">
        <f t="shared" si="42"/>
        <v>0</v>
      </c>
      <c r="AW760" s="6">
        <f t="shared" si="43"/>
        <v>0</v>
      </c>
      <c r="AX760" s="6">
        <f t="shared" si="44"/>
        <v>0</v>
      </c>
      <c r="AY760" s="6">
        <f t="shared" si="45"/>
        <v>0</v>
      </c>
      <c r="AZ760" s="9" t="str">
        <f t="shared" si="46"/>
        <v/>
      </c>
      <c r="BA760" s="6">
        <f t="shared" si="47"/>
        <v>0</v>
      </c>
      <c r="BB760" s="6">
        <f t="shared" si="48"/>
        <v>0</v>
      </c>
      <c r="BC760" s="9" t="str">
        <f t="shared" si="49"/>
        <v/>
      </c>
      <c r="BD760" s="6">
        <f t="shared" si="50"/>
        <v>0</v>
      </c>
      <c r="BE760" s="6">
        <f t="shared" si="51"/>
        <v>0</v>
      </c>
      <c r="BF760" s="9" t="str">
        <f t="shared" si="52"/>
        <v/>
      </c>
      <c r="BG760" s="6">
        <f t="shared" si="53"/>
        <v>0</v>
      </c>
      <c r="BH760" s="6">
        <f t="shared" si="54"/>
        <v>0</v>
      </c>
      <c r="BI760" s="9" t="str">
        <f t="shared" si="55"/>
        <v/>
      </c>
      <c r="BJ760" s="6">
        <f t="shared" si="56"/>
        <v>0</v>
      </c>
      <c r="BK760" s="6">
        <f t="shared" si="57"/>
        <v>0</v>
      </c>
      <c r="BL760" s="6">
        <f t="shared" si="58"/>
        <v>0</v>
      </c>
      <c r="BM760" s="6">
        <f t="shared" si="59"/>
        <v>0</v>
      </c>
      <c r="BN760" s="6">
        <f t="shared" si="60"/>
        <v>0</v>
      </c>
      <c r="BP760" s="6">
        <f t="shared" si="61"/>
        <v>0</v>
      </c>
      <c r="BQ760" s="6" t="b">
        <f ca="1">IFERROR(__xludf.DUMMYFUNCTION("IF(AND(ISERROR(FILTER('Items by Team'!D$2:D3410,'Items by Team'!C$2:C3410 = D760,'Items by Team'!B$2:B3410 = B760)),NOT(A760=""Practice"")),TRUE,FALSE)"),FALSE)</f>
        <v>0</v>
      </c>
      <c r="BR760" s="6">
        <f t="shared" ca="1" si="62"/>
        <v>0</v>
      </c>
    </row>
    <row r="761" spans="1:70">
      <c r="A761" s="6"/>
      <c r="B761" s="6"/>
      <c r="C761" s="6"/>
      <c r="D761" s="6"/>
      <c r="E761" s="6"/>
      <c r="F761" s="6"/>
      <c r="G761" s="6"/>
      <c r="H761" s="6"/>
      <c r="I761" s="6"/>
      <c r="J761" s="6"/>
      <c r="K761" s="6"/>
      <c r="L761" s="6"/>
      <c r="M761" s="6"/>
      <c r="N761" s="6"/>
      <c r="O761" s="6"/>
      <c r="P761" s="6"/>
      <c r="R761" s="6"/>
      <c r="S761" s="6"/>
      <c r="T761" s="6"/>
      <c r="U761" s="6"/>
      <c r="V761" s="6"/>
      <c r="W761" s="6"/>
      <c r="X761" s="6"/>
      <c r="Y761" s="6"/>
      <c r="Z761" s="6"/>
      <c r="AA761" s="6"/>
      <c r="AB761" s="6"/>
      <c r="AD761" s="6"/>
      <c r="AE761" s="6"/>
      <c r="AF761" s="6"/>
      <c r="AG761" s="6"/>
      <c r="AH761" s="6"/>
      <c r="AI761" s="6"/>
      <c r="AK761" s="6"/>
      <c r="AL761" s="6"/>
      <c r="AM761" s="6"/>
      <c r="AN761" s="6"/>
      <c r="AO761" s="6"/>
      <c r="AP761" s="6"/>
      <c r="AQ761" s="6"/>
      <c r="AR761" s="6"/>
      <c r="AS761" s="15"/>
      <c r="AT761" s="6" t="str">
        <f ca="1">IFERROR(__xludf.DUMMYFUNCTION("""COMPUTED_VALUE"""),"#N/A")</f>
        <v>#N/A</v>
      </c>
      <c r="AU761" s="6" t="str">
        <f ca="1">IFERROR(__xludf.DUMMYFUNCTION("""COMPUTED_VALUE"""),"FALSE")</f>
        <v>FALSE</v>
      </c>
      <c r="AV761" s="6">
        <f t="shared" si="42"/>
        <v>0</v>
      </c>
      <c r="AW761" s="6">
        <f t="shared" si="43"/>
        <v>0</v>
      </c>
      <c r="AX761" s="6">
        <f t="shared" si="44"/>
        <v>0</v>
      </c>
      <c r="AY761" s="6">
        <f t="shared" si="45"/>
        <v>0</v>
      </c>
      <c r="AZ761" s="9" t="str">
        <f t="shared" si="46"/>
        <v/>
      </c>
      <c r="BA761" s="6">
        <f t="shared" si="47"/>
        <v>0</v>
      </c>
      <c r="BB761" s="6">
        <f t="shared" si="48"/>
        <v>0</v>
      </c>
      <c r="BC761" s="9" t="str">
        <f t="shared" si="49"/>
        <v/>
      </c>
      <c r="BD761" s="6">
        <f t="shared" si="50"/>
        <v>0</v>
      </c>
      <c r="BE761" s="6">
        <f t="shared" si="51"/>
        <v>0</v>
      </c>
      <c r="BF761" s="9" t="str">
        <f t="shared" si="52"/>
        <v/>
      </c>
      <c r="BG761" s="6">
        <f t="shared" si="53"/>
        <v>0</v>
      </c>
      <c r="BH761" s="6">
        <f t="shared" si="54"/>
        <v>0</v>
      </c>
      <c r="BI761" s="9" t="str">
        <f t="shared" si="55"/>
        <v/>
      </c>
      <c r="BJ761" s="6">
        <f t="shared" si="56"/>
        <v>0</v>
      </c>
      <c r="BK761" s="6">
        <f t="shared" si="57"/>
        <v>0</v>
      </c>
      <c r="BL761" s="6">
        <f t="shared" si="58"/>
        <v>0</v>
      </c>
      <c r="BM761" s="6">
        <f t="shared" si="59"/>
        <v>0</v>
      </c>
      <c r="BN761" s="6">
        <f t="shared" si="60"/>
        <v>0</v>
      </c>
      <c r="BP761" s="6">
        <f t="shared" si="61"/>
        <v>0</v>
      </c>
      <c r="BQ761" s="6" t="b">
        <f ca="1">IFERROR(__xludf.DUMMYFUNCTION("IF(AND(ISERROR(FILTER('Items by Team'!D$2:D3410,'Items by Team'!C$2:C3410 = D761,'Items by Team'!B$2:B3410 = B761)),NOT(A761=""Practice"")),TRUE,FALSE)"),FALSE)</f>
        <v>0</v>
      </c>
      <c r="BR761" s="6">
        <f t="shared" ca="1" si="62"/>
        <v>0</v>
      </c>
    </row>
    <row r="762" spans="1:70">
      <c r="A762" s="6"/>
      <c r="B762" s="6"/>
      <c r="C762" s="6"/>
      <c r="D762" s="6"/>
      <c r="E762" s="6"/>
      <c r="F762" s="6"/>
      <c r="G762" s="6"/>
      <c r="H762" s="6"/>
      <c r="I762" s="6"/>
      <c r="J762" s="6"/>
      <c r="K762" s="6"/>
      <c r="L762" s="6"/>
      <c r="M762" s="6"/>
      <c r="N762" s="6"/>
      <c r="O762" s="6"/>
      <c r="P762" s="6"/>
      <c r="R762" s="6"/>
      <c r="S762" s="6"/>
      <c r="T762" s="6"/>
      <c r="U762" s="6"/>
      <c r="V762" s="6"/>
      <c r="W762" s="6"/>
      <c r="X762" s="6"/>
      <c r="Y762" s="6"/>
      <c r="Z762" s="6"/>
      <c r="AA762" s="6"/>
      <c r="AB762" s="6"/>
      <c r="AD762" s="6"/>
      <c r="AE762" s="6"/>
      <c r="AF762" s="6"/>
      <c r="AG762" s="6"/>
      <c r="AH762" s="6"/>
      <c r="AI762" s="6"/>
      <c r="AK762" s="6"/>
      <c r="AL762" s="6"/>
      <c r="AM762" s="6"/>
      <c r="AN762" s="6"/>
      <c r="AO762" s="6"/>
      <c r="AP762" s="6"/>
      <c r="AQ762" s="6"/>
      <c r="AR762" s="6"/>
      <c r="AS762" s="15"/>
      <c r="AT762" s="6" t="str">
        <f ca="1">IFERROR(__xludf.DUMMYFUNCTION("""COMPUTED_VALUE"""),"#N/A")</f>
        <v>#N/A</v>
      </c>
      <c r="AU762" s="6" t="str">
        <f ca="1">IFERROR(__xludf.DUMMYFUNCTION("""COMPUTED_VALUE"""),"FALSE")</f>
        <v>FALSE</v>
      </c>
      <c r="AV762" s="6">
        <f t="shared" si="42"/>
        <v>0</v>
      </c>
      <c r="AW762" s="6">
        <f t="shared" si="43"/>
        <v>0</v>
      </c>
      <c r="AX762" s="6">
        <f t="shared" si="44"/>
        <v>0</v>
      </c>
      <c r="AY762" s="6">
        <f t="shared" si="45"/>
        <v>0</v>
      </c>
      <c r="AZ762" s="9" t="str">
        <f t="shared" si="46"/>
        <v/>
      </c>
      <c r="BA762" s="6">
        <f t="shared" si="47"/>
        <v>0</v>
      </c>
      <c r="BB762" s="6">
        <f t="shared" si="48"/>
        <v>0</v>
      </c>
      <c r="BC762" s="9" t="str">
        <f t="shared" si="49"/>
        <v/>
      </c>
      <c r="BD762" s="6">
        <f t="shared" si="50"/>
        <v>0</v>
      </c>
      <c r="BE762" s="6">
        <f t="shared" si="51"/>
        <v>0</v>
      </c>
      <c r="BF762" s="9" t="str">
        <f t="shared" si="52"/>
        <v/>
      </c>
      <c r="BG762" s="6">
        <f t="shared" si="53"/>
        <v>0</v>
      </c>
      <c r="BH762" s="6">
        <f t="shared" si="54"/>
        <v>0</v>
      </c>
      <c r="BI762" s="9" t="str">
        <f t="shared" si="55"/>
        <v/>
      </c>
      <c r="BJ762" s="6">
        <f t="shared" si="56"/>
        <v>0</v>
      </c>
      <c r="BK762" s="6">
        <f t="shared" si="57"/>
        <v>0</v>
      </c>
      <c r="BL762" s="6">
        <f t="shared" si="58"/>
        <v>0</v>
      </c>
      <c r="BM762" s="6">
        <f t="shared" si="59"/>
        <v>0</v>
      </c>
      <c r="BN762" s="6">
        <f t="shared" si="60"/>
        <v>0</v>
      </c>
      <c r="BP762" s="6">
        <f t="shared" si="61"/>
        <v>0</v>
      </c>
      <c r="BQ762" s="6" t="b">
        <f ca="1">IFERROR(__xludf.DUMMYFUNCTION("IF(AND(ISERROR(FILTER('Items by Team'!D$2:D3410,'Items by Team'!C$2:C3410 = D762,'Items by Team'!B$2:B3410 = B762)),NOT(A762=""Practice"")),TRUE,FALSE)"),FALSE)</f>
        <v>0</v>
      </c>
      <c r="BR762" s="6">
        <f t="shared" ca="1" si="62"/>
        <v>0</v>
      </c>
    </row>
    <row r="763" spans="1:70">
      <c r="A763" s="6"/>
      <c r="B763" s="6"/>
      <c r="C763" s="6"/>
      <c r="D763" s="6"/>
      <c r="E763" s="6"/>
      <c r="F763" s="6"/>
      <c r="G763" s="6"/>
      <c r="H763" s="6"/>
      <c r="I763" s="6"/>
      <c r="J763" s="6"/>
      <c r="K763" s="6"/>
      <c r="L763" s="6"/>
      <c r="M763" s="6"/>
      <c r="N763" s="6"/>
      <c r="O763" s="6"/>
      <c r="P763" s="6"/>
      <c r="R763" s="6"/>
      <c r="S763" s="6"/>
      <c r="T763" s="6"/>
      <c r="U763" s="6"/>
      <c r="V763" s="6"/>
      <c r="W763" s="6"/>
      <c r="X763" s="6"/>
      <c r="Y763" s="6"/>
      <c r="Z763" s="6"/>
      <c r="AA763" s="6"/>
      <c r="AB763" s="6"/>
      <c r="AD763" s="6"/>
      <c r="AE763" s="6"/>
      <c r="AF763" s="6"/>
      <c r="AG763" s="6"/>
      <c r="AH763" s="6"/>
      <c r="AI763" s="6"/>
      <c r="AK763" s="6"/>
      <c r="AL763" s="6"/>
      <c r="AM763" s="6"/>
      <c r="AN763" s="6"/>
      <c r="AO763" s="6"/>
      <c r="AP763" s="6"/>
      <c r="AQ763" s="6"/>
      <c r="AR763" s="6"/>
      <c r="AS763" s="15"/>
      <c r="AT763" s="6" t="str">
        <f ca="1">IFERROR(__xludf.DUMMYFUNCTION("""COMPUTED_VALUE"""),"#N/A")</f>
        <v>#N/A</v>
      </c>
      <c r="AU763" s="6" t="str">
        <f ca="1">IFERROR(__xludf.DUMMYFUNCTION("""COMPUTED_VALUE"""),"FALSE")</f>
        <v>FALSE</v>
      </c>
      <c r="AV763" s="6">
        <f t="shared" si="42"/>
        <v>0</v>
      </c>
      <c r="AW763" s="6">
        <f t="shared" si="43"/>
        <v>0</v>
      </c>
      <c r="AX763" s="6">
        <f t="shared" si="44"/>
        <v>0</v>
      </c>
      <c r="AY763" s="6">
        <f t="shared" si="45"/>
        <v>0</v>
      </c>
      <c r="AZ763" s="9" t="str">
        <f t="shared" si="46"/>
        <v/>
      </c>
      <c r="BA763" s="6">
        <f t="shared" si="47"/>
        <v>0</v>
      </c>
      <c r="BB763" s="6">
        <f t="shared" si="48"/>
        <v>0</v>
      </c>
      <c r="BC763" s="9" t="str">
        <f t="shared" si="49"/>
        <v/>
      </c>
      <c r="BD763" s="6">
        <f t="shared" si="50"/>
        <v>0</v>
      </c>
      <c r="BE763" s="6">
        <f t="shared" si="51"/>
        <v>0</v>
      </c>
      <c r="BF763" s="9" t="str">
        <f t="shared" si="52"/>
        <v/>
      </c>
      <c r="BG763" s="6">
        <f t="shared" si="53"/>
        <v>0</v>
      </c>
      <c r="BH763" s="6">
        <f t="shared" si="54"/>
        <v>0</v>
      </c>
      <c r="BI763" s="9" t="str">
        <f t="shared" si="55"/>
        <v/>
      </c>
      <c r="BJ763" s="6">
        <f t="shared" si="56"/>
        <v>0</v>
      </c>
      <c r="BK763" s="6">
        <f t="shared" si="57"/>
        <v>0</v>
      </c>
      <c r="BL763" s="6">
        <f t="shared" si="58"/>
        <v>0</v>
      </c>
      <c r="BM763" s="6">
        <f t="shared" si="59"/>
        <v>0</v>
      </c>
      <c r="BN763" s="6">
        <f t="shared" si="60"/>
        <v>0</v>
      </c>
      <c r="BP763" s="6">
        <f t="shared" si="61"/>
        <v>0</v>
      </c>
      <c r="BQ763" s="6" t="b">
        <f ca="1">IFERROR(__xludf.DUMMYFUNCTION("IF(AND(ISERROR(FILTER('Items by Team'!D$2:D3410,'Items by Team'!C$2:C3410 = D763,'Items by Team'!B$2:B3410 = B763)),NOT(A763=""Practice"")),TRUE,FALSE)"),FALSE)</f>
        <v>0</v>
      </c>
      <c r="BR763" s="6">
        <f t="shared" ca="1" si="62"/>
        <v>0</v>
      </c>
    </row>
    <row r="764" spans="1:70">
      <c r="A764" s="6"/>
      <c r="B764" s="6"/>
      <c r="C764" s="6"/>
      <c r="D764" s="6"/>
      <c r="E764" s="6"/>
      <c r="F764" s="6"/>
      <c r="G764" s="6"/>
      <c r="H764" s="6"/>
      <c r="I764" s="6"/>
      <c r="J764" s="6"/>
      <c r="K764" s="6"/>
      <c r="L764" s="6"/>
      <c r="M764" s="6"/>
      <c r="N764" s="6"/>
      <c r="O764" s="6"/>
      <c r="P764" s="6"/>
      <c r="R764" s="6"/>
      <c r="S764" s="6"/>
      <c r="T764" s="6"/>
      <c r="U764" s="6"/>
      <c r="V764" s="6"/>
      <c r="W764" s="6"/>
      <c r="X764" s="6"/>
      <c r="Y764" s="6"/>
      <c r="Z764" s="6"/>
      <c r="AA764" s="6"/>
      <c r="AB764" s="6"/>
      <c r="AD764" s="6"/>
      <c r="AE764" s="6"/>
      <c r="AF764" s="6"/>
      <c r="AG764" s="6"/>
      <c r="AH764" s="6"/>
      <c r="AI764" s="6"/>
      <c r="AK764" s="6"/>
      <c r="AL764" s="6"/>
      <c r="AM764" s="6"/>
      <c r="AN764" s="6"/>
      <c r="AO764" s="6"/>
      <c r="AP764" s="6"/>
      <c r="AQ764" s="6"/>
      <c r="AR764" s="6"/>
      <c r="AS764" s="15"/>
      <c r="AT764" s="6" t="str">
        <f ca="1">IFERROR(__xludf.DUMMYFUNCTION("""COMPUTED_VALUE"""),"#N/A")</f>
        <v>#N/A</v>
      </c>
      <c r="AU764" s="6" t="str">
        <f ca="1">IFERROR(__xludf.DUMMYFUNCTION("""COMPUTED_VALUE"""),"FALSE")</f>
        <v>FALSE</v>
      </c>
      <c r="AV764" s="6">
        <f t="shared" si="42"/>
        <v>0</v>
      </c>
      <c r="AW764" s="6">
        <f t="shared" si="43"/>
        <v>0</v>
      </c>
      <c r="AX764" s="6">
        <f t="shared" si="44"/>
        <v>0</v>
      </c>
      <c r="AY764" s="6">
        <f t="shared" si="45"/>
        <v>0</v>
      </c>
      <c r="AZ764" s="9" t="str">
        <f t="shared" si="46"/>
        <v/>
      </c>
      <c r="BA764" s="6">
        <f t="shared" si="47"/>
        <v>0</v>
      </c>
      <c r="BB764" s="6">
        <f t="shared" si="48"/>
        <v>0</v>
      </c>
      <c r="BC764" s="9" t="str">
        <f t="shared" si="49"/>
        <v/>
      </c>
      <c r="BD764" s="6">
        <f t="shared" si="50"/>
        <v>0</v>
      </c>
      <c r="BE764" s="6">
        <f t="shared" si="51"/>
        <v>0</v>
      </c>
      <c r="BF764" s="9" t="str">
        <f t="shared" si="52"/>
        <v/>
      </c>
      <c r="BG764" s="6">
        <f t="shared" si="53"/>
        <v>0</v>
      </c>
      <c r="BH764" s="6">
        <f t="shared" si="54"/>
        <v>0</v>
      </c>
      <c r="BI764" s="9" t="str">
        <f t="shared" si="55"/>
        <v/>
      </c>
      <c r="BJ764" s="6">
        <f t="shared" si="56"/>
        <v>0</v>
      </c>
      <c r="BK764" s="6">
        <f t="shared" si="57"/>
        <v>0</v>
      </c>
      <c r="BL764" s="6">
        <f t="shared" si="58"/>
        <v>0</v>
      </c>
      <c r="BM764" s="6">
        <f t="shared" si="59"/>
        <v>0</v>
      </c>
      <c r="BN764" s="6">
        <f t="shared" si="60"/>
        <v>0</v>
      </c>
      <c r="BP764" s="6">
        <f t="shared" si="61"/>
        <v>0</v>
      </c>
      <c r="BQ764" s="6" t="b">
        <f ca="1">IFERROR(__xludf.DUMMYFUNCTION("IF(AND(ISERROR(FILTER('Items by Team'!D$2:D3410,'Items by Team'!C$2:C3410 = D764,'Items by Team'!B$2:B3410 = B764)),NOT(A764=""Practice"")),TRUE,FALSE)"),FALSE)</f>
        <v>0</v>
      </c>
      <c r="BR764" s="6">
        <f t="shared" ca="1" si="62"/>
        <v>0</v>
      </c>
    </row>
    <row r="765" spans="1:70">
      <c r="A765" s="6"/>
      <c r="B765" s="6"/>
      <c r="C765" s="6"/>
      <c r="D765" s="6"/>
      <c r="E765" s="6"/>
      <c r="F765" s="6"/>
      <c r="G765" s="6"/>
      <c r="H765" s="6"/>
      <c r="I765" s="6"/>
      <c r="J765" s="6"/>
      <c r="K765" s="6"/>
      <c r="L765" s="6"/>
      <c r="M765" s="6"/>
      <c r="N765" s="6"/>
      <c r="O765" s="6"/>
      <c r="P765" s="6"/>
      <c r="R765" s="6"/>
      <c r="S765" s="6"/>
      <c r="T765" s="6"/>
      <c r="U765" s="6"/>
      <c r="V765" s="6"/>
      <c r="W765" s="6"/>
      <c r="X765" s="6"/>
      <c r="Y765" s="6"/>
      <c r="Z765" s="6"/>
      <c r="AA765" s="6"/>
      <c r="AB765" s="6"/>
      <c r="AD765" s="6"/>
      <c r="AE765" s="6"/>
      <c r="AF765" s="6"/>
      <c r="AG765" s="6"/>
      <c r="AH765" s="6"/>
      <c r="AI765" s="6"/>
      <c r="AK765" s="6"/>
      <c r="AL765" s="6"/>
      <c r="AM765" s="6"/>
      <c r="AN765" s="6"/>
      <c r="AO765" s="6"/>
      <c r="AP765" s="6"/>
      <c r="AQ765" s="6"/>
      <c r="AR765" s="6"/>
      <c r="AS765" s="15"/>
      <c r="AT765" s="6" t="str">
        <f ca="1">IFERROR(__xludf.DUMMYFUNCTION("""COMPUTED_VALUE"""),"#N/A")</f>
        <v>#N/A</v>
      </c>
      <c r="AU765" s="6" t="str">
        <f ca="1">IFERROR(__xludf.DUMMYFUNCTION("""COMPUTED_VALUE"""),"FALSE")</f>
        <v>FALSE</v>
      </c>
      <c r="AV765" s="6">
        <f t="shared" si="42"/>
        <v>0</v>
      </c>
      <c r="AW765" s="6">
        <f t="shared" si="43"/>
        <v>0</v>
      </c>
      <c r="AX765" s="6">
        <f t="shared" si="44"/>
        <v>0</v>
      </c>
      <c r="AY765" s="6">
        <f t="shared" si="45"/>
        <v>0</v>
      </c>
      <c r="AZ765" s="9" t="str">
        <f t="shared" si="46"/>
        <v/>
      </c>
      <c r="BA765" s="6">
        <f t="shared" si="47"/>
        <v>0</v>
      </c>
      <c r="BB765" s="6">
        <f t="shared" si="48"/>
        <v>0</v>
      </c>
      <c r="BC765" s="9" t="str">
        <f t="shared" si="49"/>
        <v/>
      </c>
      <c r="BD765" s="6">
        <f t="shared" si="50"/>
        <v>0</v>
      </c>
      <c r="BE765" s="6">
        <f t="shared" si="51"/>
        <v>0</v>
      </c>
      <c r="BF765" s="9" t="str">
        <f t="shared" si="52"/>
        <v/>
      </c>
      <c r="BG765" s="6">
        <f t="shared" si="53"/>
        <v>0</v>
      </c>
      <c r="BH765" s="6">
        <f t="shared" si="54"/>
        <v>0</v>
      </c>
      <c r="BI765" s="9" t="str">
        <f t="shared" si="55"/>
        <v/>
      </c>
      <c r="BJ765" s="6">
        <f t="shared" si="56"/>
        <v>0</v>
      </c>
      <c r="BK765" s="6">
        <f t="shared" si="57"/>
        <v>0</v>
      </c>
      <c r="BL765" s="6">
        <f t="shared" si="58"/>
        <v>0</v>
      </c>
      <c r="BM765" s="6">
        <f t="shared" si="59"/>
        <v>0</v>
      </c>
      <c r="BN765" s="6">
        <f t="shared" si="60"/>
        <v>0</v>
      </c>
      <c r="BP765" s="6">
        <f t="shared" si="61"/>
        <v>0</v>
      </c>
      <c r="BQ765" s="6" t="b">
        <f ca="1">IFERROR(__xludf.DUMMYFUNCTION("IF(AND(ISERROR(FILTER('Items by Team'!D$2:D3410,'Items by Team'!C$2:C3410 = D765,'Items by Team'!B$2:B3410 = B765)),NOT(A765=""Practice"")),TRUE,FALSE)"),FALSE)</f>
        <v>0</v>
      </c>
      <c r="BR765" s="6">
        <f t="shared" ca="1" si="62"/>
        <v>0</v>
      </c>
    </row>
    <row r="766" spans="1:70">
      <c r="A766" s="6"/>
      <c r="B766" s="6"/>
      <c r="C766" s="6"/>
      <c r="D766" s="6"/>
      <c r="E766" s="6"/>
      <c r="F766" s="6"/>
      <c r="G766" s="6"/>
      <c r="H766" s="6"/>
      <c r="I766" s="6"/>
      <c r="J766" s="6"/>
      <c r="K766" s="6"/>
      <c r="L766" s="6"/>
      <c r="M766" s="6"/>
      <c r="N766" s="6"/>
      <c r="O766" s="6"/>
      <c r="P766" s="6"/>
      <c r="R766" s="6"/>
      <c r="S766" s="6"/>
      <c r="T766" s="6"/>
      <c r="U766" s="6"/>
      <c r="V766" s="6"/>
      <c r="W766" s="6"/>
      <c r="X766" s="6"/>
      <c r="Y766" s="6"/>
      <c r="Z766" s="6"/>
      <c r="AA766" s="6"/>
      <c r="AB766" s="6"/>
      <c r="AD766" s="6"/>
      <c r="AE766" s="6"/>
      <c r="AF766" s="6"/>
      <c r="AG766" s="6"/>
      <c r="AH766" s="6"/>
      <c r="AI766" s="6"/>
      <c r="AK766" s="6"/>
      <c r="AL766" s="6"/>
      <c r="AM766" s="6"/>
      <c r="AN766" s="6"/>
      <c r="AO766" s="6"/>
      <c r="AP766" s="6"/>
      <c r="AQ766" s="6"/>
      <c r="AR766" s="6"/>
      <c r="AS766" s="15"/>
      <c r="AT766" s="6" t="str">
        <f ca="1">IFERROR(__xludf.DUMMYFUNCTION("""COMPUTED_VALUE"""),"#N/A")</f>
        <v>#N/A</v>
      </c>
      <c r="AU766" s="6" t="str">
        <f ca="1">IFERROR(__xludf.DUMMYFUNCTION("""COMPUTED_VALUE"""),"FALSE")</f>
        <v>FALSE</v>
      </c>
      <c r="AV766" s="6">
        <f t="shared" si="42"/>
        <v>0</v>
      </c>
      <c r="AW766" s="6">
        <f t="shared" si="43"/>
        <v>0</v>
      </c>
      <c r="AX766" s="6">
        <f t="shared" si="44"/>
        <v>0</v>
      </c>
      <c r="AY766" s="6">
        <f t="shared" si="45"/>
        <v>0</v>
      </c>
      <c r="AZ766" s="9" t="str">
        <f t="shared" si="46"/>
        <v/>
      </c>
      <c r="BA766" s="6">
        <f t="shared" si="47"/>
        <v>0</v>
      </c>
      <c r="BB766" s="6">
        <f t="shared" si="48"/>
        <v>0</v>
      </c>
      <c r="BC766" s="9" t="str">
        <f t="shared" si="49"/>
        <v/>
      </c>
      <c r="BD766" s="6">
        <f t="shared" si="50"/>
        <v>0</v>
      </c>
      <c r="BE766" s="6">
        <f t="shared" si="51"/>
        <v>0</v>
      </c>
      <c r="BF766" s="9" t="str">
        <f t="shared" si="52"/>
        <v/>
      </c>
      <c r="BG766" s="6">
        <f t="shared" si="53"/>
        <v>0</v>
      </c>
      <c r="BH766" s="6">
        <f t="shared" si="54"/>
        <v>0</v>
      </c>
      <c r="BI766" s="9" t="str">
        <f t="shared" si="55"/>
        <v/>
      </c>
      <c r="BJ766" s="6">
        <f t="shared" si="56"/>
        <v>0</v>
      </c>
      <c r="BK766" s="6">
        <f t="shared" si="57"/>
        <v>0</v>
      </c>
      <c r="BL766" s="6">
        <f t="shared" si="58"/>
        <v>0</v>
      </c>
      <c r="BM766" s="6">
        <f t="shared" si="59"/>
        <v>0</v>
      </c>
      <c r="BN766" s="6">
        <f t="shared" si="60"/>
        <v>0</v>
      </c>
      <c r="BP766" s="6">
        <f t="shared" si="61"/>
        <v>0</v>
      </c>
      <c r="BQ766" s="6" t="b">
        <f ca="1">IFERROR(__xludf.DUMMYFUNCTION("IF(AND(ISERROR(FILTER('Items by Team'!D$2:D3410,'Items by Team'!C$2:C3410 = D766,'Items by Team'!B$2:B3410 = B766)),NOT(A766=""Practice"")),TRUE,FALSE)"),FALSE)</f>
        <v>0</v>
      </c>
      <c r="BR766" s="6">
        <f t="shared" ca="1" si="62"/>
        <v>0</v>
      </c>
    </row>
    <row r="767" spans="1:70">
      <c r="A767" s="6"/>
      <c r="B767" s="6"/>
      <c r="C767" s="6"/>
      <c r="D767" s="6"/>
      <c r="E767" s="6"/>
      <c r="F767" s="6"/>
      <c r="G767" s="6"/>
      <c r="H767" s="6"/>
      <c r="I767" s="6"/>
      <c r="J767" s="6"/>
      <c r="K767" s="6"/>
      <c r="L767" s="6"/>
      <c r="M767" s="6"/>
      <c r="N767" s="6"/>
      <c r="O767" s="6"/>
      <c r="P767" s="6"/>
      <c r="R767" s="6"/>
      <c r="S767" s="6"/>
      <c r="T767" s="6"/>
      <c r="U767" s="6"/>
      <c r="V767" s="6"/>
      <c r="W767" s="6"/>
      <c r="X767" s="6"/>
      <c r="Y767" s="6"/>
      <c r="Z767" s="6"/>
      <c r="AA767" s="6"/>
      <c r="AB767" s="6"/>
      <c r="AD767" s="6"/>
      <c r="AE767" s="6"/>
      <c r="AF767" s="6"/>
      <c r="AG767" s="6"/>
      <c r="AH767" s="6"/>
      <c r="AI767" s="6"/>
      <c r="AK767" s="6"/>
      <c r="AL767" s="6"/>
      <c r="AM767" s="6"/>
      <c r="AN767" s="6"/>
      <c r="AO767" s="6"/>
      <c r="AP767" s="6"/>
      <c r="AQ767" s="6"/>
      <c r="AR767" s="6"/>
      <c r="AS767" s="15"/>
      <c r="AT767" s="6" t="str">
        <f ca="1">IFERROR(__xludf.DUMMYFUNCTION("""COMPUTED_VALUE"""),"#N/A")</f>
        <v>#N/A</v>
      </c>
      <c r="AU767" s="6" t="str">
        <f ca="1">IFERROR(__xludf.DUMMYFUNCTION("""COMPUTED_VALUE"""),"FALSE")</f>
        <v>FALSE</v>
      </c>
      <c r="AV767" s="6">
        <f t="shared" si="42"/>
        <v>0</v>
      </c>
      <c r="AW767" s="6">
        <f t="shared" si="43"/>
        <v>0</v>
      </c>
      <c r="AX767" s="6">
        <f t="shared" si="44"/>
        <v>0</v>
      </c>
      <c r="AY767" s="6">
        <f t="shared" si="45"/>
        <v>0</v>
      </c>
      <c r="AZ767" s="9" t="str">
        <f t="shared" si="46"/>
        <v/>
      </c>
      <c r="BA767" s="6">
        <f t="shared" si="47"/>
        <v>0</v>
      </c>
      <c r="BB767" s="6">
        <f t="shared" si="48"/>
        <v>0</v>
      </c>
      <c r="BC767" s="9" t="str">
        <f t="shared" si="49"/>
        <v/>
      </c>
      <c r="BD767" s="6">
        <f t="shared" si="50"/>
        <v>0</v>
      </c>
      <c r="BE767" s="6">
        <f t="shared" si="51"/>
        <v>0</v>
      </c>
      <c r="BF767" s="9" t="str">
        <f t="shared" si="52"/>
        <v/>
      </c>
      <c r="BG767" s="6">
        <f t="shared" si="53"/>
        <v>0</v>
      </c>
      <c r="BH767" s="6">
        <f t="shared" si="54"/>
        <v>0</v>
      </c>
      <c r="BI767" s="9" t="str">
        <f t="shared" si="55"/>
        <v/>
      </c>
      <c r="BJ767" s="6">
        <f t="shared" si="56"/>
        <v>0</v>
      </c>
      <c r="BK767" s="6">
        <f t="shared" si="57"/>
        <v>0</v>
      </c>
      <c r="BL767" s="6">
        <f t="shared" si="58"/>
        <v>0</v>
      </c>
      <c r="BM767" s="6">
        <f t="shared" si="59"/>
        <v>0</v>
      </c>
      <c r="BN767" s="6">
        <f t="shared" si="60"/>
        <v>0</v>
      </c>
      <c r="BP767" s="6">
        <f t="shared" si="61"/>
        <v>0</v>
      </c>
      <c r="BQ767" s="6" t="b">
        <f ca="1">IFERROR(__xludf.DUMMYFUNCTION("IF(AND(ISERROR(FILTER('Items by Team'!D$2:D3410,'Items by Team'!C$2:C3410 = D767,'Items by Team'!B$2:B3410 = B767)),NOT(A767=""Practice"")),TRUE,FALSE)"),FALSE)</f>
        <v>0</v>
      </c>
      <c r="BR767" s="6">
        <f t="shared" ca="1" si="62"/>
        <v>0</v>
      </c>
    </row>
    <row r="768" spans="1:70">
      <c r="A768" s="6"/>
      <c r="B768" s="6"/>
      <c r="C768" s="6"/>
      <c r="D768" s="6"/>
      <c r="E768" s="6"/>
      <c r="F768" s="6"/>
      <c r="G768" s="6"/>
      <c r="H768" s="6"/>
      <c r="I768" s="6"/>
      <c r="J768" s="6"/>
      <c r="K768" s="6"/>
      <c r="L768" s="6"/>
      <c r="M768" s="6"/>
      <c r="N768" s="6"/>
      <c r="O768" s="6"/>
      <c r="P768" s="6"/>
      <c r="R768" s="6"/>
      <c r="S768" s="6"/>
      <c r="T768" s="6"/>
      <c r="U768" s="6"/>
      <c r="V768" s="6"/>
      <c r="W768" s="6"/>
      <c r="X768" s="6"/>
      <c r="Y768" s="6"/>
      <c r="Z768" s="6"/>
      <c r="AA768" s="6"/>
      <c r="AB768" s="6"/>
      <c r="AD768" s="6"/>
      <c r="AE768" s="6"/>
      <c r="AF768" s="6"/>
      <c r="AG768" s="6"/>
      <c r="AH768" s="6"/>
      <c r="AI768" s="6"/>
      <c r="AK768" s="6"/>
      <c r="AL768" s="6"/>
      <c r="AM768" s="6"/>
      <c r="AN768" s="6"/>
      <c r="AO768" s="6"/>
      <c r="AP768" s="6"/>
      <c r="AQ768" s="6"/>
      <c r="AR768" s="6"/>
      <c r="AS768" s="15"/>
      <c r="AT768" s="6" t="str">
        <f ca="1">IFERROR(__xludf.DUMMYFUNCTION("""COMPUTED_VALUE"""),"#N/A")</f>
        <v>#N/A</v>
      </c>
      <c r="AU768" s="6" t="str">
        <f ca="1">IFERROR(__xludf.DUMMYFUNCTION("""COMPUTED_VALUE"""),"FALSE")</f>
        <v>FALSE</v>
      </c>
      <c r="AV768" s="6">
        <f t="shared" ref="AV768:AV871" si="63">IFERROR(VALUE(AP768),"")</f>
        <v>0</v>
      </c>
      <c r="AW768" s="6">
        <f t="shared" ref="AW768:AW1001" si="64">IF(H768=TRUE,1,0)</f>
        <v>0</v>
      </c>
      <c r="AX768" s="6">
        <f t="shared" ref="AX768:AX1001" si="65">SUM($L768:$O768)</f>
        <v>0</v>
      </c>
      <c r="AY768" s="6">
        <f t="shared" ref="AY768:AY1001" si="66">SUM($L768:$P768)</f>
        <v>0</v>
      </c>
      <c r="AZ768" s="9" t="str">
        <f t="shared" ref="AZ768:AZ1001" si="67">IFERROR(AX768/AY768,"")</f>
        <v/>
      </c>
      <c r="BA768" s="6">
        <f t="shared" ref="BA768:BA1001" si="68">SUM($S768:$T768)</f>
        <v>0</v>
      </c>
      <c r="BB768" s="6">
        <f t="shared" ref="BB768:BB1001" si="69">SUM($T768:$U768)</f>
        <v>0</v>
      </c>
      <c r="BC768" s="9" t="str">
        <f t="shared" ref="BC768:BC1001" si="70">IFERROR($T768/$BB768,"")</f>
        <v/>
      </c>
      <c r="BD768" s="6">
        <f t="shared" ref="BD768:BD1001" si="71">SUM($X768)</f>
        <v>0</v>
      </c>
      <c r="BE768" s="6">
        <f t="shared" ref="BE768:BE1001" si="72">SUM($X768:$Y768)</f>
        <v>0</v>
      </c>
      <c r="BF768" s="9" t="str">
        <f t="shared" ref="BF768:BF1001" si="73">IFERROR(BD768/BE768,"")</f>
        <v/>
      </c>
      <c r="BG768" s="6">
        <f t="shared" ref="BG768:BG1001" si="74">SUM(AE768:AH768)</f>
        <v>0</v>
      </c>
      <c r="BH768" s="6">
        <f t="shared" ref="BH768:BH1001" si="75">SUM(AE768:AI768)</f>
        <v>0</v>
      </c>
      <c r="BI768" s="9" t="str">
        <f t="shared" ref="BI768:BI1001" si="76">IFERROR(BG768/BH768,"")</f>
        <v/>
      </c>
      <c r="BJ768" s="6">
        <f t="shared" ref="BJ768:BJ1001" si="77">IF(AQ768=TRUE,1,0)</f>
        <v>0</v>
      </c>
      <c r="BK768" s="6">
        <f t="shared" ref="BK768:BK1001" si="78">IF($I768&gt;0,1,0)</f>
        <v>0</v>
      </c>
      <c r="BL768" s="6">
        <f t="shared" ref="BL768:BL1001" si="79">IF($J768&gt;0,1,0)</f>
        <v>0</v>
      </c>
      <c r="BM768" s="6">
        <f t="shared" ref="BM768:BM1001" si="80">IF($K768&gt;0,1,0)</f>
        <v>0</v>
      </c>
      <c r="BN768" s="6">
        <f t="shared" ref="BN768:BN1001" si="81">IF($AB768=TRUE,1,0)</f>
        <v>0</v>
      </c>
      <c r="BP768" s="6">
        <f t="shared" ref="BP768:BP1001" si="82">IF($AD768=TRUE,1,0)</f>
        <v>0</v>
      </c>
      <c r="BQ768" s="6" t="b">
        <f ca="1">IFERROR(__xludf.DUMMYFUNCTION("IF(AND(ISERROR(FILTER('Items by Team'!D$2:D3410,'Items by Team'!C$2:C3410 = D768,'Items by Team'!B$2:B3410 = B768)),NOT(A768=""Practice"")),TRUE,FALSE)"),FALSE)</f>
        <v>0</v>
      </c>
      <c r="BR768" s="6">
        <f t="shared" ref="BR768:BR1001" ca="1" si="83">IFERROR(_xludf.IFS($AQ768=FALSE,"",$AP768="x",""),VALUE($AP768))</f>
        <v>0</v>
      </c>
    </row>
    <row r="769" spans="1:70">
      <c r="A769" s="6"/>
      <c r="B769" s="6"/>
      <c r="C769" s="6"/>
      <c r="D769" s="6"/>
      <c r="E769" s="6"/>
      <c r="F769" s="6"/>
      <c r="G769" s="6"/>
      <c r="H769" s="6"/>
      <c r="I769" s="6"/>
      <c r="J769" s="6"/>
      <c r="K769" s="6"/>
      <c r="L769" s="6"/>
      <c r="M769" s="6"/>
      <c r="N769" s="6"/>
      <c r="O769" s="6"/>
      <c r="P769" s="6"/>
      <c r="R769" s="6"/>
      <c r="S769" s="6"/>
      <c r="T769" s="6"/>
      <c r="U769" s="6"/>
      <c r="V769" s="6"/>
      <c r="W769" s="6"/>
      <c r="X769" s="6"/>
      <c r="Y769" s="6"/>
      <c r="Z769" s="6"/>
      <c r="AA769" s="6"/>
      <c r="AB769" s="6"/>
      <c r="AD769" s="6"/>
      <c r="AE769" s="6"/>
      <c r="AF769" s="6"/>
      <c r="AG769" s="6"/>
      <c r="AH769" s="6"/>
      <c r="AI769" s="6"/>
      <c r="AK769" s="6"/>
      <c r="AL769" s="6"/>
      <c r="AM769" s="6"/>
      <c r="AN769" s="6"/>
      <c r="AO769" s="6"/>
      <c r="AP769" s="6"/>
      <c r="AQ769" s="6"/>
      <c r="AR769" s="6"/>
      <c r="AS769" s="15"/>
      <c r="AT769" s="6" t="str">
        <f ca="1">IFERROR(__xludf.DUMMYFUNCTION("""COMPUTED_VALUE"""),"#N/A")</f>
        <v>#N/A</v>
      </c>
      <c r="AU769" s="6" t="str">
        <f ca="1">IFERROR(__xludf.DUMMYFUNCTION("""COMPUTED_VALUE"""),"FALSE")</f>
        <v>FALSE</v>
      </c>
      <c r="AV769" s="6">
        <f t="shared" si="63"/>
        <v>0</v>
      </c>
      <c r="AW769" s="6">
        <f t="shared" si="64"/>
        <v>0</v>
      </c>
      <c r="AX769" s="6">
        <f t="shared" si="65"/>
        <v>0</v>
      </c>
      <c r="AY769" s="6">
        <f t="shared" si="66"/>
        <v>0</v>
      </c>
      <c r="AZ769" s="9" t="str">
        <f t="shared" si="67"/>
        <v/>
      </c>
      <c r="BA769" s="6">
        <f t="shared" si="68"/>
        <v>0</v>
      </c>
      <c r="BB769" s="6">
        <f t="shared" si="69"/>
        <v>0</v>
      </c>
      <c r="BC769" s="9" t="str">
        <f t="shared" si="70"/>
        <v/>
      </c>
      <c r="BD769" s="6">
        <f t="shared" si="71"/>
        <v>0</v>
      </c>
      <c r="BE769" s="6">
        <f t="shared" si="72"/>
        <v>0</v>
      </c>
      <c r="BF769" s="9" t="str">
        <f t="shared" si="73"/>
        <v/>
      </c>
      <c r="BG769" s="6">
        <f t="shared" si="74"/>
        <v>0</v>
      </c>
      <c r="BH769" s="6">
        <f t="shared" si="75"/>
        <v>0</v>
      </c>
      <c r="BI769" s="9" t="str">
        <f t="shared" si="76"/>
        <v/>
      </c>
      <c r="BJ769" s="6">
        <f t="shared" si="77"/>
        <v>0</v>
      </c>
      <c r="BK769" s="6">
        <f t="shared" si="78"/>
        <v>0</v>
      </c>
      <c r="BL769" s="6">
        <f t="shared" si="79"/>
        <v>0</v>
      </c>
      <c r="BM769" s="6">
        <f t="shared" si="80"/>
        <v>0</v>
      </c>
      <c r="BN769" s="6">
        <f t="shared" si="81"/>
        <v>0</v>
      </c>
      <c r="BP769" s="6">
        <f t="shared" si="82"/>
        <v>0</v>
      </c>
      <c r="BQ769" s="6" t="b">
        <f ca="1">IFERROR(__xludf.DUMMYFUNCTION("IF(AND(ISERROR(FILTER('Items by Team'!D$2:D3410,'Items by Team'!C$2:C3410 = D769,'Items by Team'!B$2:B3410 = B769)),NOT(A769=""Practice"")),TRUE,FALSE)"),FALSE)</f>
        <v>0</v>
      </c>
      <c r="BR769" s="6">
        <f t="shared" ca="1" si="83"/>
        <v>0</v>
      </c>
    </row>
    <row r="770" spans="1:70">
      <c r="A770" s="6"/>
      <c r="B770" s="6"/>
      <c r="C770" s="6"/>
      <c r="D770" s="6"/>
      <c r="E770" s="6"/>
      <c r="F770" s="6"/>
      <c r="G770" s="6"/>
      <c r="H770" s="6"/>
      <c r="I770" s="6"/>
      <c r="J770" s="6"/>
      <c r="K770" s="6"/>
      <c r="L770" s="6"/>
      <c r="M770" s="6"/>
      <c r="N770" s="6"/>
      <c r="O770" s="6"/>
      <c r="P770" s="6"/>
      <c r="R770" s="6"/>
      <c r="S770" s="6"/>
      <c r="T770" s="6"/>
      <c r="U770" s="6"/>
      <c r="V770" s="6"/>
      <c r="W770" s="6"/>
      <c r="X770" s="6"/>
      <c r="Y770" s="6"/>
      <c r="Z770" s="6"/>
      <c r="AA770" s="6"/>
      <c r="AB770" s="6"/>
      <c r="AD770" s="6"/>
      <c r="AE770" s="6"/>
      <c r="AF770" s="6"/>
      <c r="AG770" s="6"/>
      <c r="AH770" s="6"/>
      <c r="AI770" s="6"/>
      <c r="AK770" s="6"/>
      <c r="AL770" s="6"/>
      <c r="AM770" s="6"/>
      <c r="AN770" s="6"/>
      <c r="AO770" s="6"/>
      <c r="AP770" s="6"/>
      <c r="AQ770" s="6"/>
      <c r="AR770" s="6"/>
      <c r="AS770" s="15"/>
      <c r="AT770" s="6" t="str">
        <f ca="1">IFERROR(__xludf.DUMMYFUNCTION("""COMPUTED_VALUE"""),"#N/A")</f>
        <v>#N/A</v>
      </c>
      <c r="AU770" s="6" t="str">
        <f ca="1">IFERROR(__xludf.DUMMYFUNCTION("""COMPUTED_VALUE"""),"FALSE")</f>
        <v>FALSE</v>
      </c>
      <c r="AV770" s="6">
        <f t="shared" si="63"/>
        <v>0</v>
      </c>
      <c r="AW770" s="6">
        <f t="shared" si="64"/>
        <v>0</v>
      </c>
      <c r="AX770" s="6">
        <f t="shared" si="65"/>
        <v>0</v>
      </c>
      <c r="AY770" s="6">
        <f t="shared" si="66"/>
        <v>0</v>
      </c>
      <c r="AZ770" s="9" t="str">
        <f t="shared" si="67"/>
        <v/>
      </c>
      <c r="BA770" s="6">
        <f t="shared" si="68"/>
        <v>0</v>
      </c>
      <c r="BB770" s="6">
        <f t="shared" si="69"/>
        <v>0</v>
      </c>
      <c r="BC770" s="9" t="str">
        <f t="shared" si="70"/>
        <v/>
      </c>
      <c r="BD770" s="6">
        <f t="shared" si="71"/>
        <v>0</v>
      </c>
      <c r="BE770" s="6">
        <f t="shared" si="72"/>
        <v>0</v>
      </c>
      <c r="BF770" s="9" t="str">
        <f t="shared" si="73"/>
        <v/>
      </c>
      <c r="BG770" s="6">
        <f t="shared" si="74"/>
        <v>0</v>
      </c>
      <c r="BH770" s="6">
        <f t="shared" si="75"/>
        <v>0</v>
      </c>
      <c r="BI770" s="9" t="str">
        <f t="shared" si="76"/>
        <v/>
      </c>
      <c r="BJ770" s="6">
        <f t="shared" si="77"/>
        <v>0</v>
      </c>
      <c r="BK770" s="6">
        <f t="shared" si="78"/>
        <v>0</v>
      </c>
      <c r="BL770" s="6">
        <f t="shared" si="79"/>
        <v>0</v>
      </c>
      <c r="BM770" s="6">
        <f t="shared" si="80"/>
        <v>0</v>
      </c>
      <c r="BN770" s="6">
        <f t="shared" si="81"/>
        <v>0</v>
      </c>
      <c r="BP770" s="6">
        <f t="shared" si="82"/>
        <v>0</v>
      </c>
      <c r="BQ770" s="6" t="b">
        <f ca="1">IFERROR(__xludf.DUMMYFUNCTION("IF(AND(ISERROR(FILTER('Items by Team'!D$2:D3410,'Items by Team'!C$2:C3410 = D770,'Items by Team'!B$2:B3410 = B770)),NOT(A770=""Practice"")),TRUE,FALSE)"),FALSE)</f>
        <v>0</v>
      </c>
      <c r="BR770" s="6">
        <f t="shared" ca="1" si="83"/>
        <v>0</v>
      </c>
    </row>
    <row r="771" spans="1:70">
      <c r="A771" s="6"/>
      <c r="B771" s="6"/>
      <c r="C771" s="6"/>
      <c r="D771" s="6"/>
      <c r="E771" s="6"/>
      <c r="F771" s="6"/>
      <c r="G771" s="6"/>
      <c r="H771" s="6"/>
      <c r="I771" s="6"/>
      <c r="J771" s="6"/>
      <c r="K771" s="6"/>
      <c r="L771" s="6"/>
      <c r="M771" s="6"/>
      <c r="N771" s="6"/>
      <c r="O771" s="6"/>
      <c r="P771" s="6"/>
      <c r="R771" s="6"/>
      <c r="S771" s="6"/>
      <c r="T771" s="6"/>
      <c r="U771" s="6"/>
      <c r="V771" s="6"/>
      <c r="W771" s="6"/>
      <c r="X771" s="6"/>
      <c r="Y771" s="6"/>
      <c r="Z771" s="6"/>
      <c r="AA771" s="6"/>
      <c r="AB771" s="6"/>
      <c r="AD771" s="6"/>
      <c r="AE771" s="6"/>
      <c r="AF771" s="6"/>
      <c r="AG771" s="6"/>
      <c r="AH771" s="6"/>
      <c r="AI771" s="6"/>
      <c r="AK771" s="6"/>
      <c r="AL771" s="6"/>
      <c r="AM771" s="6"/>
      <c r="AN771" s="6"/>
      <c r="AO771" s="6"/>
      <c r="AP771" s="6"/>
      <c r="AQ771" s="6"/>
      <c r="AR771" s="6"/>
      <c r="AS771" s="15"/>
      <c r="AT771" s="6" t="str">
        <f ca="1">IFERROR(__xludf.DUMMYFUNCTION("""COMPUTED_VALUE"""),"#N/A")</f>
        <v>#N/A</v>
      </c>
      <c r="AU771" s="6" t="str">
        <f ca="1">IFERROR(__xludf.DUMMYFUNCTION("""COMPUTED_VALUE"""),"FALSE")</f>
        <v>FALSE</v>
      </c>
      <c r="AV771" s="6">
        <f t="shared" si="63"/>
        <v>0</v>
      </c>
      <c r="AW771" s="6">
        <f t="shared" si="64"/>
        <v>0</v>
      </c>
      <c r="AX771" s="6">
        <f t="shared" si="65"/>
        <v>0</v>
      </c>
      <c r="AY771" s="6">
        <f t="shared" si="66"/>
        <v>0</v>
      </c>
      <c r="AZ771" s="9" t="str">
        <f t="shared" si="67"/>
        <v/>
      </c>
      <c r="BA771" s="6">
        <f t="shared" si="68"/>
        <v>0</v>
      </c>
      <c r="BB771" s="6">
        <f t="shared" si="69"/>
        <v>0</v>
      </c>
      <c r="BC771" s="9" t="str">
        <f t="shared" si="70"/>
        <v/>
      </c>
      <c r="BD771" s="6">
        <f t="shared" si="71"/>
        <v>0</v>
      </c>
      <c r="BE771" s="6">
        <f t="shared" si="72"/>
        <v>0</v>
      </c>
      <c r="BF771" s="9" t="str">
        <f t="shared" si="73"/>
        <v/>
      </c>
      <c r="BG771" s="6">
        <f t="shared" si="74"/>
        <v>0</v>
      </c>
      <c r="BH771" s="6">
        <f t="shared" si="75"/>
        <v>0</v>
      </c>
      <c r="BI771" s="9" t="str">
        <f t="shared" si="76"/>
        <v/>
      </c>
      <c r="BJ771" s="6">
        <f t="shared" si="77"/>
        <v>0</v>
      </c>
      <c r="BK771" s="6">
        <f t="shared" si="78"/>
        <v>0</v>
      </c>
      <c r="BL771" s="6">
        <f t="shared" si="79"/>
        <v>0</v>
      </c>
      <c r="BM771" s="6">
        <f t="shared" si="80"/>
        <v>0</v>
      </c>
      <c r="BN771" s="6">
        <f t="shared" si="81"/>
        <v>0</v>
      </c>
      <c r="BP771" s="6">
        <f t="shared" si="82"/>
        <v>0</v>
      </c>
      <c r="BQ771" s="6" t="b">
        <f ca="1">IFERROR(__xludf.DUMMYFUNCTION("IF(AND(ISERROR(FILTER('Items by Team'!D$2:D3410,'Items by Team'!C$2:C3410 = D771,'Items by Team'!B$2:B3410 = B771)),NOT(A771=""Practice"")),TRUE,FALSE)"),FALSE)</f>
        <v>0</v>
      </c>
      <c r="BR771" s="6">
        <f t="shared" ca="1" si="83"/>
        <v>0</v>
      </c>
    </row>
    <row r="772" spans="1:70">
      <c r="A772" s="6"/>
      <c r="B772" s="6"/>
      <c r="C772" s="6"/>
      <c r="D772" s="6"/>
      <c r="E772" s="6"/>
      <c r="F772" s="6"/>
      <c r="G772" s="6"/>
      <c r="H772" s="6"/>
      <c r="I772" s="6"/>
      <c r="J772" s="6"/>
      <c r="K772" s="6"/>
      <c r="L772" s="6"/>
      <c r="M772" s="6"/>
      <c r="N772" s="6"/>
      <c r="O772" s="6"/>
      <c r="P772" s="6"/>
      <c r="R772" s="6"/>
      <c r="S772" s="6"/>
      <c r="T772" s="6"/>
      <c r="U772" s="6"/>
      <c r="V772" s="6"/>
      <c r="W772" s="6"/>
      <c r="X772" s="6"/>
      <c r="Y772" s="6"/>
      <c r="Z772" s="6"/>
      <c r="AA772" s="6"/>
      <c r="AB772" s="6"/>
      <c r="AD772" s="6"/>
      <c r="AE772" s="6"/>
      <c r="AF772" s="6"/>
      <c r="AG772" s="6"/>
      <c r="AH772" s="6"/>
      <c r="AI772" s="6"/>
      <c r="AK772" s="6"/>
      <c r="AL772" s="6"/>
      <c r="AM772" s="6"/>
      <c r="AN772" s="6"/>
      <c r="AO772" s="6"/>
      <c r="AP772" s="6"/>
      <c r="AQ772" s="6"/>
      <c r="AR772" s="6"/>
      <c r="AS772" s="15"/>
      <c r="AT772" s="6" t="str">
        <f ca="1">IFERROR(__xludf.DUMMYFUNCTION("""COMPUTED_VALUE"""),"#N/A")</f>
        <v>#N/A</v>
      </c>
      <c r="AU772" s="6" t="str">
        <f ca="1">IFERROR(__xludf.DUMMYFUNCTION("""COMPUTED_VALUE"""),"FALSE")</f>
        <v>FALSE</v>
      </c>
      <c r="AV772" s="6">
        <f t="shared" si="63"/>
        <v>0</v>
      </c>
      <c r="AW772" s="6">
        <f t="shared" si="64"/>
        <v>0</v>
      </c>
      <c r="AX772" s="6">
        <f t="shared" si="65"/>
        <v>0</v>
      </c>
      <c r="AY772" s="6">
        <f t="shared" si="66"/>
        <v>0</v>
      </c>
      <c r="AZ772" s="9" t="str">
        <f t="shared" si="67"/>
        <v/>
      </c>
      <c r="BA772" s="6">
        <f t="shared" si="68"/>
        <v>0</v>
      </c>
      <c r="BB772" s="6">
        <f t="shared" si="69"/>
        <v>0</v>
      </c>
      <c r="BC772" s="9" t="str">
        <f t="shared" si="70"/>
        <v/>
      </c>
      <c r="BD772" s="6">
        <f t="shared" si="71"/>
        <v>0</v>
      </c>
      <c r="BE772" s="6">
        <f t="shared" si="72"/>
        <v>0</v>
      </c>
      <c r="BF772" s="9" t="str">
        <f t="shared" si="73"/>
        <v/>
      </c>
      <c r="BG772" s="6">
        <f t="shared" si="74"/>
        <v>0</v>
      </c>
      <c r="BH772" s="6">
        <f t="shared" si="75"/>
        <v>0</v>
      </c>
      <c r="BI772" s="9" t="str">
        <f t="shared" si="76"/>
        <v/>
      </c>
      <c r="BJ772" s="6">
        <f t="shared" si="77"/>
        <v>0</v>
      </c>
      <c r="BK772" s="6">
        <f t="shared" si="78"/>
        <v>0</v>
      </c>
      <c r="BL772" s="6">
        <f t="shared" si="79"/>
        <v>0</v>
      </c>
      <c r="BM772" s="6">
        <f t="shared" si="80"/>
        <v>0</v>
      </c>
      <c r="BN772" s="6">
        <f t="shared" si="81"/>
        <v>0</v>
      </c>
      <c r="BP772" s="6">
        <f t="shared" si="82"/>
        <v>0</v>
      </c>
      <c r="BQ772" s="6" t="b">
        <f ca="1">IFERROR(__xludf.DUMMYFUNCTION("IF(AND(ISERROR(FILTER('Items by Team'!D$2:D3410,'Items by Team'!C$2:C3410 = D772,'Items by Team'!B$2:B3410 = B772)),NOT(A772=""Practice"")),TRUE,FALSE)"),FALSE)</f>
        <v>0</v>
      </c>
      <c r="BR772" s="6">
        <f t="shared" ca="1" si="83"/>
        <v>0</v>
      </c>
    </row>
    <row r="773" spans="1:70">
      <c r="A773" s="6"/>
      <c r="B773" s="6"/>
      <c r="C773" s="6"/>
      <c r="D773" s="6"/>
      <c r="E773" s="6"/>
      <c r="F773" s="6"/>
      <c r="G773" s="6"/>
      <c r="H773" s="6"/>
      <c r="I773" s="6"/>
      <c r="J773" s="6"/>
      <c r="K773" s="6"/>
      <c r="L773" s="6"/>
      <c r="M773" s="6"/>
      <c r="N773" s="6"/>
      <c r="O773" s="6"/>
      <c r="P773" s="6"/>
      <c r="R773" s="6"/>
      <c r="S773" s="6"/>
      <c r="T773" s="6"/>
      <c r="U773" s="6"/>
      <c r="V773" s="6"/>
      <c r="W773" s="6"/>
      <c r="X773" s="6"/>
      <c r="Y773" s="6"/>
      <c r="Z773" s="6"/>
      <c r="AA773" s="6"/>
      <c r="AB773" s="6"/>
      <c r="AD773" s="6"/>
      <c r="AE773" s="6"/>
      <c r="AF773" s="6"/>
      <c r="AG773" s="6"/>
      <c r="AH773" s="6"/>
      <c r="AI773" s="6"/>
      <c r="AK773" s="6"/>
      <c r="AL773" s="6"/>
      <c r="AM773" s="6"/>
      <c r="AN773" s="6"/>
      <c r="AO773" s="6"/>
      <c r="AP773" s="6"/>
      <c r="AQ773" s="6"/>
      <c r="AR773" s="6"/>
      <c r="AS773" s="15"/>
      <c r="AT773" s="6" t="str">
        <f ca="1">IFERROR(__xludf.DUMMYFUNCTION("""COMPUTED_VALUE"""),"#N/A")</f>
        <v>#N/A</v>
      </c>
      <c r="AU773" s="6" t="str">
        <f ca="1">IFERROR(__xludf.DUMMYFUNCTION("""COMPUTED_VALUE"""),"FALSE")</f>
        <v>FALSE</v>
      </c>
      <c r="AV773" s="6">
        <f t="shared" si="63"/>
        <v>0</v>
      </c>
      <c r="AW773" s="6">
        <f t="shared" si="64"/>
        <v>0</v>
      </c>
      <c r="AX773" s="6">
        <f t="shared" si="65"/>
        <v>0</v>
      </c>
      <c r="AY773" s="6">
        <f t="shared" si="66"/>
        <v>0</v>
      </c>
      <c r="AZ773" s="9" t="str">
        <f t="shared" si="67"/>
        <v/>
      </c>
      <c r="BA773" s="6">
        <f t="shared" si="68"/>
        <v>0</v>
      </c>
      <c r="BB773" s="6">
        <f t="shared" si="69"/>
        <v>0</v>
      </c>
      <c r="BC773" s="9" t="str">
        <f t="shared" si="70"/>
        <v/>
      </c>
      <c r="BD773" s="6">
        <f t="shared" si="71"/>
        <v>0</v>
      </c>
      <c r="BE773" s="6">
        <f t="shared" si="72"/>
        <v>0</v>
      </c>
      <c r="BF773" s="9" t="str">
        <f t="shared" si="73"/>
        <v/>
      </c>
      <c r="BG773" s="6">
        <f t="shared" si="74"/>
        <v>0</v>
      </c>
      <c r="BH773" s="6">
        <f t="shared" si="75"/>
        <v>0</v>
      </c>
      <c r="BI773" s="9" t="str">
        <f t="shared" si="76"/>
        <v/>
      </c>
      <c r="BJ773" s="6">
        <f t="shared" si="77"/>
        <v>0</v>
      </c>
      <c r="BK773" s="6">
        <f t="shared" si="78"/>
        <v>0</v>
      </c>
      <c r="BL773" s="6">
        <f t="shared" si="79"/>
        <v>0</v>
      </c>
      <c r="BM773" s="6">
        <f t="shared" si="80"/>
        <v>0</v>
      </c>
      <c r="BN773" s="6">
        <f t="shared" si="81"/>
        <v>0</v>
      </c>
      <c r="BP773" s="6">
        <f t="shared" si="82"/>
        <v>0</v>
      </c>
      <c r="BQ773" s="6" t="b">
        <f ca="1">IFERROR(__xludf.DUMMYFUNCTION("IF(AND(ISERROR(FILTER('Items by Team'!D$2:D3410,'Items by Team'!C$2:C3410 = D773,'Items by Team'!B$2:B3410 = B773)),NOT(A773=""Practice"")),TRUE,FALSE)"),FALSE)</f>
        <v>0</v>
      </c>
      <c r="BR773" s="6">
        <f t="shared" ca="1" si="83"/>
        <v>0</v>
      </c>
    </row>
    <row r="774" spans="1:70">
      <c r="A774" s="6"/>
      <c r="B774" s="6"/>
      <c r="C774" s="6"/>
      <c r="D774" s="6"/>
      <c r="E774" s="6"/>
      <c r="F774" s="6"/>
      <c r="G774" s="6"/>
      <c r="H774" s="6"/>
      <c r="I774" s="6"/>
      <c r="J774" s="6"/>
      <c r="K774" s="6"/>
      <c r="L774" s="6"/>
      <c r="M774" s="6"/>
      <c r="N774" s="6"/>
      <c r="O774" s="6"/>
      <c r="P774" s="6"/>
      <c r="R774" s="6"/>
      <c r="S774" s="6"/>
      <c r="T774" s="6"/>
      <c r="U774" s="6"/>
      <c r="V774" s="6"/>
      <c r="W774" s="6"/>
      <c r="X774" s="6"/>
      <c r="Y774" s="6"/>
      <c r="Z774" s="6"/>
      <c r="AA774" s="6"/>
      <c r="AB774" s="6"/>
      <c r="AD774" s="6"/>
      <c r="AE774" s="6"/>
      <c r="AF774" s="6"/>
      <c r="AG774" s="6"/>
      <c r="AH774" s="6"/>
      <c r="AI774" s="6"/>
      <c r="AK774" s="6"/>
      <c r="AL774" s="6"/>
      <c r="AM774" s="6"/>
      <c r="AN774" s="6"/>
      <c r="AO774" s="6"/>
      <c r="AP774" s="6"/>
      <c r="AQ774" s="6"/>
      <c r="AR774" s="6"/>
      <c r="AS774" s="15"/>
      <c r="AT774" s="6" t="str">
        <f ca="1">IFERROR(__xludf.DUMMYFUNCTION("""COMPUTED_VALUE"""),"#N/A")</f>
        <v>#N/A</v>
      </c>
      <c r="AU774" s="6" t="str">
        <f ca="1">IFERROR(__xludf.DUMMYFUNCTION("""COMPUTED_VALUE"""),"FALSE")</f>
        <v>FALSE</v>
      </c>
      <c r="AV774" s="6">
        <f t="shared" si="63"/>
        <v>0</v>
      </c>
      <c r="AW774" s="6">
        <f t="shared" si="64"/>
        <v>0</v>
      </c>
      <c r="AX774" s="6">
        <f t="shared" si="65"/>
        <v>0</v>
      </c>
      <c r="AY774" s="6">
        <f t="shared" si="66"/>
        <v>0</v>
      </c>
      <c r="AZ774" s="9" t="str">
        <f t="shared" si="67"/>
        <v/>
      </c>
      <c r="BA774" s="6">
        <f t="shared" si="68"/>
        <v>0</v>
      </c>
      <c r="BB774" s="6">
        <f t="shared" si="69"/>
        <v>0</v>
      </c>
      <c r="BC774" s="9" t="str">
        <f t="shared" si="70"/>
        <v/>
      </c>
      <c r="BD774" s="6">
        <f t="shared" si="71"/>
        <v>0</v>
      </c>
      <c r="BE774" s="6">
        <f t="shared" si="72"/>
        <v>0</v>
      </c>
      <c r="BF774" s="9" t="str">
        <f t="shared" si="73"/>
        <v/>
      </c>
      <c r="BG774" s="6">
        <f t="shared" si="74"/>
        <v>0</v>
      </c>
      <c r="BH774" s="6">
        <f t="shared" si="75"/>
        <v>0</v>
      </c>
      <c r="BI774" s="9" t="str">
        <f t="shared" si="76"/>
        <v/>
      </c>
      <c r="BJ774" s="6">
        <f t="shared" si="77"/>
        <v>0</v>
      </c>
      <c r="BK774" s="6">
        <f t="shared" si="78"/>
        <v>0</v>
      </c>
      <c r="BL774" s="6">
        <f t="shared" si="79"/>
        <v>0</v>
      </c>
      <c r="BM774" s="6">
        <f t="shared" si="80"/>
        <v>0</v>
      </c>
      <c r="BN774" s="6">
        <f t="shared" si="81"/>
        <v>0</v>
      </c>
      <c r="BP774" s="6">
        <f t="shared" si="82"/>
        <v>0</v>
      </c>
      <c r="BQ774" s="6" t="b">
        <f ca="1">IFERROR(__xludf.DUMMYFUNCTION("IF(AND(ISERROR(FILTER('Items by Team'!D$2:D3410,'Items by Team'!C$2:C3410 = D774,'Items by Team'!B$2:B3410 = B774)),NOT(A774=""Practice"")),TRUE,FALSE)"),FALSE)</f>
        <v>0</v>
      </c>
      <c r="BR774" s="6">
        <f t="shared" ca="1" si="83"/>
        <v>0</v>
      </c>
    </row>
    <row r="775" spans="1:70">
      <c r="A775" s="6"/>
      <c r="B775" s="6"/>
      <c r="C775" s="6"/>
      <c r="D775" s="6"/>
      <c r="E775" s="6"/>
      <c r="F775" s="6"/>
      <c r="G775" s="6"/>
      <c r="H775" s="6"/>
      <c r="I775" s="6"/>
      <c r="J775" s="6"/>
      <c r="K775" s="6"/>
      <c r="L775" s="6"/>
      <c r="M775" s="6"/>
      <c r="N775" s="6"/>
      <c r="O775" s="6"/>
      <c r="P775" s="6"/>
      <c r="R775" s="6"/>
      <c r="S775" s="6"/>
      <c r="T775" s="6"/>
      <c r="U775" s="6"/>
      <c r="V775" s="6"/>
      <c r="W775" s="6"/>
      <c r="X775" s="6"/>
      <c r="Y775" s="6"/>
      <c r="Z775" s="6"/>
      <c r="AA775" s="6"/>
      <c r="AB775" s="6"/>
      <c r="AD775" s="6"/>
      <c r="AE775" s="6"/>
      <c r="AF775" s="6"/>
      <c r="AG775" s="6"/>
      <c r="AH775" s="6"/>
      <c r="AI775" s="6"/>
      <c r="AK775" s="6"/>
      <c r="AL775" s="6"/>
      <c r="AM775" s="6"/>
      <c r="AN775" s="6"/>
      <c r="AO775" s="6"/>
      <c r="AP775" s="6"/>
      <c r="AQ775" s="6"/>
      <c r="AR775" s="6"/>
      <c r="AS775" s="15"/>
      <c r="AT775" s="6" t="str">
        <f ca="1">IFERROR(__xludf.DUMMYFUNCTION("""COMPUTED_VALUE"""),"#N/A")</f>
        <v>#N/A</v>
      </c>
      <c r="AU775" s="6" t="str">
        <f ca="1">IFERROR(__xludf.DUMMYFUNCTION("""COMPUTED_VALUE"""),"FALSE")</f>
        <v>FALSE</v>
      </c>
      <c r="AV775" s="6">
        <f t="shared" si="63"/>
        <v>0</v>
      </c>
      <c r="AW775" s="6">
        <f t="shared" si="64"/>
        <v>0</v>
      </c>
      <c r="AX775" s="6">
        <f t="shared" si="65"/>
        <v>0</v>
      </c>
      <c r="AY775" s="6">
        <f t="shared" si="66"/>
        <v>0</v>
      </c>
      <c r="AZ775" s="9" t="str">
        <f t="shared" si="67"/>
        <v/>
      </c>
      <c r="BA775" s="6">
        <f t="shared" si="68"/>
        <v>0</v>
      </c>
      <c r="BB775" s="6">
        <f t="shared" si="69"/>
        <v>0</v>
      </c>
      <c r="BC775" s="9" t="str">
        <f t="shared" si="70"/>
        <v/>
      </c>
      <c r="BD775" s="6">
        <f t="shared" si="71"/>
        <v>0</v>
      </c>
      <c r="BE775" s="6">
        <f t="shared" si="72"/>
        <v>0</v>
      </c>
      <c r="BF775" s="9" t="str">
        <f t="shared" si="73"/>
        <v/>
      </c>
      <c r="BG775" s="6">
        <f t="shared" si="74"/>
        <v>0</v>
      </c>
      <c r="BH775" s="6">
        <f t="shared" si="75"/>
        <v>0</v>
      </c>
      <c r="BI775" s="9" t="str">
        <f t="shared" si="76"/>
        <v/>
      </c>
      <c r="BJ775" s="6">
        <f t="shared" si="77"/>
        <v>0</v>
      </c>
      <c r="BK775" s="6">
        <f t="shared" si="78"/>
        <v>0</v>
      </c>
      <c r="BL775" s="6">
        <f t="shared" si="79"/>
        <v>0</v>
      </c>
      <c r="BM775" s="6">
        <f t="shared" si="80"/>
        <v>0</v>
      </c>
      <c r="BN775" s="6">
        <f t="shared" si="81"/>
        <v>0</v>
      </c>
      <c r="BP775" s="6">
        <f t="shared" si="82"/>
        <v>0</v>
      </c>
      <c r="BQ775" s="6" t="b">
        <f ca="1">IFERROR(__xludf.DUMMYFUNCTION("IF(AND(ISERROR(FILTER('Items by Team'!D$2:D3410,'Items by Team'!C$2:C3410 = D775,'Items by Team'!B$2:B3410 = B775)),NOT(A775=""Practice"")),TRUE,FALSE)"),FALSE)</f>
        <v>0</v>
      </c>
      <c r="BR775" s="6">
        <f t="shared" ca="1" si="83"/>
        <v>0</v>
      </c>
    </row>
    <row r="776" spans="1:70">
      <c r="A776" s="6"/>
      <c r="B776" s="6"/>
      <c r="C776" s="6"/>
      <c r="D776" s="6"/>
      <c r="E776" s="6"/>
      <c r="F776" s="6"/>
      <c r="G776" s="6"/>
      <c r="H776" s="6"/>
      <c r="I776" s="6"/>
      <c r="J776" s="6"/>
      <c r="K776" s="6"/>
      <c r="L776" s="6"/>
      <c r="M776" s="6"/>
      <c r="N776" s="6"/>
      <c r="O776" s="6"/>
      <c r="P776" s="6"/>
      <c r="R776" s="6"/>
      <c r="S776" s="6"/>
      <c r="T776" s="6"/>
      <c r="U776" s="6"/>
      <c r="V776" s="6"/>
      <c r="W776" s="6"/>
      <c r="X776" s="6"/>
      <c r="Y776" s="6"/>
      <c r="Z776" s="6"/>
      <c r="AA776" s="6"/>
      <c r="AB776" s="6"/>
      <c r="AD776" s="6"/>
      <c r="AE776" s="6"/>
      <c r="AF776" s="6"/>
      <c r="AG776" s="6"/>
      <c r="AH776" s="6"/>
      <c r="AI776" s="6"/>
      <c r="AK776" s="6"/>
      <c r="AL776" s="6"/>
      <c r="AM776" s="6"/>
      <c r="AN776" s="6"/>
      <c r="AO776" s="6"/>
      <c r="AP776" s="6"/>
      <c r="AQ776" s="6"/>
      <c r="AR776" s="6"/>
      <c r="AS776" s="15"/>
      <c r="AT776" s="6" t="str">
        <f ca="1">IFERROR(__xludf.DUMMYFUNCTION("""COMPUTED_VALUE"""),"#N/A")</f>
        <v>#N/A</v>
      </c>
      <c r="AU776" s="6" t="str">
        <f ca="1">IFERROR(__xludf.DUMMYFUNCTION("""COMPUTED_VALUE"""),"FALSE")</f>
        <v>FALSE</v>
      </c>
      <c r="AV776" s="6">
        <f t="shared" si="63"/>
        <v>0</v>
      </c>
      <c r="AW776" s="6">
        <f t="shared" si="64"/>
        <v>0</v>
      </c>
      <c r="AX776" s="6">
        <f t="shared" si="65"/>
        <v>0</v>
      </c>
      <c r="AY776" s="6">
        <f t="shared" si="66"/>
        <v>0</v>
      </c>
      <c r="AZ776" s="9" t="str">
        <f t="shared" si="67"/>
        <v/>
      </c>
      <c r="BA776" s="6">
        <f t="shared" si="68"/>
        <v>0</v>
      </c>
      <c r="BB776" s="6">
        <f t="shared" si="69"/>
        <v>0</v>
      </c>
      <c r="BC776" s="9" t="str">
        <f t="shared" si="70"/>
        <v/>
      </c>
      <c r="BD776" s="6">
        <f t="shared" si="71"/>
        <v>0</v>
      </c>
      <c r="BE776" s="6">
        <f t="shared" si="72"/>
        <v>0</v>
      </c>
      <c r="BF776" s="9" t="str">
        <f t="shared" si="73"/>
        <v/>
      </c>
      <c r="BG776" s="6">
        <f t="shared" si="74"/>
        <v>0</v>
      </c>
      <c r="BH776" s="6">
        <f t="shared" si="75"/>
        <v>0</v>
      </c>
      <c r="BI776" s="9" t="str">
        <f t="shared" si="76"/>
        <v/>
      </c>
      <c r="BJ776" s="6">
        <f t="shared" si="77"/>
        <v>0</v>
      </c>
      <c r="BK776" s="6">
        <f t="shared" si="78"/>
        <v>0</v>
      </c>
      <c r="BL776" s="6">
        <f t="shared" si="79"/>
        <v>0</v>
      </c>
      <c r="BM776" s="6">
        <f t="shared" si="80"/>
        <v>0</v>
      </c>
      <c r="BN776" s="6">
        <f t="shared" si="81"/>
        <v>0</v>
      </c>
      <c r="BP776" s="6">
        <f t="shared" si="82"/>
        <v>0</v>
      </c>
      <c r="BQ776" s="6" t="b">
        <f ca="1">IFERROR(__xludf.DUMMYFUNCTION("IF(AND(ISERROR(FILTER('Items by Team'!D$2:D3410,'Items by Team'!C$2:C3410 = D776,'Items by Team'!B$2:B3410 = B776)),NOT(A776=""Practice"")),TRUE,FALSE)"),FALSE)</f>
        <v>0</v>
      </c>
      <c r="BR776" s="6">
        <f t="shared" ca="1" si="83"/>
        <v>0</v>
      </c>
    </row>
    <row r="777" spans="1:70">
      <c r="A777" s="6"/>
      <c r="B777" s="6"/>
      <c r="C777" s="6"/>
      <c r="D777" s="6"/>
      <c r="E777" s="6"/>
      <c r="F777" s="6"/>
      <c r="G777" s="6"/>
      <c r="H777" s="6"/>
      <c r="I777" s="6"/>
      <c r="J777" s="6"/>
      <c r="K777" s="6"/>
      <c r="L777" s="6"/>
      <c r="M777" s="6"/>
      <c r="N777" s="6"/>
      <c r="O777" s="6"/>
      <c r="P777" s="6"/>
      <c r="R777" s="6"/>
      <c r="S777" s="6"/>
      <c r="T777" s="6"/>
      <c r="U777" s="6"/>
      <c r="V777" s="6"/>
      <c r="W777" s="6"/>
      <c r="X777" s="6"/>
      <c r="Y777" s="6"/>
      <c r="Z777" s="6"/>
      <c r="AA777" s="6"/>
      <c r="AB777" s="6"/>
      <c r="AD777" s="6"/>
      <c r="AE777" s="6"/>
      <c r="AF777" s="6"/>
      <c r="AG777" s="6"/>
      <c r="AH777" s="6"/>
      <c r="AI777" s="6"/>
      <c r="AK777" s="6"/>
      <c r="AL777" s="6"/>
      <c r="AM777" s="6"/>
      <c r="AN777" s="6"/>
      <c r="AO777" s="6"/>
      <c r="AP777" s="6"/>
      <c r="AQ777" s="6"/>
      <c r="AR777" s="6"/>
      <c r="AS777" s="15"/>
      <c r="AT777" s="6" t="str">
        <f ca="1">IFERROR(__xludf.DUMMYFUNCTION("""COMPUTED_VALUE"""),"#N/A")</f>
        <v>#N/A</v>
      </c>
      <c r="AU777" s="6" t="str">
        <f ca="1">IFERROR(__xludf.DUMMYFUNCTION("""COMPUTED_VALUE"""),"FALSE")</f>
        <v>FALSE</v>
      </c>
      <c r="AV777" s="6">
        <f t="shared" si="63"/>
        <v>0</v>
      </c>
      <c r="AW777" s="6">
        <f t="shared" si="64"/>
        <v>0</v>
      </c>
      <c r="AX777" s="6">
        <f t="shared" si="65"/>
        <v>0</v>
      </c>
      <c r="AY777" s="6">
        <f t="shared" si="66"/>
        <v>0</v>
      </c>
      <c r="AZ777" s="9" t="str">
        <f t="shared" si="67"/>
        <v/>
      </c>
      <c r="BA777" s="6">
        <f t="shared" si="68"/>
        <v>0</v>
      </c>
      <c r="BB777" s="6">
        <f t="shared" si="69"/>
        <v>0</v>
      </c>
      <c r="BC777" s="9" t="str">
        <f t="shared" si="70"/>
        <v/>
      </c>
      <c r="BD777" s="6">
        <f t="shared" si="71"/>
        <v>0</v>
      </c>
      <c r="BE777" s="6">
        <f t="shared" si="72"/>
        <v>0</v>
      </c>
      <c r="BF777" s="9" t="str">
        <f t="shared" si="73"/>
        <v/>
      </c>
      <c r="BG777" s="6">
        <f t="shared" si="74"/>
        <v>0</v>
      </c>
      <c r="BH777" s="6">
        <f t="shared" si="75"/>
        <v>0</v>
      </c>
      <c r="BI777" s="9" t="str">
        <f t="shared" si="76"/>
        <v/>
      </c>
      <c r="BJ777" s="6">
        <f t="shared" si="77"/>
        <v>0</v>
      </c>
      <c r="BK777" s="6">
        <f t="shared" si="78"/>
        <v>0</v>
      </c>
      <c r="BL777" s="6">
        <f t="shared" si="79"/>
        <v>0</v>
      </c>
      <c r="BM777" s="6">
        <f t="shared" si="80"/>
        <v>0</v>
      </c>
      <c r="BN777" s="6">
        <f t="shared" si="81"/>
        <v>0</v>
      </c>
      <c r="BP777" s="6">
        <f t="shared" si="82"/>
        <v>0</v>
      </c>
      <c r="BQ777" s="6" t="b">
        <f ca="1">IFERROR(__xludf.DUMMYFUNCTION("IF(AND(ISERROR(FILTER('Items by Team'!D$2:D3410,'Items by Team'!C$2:C3410 = D777,'Items by Team'!B$2:B3410 = B777)),NOT(A777=""Practice"")),TRUE,FALSE)"),FALSE)</f>
        <v>0</v>
      </c>
      <c r="BR777" s="6">
        <f t="shared" ca="1" si="83"/>
        <v>0</v>
      </c>
    </row>
    <row r="778" spans="1:70">
      <c r="A778" s="6"/>
      <c r="B778" s="6"/>
      <c r="C778" s="6"/>
      <c r="D778" s="6"/>
      <c r="E778" s="6"/>
      <c r="F778" s="6"/>
      <c r="G778" s="6"/>
      <c r="H778" s="6"/>
      <c r="I778" s="6"/>
      <c r="J778" s="6"/>
      <c r="K778" s="6"/>
      <c r="L778" s="6"/>
      <c r="M778" s="6"/>
      <c r="N778" s="6"/>
      <c r="O778" s="6"/>
      <c r="P778" s="6"/>
      <c r="R778" s="6"/>
      <c r="S778" s="6"/>
      <c r="T778" s="6"/>
      <c r="U778" s="6"/>
      <c r="V778" s="6"/>
      <c r="W778" s="6"/>
      <c r="X778" s="6"/>
      <c r="Y778" s="6"/>
      <c r="Z778" s="6"/>
      <c r="AA778" s="6"/>
      <c r="AB778" s="6"/>
      <c r="AD778" s="6"/>
      <c r="AE778" s="6"/>
      <c r="AF778" s="6"/>
      <c r="AG778" s="6"/>
      <c r="AH778" s="6"/>
      <c r="AI778" s="6"/>
      <c r="AK778" s="6"/>
      <c r="AL778" s="6"/>
      <c r="AM778" s="6"/>
      <c r="AN778" s="6"/>
      <c r="AO778" s="6"/>
      <c r="AP778" s="6"/>
      <c r="AQ778" s="6"/>
      <c r="AR778" s="6"/>
      <c r="AS778" s="15"/>
      <c r="AT778" s="6" t="str">
        <f ca="1">IFERROR(__xludf.DUMMYFUNCTION("""COMPUTED_VALUE"""),"#N/A")</f>
        <v>#N/A</v>
      </c>
      <c r="AU778" s="6" t="str">
        <f ca="1">IFERROR(__xludf.DUMMYFUNCTION("""COMPUTED_VALUE"""),"FALSE")</f>
        <v>FALSE</v>
      </c>
      <c r="AV778" s="6">
        <f t="shared" si="63"/>
        <v>0</v>
      </c>
      <c r="AW778" s="6">
        <f t="shared" si="64"/>
        <v>0</v>
      </c>
      <c r="AX778" s="6">
        <f t="shared" si="65"/>
        <v>0</v>
      </c>
      <c r="AY778" s="6">
        <f t="shared" si="66"/>
        <v>0</v>
      </c>
      <c r="AZ778" s="9" t="str">
        <f t="shared" si="67"/>
        <v/>
      </c>
      <c r="BA778" s="6">
        <f t="shared" si="68"/>
        <v>0</v>
      </c>
      <c r="BB778" s="6">
        <f t="shared" si="69"/>
        <v>0</v>
      </c>
      <c r="BC778" s="9" t="str">
        <f t="shared" si="70"/>
        <v/>
      </c>
      <c r="BD778" s="6">
        <f t="shared" si="71"/>
        <v>0</v>
      </c>
      <c r="BE778" s="6">
        <f t="shared" si="72"/>
        <v>0</v>
      </c>
      <c r="BF778" s="9" t="str">
        <f t="shared" si="73"/>
        <v/>
      </c>
      <c r="BG778" s="6">
        <f t="shared" si="74"/>
        <v>0</v>
      </c>
      <c r="BH778" s="6">
        <f t="shared" si="75"/>
        <v>0</v>
      </c>
      <c r="BI778" s="9" t="str">
        <f t="shared" si="76"/>
        <v/>
      </c>
      <c r="BJ778" s="6">
        <f t="shared" si="77"/>
        <v>0</v>
      </c>
      <c r="BK778" s="6">
        <f t="shared" si="78"/>
        <v>0</v>
      </c>
      <c r="BL778" s="6">
        <f t="shared" si="79"/>
        <v>0</v>
      </c>
      <c r="BM778" s="6">
        <f t="shared" si="80"/>
        <v>0</v>
      </c>
      <c r="BN778" s="6">
        <f t="shared" si="81"/>
        <v>0</v>
      </c>
      <c r="BP778" s="6">
        <f t="shared" si="82"/>
        <v>0</v>
      </c>
      <c r="BQ778" s="6" t="b">
        <f ca="1">IFERROR(__xludf.DUMMYFUNCTION("IF(AND(ISERROR(FILTER('Items by Team'!D$2:D3410,'Items by Team'!C$2:C3410 = D778,'Items by Team'!B$2:B3410 = B778)),NOT(A778=""Practice"")),TRUE,FALSE)"),FALSE)</f>
        <v>0</v>
      </c>
      <c r="BR778" s="6">
        <f t="shared" ca="1" si="83"/>
        <v>0</v>
      </c>
    </row>
    <row r="779" spans="1:70">
      <c r="A779" s="6"/>
      <c r="B779" s="6"/>
      <c r="C779" s="6"/>
      <c r="D779" s="6"/>
      <c r="E779" s="6"/>
      <c r="F779" s="6"/>
      <c r="G779" s="6"/>
      <c r="H779" s="6"/>
      <c r="I779" s="6"/>
      <c r="J779" s="6"/>
      <c r="K779" s="6"/>
      <c r="L779" s="6"/>
      <c r="M779" s="6"/>
      <c r="N779" s="6"/>
      <c r="O779" s="6"/>
      <c r="P779" s="6"/>
      <c r="R779" s="6"/>
      <c r="S779" s="6"/>
      <c r="T779" s="6"/>
      <c r="U779" s="6"/>
      <c r="V779" s="6"/>
      <c r="W779" s="6"/>
      <c r="X779" s="6"/>
      <c r="Y779" s="6"/>
      <c r="Z779" s="6"/>
      <c r="AA779" s="6"/>
      <c r="AB779" s="6"/>
      <c r="AD779" s="6"/>
      <c r="AE779" s="6"/>
      <c r="AF779" s="6"/>
      <c r="AG779" s="6"/>
      <c r="AH779" s="6"/>
      <c r="AI779" s="6"/>
      <c r="AK779" s="6"/>
      <c r="AL779" s="6"/>
      <c r="AM779" s="6"/>
      <c r="AN779" s="6"/>
      <c r="AO779" s="6"/>
      <c r="AP779" s="6"/>
      <c r="AQ779" s="6"/>
      <c r="AR779" s="6"/>
      <c r="AS779" s="15"/>
      <c r="AT779" s="6" t="str">
        <f ca="1">IFERROR(__xludf.DUMMYFUNCTION("""COMPUTED_VALUE"""),"#N/A")</f>
        <v>#N/A</v>
      </c>
      <c r="AU779" s="6" t="str">
        <f ca="1">IFERROR(__xludf.DUMMYFUNCTION("""COMPUTED_VALUE"""),"FALSE")</f>
        <v>FALSE</v>
      </c>
      <c r="AV779" s="6">
        <f t="shared" si="63"/>
        <v>0</v>
      </c>
      <c r="AW779" s="6">
        <f t="shared" si="64"/>
        <v>0</v>
      </c>
      <c r="AX779" s="6">
        <f t="shared" si="65"/>
        <v>0</v>
      </c>
      <c r="AY779" s="6">
        <f t="shared" si="66"/>
        <v>0</v>
      </c>
      <c r="AZ779" s="9" t="str">
        <f t="shared" si="67"/>
        <v/>
      </c>
      <c r="BA779" s="6">
        <f t="shared" si="68"/>
        <v>0</v>
      </c>
      <c r="BB779" s="6">
        <f t="shared" si="69"/>
        <v>0</v>
      </c>
      <c r="BC779" s="9" t="str">
        <f t="shared" si="70"/>
        <v/>
      </c>
      <c r="BD779" s="6">
        <f t="shared" si="71"/>
        <v>0</v>
      </c>
      <c r="BE779" s="6">
        <f t="shared" si="72"/>
        <v>0</v>
      </c>
      <c r="BF779" s="9" t="str">
        <f t="shared" si="73"/>
        <v/>
      </c>
      <c r="BG779" s="6">
        <f t="shared" si="74"/>
        <v>0</v>
      </c>
      <c r="BH779" s="6">
        <f t="shared" si="75"/>
        <v>0</v>
      </c>
      <c r="BI779" s="9" t="str">
        <f t="shared" si="76"/>
        <v/>
      </c>
      <c r="BJ779" s="6">
        <f t="shared" si="77"/>
        <v>0</v>
      </c>
      <c r="BK779" s="6">
        <f t="shared" si="78"/>
        <v>0</v>
      </c>
      <c r="BL779" s="6">
        <f t="shared" si="79"/>
        <v>0</v>
      </c>
      <c r="BM779" s="6">
        <f t="shared" si="80"/>
        <v>0</v>
      </c>
      <c r="BN779" s="6">
        <f t="shared" si="81"/>
        <v>0</v>
      </c>
      <c r="BP779" s="6">
        <f t="shared" si="82"/>
        <v>0</v>
      </c>
      <c r="BQ779" s="6" t="b">
        <f ca="1">IFERROR(__xludf.DUMMYFUNCTION("IF(AND(ISERROR(FILTER('Items by Team'!D$2:D3410,'Items by Team'!C$2:C3410 = D779,'Items by Team'!B$2:B3410 = B779)),NOT(A779=""Practice"")),TRUE,FALSE)"),FALSE)</f>
        <v>0</v>
      </c>
      <c r="BR779" s="6">
        <f t="shared" ca="1" si="83"/>
        <v>0</v>
      </c>
    </row>
    <row r="780" spans="1:70">
      <c r="A780" s="6"/>
      <c r="B780" s="6"/>
      <c r="C780" s="6"/>
      <c r="D780" s="6"/>
      <c r="E780" s="6"/>
      <c r="F780" s="6"/>
      <c r="G780" s="6"/>
      <c r="H780" s="6"/>
      <c r="I780" s="6"/>
      <c r="J780" s="6"/>
      <c r="K780" s="6"/>
      <c r="L780" s="6"/>
      <c r="M780" s="6"/>
      <c r="N780" s="6"/>
      <c r="O780" s="6"/>
      <c r="P780" s="6"/>
      <c r="R780" s="6"/>
      <c r="S780" s="6"/>
      <c r="T780" s="6"/>
      <c r="U780" s="6"/>
      <c r="V780" s="6"/>
      <c r="W780" s="6"/>
      <c r="X780" s="6"/>
      <c r="Y780" s="6"/>
      <c r="Z780" s="6"/>
      <c r="AA780" s="6"/>
      <c r="AB780" s="6"/>
      <c r="AD780" s="6"/>
      <c r="AE780" s="6"/>
      <c r="AF780" s="6"/>
      <c r="AG780" s="6"/>
      <c r="AH780" s="6"/>
      <c r="AI780" s="6"/>
      <c r="AK780" s="6"/>
      <c r="AL780" s="6"/>
      <c r="AM780" s="6"/>
      <c r="AN780" s="6"/>
      <c r="AO780" s="6"/>
      <c r="AP780" s="6"/>
      <c r="AQ780" s="6"/>
      <c r="AR780" s="6"/>
      <c r="AS780" s="15"/>
      <c r="AT780" s="6" t="str">
        <f ca="1">IFERROR(__xludf.DUMMYFUNCTION("""COMPUTED_VALUE"""),"#N/A")</f>
        <v>#N/A</v>
      </c>
      <c r="AU780" s="6" t="str">
        <f ca="1">IFERROR(__xludf.DUMMYFUNCTION("""COMPUTED_VALUE"""),"FALSE")</f>
        <v>FALSE</v>
      </c>
      <c r="AV780" s="6">
        <f t="shared" si="63"/>
        <v>0</v>
      </c>
      <c r="AW780" s="6">
        <f t="shared" si="64"/>
        <v>0</v>
      </c>
      <c r="AX780" s="6">
        <f t="shared" si="65"/>
        <v>0</v>
      </c>
      <c r="AY780" s="6">
        <f t="shared" si="66"/>
        <v>0</v>
      </c>
      <c r="AZ780" s="9" t="str">
        <f t="shared" si="67"/>
        <v/>
      </c>
      <c r="BA780" s="6">
        <f t="shared" si="68"/>
        <v>0</v>
      </c>
      <c r="BB780" s="6">
        <f t="shared" si="69"/>
        <v>0</v>
      </c>
      <c r="BC780" s="9" t="str">
        <f t="shared" si="70"/>
        <v/>
      </c>
      <c r="BD780" s="6">
        <f t="shared" si="71"/>
        <v>0</v>
      </c>
      <c r="BE780" s="6">
        <f t="shared" si="72"/>
        <v>0</v>
      </c>
      <c r="BF780" s="9" t="str">
        <f t="shared" si="73"/>
        <v/>
      </c>
      <c r="BG780" s="6">
        <f t="shared" si="74"/>
        <v>0</v>
      </c>
      <c r="BH780" s="6">
        <f t="shared" si="75"/>
        <v>0</v>
      </c>
      <c r="BI780" s="9" t="str">
        <f t="shared" si="76"/>
        <v/>
      </c>
      <c r="BJ780" s="6">
        <f t="shared" si="77"/>
        <v>0</v>
      </c>
      <c r="BK780" s="6">
        <f t="shared" si="78"/>
        <v>0</v>
      </c>
      <c r="BL780" s="6">
        <f t="shared" si="79"/>
        <v>0</v>
      </c>
      <c r="BM780" s="6">
        <f t="shared" si="80"/>
        <v>0</v>
      </c>
      <c r="BN780" s="6">
        <f t="shared" si="81"/>
        <v>0</v>
      </c>
      <c r="BP780" s="6">
        <f t="shared" si="82"/>
        <v>0</v>
      </c>
      <c r="BQ780" s="6" t="b">
        <f ca="1">IFERROR(__xludf.DUMMYFUNCTION("IF(AND(ISERROR(FILTER('Items by Team'!D$2:D3410,'Items by Team'!C$2:C3410 = D780,'Items by Team'!B$2:B3410 = B780)),NOT(A780=""Practice"")),TRUE,FALSE)"),FALSE)</f>
        <v>0</v>
      </c>
      <c r="BR780" s="6">
        <f t="shared" ca="1" si="83"/>
        <v>0</v>
      </c>
    </row>
    <row r="781" spans="1:70">
      <c r="A781" s="6"/>
      <c r="B781" s="6"/>
      <c r="C781" s="6"/>
      <c r="D781" s="6"/>
      <c r="E781" s="6"/>
      <c r="F781" s="6"/>
      <c r="G781" s="6"/>
      <c r="H781" s="6"/>
      <c r="I781" s="6"/>
      <c r="J781" s="6"/>
      <c r="K781" s="6"/>
      <c r="L781" s="6"/>
      <c r="M781" s="6"/>
      <c r="N781" s="6"/>
      <c r="O781" s="6"/>
      <c r="P781" s="6"/>
      <c r="R781" s="6"/>
      <c r="S781" s="6"/>
      <c r="T781" s="6"/>
      <c r="U781" s="6"/>
      <c r="V781" s="6"/>
      <c r="W781" s="6"/>
      <c r="X781" s="6"/>
      <c r="Y781" s="6"/>
      <c r="Z781" s="6"/>
      <c r="AA781" s="6"/>
      <c r="AB781" s="6"/>
      <c r="AD781" s="6"/>
      <c r="AE781" s="6"/>
      <c r="AF781" s="6"/>
      <c r="AG781" s="6"/>
      <c r="AH781" s="6"/>
      <c r="AI781" s="6"/>
      <c r="AK781" s="6"/>
      <c r="AL781" s="6"/>
      <c r="AM781" s="6"/>
      <c r="AN781" s="6"/>
      <c r="AO781" s="6"/>
      <c r="AP781" s="6"/>
      <c r="AQ781" s="6"/>
      <c r="AR781" s="6"/>
      <c r="AS781" s="15"/>
      <c r="AT781" s="6" t="str">
        <f ca="1">IFERROR(__xludf.DUMMYFUNCTION("""COMPUTED_VALUE"""),"#N/A")</f>
        <v>#N/A</v>
      </c>
      <c r="AU781" s="6" t="str">
        <f ca="1">IFERROR(__xludf.DUMMYFUNCTION("""COMPUTED_VALUE"""),"FALSE")</f>
        <v>FALSE</v>
      </c>
      <c r="AV781" s="6">
        <f t="shared" si="63"/>
        <v>0</v>
      </c>
      <c r="AW781" s="6">
        <f t="shared" si="64"/>
        <v>0</v>
      </c>
      <c r="AX781" s="6">
        <f t="shared" si="65"/>
        <v>0</v>
      </c>
      <c r="AY781" s="6">
        <f t="shared" si="66"/>
        <v>0</v>
      </c>
      <c r="AZ781" s="9" t="str">
        <f t="shared" si="67"/>
        <v/>
      </c>
      <c r="BA781" s="6">
        <f t="shared" si="68"/>
        <v>0</v>
      </c>
      <c r="BB781" s="6">
        <f t="shared" si="69"/>
        <v>0</v>
      </c>
      <c r="BC781" s="9" t="str">
        <f t="shared" si="70"/>
        <v/>
      </c>
      <c r="BD781" s="6">
        <f t="shared" si="71"/>
        <v>0</v>
      </c>
      <c r="BE781" s="6">
        <f t="shared" si="72"/>
        <v>0</v>
      </c>
      <c r="BF781" s="9" t="str">
        <f t="shared" si="73"/>
        <v/>
      </c>
      <c r="BG781" s="6">
        <f t="shared" si="74"/>
        <v>0</v>
      </c>
      <c r="BH781" s="6">
        <f t="shared" si="75"/>
        <v>0</v>
      </c>
      <c r="BI781" s="9" t="str">
        <f t="shared" si="76"/>
        <v/>
      </c>
      <c r="BJ781" s="6">
        <f t="shared" si="77"/>
        <v>0</v>
      </c>
      <c r="BK781" s="6">
        <f t="shared" si="78"/>
        <v>0</v>
      </c>
      <c r="BL781" s="6">
        <f t="shared" si="79"/>
        <v>0</v>
      </c>
      <c r="BM781" s="6">
        <f t="shared" si="80"/>
        <v>0</v>
      </c>
      <c r="BN781" s="6">
        <f t="shared" si="81"/>
        <v>0</v>
      </c>
      <c r="BP781" s="6">
        <f t="shared" si="82"/>
        <v>0</v>
      </c>
      <c r="BQ781" s="6" t="b">
        <f ca="1">IFERROR(__xludf.DUMMYFUNCTION("IF(AND(ISERROR(FILTER('Items by Team'!D$2:D3410,'Items by Team'!C$2:C3410 = D781,'Items by Team'!B$2:B3410 = B781)),NOT(A781=""Practice"")),TRUE,FALSE)"),FALSE)</f>
        <v>0</v>
      </c>
      <c r="BR781" s="6">
        <f t="shared" ca="1" si="83"/>
        <v>0</v>
      </c>
    </row>
    <row r="782" spans="1:70">
      <c r="A782" s="6"/>
      <c r="B782" s="6"/>
      <c r="C782" s="6"/>
      <c r="D782" s="6"/>
      <c r="E782" s="6"/>
      <c r="F782" s="6"/>
      <c r="G782" s="6"/>
      <c r="H782" s="6"/>
      <c r="I782" s="6"/>
      <c r="J782" s="6"/>
      <c r="K782" s="6"/>
      <c r="L782" s="6"/>
      <c r="M782" s="6"/>
      <c r="N782" s="6"/>
      <c r="O782" s="6"/>
      <c r="P782" s="6"/>
      <c r="R782" s="6"/>
      <c r="S782" s="6"/>
      <c r="T782" s="6"/>
      <c r="U782" s="6"/>
      <c r="V782" s="6"/>
      <c r="W782" s="6"/>
      <c r="X782" s="6"/>
      <c r="Y782" s="6"/>
      <c r="Z782" s="6"/>
      <c r="AA782" s="6"/>
      <c r="AB782" s="6"/>
      <c r="AD782" s="6"/>
      <c r="AE782" s="6"/>
      <c r="AF782" s="6"/>
      <c r="AG782" s="6"/>
      <c r="AH782" s="6"/>
      <c r="AI782" s="6"/>
      <c r="AK782" s="6"/>
      <c r="AL782" s="6"/>
      <c r="AM782" s="6"/>
      <c r="AN782" s="6"/>
      <c r="AO782" s="6"/>
      <c r="AP782" s="6"/>
      <c r="AQ782" s="6"/>
      <c r="AR782" s="6"/>
      <c r="AS782" s="15"/>
      <c r="AT782" s="6" t="str">
        <f ca="1">IFERROR(__xludf.DUMMYFUNCTION("""COMPUTED_VALUE"""),"#N/A")</f>
        <v>#N/A</v>
      </c>
      <c r="AU782" s="6" t="str">
        <f ca="1">IFERROR(__xludf.DUMMYFUNCTION("""COMPUTED_VALUE"""),"FALSE")</f>
        <v>FALSE</v>
      </c>
      <c r="AV782" s="6">
        <f t="shared" si="63"/>
        <v>0</v>
      </c>
      <c r="AW782" s="6">
        <f t="shared" si="64"/>
        <v>0</v>
      </c>
      <c r="AX782" s="6">
        <f t="shared" si="65"/>
        <v>0</v>
      </c>
      <c r="AY782" s="6">
        <f t="shared" si="66"/>
        <v>0</v>
      </c>
      <c r="AZ782" s="9" t="str">
        <f t="shared" si="67"/>
        <v/>
      </c>
      <c r="BA782" s="6">
        <f t="shared" si="68"/>
        <v>0</v>
      </c>
      <c r="BB782" s="6">
        <f t="shared" si="69"/>
        <v>0</v>
      </c>
      <c r="BC782" s="9" t="str">
        <f t="shared" si="70"/>
        <v/>
      </c>
      <c r="BD782" s="6">
        <f t="shared" si="71"/>
        <v>0</v>
      </c>
      <c r="BE782" s="6">
        <f t="shared" si="72"/>
        <v>0</v>
      </c>
      <c r="BF782" s="9" t="str">
        <f t="shared" si="73"/>
        <v/>
      </c>
      <c r="BG782" s="6">
        <f t="shared" si="74"/>
        <v>0</v>
      </c>
      <c r="BH782" s="6">
        <f t="shared" si="75"/>
        <v>0</v>
      </c>
      <c r="BI782" s="9" t="str">
        <f t="shared" si="76"/>
        <v/>
      </c>
      <c r="BJ782" s="6">
        <f t="shared" si="77"/>
        <v>0</v>
      </c>
      <c r="BK782" s="6">
        <f t="shared" si="78"/>
        <v>0</v>
      </c>
      <c r="BL782" s="6">
        <f t="shared" si="79"/>
        <v>0</v>
      </c>
      <c r="BM782" s="6">
        <f t="shared" si="80"/>
        <v>0</v>
      </c>
      <c r="BN782" s="6">
        <f t="shared" si="81"/>
        <v>0</v>
      </c>
      <c r="BP782" s="6">
        <f t="shared" si="82"/>
        <v>0</v>
      </c>
      <c r="BQ782" s="6" t="b">
        <f ca="1">IFERROR(__xludf.DUMMYFUNCTION("IF(AND(ISERROR(FILTER('Items by Team'!D$2:D3410,'Items by Team'!C$2:C3410 = D782,'Items by Team'!B$2:B3410 = B782)),NOT(A782=""Practice"")),TRUE,FALSE)"),FALSE)</f>
        <v>0</v>
      </c>
      <c r="BR782" s="6">
        <f t="shared" ca="1" si="83"/>
        <v>0</v>
      </c>
    </row>
    <row r="783" spans="1:70">
      <c r="A783" s="6"/>
      <c r="B783" s="6"/>
      <c r="C783" s="6"/>
      <c r="D783" s="6"/>
      <c r="E783" s="6"/>
      <c r="F783" s="6"/>
      <c r="G783" s="6"/>
      <c r="H783" s="6"/>
      <c r="I783" s="6"/>
      <c r="J783" s="6"/>
      <c r="K783" s="6"/>
      <c r="L783" s="6"/>
      <c r="M783" s="6"/>
      <c r="N783" s="6"/>
      <c r="O783" s="6"/>
      <c r="P783" s="6"/>
      <c r="R783" s="6"/>
      <c r="S783" s="6"/>
      <c r="T783" s="6"/>
      <c r="U783" s="6"/>
      <c r="V783" s="6"/>
      <c r="W783" s="6"/>
      <c r="X783" s="6"/>
      <c r="Y783" s="6"/>
      <c r="Z783" s="6"/>
      <c r="AA783" s="6"/>
      <c r="AB783" s="6"/>
      <c r="AD783" s="6"/>
      <c r="AE783" s="6"/>
      <c r="AF783" s="6"/>
      <c r="AG783" s="6"/>
      <c r="AH783" s="6"/>
      <c r="AI783" s="6"/>
      <c r="AK783" s="6"/>
      <c r="AL783" s="6"/>
      <c r="AM783" s="6"/>
      <c r="AN783" s="6"/>
      <c r="AO783" s="6"/>
      <c r="AP783" s="6"/>
      <c r="AQ783" s="6"/>
      <c r="AR783" s="6"/>
      <c r="AS783" s="15"/>
      <c r="AT783" s="6" t="str">
        <f ca="1">IFERROR(__xludf.DUMMYFUNCTION("""COMPUTED_VALUE"""),"#N/A")</f>
        <v>#N/A</v>
      </c>
      <c r="AU783" s="6" t="str">
        <f ca="1">IFERROR(__xludf.DUMMYFUNCTION("""COMPUTED_VALUE"""),"FALSE")</f>
        <v>FALSE</v>
      </c>
      <c r="AV783" s="6">
        <f t="shared" si="63"/>
        <v>0</v>
      </c>
      <c r="AW783" s="6">
        <f t="shared" si="64"/>
        <v>0</v>
      </c>
      <c r="AX783" s="6">
        <f t="shared" si="65"/>
        <v>0</v>
      </c>
      <c r="AY783" s="6">
        <f t="shared" si="66"/>
        <v>0</v>
      </c>
      <c r="AZ783" s="9" t="str">
        <f t="shared" si="67"/>
        <v/>
      </c>
      <c r="BA783" s="6">
        <f t="shared" si="68"/>
        <v>0</v>
      </c>
      <c r="BB783" s="6">
        <f t="shared" si="69"/>
        <v>0</v>
      </c>
      <c r="BC783" s="9" t="str">
        <f t="shared" si="70"/>
        <v/>
      </c>
      <c r="BD783" s="6">
        <f t="shared" si="71"/>
        <v>0</v>
      </c>
      <c r="BE783" s="6">
        <f t="shared" si="72"/>
        <v>0</v>
      </c>
      <c r="BF783" s="9" t="str">
        <f t="shared" si="73"/>
        <v/>
      </c>
      <c r="BG783" s="6">
        <f t="shared" si="74"/>
        <v>0</v>
      </c>
      <c r="BH783" s="6">
        <f t="shared" si="75"/>
        <v>0</v>
      </c>
      <c r="BI783" s="9" t="str">
        <f t="shared" si="76"/>
        <v/>
      </c>
      <c r="BJ783" s="6">
        <f t="shared" si="77"/>
        <v>0</v>
      </c>
      <c r="BK783" s="6">
        <f t="shared" si="78"/>
        <v>0</v>
      </c>
      <c r="BL783" s="6">
        <f t="shared" si="79"/>
        <v>0</v>
      </c>
      <c r="BM783" s="6">
        <f t="shared" si="80"/>
        <v>0</v>
      </c>
      <c r="BN783" s="6">
        <f t="shared" si="81"/>
        <v>0</v>
      </c>
      <c r="BP783" s="6">
        <f t="shared" si="82"/>
        <v>0</v>
      </c>
      <c r="BQ783" s="6" t="b">
        <f ca="1">IFERROR(__xludf.DUMMYFUNCTION("IF(AND(ISERROR(FILTER('Items by Team'!D$2:D3410,'Items by Team'!C$2:C3410 = D783,'Items by Team'!B$2:B3410 = B783)),NOT(A783=""Practice"")),TRUE,FALSE)"),FALSE)</f>
        <v>0</v>
      </c>
      <c r="BR783" s="6">
        <f t="shared" ca="1" si="83"/>
        <v>0</v>
      </c>
    </row>
    <row r="784" spans="1:70">
      <c r="A784" s="6"/>
      <c r="B784" s="6"/>
      <c r="C784" s="6"/>
      <c r="D784" s="6"/>
      <c r="E784" s="6"/>
      <c r="F784" s="6"/>
      <c r="G784" s="6"/>
      <c r="H784" s="6"/>
      <c r="I784" s="6"/>
      <c r="J784" s="6"/>
      <c r="K784" s="6"/>
      <c r="L784" s="6"/>
      <c r="M784" s="6"/>
      <c r="N784" s="6"/>
      <c r="O784" s="6"/>
      <c r="P784" s="6"/>
      <c r="R784" s="6"/>
      <c r="S784" s="6"/>
      <c r="T784" s="6"/>
      <c r="U784" s="6"/>
      <c r="V784" s="6"/>
      <c r="W784" s="6"/>
      <c r="X784" s="6"/>
      <c r="Y784" s="6"/>
      <c r="Z784" s="6"/>
      <c r="AA784" s="6"/>
      <c r="AB784" s="6"/>
      <c r="AD784" s="6"/>
      <c r="AE784" s="6"/>
      <c r="AF784" s="6"/>
      <c r="AG784" s="6"/>
      <c r="AH784" s="6"/>
      <c r="AI784" s="6"/>
      <c r="AK784" s="6"/>
      <c r="AL784" s="6"/>
      <c r="AM784" s="6"/>
      <c r="AN784" s="6"/>
      <c r="AO784" s="6"/>
      <c r="AP784" s="6"/>
      <c r="AQ784" s="6"/>
      <c r="AR784" s="6"/>
      <c r="AS784" s="15"/>
      <c r="AT784" s="6" t="str">
        <f ca="1">IFERROR(__xludf.DUMMYFUNCTION("""COMPUTED_VALUE"""),"#N/A")</f>
        <v>#N/A</v>
      </c>
      <c r="AU784" s="6" t="str">
        <f ca="1">IFERROR(__xludf.DUMMYFUNCTION("""COMPUTED_VALUE"""),"FALSE")</f>
        <v>FALSE</v>
      </c>
      <c r="AV784" s="6">
        <f t="shared" si="63"/>
        <v>0</v>
      </c>
      <c r="AW784" s="6">
        <f t="shared" si="64"/>
        <v>0</v>
      </c>
      <c r="AX784" s="6">
        <f t="shared" si="65"/>
        <v>0</v>
      </c>
      <c r="AY784" s="6">
        <f t="shared" si="66"/>
        <v>0</v>
      </c>
      <c r="AZ784" s="9" t="str">
        <f t="shared" si="67"/>
        <v/>
      </c>
      <c r="BA784" s="6">
        <f t="shared" si="68"/>
        <v>0</v>
      </c>
      <c r="BB784" s="6">
        <f t="shared" si="69"/>
        <v>0</v>
      </c>
      <c r="BC784" s="9" t="str">
        <f t="shared" si="70"/>
        <v/>
      </c>
      <c r="BD784" s="6">
        <f t="shared" si="71"/>
        <v>0</v>
      </c>
      <c r="BE784" s="6">
        <f t="shared" si="72"/>
        <v>0</v>
      </c>
      <c r="BF784" s="9" t="str">
        <f t="shared" si="73"/>
        <v/>
      </c>
      <c r="BG784" s="6">
        <f t="shared" si="74"/>
        <v>0</v>
      </c>
      <c r="BH784" s="6">
        <f t="shared" si="75"/>
        <v>0</v>
      </c>
      <c r="BI784" s="9" t="str">
        <f t="shared" si="76"/>
        <v/>
      </c>
      <c r="BJ784" s="6">
        <f t="shared" si="77"/>
        <v>0</v>
      </c>
      <c r="BK784" s="6">
        <f t="shared" si="78"/>
        <v>0</v>
      </c>
      <c r="BL784" s="6">
        <f t="shared" si="79"/>
        <v>0</v>
      </c>
      <c r="BM784" s="6">
        <f t="shared" si="80"/>
        <v>0</v>
      </c>
      <c r="BN784" s="6">
        <f t="shared" si="81"/>
        <v>0</v>
      </c>
      <c r="BP784" s="6">
        <f t="shared" si="82"/>
        <v>0</v>
      </c>
      <c r="BQ784" s="6" t="b">
        <f ca="1">IFERROR(__xludf.DUMMYFUNCTION("IF(AND(ISERROR(FILTER('Items by Team'!D$2:D3410,'Items by Team'!C$2:C3410 = D784,'Items by Team'!B$2:B3410 = B784)),NOT(A784=""Practice"")),TRUE,FALSE)"),FALSE)</f>
        <v>0</v>
      </c>
      <c r="BR784" s="6">
        <f t="shared" ca="1" si="83"/>
        <v>0</v>
      </c>
    </row>
    <row r="785" spans="1:70">
      <c r="A785" s="6"/>
      <c r="B785" s="6"/>
      <c r="C785" s="6"/>
      <c r="D785" s="6"/>
      <c r="E785" s="6"/>
      <c r="F785" s="6"/>
      <c r="G785" s="6"/>
      <c r="H785" s="6"/>
      <c r="I785" s="6"/>
      <c r="J785" s="6"/>
      <c r="K785" s="6"/>
      <c r="L785" s="6"/>
      <c r="M785" s="6"/>
      <c r="N785" s="6"/>
      <c r="O785" s="6"/>
      <c r="P785" s="6"/>
      <c r="R785" s="6"/>
      <c r="S785" s="6"/>
      <c r="T785" s="6"/>
      <c r="U785" s="6"/>
      <c r="V785" s="6"/>
      <c r="W785" s="6"/>
      <c r="X785" s="6"/>
      <c r="Y785" s="6"/>
      <c r="Z785" s="6"/>
      <c r="AA785" s="6"/>
      <c r="AB785" s="6"/>
      <c r="AD785" s="6"/>
      <c r="AE785" s="6"/>
      <c r="AF785" s="6"/>
      <c r="AG785" s="6"/>
      <c r="AH785" s="6"/>
      <c r="AI785" s="6"/>
      <c r="AK785" s="6"/>
      <c r="AL785" s="6"/>
      <c r="AM785" s="6"/>
      <c r="AN785" s="6"/>
      <c r="AO785" s="6"/>
      <c r="AP785" s="6"/>
      <c r="AQ785" s="6"/>
      <c r="AR785" s="6"/>
      <c r="AS785" s="15"/>
      <c r="AT785" s="6" t="str">
        <f ca="1">IFERROR(__xludf.DUMMYFUNCTION("""COMPUTED_VALUE"""),"#N/A")</f>
        <v>#N/A</v>
      </c>
      <c r="AU785" s="6" t="str">
        <f ca="1">IFERROR(__xludf.DUMMYFUNCTION("""COMPUTED_VALUE"""),"FALSE")</f>
        <v>FALSE</v>
      </c>
      <c r="AV785" s="6">
        <f t="shared" si="63"/>
        <v>0</v>
      </c>
      <c r="AW785" s="6">
        <f t="shared" si="64"/>
        <v>0</v>
      </c>
      <c r="AX785" s="6">
        <f t="shared" si="65"/>
        <v>0</v>
      </c>
      <c r="AY785" s="6">
        <f t="shared" si="66"/>
        <v>0</v>
      </c>
      <c r="AZ785" s="9" t="str">
        <f t="shared" si="67"/>
        <v/>
      </c>
      <c r="BA785" s="6">
        <f t="shared" si="68"/>
        <v>0</v>
      </c>
      <c r="BB785" s="6">
        <f t="shared" si="69"/>
        <v>0</v>
      </c>
      <c r="BC785" s="9" t="str">
        <f t="shared" si="70"/>
        <v/>
      </c>
      <c r="BD785" s="6">
        <f t="shared" si="71"/>
        <v>0</v>
      </c>
      <c r="BE785" s="6">
        <f t="shared" si="72"/>
        <v>0</v>
      </c>
      <c r="BF785" s="9" t="str">
        <f t="shared" si="73"/>
        <v/>
      </c>
      <c r="BG785" s="6">
        <f t="shared" si="74"/>
        <v>0</v>
      </c>
      <c r="BH785" s="6">
        <f t="shared" si="75"/>
        <v>0</v>
      </c>
      <c r="BI785" s="9" t="str">
        <f t="shared" si="76"/>
        <v/>
      </c>
      <c r="BJ785" s="6">
        <f t="shared" si="77"/>
        <v>0</v>
      </c>
      <c r="BK785" s="6">
        <f t="shared" si="78"/>
        <v>0</v>
      </c>
      <c r="BL785" s="6">
        <f t="shared" si="79"/>
        <v>0</v>
      </c>
      <c r="BM785" s="6">
        <f t="shared" si="80"/>
        <v>0</v>
      </c>
      <c r="BN785" s="6">
        <f t="shared" si="81"/>
        <v>0</v>
      </c>
      <c r="BP785" s="6">
        <f t="shared" si="82"/>
        <v>0</v>
      </c>
      <c r="BQ785" s="6" t="b">
        <f ca="1">IFERROR(__xludf.DUMMYFUNCTION("IF(AND(ISERROR(FILTER('Items by Team'!D$2:D3410,'Items by Team'!C$2:C3410 = D785,'Items by Team'!B$2:B3410 = B785)),NOT(A785=""Practice"")),TRUE,FALSE)"),FALSE)</f>
        <v>0</v>
      </c>
      <c r="BR785" s="6">
        <f t="shared" ca="1" si="83"/>
        <v>0</v>
      </c>
    </row>
    <row r="786" spans="1:70">
      <c r="A786" s="6"/>
      <c r="B786" s="6"/>
      <c r="C786" s="6"/>
      <c r="D786" s="6"/>
      <c r="E786" s="6"/>
      <c r="F786" s="6"/>
      <c r="G786" s="6"/>
      <c r="H786" s="6"/>
      <c r="I786" s="6"/>
      <c r="J786" s="6"/>
      <c r="K786" s="6"/>
      <c r="L786" s="6"/>
      <c r="M786" s="6"/>
      <c r="N786" s="6"/>
      <c r="O786" s="6"/>
      <c r="P786" s="6"/>
      <c r="R786" s="6"/>
      <c r="S786" s="6"/>
      <c r="T786" s="6"/>
      <c r="U786" s="6"/>
      <c r="V786" s="6"/>
      <c r="W786" s="6"/>
      <c r="X786" s="6"/>
      <c r="Y786" s="6"/>
      <c r="Z786" s="6"/>
      <c r="AA786" s="6"/>
      <c r="AB786" s="6"/>
      <c r="AD786" s="6"/>
      <c r="AE786" s="6"/>
      <c r="AF786" s="6"/>
      <c r="AG786" s="6"/>
      <c r="AH786" s="6"/>
      <c r="AI786" s="6"/>
      <c r="AK786" s="6"/>
      <c r="AL786" s="6"/>
      <c r="AM786" s="6"/>
      <c r="AN786" s="6"/>
      <c r="AO786" s="6"/>
      <c r="AP786" s="6"/>
      <c r="AQ786" s="6"/>
      <c r="AR786" s="6"/>
      <c r="AS786" s="15"/>
      <c r="AT786" s="6" t="str">
        <f ca="1">IFERROR(__xludf.DUMMYFUNCTION("""COMPUTED_VALUE"""),"#N/A")</f>
        <v>#N/A</v>
      </c>
      <c r="AU786" s="6" t="str">
        <f ca="1">IFERROR(__xludf.DUMMYFUNCTION("""COMPUTED_VALUE"""),"FALSE")</f>
        <v>FALSE</v>
      </c>
      <c r="AV786" s="6">
        <f t="shared" si="63"/>
        <v>0</v>
      </c>
      <c r="AW786" s="6">
        <f t="shared" si="64"/>
        <v>0</v>
      </c>
      <c r="AX786" s="6">
        <f t="shared" si="65"/>
        <v>0</v>
      </c>
      <c r="AY786" s="6">
        <f t="shared" si="66"/>
        <v>0</v>
      </c>
      <c r="AZ786" s="9" t="str">
        <f t="shared" si="67"/>
        <v/>
      </c>
      <c r="BA786" s="6">
        <f t="shared" si="68"/>
        <v>0</v>
      </c>
      <c r="BB786" s="6">
        <f t="shared" si="69"/>
        <v>0</v>
      </c>
      <c r="BC786" s="9" t="str">
        <f t="shared" si="70"/>
        <v/>
      </c>
      <c r="BD786" s="6">
        <f t="shared" si="71"/>
        <v>0</v>
      </c>
      <c r="BE786" s="6">
        <f t="shared" si="72"/>
        <v>0</v>
      </c>
      <c r="BF786" s="9" t="str">
        <f t="shared" si="73"/>
        <v/>
      </c>
      <c r="BG786" s="6">
        <f t="shared" si="74"/>
        <v>0</v>
      </c>
      <c r="BH786" s="6">
        <f t="shared" si="75"/>
        <v>0</v>
      </c>
      <c r="BI786" s="9" t="str">
        <f t="shared" si="76"/>
        <v/>
      </c>
      <c r="BJ786" s="6">
        <f t="shared" si="77"/>
        <v>0</v>
      </c>
      <c r="BK786" s="6">
        <f t="shared" si="78"/>
        <v>0</v>
      </c>
      <c r="BL786" s="6">
        <f t="shared" si="79"/>
        <v>0</v>
      </c>
      <c r="BM786" s="6">
        <f t="shared" si="80"/>
        <v>0</v>
      </c>
      <c r="BN786" s="6">
        <f t="shared" si="81"/>
        <v>0</v>
      </c>
      <c r="BP786" s="6">
        <f t="shared" si="82"/>
        <v>0</v>
      </c>
      <c r="BQ786" s="6" t="b">
        <f ca="1">IFERROR(__xludf.DUMMYFUNCTION("IF(AND(ISERROR(FILTER('Items by Team'!D$2:D3410,'Items by Team'!C$2:C3410 = D786,'Items by Team'!B$2:B3410 = B786)),NOT(A786=""Practice"")),TRUE,FALSE)"),FALSE)</f>
        <v>0</v>
      </c>
      <c r="BR786" s="6">
        <f t="shared" ca="1" si="83"/>
        <v>0</v>
      </c>
    </row>
    <row r="787" spans="1:70">
      <c r="A787" s="6"/>
      <c r="B787" s="6"/>
      <c r="C787" s="6"/>
      <c r="D787" s="6"/>
      <c r="E787" s="6"/>
      <c r="F787" s="6"/>
      <c r="G787" s="6"/>
      <c r="H787" s="6"/>
      <c r="I787" s="6"/>
      <c r="J787" s="6"/>
      <c r="K787" s="6"/>
      <c r="L787" s="6"/>
      <c r="M787" s="6"/>
      <c r="N787" s="6"/>
      <c r="O787" s="6"/>
      <c r="P787" s="6"/>
      <c r="R787" s="6"/>
      <c r="S787" s="6"/>
      <c r="T787" s="6"/>
      <c r="U787" s="6"/>
      <c r="V787" s="6"/>
      <c r="W787" s="6"/>
      <c r="X787" s="6"/>
      <c r="Y787" s="6"/>
      <c r="Z787" s="6"/>
      <c r="AA787" s="6"/>
      <c r="AB787" s="6"/>
      <c r="AD787" s="6"/>
      <c r="AE787" s="6"/>
      <c r="AF787" s="6"/>
      <c r="AG787" s="6"/>
      <c r="AH787" s="6"/>
      <c r="AI787" s="6"/>
      <c r="AK787" s="6"/>
      <c r="AL787" s="6"/>
      <c r="AM787" s="6"/>
      <c r="AN787" s="6"/>
      <c r="AO787" s="6"/>
      <c r="AP787" s="6"/>
      <c r="AQ787" s="6"/>
      <c r="AR787" s="6"/>
      <c r="AS787" s="15"/>
      <c r="AT787" s="6" t="str">
        <f ca="1">IFERROR(__xludf.DUMMYFUNCTION("""COMPUTED_VALUE"""),"#N/A")</f>
        <v>#N/A</v>
      </c>
      <c r="AU787" s="6" t="str">
        <f ca="1">IFERROR(__xludf.DUMMYFUNCTION("""COMPUTED_VALUE"""),"FALSE")</f>
        <v>FALSE</v>
      </c>
      <c r="AV787" s="6">
        <f t="shared" si="63"/>
        <v>0</v>
      </c>
      <c r="AW787" s="6">
        <f t="shared" si="64"/>
        <v>0</v>
      </c>
      <c r="AX787" s="6">
        <f t="shared" si="65"/>
        <v>0</v>
      </c>
      <c r="AY787" s="6">
        <f t="shared" si="66"/>
        <v>0</v>
      </c>
      <c r="AZ787" s="9" t="str">
        <f t="shared" si="67"/>
        <v/>
      </c>
      <c r="BA787" s="6">
        <f t="shared" si="68"/>
        <v>0</v>
      </c>
      <c r="BB787" s="6">
        <f t="shared" si="69"/>
        <v>0</v>
      </c>
      <c r="BC787" s="9" t="str">
        <f t="shared" si="70"/>
        <v/>
      </c>
      <c r="BD787" s="6">
        <f t="shared" si="71"/>
        <v>0</v>
      </c>
      <c r="BE787" s="6">
        <f t="shared" si="72"/>
        <v>0</v>
      </c>
      <c r="BF787" s="9" t="str">
        <f t="shared" si="73"/>
        <v/>
      </c>
      <c r="BG787" s="6">
        <f t="shared" si="74"/>
        <v>0</v>
      </c>
      <c r="BH787" s="6">
        <f t="shared" si="75"/>
        <v>0</v>
      </c>
      <c r="BI787" s="9" t="str">
        <f t="shared" si="76"/>
        <v/>
      </c>
      <c r="BJ787" s="6">
        <f t="shared" si="77"/>
        <v>0</v>
      </c>
      <c r="BK787" s="6">
        <f t="shared" si="78"/>
        <v>0</v>
      </c>
      <c r="BL787" s="6">
        <f t="shared" si="79"/>
        <v>0</v>
      </c>
      <c r="BM787" s="6">
        <f t="shared" si="80"/>
        <v>0</v>
      </c>
      <c r="BN787" s="6">
        <f t="shared" si="81"/>
        <v>0</v>
      </c>
      <c r="BP787" s="6">
        <f t="shared" si="82"/>
        <v>0</v>
      </c>
      <c r="BQ787" s="6" t="b">
        <f ca="1">IFERROR(__xludf.DUMMYFUNCTION("IF(AND(ISERROR(FILTER('Items by Team'!D$2:D3410,'Items by Team'!C$2:C3410 = D787,'Items by Team'!B$2:B3410 = B787)),NOT(A787=""Practice"")),TRUE,FALSE)"),FALSE)</f>
        <v>0</v>
      </c>
      <c r="BR787" s="6">
        <f t="shared" ca="1" si="83"/>
        <v>0</v>
      </c>
    </row>
    <row r="788" spans="1:70">
      <c r="A788" s="6"/>
      <c r="B788" s="6"/>
      <c r="C788" s="6"/>
      <c r="D788" s="6"/>
      <c r="E788" s="6"/>
      <c r="F788" s="6"/>
      <c r="G788" s="6"/>
      <c r="H788" s="6"/>
      <c r="I788" s="6"/>
      <c r="J788" s="6"/>
      <c r="K788" s="6"/>
      <c r="L788" s="6"/>
      <c r="M788" s="6"/>
      <c r="N788" s="6"/>
      <c r="O788" s="6"/>
      <c r="P788" s="6"/>
      <c r="R788" s="6"/>
      <c r="S788" s="6"/>
      <c r="T788" s="6"/>
      <c r="U788" s="6"/>
      <c r="V788" s="6"/>
      <c r="W788" s="6"/>
      <c r="X788" s="6"/>
      <c r="Y788" s="6"/>
      <c r="Z788" s="6"/>
      <c r="AA788" s="6"/>
      <c r="AB788" s="6"/>
      <c r="AD788" s="6"/>
      <c r="AE788" s="6"/>
      <c r="AF788" s="6"/>
      <c r="AG788" s="6"/>
      <c r="AH788" s="6"/>
      <c r="AI788" s="6"/>
      <c r="AK788" s="6"/>
      <c r="AL788" s="6"/>
      <c r="AM788" s="6"/>
      <c r="AN788" s="6"/>
      <c r="AO788" s="6"/>
      <c r="AP788" s="6"/>
      <c r="AQ788" s="6"/>
      <c r="AR788" s="6"/>
      <c r="AS788" s="15"/>
      <c r="AT788" s="6" t="str">
        <f ca="1">IFERROR(__xludf.DUMMYFUNCTION("""COMPUTED_VALUE"""),"#N/A")</f>
        <v>#N/A</v>
      </c>
      <c r="AU788" s="6" t="str">
        <f ca="1">IFERROR(__xludf.DUMMYFUNCTION("""COMPUTED_VALUE"""),"FALSE")</f>
        <v>FALSE</v>
      </c>
      <c r="AV788" s="6">
        <f t="shared" si="63"/>
        <v>0</v>
      </c>
      <c r="AW788" s="6">
        <f t="shared" si="64"/>
        <v>0</v>
      </c>
      <c r="AX788" s="6">
        <f t="shared" si="65"/>
        <v>0</v>
      </c>
      <c r="AY788" s="6">
        <f t="shared" si="66"/>
        <v>0</v>
      </c>
      <c r="AZ788" s="9" t="str">
        <f t="shared" si="67"/>
        <v/>
      </c>
      <c r="BA788" s="6">
        <f t="shared" si="68"/>
        <v>0</v>
      </c>
      <c r="BB788" s="6">
        <f t="shared" si="69"/>
        <v>0</v>
      </c>
      <c r="BC788" s="9" t="str">
        <f t="shared" si="70"/>
        <v/>
      </c>
      <c r="BD788" s="6">
        <f t="shared" si="71"/>
        <v>0</v>
      </c>
      <c r="BE788" s="6">
        <f t="shared" si="72"/>
        <v>0</v>
      </c>
      <c r="BF788" s="9" t="str">
        <f t="shared" si="73"/>
        <v/>
      </c>
      <c r="BG788" s="6">
        <f t="shared" si="74"/>
        <v>0</v>
      </c>
      <c r="BH788" s="6">
        <f t="shared" si="75"/>
        <v>0</v>
      </c>
      <c r="BI788" s="9" t="str">
        <f t="shared" si="76"/>
        <v/>
      </c>
      <c r="BJ788" s="6">
        <f t="shared" si="77"/>
        <v>0</v>
      </c>
      <c r="BK788" s="6">
        <f t="shared" si="78"/>
        <v>0</v>
      </c>
      <c r="BL788" s="6">
        <f t="shared" si="79"/>
        <v>0</v>
      </c>
      <c r="BM788" s="6">
        <f t="shared" si="80"/>
        <v>0</v>
      </c>
      <c r="BN788" s="6">
        <f t="shared" si="81"/>
        <v>0</v>
      </c>
      <c r="BP788" s="6">
        <f t="shared" si="82"/>
        <v>0</v>
      </c>
      <c r="BQ788" s="6" t="b">
        <f ca="1">IFERROR(__xludf.DUMMYFUNCTION("IF(AND(ISERROR(FILTER('Items by Team'!D$2:D3410,'Items by Team'!C$2:C3410 = D788,'Items by Team'!B$2:B3410 = B788)),NOT(A788=""Practice"")),TRUE,FALSE)"),FALSE)</f>
        <v>0</v>
      </c>
      <c r="BR788" s="6">
        <f t="shared" ca="1" si="83"/>
        <v>0</v>
      </c>
    </row>
    <row r="789" spans="1:70">
      <c r="A789" s="6"/>
      <c r="B789" s="6"/>
      <c r="C789" s="6"/>
      <c r="D789" s="6"/>
      <c r="E789" s="6"/>
      <c r="F789" s="6"/>
      <c r="G789" s="6"/>
      <c r="H789" s="6"/>
      <c r="I789" s="6"/>
      <c r="J789" s="6"/>
      <c r="K789" s="6"/>
      <c r="L789" s="6"/>
      <c r="M789" s="6"/>
      <c r="N789" s="6"/>
      <c r="O789" s="6"/>
      <c r="P789" s="6"/>
      <c r="R789" s="6"/>
      <c r="S789" s="6"/>
      <c r="T789" s="6"/>
      <c r="U789" s="6"/>
      <c r="V789" s="6"/>
      <c r="W789" s="6"/>
      <c r="X789" s="6"/>
      <c r="Y789" s="6"/>
      <c r="Z789" s="6"/>
      <c r="AA789" s="6"/>
      <c r="AB789" s="6"/>
      <c r="AD789" s="6"/>
      <c r="AE789" s="6"/>
      <c r="AF789" s="6"/>
      <c r="AG789" s="6"/>
      <c r="AH789" s="6"/>
      <c r="AI789" s="6"/>
      <c r="AK789" s="6"/>
      <c r="AL789" s="6"/>
      <c r="AM789" s="6"/>
      <c r="AN789" s="6"/>
      <c r="AO789" s="6"/>
      <c r="AP789" s="6"/>
      <c r="AQ789" s="6"/>
      <c r="AR789" s="6"/>
      <c r="AS789" s="15"/>
      <c r="AT789" s="6" t="str">
        <f ca="1">IFERROR(__xludf.DUMMYFUNCTION("""COMPUTED_VALUE"""),"#N/A")</f>
        <v>#N/A</v>
      </c>
      <c r="AU789" s="6" t="str">
        <f ca="1">IFERROR(__xludf.DUMMYFUNCTION("""COMPUTED_VALUE"""),"FALSE")</f>
        <v>FALSE</v>
      </c>
      <c r="AV789" s="6">
        <f t="shared" si="63"/>
        <v>0</v>
      </c>
      <c r="AW789" s="6">
        <f t="shared" si="64"/>
        <v>0</v>
      </c>
      <c r="AX789" s="6">
        <f t="shared" si="65"/>
        <v>0</v>
      </c>
      <c r="AY789" s="6">
        <f t="shared" si="66"/>
        <v>0</v>
      </c>
      <c r="AZ789" s="9" t="str">
        <f t="shared" si="67"/>
        <v/>
      </c>
      <c r="BA789" s="6">
        <f t="shared" si="68"/>
        <v>0</v>
      </c>
      <c r="BB789" s="6">
        <f t="shared" si="69"/>
        <v>0</v>
      </c>
      <c r="BC789" s="9" t="str">
        <f t="shared" si="70"/>
        <v/>
      </c>
      <c r="BD789" s="6">
        <f t="shared" si="71"/>
        <v>0</v>
      </c>
      <c r="BE789" s="6">
        <f t="shared" si="72"/>
        <v>0</v>
      </c>
      <c r="BF789" s="9" t="str">
        <f t="shared" si="73"/>
        <v/>
      </c>
      <c r="BG789" s="6">
        <f t="shared" si="74"/>
        <v>0</v>
      </c>
      <c r="BH789" s="6">
        <f t="shared" si="75"/>
        <v>0</v>
      </c>
      <c r="BI789" s="9" t="str">
        <f t="shared" si="76"/>
        <v/>
      </c>
      <c r="BJ789" s="6">
        <f t="shared" si="77"/>
        <v>0</v>
      </c>
      <c r="BK789" s="6">
        <f t="shared" si="78"/>
        <v>0</v>
      </c>
      <c r="BL789" s="6">
        <f t="shared" si="79"/>
        <v>0</v>
      </c>
      <c r="BM789" s="6">
        <f t="shared" si="80"/>
        <v>0</v>
      </c>
      <c r="BN789" s="6">
        <f t="shared" si="81"/>
        <v>0</v>
      </c>
      <c r="BP789" s="6">
        <f t="shared" si="82"/>
        <v>0</v>
      </c>
      <c r="BQ789" s="6" t="b">
        <f ca="1">IFERROR(__xludf.DUMMYFUNCTION("IF(AND(ISERROR(FILTER('Items by Team'!D$2:D3410,'Items by Team'!C$2:C3410 = D789,'Items by Team'!B$2:B3410 = B789)),NOT(A789=""Practice"")),TRUE,FALSE)"),FALSE)</f>
        <v>0</v>
      </c>
      <c r="BR789" s="6">
        <f t="shared" ca="1" si="83"/>
        <v>0</v>
      </c>
    </row>
    <row r="790" spans="1:70">
      <c r="A790" s="6"/>
      <c r="B790" s="6"/>
      <c r="C790" s="6"/>
      <c r="D790" s="6"/>
      <c r="E790" s="6"/>
      <c r="F790" s="6"/>
      <c r="G790" s="6"/>
      <c r="H790" s="6"/>
      <c r="I790" s="6"/>
      <c r="J790" s="6"/>
      <c r="K790" s="6"/>
      <c r="L790" s="6"/>
      <c r="M790" s="6"/>
      <c r="N790" s="6"/>
      <c r="O790" s="6"/>
      <c r="P790" s="6"/>
      <c r="R790" s="6"/>
      <c r="S790" s="6"/>
      <c r="T790" s="6"/>
      <c r="U790" s="6"/>
      <c r="V790" s="6"/>
      <c r="W790" s="6"/>
      <c r="X790" s="6"/>
      <c r="Y790" s="6"/>
      <c r="Z790" s="6"/>
      <c r="AA790" s="6"/>
      <c r="AB790" s="6"/>
      <c r="AD790" s="6"/>
      <c r="AE790" s="6"/>
      <c r="AF790" s="6"/>
      <c r="AG790" s="6"/>
      <c r="AH790" s="6"/>
      <c r="AI790" s="6"/>
      <c r="AK790" s="6"/>
      <c r="AL790" s="6"/>
      <c r="AM790" s="6"/>
      <c r="AN790" s="6"/>
      <c r="AO790" s="6"/>
      <c r="AP790" s="6"/>
      <c r="AQ790" s="6"/>
      <c r="AR790" s="6"/>
      <c r="AS790" s="15"/>
      <c r="AT790" s="6" t="str">
        <f ca="1">IFERROR(__xludf.DUMMYFUNCTION("""COMPUTED_VALUE"""),"#N/A")</f>
        <v>#N/A</v>
      </c>
      <c r="AU790" s="6" t="str">
        <f ca="1">IFERROR(__xludf.DUMMYFUNCTION("""COMPUTED_VALUE"""),"FALSE")</f>
        <v>FALSE</v>
      </c>
      <c r="AV790" s="6">
        <f t="shared" si="63"/>
        <v>0</v>
      </c>
      <c r="AW790" s="6">
        <f t="shared" si="64"/>
        <v>0</v>
      </c>
      <c r="AX790" s="6">
        <f t="shared" si="65"/>
        <v>0</v>
      </c>
      <c r="AY790" s="6">
        <f t="shared" si="66"/>
        <v>0</v>
      </c>
      <c r="AZ790" s="9" t="str">
        <f t="shared" si="67"/>
        <v/>
      </c>
      <c r="BA790" s="6">
        <f t="shared" si="68"/>
        <v>0</v>
      </c>
      <c r="BB790" s="6">
        <f t="shared" si="69"/>
        <v>0</v>
      </c>
      <c r="BC790" s="9" t="str">
        <f t="shared" si="70"/>
        <v/>
      </c>
      <c r="BD790" s="6">
        <f t="shared" si="71"/>
        <v>0</v>
      </c>
      <c r="BE790" s="6">
        <f t="shared" si="72"/>
        <v>0</v>
      </c>
      <c r="BF790" s="9" t="str">
        <f t="shared" si="73"/>
        <v/>
      </c>
      <c r="BG790" s="6">
        <f t="shared" si="74"/>
        <v>0</v>
      </c>
      <c r="BH790" s="6">
        <f t="shared" si="75"/>
        <v>0</v>
      </c>
      <c r="BI790" s="9" t="str">
        <f t="shared" si="76"/>
        <v/>
      </c>
      <c r="BJ790" s="6">
        <f t="shared" si="77"/>
        <v>0</v>
      </c>
      <c r="BK790" s="6">
        <f t="shared" si="78"/>
        <v>0</v>
      </c>
      <c r="BL790" s="6">
        <f t="shared" si="79"/>
        <v>0</v>
      </c>
      <c r="BM790" s="6">
        <f t="shared" si="80"/>
        <v>0</v>
      </c>
      <c r="BN790" s="6">
        <f t="shared" si="81"/>
        <v>0</v>
      </c>
      <c r="BP790" s="6">
        <f t="shared" si="82"/>
        <v>0</v>
      </c>
      <c r="BQ790" s="6" t="b">
        <f ca="1">IFERROR(__xludf.DUMMYFUNCTION("IF(AND(ISERROR(FILTER('Items by Team'!D$2:D3410,'Items by Team'!C$2:C3410 = D790,'Items by Team'!B$2:B3410 = B790)),NOT(A790=""Practice"")),TRUE,FALSE)"),FALSE)</f>
        <v>0</v>
      </c>
      <c r="BR790" s="6">
        <f t="shared" ca="1" si="83"/>
        <v>0</v>
      </c>
    </row>
    <row r="791" spans="1:70">
      <c r="A791" s="6"/>
      <c r="B791" s="6"/>
      <c r="C791" s="6"/>
      <c r="D791" s="6"/>
      <c r="E791" s="6"/>
      <c r="F791" s="6"/>
      <c r="G791" s="6"/>
      <c r="H791" s="6"/>
      <c r="I791" s="6"/>
      <c r="J791" s="6"/>
      <c r="K791" s="6"/>
      <c r="L791" s="6"/>
      <c r="M791" s="6"/>
      <c r="N791" s="6"/>
      <c r="O791" s="6"/>
      <c r="P791" s="6"/>
      <c r="R791" s="6"/>
      <c r="S791" s="6"/>
      <c r="T791" s="6"/>
      <c r="U791" s="6"/>
      <c r="V791" s="6"/>
      <c r="W791" s="6"/>
      <c r="X791" s="6"/>
      <c r="Y791" s="6"/>
      <c r="Z791" s="6"/>
      <c r="AA791" s="6"/>
      <c r="AB791" s="6"/>
      <c r="AD791" s="6"/>
      <c r="AE791" s="6"/>
      <c r="AF791" s="6"/>
      <c r="AG791" s="6"/>
      <c r="AH791" s="6"/>
      <c r="AI791" s="6"/>
      <c r="AK791" s="6"/>
      <c r="AL791" s="6"/>
      <c r="AM791" s="6"/>
      <c r="AN791" s="6"/>
      <c r="AO791" s="6"/>
      <c r="AP791" s="6"/>
      <c r="AQ791" s="6"/>
      <c r="AR791" s="6"/>
      <c r="AS791" s="15"/>
      <c r="AT791" s="6" t="str">
        <f ca="1">IFERROR(__xludf.DUMMYFUNCTION("""COMPUTED_VALUE"""),"#N/A")</f>
        <v>#N/A</v>
      </c>
      <c r="AU791" s="6" t="str">
        <f ca="1">IFERROR(__xludf.DUMMYFUNCTION("""COMPUTED_VALUE"""),"FALSE")</f>
        <v>FALSE</v>
      </c>
      <c r="AV791" s="6">
        <f t="shared" si="63"/>
        <v>0</v>
      </c>
      <c r="AW791" s="6">
        <f t="shared" si="64"/>
        <v>0</v>
      </c>
      <c r="AX791" s="6">
        <f t="shared" si="65"/>
        <v>0</v>
      </c>
      <c r="AY791" s="6">
        <f t="shared" si="66"/>
        <v>0</v>
      </c>
      <c r="AZ791" s="9" t="str">
        <f t="shared" si="67"/>
        <v/>
      </c>
      <c r="BA791" s="6">
        <f t="shared" si="68"/>
        <v>0</v>
      </c>
      <c r="BB791" s="6">
        <f t="shared" si="69"/>
        <v>0</v>
      </c>
      <c r="BC791" s="9" t="str">
        <f t="shared" si="70"/>
        <v/>
      </c>
      <c r="BD791" s="6">
        <f t="shared" si="71"/>
        <v>0</v>
      </c>
      <c r="BE791" s="6">
        <f t="shared" si="72"/>
        <v>0</v>
      </c>
      <c r="BF791" s="9" t="str">
        <f t="shared" si="73"/>
        <v/>
      </c>
      <c r="BG791" s="6">
        <f t="shared" si="74"/>
        <v>0</v>
      </c>
      <c r="BH791" s="6">
        <f t="shared" si="75"/>
        <v>0</v>
      </c>
      <c r="BI791" s="9" t="str">
        <f t="shared" si="76"/>
        <v/>
      </c>
      <c r="BJ791" s="6">
        <f t="shared" si="77"/>
        <v>0</v>
      </c>
      <c r="BK791" s="6">
        <f t="shared" si="78"/>
        <v>0</v>
      </c>
      <c r="BL791" s="6">
        <f t="shared" si="79"/>
        <v>0</v>
      </c>
      <c r="BM791" s="6">
        <f t="shared" si="80"/>
        <v>0</v>
      </c>
      <c r="BN791" s="6">
        <f t="shared" si="81"/>
        <v>0</v>
      </c>
      <c r="BP791" s="6">
        <f t="shared" si="82"/>
        <v>0</v>
      </c>
      <c r="BQ791" s="6" t="b">
        <f ca="1">IFERROR(__xludf.DUMMYFUNCTION("IF(AND(ISERROR(FILTER('Items by Team'!D$2:D3410,'Items by Team'!C$2:C3410 = D791,'Items by Team'!B$2:B3410 = B791)),NOT(A791=""Practice"")),TRUE,FALSE)"),FALSE)</f>
        <v>0</v>
      </c>
      <c r="BR791" s="6">
        <f t="shared" ca="1" si="83"/>
        <v>0</v>
      </c>
    </row>
    <row r="792" spans="1:70">
      <c r="A792" s="6"/>
      <c r="B792" s="6"/>
      <c r="C792" s="6"/>
      <c r="D792" s="6"/>
      <c r="E792" s="6"/>
      <c r="F792" s="6"/>
      <c r="G792" s="6"/>
      <c r="H792" s="6"/>
      <c r="I792" s="6"/>
      <c r="J792" s="6"/>
      <c r="K792" s="6"/>
      <c r="L792" s="6"/>
      <c r="M792" s="6"/>
      <c r="N792" s="6"/>
      <c r="O792" s="6"/>
      <c r="P792" s="6"/>
      <c r="R792" s="6"/>
      <c r="S792" s="6"/>
      <c r="T792" s="6"/>
      <c r="U792" s="6"/>
      <c r="V792" s="6"/>
      <c r="W792" s="6"/>
      <c r="X792" s="6"/>
      <c r="Y792" s="6"/>
      <c r="Z792" s="6"/>
      <c r="AA792" s="6"/>
      <c r="AB792" s="6"/>
      <c r="AD792" s="6"/>
      <c r="AE792" s="6"/>
      <c r="AF792" s="6"/>
      <c r="AG792" s="6"/>
      <c r="AH792" s="6"/>
      <c r="AI792" s="6"/>
      <c r="AK792" s="6"/>
      <c r="AL792" s="6"/>
      <c r="AM792" s="6"/>
      <c r="AN792" s="6"/>
      <c r="AO792" s="6"/>
      <c r="AP792" s="6"/>
      <c r="AQ792" s="6"/>
      <c r="AR792" s="6"/>
      <c r="AS792" s="15"/>
      <c r="AT792" s="6" t="str">
        <f ca="1">IFERROR(__xludf.DUMMYFUNCTION("""COMPUTED_VALUE"""),"#N/A")</f>
        <v>#N/A</v>
      </c>
      <c r="AU792" s="6" t="str">
        <f ca="1">IFERROR(__xludf.DUMMYFUNCTION("""COMPUTED_VALUE"""),"FALSE")</f>
        <v>FALSE</v>
      </c>
      <c r="AV792" s="6">
        <f t="shared" si="63"/>
        <v>0</v>
      </c>
      <c r="AW792" s="6">
        <f t="shared" si="64"/>
        <v>0</v>
      </c>
      <c r="AX792" s="6">
        <f t="shared" si="65"/>
        <v>0</v>
      </c>
      <c r="AY792" s="6">
        <f t="shared" si="66"/>
        <v>0</v>
      </c>
      <c r="AZ792" s="9" t="str">
        <f t="shared" si="67"/>
        <v/>
      </c>
      <c r="BA792" s="6">
        <f t="shared" si="68"/>
        <v>0</v>
      </c>
      <c r="BB792" s="6">
        <f t="shared" si="69"/>
        <v>0</v>
      </c>
      <c r="BC792" s="9" t="str">
        <f t="shared" si="70"/>
        <v/>
      </c>
      <c r="BD792" s="6">
        <f t="shared" si="71"/>
        <v>0</v>
      </c>
      <c r="BE792" s="6">
        <f t="shared" si="72"/>
        <v>0</v>
      </c>
      <c r="BF792" s="9" t="str">
        <f t="shared" si="73"/>
        <v/>
      </c>
      <c r="BG792" s="6">
        <f t="shared" si="74"/>
        <v>0</v>
      </c>
      <c r="BH792" s="6">
        <f t="shared" si="75"/>
        <v>0</v>
      </c>
      <c r="BI792" s="9" t="str">
        <f t="shared" si="76"/>
        <v/>
      </c>
      <c r="BJ792" s="6">
        <f t="shared" si="77"/>
        <v>0</v>
      </c>
      <c r="BK792" s="6">
        <f t="shared" si="78"/>
        <v>0</v>
      </c>
      <c r="BL792" s="6">
        <f t="shared" si="79"/>
        <v>0</v>
      </c>
      <c r="BM792" s="6">
        <f t="shared" si="80"/>
        <v>0</v>
      </c>
      <c r="BN792" s="6">
        <f t="shared" si="81"/>
        <v>0</v>
      </c>
      <c r="BP792" s="6">
        <f t="shared" si="82"/>
        <v>0</v>
      </c>
      <c r="BQ792" s="6" t="b">
        <f ca="1">IFERROR(__xludf.DUMMYFUNCTION("IF(AND(ISERROR(FILTER('Items by Team'!D$2:D3410,'Items by Team'!C$2:C3410 = D792,'Items by Team'!B$2:B3410 = B792)),NOT(A792=""Practice"")),TRUE,FALSE)"),FALSE)</f>
        <v>0</v>
      </c>
      <c r="BR792" s="6">
        <f t="shared" ca="1" si="83"/>
        <v>0</v>
      </c>
    </row>
    <row r="793" spans="1:70">
      <c r="A793" s="6"/>
      <c r="B793" s="6"/>
      <c r="C793" s="6"/>
      <c r="D793" s="6"/>
      <c r="E793" s="6"/>
      <c r="F793" s="6"/>
      <c r="G793" s="6"/>
      <c r="H793" s="6"/>
      <c r="I793" s="6"/>
      <c r="J793" s="6"/>
      <c r="K793" s="6"/>
      <c r="L793" s="6"/>
      <c r="M793" s="6"/>
      <c r="N793" s="6"/>
      <c r="O793" s="6"/>
      <c r="P793" s="6"/>
      <c r="R793" s="6"/>
      <c r="S793" s="6"/>
      <c r="T793" s="6"/>
      <c r="U793" s="6"/>
      <c r="V793" s="6"/>
      <c r="W793" s="6"/>
      <c r="X793" s="6"/>
      <c r="Y793" s="6"/>
      <c r="Z793" s="6"/>
      <c r="AA793" s="6"/>
      <c r="AB793" s="6"/>
      <c r="AD793" s="6"/>
      <c r="AE793" s="6"/>
      <c r="AF793" s="6"/>
      <c r="AG793" s="6"/>
      <c r="AH793" s="6"/>
      <c r="AI793" s="6"/>
      <c r="AK793" s="6"/>
      <c r="AL793" s="6"/>
      <c r="AM793" s="6"/>
      <c r="AN793" s="6"/>
      <c r="AO793" s="6"/>
      <c r="AP793" s="6"/>
      <c r="AQ793" s="6"/>
      <c r="AR793" s="6"/>
      <c r="AS793" s="15"/>
      <c r="AT793" s="6" t="str">
        <f ca="1">IFERROR(__xludf.DUMMYFUNCTION("""COMPUTED_VALUE"""),"#N/A")</f>
        <v>#N/A</v>
      </c>
      <c r="AU793" s="6" t="str">
        <f ca="1">IFERROR(__xludf.DUMMYFUNCTION("""COMPUTED_VALUE"""),"FALSE")</f>
        <v>FALSE</v>
      </c>
      <c r="AV793" s="6">
        <f t="shared" si="63"/>
        <v>0</v>
      </c>
      <c r="AW793" s="6">
        <f t="shared" si="64"/>
        <v>0</v>
      </c>
      <c r="AX793" s="6">
        <f t="shared" si="65"/>
        <v>0</v>
      </c>
      <c r="AY793" s="6">
        <f t="shared" si="66"/>
        <v>0</v>
      </c>
      <c r="AZ793" s="9" t="str">
        <f t="shared" si="67"/>
        <v/>
      </c>
      <c r="BA793" s="6">
        <f t="shared" si="68"/>
        <v>0</v>
      </c>
      <c r="BB793" s="6">
        <f t="shared" si="69"/>
        <v>0</v>
      </c>
      <c r="BC793" s="9" t="str">
        <f t="shared" si="70"/>
        <v/>
      </c>
      <c r="BD793" s="6">
        <f t="shared" si="71"/>
        <v>0</v>
      </c>
      <c r="BE793" s="6">
        <f t="shared" si="72"/>
        <v>0</v>
      </c>
      <c r="BF793" s="9" t="str">
        <f t="shared" si="73"/>
        <v/>
      </c>
      <c r="BG793" s="6">
        <f t="shared" si="74"/>
        <v>0</v>
      </c>
      <c r="BH793" s="6">
        <f t="shared" si="75"/>
        <v>0</v>
      </c>
      <c r="BI793" s="9" t="str">
        <f t="shared" si="76"/>
        <v/>
      </c>
      <c r="BJ793" s="6">
        <f t="shared" si="77"/>
        <v>0</v>
      </c>
      <c r="BK793" s="6">
        <f t="shared" si="78"/>
        <v>0</v>
      </c>
      <c r="BL793" s="6">
        <f t="shared" si="79"/>
        <v>0</v>
      </c>
      <c r="BM793" s="6">
        <f t="shared" si="80"/>
        <v>0</v>
      </c>
      <c r="BN793" s="6">
        <f t="shared" si="81"/>
        <v>0</v>
      </c>
      <c r="BP793" s="6">
        <f t="shared" si="82"/>
        <v>0</v>
      </c>
      <c r="BQ793" s="6" t="b">
        <f ca="1">IFERROR(__xludf.DUMMYFUNCTION("IF(AND(ISERROR(FILTER('Items by Team'!D$2:D3410,'Items by Team'!C$2:C3410 = D793,'Items by Team'!B$2:B3410 = B793)),NOT(A793=""Practice"")),TRUE,FALSE)"),FALSE)</f>
        <v>0</v>
      </c>
      <c r="BR793" s="6">
        <f t="shared" ca="1" si="83"/>
        <v>0</v>
      </c>
    </row>
    <row r="794" spans="1:70">
      <c r="A794" s="6"/>
      <c r="B794" s="6"/>
      <c r="C794" s="6"/>
      <c r="D794" s="6"/>
      <c r="E794" s="6"/>
      <c r="F794" s="6"/>
      <c r="G794" s="6"/>
      <c r="H794" s="6"/>
      <c r="I794" s="6"/>
      <c r="J794" s="6"/>
      <c r="K794" s="6"/>
      <c r="L794" s="6"/>
      <c r="M794" s="6"/>
      <c r="N794" s="6"/>
      <c r="O794" s="6"/>
      <c r="P794" s="6"/>
      <c r="R794" s="6"/>
      <c r="S794" s="6"/>
      <c r="T794" s="6"/>
      <c r="U794" s="6"/>
      <c r="V794" s="6"/>
      <c r="W794" s="6"/>
      <c r="X794" s="6"/>
      <c r="Y794" s="6"/>
      <c r="Z794" s="6"/>
      <c r="AA794" s="6"/>
      <c r="AB794" s="6"/>
      <c r="AD794" s="6"/>
      <c r="AE794" s="6"/>
      <c r="AF794" s="6"/>
      <c r="AG794" s="6"/>
      <c r="AH794" s="6"/>
      <c r="AI794" s="6"/>
      <c r="AK794" s="6"/>
      <c r="AL794" s="6"/>
      <c r="AM794" s="6"/>
      <c r="AN794" s="6"/>
      <c r="AO794" s="6"/>
      <c r="AP794" s="6"/>
      <c r="AQ794" s="6"/>
      <c r="AR794" s="6"/>
      <c r="AS794" s="15"/>
      <c r="AT794" s="6" t="str">
        <f ca="1">IFERROR(__xludf.DUMMYFUNCTION("""COMPUTED_VALUE"""),"#N/A")</f>
        <v>#N/A</v>
      </c>
      <c r="AU794" s="6" t="str">
        <f ca="1">IFERROR(__xludf.DUMMYFUNCTION("""COMPUTED_VALUE"""),"FALSE")</f>
        <v>FALSE</v>
      </c>
      <c r="AV794" s="6">
        <f t="shared" si="63"/>
        <v>0</v>
      </c>
      <c r="AW794" s="6">
        <f t="shared" si="64"/>
        <v>0</v>
      </c>
      <c r="AX794" s="6">
        <f t="shared" si="65"/>
        <v>0</v>
      </c>
      <c r="AY794" s="6">
        <f t="shared" si="66"/>
        <v>0</v>
      </c>
      <c r="AZ794" s="9" t="str">
        <f t="shared" si="67"/>
        <v/>
      </c>
      <c r="BA794" s="6">
        <f t="shared" si="68"/>
        <v>0</v>
      </c>
      <c r="BB794" s="6">
        <f t="shared" si="69"/>
        <v>0</v>
      </c>
      <c r="BC794" s="9" t="str">
        <f t="shared" si="70"/>
        <v/>
      </c>
      <c r="BD794" s="6">
        <f t="shared" si="71"/>
        <v>0</v>
      </c>
      <c r="BE794" s="6">
        <f t="shared" si="72"/>
        <v>0</v>
      </c>
      <c r="BF794" s="9" t="str">
        <f t="shared" si="73"/>
        <v/>
      </c>
      <c r="BG794" s="6">
        <f t="shared" si="74"/>
        <v>0</v>
      </c>
      <c r="BH794" s="6">
        <f t="shared" si="75"/>
        <v>0</v>
      </c>
      <c r="BI794" s="9" t="str">
        <f t="shared" si="76"/>
        <v/>
      </c>
      <c r="BJ794" s="6">
        <f t="shared" si="77"/>
        <v>0</v>
      </c>
      <c r="BK794" s="6">
        <f t="shared" si="78"/>
        <v>0</v>
      </c>
      <c r="BL794" s="6">
        <f t="shared" si="79"/>
        <v>0</v>
      </c>
      <c r="BM794" s="6">
        <f t="shared" si="80"/>
        <v>0</v>
      </c>
      <c r="BN794" s="6">
        <f t="shared" si="81"/>
        <v>0</v>
      </c>
      <c r="BP794" s="6">
        <f t="shared" si="82"/>
        <v>0</v>
      </c>
      <c r="BQ794" s="6" t="b">
        <f ca="1">IFERROR(__xludf.DUMMYFUNCTION("IF(AND(ISERROR(FILTER('Items by Team'!D$2:D3410,'Items by Team'!C$2:C3410 = D794,'Items by Team'!B$2:B3410 = B794)),NOT(A794=""Practice"")),TRUE,FALSE)"),FALSE)</f>
        <v>0</v>
      </c>
      <c r="BR794" s="6">
        <f t="shared" ca="1" si="83"/>
        <v>0</v>
      </c>
    </row>
    <row r="795" spans="1:70">
      <c r="A795" s="6"/>
      <c r="B795" s="6"/>
      <c r="C795" s="6"/>
      <c r="D795" s="6"/>
      <c r="E795" s="6"/>
      <c r="F795" s="6"/>
      <c r="G795" s="6"/>
      <c r="H795" s="6"/>
      <c r="I795" s="6"/>
      <c r="J795" s="6"/>
      <c r="K795" s="6"/>
      <c r="L795" s="6"/>
      <c r="M795" s="6"/>
      <c r="N795" s="6"/>
      <c r="O795" s="6"/>
      <c r="P795" s="6"/>
      <c r="R795" s="6"/>
      <c r="S795" s="6"/>
      <c r="T795" s="6"/>
      <c r="U795" s="6"/>
      <c r="V795" s="6"/>
      <c r="W795" s="6"/>
      <c r="X795" s="6"/>
      <c r="Y795" s="6"/>
      <c r="Z795" s="6"/>
      <c r="AA795" s="6"/>
      <c r="AB795" s="6"/>
      <c r="AD795" s="6"/>
      <c r="AE795" s="6"/>
      <c r="AF795" s="6"/>
      <c r="AG795" s="6"/>
      <c r="AH795" s="6"/>
      <c r="AI795" s="6"/>
      <c r="AK795" s="6"/>
      <c r="AL795" s="6"/>
      <c r="AM795" s="6"/>
      <c r="AN795" s="6"/>
      <c r="AO795" s="6"/>
      <c r="AP795" s="6"/>
      <c r="AQ795" s="6"/>
      <c r="AR795" s="6"/>
      <c r="AS795" s="15"/>
      <c r="AT795" s="6" t="str">
        <f ca="1">IFERROR(__xludf.DUMMYFUNCTION("""COMPUTED_VALUE"""),"#N/A")</f>
        <v>#N/A</v>
      </c>
      <c r="AU795" s="6" t="str">
        <f ca="1">IFERROR(__xludf.DUMMYFUNCTION("""COMPUTED_VALUE"""),"FALSE")</f>
        <v>FALSE</v>
      </c>
      <c r="AV795" s="6">
        <f t="shared" si="63"/>
        <v>0</v>
      </c>
      <c r="AW795" s="6">
        <f t="shared" si="64"/>
        <v>0</v>
      </c>
      <c r="AX795" s="6">
        <f t="shared" si="65"/>
        <v>0</v>
      </c>
      <c r="AY795" s="6">
        <f t="shared" si="66"/>
        <v>0</v>
      </c>
      <c r="AZ795" s="9" t="str">
        <f t="shared" si="67"/>
        <v/>
      </c>
      <c r="BA795" s="6">
        <f t="shared" si="68"/>
        <v>0</v>
      </c>
      <c r="BB795" s="6">
        <f t="shared" si="69"/>
        <v>0</v>
      </c>
      <c r="BC795" s="9" t="str">
        <f t="shared" si="70"/>
        <v/>
      </c>
      <c r="BD795" s="6">
        <f t="shared" si="71"/>
        <v>0</v>
      </c>
      <c r="BE795" s="6">
        <f t="shared" si="72"/>
        <v>0</v>
      </c>
      <c r="BF795" s="9" t="str">
        <f t="shared" si="73"/>
        <v/>
      </c>
      <c r="BG795" s="6">
        <f t="shared" si="74"/>
        <v>0</v>
      </c>
      <c r="BH795" s="6">
        <f t="shared" si="75"/>
        <v>0</v>
      </c>
      <c r="BI795" s="9" t="str">
        <f t="shared" si="76"/>
        <v/>
      </c>
      <c r="BJ795" s="6">
        <f t="shared" si="77"/>
        <v>0</v>
      </c>
      <c r="BK795" s="6">
        <f t="shared" si="78"/>
        <v>0</v>
      </c>
      <c r="BL795" s="6">
        <f t="shared" si="79"/>
        <v>0</v>
      </c>
      <c r="BM795" s="6">
        <f t="shared" si="80"/>
        <v>0</v>
      </c>
      <c r="BN795" s="6">
        <f t="shared" si="81"/>
        <v>0</v>
      </c>
      <c r="BP795" s="6">
        <f t="shared" si="82"/>
        <v>0</v>
      </c>
      <c r="BQ795" s="6" t="b">
        <f ca="1">IFERROR(__xludf.DUMMYFUNCTION("IF(AND(ISERROR(FILTER('Items by Team'!D$2:D3410,'Items by Team'!C$2:C3410 = D795,'Items by Team'!B$2:B3410 = B795)),NOT(A795=""Practice"")),TRUE,FALSE)"),FALSE)</f>
        <v>0</v>
      </c>
      <c r="BR795" s="6">
        <f t="shared" ca="1" si="83"/>
        <v>0</v>
      </c>
    </row>
    <row r="796" spans="1:70">
      <c r="A796" s="6"/>
      <c r="B796" s="6"/>
      <c r="C796" s="6"/>
      <c r="D796" s="6"/>
      <c r="E796" s="6"/>
      <c r="F796" s="6"/>
      <c r="G796" s="6"/>
      <c r="H796" s="6"/>
      <c r="I796" s="6"/>
      <c r="J796" s="6"/>
      <c r="K796" s="6"/>
      <c r="L796" s="6"/>
      <c r="M796" s="6"/>
      <c r="N796" s="6"/>
      <c r="O796" s="6"/>
      <c r="P796" s="6"/>
      <c r="R796" s="6"/>
      <c r="S796" s="6"/>
      <c r="T796" s="6"/>
      <c r="U796" s="6"/>
      <c r="V796" s="6"/>
      <c r="W796" s="6"/>
      <c r="X796" s="6"/>
      <c r="Y796" s="6"/>
      <c r="Z796" s="6"/>
      <c r="AA796" s="6"/>
      <c r="AB796" s="6"/>
      <c r="AD796" s="6"/>
      <c r="AE796" s="6"/>
      <c r="AF796" s="6"/>
      <c r="AG796" s="6"/>
      <c r="AH796" s="6"/>
      <c r="AI796" s="6"/>
      <c r="AK796" s="6"/>
      <c r="AL796" s="6"/>
      <c r="AM796" s="6"/>
      <c r="AN796" s="6"/>
      <c r="AO796" s="6"/>
      <c r="AP796" s="6"/>
      <c r="AQ796" s="6"/>
      <c r="AR796" s="6"/>
      <c r="AS796" s="15"/>
      <c r="AT796" s="6" t="str">
        <f ca="1">IFERROR(__xludf.DUMMYFUNCTION("""COMPUTED_VALUE"""),"#N/A")</f>
        <v>#N/A</v>
      </c>
      <c r="AU796" s="6" t="str">
        <f ca="1">IFERROR(__xludf.DUMMYFUNCTION("""COMPUTED_VALUE"""),"FALSE")</f>
        <v>FALSE</v>
      </c>
      <c r="AV796" s="6">
        <f t="shared" si="63"/>
        <v>0</v>
      </c>
      <c r="AW796" s="6">
        <f t="shared" si="64"/>
        <v>0</v>
      </c>
      <c r="AX796" s="6">
        <f t="shared" si="65"/>
        <v>0</v>
      </c>
      <c r="AY796" s="6">
        <f t="shared" si="66"/>
        <v>0</v>
      </c>
      <c r="AZ796" s="9" t="str">
        <f t="shared" si="67"/>
        <v/>
      </c>
      <c r="BA796" s="6">
        <f t="shared" si="68"/>
        <v>0</v>
      </c>
      <c r="BB796" s="6">
        <f t="shared" si="69"/>
        <v>0</v>
      </c>
      <c r="BC796" s="9" t="str">
        <f t="shared" si="70"/>
        <v/>
      </c>
      <c r="BD796" s="6">
        <f t="shared" si="71"/>
        <v>0</v>
      </c>
      <c r="BE796" s="6">
        <f t="shared" si="72"/>
        <v>0</v>
      </c>
      <c r="BF796" s="9" t="str">
        <f t="shared" si="73"/>
        <v/>
      </c>
      <c r="BG796" s="6">
        <f t="shared" si="74"/>
        <v>0</v>
      </c>
      <c r="BH796" s="6">
        <f t="shared" si="75"/>
        <v>0</v>
      </c>
      <c r="BI796" s="9" t="str">
        <f t="shared" si="76"/>
        <v/>
      </c>
      <c r="BJ796" s="6">
        <f t="shared" si="77"/>
        <v>0</v>
      </c>
      <c r="BK796" s="6">
        <f t="shared" si="78"/>
        <v>0</v>
      </c>
      <c r="BL796" s="6">
        <f t="shared" si="79"/>
        <v>0</v>
      </c>
      <c r="BM796" s="6">
        <f t="shared" si="80"/>
        <v>0</v>
      </c>
      <c r="BN796" s="6">
        <f t="shared" si="81"/>
        <v>0</v>
      </c>
      <c r="BP796" s="6">
        <f t="shared" si="82"/>
        <v>0</v>
      </c>
      <c r="BQ796" s="6" t="b">
        <f ca="1">IFERROR(__xludf.DUMMYFUNCTION("IF(AND(ISERROR(FILTER('Items by Team'!D$2:D3410,'Items by Team'!C$2:C3410 = D796,'Items by Team'!B$2:B3410 = B796)),NOT(A796=""Practice"")),TRUE,FALSE)"),FALSE)</f>
        <v>0</v>
      </c>
      <c r="BR796" s="6">
        <f t="shared" ca="1" si="83"/>
        <v>0</v>
      </c>
    </row>
    <row r="797" spans="1:70">
      <c r="A797" s="6"/>
      <c r="B797" s="6"/>
      <c r="C797" s="6"/>
      <c r="D797" s="6"/>
      <c r="E797" s="6"/>
      <c r="F797" s="6"/>
      <c r="G797" s="6"/>
      <c r="H797" s="6"/>
      <c r="I797" s="6"/>
      <c r="J797" s="6"/>
      <c r="K797" s="6"/>
      <c r="L797" s="6"/>
      <c r="M797" s="6"/>
      <c r="N797" s="6"/>
      <c r="O797" s="6"/>
      <c r="P797" s="6"/>
      <c r="R797" s="6"/>
      <c r="S797" s="6"/>
      <c r="T797" s="6"/>
      <c r="U797" s="6"/>
      <c r="V797" s="6"/>
      <c r="W797" s="6"/>
      <c r="X797" s="6"/>
      <c r="Y797" s="6"/>
      <c r="Z797" s="6"/>
      <c r="AA797" s="6"/>
      <c r="AB797" s="6"/>
      <c r="AD797" s="6"/>
      <c r="AE797" s="6"/>
      <c r="AF797" s="6"/>
      <c r="AG797" s="6"/>
      <c r="AH797" s="6"/>
      <c r="AI797" s="6"/>
      <c r="AK797" s="6"/>
      <c r="AL797" s="6"/>
      <c r="AM797" s="6"/>
      <c r="AN797" s="6"/>
      <c r="AO797" s="6"/>
      <c r="AP797" s="6"/>
      <c r="AQ797" s="6"/>
      <c r="AR797" s="6"/>
      <c r="AS797" s="15"/>
      <c r="AT797" s="6" t="str">
        <f ca="1">IFERROR(__xludf.DUMMYFUNCTION("""COMPUTED_VALUE"""),"#N/A")</f>
        <v>#N/A</v>
      </c>
      <c r="AU797" s="6" t="str">
        <f ca="1">IFERROR(__xludf.DUMMYFUNCTION("""COMPUTED_VALUE"""),"FALSE")</f>
        <v>FALSE</v>
      </c>
      <c r="AV797" s="6">
        <f t="shared" si="63"/>
        <v>0</v>
      </c>
      <c r="AW797" s="6">
        <f t="shared" si="64"/>
        <v>0</v>
      </c>
      <c r="AX797" s="6">
        <f t="shared" si="65"/>
        <v>0</v>
      </c>
      <c r="AY797" s="6">
        <f t="shared" si="66"/>
        <v>0</v>
      </c>
      <c r="AZ797" s="9" t="str">
        <f t="shared" si="67"/>
        <v/>
      </c>
      <c r="BA797" s="6">
        <f t="shared" si="68"/>
        <v>0</v>
      </c>
      <c r="BB797" s="6">
        <f t="shared" si="69"/>
        <v>0</v>
      </c>
      <c r="BC797" s="9" t="str">
        <f t="shared" si="70"/>
        <v/>
      </c>
      <c r="BD797" s="6">
        <f t="shared" si="71"/>
        <v>0</v>
      </c>
      <c r="BE797" s="6">
        <f t="shared" si="72"/>
        <v>0</v>
      </c>
      <c r="BF797" s="9" t="str">
        <f t="shared" si="73"/>
        <v/>
      </c>
      <c r="BG797" s="6">
        <f t="shared" si="74"/>
        <v>0</v>
      </c>
      <c r="BH797" s="6">
        <f t="shared" si="75"/>
        <v>0</v>
      </c>
      <c r="BI797" s="9" t="str">
        <f t="shared" si="76"/>
        <v/>
      </c>
      <c r="BJ797" s="6">
        <f t="shared" si="77"/>
        <v>0</v>
      </c>
      <c r="BK797" s="6">
        <f t="shared" si="78"/>
        <v>0</v>
      </c>
      <c r="BL797" s="6">
        <f t="shared" si="79"/>
        <v>0</v>
      </c>
      <c r="BM797" s="6">
        <f t="shared" si="80"/>
        <v>0</v>
      </c>
      <c r="BN797" s="6">
        <f t="shared" si="81"/>
        <v>0</v>
      </c>
      <c r="BP797" s="6">
        <f t="shared" si="82"/>
        <v>0</v>
      </c>
      <c r="BQ797" s="6" t="b">
        <f ca="1">IFERROR(__xludf.DUMMYFUNCTION("IF(AND(ISERROR(FILTER('Items by Team'!D$2:D3410,'Items by Team'!C$2:C3410 = D797,'Items by Team'!B$2:B3410 = B797)),NOT(A797=""Practice"")),TRUE,FALSE)"),FALSE)</f>
        <v>0</v>
      </c>
      <c r="BR797" s="6">
        <f t="shared" ca="1" si="83"/>
        <v>0</v>
      </c>
    </row>
    <row r="798" spans="1:70">
      <c r="A798" s="6"/>
      <c r="B798" s="6"/>
      <c r="C798" s="6"/>
      <c r="D798" s="6"/>
      <c r="E798" s="6"/>
      <c r="F798" s="6"/>
      <c r="G798" s="6"/>
      <c r="H798" s="6"/>
      <c r="I798" s="6"/>
      <c r="J798" s="6"/>
      <c r="K798" s="6"/>
      <c r="L798" s="6"/>
      <c r="M798" s="6"/>
      <c r="N798" s="6"/>
      <c r="O798" s="6"/>
      <c r="P798" s="6"/>
      <c r="R798" s="6"/>
      <c r="S798" s="6"/>
      <c r="T798" s="6"/>
      <c r="U798" s="6"/>
      <c r="V798" s="6"/>
      <c r="W798" s="6"/>
      <c r="X798" s="6"/>
      <c r="Y798" s="6"/>
      <c r="Z798" s="6"/>
      <c r="AA798" s="6"/>
      <c r="AB798" s="6"/>
      <c r="AD798" s="6"/>
      <c r="AE798" s="6"/>
      <c r="AF798" s="6"/>
      <c r="AG798" s="6"/>
      <c r="AH798" s="6"/>
      <c r="AI798" s="6"/>
      <c r="AK798" s="6"/>
      <c r="AL798" s="6"/>
      <c r="AM798" s="6"/>
      <c r="AN798" s="6"/>
      <c r="AO798" s="6"/>
      <c r="AP798" s="6"/>
      <c r="AQ798" s="6"/>
      <c r="AR798" s="6"/>
      <c r="AS798" s="15"/>
      <c r="AT798" s="6" t="str">
        <f ca="1">IFERROR(__xludf.DUMMYFUNCTION("""COMPUTED_VALUE"""),"#N/A")</f>
        <v>#N/A</v>
      </c>
      <c r="AU798" s="6" t="str">
        <f ca="1">IFERROR(__xludf.DUMMYFUNCTION("""COMPUTED_VALUE"""),"FALSE")</f>
        <v>FALSE</v>
      </c>
      <c r="AV798" s="6">
        <f t="shared" si="63"/>
        <v>0</v>
      </c>
      <c r="AW798" s="6">
        <f t="shared" si="64"/>
        <v>0</v>
      </c>
      <c r="AX798" s="6">
        <f t="shared" si="65"/>
        <v>0</v>
      </c>
      <c r="AY798" s="6">
        <f t="shared" si="66"/>
        <v>0</v>
      </c>
      <c r="AZ798" s="9" t="str">
        <f t="shared" si="67"/>
        <v/>
      </c>
      <c r="BA798" s="6">
        <f t="shared" si="68"/>
        <v>0</v>
      </c>
      <c r="BB798" s="6">
        <f t="shared" si="69"/>
        <v>0</v>
      </c>
      <c r="BC798" s="9" t="str">
        <f t="shared" si="70"/>
        <v/>
      </c>
      <c r="BD798" s="6">
        <f t="shared" si="71"/>
        <v>0</v>
      </c>
      <c r="BE798" s="6">
        <f t="shared" si="72"/>
        <v>0</v>
      </c>
      <c r="BF798" s="9" t="str">
        <f t="shared" si="73"/>
        <v/>
      </c>
      <c r="BG798" s="6">
        <f t="shared" si="74"/>
        <v>0</v>
      </c>
      <c r="BH798" s="6">
        <f t="shared" si="75"/>
        <v>0</v>
      </c>
      <c r="BI798" s="9" t="str">
        <f t="shared" si="76"/>
        <v/>
      </c>
      <c r="BJ798" s="6">
        <f t="shared" si="77"/>
        <v>0</v>
      </c>
      <c r="BK798" s="6">
        <f t="shared" si="78"/>
        <v>0</v>
      </c>
      <c r="BL798" s="6">
        <f t="shared" si="79"/>
        <v>0</v>
      </c>
      <c r="BM798" s="6">
        <f t="shared" si="80"/>
        <v>0</v>
      </c>
      <c r="BN798" s="6">
        <f t="shared" si="81"/>
        <v>0</v>
      </c>
      <c r="BP798" s="6">
        <f t="shared" si="82"/>
        <v>0</v>
      </c>
      <c r="BQ798" s="6" t="b">
        <f ca="1">IFERROR(__xludf.DUMMYFUNCTION("IF(AND(ISERROR(FILTER('Items by Team'!D$2:D3410,'Items by Team'!C$2:C3410 = D798,'Items by Team'!B$2:B3410 = B798)),NOT(A798=""Practice"")),TRUE,FALSE)"),FALSE)</f>
        <v>0</v>
      </c>
      <c r="BR798" s="6">
        <f t="shared" ca="1" si="83"/>
        <v>0</v>
      </c>
    </row>
    <row r="799" spans="1:70">
      <c r="A799" s="6"/>
      <c r="B799" s="6"/>
      <c r="C799" s="6"/>
      <c r="D799" s="6"/>
      <c r="E799" s="6"/>
      <c r="F799" s="6"/>
      <c r="G799" s="6"/>
      <c r="H799" s="6"/>
      <c r="I799" s="6"/>
      <c r="J799" s="6"/>
      <c r="K799" s="6"/>
      <c r="L799" s="6"/>
      <c r="M799" s="6"/>
      <c r="N799" s="6"/>
      <c r="O799" s="6"/>
      <c r="P799" s="6"/>
      <c r="R799" s="6"/>
      <c r="S799" s="6"/>
      <c r="T799" s="6"/>
      <c r="U799" s="6"/>
      <c r="V799" s="6"/>
      <c r="W799" s="6"/>
      <c r="X799" s="6"/>
      <c r="Y799" s="6"/>
      <c r="Z799" s="6"/>
      <c r="AA799" s="6"/>
      <c r="AB799" s="6"/>
      <c r="AD799" s="6"/>
      <c r="AE799" s="6"/>
      <c r="AF799" s="6"/>
      <c r="AG799" s="6"/>
      <c r="AH799" s="6"/>
      <c r="AI799" s="6"/>
      <c r="AK799" s="6"/>
      <c r="AL799" s="6"/>
      <c r="AM799" s="6"/>
      <c r="AN799" s="6"/>
      <c r="AO799" s="6"/>
      <c r="AP799" s="6"/>
      <c r="AQ799" s="6"/>
      <c r="AR799" s="6"/>
      <c r="AS799" s="15"/>
      <c r="AT799" s="6" t="str">
        <f ca="1">IFERROR(__xludf.DUMMYFUNCTION("""COMPUTED_VALUE"""),"#N/A")</f>
        <v>#N/A</v>
      </c>
      <c r="AU799" s="6" t="str">
        <f ca="1">IFERROR(__xludf.DUMMYFUNCTION("""COMPUTED_VALUE"""),"FALSE")</f>
        <v>FALSE</v>
      </c>
      <c r="AV799" s="6">
        <f t="shared" si="63"/>
        <v>0</v>
      </c>
      <c r="AW799" s="6">
        <f t="shared" si="64"/>
        <v>0</v>
      </c>
      <c r="AX799" s="6">
        <f t="shared" si="65"/>
        <v>0</v>
      </c>
      <c r="AY799" s="6">
        <f t="shared" si="66"/>
        <v>0</v>
      </c>
      <c r="AZ799" s="9" t="str">
        <f t="shared" si="67"/>
        <v/>
      </c>
      <c r="BA799" s="6">
        <f t="shared" si="68"/>
        <v>0</v>
      </c>
      <c r="BB799" s="6">
        <f t="shared" si="69"/>
        <v>0</v>
      </c>
      <c r="BC799" s="9" t="str">
        <f t="shared" si="70"/>
        <v/>
      </c>
      <c r="BD799" s="6">
        <f t="shared" si="71"/>
        <v>0</v>
      </c>
      <c r="BE799" s="6">
        <f t="shared" si="72"/>
        <v>0</v>
      </c>
      <c r="BF799" s="9" t="str">
        <f t="shared" si="73"/>
        <v/>
      </c>
      <c r="BG799" s="6">
        <f t="shared" si="74"/>
        <v>0</v>
      </c>
      <c r="BH799" s="6">
        <f t="shared" si="75"/>
        <v>0</v>
      </c>
      <c r="BI799" s="9" t="str">
        <f t="shared" si="76"/>
        <v/>
      </c>
      <c r="BJ799" s="6">
        <f t="shared" si="77"/>
        <v>0</v>
      </c>
      <c r="BK799" s="6">
        <f t="shared" si="78"/>
        <v>0</v>
      </c>
      <c r="BL799" s="6">
        <f t="shared" si="79"/>
        <v>0</v>
      </c>
      <c r="BM799" s="6">
        <f t="shared" si="80"/>
        <v>0</v>
      </c>
      <c r="BN799" s="6">
        <f t="shared" si="81"/>
        <v>0</v>
      </c>
      <c r="BP799" s="6">
        <f t="shared" si="82"/>
        <v>0</v>
      </c>
      <c r="BQ799" s="6" t="b">
        <f ca="1">IFERROR(__xludf.DUMMYFUNCTION("IF(AND(ISERROR(FILTER('Items by Team'!D$2:D3410,'Items by Team'!C$2:C3410 = D799,'Items by Team'!B$2:B3410 = B799)),NOT(A799=""Practice"")),TRUE,FALSE)"),FALSE)</f>
        <v>0</v>
      </c>
      <c r="BR799" s="6">
        <f t="shared" ca="1" si="83"/>
        <v>0</v>
      </c>
    </row>
    <row r="800" spans="1:70">
      <c r="A800" s="6"/>
      <c r="B800" s="6"/>
      <c r="C800" s="6"/>
      <c r="D800" s="6"/>
      <c r="E800" s="6"/>
      <c r="F800" s="6"/>
      <c r="G800" s="6"/>
      <c r="H800" s="6"/>
      <c r="I800" s="6"/>
      <c r="J800" s="6"/>
      <c r="K800" s="6"/>
      <c r="L800" s="6"/>
      <c r="M800" s="6"/>
      <c r="N800" s="6"/>
      <c r="O800" s="6"/>
      <c r="P800" s="6"/>
      <c r="R800" s="6"/>
      <c r="S800" s="6"/>
      <c r="T800" s="6"/>
      <c r="U800" s="6"/>
      <c r="V800" s="6"/>
      <c r="W800" s="6"/>
      <c r="X800" s="6"/>
      <c r="Y800" s="6"/>
      <c r="Z800" s="6"/>
      <c r="AA800" s="6"/>
      <c r="AB800" s="6"/>
      <c r="AD800" s="6"/>
      <c r="AE800" s="6"/>
      <c r="AF800" s="6"/>
      <c r="AG800" s="6"/>
      <c r="AH800" s="6"/>
      <c r="AI800" s="6"/>
      <c r="AK800" s="6"/>
      <c r="AL800" s="6"/>
      <c r="AM800" s="6"/>
      <c r="AN800" s="6"/>
      <c r="AO800" s="6"/>
      <c r="AP800" s="6"/>
      <c r="AQ800" s="6"/>
      <c r="AR800" s="6"/>
      <c r="AS800" s="15"/>
      <c r="AT800" s="6" t="str">
        <f ca="1">IFERROR(__xludf.DUMMYFUNCTION("""COMPUTED_VALUE"""),"#N/A")</f>
        <v>#N/A</v>
      </c>
      <c r="AU800" s="6" t="str">
        <f ca="1">IFERROR(__xludf.DUMMYFUNCTION("""COMPUTED_VALUE"""),"FALSE")</f>
        <v>FALSE</v>
      </c>
      <c r="AV800" s="6">
        <f t="shared" si="63"/>
        <v>0</v>
      </c>
      <c r="AW800" s="6">
        <f t="shared" si="64"/>
        <v>0</v>
      </c>
      <c r="AX800" s="6">
        <f t="shared" si="65"/>
        <v>0</v>
      </c>
      <c r="AY800" s="6">
        <f t="shared" si="66"/>
        <v>0</v>
      </c>
      <c r="AZ800" s="9" t="str">
        <f t="shared" si="67"/>
        <v/>
      </c>
      <c r="BA800" s="6">
        <f t="shared" si="68"/>
        <v>0</v>
      </c>
      <c r="BB800" s="6">
        <f t="shared" si="69"/>
        <v>0</v>
      </c>
      <c r="BC800" s="9" t="str">
        <f t="shared" si="70"/>
        <v/>
      </c>
      <c r="BD800" s="6">
        <f t="shared" si="71"/>
        <v>0</v>
      </c>
      <c r="BE800" s="6">
        <f t="shared" si="72"/>
        <v>0</v>
      </c>
      <c r="BF800" s="9" t="str">
        <f t="shared" si="73"/>
        <v/>
      </c>
      <c r="BG800" s="6">
        <f t="shared" si="74"/>
        <v>0</v>
      </c>
      <c r="BH800" s="6">
        <f t="shared" si="75"/>
        <v>0</v>
      </c>
      <c r="BI800" s="9" t="str">
        <f t="shared" si="76"/>
        <v/>
      </c>
      <c r="BJ800" s="6">
        <f t="shared" si="77"/>
        <v>0</v>
      </c>
      <c r="BK800" s="6">
        <f t="shared" si="78"/>
        <v>0</v>
      </c>
      <c r="BL800" s="6">
        <f t="shared" si="79"/>
        <v>0</v>
      </c>
      <c r="BM800" s="6">
        <f t="shared" si="80"/>
        <v>0</v>
      </c>
      <c r="BN800" s="6">
        <f t="shared" si="81"/>
        <v>0</v>
      </c>
      <c r="BP800" s="6">
        <f t="shared" si="82"/>
        <v>0</v>
      </c>
      <c r="BQ800" s="6" t="b">
        <f ca="1">IFERROR(__xludf.DUMMYFUNCTION("IF(AND(ISERROR(FILTER('Items by Team'!D$2:D3410,'Items by Team'!C$2:C3410 = D800,'Items by Team'!B$2:B3410 = B800)),NOT(A800=""Practice"")),TRUE,FALSE)"),FALSE)</f>
        <v>0</v>
      </c>
      <c r="BR800" s="6">
        <f t="shared" ca="1" si="83"/>
        <v>0</v>
      </c>
    </row>
    <row r="801" spans="1:70">
      <c r="A801" s="6"/>
      <c r="B801" s="6"/>
      <c r="C801" s="6"/>
      <c r="D801" s="6"/>
      <c r="E801" s="6"/>
      <c r="F801" s="6"/>
      <c r="G801" s="6"/>
      <c r="H801" s="6"/>
      <c r="I801" s="6"/>
      <c r="J801" s="6"/>
      <c r="K801" s="6"/>
      <c r="L801" s="6"/>
      <c r="M801" s="6"/>
      <c r="N801" s="6"/>
      <c r="O801" s="6"/>
      <c r="P801" s="6"/>
      <c r="R801" s="6"/>
      <c r="S801" s="6"/>
      <c r="T801" s="6"/>
      <c r="U801" s="6"/>
      <c r="V801" s="6"/>
      <c r="W801" s="6"/>
      <c r="X801" s="6"/>
      <c r="Y801" s="6"/>
      <c r="Z801" s="6"/>
      <c r="AA801" s="6"/>
      <c r="AB801" s="6"/>
      <c r="AD801" s="6"/>
      <c r="AE801" s="6"/>
      <c r="AF801" s="6"/>
      <c r="AG801" s="6"/>
      <c r="AH801" s="6"/>
      <c r="AI801" s="6"/>
      <c r="AK801" s="6"/>
      <c r="AL801" s="6"/>
      <c r="AM801" s="6"/>
      <c r="AN801" s="6"/>
      <c r="AO801" s="6"/>
      <c r="AP801" s="6"/>
      <c r="AQ801" s="6"/>
      <c r="AR801" s="6"/>
      <c r="AS801" s="15"/>
      <c r="AT801" s="6" t="str">
        <f ca="1">IFERROR(__xludf.DUMMYFUNCTION("""COMPUTED_VALUE"""),"#N/A")</f>
        <v>#N/A</v>
      </c>
      <c r="AU801" s="6" t="str">
        <f ca="1">IFERROR(__xludf.DUMMYFUNCTION("""COMPUTED_VALUE"""),"FALSE")</f>
        <v>FALSE</v>
      </c>
      <c r="AV801" s="6">
        <f t="shared" si="63"/>
        <v>0</v>
      </c>
      <c r="AW801" s="6">
        <f t="shared" si="64"/>
        <v>0</v>
      </c>
      <c r="AX801" s="6">
        <f t="shared" si="65"/>
        <v>0</v>
      </c>
      <c r="AY801" s="6">
        <f t="shared" si="66"/>
        <v>0</v>
      </c>
      <c r="AZ801" s="9" t="str">
        <f t="shared" si="67"/>
        <v/>
      </c>
      <c r="BA801" s="6">
        <f t="shared" si="68"/>
        <v>0</v>
      </c>
      <c r="BB801" s="6">
        <f t="shared" si="69"/>
        <v>0</v>
      </c>
      <c r="BC801" s="9" t="str">
        <f t="shared" si="70"/>
        <v/>
      </c>
      <c r="BD801" s="6">
        <f t="shared" si="71"/>
        <v>0</v>
      </c>
      <c r="BE801" s="6">
        <f t="shared" si="72"/>
        <v>0</v>
      </c>
      <c r="BF801" s="9" t="str">
        <f t="shared" si="73"/>
        <v/>
      </c>
      <c r="BG801" s="6">
        <f t="shared" si="74"/>
        <v>0</v>
      </c>
      <c r="BH801" s="6">
        <f t="shared" si="75"/>
        <v>0</v>
      </c>
      <c r="BI801" s="9" t="str">
        <f t="shared" si="76"/>
        <v/>
      </c>
      <c r="BJ801" s="6">
        <f t="shared" si="77"/>
        <v>0</v>
      </c>
      <c r="BK801" s="6">
        <f t="shared" si="78"/>
        <v>0</v>
      </c>
      <c r="BL801" s="6">
        <f t="shared" si="79"/>
        <v>0</v>
      </c>
      <c r="BM801" s="6">
        <f t="shared" si="80"/>
        <v>0</v>
      </c>
      <c r="BN801" s="6">
        <f t="shared" si="81"/>
        <v>0</v>
      </c>
      <c r="BP801" s="6">
        <f t="shared" si="82"/>
        <v>0</v>
      </c>
      <c r="BQ801" s="6" t="b">
        <f ca="1">IFERROR(__xludf.DUMMYFUNCTION("IF(AND(ISERROR(FILTER('Items by Team'!D$2:D3410,'Items by Team'!C$2:C3410 = D801,'Items by Team'!B$2:B3410 = B801)),NOT(A801=""Practice"")),TRUE,FALSE)"),FALSE)</f>
        <v>0</v>
      </c>
      <c r="BR801" s="6">
        <f t="shared" ca="1" si="83"/>
        <v>0</v>
      </c>
    </row>
    <row r="802" spans="1:70">
      <c r="A802" s="6"/>
      <c r="B802" s="6"/>
      <c r="C802" s="6"/>
      <c r="D802" s="6"/>
      <c r="E802" s="6"/>
      <c r="F802" s="6"/>
      <c r="G802" s="6"/>
      <c r="H802" s="6"/>
      <c r="I802" s="6"/>
      <c r="J802" s="6"/>
      <c r="K802" s="6"/>
      <c r="L802" s="6"/>
      <c r="M802" s="6"/>
      <c r="N802" s="6"/>
      <c r="O802" s="6"/>
      <c r="P802" s="6"/>
      <c r="R802" s="6"/>
      <c r="S802" s="6"/>
      <c r="T802" s="6"/>
      <c r="U802" s="6"/>
      <c r="V802" s="6"/>
      <c r="W802" s="6"/>
      <c r="X802" s="6"/>
      <c r="Y802" s="6"/>
      <c r="Z802" s="6"/>
      <c r="AA802" s="6"/>
      <c r="AB802" s="6"/>
      <c r="AD802" s="6"/>
      <c r="AE802" s="6"/>
      <c r="AF802" s="6"/>
      <c r="AG802" s="6"/>
      <c r="AH802" s="6"/>
      <c r="AI802" s="6"/>
      <c r="AK802" s="6"/>
      <c r="AL802" s="6"/>
      <c r="AM802" s="6"/>
      <c r="AN802" s="6"/>
      <c r="AO802" s="6"/>
      <c r="AP802" s="6"/>
      <c r="AQ802" s="6"/>
      <c r="AR802" s="6"/>
      <c r="AS802" s="15"/>
      <c r="AT802" s="6" t="str">
        <f ca="1">IFERROR(__xludf.DUMMYFUNCTION("""COMPUTED_VALUE"""),"#N/A")</f>
        <v>#N/A</v>
      </c>
      <c r="AU802" s="6" t="str">
        <f ca="1">IFERROR(__xludf.DUMMYFUNCTION("""COMPUTED_VALUE"""),"FALSE")</f>
        <v>FALSE</v>
      </c>
      <c r="AV802" s="6">
        <f t="shared" si="63"/>
        <v>0</v>
      </c>
      <c r="AW802" s="6">
        <f t="shared" si="64"/>
        <v>0</v>
      </c>
      <c r="AX802" s="6">
        <f t="shared" si="65"/>
        <v>0</v>
      </c>
      <c r="AY802" s="6">
        <f t="shared" si="66"/>
        <v>0</v>
      </c>
      <c r="AZ802" s="9" t="str">
        <f t="shared" si="67"/>
        <v/>
      </c>
      <c r="BA802" s="6">
        <f t="shared" si="68"/>
        <v>0</v>
      </c>
      <c r="BB802" s="6">
        <f t="shared" si="69"/>
        <v>0</v>
      </c>
      <c r="BC802" s="9" t="str">
        <f t="shared" si="70"/>
        <v/>
      </c>
      <c r="BD802" s="6">
        <f t="shared" si="71"/>
        <v>0</v>
      </c>
      <c r="BE802" s="6">
        <f t="shared" si="72"/>
        <v>0</v>
      </c>
      <c r="BF802" s="9" t="str">
        <f t="shared" si="73"/>
        <v/>
      </c>
      <c r="BG802" s="6">
        <f t="shared" si="74"/>
        <v>0</v>
      </c>
      <c r="BH802" s="6">
        <f t="shared" si="75"/>
        <v>0</v>
      </c>
      <c r="BI802" s="9" t="str">
        <f t="shared" si="76"/>
        <v/>
      </c>
      <c r="BJ802" s="6">
        <f t="shared" si="77"/>
        <v>0</v>
      </c>
      <c r="BK802" s="6">
        <f t="shared" si="78"/>
        <v>0</v>
      </c>
      <c r="BL802" s="6">
        <f t="shared" si="79"/>
        <v>0</v>
      </c>
      <c r="BM802" s="6">
        <f t="shared" si="80"/>
        <v>0</v>
      </c>
      <c r="BN802" s="6">
        <f t="shared" si="81"/>
        <v>0</v>
      </c>
      <c r="BP802" s="6">
        <f t="shared" si="82"/>
        <v>0</v>
      </c>
      <c r="BQ802" s="6" t="b">
        <f ca="1">IFERROR(__xludf.DUMMYFUNCTION("IF(AND(ISERROR(FILTER('Items by Team'!D$2:D3410,'Items by Team'!C$2:C3410 = D802,'Items by Team'!B$2:B3410 = B802)),NOT(A802=""Practice"")),TRUE,FALSE)"),FALSE)</f>
        <v>0</v>
      </c>
      <c r="BR802" s="6">
        <f t="shared" ca="1" si="83"/>
        <v>0</v>
      </c>
    </row>
    <row r="803" spans="1:70">
      <c r="A803" s="6"/>
      <c r="B803" s="6"/>
      <c r="C803" s="6"/>
      <c r="D803" s="6"/>
      <c r="E803" s="6"/>
      <c r="F803" s="6"/>
      <c r="G803" s="6"/>
      <c r="H803" s="6"/>
      <c r="I803" s="6"/>
      <c r="J803" s="6"/>
      <c r="K803" s="6"/>
      <c r="L803" s="6"/>
      <c r="M803" s="6"/>
      <c r="N803" s="6"/>
      <c r="O803" s="6"/>
      <c r="P803" s="6"/>
      <c r="R803" s="6"/>
      <c r="S803" s="6"/>
      <c r="T803" s="6"/>
      <c r="U803" s="6"/>
      <c r="V803" s="6"/>
      <c r="W803" s="6"/>
      <c r="X803" s="6"/>
      <c r="Y803" s="6"/>
      <c r="Z803" s="6"/>
      <c r="AA803" s="6"/>
      <c r="AB803" s="6"/>
      <c r="AD803" s="6"/>
      <c r="AE803" s="6"/>
      <c r="AF803" s="6"/>
      <c r="AG803" s="6"/>
      <c r="AH803" s="6"/>
      <c r="AI803" s="6"/>
      <c r="AK803" s="6"/>
      <c r="AL803" s="6"/>
      <c r="AM803" s="6"/>
      <c r="AN803" s="6"/>
      <c r="AO803" s="6"/>
      <c r="AP803" s="6"/>
      <c r="AQ803" s="6"/>
      <c r="AR803" s="6"/>
      <c r="AS803" s="15"/>
      <c r="AT803" s="6" t="str">
        <f ca="1">IFERROR(__xludf.DUMMYFUNCTION("""COMPUTED_VALUE"""),"#N/A")</f>
        <v>#N/A</v>
      </c>
      <c r="AU803" s="6" t="str">
        <f ca="1">IFERROR(__xludf.DUMMYFUNCTION("""COMPUTED_VALUE"""),"FALSE")</f>
        <v>FALSE</v>
      </c>
      <c r="AV803" s="6">
        <f t="shared" si="63"/>
        <v>0</v>
      </c>
      <c r="AW803" s="6">
        <f t="shared" si="64"/>
        <v>0</v>
      </c>
      <c r="AX803" s="6">
        <f t="shared" si="65"/>
        <v>0</v>
      </c>
      <c r="AY803" s="6">
        <f t="shared" si="66"/>
        <v>0</v>
      </c>
      <c r="AZ803" s="9" t="str">
        <f t="shared" si="67"/>
        <v/>
      </c>
      <c r="BA803" s="6">
        <f t="shared" si="68"/>
        <v>0</v>
      </c>
      <c r="BB803" s="6">
        <f t="shared" si="69"/>
        <v>0</v>
      </c>
      <c r="BC803" s="9" t="str">
        <f t="shared" si="70"/>
        <v/>
      </c>
      <c r="BD803" s="6">
        <f t="shared" si="71"/>
        <v>0</v>
      </c>
      <c r="BE803" s="6">
        <f t="shared" si="72"/>
        <v>0</v>
      </c>
      <c r="BF803" s="9" t="str">
        <f t="shared" si="73"/>
        <v/>
      </c>
      <c r="BG803" s="6">
        <f t="shared" si="74"/>
        <v>0</v>
      </c>
      <c r="BH803" s="6">
        <f t="shared" si="75"/>
        <v>0</v>
      </c>
      <c r="BI803" s="9" t="str">
        <f t="shared" si="76"/>
        <v/>
      </c>
      <c r="BJ803" s="6">
        <f t="shared" si="77"/>
        <v>0</v>
      </c>
      <c r="BK803" s="6">
        <f t="shared" si="78"/>
        <v>0</v>
      </c>
      <c r="BL803" s="6">
        <f t="shared" si="79"/>
        <v>0</v>
      </c>
      <c r="BM803" s="6">
        <f t="shared" si="80"/>
        <v>0</v>
      </c>
      <c r="BN803" s="6">
        <f t="shared" si="81"/>
        <v>0</v>
      </c>
      <c r="BP803" s="6">
        <f t="shared" si="82"/>
        <v>0</v>
      </c>
      <c r="BQ803" s="6" t="b">
        <f ca="1">IFERROR(__xludf.DUMMYFUNCTION("IF(AND(ISERROR(FILTER('Items by Team'!D$2:D3410,'Items by Team'!C$2:C3410 = D803,'Items by Team'!B$2:B3410 = B803)),NOT(A803=""Practice"")),TRUE,FALSE)"),FALSE)</f>
        <v>0</v>
      </c>
      <c r="BR803" s="6">
        <f t="shared" ca="1" si="83"/>
        <v>0</v>
      </c>
    </row>
    <row r="804" spans="1:70">
      <c r="A804" s="6"/>
      <c r="B804" s="6"/>
      <c r="C804" s="6"/>
      <c r="D804" s="6"/>
      <c r="E804" s="6"/>
      <c r="F804" s="6"/>
      <c r="G804" s="6"/>
      <c r="H804" s="6"/>
      <c r="I804" s="6"/>
      <c r="J804" s="6"/>
      <c r="K804" s="6"/>
      <c r="L804" s="6"/>
      <c r="M804" s="6"/>
      <c r="N804" s="6"/>
      <c r="O804" s="6"/>
      <c r="P804" s="6"/>
      <c r="R804" s="6"/>
      <c r="S804" s="6"/>
      <c r="T804" s="6"/>
      <c r="U804" s="6"/>
      <c r="V804" s="6"/>
      <c r="W804" s="6"/>
      <c r="X804" s="6"/>
      <c r="Y804" s="6"/>
      <c r="Z804" s="6"/>
      <c r="AA804" s="6"/>
      <c r="AB804" s="6"/>
      <c r="AD804" s="6"/>
      <c r="AE804" s="6"/>
      <c r="AF804" s="6"/>
      <c r="AG804" s="6"/>
      <c r="AH804" s="6"/>
      <c r="AI804" s="6"/>
      <c r="AK804" s="6"/>
      <c r="AL804" s="6"/>
      <c r="AM804" s="6"/>
      <c r="AN804" s="6"/>
      <c r="AO804" s="6"/>
      <c r="AP804" s="6"/>
      <c r="AQ804" s="6"/>
      <c r="AR804" s="6"/>
      <c r="AS804" s="15"/>
      <c r="AT804" s="6" t="str">
        <f ca="1">IFERROR(__xludf.DUMMYFUNCTION("""COMPUTED_VALUE"""),"#N/A")</f>
        <v>#N/A</v>
      </c>
      <c r="AU804" s="6" t="str">
        <f ca="1">IFERROR(__xludf.DUMMYFUNCTION("""COMPUTED_VALUE"""),"FALSE")</f>
        <v>FALSE</v>
      </c>
      <c r="AV804" s="6">
        <f t="shared" si="63"/>
        <v>0</v>
      </c>
      <c r="AW804" s="6">
        <f t="shared" si="64"/>
        <v>0</v>
      </c>
      <c r="AX804" s="6">
        <f t="shared" si="65"/>
        <v>0</v>
      </c>
      <c r="AY804" s="6">
        <f t="shared" si="66"/>
        <v>0</v>
      </c>
      <c r="AZ804" s="9" t="str">
        <f t="shared" si="67"/>
        <v/>
      </c>
      <c r="BA804" s="6">
        <f t="shared" si="68"/>
        <v>0</v>
      </c>
      <c r="BB804" s="6">
        <f t="shared" si="69"/>
        <v>0</v>
      </c>
      <c r="BC804" s="9" t="str">
        <f t="shared" si="70"/>
        <v/>
      </c>
      <c r="BD804" s="6">
        <f t="shared" si="71"/>
        <v>0</v>
      </c>
      <c r="BE804" s="6">
        <f t="shared" si="72"/>
        <v>0</v>
      </c>
      <c r="BF804" s="9" t="str">
        <f t="shared" si="73"/>
        <v/>
      </c>
      <c r="BG804" s="6">
        <f t="shared" si="74"/>
        <v>0</v>
      </c>
      <c r="BH804" s="6">
        <f t="shared" si="75"/>
        <v>0</v>
      </c>
      <c r="BI804" s="9" t="str">
        <f t="shared" si="76"/>
        <v/>
      </c>
      <c r="BJ804" s="6">
        <f t="shared" si="77"/>
        <v>0</v>
      </c>
      <c r="BK804" s="6">
        <f t="shared" si="78"/>
        <v>0</v>
      </c>
      <c r="BL804" s="6">
        <f t="shared" si="79"/>
        <v>0</v>
      </c>
      <c r="BM804" s="6">
        <f t="shared" si="80"/>
        <v>0</v>
      </c>
      <c r="BN804" s="6">
        <f t="shared" si="81"/>
        <v>0</v>
      </c>
      <c r="BP804" s="6">
        <f t="shared" si="82"/>
        <v>0</v>
      </c>
      <c r="BQ804" s="6" t="b">
        <f ca="1">IFERROR(__xludf.DUMMYFUNCTION("IF(AND(ISERROR(FILTER('Items by Team'!D$2:D3410,'Items by Team'!C$2:C3410 = D804,'Items by Team'!B$2:B3410 = B804)),NOT(A804=""Practice"")),TRUE,FALSE)"),FALSE)</f>
        <v>0</v>
      </c>
      <c r="BR804" s="6">
        <f t="shared" ca="1" si="83"/>
        <v>0</v>
      </c>
    </row>
    <row r="805" spans="1:70">
      <c r="A805" s="6"/>
      <c r="B805" s="6"/>
      <c r="C805" s="6"/>
      <c r="D805" s="6"/>
      <c r="E805" s="6"/>
      <c r="F805" s="6"/>
      <c r="G805" s="6"/>
      <c r="H805" s="6"/>
      <c r="I805" s="6"/>
      <c r="J805" s="6"/>
      <c r="K805" s="6"/>
      <c r="L805" s="6"/>
      <c r="M805" s="6"/>
      <c r="N805" s="6"/>
      <c r="O805" s="6"/>
      <c r="P805" s="6"/>
      <c r="R805" s="6"/>
      <c r="S805" s="6"/>
      <c r="T805" s="6"/>
      <c r="U805" s="6"/>
      <c r="V805" s="6"/>
      <c r="W805" s="6"/>
      <c r="X805" s="6"/>
      <c r="Y805" s="6"/>
      <c r="Z805" s="6"/>
      <c r="AA805" s="6"/>
      <c r="AB805" s="6"/>
      <c r="AD805" s="6"/>
      <c r="AE805" s="6"/>
      <c r="AF805" s="6"/>
      <c r="AG805" s="6"/>
      <c r="AH805" s="6"/>
      <c r="AI805" s="6"/>
      <c r="AK805" s="6"/>
      <c r="AL805" s="6"/>
      <c r="AM805" s="6"/>
      <c r="AN805" s="6"/>
      <c r="AO805" s="6"/>
      <c r="AP805" s="6"/>
      <c r="AQ805" s="6"/>
      <c r="AR805" s="6"/>
      <c r="AS805" s="15"/>
      <c r="AT805" s="6" t="str">
        <f ca="1">IFERROR(__xludf.DUMMYFUNCTION("""COMPUTED_VALUE"""),"#N/A")</f>
        <v>#N/A</v>
      </c>
      <c r="AU805" s="6" t="str">
        <f ca="1">IFERROR(__xludf.DUMMYFUNCTION("""COMPUTED_VALUE"""),"FALSE")</f>
        <v>FALSE</v>
      </c>
      <c r="AV805" s="6">
        <f t="shared" si="63"/>
        <v>0</v>
      </c>
      <c r="AW805" s="6">
        <f t="shared" si="64"/>
        <v>0</v>
      </c>
      <c r="AX805" s="6">
        <f t="shared" si="65"/>
        <v>0</v>
      </c>
      <c r="AY805" s="6">
        <f t="shared" si="66"/>
        <v>0</v>
      </c>
      <c r="AZ805" s="9" t="str">
        <f t="shared" si="67"/>
        <v/>
      </c>
      <c r="BA805" s="6">
        <f t="shared" si="68"/>
        <v>0</v>
      </c>
      <c r="BB805" s="6">
        <f t="shared" si="69"/>
        <v>0</v>
      </c>
      <c r="BC805" s="9" t="str">
        <f t="shared" si="70"/>
        <v/>
      </c>
      <c r="BD805" s="6">
        <f t="shared" si="71"/>
        <v>0</v>
      </c>
      <c r="BE805" s="6">
        <f t="shared" si="72"/>
        <v>0</v>
      </c>
      <c r="BF805" s="9" t="str">
        <f t="shared" si="73"/>
        <v/>
      </c>
      <c r="BG805" s="6">
        <f t="shared" si="74"/>
        <v>0</v>
      </c>
      <c r="BH805" s="6">
        <f t="shared" si="75"/>
        <v>0</v>
      </c>
      <c r="BI805" s="9" t="str">
        <f t="shared" si="76"/>
        <v/>
      </c>
      <c r="BJ805" s="6">
        <f t="shared" si="77"/>
        <v>0</v>
      </c>
      <c r="BK805" s="6">
        <f t="shared" si="78"/>
        <v>0</v>
      </c>
      <c r="BL805" s="6">
        <f t="shared" si="79"/>
        <v>0</v>
      </c>
      <c r="BM805" s="6">
        <f t="shared" si="80"/>
        <v>0</v>
      </c>
      <c r="BN805" s="6">
        <f t="shared" si="81"/>
        <v>0</v>
      </c>
      <c r="BP805" s="6">
        <f t="shared" si="82"/>
        <v>0</v>
      </c>
      <c r="BQ805" s="6" t="b">
        <f ca="1">IFERROR(__xludf.DUMMYFUNCTION("IF(AND(ISERROR(FILTER('Items by Team'!D$2:D3410,'Items by Team'!C$2:C3410 = D805,'Items by Team'!B$2:B3410 = B805)),NOT(A805=""Practice"")),TRUE,FALSE)"),FALSE)</f>
        <v>0</v>
      </c>
      <c r="BR805" s="6">
        <f t="shared" ca="1" si="83"/>
        <v>0</v>
      </c>
    </row>
    <row r="806" spans="1:70">
      <c r="A806" s="6"/>
      <c r="B806" s="6"/>
      <c r="C806" s="6"/>
      <c r="D806" s="6"/>
      <c r="E806" s="6"/>
      <c r="F806" s="6"/>
      <c r="G806" s="6"/>
      <c r="H806" s="6"/>
      <c r="I806" s="6"/>
      <c r="J806" s="6"/>
      <c r="K806" s="6"/>
      <c r="L806" s="6"/>
      <c r="M806" s="6"/>
      <c r="N806" s="6"/>
      <c r="O806" s="6"/>
      <c r="P806" s="6"/>
      <c r="R806" s="6"/>
      <c r="S806" s="6"/>
      <c r="T806" s="6"/>
      <c r="U806" s="6"/>
      <c r="V806" s="6"/>
      <c r="W806" s="6"/>
      <c r="X806" s="6"/>
      <c r="Y806" s="6"/>
      <c r="Z806" s="6"/>
      <c r="AA806" s="6"/>
      <c r="AB806" s="6"/>
      <c r="AD806" s="6"/>
      <c r="AE806" s="6"/>
      <c r="AF806" s="6"/>
      <c r="AG806" s="6"/>
      <c r="AH806" s="6"/>
      <c r="AI806" s="6"/>
      <c r="AK806" s="6"/>
      <c r="AL806" s="6"/>
      <c r="AM806" s="6"/>
      <c r="AN806" s="6"/>
      <c r="AO806" s="6"/>
      <c r="AP806" s="6"/>
      <c r="AQ806" s="6"/>
      <c r="AR806" s="6"/>
      <c r="AS806" s="15"/>
      <c r="AT806" s="6" t="str">
        <f ca="1">IFERROR(__xludf.DUMMYFUNCTION("""COMPUTED_VALUE"""),"#N/A")</f>
        <v>#N/A</v>
      </c>
      <c r="AU806" s="6" t="str">
        <f ca="1">IFERROR(__xludf.DUMMYFUNCTION("""COMPUTED_VALUE"""),"FALSE")</f>
        <v>FALSE</v>
      </c>
      <c r="AV806" s="6">
        <f t="shared" si="63"/>
        <v>0</v>
      </c>
      <c r="AW806" s="6">
        <f t="shared" si="64"/>
        <v>0</v>
      </c>
      <c r="AX806" s="6">
        <f t="shared" si="65"/>
        <v>0</v>
      </c>
      <c r="AY806" s="6">
        <f t="shared" si="66"/>
        <v>0</v>
      </c>
      <c r="AZ806" s="9" t="str">
        <f t="shared" si="67"/>
        <v/>
      </c>
      <c r="BA806" s="6">
        <f t="shared" si="68"/>
        <v>0</v>
      </c>
      <c r="BB806" s="6">
        <f t="shared" si="69"/>
        <v>0</v>
      </c>
      <c r="BC806" s="9" t="str">
        <f t="shared" si="70"/>
        <v/>
      </c>
      <c r="BD806" s="6">
        <f t="shared" si="71"/>
        <v>0</v>
      </c>
      <c r="BE806" s="6">
        <f t="shared" si="72"/>
        <v>0</v>
      </c>
      <c r="BF806" s="9" t="str">
        <f t="shared" si="73"/>
        <v/>
      </c>
      <c r="BG806" s="6">
        <f t="shared" si="74"/>
        <v>0</v>
      </c>
      <c r="BH806" s="6">
        <f t="shared" si="75"/>
        <v>0</v>
      </c>
      <c r="BI806" s="9" t="str">
        <f t="shared" si="76"/>
        <v/>
      </c>
      <c r="BJ806" s="6">
        <f t="shared" si="77"/>
        <v>0</v>
      </c>
      <c r="BK806" s="6">
        <f t="shared" si="78"/>
        <v>0</v>
      </c>
      <c r="BL806" s="6">
        <f t="shared" si="79"/>
        <v>0</v>
      </c>
      <c r="BM806" s="6">
        <f t="shared" si="80"/>
        <v>0</v>
      </c>
      <c r="BN806" s="6">
        <f t="shared" si="81"/>
        <v>0</v>
      </c>
      <c r="BP806" s="6">
        <f t="shared" si="82"/>
        <v>0</v>
      </c>
      <c r="BQ806" s="6" t="b">
        <f ca="1">IFERROR(__xludf.DUMMYFUNCTION("IF(AND(ISERROR(FILTER('Items by Team'!D$2:D3410,'Items by Team'!C$2:C3410 = D806,'Items by Team'!B$2:B3410 = B806)),NOT(A806=""Practice"")),TRUE,FALSE)"),FALSE)</f>
        <v>0</v>
      </c>
      <c r="BR806" s="6">
        <f t="shared" ca="1" si="83"/>
        <v>0</v>
      </c>
    </row>
    <row r="807" spans="1:70">
      <c r="A807" s="6"/>
      <c r="B807" s="6"/>
      <c r="C807" s="6"/>
      <c r="D807" s="6"/>
      <c r="E807" s="6"/>
      <c r="F807" s="6"/>
      <c r="G807" s="6"/>
      <c r="H807" s="6"/>
      <c r="I807" s="6"/>
      <c r="J807" s="6"/>
      <c r="K807" s="6"/>
      <c r="L807" s="6"/>
      <c r="M807" s="6"/>
      <c r="N807" s="6"/>
      <c r="O807" s="6"/>
      <c r="P807" s="6"/>
      <c r="R807" s="6"/>
      <c r="S807" s="6"/>
      <c r="T807" s="6"/>
      <c r="U807" s="6"/>
      <c r="V807" s="6"/>
      <c r="W807" s="6"/>
      <c r="X807" s="6"/>
      <c r="Y807" s="6"/>
      <c r="Z807" s="6"/>
      <c r="AA807" s="6"/>
      <c r="AB807" s="6"/>
      <c r="AD807" s="6"/>
      <c r="AE807" s="6"/>
      <c r="AF807" s="6"/>
      <c r="AG807" s="6"/>
      <c r="AH807" s="6"/>
      <c r="AI807" s="6"/>
      <c r="AK807" s="6"/>
      <c r="AL807" s="6"/>
      <c r="AM807" s="6"/>
      <c r="AN807" s="6"/>
      <c r="AO807" s="6"/>
      <c r="AP807" s="6"/>
      <c r="AQ807" s="6"/>
      <c r="AR807" s="6"/>
      <c r="AS807" s="15"/>
      <c r="AT807" s="6" t="str">
        <f ca="1">IFERROR(__xludf.DUMMYFUNCTION("""COMPUTED_VALUE"""),"#N/A")</f>
        <v>#N/A</v>
      </c>
      <c r="AU807" s="6" t="str">
        <f ca="1">IFERROR(__xludf.DUMMYFUNCTION("""COMPUTED_VALUE"""),"FALSE")</f>
        <v>FALSE</v>
      </c>
      <c r="AV807" s="6">
        <f t="shared" si="63"/>
        <v>0</v>
      </c>
      <c r="AW807" s="6">
        <f t="shared" si="64"/>
        <v>0</v>
      </c>
      <c r="AX807" s="6">
        <f t="shared" si="65"/>
        <v>0</v>
      </c>
      <c r="AY807" s="6">
        <f t="shared" si="66"/>
        <v>0</v>
      </c>
      <c r="AZ807" s="9" t="str">
        <f t="shared" si="67"/>
        <v/>
      </c>
      <c r="BA807" s="6">
        <f t="shared" si="68"/>
        <v>0</v>
      </c>
      <c r="BB807" s="6">
        <f t="shared" si="69"/>
        <v>0</v>
      </c>
      <c r="BC807" s="9" t="str">
        <f t="shared" si="70"/>
        <v/>
      </c>
      <c r="BD807" s="6">
        <f t="shared" si="71"/>
        <v>0</v>
      </c>
      <c r="BE807" s="6">
        <f t="shared" si="72"/>
        <v>0</v>
      </c>
      <c r="BF807" s="9" t="str">
        <f t="shared" si="73"/>
        <v/>
      </c>
      <c r="BG807" s="6">
        <f t="shared" si="74"/>
        <v>0</v>
      </c>
      <c r="BH807" s="6">
        <f t="shared" si="75"/>
        <v>0</v>
      </c>
      <c r="BI807" s="9" t="str">
        <f t="shared" si="76"/>
        <v/>
      </c>
      <c r="BJ807" s="6">
        <f t="shared" si="77"/>
        <v>0</v>
      </c>
      <c r="BK807" s="6">
        <f t="shared" si="78"/>
        <v>0</v>
      </c>
      <c r="BL807" s="6">
        <f t="shared" si="79"/>
        <v>0</v>
      </c>
      <c r="BM807" s="6">
        <f t="shared" si="80"/>
        <v>0</v>
      </c>
      <c r="BN807" s="6">
        <f t="shared" si="81"/>
        <v>0</v>
      </c>
      <c r="BP807" s="6">
        <f t="shared" si="82"/>
        <v>0</v>
      </c>
      <c r="BQ807" s="6" t="b">
        <f ca="1">IFERROR(__xludf.DUMMYFUNCTION("IF(AND(ISERROR(FILTER('Items by Team'!D$2:D3410,'Items by Team'!C$2:C3410 = D807,'Items by Team'!B$2:B3410 = B807)),NOT(A807=""Practice"")),TRUE,FALSE)"),FALSE)</f>
        <v>0</v>
      </c>
      <c r="BR807" s="6">
        <f t="shared" ca="1" si="83"/>
        <v>0</v>
      </c>
    </row>
    <row r="808" spans="1:70">
      <c r="A808" s="6"/>
      <c r="B808" s="6"/>
      <c r="C808" s="6"/>
      <c r="D808" s="6"/>
      <c r="E808" s="6"/>
      <c r="F808" s="6"/>
      <c r="G808" s="6"/>
      <c r="H808" s="6"/>
      <c r="I808" s="6"/>
      <c r="J808" s="6"/>
      <c r="K808" s="6"/>
      <c r="L808" s="6"/>
      <c r="M808" s="6"/>
      <c r="N808" s="6"/>
      <c r="O808" s="6"/>
      <c r="P808" s="6"/>
      <c r="R808" s="6"/>
      <c r="S808" s="6"/>
      <c r="T808" s="6"/>
      <c r="U808" s="6"/>
      <c r="V808" s="6"/>
      <c r="W808" s="6"/>
      <c r="X808" s="6"/>
      <c r="Y808" s="6"/>
      <c r="Z808" s="6"/>
      <c r="AA808" s="6"/>
      <c r="AB808" s="6"/>
      <c r="AD808" s="6"/>
      <c r="AE808" s="6"/>
      <c r="AF808" s="6"/>
      <c r="AG808" s="6"/>
      <c r="AH808" s="6"/>
      <c r="AI808" s="6"/>
      <c r="AK808" s="6"/>
      <c r="AL808" s="6"/>
      <c r="AM808" s="6"/>
      <c r="AN808" s="6"/>
      <c r="AO808" s="6"/>
      <c r="AP808" s="6"/>
      <c r="AQ808" s="6"/>
      <c r="AR808" s="6"/>
      <c r="AS808" s="15"/>
      <c r="AT808" s="6" t="str">
        <f ca="1">IFERROR(__xludf.DUMMYFUNCTION("""COMPUTED_VALUE"""),"#N/A")</f>
        <v>#N/A</v>
      </c>
      <c r="AU808" s="6" t="str">
        <f ca="1">IFERROR(__xludf.DUMMYFUNCTION("""COMPUTED_VALUE"""),"FALSE")</f>
        <v>FALSE</v>
      </c>
      <c r="AV808" s="6">
        <f t="shared" si="63"/>
        <v>0</v>
      </c>
      <c r="AW808" s="6">
        <f t="shared" si="64"/>
        <v>0</v>
      </c>
      <c r="AX808" s="6">
        <f t="shared" si="65"/>
        <v>0</v>
      </c>
      <c r="AY808" s="6">
        <f t="shared" si="66"/>
        <v>0</v>
      </c>
      <c r="AZ808" s="9" t="str">
        <f t="shared" si="67"/>
        <v/>
      </c>
      <c r="BA808" s="6">
        <f t="shared" si="68"/>
        <v>0</v>
      </c>
      <c r="BB808" s="6">
        <f t="shared" si="69"/>
        <v>0</v>
      </c>
      <c r="BC808" s="9" t="str">
        <f t="shared" si="70"/>
        <v/>
      </c>
      <c r="BD808" s="6">
        <f t="shared" si="71"/>
        <v>0</v>
      </c>
      <c r="BE808" s="6">
        <f t="shared" si="72"/>
        <v>0</v>
      </c>
      <c r="BF808" s="9" t="str">
        <f t="shared" si="73"/>
        <v/>
      </c>
      <c r="BG808" s="6">
        <f t="shared" si="74"/>
        <v>0</v>
      </c>
      <c r="BH808" s="6">
        <f t="shared" si="75"/>
        <v>0</v>
      </c>
      <c r="BI808" s="9" t="str">
        <f t="shared" si="76"/>
        <v/>
      </c>
      <c r="BJ808" s="6">
        <f t="shared" si="77"/>
        <v>0</v>
      </c>
      <c r="BK808" s="6">
        <f t="shared" si="78"/>
        <v>0</v>
      </c>
      <c r="BL808" s="6">
        <f t="shared" si="79"/>
        <v>0</v>
      </c>
      <c r="BM808" s="6">
        <f t="shared" si="80"/>
        <v>0</v>
      </c>
      <c r="BN808" s="6">
        <f t="shared" si="81"/>
        <v>0</v>
      </c>
      <c r="BP808" s="6">
        <f t="shared" si="82"/>
        <v>0</v>
      </c>
      <c r="BQ808" s="6" t="b">
        <f ca="1">IFERROR(__xludf.DUMMYFUNCTION("IF(AND(ISERROR(FILTER('Items by Team'!D$2:D3410,'Items by Team'!C$2:C3410 = D808,'Items by Team'!B$2:B3410 = B808)),NOT(A808=""Practice"")),TRUE,FALSE)"),FALSE)</f>
        <v>0</v>
      </c>
      <c r="BR808" s="6">
        <f t="shared" ca="1" si="83"/>
        <v>0</v>
      </c>
    </row>
    <row r="809" spans="1:70">
      <c r="A809" s="6"/>
      <c r="B809" s="6"/>
      <c r="C809" s="6"/>
      <c r="D809" s="6"/>
      <c r="E809" s="6"/>
      <c r="F809" s="6"/>
      <c r="G809" s="6"/>
      <c r="H809" s="6"/>
      <c r="I809" s="6"/>
      <c r="J809" s="6"/>
      <c r="K809" s="6"/>
      <c r="L809" s="6"/>
      <c r="M809" s="6"/>
      <c r="N809" s="6"/>
      <c r="O809" s="6"/>
      <c r="P809" s="6"/>
      <c r="R809" s="6"/>
      <c r="S809" s="6"/>
      <c r="T809" s="6"/>
      <c r="U809" s="6"/>
      <c r="V809" s="6"/>
      <c r="W809" s="6"/>
      <c r="X809" s="6"/>
      <c r="Y809" s="6"/>
      <c r="Z809" s="6"/>
      <c r="AA809" s="6"/>
      <c r="AB809" s="6"/>
      <c r="AD809" s="6"/>
      <c r="AE809" s="6"/>
      <c r="AF809" s="6"/>
      <c r="AG809" s="6"/>
      <c r="AH809" s="6"/>
      <c r="AI809" s="6"/>
      <c r="AK809" s="6"/>
      <c r="AL809" s="6"/>
      <c r="AM809" s="6"/>
      <c r="AN809" s="6"/>
      <c r="AO809" s="6"/>
      <c r="AP809" s="6"/>
      <c r="AQ809" s="6"/>
      <c r="AR809" s="6"/>
      <c r="AS809" s="15"/>
      <c r="AT809" s="6" t="str">
        <f ca="1">IFERROR(__xludf.DUMMYFUNCTION("""COMPUTED_VALUE"""),"#N/A")</f>
        <v>#N/A</v>
      </c>
      <c r="AU809" s="6" t="str">
        <f ca="1">IFERROR(__xludf.DUMMYFUNCTION("""COMPUTED_VALUE"""),"FALSE")</f>
        <v>FALSE</v>
      </c>
      <c r="AV809" s="6">
        <f t="shared" si="63"/>
        <v>0</v>
      </c>
      <c r="AW809" s="6">
        <f t="shared" si="64"/>
        <v>0</v>
      </c>
      <c r="AX809" s="6">
        <f t="shared" si="65"/>
        <v>0</v>
      </c>
      <c r="AY809" s="6">
        <f t="shared" si="66"/>
        <v>0</v>
      </c>
      <c r="AZ809" s="9" t="str">
        <f t="shared" si="67"/>
        <v/>
      </c>
      <c r="BA809" s="6">
        <f t="shared" si="68"/>
        <v>0</v>
      </c>
      <c r="BB809" s="6">
        <f t="shared" si="69"/>
        <v>0</v>
      </c>
      <c r="BC809" s="9" t="str">
        <f t="shared" si="70"/>
        <v/>
      </c>
      <c r="BD809" s="6">
        <f t="shared" si="71"/>
        <v>0</v>
      </c>
      <c r="BE809" s="6">
        <f t="shared" si="72"/>
        <v>0</v>
      </c>
      <c r="BF809" s="9" t="str">
        <f t="shared" si="73"/>
        <v/>
      </c>
      <c r="BG809" s="6">
        <f t="shared" si="74"/>
        <v>0</v>
      </c>
      <c r="BH809" s="6">
        <f t="shared" si="75"/>
        <v>0</v>
      </c>
      <c r="BI809" s="9" t="str">
        <f t="shared" si="76"/>
        <v/>
      </c>
      <c r="BJ809" s="6">
        <f t="shared" si="77"/>
        <v>0</v>
      </c>
      <c r="BK809" s="6">
        <f t="shared" si="78"/>
        <v>0</v>
      </c>
      <c r="BL809" s="6">
        <f t="shared" si="79"/>
        <v>0</v>
      </c>
      <c r="BM809" s="6">
        <f t="shared" si="80"/>
        <v>0</v>
      </c>
      <c r="BN809" s="6">
        <f t="shared" si="81"/>
        <v>0</v>
      </c>
      <c r="BP809" s="6">
        <f t="shared" si="82"/>
        <v>0</v>
      </c>
      <c r="BQ809" s="6" t="b">
        <f ca="1">IFERROR(__xludf.DUMMYFUNCTION("IF(AND(ISERROR(FILTER('Items by Team'!D$2:D3410,'Items by Team'!C$2:C3410 = D809,'Items by Team'!B$2:B3410 = B809)),NOT(A809=""Practice"")),TRUE,FALSE)"),FALSE)</f>
        <v>0</v>
      </c>
      <c r="BR809" s="6">
        <f t="shared" ca="1" si="83"/>
        <v>0</v>
      </c>
    </row>
    <row r="810" spans="1:70">
      <c r="A810" s="6"/>
      <c r="B810" s="6"/>
      <c r="C810" s="6"/>
      <c r="D810" s="6"/>
      <c r="E810" s="6"/>
      <c r="F810" s="6"/>
      <c r="G810" s="6"/>
      <c r="H810" s="6"/>
      <c r="I810" s="6"/>
      <c r="J810" s="6"/>
      <c r="K810" s="6"/>
      <c r="L810" s="6"/>
      <c r="M810" s="6"/>
      <c r="N810" s="6"/>
      <c r="O810" s="6"/>
      <c r="P810" s="6"/>
      <c r="R810" s="6"/>
      <c r="S810" s="6"/>
      <c r="T810" s="6"/>
      <c r="U810" s="6"/>
      <c r="V810" s="6"/>
      <c r="W810" s="6"/>
      <c r="X810" s="6"/>
      <c r="Y810" s="6"/>
      <c r="Z810" s="6"/>
      <c r="AA810" s="6"/>
      <c r="AB810" s="6"/>
      <c r="AD810" s="6"/>
      <c r="AE810" s="6"/>
      <c r="AF810" s="6"/>
      <c r="AG810" s="6"/>
      <c r="AH810" s="6"/>
      <c r="AI810" s="6"/>
      <c r="AK810" s="6"/>
      <c r="AL810" s="6"/>
      <c r="AM810" s="6"/>
      <c r="AN810" s="6"/>
      <c r="AO810" s="6"/>
      <c r="AP810" s="6"/>
      <c r="AQ810" s="6"/>
      <c r="AR810" s="6"/>
      <c r="AS810" s="15"/>
      <c r="AT810" s="6" t="str">
        <f ca="1">IFERROR(__xludf.DUMMYFUNCTION("""COMPUTED_VALUE"""),"#N/A")</f>
        <v>#N/A</v>
      </c>
      <c r="AU810" s="6" t="str">
        <f ca="1">IFERROR(__xludf.DUMMYFUNCTION("""COMPUTED_VALUE"""),"FALSE")</f>
        <v>FALSE</v>
      </c>
      <c r="AV810" s="6">
        <f t="shared" si="63"/>
        <v>0</v>
      </c>
      <c r="AW810" s="6">
        <f t="shared" si="64"/>
        <v>0</v>
      </c>
      <c r="AX810" s="6">
        <f t="shared" si="65"/>
        <v>0</v>
      </c>
      <c r="AY810" s="6">
        <f t="shared" si="66"/>
        <v>0</v>
      </c>
      <c r="AZ810" s="9" t="str">
        <f t="shared" si="67"/>
        <v/>
      </c>
      <c r="BA810" s="6">
        <f t="shared" si="68"/>
        <v>0</v>
      </c>
      <c r="BB810" s="6">
        <f t="shared" si="69"/>
        <v>0</v>
      </c>
      <c r="BC810" s="9" t="str">
        <f t="shared" si="70"/>
        <v/>
      </c>
      <c r="BD810" s="6">
        <f t="shared" si="71"/>
        <v>0</v>
      </c>
      <c r="BE810" s="6">
        <f t="shared" si="72"/>
        <v>0</v>
      </c>
      <c r="BF810" s="9" t="str">
        <f t="shared" si="73"/>
        <v/>
      </c>
      <c r="BG810" s="6">
        <f t="shared" si="74"/>
        <v>0</v>
      </c>
      <c r="BH810" s="6">
        <f t="shared" si="75"/>
        <v>0</v>
      </c>
      <c r="BI810" s="9" t="str">
        <f t="shared" si="76"/>
        <v/>
      </c>
      <c r="BJ810" s="6">
        <f t="shared" si="77"/>
        <v>0</v>
      </c>
      <c r="BK810" s="6">
        <f t="shared" si="78"/>
        <v>0</v>
      </c>
      <c r="BL810" s="6">
        <f t="shared" si="79"/>
        <v>0</v>
      </c>
      <c r="BM810" s="6">
        <f t="shared" si="80"/>
        <v>0</v>
      </c>
      <c r="BN810" s="6">
        <f t="shared" si="81"/>
        <v>0</v>
      </c>
      <c r="BP810" s="6">
        <f t="shared" si="82"/>
        <v>0</v>
      </c>
      <c r="BQ810" s="6" t="b">
        <f ca="1">IFERROR(__xludf.DUMMYFUNCTION("IF(AND(ISERROR(FILTER('Items by Team'!D$2:D3410,'Items by Team'!C$2:C3410 = D810,'Items by Team'!B$2:B3410 = B810)),NOT(A810=""Practice"")),TRUE,FALSE)"),FALSE)</f>
        <v>0</v>
      </c>
      <c r="BR810" s="6">
        <f t="shared" ca="1" si="83"/>
        <v>0</v>
      </c>
    </row>
    <row r="811" spans="1:70">
      <c r="A811" s="6"/>
      <c r="B811" s="6"/>
      <c r="C811" s="6"/>
      <c r="D811" s="6"/>
      <c r="E811" s="6"/>
      <c r="F811" s="6"/>
      <c r="G811" s="6"/>
      <c r="H811" s="6"/>
      <c r="I811" s="6"/>
      <c r="J811" s="6"/>
      <c r="K811" s="6"/>
      <c r="L811" s="6"/>
      <c r="M811" s="6"/>
      <c r="N811" s="6"/>
      <c r="O811" s="6"/>
      <c r="P811" s="6"/>
      <c r="R811" s="6"/>
      <c r="S811" s="6"/>
      <c r="T811" s="6"/>
      <c r="U811" s="6"/>
      <c r="V811" s="6"/>
      <c r="W811" s="6"/>
      <c r="X811" s="6"/>
      <c r="Y811" s="6"/>
      <c r="Z811" s="6"/>
      <c r="AA811" s="6"/>
      <c r="AB811" s="6"/>
      <c r="AD811" s="6"/>
      <c r="AE811" s="6"/>
      <c r="AF811" s="6"/>
      <c r="AG811" s="6"/>
      <c r="AH811" s="6"/>
      <c r="AI811" s="6"/>
      <c r="AK811" s="6"/>
      <c r="AL811" s="6"/>
      <c r="AM811" s="6"/>
      <c r="AN811" s="6"/>
      <c r="AO811" s="6"/>
      <c r="AP811" s="6"/>
      <c r="AQ811" s="6"/>
      <c r="AR811" s="6"/>
      <c r="AS811" s="15"/>
      <c r="AT811" s="6" t="str">
        <f ca="1">IFERROR(__xludf.DUMMYFUNCTION("""COMPUTED_VALUE"""),"#N/A")</f>
        <v>#N/A</v>
      </c>
      <c r="AU811" s="6" t="str">
        <f ca="1">IFERROR(__xludf.DUMMYFUNCTION("""COMPUTED_VALUE"""),"FALSE")</f>
        <v>FALSE</v>
      </c>
      <c r="AV811" s="6">
        <f t="shared" si="63"/>
        <v>0</v>
      </c>
      <c r="AW811" s="6">
        <f t="shared" si="64"/>
        <v>0</v>
      </c>
      <c r="AX811" s="6">
        <f t="shared" si="65"/>
        <v>0</v>
      </c>
      <c r="AY811" s="6">
        <f t="shared" si="66"/>
        <v>0</v>
      </c>
      <c r="AZ811" s="9" t="str">
        <f t="shared" si="67"/>
        <v/>
      </c>
      <c r="BA811" s="6">
        <f t="shared" si="68"/>
        <v>0</v>
      </c>
      <c r="BB811" s="6">
        <f t="shared" si="69"/>
        <v>0</v>
      </c>
      <c r="BC811" s="9" t="str">
        <f t="shared" si="70"/>
        <v/>
      </c>
      <c r="BD811" s="6">
        <f t="shared" si="71"/>
        <v>0</v>
      </c>
      <c r="BE811" s="6">
        <f t="shared" si="72"/>
        <v>0</v>
      </c>
      <c r="BF811" s="9" t="str">
        <f t="shared" si="73"/>
        <v/>
      </c>
      <c r="BG811" s="6">
        <f t="shared" si="74"/>
        <v>0</v>
      </c>
      <c r="BH811" s="6">
        <f t="shared" si="75"/>
        <v>0</v>
      </c>
      <c r="BI811" s="9" t="str">
        <f t="shared" si="76"/>
        <v/>
      </c>
      <c r="BJ811" s="6">
        <f t="shared" si="77"/>
        <v>0</v>
      </c>
      <c r="BK811" s="6">
        <f t="shared" si="78"/>
        <v>0</v>
      </c>
      <c r="BL811" s="6">
        <f t="shared" si="79"/>
        <v>0</v>
      </c>
      <c r="BM811" s="6">
        <f t="shared" si="80"/>
        <v>0</v>
      </c>
      <c r="BN811" s="6">
        <f t="shared" si="81"/>
        <v>0</v>
      </c>
      <c r="BP811" s="6">
        <f t="shared" si="82"/>
        <v>0</v>
      </c>
      <c r="BQ811" s="6" t="b">
        <f ca="1">IFERROR(__xludf.DUMMYFUNCTION("IF(AND(ISERROR(FILTER('Items by Team'!D$2:D3410,'Items by Team'!C$2:C3410 = D811,'Items by Team'!B$2:B3410 = B811)),NOT(A811=""Practice"")),TRUE,FALSE)"),FALSE)</f>
        <v>0</v>
      </c>
      <c r="BR811" s="6">
        <f t="shared" ca="1" si="83"/>
        <v>0</v>
      </c>
    </row>
    <row r="812" spans="1:70">
      <c r="A812" s="6"/>
      <c r="B812" s="6"/>
      <c r="C812" s="6"/>
      <c r="D812" s="6"/>
      <c r="E812" s="6"/>
      <c r="F812" s="6"/>
      <c r="G812" s="6"/>
      <c r="H812" s="6"/>
      <c r="I812" s="6"/>
      <c r="J812" s="6"/>
      <c r="K812" s="6"/>
      <c r="L812" s="6"/>
      <c r="M812" s="6"/>
      <c r="N812" s="6"/>
      <c r="O812" s="6"/>
      <c r="P812" s="6"/>
      <c r="R812" s="6"/>
      <c r="S812" s="6"/>
      <c r="T812" s="6"/>
      <c r="U812" s="6"/>
      <c r="V812" s="6"/>
      <c r="W812" s="6"/>
      <c r="X812" s="6"/>
      <c r="Y812" s="6"/>
      <c r="Z812" s="6"/>
      <c r="AA812" s="6"/>
      <c r="AB812" s="6"/>
      <c r="AD812" s="6"/>
      <c r="AE812" s="6"/>
      <c r="AF812" s="6"/>
      <c r="AG812" s="6"/>
      <c r="AH812" s="6"/>
      <c r="AI812" s="6"/>
      <c r="AK812" s="6"/>
      <c r="AL812" s="6"/>
      <c r="AM812" s="6"/>
      <c r="AN812" s="6"/>
      <c r="AO812" s="6"/>
      <c r="AP812" s="6"/>
      <c r="AQ812" s="6"/>
      <c r="AR812" s="6"/>
      <c r="AS812" s="15"/>
      <c r="AT812" s="6" t="str">
        <f ca="1">IFERROR(__xludf.DUMMYFUNCTION("""COMPUTED_VALUE"""),"#N/A")</f>
        <v>#N/A</v>
      </c>
      <c r="AU812" s="6" t="str">
        <f ca="1">IFERROR(__xludf.DUMMYFUNCTION("""COMPUTED_VALUE"""),"FALSE")</f>
        <v>FALSE</v>
      </c>
      <c r="AV812" s="6">
        <f t="shared" si="63"/>
        <v>0</v>
      </c>
      <c r="AW812" s="6">
        <f t="shared" si="64"/>
        <v>0</v>
      </c>
      <c r="AX812" s="6">
        <f t="shared" si="65"/>
        <v>0</v>
      </c>
      <c r="AY812" s="6">
        <f t="shared" si="66"/>
        <v>0</v>
      </c>
      <c r="AZ812" s="9" t="str">
        <f t="shared" si="67"/>
        <v/>
      </c>
      <c r="BA812" s="6">
        <f t="shared" si="68"/>
        <v>0</v>
      </c>
      <c r="BB812" s="6">
        <f t="shared" si="69"/>
        <v>0</v>
      </c>
      <c r="BC812" s="9" t="str">
        <f t="shared" si="70"/>
        <v/>
      </c>
      <c r="BD812" s="6">
        <f t="shared" si="71"/>
        <v>0</v>
      </c>
      <c r="BE812" s="6">
        <f t="shared" si="72"/>
        <v>0</v>
      </c>
      <c r="BF812" s="9" t="str">
        <f t="shared" si="73"/>
        <v/>
      </c>
      <c r="BG812" s="6">
        <f t="shared" si="74"/>
        <v>0</v>
      </c>
      <c r="BH812" s="6">
        <f t="shared" si="75"/>
        <v>0</v>
      </c>
      <c r="BI812" s="9" t="str">
        <f t="shared" si="76"/>
        <v/>
      </c>
      <c r="BJ812" s="6">
        <f t="shared" si="77"/>
        <v>0</v>
      </c>
      <c r="BK812" s="6">
        <f t="shared" si="78"/>
        <v>0</v>
      </c>
      <c r="BL812" s="6">
        <f t="shared" si="79"/>
        <v>0</v>
      </c>
      <c r="BM812" s="6">
        <f t="shared" si="80"/>
        <v>0</v>
      </c>
      <c r="BN812" s="6">
        <f t="shared" si="81"/>
        <v>0</v>
      </c>
      <c r="BP812" s="6">
        <f t="shared" si="82"/>
        <v>0</v>
      </c>
      <c r="BQ812" s="6" t="b">
        <f ca="1">IFERROR(__xludf.DUMMYFUNCTION("IF(AND(ISERROR(FILTER('Items by Team'!D$2:D3410,'Items by Team'!C$2:C3410 = D812,'Items by Team'!B$2:B3410 = B812)),NOT(A812=""Practice"")),TRUE,FALSE)"),FALSE)</f>
        <v>0</v>
      </c>
      <c r="BR812" s="6">
        <f t="shared" ca="1" si="83"/>
        <v>0</v>
      </c>
    </row>
    <row r="813" spans="1:70">
      <c r="A813" s="6"/>
      <c r="B813" s="6"/>
      <c r="C813" s="6"/>
      <c r="D813" s="6"/>
      <c r="E813" s="6"/>
      <c r="F813" s="6"/>
      <c r="G813" s="6"/>
      <c r="H813" s="6"/>
      <c r="I813" s="6"/>
      <c r="J813" s="6"/>
      <c r="K813" s="6"/>
      <c r="L813" s="6"/>
      <c r="M813" s="6"/>
      <c r="N813" s="6"/>
      <c r="O813" s="6"/>
      <c r="P813" s="6"/>
      <c r="R813" s="6"/>
      <c r="S813" s="6"/>
      <c r="T813" s="6"/>
      <c r="U813" s="6"/>
      <c r="V813" s="6"/>
      <c r="W813" s="6"/>
      <c r="X813" s="6"/>
      <c r="Y813" s="6"/>
      <c r="Z813" s="6"/>
      <c r="AA813" s="6"/>
      <c r="AB813" s="6"/>
      <c r="AD813" s="6"/>
      <c r="AE813" s="6"/>
      <c r="AF813" s="6"/>
      <c r="AG813" s="6"/>
      <c r="AH813" s="6"/>
      <c r="AI813" s="6"/>
      <c r="AK813" s="6"/>
      <c r="AL813" s="6"/>
      <c r="AM813" s="6"/>
      <c r="AN813" s="6"/>
      <c r="AO813" s="6"/>
      <c r="AP813" s="6"/>
      <c r="AQ813" s="6"/>
      <c r="AR813" s="6"/>
      <c r="AS813" s="15"/>
      <c r="AT813" s="6" t="str">
        <f ca="1">IFERROR(__xludf.DUMMYFUNCTION("""COMPUTED_VALUE"""),"#N/A")</f>
        <v>#N/A</v>
      </c>
      <c r="AU813" s="6" t="str">
        <f ca="1">IFERROR(__xludf.DUMMYFUNCTION("""COMPUTED_VALUE"""),"FALSE")</f>
        <v>FALSE</v>
      </c>
      <c r="AV813" s="6">
        <f t="shared" si="63"/>
        <v>0</v>
      </c>
      <c r="AW813" s="6">
        <f t="shared" si="64"/>
        <v>0</v>
      </c>
      <c r="AX813" s="6">
        <f t="shared" si="65"/>
        <v>0</v>
      </c>
      <c r="AY813" s="6">
        <f t="shared" si="66"/>
        <v>0</v>
      </c>
      <c r="AZ813" s="9" t="str">
        <f t="shared" si="67"/>
        <v/>
      </c>
      <c r="BA813" s="6">
        <f t="shared" si="68"/>
        <v>0</v>
      </c>
      <c r="BB813" s="6">
        <f t="shared" si="69"/>
        <v>0</v>
      </c>
      <c r="BC813" s="9" t="str">
        <f t="shared" si="70"/>
        <v/>
      </c>
      <c r="BD813" s="6">
        <f t="shared" si="71"/>
        <v>0</v>
      </c>
      <c r="BE813" s="6">
        <f t="shared" si="72"/>
        <v>0</v>
      </c>
      <c r="BF813" s="9" t="str">
        <f t="shared" si="73"/>
        <v/>
      </c>
      <c r="BG813" s="6">
        <f t="shared" si="74"/>
        <v>0</v>
      </c>
      <c r="BH813" s="6">
        <f t="shared" si="75"/>
        <v>0</v>
      </c>
      <c r="BI813" s="9" t="str">
        <f t="shared" si="76"/>
        <v/>
      </c>
      <c r="BJ813" s="6">
        <f t="shared" si="77"/>
        <v>0</v>
      </c>
      <c r="BK813" s="6">
        <f t="shared" si="78"/>
        <v>0</v>
      </c>
      <c r="BL813" s="6">
        <f t="shared" si="79"/>
        <v>0</v>
      </c>
      <c r="BM813" s="6">
        <f t="shared" si="80"/>
        <v>0</v>
      </c>
      <c r="BN813" s="6">
        <f t="shared" si="81"/>
        <v>0</v>
      </c>
      <c r="BP813" s="6">
        <f t="shared" si="82"/>
        <v>0</v>
      </c>
      <c r="BQ813" s="6" t="b">
        <f ca="1">IFERROR(__xludf.DUMMYFUNCTION("IF(AND(ISERROR(FILTER('Items by Team'!D$2:D3410,'Items by Team'!C$2:C3410 = D813,'Items by Team'!B$2:B3410 = B813)),NOT(A813=""Practice"")),TRUE,FALSE)"),FALSE)</f>
        <v>0</v>
      </c>
      <c r="BR813" s="6">
        <f t="shared" ca="1" si="83"/>
        <v>0</v>
      </c>
    </row>
    <row r="814" spans="1:70">
      <c r="A814" s="6"/>
      <c r="B814" s="6"/>
      <c r="C814" s="6"/>
      <c r="D814" s="6"/>
      <c r="E814" s="6"/>
      <c r="F814" s="6"/>
      <c r="G814" s="6"/>
      <c r="H814" s="6"/>
      <c r="I814" s="6"/>
      <c r="J814" s="6"/>
      <c r="K814" s="6"/>
      <c r="L814" s="6"/>
      <c r="M814" s="6"/>
      <c r="N814" s="6"/>
      <c r="O814" s="6"/>
      <c r="P814" s="6"/>
      <c r="R814" s="6"/>
      <c r="S814" s="6"/>
      <c r="T814" s="6"/>
      <c r="U814" s="6"/>
      <c r="V814" s="6"/>
      <c r="W814" s="6"/>
      <c r="X814" s="6"/>
      <c r="Y814" s="6"/>
      <c r="Z814" s="6"/>
      <c r="AA814" s="6"/>
      <c r="AB814" s="6"/>
      <c r="AD814" s="6"/>
      <c r="AE814" s="6"/>
      <c r="AF814" s="6"/>
      <c r="AG814" s="6"/>
      <c r="AH814" s="6"/>
      <c r="AI814" s="6"/>
      <c r="AK814" s="6"/>
      <c r="AL814" s="6"/>
      <c r="AM814" s="6"/>
      <c r="AN814" s="6"/>
      <c r="AO814" s="6"/>
      <c r="AP814" s="6"/>
      <c r="AQ814" s="6"/>
      <c r="AR814" s="6"/>
      <c r="AS814" s="15"/>
      <c r="AT814" s="6" t="str">
        <f ca="1">IFERROR(__xludf.DUMMYFUNCTION("""COMPUTED_VALUE"""),"#N/A")</f>
        <v>#N/A</v>
      </c>
      <c r="AU814" s="6" t="str">
        <f ca="1">IFERROR(__xludf.DUMMYFUNCTION("""COMPUTED_VALUE"""),"FALSE")</f>
        <v>FALSE</v>
      </c>
      <c r="AV814" s="6">
        <f t="shared" si="63"/>
        <v>0</v>
      </c>
      <c r="AW814" s="6">
        <f t="shared" si="64"/>
        <v>0</v>
      </c>
      <c r="AX814" s="6">
        <f t="shared" si="65"/>
        <v>0</v>
      </c>
      <c r="AY814" s="6">
        <f t="shared" si="66"/>
        <v>0</v>
      </c>
      <c r="AZ814" s="9" t="str">
        <f t="shared" si="67"/>
        <v/>
      </c>
      <c r="BA814" s="6">
        <f t="shared" si="68"/>
        <v>0</v>
      </c>
      <c r="BB814" s="6">
        <f t="shared" si="69"/>
        <v>0</v>
      </c>
      <c r="BC814" s="9" t="str">
        <f t="shared" si="70"/>
        <v/>
      </c>
      <c r="BD814" s="6">
        <f t="shared" si="71"/>
        <v>0</v>
      </c>
      <c r="BE814" s="6">
        <f t="shared" si="72"/>
        <v>0</v>
      </c>
      <c r="BF814" s="9" t="str">
        <f t="shared" si="73"/>
        <v/>
      </c>
      <c r="BG814" s="6">
        <f t="shared" si="74"/>
        <v>0</v>
      </c>
      <c r="BH814" s="6">
        <f t="shared" si="75"/>
        <v>0</v>
      </c>
      <c r="BI814" s="9" t="str">
        <f t="shared" si="76"/>
        <v/>
      </c>
      <c r="BJ814" s="6">
        <f t="shared" si="77"/>
        <v>0</v>
      </c>
      <c r="BK814" s="6">
        <f t="shared" si="78"/>
        <v>0</v>
      </c>
      <c r="BL814" s="6">
        <f t="shared" si="79"/>
        <v>0</v>
      </c>
      <c r="BM814" s="6">
        <f t="shared" si="80"/>
        <v>0</v>
      </c>
      <c r="BN814" s="6">
        <f t="shared" si="81"/>
        <v>0</v>
      </c>
      <c r="BP814" s="6">
        <f t="shared" si="82"/>
        <v>0</v>
      </c>
      <c r="BQ814" s="6" t="b">
        <f ca="1">IFERROR(__xludf.DUMMYFUNCTION("IF(AND(ISERROR(FILTER('Items by Team'!D$2:D3410,'Items by Team'!C$2:C3410 = D814,'Items by Team'!B$2:B3410 = B814)),NOT(A814=""Practice"")),TRUE,FALSE)"),FALSE)</f>
        <v>0</v>
      </c>
      <c r="BR814" s="6">
        <f t="shared" ca="1" si="83"/>
        <v>0</v>
      </c>
    </row>
    <row r="815" spans="1:70">
      <c r="A815" s="6"/>
      <c r="B815" s="6"/>
      <c r="C815" s="6"/>
      <c r="D815" s="6"/>
      <c r="E815" s="6"/>
      <c r="F815" s="6"/>
      <c r="G815" s="6"/>
      <c r="H815" s="6"/>
      <c r="I815" s="6"/>
      <c r="J815" s="6"/>
      <c r="K815" s="6"/>
      <c r="L815" s="6"/>
      <c r="M815" s="6"/>
      <c r="N815" s="6"/>
      <c r="O815" s="6"/>
      <c r="P815" s="6"/>
      <c r="R815" s="6"/>
      <c r="S815" s="6"/>
      <c r="T815" s="6"/>
      <c r="U815" s="6"/>
      <c r="V815" s="6"/>
      <c r="W815" s="6"/>
      <c r="X815" s="6"/>
      <c r="Y815" s="6"/>
      <c r="Z815" s="6"/>
      <c r="AA815" s="6"/>
      <c r="AB815" s="6"/>
      <c r="AD815" s="6"/>
      <c r="AE815" s="6"/>
      <c r="AF815" s="6"/>
      <c r="AG815" s="6"/>
      <c r="AH815" s="6"/>
      <c r="AI815" s="6"/>
      <c r="AK815" s="6"/>
      <c r="AL815" s="6"/>
      <c r="AM815" s="6"/>
      <c r="AN815" s="6"/>
      <c r="AO815" s="6"/>
      <c r="AP815" s="6"/>
      <c r="AQ815" s="6"/>
      <c r="AR815" s="6"/>
      <c r="AS815" s="15"/>
      <c r="AT815" s="6" t="str">
        <f ca="1">IFERROR(__xludf.DUMMYFUNCTION("""COMPUTED_VALUE"""),"#N/A")</f>
        <v>#N/A</v>
      </c>
      <c r="AU815" s="6" t="str">
        <f ca="1">IFERROR(__xludf.DUMMYFUNCTION("""COMPUTED_VALUE"""),"FALSE")</f>
        <v>FALSE</v>
      </c>
      <c r="AV815" s="6">
        <f t="shared" si="63"/>
        <v>0</v>
      </c>
      <c r="AW815" s="6">
        <f t="shared" si="64"/>
        <v>0</v>
      </c>
      <c r="AX815" s="6">
        <f t="shared" si="65"/>
        <v>0</v>
      </c>
      <c r="AY815" s="6">
        <f t="shared" si="66"/>
        <v>0</v>
      </c>
      <c r="AZ815" s="9" t="str">
        <f t="shared" si="67"/>
        <v/>
      </c>
      <c r="BA815" s="6">
        <f t="shared" si="68"/>
        <v>0</v>
      </c>
      <c r="BB815" s="6">
        <f t="shared" si="69"/>
        <v>0</v>
      </c>
      <c r="BC815" s="9" t="str">
        <f t="shared" si="70"/>
        <v/>
      </c>
      <c r="BD815" s="6">
        <f t="shared" si="71"/>
        <v>0</v>
      </c>
      <c r="BE815" s="6">
        <f t="shared" si="72"/>
        <v>0</v>
      </c>
      <c r="BF815" s="9" t="str">
        <f t="shared" si="73"/>
        <v/>
      </c>
      <c r="BG815" s="6">
        <f t="shared" si="74"/>
        <v>0</v>
      </c>
      <c r="BH815" s="6">
        <f t="shared" si="75"/>
        <v>0</v>
      </c>
      <c r="BI815" s="9" t="str">
        <f t="shared" si="76"/>
        <v/>
      </c>
      <c r="BJ815" s="6">
        <f t="shared" si="77"/>
        <v>0</v>
      </c>
      <c r="BK815" s="6">
        <f t="shared" si="78"/>
        <v>0</v>
      </c>
      <c r="BL815" s="6">
        <f t="shared" si="79"/>
        <v>0</v>
      </c>
      <c r="BM815" s="6">
        <f t="shared" si="80"/>
        <v>0</v>
      </c>
      <c r="BN815" s="6">
        <f t="shared" si="81"/>
        <v>0</v>
      </c>
      <c r="BP815" s="6">
        <f t="shared" si="82"/>
        <v>0</v>
      </c>
      <c r="BQ815" s="6" t="b">
        <f ca="1">IFERROR(__xludf.DUMMYFUNCTION("IF(AND(ISERROR(FILTER('Items by Team'!D$2:D3410,'Items by Team'!C$2:C3410 = D815,'Items by Team'!B$2:B3410 = B815)),NOT(A815=""Practice"")),TRUE,FALSE)"),FALSE)</f>
        <v>0</v>
      </c>
      <c r="BR815" s="6">
        <f t="shared" ca="1" si="83"/>
        <v>0</v>
      </c>
    </row>
    <row r="816" spans="1:70">
      <c r="A816" s="6"/>
      <c r="B816" s="6"/>
      <c r="C816" s="6"/>
      <c r="D816" s="6"/>
      <c r="E816" s="6"/>
      <c r="F816" s="6"/>
      <c r="G816" s="6"/>
      <c r="H816" s="6"/>
      <c r="I816" s="6"/>
      <c r="J816" s="6"/>
      <c r="K816" s="6"/>
      <c r="L816" s="6"/>
      <c r="M816" s="6"/>
      <c r="N816" s="6"/>
      <c r="O816" s="6"/>
      <c r="P816" s="6"/>
      <c r="R816" s="6"/>
      <c r="S816" s="6"/>
      <c r="T816" s="6"/>
      <c r="U816" s="6"/>
      <c r="V816" s="6"/>
      <c r="W816" s="6"/>
      <c r="X816" s="6"/>
      <c r="Y816" s="6"/>
      <c r="Z816" s="6"/>
      <c r="AA816" s="6"/>
      <c r="AB816" s="6"/>
      <c r="AD816" s="6"/>
      <c r="AE816" s="6"/>
      <c r="AF816" s="6"/>
      <c r="AG816" s="6"/>
      <c r="AH816" s="6"/>
      <c r="AI816" s="6"/>
      <c r="AK816" s="6"/>
      <c r="AL816" s="6"/>
      <c r="AM816" s="6"/>
      <c r="AN816" s="6"/>
      <c r="AO816" s="6"/>
      <c r="AP816" s="6"/>
      <c r="AQ816" s="6"/>
      <c r="AR816" s="6"/>
      <c r="AS816" s="15"/>
      <c r="AT816" s="6" t="str">
        <f ca="1">IFERROR(__xludf.DUMMYFUNCTION("""COMPUTED_VALUE"""),"#N/A")</f>
        <v>#N/A</v>
      </c>
      <c r="AU816" s="6" t="str">
        <f ca="1">IFERROR(__xludf.DUMMYFUNCTION("""COMPUTED_VALUE"""),"FALSE")</f>
        <v>FALSE</v>
      </c>
      <c r="AV816" s="6">
        <f t="shared" si="63"/>
        <v>0</v>
      </c>
      <c r="AW816" s="6">
        <f t="shared" si="64"/>
        <v>0</v>
      </c>
      <c r="AX816" s="6">
        <f t="shared" si="65"/>
        <v>0</v>
      </c>
      <c r="AY816" s="6">
        <f t="shared" si="66"/>
        <v>0</v>
      </c>
      <c r="AZ816" s="9" t="str">
        <f t="shared" si="67"/>
        <v/>
      </c>
      <c r="BA816" s="6">
        <f t="shared" si="68"/>
        <v>0</v>
      </c>
      <c r="BB816" s="6">
        <f t="shared" si="69"/>
        <v>0</v>
      </c>
      <c r="BC816" s="9" t="str">
        <f t="shared" si="70"/>
        <v/>
      </c>
      <c r="BD816" s="6">
        <f t="shared" si="71"/>
        <v>0</v>
      </c>
      <c r="BE816" s="6">
        <f t="shared" si="72"/>
        <v>0</v>
      </c>
      <c r="BF816" s="9" t="str">
        <f t="shared" si="73"/>
        <v/>
      </c>
      <c r="BG816" s="6">
        <f t="shared" si="74"/>
        <v>0</v>
      </c>
      <c r="BH816" s="6">
        <f t="shared" si="75"/>
        <v>0</v>
      </c>
      <c r="BI816" s="9" t="str">
        <f t="shared" si="76"/>
        <v/>
      </c>
      <c r="BJ816" s="6">
        <f t="shared" si="77"/>
        <v>0</v>
      </c>
      <c r="BK816" s="6">
        <f t="shared" si="78"/>
        <v>0</v>
      </c>
      <c r="BL816" s="6">
        <f t="shared" si="79"/>
        <v>0</v>
      </c>
      <c r="BM816" s="6">
        <f t="shared" si="80"/>
        <v>0</v>
      </c>
      <c r="BN816" s="6">
        <f t="shared" si="81"/>
        <v>0</v>
      </c>
      <c r="BP816" s="6">
        <f t="shared" si="82"/>
        <v>0</v>
      </c>
      <c r="BQ816" s="6" t="b">
        <f ca="1">IFERROR(__xludf.DUMMYFUNCTION("IF(AND(ISERROR(FILTER('Items by Team'!D$2:D3410,'Items by Team'!C$2:C3410 = D816,'Items by Team'!B$2:B3410 = B816)),NOT(A816=""Practice"")),TRUE,FALSE)"),FALSE)</f>
        <v>0</v>
      </c>
      <c r="BR816" s="6">
        <f t="shared" ca="1" si="83"/>
        <v>0</v>
      </c>
    </row>
    <row r="817" spans="1:70">
      <c r="A817" s="6"/>
      <c r="B817" s="6"/>
      <c r="C817" s="6"/>
      <c r="D817" s="6"/>
      <c r="E817" s="6"/>
      <c r="F817" s="6"/>
      <c r="G817" s="6"/>
      <c r="H817" s="6"/>
      <c r="I817" s="6"/>
      <c r="J817" s="6"/>
      <c r="K817" s="6"/>
      <c r="L817" s="6"/>
      <c r="M817" s="6"/>
      <c r="N817" s="6"/>
      <c r="O817" s="6"/>
      <c r="P817" s="6"/>
      <c r="R817" s="6"/>
      <c r="S817" s="6"/>
      <c r="T817" s="6"/>
      <c r="U817" s="6"/>
      <c r="V817" s="6"/>
      <c r="W817" s="6"/>
      <c r="X817" s="6"/>
      <c r="Y817" s="6"/>
      <c r="Z817" s="6"/>
      <c r="AA817" s="6"/>
      <c r="AB817" s="6"/>
      <c r="AD817" s="6"/>
      <c r="AE817" s="6"/>
      <c r="AF817" s="6"/>
      <c r="AG817" s="6"/>
      <c r="AH817" s="6"/>
      <c r="AI817" s="6"/>
      <c r="AK817" s="6"/>
      <c r="AL817" s="6"/>
      <c r="AM817" s="6"/>
      <c r="AN817" s="6"/>
      <c r="AO817" s="6"/>
      <c r="AP817" s="6"/>
      <c r="AQ817" s="6"/>
      <c r="AR817" s="6"/>
      <c r="AS817" s="15"/>
      <c r="AT817" s="6" t="str">
        <f ca="1">IFERROR(__xludf.DUMMYFUNCTION("""COMPUTED_VALUE"""),"#N/A")</f>
        <v>#N/A</v>
      </c>
      <c r="AU817" s="6" t="str">
        <f ca="1">IFERROR(__xludf.DUMMYFUNCTION("""COMPUTED_VALUE"""),"FALSE")</f>
        <v>FALSE</v>
      </c>
      <c r="AV817" s="6">
        <f t="shared" si="63"/>
        <v>0</v>
      </c>
      <c r="AW817" s="6">
        <f t="shared" si="64"/>
        <v>0</v>
      </c>
      <c r="AX817" s="6">
        <f t="shared" si="65"/>
        <v>0</v>
      </c>
      <c r="AY817" s="6">
        <f t="shared" si="66"/>
        <v>0</v>
      </c>
      <c r="AZ817" s="9" t="str">
        <f t="shared" si="67"/>
        <v/>
      </c>
      <c r="BA817" s="6">
        <f t="shared" si="68"/>
        <v>0</v>
      </c>
      <c r="BB817" s="6">
        <f t="shared" si="69"/>
        <v>0</v>
      </c>
      <c r="BC817" s="9" t="str">
        <f t="shared" si="70"/>
        <v/>
      </c>
      <c r="BD817" s="6">
        <f t="shared" si="71"/>
        <v>0</v>
      </c>
      <c r="BE817" s="6">
        <f t="shared" si="72"/>
        <v>0</v>
      </c>
      <c r="BF817" s="9" t="str">
        <f t="shared" si="73"/>
        <v/>
      </c>
      <c r="BG817" s="6">
        <f t="shared" si="74"/>
        <v>0</v>
      </c>
      <c r="BH817" s="6">
        <f t="shared" si="75"/>
        <v>0</v>
      </c>
      <c r="BI817" s="9" t="str">
        <f t="shared" si="76"/>
        <v/>
      </c>
      <c r="BJ817" s="6">
        <f t="shared" si="77"/>
        <v>0</v>
      </c>
      <c r="BK817" s="6">
        <f t="shared" si="78"/>
        <v>0</v>
      </c>
      <c r="BL817" s="6">
        <f t="shared" si="79"/>
        <v>0</v>
      </c>
      <c r="BM817" s="6">
        <f t="shared" si="80"/>
        <v>0</v>
      </c>
      <c r="BN817" s="6">
        <f t="shared" si="81"/>
        <v>0</v>
      </c>
      <c r="BP817" s="6">
        <f t="shared" si="82"/>
        <v>0</v>
      </c>
      <c r="BQ817" s="6" t="b">
        <f ca="1">IFERROR(__xludf.DUMMYFUNCTION("IF(AND(ISERROR(FILTER('Items by Team'!D$2:D3410,'Items by Team'!C$2:C3410 = D817,'Items by Team'!B$2:B3410 = B817)),NOT(A817=""Practice"")),TRUE,FALSE)"),FALSE)</f>
        <v>0</v>
      </c>
      <c r="BR817" s="6">
        <f t="shared" ca="1" si="83"/>
        <v>0</v>
      </c>
    </row>
    <row r="818" spans="1:70">
      <c r="A818" s="6"/>
      <c r="B818" s="6"/>
      <c r="C818" s="6"/>
      <c r="D818" s="6"/>
      <c r="E818" s="6"/>
      <c r="F818" s="6"/>
      <c r="G818" s="6"/>
      <c r="H818" s="6"/>
      <c r="I818" s="6"/>
      <c r="J818" s="6"/>
      <c r="K818" s="6"/>
      <c r="L818" s="6"/>
      <c r="M818" s="6"/>
      <c r="N818" s="6"/>
      <c r="O818" s="6"/>
      <c r="P818" s="6"/>
      <c r="R818" s="6"/>
      <c r="S818" s="6"/>
      <c r="T818" s="6"/>
      <c r="U818" s="6"/>
      <c r="V818" s="6"/>
      <c r="W818" s="6"/>
      <c r="X818" s="6"/>
      <c r="Y818" s="6"/>
      <c r="Z818" s="6"/>
      <c r="AA818" s="6"/>
      <c r="AB818" s="6"/>
      <c r="AD818" s="6"/>
      <c r="AE818" s="6"/>
      <c r="AF818" s="6"/>
      <c r="AG818" s="6"/>
      <c r="AH818" s="6"/>
      <c r="AI818" s="6"/>
      <c r="AK818" s="6"/>
      <c r="AL818" s="6"/>
      <c r="AM818" s="6"/>
      <c r="AN818" s="6"/>
      <c r="AO818" s="6"/>
      <c r="AP818" s="6"/>
      <c r="AQ818" s="6"/>
      <c r="AR818" s="6"/>
      <c r="AS818" s="15"/>
      <c r="AT818" s="6" t="str">
        <f ca="1">IFERROR(__xludf.DUMMYFUNCTION("""COMPUTED_VALUE"""),"#N/A")</f>
        <v>#N/A</v>
      </c>
      <c r="AU818" s="6" t="str">
        <f ca="1">IFERROR(__xludf.DUMMYFUNCTION("""COMPUTED_VALUE"""),"FALSE")</f>
        <v>FALSE</v>
      </c>
      <c r="AV818" s="6">
        <f t="shared" si="63"/>
        <v>0</v>
      </c>
      <c r="AW818" s="6">
        <f t="shared" si="64"/>
        <v>0</v>
      </c>
      <c r="AX818" s="6">
        <f t="shared" si="65"/>
        <v>0</v>
      </c>
      <c r="AY818" s="6">
        <f t="shared" si="66"/>
        <v>0</v>
      </c>
      <c r="AZ818" s="9" t="str">
        <f t="shared" si="67"/>
        <v/>
      </c>
      <c r="BA818" s="6">
        <f t="shared" si="68"/>
        <v>0</v>
      </c>
      <c r="BB818" s="6">
        <f t="shared" si="69"/>
        <v>0</v>
      </c>
      <c r="BC818" s="9" t="str">
        <f t="shared" si="70"/>
        <v/>
      </c>
      <c r="BD818" s="6">
        <f t="shared" si="71"/>
        <v>0</v>
      </c>
      <c r="BE818" s="6">
        <f t="shared" si="72"/>
        <v>0</v>
      </c>
      <c r="BF818" s="9" t="str">
        <f t="shared" si="73"/>
        <v/>
      </c>
      <c r="BG818" s="6">
        <f t="shared" si="74"/>
        <v>0</v>
      </c>
      <c r="BH818" s="6">
        <f t="shared" si="75"/>
        <v>0</v>
      </c>
      <c r="BI818" s="9" t="str">
        <f t="shared" si="76"/>
        <v/>
      </c>
      <c r="BJ818" s="6">
        <f t="shared" si="77"/>
        <v>0</v>
      </c>
      <c r="BK818" s="6">
        <f t="shared" si="78"/>
        <v>0</v>
      </c>
      <c r="BL818" s="6">
        <f t="shared" si="79"/>
        <v>0</v>
      </c>
      <c r="BM818" s="6">
        <f t="shared" si="80"/>
        <v>0</v>
      </c>
      <c r="BN818" s="6">
        <f t="shared" si="81"/>
        <v>0</v>
      </c>
      <c r="BP818" s="6">
        <f t="shared" si="82"/>
        <v>0</v>
      </c>
      <c r="BQ818" s="6" t="b">
        <f ca="1">IFERROR(__xludf.DUMMYFUNCTION("IF(AND(ISERROR(FILTER('Items by Team'!D$2:D3410,'Items by Team'!C$2:C3410 = D818,'Items by Team'!B$2:B3410 = B818)),NOT(A818=""Practice"")),TRUE,FALSE)"),FALSE)</f>
        <v>0</v>
      </c>
      <c r="BR818" s="6">
        <f t="shared" ca="1" si="83"/>
        <v>0</v>
      </c>
    </row>
    <row r="819" spans="1:70">
      <c r="A819" s="6"/>
      <c r="B819" s="6"/>
      <c r="C819" s="6"/>
      <c r="D819" s="6"/>
      <c r="E819" s="6"/>
      <c r="F819" s="6"/>
      <c r="G819" s="6"/>
      <c r="H819" s="6"/>
      <c r="I819" s="6"/>
      <c r="J819" s="6"/>
      <c r="K819" s="6"/>
      <c r="L819" s="6"/>
      <c r="M819" s="6"/>
      <c r="N819" s="6"/>
      <c r="O819" s="6"/>
      <c r="P819" s="6"/>
      <c r="R819" s="6"/>
      <c r="S819" s="6"/>
      <c r="T819" s="6"/>
      <c r="U819" s="6"/>
      <c r="V819" s="6"/>
      <c r="W819" s="6"/>
      <c r="X819" s="6"/>
      <c r="Y819" s="6"/>
      <c r="Z819" s="6"/>
      <c r="AA819" s="6"/>
      <c r="AB819" s="6"/>
      <c r="AD819" s="6"/>
      <c r="AE819" s="6"/>
      <c r="AF819" s="6"/>
      <c r="AG819" s="6"/>
      <c r="AH819" s="6"/>
      <c r="AI819" s="6"/>
      <c r="AK819" s="6"/>
      <c r="AL819" s="6"/>
      <c r="AM819" s="6"/>
      <c r="AN819" s="6"/>
      <c r="AO819" s="6"/>
      <c r="AP819" s="6"/>
      <c r="AQ819" s="6"/>
      <c r="AR819" s="6"/>
      <c r="AS819" s="15"/>
      <c r="AT819" s="6" t="str">
        <f ca="1">IFERROR(__xludf.DUMMYFUNCTION("""COMPUTED_VALUE"""),"#N/A")</f>
        <v>#N/A</v>
      </c>
      <c r="AU819" s="6" t="str">
        <f ca="1">IFERROR(__xludf.DUMMYFUNCTION("""COMPUTED_VALUE"""),"FALSE")</f>
        <v>FALSE</v>
      </c>
      <c r="AV819" s="6">
        <f t="shared" si="63"/>
        <v>0</v>
      </c>
      <c r="AW819" s="6">
        <f t="shared" si="64"/>
        <v>0</v>
      </c>
      <c r="AX819" s="6">
        <f t="shared" si="65"/>
        <v>0</v>
      </c>
      <c r="AY819" s="6">
        <f t="shared" si="66"/>
        <v>0</v>
      </c>
      <c r="AZ819" s="9" t="str">
        <f t="shared" si="67"/>
        <v/>
      </c>
      <c r="BA819" s="6">
        <f t="shared" si="68"/>
        <v>0</v>
      </c>
      <c r="BB819" s="6">
        <f t="shared" si="69"/>
        <v>0</v>
      </c>
      <c r="BC819" s="9" t="str">
        <f t="shared" si="70"/>
        <v/>
      </c>
      <c r="BD819" s="6">
        <f t="shared" si="71"/>
        <v>0</v>
      </c>
      <c r="BE819" s="6">
        <f t="shared" si="72"/>
        <v>0</v>
      </c>
      <c r="BF819" s="9" t="str">
        <f t="shared" si="73"/>
        <v/>
      </c>
      <c r="BG819" s="6">
        <f t="shared" si="74"/>
        <v>0</v>
      </c>
      <c r="BH819" s="6">
        <f t="shared" si="75"/>
        <v>0</v>
      </c>
      <c r="BI819" s="9" t="str">
        <f t="shared" si="76"/>
        <v/>
      </c>
      <c r="BJ819" s="6">
        <f t="shared" si="77"/>
        <v>0</v>
      </c>
      <c r="BK819" s="6">
        <f t="shared" si="78"/>
        <v>0</v>
      </c>
      <c r="BL819" s="6">
        <f t="shared" si="79"/>
        <v>0</v>
      </c>
      <c r="BM819" s="6">
        <f t="shared" si="80"/>
        <v>0</v>
      </c>
      <c r="BN819" s="6">
        <f t="shared" si="81"/>
        <v>0</v>
      </c>
      <c r="BP819" s="6">
        <f t="shared" si="82"/>
        <v>0</v>
      </c>
      <c r="BQ819" s="6" t="b">
        <f ca="1">IFERROR(__xludf.DUMMYFUNCTION("IF(AND(ISERROR(FILTER('Items by Team'!D$2:D3410,'Items by Team'!C$2:C3410 = D819,'Items by Team'!B$2:B3410 = B819)),NOT(A819=""Practice"")),TRUE,FALSE)"),FALSE)</f>
        <v>0</v>
      </c>
      <c r="BR819" s="6">
        <f t="shared" ca="1" si="83"/>
        <v>0</v>
      </c>
    </row>
    <row r="820" spans="1:70">
      <c r="A820" s="6"/>
      <c r="B820" s="6"/>
      <c r="C820" s="6"/>
      <c r="D820" s="6"/>
      <c r="E820" s="6"/>
      <c r="F820" s="6"/>
      <c r="G820" s="6"/>
      <c r="H820" s="6"/>
      <c r="I820" s="6"/>
      <c r="J820" s="6"/>
      <c r="K820" s="6"/>
      <c r="L820" s="6"/>
      <c r="M820" s="6"/>
      <c r="N820" s="6"/>
      <c r="O820" s="6"/>
      <c r="P820" s="6"/>
      <c r="R820" s="6"/>
      <c r="S820" s="6"/>
      <c r="T820" s="6"/>
      <c r="U820" s="6"/>
      <c r="V820" s="6"/>
      <c r="W820" s="6"/>
      <c r="X820" s="6"/>
      <c r="Y820" s="6"/>
      <c r="Z820" s="6"/>
      <c r="AA820" s="6"/>
      <c r="AB820" s="6"/>
      <c r="AD820" s="6"/>
      <c r="AE820" s="6"/>
      <c r="AF820" s="6"/>
      <c r="AG820" s="6"/>
      <c r="AH820" s="6"/>
      <c r="AI820" s="6"/>
      <c r="AK820" s="6"/>
      <c r="AL820" s="6"/>
      <c r="AM820" s="6"/>
      <c r="AN820" s="6"/>
      <c r="AO820" s="6"/>
      <c r="AP820" s="6"/>
      <c r="AQ820" s="6"/>
      <c r="AR820" s="6"/>
      <c r="AS820" s="15"/>
      <c r="AT820" s="6" t="str">
        <f ca="1">IFERROR(__xludf.DUMMYFUNCTION("""COMPUTED_VALUE"""),"#N/A")</f>
        <v>#N/A</v>
      </c>
      <c r="AU820" s="6" t="str">
        <f ca="1">IFERROR(__xludf.DUMMYFUNCTION("""COMPUTED_VALUE"""),"FALSE")</f>
        <v>FALSE</v>
      </c>
      <c r="AV820" s="6">
        <f t="shared" si="63"/>
        <v>0</v>
      </c>
      <c r="AW820" s="6">
        <f t="shared" si="64"/>
        <v>0</v>
      </c>
      <c r="AX820" s="6">
        <f t="shared" si="65"/>
        <v>0</v>
      </c>
      <c r="AY820" s="6">
        <f t="shared" si="66"/>
        <v>0</v>
      </c>
      <c r="AZ820" s="9" t="str">
        <f t="shared" si="67"/>
        <v/>
      </c>
      <c r="BA820" s="6">
        <f t="shared" si="68"/>
        <v>0</v>
      </c>
      <c r="BB820" s="6">
        <f t="shared" si="69"/>
        <v>0</v>
      </c>
      <c r="BC820" s="9" t="str">
        <f t="shared" si="70"/>
        <v/>
      </c>
      <c r="BD820" s="6">
        <f t="shared" si="71"/>
        <v>0</v>
      </c>
      <c r="BE820" s="6">
        <f t="shared" si="72"/>
        <v>0</v>
      </c>
      <c r="BF820" s="9" t="str">
        <f t="shared" si="73"/>
        <v/>
      </c>
      <c r="BG820" s="6">
        <f t="shared" si="74"/>
        <v>0</v>
      </c>
      <c r="BH820" s="6">
        <f t="shared" si="75"/>
        <v>0</v>
      </c>
      <c r="BI820" s="9" t="str">
        <f t="shared" si="76"/>
        <v/>
      </c>
      <c r="BJ820" s="6">
        <f t="shared" si="77"/>
        <v>0</v>
      </c>
      <c r="BK820" s="6">
        <f t="shared" si="78"/>
        <v>0</v>
      </c>
      <c r="BL820" s="6">
        <f t="shared" si="79"/>
        <v>0</v>
      </c>
      <c r="BM820" s="6">
        <f t="shared" si="80"/>
        <v>0</v>
      </c>
      <c r="BN820" s="6">
        <f t="shared" si="81"/>
        <v>0</v>
      </c>
      <c r="BP820" s="6">
        <f t="shared" si="82"/>
        <v>0</v>
      </c>
      <c r="BQ820" s="6" t="b">
        <f ca="1">IFERROR(__xludf.DUMMYFUNCTION("IF(AND(ISERROR(FILTER('Items by Team'!D$2:D3410,'Items by Team'!C$2:C3410 = D820,'Items by Team'!B$2:B3410 = B820)),NOT(A820=""Practice"")),TRUE,FALSE)"),FALSE)</f>
        <v>0</v>
      </c>
      <c r="BR820" s="6">
        <f t="shared" ca="1" si="83"/>
        <v>0</v>
      </c>
    </row>
    <row r="821" spans="1:70">
      <c r="A821" s="6"/>
      <c r="B821" s="6"/>
      <c r="C821" s="6"/>
      <c r="D821" s="6"/>
      <c r="E821" s="6"/>
      <c r="F821" s="6"/>
      <c r="G821" s="6"/>
      <c r="H821" s="6"/>
      <c r="I821" s="6"/>
      <c r="J821" s="6"/>
      <c r="K821" s="6"/>
      <c r="L821" s="6"/>
      <c r="M821" s="6"/>
      <c r="N821" s="6"/>
      <c r="O821" s="6"/>
      <c r="P821" s="6"/>
      <c r="R821" s="6"/>
      <c r="S821" s="6"/>
      <c r="T821" s="6"/>
      <c r="U821" s="6"/>
      <c r="V821" s="6"/>
      <c r="W821" s="6"/>
      <c r="X821" s="6"/>
      <c r="Y821" s="6"/>
      <c r="Z821" s="6"/>
      <c r="AA821" s="6"/>
      <c r="AB821" s="6"/>
      <c r="AD821" s="6"/>
      <c r="AE821" s="6"/>
      <c r="AF821" s="6"/>
      <c r="AG821" s="6"/>
      <c r="AH821" s="6"/>
      <c r="AI821" s="6"/>
      <c r="AK821" s="6"/>
      <c r="AL821" s="6"/>
      <c r="AM821" s="6"/>
      <c r="AN821" s="6"/>
      <c r="AO821" s="6"/>
      <c r="AP821" s="6"/>
      <c r="AQ821" s="6"/>
      <c r="AR821" s="6"/>
      <c r="AS821" s="15"/>
      <c r="AT821" s="6" t="str">
        <f ca="1">IFERROR(__xludf.DUMMYFUNCTION("""COMPUTED_VALUE"""),"#N/A")</f>
        <v>#N/A</v>
      </c>
      <c r="AU821" s="6" t="str">
        <f ca="1">IFERROR(__xludf.DUMMYFUNCTION("""COMPUTED_VALUE"""),"FALSE")</f>
        <v>FALSE</v>
      </c>
      <c r="AV821" s="6">
        <f t="shared" si="63"/>
        <v>0</v>
      </c>
      <c r="AW821" s="6">
        <f t="shared" si="64"/>
        <v>0</v>
      </c>
      <c r="AX821" s="6">
        <f t="shared" si="65"/>
        <v>0</v>
      </c>
      <c r="AY821" s="6">
        <f t="shared" si="66"/>
        <v>0</v>
      </c>
      <c r="AZ821" s="9" t="str">
        <f t="shared" si="67"/>
        <v/>
      </c>
      <c r="BA821" s="6">
        <f t="shared" si="68"/>
        <v>0</v>
      </c>
      <c r="BB821" s="6">
        <f t="shared" si="69"/>
        <v>0</v>
      </c>
      <c r="BC821" s="9" t="str">
        <f t="shared" si="70"/>
        <v/>
      </c>
      <c r="BD821" s="6">
        <f t="shared" si="71"/>
        <v>0</v>
      </c>
      <c r="BE821" s="6">
        <f t="shared" si="72"/>
        <v>0</v>
      </c>
      <c r="BF821" s="9" t="str">
        <f t="shared" si="73"/>
        <v/>
      </c>
      <c r="BG821" s="6">
        <f t="shared" si="74"/>
        <v>0</v>
      </c>
      <c r="BH821" s="6">
        <f t="shared" si="75"/>
        <v>0</v>
      </c>
      <c r="BI821" s="9" t="str">
        <f t="shared" si="76"/>
        <v/>
      </c>
      <c r="BJ821" s="6">
        <f t="shared" si="77"/>
        <v>0</v>
      </c>
      <c r="BK821" s="6">
        <f t="shared" si="78"/>
        <v>0</v>
      </c>
      <c r="BL821" s="6">
        <f t="shared" si="79"/>
        <v>0</v>
      </c>
      <c r="BM821" s="6">
        <f t="shared" si="80"/>
        <v>0</v>
      </c>
      <c r="BN821" s="6">
        <f t="shared" si="81"/>
        <v>0</v>
      </c>
      <c r="BP821" s="6">
        <f t="shared" si="82"/>
        <v>0</v>
      </c>
      <c r="BQ821" s="6" t="b">
        <f ca="1">IFERROR(__xludf.DUMMYFUNCTION("IF(AND(ISERROR(FILTER('Items by Team'!D$2:D3410,'Items by Team'!C$2:C3410 = D821,'Items by Team'!B$2:B3410 = B821)),NOT(A821=""Practice"")),TRUE,FALSE)"),FALSE)</f>
        <v>0</v>
      </c>
      <c r="BR821" s="6">
        <f t="shared" ca="1" si="83"/>
        <v>0</v>
      </c>
    </row>
    <row r="822" spans="1:70">
      <c r="A822" s="6"/>
      <c r="B822" s="6"/>
      <c r="C822" s="6"/>
      <c r="D822" s="6"/>
      <c r="E822" s="6"/>
      <c r="F822" s="6"/>
      <c r="G822" s="6"/>
      <c r="H822" s="6"/>
      <c r="I822" s="6"/>
      <c r="J822" s="6"/>
      <c r="K822" s="6"/>
      <c r="L822" s="6"/>
      <c r="M822" s="6"/>
      <c r="N822" s="6"/>
      <c r="O822" s="6"/>
      <c r="P822" s="6"/>
      <c r="R822" s="6"/>
      <c r="S822" s="6"/>
      <c r="T822" s="6"/>
      <c r="U822" s="6"/>
      <c r="V822" s="6"/>
      <c r="W822" s="6"/>
      <c r="X822" s="6"/>
      <c r="Y822" s="6"/>
      <c r="Z822" s="6"/>
      <c r="AA822" s="6"/>
      <c r="AB822" s="6"/>
      <c r="AD822" s="6"/>
      <c r="AE822" s="6"/>
      <c r="AF822" s="6"/>
      <c r="AG822" s="6"/>
      <c r="AH822" s="6"/>
      <c r="AI822" s="6"/>
      <c r="AK822" s="6"/>
      <c r="AL822" s="6"/>
      <c r="AM822" s="6"/>
      <c r="AN822" s="6"/>
      <c r="AO822" s="6"/>
      <c r="AP822" s="6"/>
      <c r="AQ822" s="6"/>
      <c r="AR822" s="6"/>
      <c r="AS822" s="15"/>
      <c r="AT822" s="6" t="str">
        <f ca="1">IFERROR(__xludf.DUMMYFUNCTION("""COMPUTED_VALUE"""),"#N/A")</f>
        <v>#N/A</v>
      </c>
      <c r="AU822" s="6" t="str">
        <f ca="1">IFERROR(__xludf.DUMMYFUNCTION("""COMPUTED_VALUE"""),"FALSE")</f>
        <v>FALSE</v>
      </c>
      <c r="AV822" s="6">
        <f t="shared" si="63"/>
        <v>0</v>
      </c>
      <c r="AW822" s="6">
        <f t="shared" si="64"/>
        <v>0</v>
      </c>
      <c r="AX822" s="6">
        <f t="shared" si="65"/>
        <v>0</v>
      </c>
      <c r="AY822" s="6">
        <f t="shared" si="66"/>
        <v>0</v>
      </c>
      <c r="AZ822" s="9" t="str">
        <f t="shared" si="67"/>
        <v/>
      </c>
      <c r="BA822" s="6">
        <f t="shared" si="68"/>
        <v>0</v>
      </c>
      <c r="BB822" s="6">
        <f t="shared" si="69"/>
        <v>0</v>
      </c>
      <c r="BC822" s="9" t="str">
        <f t="shared" si="70"/>
        <v/>
      </c>
      <c r="BD822" s="6">
        <f t="shared" si="71"/>
        <v>0</v>
      </c>
      <c r="BE822" s="6">
        <f t="shared" si="72"/>
        <v>0</v>
      </c>
      <c r="BF822" s="9" t="str">
        <f t="shared" si="73"/>
        <v/>
      </c>
      <c r="BG822" s="6">
        <f t="shared" si="74"/>
        <v>0</v>
      </c>
      <c r="BH822" s="6">
        <f t="shared" si="75"/>
        <v>0</v>
      </c>
      <c r="BI822" s="9" t="str">
        <f t="shared" si="76"/>
        <v/>
      </c>
      <c r="BJ822" s="6">
        <f t="shared" si="77"/>
        <v>0</v>
      </c>
      <c r="BK822" s="6">
        <f t="shared" si="78"/>
        <v>0</v>
      </c>
      <c r="BL822" s="6">
        <f t="shared" si="79"/>
        <v>0</v>
      </c>
      <c r="BM822" s="6">
        <f t="shared" si="80"/>
        <v>0</v>
      </c>
      <c r="BN822" s="6">
        <f t="shared" si="81"/>
        <v>0</v>
      </c>
      <c r="BP822" s="6">
        <f t="shared" si="82"/>
        <v>0</v>
      </c>
      <c r="BQ822" s="6" t="b">
        <f ca="1">IFERROR(__xludf.DUMMYFUNCTION("IF(AND(ISERROR(FILTER('Items by Team'!D$2:D3410,'Items by Team'!C$2:C3410 = D822,'Items by Team'!B$2:B3410 = B822)),NOT(A822=""Practice"")),TRUE,FALSE)"),FALSE)</f>
        <v>0</v>
      </c>
      <c r="BR822" s="6">
        <f t="shared" ca="1" si="83"/>
        <v>0</v>
      </c>
    </row>
    <row r="823" spans="1:70">
      <c r="A823" s="6"/>
      <c r="B823" s="6"/>
      <c r="C823" s="6"/>
      <c r="D823" s="6"/>
      <c r="E823" s="6"/>
      <c r="F823" s="6"/>
      <c r="G823" s="6"/>
      <c r="H823" s="6"/>
      <c r="I823" s="6"/>
      <c r="J823" s="6"/>
      <c r="K823" s="6"/>
      <c r="L823" s="6"/>
      <c r="M823" s="6"/>
      <c r="N823" s="6"/>
      <c r="O823" s="6"/>
      <c r="P823" s="6"/>
      <c r="R823" s="6"/>
      <c r="S823" s="6"/>
      <c r="T823" s="6"/>
      <c r="U823" s="6"/>
      <c r="V823" s="6"/>
      <c r="W823" s="6"/>
      <c r="X823" s="6"/>
      <c r="Y823" s="6"/>
      <c r="Z823" s="6"/>
      <c r="AA823" s="6"/>
      <c r="AB823" s="6"/>
      <c r="AD823" s="6"/>
      <c r="AE823" s="6"/>
      <c r="AF823" s="6"/>
      <c r="AG823" s="6"/>
      <c r="AH823" s="6"/>
      <c r="AI823" s="6"/>
      <c r="AK823" s="6"/>
      <c r="AL823" s="6"/>
      <c r="AM823" s="6"/>
      <c r="AN823" s="6"/>
      <c r="AO823" s="6"/>
      <c r="AP823" s="6"/>
      <c r="AQ823" s="6"/>
      <c r="AR823" s="6"/>
      <c r="AS823" s="15"/>
      <c r="AT823" s="6" t="str">
        <f ca="1">IFERROR(__xludf.DUMMYFUNCTION("""COMPUTED_VALUE"""),"#N/A")</f>
        <v>#N/A</v>
      </c>
      <c r="AU823" s="6" t="str">
        <f ca="1">IFERROR(__xludf.DUMMYFUNCTION("""COMPUTED_VALUE"""),"FALSE")</f>
        <v>FALSE</v>
      </c>
      <c r="AV823" s="6">
        <f t="shared" si="63"/>
        <v>0</v>
      </c>
      <c r="AW823" s="6">
        <f t="shared" si="64"/>
        <v>0</v>
      </c>
      <c r="AX823" s="6">
        <f t="shared" si="65"/>
        <v>0</v>
      </c>
      <c r="AY823" s="6">
        <f t="shared" si="66"/>
        <v>0</v>
      </c>
      <c r="AZ823" s="9" t="str">
        <f t="shared" si="67"/>
        <v/>
      </c>
      <c r="BA823" s="6">
        <f t="shared" si="68"/>
        <v>0</v>
      </c>
      <c r="BB823" s="6">
        <f t="shared" si="69"/>
        <v>0</v>
      </c>
      <c r="BC823" s="9" t="str">
        <f t="shared" si="70"/>
        <v/>
      </c>
      <c r="BD823" s="6">
        <f t="shared" si="71"/>
        <v>0</v>
      </c>
      <c r="BE823" s="6">
        <f t="shared" si="72"/>
        <v>0</v>
      </c>
      <c r="BF823" s="9" t="str">
        <f t="shared" si="73"/>
        <v/>
      </c>
      <c r="BG823" s="6">
        <f t="shared" si="74"/>
        <v>0</v>
      </c>
      <c r="BH823" s="6">
        <f t="shared" si="75"/>
        <v>0</v>
      </c>
      <c r="BI823" s="9" t="str">
        <f t="shared" si="76"/>
        <v/>
      </c>
      <c r="BJ823" s="6">
        <f t="shared" si="77"/>
        <v>0</v>
      </c>
      <c r="BK823" s="6">
        <f t="shared" si="78"/>
        <v>0</v>
      </c>
      <c r="BL823" s="6">
        <f t="shared" si="79"/>
        <v>0</v>
      </c>
      <c r="BM823" s="6">
        <f t="shared" si="80"/>
        <v>0</v>
      </c>
      <c r="BN823" s="6">
        <f t="shared" si="81"/>
        <v>0</v>
      </c>
      <c r="BP823" s="6">
        <f t="shared" si="82"/>
        <v>0</v>
      </c>
      <c r="BQ823" s="6" t="b">
        <f ca="1">IFERROR(__xludf.DUMMYFUNCTION("IF(AND(ISERROR(FILTER('Items by Team'!D$2:D3410,'Items by Team'!C$2:C3410 = D823,'Items by Team'!B$2:B3410 = B823)),NOT(A823=""Practice"")),TRUE,FALSE)"),FALSE)</f>
        <v>0</v>
      </c>
      <c r="BR823" s="6">
        <f t="shared" ca="1" si="83"/>
        <v>0</v>
      </c>
    </row>
    <row r="824" spans="1:70">
      <c r="A824" s="6"/>
      <c r="B824" s="6"/>
      <c r="C824" s="6"/>
      <c r="D824" s="6"/>
      <c r="E824" s="6"/>
      <c r="F824" s="6"/>
      <c r="G824" s="6"/>
      <c r="H824" s="6"/>
      <c r="I824" s="6"/>
      <c r="J824" s="6"/>
      <c r="K824" s="6"/>
      <c r="L824" s="6"/>
      <c r="M824" s="6"/>
      <c r="N824" s="6"/>
      <c r="O824" s="6"/>
      <c r="P824" s="6"/>
      <c r="R824" s="6"/>
      <c r="S824" s="6"/>
      <c r="T824" s="6"/>
      <c r="U824" s="6"/>
      <c r="V824" s="6"/>
      <c r="W824" s="6"/>
      <c r="X824" s="6"/>
      <c r="Y824" s="6"/>
      <c r="Z824" s="6"/>
      <c r="AA824" s="6"/>
      <c r="AB824" s="6"/>
      <c r="AD824" s="6"/>
      <c r="AE824" s="6"/>
      <c r="AF824" s="6"/>
      <c r="AG824" s="6"/>
      <c r="AH824" s="6"/>
      <c r="AI824" s="6"/>
      <c r="AK824" s="6"/>
      <c r="AL824" s="6"/>
      <c r="AM824" s="6"/>
      <c r="AN824" s="6"/>
      <c r="AO824" s="6"/>
      <c r="AP824" s="6"/>
      <c r="AQ824" s="6"/>
      <c r="AR824" s="6"/>
      <c r="AS824" s="15"/>
      <c r="AT824" s="6" t="str">
        <f ca="1">IFERROR(__xludf.DUMMYFUNCTION("""COMPUTED_VALUE"""),"#N/A")</f>
        <v>#N/A</v>
      </c>
      <c r="AU824" s="6" t="str">
        <f ca="1">IFERROR(__xludf.DUMMYFUNCTION("""COMPUTED_VALUE"""),"FALSE")</f>
        <v>FALSE</v>
      </c>
      <c r="AV824" s="6">
        <f t="shared" si="63"/>
        <v>0</v>
      </c>
      <c r="AW824" s="6">
        <f t="shared" si="64"/>
        <v>0</v>
      </c>
      <c r="AX824" s="6">
        <f t="shared" si="65"/>
        <v>0</v>
      </c>
      <c r="AY824" s="6">
        <f t="shared" si="66"/>
        <v>0</v>
      </c>
      <c r="AZ824" s="9" t="str">
        <f t="shared" si="67"/>
        <v/>
      </c>
      <c r="BA824" s="6">
        <f t="shared" si="68"/>
        <v>0</v>
      </c>
      <c r="BB824" s="6">
        <f t="shared" si="69"/>
        <v>0</v>
      </c>
      <c r="BC824" s="9" t="str">
        <f t="shared" si="70"/>
        <v/>
      </c>
      <c r="BD824" s="6">
        <f t="shared" si="71"/>
        <v>0</v>
      </c>
      <c r="BE824" s="6">
        <f t="shared" si="72"/>
        <v>0</v>
      </c>
      <c r="BF824" s="9" t="str">
        <f t="shared" si="73"/>
        <v/>
      </c>
      <c r="BG824" s="6">
        <f t="shared" si="74"/>
        <v>0</v>
      </c>
      <c r="BH824" s="6">
        <f t="shared" si="75"/>
        <v>0</v>
      </c>
      <c r="BI824" s="9" t="str">
        <f t="shared" si="76"/>
        <v/>
      </c>
      <c r="BJ824" s="6">
        <f t="shared" si="77"/>
        <v>0</v>
      </c>
      <c r="BK824" s="6">
        <f t="shared" si="78"/>
        <v>0</v>
      </c>
      <c r="BL824" s="6">
        <f t="shared" si="79"/>
        <v>0</v>
      </c>
      <c r="BM824" s="6">
        <f t="shared" si="80"/>
        <v>0</v>
      </c>
      <c r="BN824" s="6">
        <f t="shared" si="81"/>
        <v>0</v>
      </c>
      <c r="BP824" s="6">
        <f t="shared" si="82"/>
        <v>0</v>
      </c>
      <c r="BQ824" s="6" t="b">
        <f ca="1">IFERROR(__xludf.DUMMYFUNCTION("IF(AND(ISERROR(FILTER('Items by Team'!D$2:D3410,'Items by Team'!C$2:C3410 = D824,'Items by Team'!B$2:B3410 = B824)),NOT(A824=""Practice"")),TRUE,FALSE)"),FALSE)</f>
        <v>0</v>
      </c>
      <c r="BR824" s="6">
        <f t="shared" ca="1" si="83"/>
        <v>0</v>
      </c>
    </row>
    <row r="825" spans="1:70">
      <c r="A825" s="6"/>
      <c r="B825" s="6"/>
      <c r="C825" s="6"/>
      <c r="D825" s="6"/>
      <c r="E825" s="6"/>
      <c r="F825" s="6"/>
      <c r="G825" s="6"/>
      <c r="H825" s="6"/>
      <c r="I825" s="6"/>
      <c r="J825" s="6"/>
      <c r="K825" s="6"/>
      <c r="L825" s="6"/>
      <c r="M825" s="6"/>
      <c r="N825" s="6"/>
      <c r="O825" s="6"/>
      <c r="P825" s="6"/>
      <c r="R825" s="6"/>
      <c r="S825" s="6"/>
      <c r="T825" s="6"/>
      <c r="U825" s="6"/>
      <c r="V825" s="6"/>
      <c r="W825" s="6"/>
      <c r="X825" s="6"/>
      <c r="Y825" s="6"/>
      <c r="Z825" s="6"/>
      <c r="AA825" s="6"/>
      <c r="AB825" s="6"/>
      <c r="AD825" s="6"/>
      <c r="AE825" s="6"/>
      <c r="AF825" s="6"/>
      <c r="AG825" s="6"/>
      <c r="AH825" s="6"/>
      <c r="AI825" s="6"/>
      <c r="AK825" s="6"/>
      <c r="AL825" s="6"/>
      <c r="AM825" s="6"/>
      <c r="AN825" s="6"/>
      <c r="AO825" s="6"/>
      <c r="AP825" s="6"/>
      <c r="AQ825" s="6"/>
      <c r="AR825" s="6"/>
      <c r="AS825" s="15"/>
      <c r="AT825" s="6" t="str">
        <f ca="1">IFERROR(__xludf.DUMMYFUNCTION("""COMPUTED_VALUE"""),"#N/A")</f>
        <v>#N/A</v>
      </c>
      <c r="AU825" s="6" t="str">
        <f ca="1">IFERROR(__xludf.DUMMYFUNCTION("""COMPUTED_VALUE"""),"FALSE")</f>
        <v>FALSE</v>
      </c>
      <c r="AV825" s="6">
        <f t="shared" si="63"/>
        <v>0</v>
      </c>
      <c r="AW825" s="6">
        <f t="shared" si="64"/>
        <v>0</v>
      </c>
      <c r="AX825" s="6">
        <f t="shared" si="65"/>
        <v>0</v>
      </c>
      <c r="AY825" s="6">
        <f t="shared" si="66"/>
        <v>0</v>
      </c>
      <c r="AZ825" s="9" t="str">
        <f t="shared" si="67"/>
        <v/>
      </c>
      <c r="BA825" s="6">
        <f t="shared" si="68"/>
        <v>0</v>
      </c>
      <c r="BB825" s="6">
        <f t="shared" si="69"/>
        <v>0</v>
      </c>
      <c r="BC825" s="9" t="str">
        <f t="shared" si="70"/>
        <v/>
      </c>
      <c r="BD825" s="6">
        <f t="shared" si="71"/>
        <v>0</v>
      </c>
      <c r="BE825" s="6">
        <f t="shared" si="72"/>
        <v>0</v>
      </c>
      <c r="BF825" s="9" t="str">
        <f t="shared" si="73"/>
        <v/>
      </c>
      <c r="BG825" s="6">
        <f t="shared" si="74"/>
        <v>0</v>
      </c>
      <c r="BH825" s="6">
        <f t="shared" si="75"/>
        <v>0</v>
      </c>
      <c r="BI825" s="9" t="str">
        <f t="shared" si="76"/>
        <v/>
      </c>
      <c r="BJ825" s="6">
        <f t="shared" si="77"/>
        <v>0</v>
      </c>
      <c r="BK825" s="6">
        <f t="shared" si="78"/>
        <v>0</v>
      </c>
      <c r="BL825" s="6">
        <f t="shared" si="79"/>
        <v>0</v>
      </c>
      <c r="BM825" s="6">
        <f t="shared" si="80"/>
        <v>0</v>
      </c>
      <c r="BN825" s="6">
        <f t="shared" si="81"/>
        <v>0</v>
      </c>
      <c r="BP825" s="6">
        <f t="shared" si="82"/>
        <v>0</v>
      </c>
      <c r="BQ825" s="6" t="b">
        <f ca="1">IFERROR(__xludf.DUMMYFUNCTION("IF(AND(ISERROR(FILTER('Items by Team'!D$2:D3410,'Items by Team'!C$2:C3410 = D825,'Items by Team'!B$2:B3410 = B825)),NOT(A825=""Practice"")),TRUE,FALSE)"),FALSE)</f>
        <v>0</v>
      </c>
      <c r="BR825" s="6">
        <f t="shared" ca="1" si="83"/>
        <v>0</v>
      </c>
    </row>
    <row r="826" spans="1:70">
      <c r="A826" s="6"/>
      <c r="B826" s="6"/>
      <c r="C826" s="6"/>
      <c r="D826" s="6"/>
      <c r="E826" s="6"/>
      <c r="F826" s="6"/>
      <c r="G826" s="6"/>
      <c r="H826" s="6"/>
      <c r="I826" s="6"/>
      <c r="J826" s="6"/>
      <c r="K826" s="6"/>
      <c r="L826" s="6"/>
      <c r="M826" s="6"/>
      <c r="N826" s="6"/>
      <c r="O826" s="6"/>
      <c r="P826" s="6"/>
      <c r="R826" s="6"/>
      <c r="S826" s="6"/>
      <c r="T826" s="6"/>
      <c r="U826" s="6"/>
      <c r="V826" s="6"/>
      <c r="W826" s="6"/>
      <c r="X826" s="6"/>
      <c r="Y826" s="6"/>
      <c r="Z826" s="6"/>
      <c r="AA826" s="6"/>
      <c r="AB826" s="6"/>
      <c r="AD826" s="6"/>
      <c r="AE826" s="6"/>
      <c r="AF826" s="6"/>
      <c r="AG826" s="6"/>
      <c r="AH826" s="6"/>
      <c r="AI826" s="6"/>
      <c r="AK826" s="6"/>
      <c r="AL826" s="6"/>
      <c r="AM826" s="6"/>
      <c r="AN826" s="6"/>
      <c r="AO826" s="6"/>
      <c r="AP826" s="6"/>
      <c r="AQ826" s="6"/>
      <c r="AR826" s="6"/>
      <c r="AS826" s="15"/>
      <c r="AT826" s="6" t="str">
        <f ca="1">IFERROR(__xludf.DUMMYFUNCTION("""COMPUTED_VALUE"""),"#N/A")</f>
        <v>#N/A</v>
      </c>
      <c r="AU826" s="6" t="str">
        <f ca="1">IFERROR(__xludf.DUMMYFUNCTION("""COMPUTED_VALUE"""),"FALSE")</f>
        <v>FALSE</v>
      </c>
      <c r="AV826" s="6">
        <f t="shared" si="63"/>
        <v>0</v>
      </c>
      <c r="AW826" s="6">
        <f t="shared" si="64"/>
        <v>0</v>
      </c>
      <c r="AX826" s="6">
        <f t="shared" si="65"/>
        <v>0</v>
      </c>
      <c r="AY826" s="6">
        <f t="shared" si="66"/>
        <v>0</v>
      </c>
      <c r="AZ826" s="9" t="str">
        <f t="shared" si="67"/>
        <v/>
      </c>
      <c r="BA826" s="6">
        <f t="shared" si="68"/>
        <v>0</v>
      </c>
      <c r="BB826" s="6">
        <f t="shared" si="69"/>
        <v>0</v>
      </c>
      <c r="BC826" s="9" t="str">
        <f t="shared" si="70"/>
        <v/>
      </c>
      <c r="BD826" s="6">
        <f t="shared" si="71"/>
        <v>0</v>
      </c>
      <c r="BE826" s="6">
        <f t="shared" si="72"/>
        <v>0</v>
      </c>
      <c r="BF826" s="9" t="str">
        <f t="shared" si="73"/>
        <v/>
      </c>
      <c r="BG826" s="6">
        <f t="shared" si="74"/>
        <v>0</v>
      </c>
      <c r="BH826" s="6">
        <f t="shared" si="75"/>
        <v>0</v>
      </c>
      <c r="BI826" s="9" t="str">
        <f t="shared" si="76"/>
        <v/>
      </c>
      <c r="BJ826" s="6">
        <f t="shared" si="77"/>
        <v>0</v>
      </c>
      <c r="BK826" s="6">
        <f t="shared" si="78"/>
        <v>0</v>
      </c>
      <c r="BL826" s="6">
        <f t="shared" si="79"/>
        <v>0</v>
      </c>
      <c r="BM826" s="6">
        <f t="shared" si="80"/>
        <v>0</v>
      </c>
      <c r="BN826" s="6">
        <f t="shared" si="81"/>
        <v>0</v>
      </c>
      <c r="BP826" s="6">
        <f t="shared" si="82"/>
        <v>0</v>
      </c>
      <c r="BQ826" s="6" t="b">
        <f ca="1">IFERROR(__xludf.DUMMYFUNCTION("IF(AND(ISERROR(FILTER('Items by Team'!D$2:D3410,'Items by Team'!C$2:C3410 = D826,'Items by Team'!B$2:B3410 = B826)),NOT(A826=""Practice"")),TRUE,FALSE)"),FALSE)</f>
        <v>0</v>
      </c>
      <c r="BR826" s="6">
        <f t="shared" ca="1" si="83"/>
        <v>0</v>
      </c>
    </row>
    <row r="827" spans="1:70">
      <c r="A827" s="6"/>
      <c r="B827" s="6"/>
      <c r="C827" s="6"/>
      <c r="D827" s="6"/>
      <c r="E827" s="6"/>
      <c r="F827" s="6"/>
      <c r="G827" s="6"/>
      <c r="H827" s="6"/>
      <c r="I827" s="6"/>
      <c r="J827" s="6"/>
      <c r="K827" s="6"/>
      <c r="L827" s="6"/>
      <c r="M827" s="6"/>
      <c r="N827" s="6"/>
      <c r="O827" s="6"/>
      <c r="P827" s="6"/>
      <c r="R827" s="6"/>
      <c r="S827" s="6"/>
      <c r="T827" s="6"/>
      <c r="U827" s="6"/>
      <c r="V827" s="6"/>
      <c r="W827" s="6"/>
      <c r="X827" s="6"/>
      <c r="Y827" s="6"/>
      <c r="Z827" s="6"/>
      <c r="AA827" s="6"/>
      <c r="AB827" s="6"/>
      <c r="AD827" s="6"/>
      <c r="AE827" s="6"/>
      <c r="AF827" s="6"/>
      <c r="AG827" s="6"/>
      <c r="AH827" s="6"/>
      <c r="AI827" s="6"/>
      <c r="AK827" s="6"/>
      <c r="AL827" s="6"/>
      <c r="AM827" s="6"/>
      <c r="AN827" s="6"/>
      <c r="AO827" s="6"/>
      <c r="AP827" s="6"/>
      <c r="AQ827" s="6"/>
      <c r="AR827" s="6"/>
      <c r="AS827" s="15"/>
      <c r="AT827" s="6" t="str">
        <f ca="1">IFERROR(__xludf.DUMMYFUNCTION("""COMPUTED_VALUE"""),"#N/A")</f>
        <v>#N/A</v>
      </c>
      <c r="AU827" s="6" t="str">
        <f ca="1">IFERROR(__xludf.DUMMYFUNCTION("""COMPUTED_VALUE"""),"FALSE")</f>
        <v>FALSE</v>
      </c>
      <c r="AV827" s="6">
        <f t="shared" si="63"/>
        <v>0</v>
      </c>
      <c r="AW827" s="6">
        <f t="shared" si="64"/>
        <v>0</v>
      </c>
      <c r="AX827" s="6">
        <f t="shared" si="65"/>
        <v>0</v>
      </c>
      <c r="AY827" s="6">
        <f t="shared" si="66"/>
        <v>0</v>
      </c>
      <c r="AZ827" s="9" t="str">
        <f t="shared" si="67"/>
        <v/>
      </c>
      <c r="BA827" s="6">
        <f t="shared" si="68"/>
        <v>0</v>
      </c>
      <c r="BB827" s="6">
        <f t="shared" si="69"/>
        <v>0</v>
      </c>
      <c r="BC827" s="9" t="str">
        <f t="shared" si="70"/>
        <v/>
      </c>
      <c r="BD827" s="6">
        <f t="shared" si="71"/>
        <v>0</v>
      </c>
      <c r="BE827" s="6">
        <f t="shared" si="72"/>
        <v>0</v>
      </c>
      <c r="BF827" s="9" t="str">
        <f t="shared" si="73"/>
        <v/>
      </c>
      <c r="BG827" s="6">
        <f t="shared" si="74"/>
        <v>0</v>
      </c>
      <c r="BH827" s="6">
        <f t="shared" si="75"/>
        <v>0</v>
      </c>
      <c r="BI827" s="9" t="str">
        <f t="shared" si="76"/>
        <v/>
      </c>
      <c r="BJ827" s="6">
        <f t="shared" si="77"/>
        <v>0</v>
      </c>
      <c r="BK827" s="6">
        <f t="shared" si="78"/>
        <v>0</v>
      </c>
      <c r="BL827" s="6">
        <f t="shared" si="79"/>
        <v>0</v>
      </c>
      <c r="BM827" s="6">
        <f t="shared" si="80"/>
        <v>0</v>
      </c>
      <c r="BN827" s="6">
        <f t="shared" si="81"/>
        <v>0</v>
      </c>
      <c r="BP827" s="6">
        <f t="shared" si="82"/>
        <v>0</v>
      </c>
      <c r="BQ827" s="6" t="b">
        <f ca="1">IFERROR(__xludf.DUMMYFUNCTION("IF(AND(ISERROR(FILTER('Items by Team'!D$2:D3410,'Items by Team'!C$2:C3410 = D827,'Items by Team'!B$2:B3410 = B827)),NOT(A827=""Practice"")),TRUE,FALSE)"),FALSE)</f>
        <v>0</v>
      </c>
      <c r="BR827" s="6">
        <f t="shared" ca="1" si="83"/>
        <v>0</v>
      </c>
    </row>
    <row r="828" spans="1:70">
      <c r="A828" s="6"/>
      <c r="B828" s="6"/>
      <c r="C828" s="6"/>
      <c r="D828" s="6"/>
      <c r="E828" s="6"/>
      <c r="F828" s="6"/>
      <c r="G828" s="6"/>
      <c r="H828" s="6"/>
      <c r="I828" s="6"/>
      <c r="J828" s="6"/>
      <c r="K828" s="6"/>
      <c r="L828" s="6"/>
      <c r="M828" s="6"/>
      <c r="N828" s="6"/>
      <c r="O828" s="6"/>
      <c r="P828" s="6"/>
      <c r="R828" s="6"/>
      <c r="S828" s="6"/>
      <c r="T828" s="6"/>
      <c r="U828" s="6"/>
      <c r="V828" s="6"/>
      <c r="W828" s="6"/>
      <c r="X828" s="6"/>
      <c r="Y828" s="6"/>
      <c r="Z828" s="6"/>
      <c r="AA828" s="6"/>
      <c r="AB828" s="6"/>
      <c r="AD828" s="6"/>
      <c r="AE828" s="6"/>
      <c r="AF828" s="6"/>
      <c r="AG828" s="6"/>
      <c r="AH828" s="6"/>
      <c r="AI828" s="6"/>
      <c r="AK828" s="6"/>
      <c r="AL828" s="6"/>
      <c r="AM828" s="6"/>
      <c r="AN828" s="6"/>
      <c r="AO828" s="6"/>
      <c r="AP828" s="6"/>
      <c r="AQ828" s="6"/>
      <c r="AR828" s="6"/>
      <c r="AS828" s="15"/>
      <c r="AT828" s="6" t="str">
        <f ca="1">IFERROR(__xludf.DUMMYFUNCTION("""COMPUTED_VALUE"""),"#N/A")</f>
        <v>#N/A</v>
      </c>
      <c r="AU828" s="6" t="str">
        <f ca="1">IFERROR(__xludf.DUMMYFUNCTION("""COMPUTED_VALUE"""),"FALSE")</f>
        <v>FALSE</v>
      </c>
      <c r="AV828" s="6">
        <f t="shared" si="63"/>
        <v>0</v>
      </c>
      <c r="AW828" s="6">
        <f t="shared" si="64"/>
        <v>0</v>
      </c>
      <c r="AX828" s="6">
        <f t="shared" si="65"/>
        <v>0</v>
      </c>
      <c r="AY828" s="6">
        <f t="shared" si="66"/>
        <v>0</v>
      </c>
      <c r="AZ828" s="9" t="str">
        <f t="shared" si="67"/>
        <v/>
      </c>
      <c r="BA828" s="6">
        <f t="shared" si="68"/>
        <v>0</v>
      </c>
      <c r="BB828" s="6">
        <f t="shared" si="69"/>
        <v>0</v>
      </c>
      <c r="BC828" s="9" t="str">
        <f t="shared" si="70"/>
        <v/>
      </c>
      <c r="BD828" s="6">
        <f t="shared" si="71"/>
        <v>0</v>
      </c>
      <c r="BE828" s="6">
        <f t="shared" si="72"/>
        <v>0</v>
      </c>
      <c r="BF828" s="9" t="str">
        <f t="shared" si="73"/>
        <v/>
      </c>
      <c r="BG828" s="6">
        <f t="shared" si="74"/>
        <v>0</v>
      </c>
      <c r="BH828" s="6">
        <f t="shared" si="75"/>
        <v>0</v>
      </c>
      <c r="BI828" s="9" t="str">
        <f t="shared" si="76"/>
        <v/>
      </c>
      <c r="BJ828" s="6">
        <f t="shared" si="77"/>
        <v>0</v>
      </c>
      <c r="BK828" s="6">
        <f t="shared" si="78"/>
        <v>0</v>
      </c>
      <c r="BL828" s="6">
        <f t="shared" si="79"/>
        <v>0</v>
      </c>
      <c r="BM828" s="6">
        <f t="shared" si="80"/>
        <v>0</v>
      </c>
      <c r="BN828" s="6">
        <f t="shared" si="81"/>
        <v>0</v>
      </c>
      <c r="BP828" s="6">
        <f t="shared" si="82"/>
        <v>0</v>
      </c>
      <c r="BQ828" s="6" t="b">
        <f ca="1">IFERROR(__xludf.DUMMYFUNCTION("IF(AND(ISERROR(FILTER('Items by Team'!D$2:D3410,'Items by Team'!C$2:C3410 = D828,'Items by Team'!B$2:B3410 = B828)),NOT(A828=""Practice"")),TRUE,FALSE)"),FALSE)</f>
        <v>0</v>
      </c>
      <c r="BR828" s="6">
        <f t="shared" ca="1" si="83"/>
        <v>0</v>
      </c>
    </row>
    <row r="829" spans="1:70">
      <c r="A829" s="6"/>
      <c r="B829" s="6"/>
      <c r="C829" s="6"/>
      <c r="D829" s="6"/>
      <c r="E829" s="6"/>
      <c r="F829" s="6"/>
      <c r="G829" s="6"/>
      <c r="H829" s="6"/>
      <c r="I829" s="6"/>
      <c r="J829" s="6"/>
      <c r="K829" s="6"/>
      <c r="L829" s="6"/>
      <c r="M829" s="6"/>
      <c r="N829" s="6"/>
      <c r="O829" s="6"/>
      <c r="P829" s="6"/>
      <c r="R829" s="6"/>
      <c r="S829" s="6"/>
      <c r="T829" s="6"/>
      <c r="U829" s="6"/>
      <c r="V829" s="6"/>
      <c r="W829" s="6"/>
      <c r="X829" s="6"/>
      <c r="Y829" s="6"/>
      <c r="Z829" s="6"/>
      <c r="AA829" s="6"/>
      <c r="AB829" s="6"/>
      <c r="AD829" s="6"/>
      <c r="AE829" s="6"/>
      <c r="AF829" s="6"/>
      <c r="AG829" s="6"/>
      <c r="AH829" s="6"/>
      <c r="AI829" s="6"/>
      <c r="AK829" s="6"/>
      <c r="AL829" s="6"/>
      <c r="AM829" s="6"/>
      <c r="AN829" s="6"/>
      <c r="AO829" s="6"/>
      <c r="AP829" s="6"/>
      <c r="AQ829" s="6"/>
      <c r="AR829" s="6"/>
      <c r="AS829" s="15"/>
      <c r="AT829" s="6" t="str">
        <f ca="1">IFERROR(__xludf.DUMMYFUNCTION("""COMPUTED_VALUE"""),"#N/A")</f>
        <v>#N/A</v>
      </c>
      <c r="AU829" s="6" t="str">
        <f ca="1">IFERROR(__xludf.DUMMYFUNCTION("""COMPUTED_VALUE"""),"FALSE")</f>
        <v>FALSE</v>
      </c>
      <c r="AV829" s="6">
        <f t="shared" si="63"/>
        <v>0</v>
      </c>
      <c r="AW829" s="6">
        <f t="shared" si="64"/>
        <v>0</v>
      </c>
      <c r="AX829" s="6">
        <f t="shared" si="65"/>
        <v>0</v>
      </c>
      <c r="AY829" s="6">
        <f t="shared" si="66"/>
        <v>0</v>
      </c>
      <c r="AZ829" s="9" t="str">
        <f t="shared" si="67"/>
        <v/>
      </c>
      <c r="BA829" s="6">
        <f t="shared" si="68"/>
        <v>0</v>
      </c>
      <c r="BB829" s="6">
        <f t="shared" si="69"/>
        <v>0</v>
      </c>
      <c r="BC829" s="9" t="str">
        <f t="shared" si="70"/>
        <v/>
      </c>
      <c r="BD829" s="6">
        <f t="shared" si="71"/>
        <v>0</v>
      </c>
      <c r="BE829" s="6">
        <f t="shared" si="72"/>
        <v>0</v>
      </c>
      <c r="BF829" s="9" t="str">
        <f t="shared" si="73"/>
        <v/>
      </c>
      <c r="BG829" s="6">
        <f t="shared" si="74"/>
        <v>0</v>
      </c>
      <c r="BH829" s="6">
        <f t="shared" si="75"/>
        <v>0</v>
      </c>
      <c r="BI829" s="9" t="str">
        <f t="shared" si="76"/>
        <v/>
      </c>
      <c r="BJ829" s="6">
        <f t="shared" si="77"/>
        <v>0</v>
      </c>
      <c r="BK829" s="6">
        <f t="shared" si="78"/>
        <v>0</v>
      </c>
      <c r="BL829" s="6">
        <f t="shared" si="79"/>
        <v>0</v>
      </c>
      <c r="BM829" s="6">
        <f t="shared" si="80"/>
        <v>0</v>
      </c>
      <c r="BN829" s="6">
        <f t="shared" si="81"/>
        <v>0</v>
      </c>
      <c r="BP829" s="6">
        <f t="shared" si="82"/>
        <v>0</v>
      </c>
      <c r="BQ829" s="6" t="b">
        <f ca="1">IFERROR(__xludf.DUMMYFUNCTION("IF(AND(ISERROR(FILTER('Items by Team'!D$2:D3410,'Items by Team'!C$2:C3410 = D829,'Items by Team'!B$2:B3410 = B829)),NOT(A829=""Practice"")),TRUE,FALSE)"),FALSE)</f>
        <v>0</v>
      </c>
      <c r="BR829" s="6">
        <f t="shared" ca="1" si="83"/>
        <v>0</v>
      </c>
    </row>
    <row r="830" spans="1:70">
      <c r="A830" s="6"/>
      <c r="B830" s="6"/>
      <c r="C830" s="6"/>
      <c r="D830" s="6"/>
      <c r="E830" s="6"/>
      <c r="F830" s="6"/>
      <c r="G830" s="6"/>
      <c r="H830" s="6"/>
      <c r="I830" s="6"/>
      <c r="J830" s="6"/>
      <c r="K830" s="6"/>
      <c r="L830" s="6"/>
      <c r="M830" s="6"/>
      <c r="N830" s="6"/>
      <c r="O830" s="6"/>
      <c r="P830" s="6"/>
      <c r="R830" s="6"/>
      <c r="S830" s="6"/>
      <c r="T830" s="6"/>
      <c r="U830" s="6"/>
      <c r="V830" s="6"/>
      <c r="W830" s="6"/>
      <c r="X830" s="6"/>
      <c r="Y830" s="6"/>
      <c r="Z830" s="6"/>
      <c r="AA830" s="6"/>
      <c r="AB830" s="6"/>
      <c r="AD830" s="6"/>
      <c r="AE830" s="6"/>
      <c r="AF830" s="6"/>
      <c r="AG830" s="6"/>
      <c r="AH830" s="6"/>
      <c r="AI830" s="6"/>
      <c r="AK830" s="6"/>
      <c r="AL830" s="6"/>
      <c r="AM830" s="6"/>
      <c r="AN830" s="6"/>
      <c r="AO830" s="6"/>
      <c r="AP830" s="6"/>
      <c r="AQ830" s="6"/>
      <c r="AR830" s="6"/>
      <c r="AS830" s="15"/>
      <c r="AT830" s="6" t="str">
        <f ca="1">IFERROR(__xludf.DUMMYFUNCTION("""COMPUTED_VALUE"""),"#N/A")</f>
        <v>#N/A</v>
      </c>
      <c r="AU830" s="6" t="str">
        <f ca="1">IFERROR(__xludf.DUMMYFUNCTION("""COMPUTED_VALUE"""),"FALSE")</f>
        <v>FALSE</v>
      </c>
      <c r="AV830" s="6">
        <f t="shared" si="63"/>
        <v>0</v>
      </c>
      <c r="AW830" s="6">
        <f t="shared" si="64"/>
        <v>0</v>
      </c>
      <c r="AX830" s="6">
        <f t="shared" si="65"/>
        <v>0</v>
      </c>
      <c r="AY830" s="6">
        <f t="shared" si="66"/>
        <v>0</v>
      </c>
      <c r="AZ830" s="9" t="str">
        <f t="shared" si="67"/>
        <v/>
      </c>
      <c r="BA830" s="6">
        <f t="shared" si="68"/>
        <v>0</v>
      </c>
      <c r="BB830" s="6">
        <f t="shared" si="69"/>
        <v>0</v>
      </c>
      <c r="BC830" s="9" t="str">
        <f t="shared" si="70"/>
        <v/>
      </c>
      <c r="BD830" s="6">
        <f t="shared" si="71"/>
        <v>0</v>
      </c>
      <c r="BE830" s="6">
        <f t="shared" si="72"/>
        <v>0</v>
      </c>
      <c r="BF830" s="9" t="str">
        <f t="shared" si="73"/>
        <v/>
      </c>
      <c r="BG830" s="6">
        <f t="shared" si="74"/>
        <v>0</v>
      </c>
      <c r="BH830" s="6">
        <f t="shared" si="75"/>
        <v>0</v>
      </c>
      <c r="BI830" s="9" t="str">
        <f t="shared" si="76"/>
        <v/>
      </c>
      <c r="BJ830" s="6">
        <f t="shared" si="77"/>
        <v>0</v>
      </c>
      <c r="BK830" s="6">
        <f t="shared" si="78"/>
        <v>0</v>
      </c>
      <c r="BL830" s="6">
        <f t="shared" si="79"/>
        <v>0</v>
      </c>
      <c r="BM830" s="6">
        <f t="shared" si="80"/>
        <v>0</v>
      </c>
      <c r="BN830" s="6">
        <f t="shared" si="81"/>
        <v>0</v>
      </c>
      <c r="BP830" s="6">
        <f t="shared" si="82"/>
        <v>0</v>
      </c>
      <c r="BQ830" s="6" t="b">
        <f ca="1">IFERROR(__xludf.DUMMYFUNCTION("IF(AND(ISERROR(FILTER('Items by Team'!D$2:D3410,'Items by Team'!C$2:C3410 = D830,'Items by Team'!B$2:B3410 = B830)),NOT(A830=""Practice"")),TRUE,FALSE)"),FALSE)</f>
        <v>0</v>
      </c>
      <c r="BR830" s="6">
        <f t="shared" ca="1" si="83"/>
        <v>0</v>
      </c>
    </row>
    <row r="831" spans="1:70">
      <c r="A831" s="6"/>
      <c r="B831" s="6"/>
      <c r="C831" s="6"/>
      <c r="D831" s="6"/>
      <c r="E831" s="6"/>
      <c r="F831" s="6"/>
      <c r="G831" s="6"/>
      <c r="H831" s="6"/>
      <c r="I831" s="6"/>
      <c r="J831" s="6"/>
      <c r="K831" s="6"/>
      <c r="L831" s="6"/>
      <c r="M831" s="6"/>
      <c r="N831" s="6"/>
      <c r="O831" s="6"/>
      <c r="P831" s="6"/>
      <c r="R831" s="6"/>
      <c r="S831" s="6"/>
      <c r="T831" s="6"/>
      <c r="U831" s="6"/>
      <c r="V831" s="6"/>
      <c r="W831" s="6"/>
      <c r="X831" s="6"/>
      <c r="Y831" s="6"/>
      <c r="Z831" s="6"/>
      <c r="AA831" s="6"/>
      <c r="AB831" s="6"/>
      <c r="AD831" s="6"/>
      <c r="AE831" s="6"/>
      <c r="AF831" s="6"/>
      <c r="AG831" s="6"/>
      <c r="AH831" s="6"/>
      <c r="AI831" s="6"/>
      <c r="AK831" s="6"/>
      <c r="AL831" s="6"/>
      <c r="AM831" s="6"/>
      <c r="AN831" s="6"/>
      <c r="AO831" s="6"/>
      <c r="AP831" s="6"/>
      <c r="AQ831" s="6"/>
      <c r="AR831" s="6"/>
      <c r="AS831" s="15"/>
      <c r="AT831" s="6" t="str">
        <f ca="1">IFERROR(__xludf.DUMMYFUNCTION("""COMPUTED_VALUE"""),"#N/A")</f>
        <v>#N/A</v>
      </c>
      <c r="AU831" s="6" t="str">
        <f ca="1">IFERROR(__xludf.DUMMYFUNCTION("""COMPUTED_VALUE"""),"FALSE")</f>
        <v>FALSE</v>
      </c>
      <c r="AV831" s="6">
        <f t="shared" si="63"/>
        <v>0</v>
      </c>
      <c r="AW831" s="6">
        <f t="shared" si="64"/>
        <v>0</v>
      </c>
      <c r="AX831" s="6">
        <f t="shared" si="65"/>
        <v>0</v>
      </c>
      <c r="AY831" s="6">
        <f t="shared" si="66"/>
        <v>0</v>
      </c>
      <c r="AZ831" s="9" t="str">
        <f t="shared" si="67"/>
        <v/>
      </c>
      <c r="BA831" s="6">
        <f t="shared" si="68"/>
        <v>0</v>
      </c>
      <c r="BB831" s="6">
        <f t="shared" si="69"/>
        <v>0</v>
      </c>
      <c r="BC831" s="9" t="str">
        <f t="shared" si="70"/>
        <v/>
      </c>
      <c r="BD831" s="6">
        <f t="shared" si="71"/>
        <v>0</v>
      </c>
      <c r="BE831" s="6">
        <f t="shared" si="72"/>
        <v>0</v>
      </c>
      <c r="BF831" s="9" t="str">
        <f t="shared" si="73"/>
        <v/>
      </c>
      <c r="BG831" s="6">
        <f t="shared" si="74"/>
        <v>0</v>
      </c>
      <c r="BH831" s="6">
        <f t="shared" si="75"/>
        <v>0</v>
      </c>
      <c r="BI831" s="9" t="str">
        <f t="shared" si="76"/>
        <v/>
      </c>
      <c r="BJ831" s="6">
        <f t="shared" si="77"/>
        <v>0</v>
      </c>
      <c r="BK831" s="6">
        <f t="shared" si="78"/>
        <v>0</v>
      </c>
      <c r="BL831" s="6">
        <f t="shared" si="79"/>
        <v>0</v>
      </c>
      <c r="BM831" s="6">
        <f t="shared" si="80"/>
        <v>0</v>
      </c>
      <c r="BN831" s="6">
        <f t="shared" si="81"/>
        <v>0</v>
      </c>
      <c r="BP831" s="6">
        <f t="shared" si="82"/>
        <v>0</v>
      </c>
      <c r="BQ831" s="6" t="b">
        <f ca="1">IFERROR(__xludf.DUMMYFUNCTION("IF(AND(ISERROR(FILTER('Items by Team'!D$2:D3410,'Items by Team'!C$2:C3410 = D831,'Items by Team'!B$2:B3410 = B831)),NOT(A831=""Practice"")),TRUE,FALSE)"),FALSE)</f>
        <v>0</v>
      </c>
      <c r="BR831" s="6">
        <f t="shared" ca="1" si="83"/>
        <v>0</v>
      </c>
    </row>
    <row r="832" spans="1:70">
      <c r="A832" s="6"/>
      <c r="B832" s="6"/>
      <c r="C832" s="6"/>
      <c r="D832" s="6"/>
      <c r="E832" s="6"/>
      <c r="F832" s="6"/>
      <c r="G832" s="6"/>
      <c r="H832" s="6"/>
      <c r="I832" s="6"/>
      <c r="J832" s="6"/>
      <c r="K832" s="6"/>
      <c r="L832" s="6"/>
      <c r="M832" s="6"/>
      <c r="N832" s="6"/>
      <c r="O832" s="6"/>
      <c r="P832" s="6"/>
      <c r="R832" s="6"/>
      <c r="S832" s="6"/>
      <c r="T832" s="6"/>
      <c r="U832" s="6"/>
      <c r="V832" s="6"/>
      <c r="W832" s="6"/>
      <c r="X832" s="6"/>
      <c r="Y832" s="6"/>
      <c r="Z832" s="6"/>
      <c r="AA832" s="6"/>
      <c r="AB832" s="6"/>
      <c r="AD832" s="6"/>
      <c r="AE832" s="6"/>
      <c r="AF832" s="6"/>
      <c r="AG832" s="6"/>
      <c r="AH832" s="6"/>
      <c r="AI832" s="6"/>
      <c r="AK832" s="6"/>
      <c r="AL832" s="6"/>
      <c r="AM832" s="6"/>
      <c r="AN832" s="6"/>
      <c r="AO832" s="6"/>
      <c r="AP832" s="6"/>
      <c r="AQ832" s="6"/>
      <c r="AR832" s="6"/>
      <c r="AS832" s="15"/>
      <c r="AT832" s="6" t="str">
        <f ca="1">IFERROR(__xludf.DUMMYFUNCTION("""COMPUTED_VALUE"""),"#N/A")</f>
        <v>#N/A</v>
      </c>
      <c r="AU832" s="6" t="str">
        <f ca="1">IFERROR(__xludf.DUMMYFUNCTION("""COMPUTED_VALUE"""),"FALSE")</f>
        <v>FALSE</v>
      </c>
      <c r="AV832" s="6">
        <f t="shared" si="63"/>
        <v>0</v>
      </c>
      <c r="AW832" s="6">
        <f t="shared" si="64"/>
        <v>0</v>
      </c>
      <c r="AX832" s="6">
        <f t="shared" si="65"/>
        <v>0</v>
      </c>
      <c r="AY832" s="6">
        <f t="shared" si="66"/>
        <v>0</v>
      </c>
      <c r="AZ832" s="9" t="str">
        <f t="shared" si="67"/>
        <v/>
      </c>
      <c r="BA832" s="6">
        <f t="shared" si="68"/>
        <v>0</v>
      </c>
      <c r="BB832" s="6">
        <f t="shared" si="69"/>
        <v>0</v>
      </c>
      <c r="BC832" s="9" t="str">
        <f t="shared" si="70"/>
        <v/>
      </c>
      <c r="BD832" s="6">
        <f t="shared" si="71"/>
        <v>0</v>
      </c>
      <c r="BE832" s="6">
        <f t="shared" si="72"/>
        <v>0</v>
      </c>
      <c r="BF832" s="9" t="str">
        <f t="shared" si="73"/>
        <v/>
      </c>
      <c r="BG832" s="6">
        <f t="shared" si="74"/>
        <v>0</v>
      </c>
      <c r="BH832" s="6">
        <f t="shared" si="75"/>
        <v>0</v>
      </c>
      <c r="BI832" s="9" t="str">
        <f t="shared" si="76"/>
        <v/>
      </c>
      <c r="BJ832" s="6">
        <f t="shared" si="77"/>
        <v>0</v>
      </c>
      <c r="BK832" s="6">
        <f t="shared" si="78"/>
        <v>0</v>
      </c>
      <c r="BL832" s="6">
        <f t="shared" si="79"/>
        <v>0</v>
      </c>
      <c r="BM832" s="6">
        <f t="shared" si="80"/>
        <v>0</v>
      </c>
      <c r="BN832" s="6">
        <f t="shared" si="81"/>
        <v>0</v>
      </c>
      <c r="BP832" s="6">
        <f t="shared" si="82"/>
        <v>0</v>
      </c>
      <c r="BQ832" s="6" t="b">
        <f ca="1">IFERROR(__xludf.DUMMYFUNCTION("IF(AND(ISERROR(FILTER('Items by Team'!D$2:D3410,'Items by Team'!C$2:C3410 = D832,'Items by Team'!B$2:B3410 = B832)),NOT(A832=""Practice"")),TRUE,FALSE)"),FALSE)</f>
        <v>0</v>
      </c>
      <c r="BR832" s="6">
        <f t="shared" ca="1" si="83"/>
        <v>0</v>
      </c>
    </row>
    <row r="833" spans="1:70">
      <c r="A833" s="6"/>
      <c r="B833" s="6"/>
      <c r="C833" s="6"/>
      <c r="D833" s="6"/>
      <c r="E833" s="6"/>
      <c r="F833" s="6"/>
      <c r="G833" s="6"/>
      <c r="H833" s="6"/>
      <c r="I833" s="6"/>
      <c r="J833" s="6"/>
      <c r="K833" s="6"/>
      <c r="L833" s="6"/>
      <c r="M833" s="6"/>
      <c r="N833" s="6"/>
      <c r="O833" s="6"/>
      <c r="P833" s="6"/>
      <c r="R833" s="6"/>
      <c r="S833" s="6"/>
      <c r="T833" s="6"/>
      <c r="U833" s="6"/>
      <c r="V833" s="6"/>
      <c r="W833" s="6"/>
      <c r="X833" s="6"/>
      <c r="Y833" s="6"/>
      <c r="Z833" s="6"/>
      <c r="AA833" s="6"/>
      <c r="AB833" s="6"/>
      <c r="AD833" s="6"/>
      <c r="AE833" s="6"/>
      <c r="AF833" s="6"/>
      <c r="AG833" s="6"/>
      <c r="AH833" s="6"/>
      <c r="AI833" s="6"/>
      <c r="AK833" s="6"/>
      <c r="AL833" s="6"/>
      <c r="AM833" s="6"/>
      <c r="AN833" s="6"/>
      <c r="AO833" s="6"/>
      <c r="AP833" s="6"/>
      <c r="AQ833" s="6"/>
      <c r="AR833" s="6"/>
      <c r="AS833" s="15"/>
      <c r="AT833" s="6" t="str">
        <f ca="1">IFERROR(__xludf.DUMMYFUNCTION("""COMPUTED_VALUE"""),"#N/A")</f>
        <v>#N/A</v>
      </c>
      <c r="AU833" s="6" t="str">
        <f ca="1">IFERROR(__xludf.DUMMYFUNCTION("""COMPUTED_VALUE"""),"FALSE")</f>
        <v>FALSE</v>
      </c>
      <c r="AV833" s="6">
        <f t="shared" si="63"/>
        <v>0</v>
      </c>
      <c r="AW833" s="6">
        <f t="shared" si="64"/>
        <v>0</v>
      </c>
      <c r="AX833" s="6">
        <f t="shared" si="65"/>
        <v>0</v>
      </c>
      <c r="AY833" s="6">
        <f t="shared" si="66"/>
        <v>0</v>
      </c>
      <c r="AZ833" s="9" t="str">
        <f t="shared" si="67"/>
        <v/>
      </c>
      <c r="BA833" s="6">
        <f t="shared" si="68"/>
        <v>0</v>
      </c>
      <c r="BB833" s="6">
        <f t="shared" si="69"/>
        <v>0</v>
      </c>
      <c r="BC833" s="9" t="str">
        <f t="shared" si="70"/>
        <v/>
      </c>
      <c r="BD833" s="6">
        <f t="shared" si="71"/>
        <v>0</v>
      </c>
      <c r="BE833" s="6">
        <f t="shared" si="72"/>
        <v>0</v>
      </c>
      <c r="BF833" s="9" t="str">
        <f t="shared" si="73"/>
        <v/>
      </c>
      <c r="BG833" s="6">
        <f t="shared" si="74"/>
        <v>0</v>
      </c>
      <c r="BH833" s="6">
        <f t="shared" si="75"/>
        <v>0</v>
      </c>
      <c r="BI833" s="9" t="str">
        <f t="shared" si="76"/>
        <v/>
      </c>
      <c r="BJ833" s="6">
        <f t="shared" si="77"/>
        <v>0</v>
      </c>
      <c r="BK833" s="6">
        <f t="shared" si="78"/>
        <v>0</v>
      </c>
      <c r="BL833" s="6">
        <f t="shared" si="79"/>
        <v>0</v>
      </c>
      <c r="BM833" s="6">
        <f t="shared" si="80"/>
        <v>0</v>
      </c>
      <c r="BN833" s="6">
        <f t="shared" si="81"/>
        <v>0</v>
      </c>
      <c r="BP833" s="6">
        <f t="shared" si="82"/>
        <v>0</v>
      </c>
      <c r="BQ833" s="6" t="b">
        <f ca="1">IFERROR(__xludf.DUMMYFUNCTION("IF(AND(ISERROR(FILTER('Items by Team'!D$2:D3410,'Items by Team'!C$2:C3410 = D833,'Items by Team'!B$2:B3410 = B833)),NOT(A833=""Practice"")),TRUE,FALSE)"),FALSE)</f>
        <v>0</v>
      </c>
      <c r="BR833" s="6">
        <f t="shared" ca="1" si="83"/>
        <v>0</v>
      </c>
    </row>
    <row r="834" spans="1:70">
      <c r="A834" s="6"/>
      <c r="B834" s="6"/>
      <c r="C834" s="6"/>
      <c r="D834" s="6"/>
      <c r="E834" s="6"/>
      <c r="F834" s="6"/>
      <c r="G834" s="6"/>
      <c r="H834" s="6"/>
      <c r="I834" s="6"/>
      <c r="J834" s="6"/>
      <c r="K834" s="6"/>
      <c r="L834" s="6"/>
      <c r="M834" s="6"/>
      <c r="N834" s="6"/>
      <c r="O834" s="6"/>
      <c r="P834" s="6"/>
      <c r="R834" s="6"/>
      <c r="S834" s="6"/>
      <c r="T834" s="6"/>
      <c r="U834" s="6"/>
      <c r="V834" s="6"/>
      <c r="W834" s="6"/>
      <c r="X834" s="6"/>
      <c r="Y834" s="6"/>
      <c r="Z834" s="6"/>
      <c r="AA834" s="6"/>
      <c r="AB834" s="6"/>
      <c r="AD834" s="6"/>
      <c r="AE834" s="6"/>
      <c r="AF834" s="6"/>
      <c r="AG834" s="6"/>
      <c r="AH834" s="6"/>
      <c r="AI834" s="6"/>
      <c r="AK834" s="6"/>
      <c r="AL834" s="6"/>
      <c r="AM834" s="6"/>
      <c r="AN834" s="6"/>
      <c r="AO834" s="6"/>
      <c r="AP834" s="6"/>
      <c r="AQ834" s="6"/>
      <c r="AR834" s="6"/>
      <c r="AS834" s="15"/>
      <c r="AT834" s="6" t="str">
        <f ca="1">IFERROR(__xludf.DUMMYFUNCTION("""COMPUTED_VALUE"""),"#N/A")</f>
        <v>#N/A</v>
      </c>
      <c r="AU834" s="6" t="str">
        <f ca="1">IFERROR(__xludf.DUMMYFUNCTION("""COMPUTED_VALUE"""),"FALSE")</f>
        <v>FALSE</v>
      </c>
      <c r="AV834" s="6">
        <f t="shared" si="63"/>
        <v>0</v>
      </c>
      <c r="AW834" s="6">
        <f t="shared" si="64"/>
        <v>0</v>
      </c>
      <c r="AX834" s="6">
        <f t="shared" si="65"/>
        <v>0</v>
      </c>
      <c r="AY834" s="6">
        <f t="shared" si="66"/>
        <v>0</v>
      </c>
      <c r="AZ834" s="9" t="str">
        <f t="shared" si="67"/>
        <v/>
      </c>
      <c r="BA834" s="6">
        <f t="shared" si="68"/>
        <v>0</v>
      </c>
      <c r="BB834" s="6">
        <f t="shared" si="69"/>
        <v>0</v>
      </c>
      <c r="BC834" s="9" t="str">
        <f t="shared" si="70"/>
        <v/>
      </c>
      <c r="BD834" s="6">
        <f t="shared" si="71"/>
        <v>0</v>
      </c>
      <c r="BE834" s="6">
        <f t="shared" si="72"/>
        <v>0</v>
      </c>
      <c r="BF834" s="9" t="str">
        <f t="shared" si="73"/>
        <v/>
      </c>
      <c r="BG834" s="6">
        <f t="shared" si="74"/>
        <v>0</v>
      </c>
      <c r="BH834" s="6">
        <f t="shared" si="75"/>
        <v>0</v>
      </c>
      <c r="BI834" s="9" t="str">
        <f t="shared" si="76"/>
        <v/>
      </c>
      <c r="BJ834" s="6">
        <f t="shared" si="77"/>
        <v>0</v>
      </c>
      <c r="BK834" s="6">
        <f t="shared" si="78"/>
        <v>0</v>
      </c>
      <c r="BL834" s="6">
        <f t="shared" si="79"/>
        <v>0</v>
      </c>
      <c r="BM834" s="6">
        <f t="shared" si="80"/>
        <v>0</v>
      </c>
      <c r="BN834" s="6">
        <f t="shared" si="81"/>
        <v>0</v>
      </c>
      <c r="BP834" s="6">
        <f t="shared" si="82"/>
        <v>0</v>
      </c>
      <c r="BQ834" s="6" t="b">
        <f ca="1">IFERROR(__xludf.DUMMYFUNCTION("IF(AND(ISERROR(FILTER('Items by Team'!D$2:D3410,'Items by Team'!C$2:C3410 = D834,'Items by Team'!B$2:B3410 = B834)),NOT(A834=""Practice"")),TRUE,FALSE)"),FALSE)</f>
        <v>0</v>
      </c>
      <c r="BR834" s="6">
        <f t="shared" ca="1" si="83"/>
        <v>0</v>
      </c>
    </row>
    <row r="835" spans="1:70">
      <c r="A835" s="6"/>
      <c r="B835" s="6"/>
      <c r="C835" s="6"/>
      <c r="D835" s="6"/>
      <c r="E835" s="6"/>
      <c r="F835" s="6"/>
      <c r="G835" s="6"/>
      <c r="H835" s="6"/>
      <c r="I835" s="6"/>
      <c r="J835" s="6"/>
      <c r="K835" s="6"/>
      <c r="L835" s="6"/>
      <c r="M835" s="6"/>
      <c r="N835" s="6"/>
      <c r="O835" s="6"/>
      <c r="P835" s="6"/>
      <c r="R835" s="6"/>
      <c r="S835" s="6"/>
      <c r="T835" s="6"/>
      <c r="U835" s="6"/>
      <c r="V835" s="6"/>
      <c r="W835" s="6"/>
      <c r="X835" s="6"/>
      <c r="Y835" s="6"/>
      <c r="Z835" s="6"/>
      <c r="AA835" s="6"/>
      <c r="AB835" s="6"/>
      <c r="AD835" s="6"/>
      <c r="AE835" s="6"/>
      <c r="AF835" s="6"/>
      <c r="AG835" s="6"/>
      <c r="AH835" s="6"/>
      <c r="AI835" s="6"/>
      <c r="AK835" s="6"/>
      <c r="AL835" s="6"/>
      <c r="AM835" s="6"/>
      <c r="AN835" s="6"/>
      <c r="AO835" s="6"/>
      <c r="AP835" s="6"/>
      <c r="AQ835" s="6"/>
      <c r="AR835" s="6"/>
      <c r="AS835" s="15"/>
      <c r="AT835" s="6" t="str">
        <f ca="1">IFERROR(__xludf.DUMMYFUNCTION("""COMPUTED_VALUE"""),"#N/A")</f>
        <v>#N/A</v>
      </c>
      <c r="AU835" s="6" t="str">
        <f ca="1">IFERROR(__xludf.DUMMYFUNCTION("""COMPUTED_VALUE"""),"FALSE")</f>
        <v>FALSE</v>
      </c>
      <c r="AV835" s="6">
        <f t="shared" si="63"/>
        <v>0</v>
      </c>
      <c r="AW835" s="6">
        <f t="shared" si="64"/>
        <v>0</v>
      </c>
      <c r="AX835" s="6">
        <f t="shared" si="65"/>
        <v>0</v>
      </c>
      <c r="AY835" s="6">
        <f t="shared" si="66"/>
        <v>0</v>
      </c>
      <c r="AZ835" s="9" t="str">
        <f t="shared" si="67"/>
        <v/>
      </c>
      <c r="BA835" s="6">
        <f t="shared" si="68"/>
        <v>0</v>
      </c>
      <c r="BB835" s="6">
        <f t="shared" si="69"/>
        <v>0</v>
      </c>
      <c r="BC835" s="9" t="str">
        <f t="shared" si="70"/>
        <v/>
      </c>
      <c r="BD835" s="6">
        <f t="shared" si="71"/>
        <v>0</v>
      </c>
      <c r="BE835" s="6">
        <f t="shared" si="72"/>
        <v>0</v>
      </c>
      <c r="BF835" s="9" t="str">
        <f t="shared" si="73"/>
        <v/>
      </c>
      <c r="BG835" s="6">
        <f t="shared" si="74"/>
        <v>0</v>
      </c>
      <c r="BH835" s="6">
        <f t="shared" si="75"/>
        <v>0</v>
      </c>
      <c r="BI835" s="9" t="str">
        <f t="shared" si="76"/>
        <v/>
      </c>
      <c r="BJ835" s="6">
        <f t="shared" si="77"/>
        <v>0</v>
      </c>
      <c r="BK835" s="6">
        <f t="shared" si="78"/>
        <v>0</v>
      </c>
      <c r="BL835" s="6">
        <f t="shared" si="79"/>
        <v>0</v>
      </c>
      <c r="BM835" s="6">
        <f t="shared" si="80"/>
        <v>0</v>
      </c>
      <c r="BN835" s="6">
        <f t="shared" si="81"/>
        <v>0</v>
      </c>
      <c r="BP835" s="6">
        <f t="shared" si="82"/>
        <v>0</v>
      </c>
      <c r="BQ835" s="6" t="b">
        <f ca="1">IFERROR(__xludf.DUMMYFUNCTION("IF(AND(ISERROR(FILTER('Items by Team'!D$2:D3410,'Items by Team'!C$2:C3410 = D835,'Items by Team'!B$2:B3410 = B835)),NOT(A835=""Practice"")),TRUE,FALSE)"),FALSE)</f>
        <v>0</v>
      </c>
      <c r="BR835" s="6">
        <f t="shared" ca="1" si="83"/>
        <v>0</v>
      </c>
    </row>
    <row r="836" spans="1:70">
      <c r="A836" s="6"/>
      <c r="B836" s="6"/>
      <c r="C836" s="6"/>
      <c r="D836" s="6"/>
      <c r="E836" s="6"/>
      <c r="F836" s="6"/>
      <c r="G836" s="6"/>
      <c r="H836" s="6"/>
      <c r="I836" s="6"/>
      <c r="J836" s="6"/>
      <c r="K836" s="6"/>
      <c r="L836" s="6"/>
      <c r="M836" s="6"/>
      <c r="N836" s="6"/>
      <c r="O836" s="6"/>
      <c r="P836" s="6"/>
      <c r="R836" s="6"/>
      <c r="S836" s="6"/>
      <c r="T836" s="6"/>
      <c r="U836" s="6"/>
      <c r="V836" s="6"/>
      <c r="W836" s="6"/>
      <c r="X836" s="6"/>
      <c r="Y836" s="6"/>
      <c r="Z836" s="6"/>
      <c r="AA836" s="6"/>
      <c r="AB836" s="6"/>
      <c r="AD836" s="6"/>
      <c r="AE836" s="6"/>
      <c r="AF836" s="6"/>
      <c r="AG836" s="6"/>
      <c r="AH836" s="6"/>
      <c r="AI836" s="6"/>
      <c r="AK836" s="6"/>
      <c r="AL836" s="6"/>
      <c r="AM836" s="6"/>
      <c r="AN836" s="6"/>
      <c r="AO836" s="6"/>
      <c r="AP836" s="6"/>
      <c r="AQ836" s="6"/>
      <c r="AR836" s="6"/>
      <c r="AS836" s="15"/>
      <c r="AT836" s="6" t="str">
        <f ca="1">IFERROR(__xludf.DUMMYFUNCTION("""COMPUTED_VALUE"""),"#N/A")</f>
        <v>#N/A</v>
      </c>
      <c r="AU836" s="6" t="str">
        <f ca="1">IFERROR(__xludf.DUMMYFUNCTION("""COMPUTED_VALUE"""),"FALSE")</f>
        <v>FALSE</v>
      </c>
      <c r="AV836" s="6">
        <f t="shared" si="63"/>
        <v>0</v>
      </c>
      <c r="AW836" s="6">
        <f t="shared" si="64"/>
        <v>0</v>
      </c>
      <c r="AX836" s="6">
        <f t="shared" si="65"/>
        <v>0</v>
      </c>
      <c r="AY836" s="6">
        <f t="shared" si="66"/>
        <v>0</v>
      </c>
      <c r="AZ836" s="9" t="str">
        <f t="shared" si="67"/>
        <v/>
      </c>
      <c r="BA836" s="6">
        <f t="shared" si="68"/>
        <v>0</v>
      </c>
      <c r="BB836" s="6">
        <f t="shared" si="69"/>
        <v>0</v>
      </c>
      <c r="BC836" s="9" t="str">
        <f t="shared" si="70"/>
        <v/>
      </c>
      <c r="BD836" s="6">
        <f t="shared" si="71"/>
        <v>0</v>
      </c>
      <c r="BE836" s="6">
        <f t="shared" si="72"/>
        <v>0</v>
      </c>
      <c r="BF836" s="9" t="str">
        <f t="shared" si="73"/>
        <v/>
      </c>
      <c r="BG836" s="6">
        <f t="shared" si="74"/>
        <v>0</v>
      </c>
      <c r="BH836" s="6">
        <f t="shared" si="75"/>
        <v>0</v>
      </c>
      <c r="BI836" s="9" t="str">
        <f t="shared" si="76"/>
        <v/>
      </c>
      <c r="BJ836" s="6">
        <f t="shared" si="77"/>
        <v>0</v>
      </c>
      <c r="BK836" s="6">
        <f t="shared" si="78"/>
        <v>0</v>
      </c>
      <c r="BL836" s="6">
        <f t="shared" si="79"/>
        <v>0</v>
      </c>
      <c r="BM836" s="6">
        <f t="shared" si="80"/>
        <v>0</v>
      </c>
      <c r="BN836" s="6">
        <f t="shared" si="81"/>
        <v>0</v>
      </c>
      <c r="BP836" s="6">
        <f t="shared" si="82"/>
        <v>0</v>
      </c>
      <c r="BQ836" s="6" t="b">
        <f ca="1">IFERROR(__xludf.DUMMYFUNCTION("IF(AND(ISERROR(FILTER('Items by Team'!D$2:D3410,'Items by Team'!C$2:C3410 = D836,'Items by Team'!B$2:B3410 = B836)),NOT(A836=""Practice"")),TRUE,FALSE)"),FALSE)</f>
        <v>0</v>
      </c>
      <c r="BR836" s="6">
        <f t="shared" ca="1" si="83"/>
        <v>0</v>
      </c>
    </row>
    <row r="837" spans="1:70">
      <c r="A837" s="6"/>
      <c r="B837" s="6"/>
      <c r="C837" s="6"/>
      <c r="D837" s="6"/>
      <c r="E837" s="6"/>
      <c r="F837" s="6"/>
      <c r="G837" s="6"/>
      <c r="H837" s="6"/>
      <c r="I837" s="6"/>
      <c r="J837" s="6"/>
      <c r="K837" s="6"/>
      <c r="L837" s="6"/>
      <c r="M837" s="6"/>
      <c r="N837" s="6"/>
      <c r="O837" s="6"/>
      <c r="P837" s="6"/>
      <c r="R837" s="6"/>
      <c r="S837" s="6"/>
      <c r="T837" s="6"/>
      <c r="U837" s="6"/>
      <c r="V837" s="6"/>
      <c r="W837" s="6"/>
      <c r="X837" s="6"/>
      <c r="Y837" s="6"/>
      <c r="Z837" s="6"/>
      <c r="AA837" s="6"/>
      <c r="AB837" s="6"/>
      <c r="AD837" s="6"/>
      <c r="AE837" s="6"/>
      <c r="AF837" s="6"/>
      <c r="AG837" s="6"/>
      <c r="AH837" s="6"/>
      <c r="AI837" s="6"/>
      <c r="AK837" s="6"/>
      <c r="AL837" s="6"/>
      <c r="AM837" s="6"/>
      <c r="AN837" s="6"/>
      <c r="AO837" s="6"/>
      <c r="AP837" s="6"/>
      <c r="AQ837" s="6"/>
      <c r="AR837" s="6"/>
      <c r="AS837" s="15"/>
      <c r="AT837" s="6" t="str">
        <f ca="1">IFERROR(__xludf.DUMMYFUNCTION("""COMPUTED_VALUE"""),"#N/A")</f>
        <v>#N/A</v>
      </c>
      <c r="AU837" s="6" t="str">
        <f ca="1">IFERROR(__xludf.DUMMYFUNCTION("""COMPUTED_VALUE"""),"FALSE")</f>
        <v>FALSE</v>
      </c>
      <c r="AV837" s="6">
        <f t="shared" si="63"/>
        <v>0</v>
      </c>
      <c r="AW837" s="6">
        <f t="shared" si="64"/>
        <v>0</v>
      </c>
      <c r="AX837" s="6">
        <f t="shared" si="65"/>
        <v>0</v>
      </c>
      <c r="AY837" s="6">
        <f t="shared" si="66"/>
        <v>0</v>
      </c>
      <c r="AZ837" s="9" t="str">
        <f t="shared" si="67"/>
        <v/>
      </c>
      <c r="BA837" s="6">
        <f t="shared" si="68"/>
        <v>0</v>
      </c>
      <c r="BB837" s="6">
        <f t="shared" si="69"/>
        <v>0</v>
      </c>
      <c r="BC837" s="9" t="str">
        <f t="shared" si="70"/>
        <v/>
      </c>
      <c r="BD837" s="6">
        <f t="shared" si="71"/>
        <v>0</v>
      </c>
      <c r="BE837" s="6">
        <f t="shared" si="72"/>
        <v>0</v>
      </c>
      <c r="BF837" s="9" t="str">
        <f t="shared" si="73"/>
        <v/>
      </c>
      <c r="BG837" s="6">
        <f t="shared" si="74"/>
        <v>0</v>
      </c>
      <c r="BH837" s="6">
        <f t="shared" si="75"/>
        <v>0</v>
      </c>
      <c r="BI837" s="9" t="str">
        <f t="shared" si="76"/>
        <v/>
      </c>
      <c r="BJ837" s="6">
        <f t="shared" si="77"/>
        <v>0</v>
      </c>
      <c r="BK837" s="6">
        <f t="shared" si="78"/>
        <v>0</v>
      </c>
      <c r="BL837" s="6">
        <f t="shared" si="79"/>
        <v>0</v>
      </c>
      <c r="BM837" s="6">
        <f t="shared" si="80"/>
        <v>0</v>
      </c>
      <c r="BN837" s="6">
        <f t="shared" si="81"/>
        <v>0</v>
      </c>
      <c r="BP837" s="6">
        <f t="shared" si="82"/>
        <v>0</v>
      </c>
      <c r="BQ837" s="6" t="b">
        <f ca="1">IFERROR(__xludf.DUMMYFUNCTION("IF(AND(ISERROR(FILTER('Items by Team'!D$2:D3410,'Items by Team'!C$2:C3410 = D837,'Items by Team'!B$2:B3410 = B837)),NOT(A837=""Practice"")),TRUE,FALSE)"),FALSE)</f>
        <v>0</v>
      </c>
      <c r="BR837" s="6">
        <f t="shared" ca="1" si="83"/>
        <v>0</v>
      </c>
    </row>
    <row r="838" spans="1:70">
      <c r="A838" s="6"/>
      <c r="B838" s="6"/>
      <c r="C838" s="6"/>
      <c r="D838" s="6"/>
      <c r="E838" s="6"/>
      <c r="F838" s="6"/>
      <c r="G838" s="6"/>
      <c r="H838" s="6"/>
      <c r="I838" s="6"/>
      <c r="J838" s="6"/>
      <c r="K838" s="6"/>
      <c r="L838" s="6"/>
      <c r="M838" s="6"/>
      <c r="N838" s="6"/>
      <c r="O838" s="6"/>
      <c r="P838" s="6"/>
      <c r="R838" s="6"/>
      <c r="S838" s="6"/>
      <c r="T838" s="6"/>
      <c r="U838" s="6"/>
      <c r="V838" s="6"/>
      <c r="W838" s="6"/>
      <c r="X838" s="6"/>
      <c r="Y838" s="6"/>
      <c r="Z838" s="6"/>
      <c r="AA838" s="6"/>
      <c r="AB838" s="6"/>
      <c r="AD838" s="6"/>
      <c r="AE838" s="6"/>
      <c r="AF838" s="6"/>
      <c r="AG838" s="6"/>
      <c r="AH838" s="6"/>
      <c r="AI838" s="6"/>
      <c r="AK838" s="6"/>
      <c r="AL838" s="6"/>
      <c r="AM838" s="6"/>
      <c r="AN838" s="6"/>
      <c r="AO838" s="6"/>
      <c r="AP838" s="6"/>
      <c r="AQ838" s="6"/>
      <c r="AR838" s="6"/>
      <c r="AS838" s="15"/>
      <c r="AT838" s="6" t="str">
        <f ca="1">IFERROR(__xludf.DUMMYFUNCTION("""COMPUTED_VALUE"""),"#N/A")</f>
        <v>#N/A</v>
      </c>
      <c r="AU838" s="6" t="str">
        <f ca="1">IFERROR(__xludf.DUMMYFUNCTION("""COMPUTED_VALUE"""),"FALSE")</f>
        <v>FALSE</v>
      </c>
      <c r="AV838" s="6">
        <f t="shared" si="63"/>
        <v>0</v>
      </c>
      <c r="AW838" s="6">
        <f t="shared" si="64"/>
        <v>0</v>
      </c>
      <c r="AX838" s="6">
        <f t="shared" si="65"/>
        <v>0</v>
      </c>
      <c r="AY838" s="6">
        <f t="shared" si="66"/>
        <v>0</v>
      </c>
      <c r="AZ838" s="9" t="str">
        <f t="shared" si="67"/>
        <v/>
      </c>
      <c r="BA838" s="6">
        <f t="shared" si="68"/>
        <v>0</v>
      </c>
      <c r="BB838" s="6">
        <f t="shared" si="69"/>
        <v>0</v>
      </c>
      <c r="BC838" s="9" t="str">
        <f t="shared" si="70"/>
        <v/>
      </c>
      <c r="BD838" s="6">
        <f t="shared" si="71"/>
        <v>0</v>
      </c>
      <c r="BE838" s="6">
        <f t="shared" si="72"/>
        <v>0</v>
      </c>
      <c r="BF838" s="9" t="str">
        <f t="shared" si="73"/>
        <v/>
      </c>
      <c r="BG838" s="6">
        <f t="shared" si="74"/>
        <v>0</v>
      </c>
      <c r="BH838" s="6">
        <f t="shared" si="75"/>
        <v>0</v>
      </c>
      <c r="BI838" s="9" t="str">
        <f t="shared" si="76"/>
        <v/>
      </c>
      <c r="BJ838" s="6">
        <f t="shared" si="77"/>
        <v>0</v>
      </c>
      <c r="BK838" s="6">
        <f t="shared" si="78"/>
        <v>0</v>
      </c>
      <c r="BL838" s="6">
        <f t="shared" si="79"/>
        <v>0</v>
      </c>
      <c r="BM838" s="6">
        <f t="shared" si="80"/>
        <v>0</v>
      </c>
      <c r="BN838" s="6">
        <f t="shared" si="81"/>
        <v>0</v>
      </c>
      <c r="BP838" s="6">
        <f t="shared" si="82"/>
        <v>0</v>
      </c>
      <c r="BQ838" s="6" t="b">
        <f ca="1">IFERROR(__xludf.DUMMYFUNCTION("IF(AND(ISERROR(FILTER('Items by Team'!D$2:D3410,'Items by Team'!C$2:C3410 = D838,'Items by Team'!B$2:B3410 = B838)),NOT(A838=""Practice"")),TRUE,FALSE)"),FALSE)</f>
        <v>0</v>
      </c>
      <c r="BR838" s="6">
        <f t="shared" ca="1" si="83"/>
        <v>0</v>
      </c>
    </row>
    <row r="839" spans="1:70">
      <c r="A839" s="6"/>
      <c r="B839" s="6"/>
      <c r="C839" s="6"/>
      <c r="D839" s="6"/>
      <c r="E839" s="6"/>
      <c r="F839" s="6"/>
      <c r="G839" s="6"/>
      <c r="H839" s="6"/>
      <c r="I839" s="6"/>
      <c r="J839" s="6"/>
      <c r="K839" s="6"/>
      <c r="L839" s="6"/>
      <c r="M839" s="6"/>
      <c r="N839" s="6"/>
      <c r="O839" s="6"/>
      <c r="P839" s="6"/>
      <c r="R839" s="6"/>
      <c r="S839" s="6"/>
      <c r="T839" s="6"/>
      <c r="U839" s="6"/>
      <c r="V839" s="6"/>
      <c r="W839" s="6"/>
      <c r="X839" s="6"/>
      <c r="Y839" s="6"/>
      <c r="Z839" s="6"/>
      <c r="AA839" s="6"/>
      <c r="AB839" s="6"/>
      <c r="AD839" s="6"/>
      <c r="AE839" s="6"/>
      <c r="AF839" s="6"/>
      <c r="AG839" s="6"/>
      <c r="AH839" s="6"/>
      <c r="AI839" s="6"/>
      <c r="AK839" s="6"/>
      <c r="AL839" s="6"/>
      <c r="AM839" s="6"/>
      <c r="AN839" s="6"/>
      <c r="AO839" s="6"/>
      <c r="AP839" s="6"/>
      <c r="AQ839" s="6"/>
      <c r="AR839" s="6"/>
      <c r="AS839" s="15"/>
      <c r="AT839" s="6" t="str">
        <f ca="1">IFERROR(__xludf.DUMMYFUNCTION("""COMPUTED_VALUE"""),"#N/A")</f>
        <v>#N/A</v>
      </c>
      <c r="AU839" s="6" t="str">
        <f ca="1">IFERROR(__xludf.DUMMYFUNCTION("""COMPUTED_VALUE"""),"FALSE")</f>
        <v>FALSE</v>
      </c>
      <c r="AV839" s="6">
        <f t="shared" si="63"/>
        <v>0</v>
      </c>
      <c r="AW839" s="6">
        <f t="shared" si="64"/>
        <v>0</v>
      </c>
      <c r="AX839" s="6">
        <f t="shared" si="65"/>
        <v>0</v>
      </c>
      <c r="AY839" s="6">
        <f t="shared" si="66"/>
        <v>0</v>
      </c>
      <c r="AZ839" s="9" t="str">
        <f t="shared" si="67"/>
        <v/>
      </c>
      <c r="BA839" s="6">
        <f t="shared" si="68"/>
        <v>0</v>
      </c>
      <c r="BB839" s="6">
        <f t="shared" si="69"/>
        <v>0</v>
      </c>
      <c r="BC839" s="9" t="str">
        <f t="shared" si="70"/>
        <v/>
      </c>
      <c r="BD839" s="6">
        <f t="shared" si="71"/>
        <v>0</v>
      </c>
      <c r="BE839" s="6">
        <f t="shared" si="72"/>
        <v>0</v>
      </c>
      <c r="BF839" s="9" t="str">
        <f t="shared" si="73"/>
        <v/>
      </c>
      <c r="BG839" s="6">
        <f t="shared" si="74"/>
        <v>0</v>
      </c>
      <c r="BH839" s="6">
        <f t="shared" si="75"/>
        <v>0</v>
      </c>
      <c r="BI839" s="9" t="str">
        <f t="shared" si="76"/>
        <v/>
      </c>
      <c r="BJ839" s="6">
        <f t="shared" si="77"/>
        <v>0</v>
      </c>
      <c r="BK839" s="6">
        <f t="shared" si="78"/>
        <v>0</v>
      </c>
      <c r="BL839" s="6">
        <f t="shared" si="79"/>
        <v>0</v>
      </c>
      <c r="BM839" s="6">
        <f t="shared" si="80"/>
        <v>0</v>
      </c>
      <c r="BN839" s="6">
        <f t="shared" si="81"/>
        <v>0</v>
      </c>
      <c r="BP839" s="6">
        <f t="shared" si="82"/>
        <v>0</v>
      </c>
      <c r="BQ839" s="6" t="b">
        <f ca="1">IFERROR(__xludf.DUMMYFUNCTION("IF(AND(ISERROR(FILTER('Items by Team'!D$2:D3410,'Items by Team'!C$2:C3410 = D839,'Items by Team'!B$2:B3410 = B839)),NOT(A839=""Practice"")),TRUE,FALSE)"),FALSE)</f>
        <v>0</v>
      </c>
      <c r="BR839" s="6">
        <f t="shared" ca="1" si="83"/>
        <v>0</v>
      </c>
    </row>
    <row r="840" spans="1:70">
      <c r="A840" s="6"/>
      <c r="B840" s="6"/>
      <c r="C840" s="6"/>
      <c r="D840" s="6"/>
      <c r="E840" s="6"/>
      <c r="F840" s="6"/>
      <c r="G840" s="6"/>
      <c r="H840" s="6"/>
      <c r="I840" s="6"/>
      <c r="J840" s="6"/>
      <c r="K840" s="6"/>
      <c r="L840" s="6"/>
      <c r="M840" s="6"/>
      <c r="N840" s="6"/>
      <c r="O840" s="6"/>
      <c r="P840" s="6"/>
      <c r="R840" s="6"/>
      <c r="S840" s="6"/>
      <c r="T840" s="6"/>
      <c r="U840" s="6"/>
      <c r="V840" s="6"/>
      <c r="W840" s="6"/>
      <c r="X840" s="6"/>
      <c r="Y840" s="6"/>
      <c r="Z840" s="6"/>
      <c r="AA840" s="6"/>
      <c r="AB840" s="6"/>
      <c r="AD840" s="6"/>
      <c r="AE840" s="6"/>
      <c r="AF840" s="6"/>
      <c r="AG840" s="6"/>
      <c r="AH840" s="6"/>
      <c r="AI840" s="6"/>
      <c r="AK840" s="6"/>
      <c r="AL840" s="6"/>
      <c r="AM840" s="6"/>
      <c r="AN840" s="6"/>
      <c r="AO840" s="6"/>
      <c r="AP840" s="6"/>
      <c r="AQ840" s="6"/>
      <c r="AR840" s="6"/>
      <c r="AS840" s="15"/>
      <c r="AT840" s="6" t="str">
        <f ca="1">IFERROR(__xludf.DUMMYFUNCTION("""COMPUTED_VALUE"""),"#N/A")</f>
        <v>#N/A</v>
      </c>
      <c r="AU840" s="6" t="str">
        <f ca="1">IFERROR(__xludf.DUMMYFUNCTION("""COMPUTED_VALUE"""),"FALSE")</f>
        <v>FALSE</v>
      </c>
      <c r="AV840" s="6">
        <f t="shared" si="63"/>
        <v>0</v>
      </c>
      <c r="AW840" s="6">
        <f t="shared" si="64"/>
        <v>0</v>
      </c>
      <c r="AX840" s="6">
        <f t="shared" si="65"/>
        <v>0</v>
      </c>
      <c r="AY840" s="6">
        <f t="shared" si="66"/>
        <v>0</v>
      </c>
      <c r="AZ840" s="9" t="str">
        <f t="shared" si="67"/>
        <v/>
      </c>
      <c r="BA840" s="6">
        <f t="shared" si="68"/>
        <v>0</v>
      </c>
      <c r="BB840" s="6">
        <f t="shared" si="69"/>
        <v>0</v>
      </c>
      <c r="BC840" s="9" t="str">
        <f t="shared" si="70"/>
        <v/>
      </c>
      <c r="BD840" s="6">
        <f t="shared" si="71"/>
        <v>0</v>
      </c>
      <c r="BE840" s="6">
        <f t="shared" si="72"/>
        <v>0</v>
      </c>
      <c r="BF840" s="9" t="str">
        <f t="shared" si="73"/>
        <v/>
      </c>
      <c r="BG840" s="6">
        <f t="shared" si="74"/>
        <v>0</v>
      </c>
      <c r="BH840" s="6">
        <f t="shared" si="75"/>
        <v>0</v>
      </c>
      <c r="BI840" s="9" t="str">
        <f t="shared" si="76"/>
        <v/>
      </c>
      <c r="BJ840" s="6">
        <f t="shared" si="77"/>
        <v>0</v>
      </c>
      <c r="BK840" s="6">
        <f t="shared" si="78"/>
        <v>0</v>
      </c>
      <c r="BL840" s="6">
        <f t="shared" si="79"/>
        <v>0</v>
      </c>
      <c r="BM840" s="6">
        <f t="shared" si="80"/>
        <v>0</v>
      </c>
      <c r="BN840" s="6">
        <f t="shared" si="81"/>
        <v>0</v>
      </c>
      <c r="BP840" s="6">
        <f t="shared" si="82"/>
        <v>0</v>
      </c>
      <c r="BQ840" s="6" t="b">
        <f ca="1">IFERROR(__xludf.DUMMYFUNCTION("IF(AND(ISERROR(FILTER('Items by Team'!D$2:D3410,'Items by Team'!C$2:C3410 = D840,'Items by Team'!B$2:B3410 = B840)),NOT(A840=""Practice"")),TRUE,FALSE)"),FALSE)</f>
        <v>0</v>
      </c>
      <c r="BR840" s="6">
        <f t="shared" ca="1" si="83"/>
        <v>0</v>
      </c>
    </row>
    <row r="841" spans="1:70">
      <c r="A841" s="6"/>
      <c r="B841" s="6"/>
      <c r="C841" s="6"/>
      <c r="D841" s="6"/>
      <c r="E841" s="6"/>
      <c r="F841" s="6"/>
      <c r="G841" s="6"/>
      <c r="H841" s="6"/>
      <c r="I841" s="6"/>
      <c r="J841" s="6"/>
      <c r="K841" s="6"/>
      <c r="L841" s="6"/>
      <c r="M841" s="6"/>
      <c r="N841" s="6"/>
      <c r="O841" s="6"/>
      <c r="P841" s="6"/>
      <c r="R841" s="6"/>
      <c r="S841" s="6"/>
      <c r="T841" s="6"/>
      <c r="U841" s="6"/>
      <c r="V841" s="6"/>
      <c r="W841" s="6"/>
      <c r="X841" s="6"/>
      <c r="Y841" s="6"/>
      <c r="Z841" s="6"/>
      <c r="AA841" s="6"/>
      <c r="AB841" s="6"/>
      <c r="AD841" s="6"/>
      <c r="AE841" s="6"/>
      <c r="AF841" s="6"/>
      <c r="AG841" s="6"/>
      <c r="AH841" s="6"/>
      <c r="AI841" s="6"/>
      <c r="AK841" s="6"/>
      <c r="AL841" s="6"/>
      <c r="AM841" s="6"/>
      <c r="AN841" s="6"/>
      <c r="AO841" s="6"/>
      <c r="AP841" s="6"/>
      <c r="AQ841" s="6"/>
      <c r="AR841" s="6"/>
      <c r="AS841" s="15"/>
      <c r="AT841" s="6" t="str">
        <f ca="1">IFERROR(__xludf.DUMMYFUNCTION("""COMPUTED_VALUE"""),"#N/A")</f>
        <v>#N/A</v>
      </c>
      <c r="AU841" s="6" t="str">
        <f ca="1">IFERROR(__xludf.DUMMYFUNCTION("""COMPUTED_VALUE"""),"FALSE")</f>
        <v>FALSE</v>
      </c>
      <c r="AV841" s="6">
        <f t="shared" si="63"/>
        <v>0</v>
      </c>
      <c r="AW841" s="6">
        <f t="shared" si="64"/>
        <v>0</v>
      </c>
      <c r="AX841" s="6">
        <f t="shared" si="65"/>
        <v>0</v>
      </c>
      <c r="AY841" s="6">
        <f t="shared" si="66"/>
        <v>0</v>
      </c>
      <c r="AZ841" s="9" t="str">
        <f t="shared" si="67"/>
        <v/>
      </c>
      <c r="BA841" s="6">
        <f t="shared" si="68"/>
        <v>0</v>
      </c>
      <c r="BB841" s="6">
        <f t="shared" si="69"/>
        <v>0</v>
      </c>
      <c r="BC841" s="9" t="str">
        <f t="shared" si="70"/>
        <v/>
      </c>
      <c r="BD841" s="6">
        <f t="shared" si="71"/>
        <v>0</v>
      </c>
      <c r="BE841" s="6">
        <f t="shared" si="72"/>
        <v>0</v>
      </c>
      <c r="BF841" s="9" t="str">
        <f t="shared" si="73"/>
        <v/>
      </c>
      <c r="BG841" s="6">
        <f t="shared" si="74"/>
        <v>0</v>
      </c>
      <c r="BH841" s="6">
        <f t="shared" si="75"/>
        <v>0</v>
      </c>
      <c r="BI841" s="9" t="str">
        <f t="shared" si="76"/>
        <v/>
      </c>
      <c r="BJ841" s="6">
        <f t="shared" si="77"/>
        <v>0</v>
      </c>
      <c r="BK841" s="6">
        <f t="shared" si="78"/>
        <v>0</v>
      </c>
      <c r="BL841" s="6">
        <f t="shared" si="79"/>
        <v>0</v>
      </c>
      <c r="BM841" s="6">
        <f t="shared" si="80"/>
        <v>0</v>
      </c>
      <c r="BN841" s="6">
        <f t="shared" si="81"/>
        <v>0</v>
      </c>
      <c r="BP841" s="6">
        <f t="shared" si="82"/>
        <v>0</v>
      </c>
      <c r="BQ841" s="6" t="b">
        <f ca="1">IFERROR(__xludf.DUMMYFUNCTION("IF(AND(ISERROR(FILTER('Items by Team'!D$2:D3410,'Items by Team'!C$2:C3410 = D841,'Items by Team'!B$2:B3410 = B841)),NOT(A841=""Practice"")),TRUE,FALSE)"),FALSE)</f>
        <v>0</v>
      </c>
      <c r="BR841" s="6">
        <f t="shared" ca="1" si="83"/>
        <v>0</v>
      </c>
    </row>
    <row r="842" spans="1:70">
      <c r="A842" s="6"/>
      <c r="B842" s="6"/>
      <c r="C842" s="6"/>
      <c r="D842" s="6"/>
      <c r="E842" s="6"/>
      <c r="F842" s="6"/>
      <c r="G842" s="6"/>
      <c r="H842" s="6"/>
      <c r="I842" s="6"/>
      <c r="J842" s="6"/>
      <c r="K842" s="6"/>
      <c r="L842" s="6"/>
      <c r="M842" s="6"/>
      <c r="N842" s="6"/>
      <c r="O842" s="6"/>
      <c r="P842" s="6"/>
      <c r="R842" s="6"/>
      <c r="S842" s="6"/>
      <c r="T842" s="6"/>
      <c r="U842" s="6"/>
      <c r="V842" s="6"/>
      <c r="W842" s="6"/>
      <c r="X842" s="6"/>
      <c r="Y842" s="6"/>
      <c r="Z842" s="6"/>
      <c r="AA842" s="6"/>
      <c r="AB842" s="6"/>
      <c r="AD842" s="6"/>
      <c r="AE842" s="6"/>
      <c r="AF842" s="6"/>
      <c r="AG842" s="6"/>
      <c r="AH842" s="6"/>
      <c r="AI842" s="6"/>
      <c r="AK842" s="6"/>
      <c r="AL842" s="6"/>
      <c r="AM842" s="6"/>
      <c r="AN842" s="6"/>
      <c r="AO842" s="6"/>
      <c r="AP842" s="6"/>
      <c r="AQ842" s="6"/>
      <c r="AR842" s="6"/>
      <c r="AS842" s="15"/>
      <c r="AT842" s="6" t="str">
        <f ca="1">IFERROR(__xludf.DUMMYFUNCTION("""COMPUTED_VALUE"""),"#N/A")</f>
        <v>#N/A</v>
      </c>
      <c r="AU842" s="6" t="str">
        <f ca="1">IFERROR(__xludf.DUMMYFUNCTION("""COMPUTED_VALUE"""),"FALSE")</f>
        <v>FALSE</v>
      </c>
      <c r="AV842" s="6">
        <f t="shared" si="63"/>
        <v>0</v>
      </c>
      <c r="AW842" s="6">
        <f t="shared" si="64"/>
        <v>0</v>
      </c>
      <c r="AX842" s="6">
        <f t="shared" si="65"/>
        <v>0</v>
      </c>
      <c r="AY842" s="6">
        <f t="shared" si="66"/>
        <v>0</v>
      </c>
      <c r="AZ842" s="9" t="str">
        <f t="shared" si="67"/>
        <v/>
      </c>
      <c r="BA842" s="6">
        <f t="shared" si="68"/>
        <v>0</v>
      </c>
      <c r="BB842" s="6">
        <f t="shared" si="69"/>
        <v>0</v>
      </c>
      <c r="BC842" s="9" t="str">
        <f t="shared" si="70"/>
        <v/>
      </c>
      <c r="BD842" s="6">
        <f t="shared" si="71"/>
        <v>0</v>
      </c>
      <c r="BE842" s="6">
        <f t="shared" si="72"/>
        <v>0</v>
      </c>
      <c r="BF842" s="9" t="str">
        <f t="shared" si="73"/>
        <v/>
      </c>
      <c r="BG842" s="6">
        <f t="shared" si="74"/>
        <v>0</v>
      </c>
      <c r="BH842" s="6">
        <f t="shared" si="75"/>
        <v>0</v>
      </c>
      <c r="BI842" s="9" t="str">
        <f t="shared" si="76"/>
        <v/>
      </c>
      <c r="BJ842" s="6">
        <f t="shared" si="77"/>
        <v>0</v>
      </c>
      <c r="BK842" s="6">
        <f t="shared" si="78"/>
        <v>0</v>
      </c>
      <c r="BL842" s="6">
        <f t="shared" si="79"/>
        <v>0</v>
      </c>
      <c r="BM842" s="6">
        <f t="shared" si="80"/>
        <v>0</v>
      </c>
      <c r="BN842" s="6">
        <f t="shared" si="81"/>
        <v>0</v>
      </c>
      <c r="BP842" s="6">
        <f t="shared" si="82"/>
        <v>0</v>
      </c>
      <c r="BQ842" s="6" t="b">
        <f ca="1">IFERROR(__xludf.DUMMYFUNCTION("IF(AND(ISERROR(FILTER('Items by Team'!D$2:D3410,'Items by Team'!C$2:C3410 = D842,'Items by Team'!B$2:B3410 = B842)),NOT(A842=""Practice"")),TRUE,FALSE)"),FALSE)</f>
        <v>0</v>
      </c>
      <c r="BR842" s="6">
        <f t="shared" ca="1" si="83"/>
        <v>0</v>
      </c>
    </row>
    <row r="843" spans="1:70">
      <c r="A843" s="6"/>
      <c r="B843" s="6"/>
      <c r="C843" s="6"/>
      <c r="D843" s="6"/>
      <c r="E843" s="6"/>
      <c r="F843" s="6"/>
      <c r="G843" s="6"/>
      <c r="H843" s="6"/>
      <c r="I843" s="6"/>
      <c r="J843" s="6"/>
      <c r="K843" s="6"/>
      <c r="L843" s="6"/>
      <c r="M843" s="6"/>
      <c r="N843" s="6"/>
      <c r="O843" s="6"/>
      <c r="P843" s="6"/>
      <c r="R843" s="6"/>
      <c r="S843" s="6"/>
      <c r="T843" s="6"/>
      <c r="U843" s="6"/>
      <c r="V843" s="6"/>
      <c r="W843" s="6"/>
      <c r="X843" s="6"/>
      <c r="Y843" s="6"/>
      <c r="Z843" s="6"/>
      <c r="AA843" s="6"/>
      <c r="AB843" s="6"/>
      <c r="AD843" s="6"/>
      <c r="AE843" s="6"/>
      <c r="AF843" s="6"/>
      <c r="AG843" s="6"/>
      <c r="AH843" s="6"/>
      <c r="AI843" s="6"/>
      <c r="AK843" s="6"/>
      <c r="AL843" s="6"/>
      <c r="AM843" s="6"/>
      <c r="AN843" s="6"/>
      <c r="AO843" s="6"/>
      <c r="AP843" s="6"/>
      <c r="AQ843" s="6"/>
      <c r="AR843" s="6"/>
      <c r="AS843" s="15"/>
      <c r="AT843" s="6" t="str">
        <f ca="1">IFERROR(__xludf.DUMMYFUNCTION("""COMPUTED_VALUE"""),"#N/A")</f>
        <v>#N/A</v>
      </c>
      <c r="AU843" s="6" t="str">
        <f ca="1">IFERROR(__xludf.DUMMYFUNCTION("""COMPUTED_VALUE"""),"FALSE")</f>
        <v>FALSE</v>
      </c>
      <c r="AV843" s="6">
        <f t="shared" si="63"/>
        <v>0</v>
      </c>
      <c r="AW843" s="6">
        <f t="shared" si="64"/>
        <v>0</v>
      </c>
      <c r="AX843" s="6">
        <f t="shared" si="65"/>
        <v>0</v>
      </c>
      <c r="AY843" s="6">
        <f t="shared" si="66"/>
        <v>0</v>
      </c>
      <c r="AZ843" s="9" t="str">
        <f t="shared" si="67"/>
        <v/>
      </c>
      <c r="BA843" s="6">
        <f t="shared" si="68"/>
        <v>0</v>
      </c>
      <c r="BB843" s="6">
        <f t="shared" si="69"/>
        <v>0</v>
      </c>
      <c r="BC843" s="9" t="str">
        <f t="shared" si="70"/>
        <v/>
      </c>
      <c r="BD843" s="6">
        <f t="shared" si="71"/>
        <v>0</v>
      </c>
      <c r="BE843" s="6">
        <f t="shared" si="72"/>
        <v>0</v>
      </c>
      <c r="BF843" s="9" t="str">
        <f t="shared" si="73"/>
        <v/>
      </c>
      <c r="BG843" s="6">
        <f t="shared" si="74"/>
        <v>0</v>
      </c>
      <c r="BH843" s="6">
        <f t="shared" si="75"/>
        <v>0</v>
      </c>
      <c r="BI843" s="9" t="str">
        <f t="shared" si="76"/>
        <v/>
      </c>
      <c r="BJ843" s="6">
        <f t="shared" si="77"/>
        <v>0</v>
      </c>
      <c r="BK843" s="6">
        <f t="shared" si="78"/>
        <v>0</v>
      </c>
      <c r="BL843" s="6">
        <f t="shared" si="79"/>
        <v>0</v>
      </c>
      <c r="BM843" s="6">
        <f t="shared" si="80"/>
        <v>0</v>
      </c>
      <c r="BN843" s="6">
        <f t="shared" si="81"/>
        <v>0</v>
      </c>
      <c r="BP843" s="6">
        <f t="shared" si="82"/>
        <v>0</v>
      </c>
      <c r="BQ843" s="6" t="b">
        <f ca="1">IFERROR(__xludf.DUMMYFUNCTION("IF(AND(ISERROR(FILTER('Items by Team'!D$2:D3410,'Items by Team'!C$2:C3410 = D843,'Items by Team'!B$2:B3410 = B843)),NOT(A843=""Practice"")),TRUE,FALSE)"),FALSE)</f>
        <v>0</v>
      </c>
      <c r="BR843" s="6">
        <f t="shared" ca="1" si="83"/>
        <v>0</v>
      </c>
    </row>
    <row r="844" spans="1:70">
      <c r="A844" s="6"/>
      <c r="B844" s="6"/>
      <c r="C844" s="6"/>
      <c r="D844" s="6"/>
      <c r="E844" s="6"/>
      <c r="F844" s="6"/>
      <c r="G844" s="6"/>
      <c r="H844" s="6"/>
      <c r="I844" s="6"/>
      <c r="J844" s="6"/>
      <c r="K844" s="6"/>
      <c r="L844" s="6"/>
      <c r="M844" s="6"/>
      <c r="N844" s="6"/>
      <c r="O844" s="6"/>
      <c r="P844" s="6"/>
      <c r="R844" s="6"/>
      <c r="S844" s="6"/>
      <c r="T844" s="6"/>
      <c r="U844" s="6"/>
      <c r="V844" s="6"/>
      <c r="W844" s="6"/>
      <c r="X844" s="6"/>
      <c r="Y844" s="6"/>
      <c r="Z844" s="6"/>
      <c r="AA844" s="6"/>
      <c r="AB844" s="6"/>
      <c r="AD844" s="6"/>
      <c r="AE844" s="6"/>
      <c r="AF844" s="6"/>
      <c r="AG844" s="6"/>
      <c r="AH844" s="6"/>
      <c r="AI844" s="6"/>
      <c r="AK844" s="6"/>
      <c r="AL844" s="6"/>
      <c r="AM844" s="6"/>
      <c r="AN844" s="6"/>
      <c r="AO844" s="6"/>
      <c r="AP844" s="6"/>
      <c r="AQ844" s="6"/>
      <c r="AR844" s="6"/>
      <c r="AS844" s="15"/>
      <c r="AT844" s="6" t="str">
        <f ca="1">IFERROR(__xludf.DUMMYFUNCTION("""COMPUTED_VALUE"""),"#N/A")</f>
        <v>#N/A</v>
      </c>
      <c r="AU844" s="6" t="str">
        <f ca="1">IFERROR(__xludf.DUMMYFUNCTION("""COMPUTED_VALUE"""),"FALSE")</f>
        <v>FALSE</v>
      </c>
      <c r="AV844" s="6">
        <f t="shared" si="63"/>
        <v>0</v>
      </c>
      <c r="AW844" s="6">
        <f t="shared" si="64"/>
        <v>0</v>
      </c>
      <c r="AX844" s="6">
        <f t="shared" si="65"/>
        <v>0</v>
      </c>
      <c r="AY844" s="6">
        <f t="shared" si="66"/>
        <v>0</v>
      </c>
      <c r="AZ844" s="9" t="str">
        <f t="shared" si="67"/>
        <v/>
      </c>
      <c r="BA844" s="6">
        <f t="shared" si="68"/>
        <v>0</v>
      </c>
      <c r="BB844" s="6">
        <f t="shared" si="69"/>
        <v>0</v>
      </c>
      <c r="BC844" s="9" t="str">
        <f t="shared" si="70"/>
        <v/>
      </c>
      <c r="BD844" s="6">
        <f t="shared" si="71"/>
        <v>0</v>
      </c>
      <c r="BE844" s="6">
        <f t="shared" si="72"/>
        <v>0</v>
      </c>
      <c r="BF844" s="9" t="str">
        <f t="shared" si="73"/>
        <v/>
      </c>
      <c r="BG844" s="6">
        <f t="shared" si="74"/>
        <v>0</v>
      </c>
      <c r="BH844" s="6">
        <f t="shared" si="75"/>
        <v>0</v>
      </c>
      <c r="BI844" s="9" t="str">
        <f t="shared" si="76"/>
        <v/>
      </c>
      <c r="BJ844" s="6">
        <f t="shared" si="77"/>
        <v>0</v>
      </c>
      <c r="BK844" s="6">
        <f t="shared" si="78"/>
        <v>0</v>
      </c>
      <c r="BL844" s="6">
        <f t="shared" si="79"/>
        <v>0</v>
      </c>
      <c r="BM844" s="6">
        <f t="shared" si="80"/>
        <v>0</v>
      </c>
      <c r="BN844" s="6">
        <f t="shared" si="81"/>
        <v>0</v>
      </c>
      <c r="BP844" s="6">
        <f t="shared" si="82"/>
        <v>0</v>
      </c>
      <c r="BQ844" s="6" t="b">
        <f ca="1">IFERROR(__xludf.DUMMYFUNCTION("IF(AND(ISERROR(FILTER('Items by Team'!D$2:D3410,'Items by Team'!C$2:C3410 = D844,'Items by Team'!B$2:B3410 = B844)),NOT(A844=""Practice"")),TRUE,FALSE)"),FALSE)</f>
        <v>0</v>
      </c>
      <c r="BR844" s="6">
        <f t="shared" ca="1" si="83"/>
        <v>0</v>
      </c>
    </row>
    <row r="845" spans="1:70">
      <c r="A845" s="6"/>
      <c r="B845" s="6"/>
      <c r="C845" s="6"/>
      <c r="D845" s="6"/>
      <c r="E845" s="6"/>
      <c r="F845" s="6"/>
      <c r="G845" s="6"/>
      <c r="H845" s="6"/>
      <c r="I845" s="6"/>
      <c r="J845" s="6"/>
      <c r="K845" s="6"/>
      <c r="L845" s="6"/>
      <c r="M845" s="6"/>
      <c r="N845" s="6"/>
      <c r="O845" s="6"/>
      <c r="P845" s="6"/>
      <c r="R845" s="6"/>
      <c r="S845" s="6"/>
      <c r="T845" s="6"/>
      <c r="U845" s="6"/>
      <c r="V845" s="6"/>
      <c r="W845" s="6"/>
      <c r="X845" s="6"/>
      <c r="Y845" s="6"/>
      <c r="Z845" s="6"/>
      <c r="AA845" s="6"/>
      <c r="AB845" s="6"/>
      <c r="AD845" s="6"/>
      <c r="AE845" s="6"/>
      <c r="AF845" s="6"/>
      <c r="AG845" s="6"/>
      <c r="AH845" s="6"/>
      <c r="AI845" s="6"/>
      <c r="AK845" s="6"/>
      <c r="AL845" s="6"/>
      <c r="AM845" s="6"/>
      <c r="AN845" s="6"/>
      <c r="AO845" s="6"/>
      <c r="AP845" s="6"/>
      <c r="AQ845" s="6"/>
      <c r="AR845" s="6"/>
      <c r="AS845" s="15"/>
      <c r="AT845" s="6" t="str">
        <f ca="1">IFERROR(__xludf.DUMMYFUNCTION("""COMPUTED_VALUE"""),"#N/A")</f>
        <v>#N/A</v>
      </c>
      <c r="AU845" s="6" t="str">
        <f ca="1">IFERROR(__xludf.DUMMYFUNCTION("""COMPUTED_VALUE"""),"FALSE")</f>
        <v>FALSE</v>
      </c>
      <c r="AV845" s="6">
        <f t="shared" si="63"/>
        <v>0</v>
      </c>
      <c r="AW845" s="6">
        <f t="shared" si="64"/>
        <v>0</v>
      </c>
      <c r="AX845" s="6">
        <f t="shared" si="65"/>
        <v>0</v>
      </c>
      <c r="AY845" s="6">
        <f t="shared" si="66"/>
        <v>0</v>
      </c>
      <c r="AZ845" s="9" t="str">
        <f t="shared" si="67"/>
        <v/>
      </c>
      <c r="BA845" s="6">
        <f t="shared" si="68"/>
        <v>0</v>
      </c>
      <c r="BB845" s="6">
        <f t="shared" si="69"/>
        <v>0</v>
      </c>
      <c r="BC845" s="9" t="str">
        <f t="shared" si="70"/>
        <v/>
      </c>
      <c r="BD845" s="6">
        <f t="shared" si="71"/>
        <v>0</v>
      </c>
      <c r="BE845" s="6">
        <f t="shared" si="72"/>
        <v>0</v>
      </c>
      <c r="BF845" s="9" t="str">
        <f t="shared" si="73"/>
        <v/>
      </c>
      <c r="BG845" s="6">
        <f t="shared" si="74"/>
        <v>0</v>
      </c>
      <c r="BH845" s="6">
        <f t="shared" si="75"/>
        <v>0</v>
      </c>
      <c r="BI845" s="9" t="str">
        <f t="shared" si="76"/>
        <v/>
      </c>
      <c r="BJ845" s="6">
        <f t="shared" si="77"/>
        <v>0</v>
      </c>
      <c r="BK845" s="6">
        <f t="shared" si="78"/>
        <v>0</v>
      </c>
      <c r="BL845" s="6">
        <f t="shared" si="79"/>
        <v>0</v>
      </c>
      <c r="BM845" s="6">
        <f t="shared" si="80"/>
        <v>0</v>
      </c>
      <c r="BN845" s="6">
        <f t="shared" si="81"/>
        <v>0</v>
      </c>
      <c r="BP845" s="6">
        <f t="shared" si="82"/>
        <v>0</v>
      </c>
      <c r="BQ845" s="6" t="b">
        <f ca="1">IFERROR(__xludf.DUMMYFUNCTION("IF(AND(ISERROR(FILTER('Items by Team'!D$2:D3410,'Items by Team'!C$2:C3410 = D845,'Items by Team'!B$2:B3410 = B845)),NOT(A845=""Practice"")),TRUE,FALSE)"),FALSE)</f>
        <v>0</v>
      </c>
      <c r="BR845" s="6">
        <f t="shared" ca="1" si="83"/>
        <v>0</v>
      </c>
    </row>
    <row r="846" spans="1:70">
      <c r="A846" s="6"/>
      <c r="B846" s="6"/>
      <c r="C846" s="6"/>
      <c r="D846" s="6"/>
      <c r="E846" s="6"/>
      <c r="F846" s="6"/>
      <c r="G846" s="6"/>
      <c r="H846" s="6"/>
      <c r="I846" s="6"/>
      <c r="J846" s="6"/>
      <c r="K846" s="6"/>
      <c r="L846" s="6"/>
      <c r="M846" s="6"/>
      <c r="N846" s="6"/>
      <c r="O846" s="6"/>
      <c r="P846" s="6"/>
      <c r="R846" s="6"/>
      <c r="S846" s="6"/>
      <c r="T846" s="6"/>
      <c r="U846" s="6"/>
      <c r="V846" s="6"/>
      <c r="W846" s="6"/>
      <c r="X846" s="6"/>
      <c r="Y846" s="6"/>
      <c r="Z846" s="6"/>
      <c r="AA846" s="6"/>
      <c r="AB846" s="6"/>
      <c r="AD846" s="6"/>
      <c r="AE846" s="6"/>
      <c r="AF846" s="6"/>
      <c r="AG846" s="6"/>
      <c r="AH846" s="6"/>
      <c r="AI846" s="6"/>
      <c r="AK846" s="6"/>
      <c r="AL846" s="6"/>
      <c r="AM846" s="6"/>
      <c r="AN846" s="6"/>
      <c r="AO846" s="6"/>
      <c r="AP846" s="6"/>
      <c r="AQ846" s="6"/>
      <c r="AR846" s="6"/>
      <c r="AS846" s="15"/>
      <c r="AT846" s="6" t="str">
        <f ca="1">IFERROR(__xludf.DUMMYFUNCTION("""COMPUTED_VALUE"""),"#N/A")</f>
        <v>#N/A</v>
      </c>
      <c r="AU846" s="6" t="str">
        <f ca="1">IFERROR(__xludf.DUMMYFUNCTION("""COMPUTED_VALUE"""),"FALSE")</f>
        <v>FALSE</v>
      </c>
      <c r="AV846" s="6">
        <f t="shared" si="63"/>
        <v>0</v>
      </c>
      <c r="AW846" s="6">
        <f t="shared" si="64"/>
        <v>0</v>
      </c>
      <c r="AX846" s="6">
        <f t="shared" si="65"/>
        <v>0</v>
      </c>
      <c r="AY846" s="6">
        <f t="shared" si="66"/>
        <v>0</v>
      </c>
      <c r="AZ846" s="9" t="str">
        <f t="shared" si="67"/>
        <v/>
      </c>
      <c r="BA846" s="6">
        <f t="shared" si="68"/>
        <v>0</v>
      </c>
      <c r="BB846" s="6">
        <f t="shared" si="69"/>
        <v>0</v>
      </c>
      <c r="BC846" s="9" t="str">
        <f t="shared" si="70"/>
        <v/>
      </c>
      <c r="BD846" s="6">
        <f t="shared" si="71"/>
        <v>0</v>
      </c>
      <c r="BE846" s="6">
        <f t="shared" si="72"/>
        <v>0</v>
      </c>
      <c r="BF846" s="9" t="str">
        <f t="shared" si="73"/>
        <v/>
      </c>
      <c r="BG846" s="6">
        <f t="shared" si="74"/>
        <v>0</v>
      </c>
      <c r="BH846" s="6">
        <f t="shared" si="75"/>
        <v>0</v>
      </c>
      <c r="BI846" s="9" t="str">
        <f t="shared" si="76"/>
        <v/>
      </c>
      <c r="BJ846" s="6">
        <f t="shared" si="77"/>
        <v>0</v>
      </c>
      <c r="BK846" s="6">
        <f t="shared" si="78"/>
        <v>0</v>
      </c>
      <c r="BL846" s="6">
        <f t="shared" si="79"/>
        <v>0</v>
      </c>
      <c r="BM846" s="6">
        <f t="shared" si="80"/>
        <v>0</v>
      </c>
      <c r="BN846" s="6">
        <f t="shared" si="81"/>
        <v>0</v>
      </c>
      <c r="BP846" s="6">
        <f t="shared" si="82"/>
        <v>0</v>
      </c>
      <c r="BQ846" s="6" t="b">
        <f ca="1">IFERROR(__xludf.DUMMYFUNCTION("IF(AND(ISERROR(FILTER('Items by Team'!D$2:D3410,'Items by Team'!C$2:C3410 = D846,'Items by Team'!B$2:B3410 = B846)),NOT(A846=""Practice"")),TRUE,FALSE)"),FALSE)</f>
        <v>0</v>
      </c>
      <c r="BR846" s="6">
        <f t="shared" ca="1" si="83"/>
        <v>0</v>
      </c>
    </row>
    <row r="847" spans="1:70">
      <c r="A847" s="6"/>
      <c r="B847" s="6"/>
      <c r="C847" s="6"/>
      <c r="D847" s="6"/>
      <c r="E847" s="6"/>
      <c r="F847" s="6"/>
      <c r="G847" s="6"/>
      <c r="H847" s="6"/>
      <c r="I847" s="6"/>
      <c r="J847" s="6"/>
      <c r="K847" s="6"/>
      <c r="L847" s="6"/>
      <c r="M847" s="6"/>
      <c r="N847" s="6"/>
      <c r="O847" s="6"/>
      <c r="P847" s="6"/>
      <c r="R847" s="6"/>
      <c r="S847" s="6"/>
      <c r="T847" s="6"/>
      <c r="U847" s="6"/>
      <c r="V847" s="6"/>
      <c r="W847" s="6"/>
      <c r="X847" s="6"/>
      <c r="Y847" s="6"/>
      <c r="Z847" s="6"/>
      <c r="AA847" s="6"/>
      <c r="AB847" s="6"/>
      <c r="AD847" s="6"/>
      <c r="AE847" s="6"/>
      <c r="AF847" s="6"/>
      <c r="AG847" s="6"/>
      <c r="AH847" s="6"/>
      <c r="AI847" s="6"/>
      <c r="AK847" s="6"/>
      <c r="AL847" s="6"/>
      <c r="AM847" s="6"/>
      <c r="AN847" s="6"/>
      <c r="AO847" s="6"/>
      <c r="AP847" s="6"/>
      <c r="AQ847" s="6"/>
      <c r="AR847" s="6"/>
      <c r="AS847" s="15"/>
      <c r="AT847" s="6" t="str">
        <f ca="1">IFERROR(__xludf.DUMMYFUNCTION("""COMPUTED_VALUE"""),"#N/A")</f>
        <v>#N/A</v>
      </c>
      <c r="AU847" s="6" t="str">
        <f ca="1">IFERROR(__xludf.DUMMYFUNCTION("""COMPUTED_VALUE"""),"FALSE")</f>
        <v>FALSE</v>
      </c>
      <c r="AV847" s="6">
        <f t="shared" si="63"/>
        <v>0</v>
      </c>
      <c r="AW847" s="6">
        <f t="shared" si="64"/>
        <v>0</v>
      </c>
      <c r="AX847" s="6">
        <f t="shared" si="65"/>
        <v>0</v>
      </c>
      <c r="AY847" s="6">
        <f t="shared" si="66"/>
        <v>0</v>
      </c>
      <c r="AZ847" s="9" t="str">
        <f t="shared" si="67"/>
        <v/>
      </c>
      <c r="BA847" s="6">
        <f t="shared" si="68"/>
        <v>0</v>
      </c>
      <c r="BB847" s="6">
        <f t="shared" si="69"/>
        <v>0</v>
      </c>
      <c r="BC847" s="9" t="str">
        <f t="shared" si="70"/>
        <v/>
      </c>
      <c r="BD847" s="6">
        <f t="shared" si="71"/>
        <v>0</v>
      </c>
      <c r="BE847" s="6">
        <f t="shared" si="72"/>
        <v>0</v>
      </c>
      <c r="BF847" s="9" t="str">
        <f t="shared" si="73"/>
        <v/>
      </c>
      <c r="BG847" s="6">
        <f t="shared" si="74"/>
        <v>0</v>
      </c>
      <c r="BH847" s="6">
        <f t="shared" si="75"/>
        <v>0</v>
      </c>
      <c r="BI847" s="9" t="str">
        <f t="shared" si="76"/>
        <v/>
      </c>
      <c r="BJ847" s="6">
        <f t="shared" si="77"/>
        <v>0</v>
      </c>
      <c r="BK847" s="6">
        <f t="shared" si="78"/>
        <v>0</v>
      </c>
      <c r="BL847" s="6">
        <f t="shared" si="79"/>
        <v>0</v>
      </c>
      <c r="BM847" s="6">
        <f t="shared" si="80"/>
        <v>0</v>
      </c>
      <c r="BN847" s="6">
        <f t="shared" si="81"/>
        <v>0</v>
      </c>
      <c r="BP847" s="6">
        <f t="shared" si="82"/>
        <v>0</v>
      </c>
      <c r="BQ847" s="6" t="b">
        <f ca="1">IFERROR(__xludf.DUMMYFUNCTION("IF(AND(ISERROR(FILTER('Items by Team'!D$2:D3410,'Items by Team'!C$2:C3410 = D847,'Items by Team'!B$2:B3410 = B847)),NOT(A847=""Practice"")),TRUE,FALSE)"),FALSE)</f>
        <v>0</v>
      </c>
      <c r="BR847" s="6">
        <f t="shared" ca="1" si="83"/>
        <v>0</v>
      </c>
    </row>
    <row r="848" spans="1:70">
      <c r="A848" s="6"/>
      <c r="B848" s="6"/>
      <c r="C848" s="6"/>
      <c r="D848" s="6"/>
      <c r="E848" s="6"/>
      <c r="F848" s="6"/>
      <c r="G848" s="6"/>
      <c r="H848" s="6"/>
      <c r="I848" s="6"/>
      <c r="J848" s="6"/>
      <c r="K848" s="6"/>
      <c r="L848" s="6"/>
      <c r="M848" s="6"/>
      <c r="N848" s="6"/>
      <c r="O848" s="6"/>
      <c r="P848" s="6"/>
      <c r="R848" s="6"/>
      <c r="S848" s="6"/>
      <c r="T848" s="6"/>
      <c r="U848" s="6"/>
      <c r="V848" s="6"/>
      <c r="W848" s="6"/>
      <c r="X848" s="6"/>
      <c r="Y848" s="6"/>
      <c r="Z848" s="6"/>
      <c r="AA848" s="6"/>
      <c r="AB848" s="6"/>
      <c r="AD848" s="6"/>
      <c r="AE848" s="6"/>
      <c r="AF848" s="6"/>
      <c r="AG848" s="6"/>
      <c r="AH848" s="6"/>
      <c r="AI848" s="6"/>
      <c r="AK848" s="6"/>
      <c r="AL848" s="6"/>
      <c r="AM848" s="6"/>
      <c r="AN848" s="6"/>
      <c r="AO848" s="6"/>
      <c r="AP848" s="6"/>
      <c r="AQ848" s="6"/>
      <c r="AR848" s="6"/>
      <c r="AS848" s="15"/>
      <c r="AT848" s="6" t="str">
        <f ca="1">IFERROR(__xludf.DUMMYFUNCTION("""COMPUTED_VALUE"""),"#N/A")</f>
        <v>#N/A</v>
      </c>
      <c r="AU848" s="6" t="str">
        <f ca="1">IFERROR(__xludf.DUMMYFUNCTION("""COMPUTED_VALUE"""),"FALSE")</f>
        <v>FALSE</v>
      </c>
      <c r="AV848" s="6">
        <f t="shared" si="63"/>
        <v>0</v>
      </c>
      <c r="AW848" s="6">
        <f t="shared" si="64"/>
        <v>0</v>
      </c>
      <c r="AX848" s="6">
        <f t="shared" si="65"/>
        <v>0</v>
      </c>
      <c r="AY848" s="6">
        <f t="shared" si="66"/>
        <v>0</v>
      </c>
      <c r="AZ848" s="9" t="str">
        <f t="shared" si="67"/>
        <v/>
      </c>
      <c r="BA848" s="6">
        <f t="shared" si="68"/>
        <v>0</v>
      </c>
      <c r="BB848" s="6">
        <f t="shared" si="69"/>
        <v>0</v>
      </c>
      <c r="BC848" s="9" t="str">
        <f t="shared" si="70"/>
        <v/>
      </c>
      <c r="BD848" s="6">
        <f t="shared" si="71"/>
        <v>0</v>
      </c>
      <c r="BE848" s="6">
        <f t="shared" si="72"/>
        <v>0</v>
      </c>
      <c r="BF848" s="9" t="str">
        <f t="shared" si="73"/>
        <v/>
      </c>
      <c r="BG848" s="6">
        <f t="shared" si="74"/>
        <v>0</v>
      </c>
      <c r="BH848" s="6">
        <f t="shared" si="75"/>
        <v>0</v>
      </c>
      <c r="BI848" s="9" t="str">
        <f t="shared" si="76"/>
        <v/>
      </c>
      <c r="BJ848" s="6">
        <f t="shared" si="77"/>
        <v>0</v>
      </c>
      <c r="BK848" s="6">
        <f t="shared" si="78"/>
        <v>0</v>
      </c>
      <c r="BL848" s="6">
        <f t="shared" si="79"/>
        <v>0</v>
      </c>
      <c r="BM848" s="6">
        <f t="shared" si="80"/>
        <v>0</v>
      </c>
      <c r="BN848" s="6">
        <f t="shared" si="81"/>
        <v>0</v>
      </c>
      <c r="BP848" s="6">
        <f t="shared" si="82"/>
        <v>0</v>
      </c>
      <c r="BQ848" s="6" t="b">
        <f ca="1">IFERROR(__xludf.DUMMYFUNCTION("IF(AND(ISERROR(FILTER('Items by Team'!D$2:D3410,'Items by Team'!C$2:C3410 = D848,'Items by Team'!B$2:B3410 = B848)),NOT(A848=""Practice"")),TRUE,FALSE)"),FALSE)</f>
        <v>0</v>
      </c>
      <c r="BR848" s="6">
        <f t="shared" ca="1" si="83"/>
        <v>0</v>
      </c>
    </row>
    <row r="849" spans="1:70">
      <c r="A849" s="6"/>
      <c r="B849" s="6"/>
      <c r="C849" s="6"/>
      <c r="D849" s="6"/>
      <c r="E849" s="6"/>
      <c r="F849" s="6"/>
      <c r="G849" s="6"/>
      <c r="H849" s="6"/>
      <c r="I849" s="6"/>
      <c r="J849" s="6"/>
      <c r="K849" s="6"/>
      <c r="L849" s="6"/>
      <c r="M849" s="6"/>
      <c r="N849" s="6"/>
      <c r="O849" s="6"/>
      <c r="P849" s="6"/>
      <c r="R849" s="6"/>
      <c r="S849" s="6"/>
      <c r="T849" s="6"/>
      <c r="U849" s="6"/>
      <c r="V849" s="6"/>
      <c r="W849" s="6"/>
      <c r="X849" s="6"/>
      <c r="Y849" s="6"/>
      <c r="Z849" s="6"/>
      <c r="AA849" s="6"/>
      <c r="AB849" s="6"/>
      <c r="AD849" s="6"/>
      <c r="AE849" s="6"/>
      <c r="AF849" s="6"/>
      <c r="AG849" s="6"/>
      <c r="AH849" s="6"/>
      <c r="AI849" s="6"/>
      <c r="AK849" s="6"/>
      <c r="AL849" s="6"/>
      <c r="AM849" s="6"/>
      <c r="AN849" s="6"/>
      <c r="AO849" s="6"/>
      <c r="AP849" s="6"/>
      <c r="AQ849" s="6"/>
      <c r="AR849" s="6"/>
      <c r="AS849" s="15"/>
      <c r="AT849" s="6" t="str">
        <f ca="1">IFERROR(__xludf.DUMMYFUNCTION("""COMPUTED_VALUE"""),"#N/A")</f>
        <v>#N/A</v>
      </c>
      <c r="AU849" s="6" t="str">
        <f ca="1">IFERROR(__xludf.DUMMYFUNCTION("""COMPUTED_VALUE"""),"FALSE")</f>
        <v>FALSE</v>
      </c>
      <c r="AV849" s="6">
        <f t="shared" si="63"/>
        <v>0</v>
      </c>
      <c r="AW849" s="6">
        <f t="shared" si="64"/>
        <v>0</v>
      </c>
      <c r="AX849" s="6">
        <f t="shared" si="65"/>
        <v>0</v>
      </c>
      <c r="AY849" s="6">
        <f t="shared" si="66"/>
        <v>0</v>
      </c>
      <c r="AZ849" s="9" t="str">
        <f t="shared" si="67"/>
        <v/>
      </c>
      <c r="BA849" s="6">
        <f t="shared" si="68"/>
        <v>0</v>
      </c>
      <c r="BB849" s="6">
        <f t="shared" si="69"/>
        <v>0</v>
      </c>
      <c r="BC849" s="9" t="str">
        <f t="shared" si="70"/>
        <v/>
      </c>
      <c r="BD849" s="6">
        <f t="shared" si="71"/>
        <v>0</v>
      </c>
      <c r="BE849" s="6">
        <f t="shared" si="72"/>
        <v>0</v>
      </c>
      <c r="BF849" s="9" t="str">
        <f t="shared" si="73"/>
        <v/>
      </c>
      <c r="BG849" s="6">
        <f t="shared" si="74"/>
        <v>0</v>
      </c>
      <c r="BH849" s="6">
        <f t="shared" si="75"/>
        <v>0</v>
      </c>
      <c r="BI849" s="9" t="str">
        <f t="shared" si="76"/>
        <v/>
      </c>
      <c r="BJ849" s="6">
        <f t="shared" si="77"/>
        <v>0</v>
      </c>
      <c r="BK849" s="6">
        <f t="shared" si="78"/>
        <v>0</v>
      </c>
      <c r="BL849" s="6">
        <f t="shared" si="79"/>
        <v>0</v>
      </c>
      <c r="BM849" s="6">
        <f t="shared" si="80"/>
        <v>0</v>
      </c>
      <c r="BN849" s="6">
        <f t="shared" si="81"/>
        <v>0</v>
      </c>
      <c r="BP849" s="6">
        <f t="shared" si="82"/>
        <v>0</v>
      </c>
      <c r="BQ849" s="6" t="b">
        <f ca="1">IFERROR(__xludf.DUMMYFUNCTION("IF(AND(ISERROR(FILTER('Items by Team'!D$2:D3410,'Items by Team'!C$2:C3410 = D849,'Items by Team'!B$2:B3410 = B849)),NOT(A849=""Practice"")),TRUE,FALSE)"),FALSE)</f>
        <v>0</v>
      </c>
      <c r="BR849" s="6">
        <f t="shared" ca="1" si="83"/>
        <v>0</v>
      </c>
    </row>
    <row r="850" spans="1:70">
      <c r="A850" s="6"/>
      <c r="B850" s="6"/>
      <c r="C850" s="6"/>
      <c r="D850" s="6"/>
      <c r="E850" s="6"/>
      <c r="F850" s="6"/>
      <c r="G850" s="6"/>
      <c r="H850" s="6"/>
      <c r="I850" s="6"/>
      <c r="J850" s="6"/>
      <c r="K850" s="6"/>
      <c r="L850" s="6"/>
      <c r="M850" s="6"/>
      <c r="N850" s="6"/>
      <c r="O850" s="6"/>
      <c r="P850" s="6"/>
      <c r="R850" s="6"/>
      <c r="S850" s="6"/>
      <c r="T850" s="6"/>
      <c r="U850" s="6"/>
      <c r="V850" s="6"/>
      <c r="W850" s="6"/>
      <c r="X850" s="6"/>
      <c r="Y850" s="6"/>
      <c r="Z850" s="6"/>
      <c r="AA850" s="6"/>
      <c r="AB850" s="6"/>
      <c r="AD850" s="6"/>
      <c r="AE850" s="6"/>
      <c r="AF850" s="6"/>
      <c r="AG850" s="6"/>
      <c r="AH850" s="6"/>
      <c r="AI850" s="6"/>
      <c r="AK850" s="6"/>
      <c r="AL850" s="6"/>
      <c r="AM850" s="6"/>
      <c r="AN850" s="6"/>
      <c r="AO850" s="6"/>
      <c r="AP850" s="6"/>
      <c r="AQ850" s="6"/>
      <c r="AR850" s="6"/>
      <c r="AS850" s="15"/>
      <c r="AT850" s="6" t="str">
        <f ca="1">IFERROR(__xludf.DUMMYFUNCTION("""COMPUTED_VALUE"""),"#N/A")</f>
        <v>#N/A</v>
      </c>
      <c r="AU850" s="6" t="str">
        <f ca="1">IFERROR(__xludf.DUMMYFUNCTION("""COMPUTED_VALUE"""),"FALSE")</f>
        <v>FALSE</v>
      </c>
      <c r="AV850" s="6">
        <f t="shared" si="63"/>
        <v>0</v>
      </c>
      <c r="AW850" s="6">
        <f t="shared" si="64"/>
        <v>0</v>
      </c>
      <c r="AX850" s="6">
        <f t="shared" si="65"/>
        <v>0</v>
      </c>
      <c r="AY850" s="6">
        <f t="shared" si="66"/>
        <v>0</v>
      </c>
      <c r="AZ850" s="9" t="str">
        <f t="shared" si="67"/>
        <v/>
      </c>
      <c r="BA850" s="6">
        <f t="shared" si="68"/>
        <v>0</v>
      </c>
      <c r="BB850" s="6">
        <f t="shared" si="69"/>
        <v>0</v>
      </c>
      <c r="BC850" s="9" t="str">
        <f t="shared" si="70"/>
        <v/>
      </c>
      <c r="BD850" s="6">
        <f t="shared" si="71"/>
        <v>0</v>
      </c>
      <c r="BE850" s="6">
        <f t="shared" si="72"/>
        <v>0</v>
      </c>
      <c r="BF850" s="9" t="str">
        <f t="shared" si="73"/>
        <v/>
      </c>
      <c r="BG850" s="6">
        <f t="shared" si="74"/>
        <v>0</v>
      </c>
      <c r="BH850" s="6">
        <f t="shared" si="75"/>
        <v>0</v>
      </c>
      <c r="BI850" s="9" t="str">
        <f t="shared" si="76"/>
        <v/>
      </c>
      <c r="BJ850" s="6">
        <f t="shared" si="77"/>
        <v>0</v>
      </c>
      <c r="BK850" s="6">
        <f t="shared" si="78"/>
        <v>0</v>
      </c>
      <c r="BL850" s="6">
        <f t="shared" si="79"/>
        <v>0</v>
      </c>
      <c r="BM850" s="6">
        <f t="shared" si="80"/>
        <v>0</v>
      </c>
      <c r="BN850" s="6">
        <f t="shared" si="81"/>
        <v>0</v>
      </c>
      <c r="BP850" s="6">
        <f t="shared" si="82"/>
        <v>0</v>
      </c>
      <c r="BQ850" s="6" t="b">
        <f ca="1">IFERROR(__xludf.DUMMYFUNCTION("IF(AND(ISERROR(FILTER('Items by Team'!D$2:D3410,'Items by Team'!C$2:C3410 = D850,'Items by Team'!B$2:B3410 = B850)),NOT(A850=""Practice"")),TRUE,FALSE)"),FALSE)</f>
        <v>0</v>
      </c>
      <c r="BR850" s="6">
        <f t="shared" ca="1" si="83"/>
        <v>0</v>
      </c>
    </row>
    <row r="851" spans="1:70">
      <c r="A851" s="6"/>
      <c r="B851" s="6"/>
      <c r="C851" s="6"/>
      <c r="D851" s="6"/>
      <c r="E851" s="6"/>
      <c r="F851" s="6"/>
      <c r="G851" s="6"/>
      <c r="H851" s="6"/>
      <c r="I851" s="6"/>
      <c r="J851" s="6"/>
      <c r="K851" s="6"/>
      <c r="L851" s="6"/>
      <c r="M851" s="6"/>
      <c r="N851" s="6"/>
      <c r="O851" s="6"/>
      <c r="P851" s="6"/>
      <c r="R851" s="6"/>
      <c r="S851" s="6"/>
      <c r="T851" s="6"/>
      <c r="U851" s="6"/>
      <c r="V851" s="6"/>
      <c r="W851" s="6"/>
      <c r="X851" s="6"/>
      <c r="Y851" s="6"/>
      <c r="Z851" s="6"/>
      <c r="AA851" s="6"/>
      <c r="AB851" s="6"/>
      <c r="AD851" s="6"/>
      <c r="AE851" s="6"/>
      <c r="AF851" s="6"/>
      <c r="AG851" s="6"/>
      <c r="AH851" s="6"/>
      <c r="AI851" s="6"/>
      <c r="AK851" s="6"/>
      <c r="AL851" s="6"/>
      <c r="AM851" s="6"/>
      <c r="AN851" s="6"/>
      <c r="AO851" s="6"/>
      <c r="AP851" s="6"/>
      <c r="AQ851" s="6"/>
      <c r="AR851" s="6"/>
      <c r="AS851" s="15"/>
      <c r="AT851" s="6" t="str">
        <f ca="1">IFERROR(__xludf.DUMMYFUNCTION("""COMPUTED_VALUE"""),"#N/A")</f>
        <v>#N/A</v>
      </c>
      <c r="AU851" s="6" t="str">
        <f ca="1">IFERROR(__xludf.DUMMYFUNCTION("""COMPUTED_VALUE"""),"FALSE")</f>
        <v>FALSE</v>
      </c>
      <c r="AV851" s="6">
        <f t="shared" si="63"/>
        <v>0</v>
      </c>
      <c r="AW851" s="6">
        <f t="shared" si="64"/>
        <v>0</v>
      </c>
      <c r="AX851" s="6">
        <f t="shared" si="65"/>
        <v>0</v>
      </c>
      <c r="AY851" s="6">
        <f t="shared" si="66"/>
        <v>0</v>
      </c>
      <c r="AZ851" s="9" t="str">
        <f t="shared" si="67"/>
        <v/>
      </c>
      <c r="BA851" s="6">
        <f t="shared" si="68"/>
        <v>0</v>
      </c>
      <c r="BB851" s="6">
        <f t="shared" si="69"/>
        <v>0</v>
      </c>
      <c r="BC851" s="9" t="str">
        <f t="shared" si="70"/>
        <v/>
      </c>
      <c r="BD851" s="6">
        <f t="shared" si="71"/>
        <v>0</v>
      </c>
      <c r="BE851" s="6">
        <f t="shared" si="72"/>
        <v>0</v>
      </c>
      <c r="BF851" s="9" t="str">
        <f t="shared" si="73"/>
        <v/>
      </c>
      <c r="BG851" s="6">
        <f t="shared" si="74"/>
        <v>0</v>
      </c>
      <c r="BH851" s="6">
        <f t="shared" si="75"/>
        <v>0</v>
      </c>
      <c r="BI851" s="9" t="str">
        <f t="shared" si="76"/>
        <v/>
      </c>
      <c r="BJ851" s="6">
        <f t="shared" si="77"/>
        <v>0</v>
      </c>
      <c r="BK851" s="6">
        <f t="shared" si="78"/>
        <v>0</v>
      </c>
      <c r="BL851" s="6">
        <f t="shared" si="79"/>
        <v>0</v>
      </c>
      <c r="BM851" s="6">
        <f t="shared" si="80"/>
        <v>0</v>
      </c>
      <c r="BN851" s="6">
        <f t="shared" si="81"/>
        <v>0</v>
      </c>
      <c r="BP851" s="6">
        <f t="shared" si="82"/>
        <v>0</v>
      </c>
      <c r="BQ851" s="6" t="b">
        <f ca="1">IFERROR(__xludf.DUMMYFUNCTION("IF(AND(ISERROR(FILTER('Items by Team'!D$2:D3410,'Items by Team'!C$2:C3410 = D851,'Items by Team'!B$2:B3410 = B851)),NOT(A851=""Practice"")),TRUE,FALSE)"),FALSE)</f>
        <v>0</v>
      </c>
      <c r="BR851" s="6">
        <f t="shared" ca="1" si="83"/>
        <v>0</v>
      </c>
    </row>
    <row r="852" spans="1:70">
      <c r="A852" s="6"/>
      <c r="B852" s="6"/>
      <c r="C852" s="6"/>
      <c r="D852" s="6"/>
      <c r="E852" s="6"/>
      <c r="F852" s="6"/>
      <c r="G852" s="6"/>
      <c r="H852" s="6"/>
      <c r="I852" s="6"/>
      <c r="J852" s="6"/>
      <c r="K852" s="6"/>
      <c r="L852" s="6"/>
      <c r="M852" s="6"/>
      <c r="N852" s="6"/>
      <c r="O852" s="6"/>
      <c r="P852" s="6"/>
      <c r="R852" s="6"/>
      <c r="S852" s="6"/>
      <c r="T852" s="6"/>
      <c r="U852" s="6"/>
      <c r="V852" s="6"/>
      <c r="W852" s="6"/>
      <c r="X852" s="6"/>
      <c r="Y852" s="6"/>
      <c r="Z852" s="6"/>
      <c r="AA852" s="6"/>
      <c r="AB852" s="6"/>
      <c r="AD852" s="6"/>
      <c r="AE852" s="6"/>
      <c r="AF852" s="6"/>
      <c r="AG852" s="6"/>
      <c r="AH852" s="6"/>
      <c r="AI852" s="6"/>
      <c r="AK852" s="6"/>
      <c r="AL852" s="6"/>
      <c r="AM852" s="6"/>
      <c r="AN852" s="6"/>
      <c r="AO852" s="6"/>
      <c r="AP852" s="6"/>
      <c r="AQ852" s="6"/>
      <c r="AR852" s="6"/>
      <c r="AS852" s="15"/>
      <c r="AT852" s="6" t="str">
        <f ca="1">IFERROR(__xludf.DUMMYFUNCTION("""COMPUTED_VALUE"""),"#N/A")</f>
        <v>#N/A</v>
      </c>
      <c r="AU852" s="6" t="str">
        <f ca="1">IFERROR(__xludf.DUMMYFUNCTION("""COMPUTED_VALUE"""),"FALSE")</f>
        <v>FALSE</v>
      </c>
      <c r="AV852" s="6">
        <f t="shared" si="63"/>
        <v>0</v>
      </c>
      <c r="AW852" s="6">
        <f t="shared" si="64"/>
        <v>0</v>
      </c>
      <c r="AX852" s="6">
        <f t="shared" si="65"/>
        <v>0</v>
      </c>
      <c r="AY852" s="6">
        <f t="shared" si="66"/>
        <v>0</v>
      </c>
      <c r="AZ852" s="9" t="str">
        <f t="shared" si="67"/>
        <v/>
      </c>
      <c r="BA852" s="6">
        <f t="shared" si="68"/>
        <v>0</v>
      </c>
      <c r="BB852" s="6">
        <f t="shared" si="69"/>
        <v>0</v>
      </c>
      <c r="BC852" s="9" t="str">
        <f t="shared" si="70"/>
        <v/>
      </c>
      <c r="BD852" s="6">
        <f t="shared" si="71"/>
        <v>0</v>
      </c>
      <c r="BE852" s="6">
        <f t="shared" si="72"/>
        <v>0</v>
      </c>
      <c r="BF852" s="9" t="str">
        <f t="shared" si="73"/>
        <v/>
      </c>
      <c r="BG852" s="6">
        <f t="shared" si="74"/>
        <v>0</v>
      </c>
      <c r="BH852" s="6">
        <f t="shared" si="75"/>
        <v>0</v>
      </c>
      <c r="BI852" s="9" t="str">
        <f t="shared" si="76"/>
        <v/>
      </c>
      <c r="BJ852" s="6">
        <f t="shared" si="77"/>
        <v>0</v>
      </c>
      <c r="BK852" s="6">
        <f t="shared" si="78"/>
        <v>0</v>
      </c>
      <c r="BL852" s="6">
        <f t="shared" si="79"/>
        <v>0</v>
      </c>
      <c r="BM852" s="6">
        <f t="shared" si="80"/>
        <v>0</v>
      </c>
      <c r="BN852" s="6">
        <f t="shared" si="81"/>
        <v>0</v>
      </c>
      <c r="BP852" s="6">
        <f t="shared" si="82"/>
        <v>0</v>
      </c>
      <c r="BQ852" s="6" t="b">
        <f ca="1">IFERROR(__xludf.DUMMYFUNCTION("IF(AND(ISERROR(FILTER('Items by Team'!D$2:D3410,'Items by Team'!C$2:C3410 = D852,'Items by Team'!B$2:B3410 = B852)),NOT(A852=""Practice"")),TRUE,FALSE)"),FALSE)</f>
        <v>0</v>
      </c>
      <c r="BR852" s="6">
        <f t="shared" ca="1" si="83"/>
        <v>0</v>
      </c>
    </row>
    <row r="853" spans="1:70">
      <c r="A853" s="6"/>
      <c r="B853" s="6"/>
      <c r="C853" s="6"/>
      <c r="D853" s="6"/>
      <c r="E853" s="6"/>
      <c r="F853" s="6"/>
      <c r="G853" s="6"/>
      <c r="H853" s="6"/>
      <c r="I853" s="6"/>
      <c r="J853" s="6"/>
      <c r="K853" s="6"/>
      <c r="L853" s="6"/>
      <c r="M853" s="6"/>
      <c r="N853" s="6"/>
      <c r="O853" s="6"/>
      <c r="P853" s="6"/>
      <c r="R853" s="6"/>
      <c r="S853" s="6"/>
      <c r="T853" s="6"/>
      <c r="U853" s="6"/>
      <c r="V853" s="6"/>
      <c r="W853" s="6"/>
      <c r="X853" s="6"/>
      <c r="Y853" s="6"/>
      <c r="Z853" s="6"/>
      <c r="AA853" s="6"/>
      <c r="AB853" s="6"/>
      <c r="AD853" s="6"/>
      <c r="AE853" s="6"/>
      <c r="AF853" s="6"/>
      <c r="AG853" s="6"/>
      <c r="AH853" s="6"/>
      <c r="AI853" s="6"/>
      <c r="AK853" s="6"/>
      <c r="AL853" s="6"/>
      <c r="AM853" s="6"/>
      <c r="AN853" s="6"/>
      <c r="AO853" s="6"/>
      <c r="AP853" s="6"/>
      <c r="AQ853" s="6"/>
      <c r="AR853" s="6"/>
      <c r="AS853" s="15"/>
      <c r="AT853" s="6" t="str">
        <f ca="1">IFERROR(__xludf.DUMMYFUNCTION("""COMPUTED_VALUE"""),"#N/A")</f>
        <v>#N/A</v>
      </c>
      <c r="AU853" s="6" t="str">
        <f ca="1">IFERROR(__xludf.DUMMYFUNCTION("""COMPUTED_VALUE"""),"FALSE")</f>
        <v>FALSE</v>
      </c>
      <c r="AV853" s="6">
        <f t="shared" si="63"/>
        <v>0</v>
      </c>
      <c r="AW853" s="6">
        <f t="shared" si="64"/>
        <v>0</v>
      </c>
      <c r="AX853" s="6">
        <f t="shared" si="65"/>
        <v>0</v>
      </c>
      <c r="AY853" s="6">
        <f t="shared" si="66"/>
        <v>0</v>
      </c>
      <c r="AZ853" s="9" t="str">
        <f t="shared" si="67"/>
        <v/>
      </c>
      <c r="BA853" s="6">
        <f t="shared" si="68"/>
        <v>0</v>
      </c>
      <c r="BB853" s="6">
        <f t="shared" si="69"/>
        <v>0</v>
      </c>
      <c r="BC853" s="9" t="str">
        <f t="shared" si="70"/>
        <v/>
      </c>
      <c r="BD853" s="6">
        <f t="shared" si="71"/>
        <v>0</v>
      </c>
      <c r="BE853" s="6">
        <f t="shared" si="72"/>
        <v>0</v>
      </c>
      <c r="BF853" s="9" t="str">
        <f t="shared" si="73"/>
        <v/>
      </c>
      <c r="BG853" s="6">
        <f t="shared" si="74"/>
        <v>0</v>
      </c>
      <c r="BH853" s="6">
        <f t="shared" si="75"/>
        <v>0</v>
      </c>
      <c r="BI853" s="9" t="str">
        <f t="shared" si="76"/>
        <v/>
      </c>
      <c r="BJ853" s="6">
        <f t="shared" si="77"/>
        <v>0</v>
      </c>
      <c r="BK853" s="6">
        <f t="shared" si="78"/>
        <v>0</v>
      </c>
      <c r="BL853" s="6">
        <f t="shared" si="79"/>
        <v>0</v>
      </c>
      <c r="BM853" s="6">
        <f t="shared" si="80"/>
        <v>0</v>
      </c>
      <c r="BN853" s="6">
        <f t="shared" si="81"/>
        <v>0</v>
      </c>
      <c r="BP853" s="6">
        <f t="shared" si="82"/>
        <v>0</v>
      </c>
      <c r="BQ853" s="6" t="b">
        <f ca="1">IFERROR(__xludf.DUMMYFUNCTION("IF(AND(ISERROR(FILTER('Items by Team'!D$2:D3410,'Items by Team'!C$2:C3410 = D853,'Items by Team'!B$2:B3410 = B853)),NOT(A853=""Practice"")),TRUE,FALSE)"),FALSE)</f>
        <v>0</v>
      </c>
      <c r="BR853" s="6">
        <f t="shared" ca="1" si="83"/>
        <v>0</v>
      </c>
    </row>
    <row r="854" spans="1:70">
      <c r="A854" s="6"/>
      <c r="B854" s="6"/>
      <c r="C854" s="6"/>
      <c r="D854" s="6"/>
      <c r="E854" s="6"/>
      <c r="F854" s="6"/>
      <c r="G854" s="6"/>
      <c r="H854" s="6"/>
      <c r="I854" s="6"/>
      <c r="J854" s="6"/>
      <c r="K854" s="6"/>
      <c r="L854" s="6"/>
      <c r="M854" s="6"/>
      <c r="N854" s="6"/>
      <c r="O854" s="6"/>
      <c r="P854" s="6"/>
      <c r="R854" s="6"/>
      <c r="S854" s="6"/>
      <c r="T854" s="6"/>
      <c r="U854" s="6"/>
      <c r="V854" s="6"/>
      <c r="W854" s="6"/>
      <c r="X854" s="6"/>
      <c r="Y854" s="6"/>
      <c r="Z854" s="6"/>
      <c r="AA854" s="6"/>
      <c r="AB854" s="6"/>
      <c r="AD854" s="6"/>
      <c r="AE854" s="6"/>
      <c r="AF854" s="6"/>
      <c r="AG854" s="6"/>
      <c r="AH854" s="6"/>
      <c r="AI854" s="6"/>
      <c r="AK854" s="6"/>
      <c r="AL854" s="6"/>
      <c r="AM854" s="6"/>
      <c r="AN854" s="6"/>
      <c r="AO854" s="6"/>
      <c r="AP854" s="6"/>
      <c r="AQ854" s="6"/>
      <c r="AR854" s="6"/>
      <c r="AS854" s="15"/>
      <c r="AT854" s="6" t="str">
        <f ca="1">IFERROR(__xludf.DUMMYFUNCTION("""COMPUTED_VALUE"""),"#N/A")</f>
        <v>#N/A</v>
      </c>
      <c r="AU854" s="6" t="str">
        <f ca="1">IFERROR(__xludf.DUMMYFUNCTION("""COMPUTED_VALUE"""),"FALSE")</f>
        <v>FALSE</v>
      </c>
      <c r="AV854" s="6">
        <f t="shared" si="63"/>
        <v>0</v>
      </c>
      <c r="AW854" s="6">
        <f t="shared" si="64"/>
        <v>0</v>
      </c>
      <c r="AX854" s="6">
        <f t="shared" si="65"/>
        <v>0</v>
      </c>
      <c r="AY854" s="6">
        <f t="shared" si="66"/>
        <v>0</v>
      </c>
      <c r="AZ854" s="9" t="str">
        <f t="shared" si="67"/>
        <v/>
      </c>
      <c r="BA854" s="6">
        <f t="shared" si="68"/>
        <v>0</v>
      </c>
      <c r="BB854" s="6">
        <f t="shared" si="69"/>
        <v>0</v>
      </c>
      <c r="BC854" s="9" t="str">
        <f t="shared" si="70"/>
        <v/>
      </c>
      <c r="BD854" s="6">
        <f t="shared" si="71"/>
        <v>0</v>
      </c>
      <c r="BE854" s="6">
        <f t="shared" si="72"/>
        <v>0</v>
      </c>
      <c r="BF854" s="9" t="str">
        <f t="shared" si="73"/>
        <v/>
      </c>
      <c r="BG854" s="6">
        <f t="shared" si="74"/>
        <v>0</v>
      </c>
      <c r="BH854" s="6">
        <f t="shared" si="75"/>
        <v>0</v>
      </c>
      <c r="BI854" s="9" t="str">
        <f t="shared" si="76"/>
        <v/>
      </c>
      <c r="BJ854" s="6">
        <f t="shared" si="77"/>
        <v>0</v>
      </c>
      <c r="BK854" s="6">
        <f t="shared" si="78"/>
        <v>0</v>
      </c>
      <c r="BL854" s="6">
        <f t="shared" si="79"/>
        <v>0</v>
      </c>
      <c r="BM854" s="6">
        <f t="shared" si="80"/>
        <v>0</v>
      </c>
      <c r="BN854" s="6">
        <f t="shared" si="81"/>
        <v>0</v>
      </c>
      <c r="BP854" s="6">
        <f t="shared" si="82"/>
        <v>0</v>
      </c>
      <c r="BQ854" s="6" t="b">
        <f ca="1">IFERROR(__xludf.DUMMYFUNCTION("IF(AND(ISERROR(FILTER('Items by Team'!D$2:D3410,'Items by Team'!C$2:C3410 = D854,'Items by Team'!B$2:B3410 = B854)),NOT(A854=""Practice"")),TRUE,FALSE)"),FALSE)</f>
        <v>0</v>
      </c>
      <c r="BR854" s="6">
        <f t="shared" ca="1" si="83"/>
        <v>0</v>
      </c>
    </row>
    <row r="855" spans="1:70">
      <c r="A855" s="6"/>
      <c r="B855" s="6"/>
      <c r="C855" s="6"/>
      <c r="D855" s="6"/>
      <c r="E855" s="6"/>
      <c r="F855" s="6"/>
      <c r="G855" s="6"/>
      <c r="H855" s="6"/>
      <c r="I855" s="6"/>
      <c r="J855" s="6"/>
      <c r="K855" s="6"/>
      <c r="L855" s="6"/>
      <c r="M855" s="6"/>
      <c r="N855" s="6"/>
      <c r="O855" s="6"/>
      <c r="P855" s="6"/>
      <c r="R855" s="6"/>
      <c r="S855" s="6"/>
      <c r="T855" s="6"/>
      <c r="U855" s="6"/>
      <c r="V855" s="6"/>
      <c r="W855" s="6"/>
      <c r="X855" s="6"/>
      <c r="Y855" s="6"/>
      <c r="Z855" s="6"/>
      <c r="AA855" s="6"/>
      <c r="AB855" s="6"/>
      <c r="AD855" s="6"/>
      <c r="AE855" s="6"/>
      <c r="AF855" s="6"/>
      <c r="AG855" s="6"/>
      <c r="AH855" s="6"/>
      <c r="AI855" s="6"/>
      <c r="AK855" s="6"/>
      <c r="AL855" s="6"/>
      <c r="AM855" s="6"/>
      <c r="AN855" s="6"/>
      <c r="AO855" s="6"/>
      <c r="AP855" s="6"/>
      <c r="AQ855" s="6"/>
      <c r="AR855" s="6"/>
      <c r="AS855" s="15"/>
      <c r="AT855" s="6" t="str">
        <f ca="1">IFERROR(__xludf.DUMMYFUNCTION("""COMPUTED_VALUE"""),"#N/A")</f>
        <v>#N/A</v>
      </c>
      <c r="AU855" s="6" t="str">
        <f ca="1">IFERROR(__xludf.DUMMYFUNCTION("""COMPUTED_VALUE"""),"FALSE")</f>
        <v>FALSE</v>
      </c>
      <c r="AV855" s="6">
        <f t="shared" si="63"/>
        <v>0</v>
      </c>
      <c r="AW855" s="6">
        <f t="shared" si="64"/>
        <v>0</v>
      </c>
      <c r="AX855" s="6">
        <f t="shared" si="65"/>
        <v>0</v>
      </c>
      <c r="AY855" s="6">
        <f t="shared" si="66"/>
        <v>0</v>
      </c>
      <c r="AZ855" s="9" t="str">
        <f t="shared" si="67"/>
        <v/>
      </c>
      <c r="BA855" s="6">
        <f t="shared" si="68"/>
        <v>0</v>
      </c>
      <c r="BB855" s="6">
        <f t="shared" si="69"/>
        <v>0</v>
      </c>
      <c r="BC855" s="9" t="str">
        <f t="shared" si="70"/>
        <v/>
      </c>
      <c r="BD855" s="6">
        <f t="shared" si="71"/>
        <v>0</v>
      </c>
      <c r="BE855" s="6">
        <f t="shared" si="72"/>
        <v>0</v>
      </c>
      <c r="BF855" s="9" t="str">
        <f t="shared" si="73"/>
        <v/>
      </c>
      <c r="BG855" s="6">
        <f t="shared" si="74"/>
        <v>0</v>
      </c>
      <c r="BH855" s="6">
        <f t="shared" si="75"/>
        <v>0</v>
      </c>
      <c r="BI855" s="9" t="str">
        <f t="shared" si="76"/>
        <v/>
      </c>
      <c r="BJ855" s="6">
        <f t="shared" si="77"/>
        <v>0</v>
      </c>
      <c r="BK855" s="6">
        <f t="shared" si="78"/>
        <v>0</v>
      </c>
      <c r="BL855" s="6">
        <f t="shared" si="79"/>
        <v>0</v>
      </c>
      <c r="BM855" s="6">
        <f t="shared" si="80"/>
        <v>0</v>
      </c>
      <c r="BN855" s="6">
        <f t="shared" si="81"/>
        <v>0</v>
      </c>
      <c r="BP855" s="6">
        <f t="shared" si="82"/>
        <v>0</v>
      </c>
      <c r="BQ855" s="6" t="b">
        <f ca="1">IFERROR(__xludf.DUMMYFUNCTION("IF(AND(ISERROR(FILTER('Items by Team'!D$2:D3410,'Items by Team'!C$2:C3410 = D855,'Items by Team'!B$2:B3410 = B855)),NOT(A855=""Practice"")),TRUE,FALSE)"),FALSE)</f>
        <v>0</v>
      </c>
      <c r="BR855" s="6">
        <f t="shared" ca="1" si="83"/>
        <v>0</v>
      </c>
    </row>
    <row r="856" spans="1:70">
      <c r="A856" s="6"/>
      <c r="B856" s="6"/>
      <c r="C856" s="6"/>
      <c r="D856" s="6"/>
      <c r="E856" s="6"/>
      <c r="F856" s="6"/>
      <c r="G856" s="6"/>
      <c r="H856" s="6"/>
      <c r="I856" s="6"/>
      <c r="J856" s="6"/>
      <c r="K856" s="6"/>
      <c r="L856" s="6"/>
      <c r="M856" s="6"/>
      <c r="N856" s="6"/>
      <c r="O856" s="6"/>
      <c r="P856" s="6"/>
      <c r="R856" s="6"/>
      <c r="S856" s="6"/>
      <c r="T856" s="6"/>
      <c r="U856" s="6"/>
      <c r="V856" s="6"/>
      <c r="W856" s="6"/>
      <c r="X856" s="6"/>
      <c r="Y856" s="6"/>
      <c r="Z856" s="6"/>
      <c r="AA856" s="6"/>
      <c r="AB856" s="6"/>
      <c r="AD856" s="6"/>
      <c r="AE856" s="6"/>
      <c r="AF856" s="6"/>
      <c r="AG856" s="6"/>
      <c r="AH856" s="6"/>
      <c r="AI856" s="6"/>
      <c r="AK856" s="6"/>
      <c r="AL856" s="6"/>
      <c r="AM856" s="6"/>
      <c r="AN856" s="6"/>
      <c r="AO856" s="6"/>
      <c r="AP856" s="6"/>
      <c r="AQ856" s="6"/>
      <c r="AR856" s="6"/>
      <c r="AS856" s="15"/>
      <c r="AT856" s="6" t="str">
        <f ca="1">IFERROR(__xludf.DUMMYFUNCTION("""COMPUTED_VALUE"""),"#N/A")</f>
        <v>#N/A</v>
      </c>
      <c r="AU856" s="6" t="str">
        <f ca="1">IFERROR(__xludf.DUMMYFUNCTION("""COMPUTED_VALUE"""),"FALSE")</f>
        <v>FALSE</v>
      </c>
      <c r="AV856" s="6">
        <f t="shared" si="63"/>
        <v>0</v>
      </c>
      <c r="AW856" s="6">
        <f t="shared" si="64"/>
        <v>0</v>
      </c>
      <c r="AX856" s="6">
        <f t="shared" si="65"/>
        <v>0</v>
      </c>
      <c r="AY856" s="6">
        <f t="shared" si="66"/>
        <v>0</v>
      </c>
      <c r="AZ856" s="9" t="str">
        <f t="shared" si="67"/>
        <v/>
      </c>
      <c r="BA856" s="6">
        <f t="shared" si="68"/>
        <v>0</v>
      </c>
      <c r="BB856" s="6">
        <f t="shared" si="69"/>
        <v>0</v>
      </c>
      <c r="BC856" s="9" t="str">
        <f t="shared" si="70"/>
        <v/>
      </c>
      <c r="BD856" s="6">
        <f t="shared" si="71"/>
        <v>0</v>
      </c>
      <c r="BE856" s="6">
        <f t="shared" si="72"/>
        <v>0</v>
      </c>
      <c r="BF856" s="9" t="str">
        <f t="shared" si="73"/>
        <v/>
      </c>
      <c r="BG856" s="6">
        <f t="shared" si="74"/>
        <v>0</v>
      </c>
      <c r="BH856" s="6">
        <f t="shared" si="75"/>
        <v>0</v>
      </c>
      <c r="BI856" s="9" t="str">
        <f t="shared" si="76"/>
        <v/>
      </c>
      <c r="BJ856" s="6">
        <f t="shared" si="77"/>
        <v>0</v>
      </c>
      <c r="BK856" s="6">
        <f t="shared" si="78"/>
        <v>0</v>
      </c>
      <c r="BL856" s="6">
        <f t="shared" si="79"/>
        <v>0</v>
      </c>
      <c r="BM856" s="6">
        <f t="shared" si="80"/>
        <v>0</v>
      </c>
      <c r="BN856" s="6">
        <f t="shared" si="81"/>
        <v>0</v>
      </c>
      <c r="BP856" s="6">
        <f t="shared" si="82"/>
        <v>0</v>
      </c>
      <c r="BQ856" s="6" t="b">
        <f ca="1">IFERROR(__xludf.DUMMYFUNCTION("IF(AND(ISERROR(FILTER('Items by Team'!D$2:D3410,'Items by Team'!C$2:C3410 = D856,'Items by Team'!B$2:B3410 = B856)),NOT(A856=""Practice"")),TRUE,FALSE)"),FALSE)</f>
        <v>0</v>
      </c>
      <c r="BR856" s="6">
        <f t="shared" ca="1" si="83"/>
        <v>0</v>
      </c>
    </row>
    <row r="857" spans="1:70">
      <c r="A857" s="6"/>
      <c r="B857" s="6"/>
      <c r="C857" s="6"/>
      <c r="D857" s="6"/>
      <c r="E857" s="6"/>
      <c r="F857" s="6"/>
      <c r="G857" s="6"/>
      <c r="H857" s="6"/>
      <c r="I857" s="6"/>
      <c r="J857" s="6"/>
      <c r="K857" s="6"/>
      <c r="L857" s="6"/>
      <c r="M857" s="6"/>
      <c r="N857" s="6"/>
      <c r="O857" s="6"/>
      <c r="P857" s="6"/>
      <c r="R857" s="6"/>
      <c r="S857" s="6"/>
      <c r="T857" s="6"/>
      <c r="U857" s="6"/>
      <c r="V857" s="6"/>
      <c r="W857" s="6"/>
      <c r="X857" s="6"/>
      <c r="Y857" s="6"/>
      <c r="Z857" s="6"/>
      <c r="AA857" s="6"/>
      <c r="AB857" s="6"/>
      <c r="AD857" s="6"/>
      <c r="AE857" s="6"/>
      <c r="AF857" s="6"/>
      <c r="AG857" s="6"/>
      <c r="AH857" s="6"/>
      <c r="AI857" s="6"/>
      <c r="AK857" s="6"/>
      <c r="AL857" s="6"/>
      <c r="AM857" s="6"/>
      <c r="AN857" s="6"/>
      <c r="AO857" s="6"/>
      <c r="AP857" s="6"/>
      <c r="AQ857" s="6"/>
      <c r="AR857" s="6"/>
      <c r="AS857" s="15"/>
      <c r="AT857" s="6" t="str">
        <f ca="1">IFERROR(__xludf.DUMMYFUNCTION("""COMPUTED_VALUE"""),"#N/A")</f>
        <v>#N/A</v>
      </c>
      <c r="AU857" s="6" t="str">
        <f ca="1">IFERROR(__xludf.DUMMYFUNCTION("""COMPUTED_VALUE"""),"FALSE")</f>
        <v>FALSE</v>
      </c>
      <c r="AV857" s="6">
        <f t="shared" si="63"/>
        <v>0</v>
      </c>
      <c r="AW857" s="6">
        <f t="shared" si="64"/>
        <v>0</v>
      </c>
      <c r="AX857" s="6">
        <f t="shared" si="65"/>
        <v>0</v>
      </c>
      <c r="AY857" s="6">
        <f t="shared" si="66"/>
        <v>0</v>
      </c>
      <c r="AZ857" s="9" t="str">
        <f t="shared" si="67"/>
        <v/>
      </c>
      <c r="BA857" s="6">
        <f t="shared" si="68"/>
        <v>0</v>
      </c>
      <c r="BB857" s="6">
        <f t="shared" si="69"/>
        <v>0</v>
      </c>
      <c r="BC857" s="9" t="str">
        <f t="shared" si="70"/>
        <v/>
      </c>
      <c r="BD857" s="6">
        <f t="shared" si="71"/>
        <v>0</v>
      </c>
      <c r="BE857" s="6">
        <f t="shared" si="72"/>
        <v>0</v>
      </c>
      <c r="BF857" s="9" t="str">
        <f t="shared" si="73"/>
        <v/>
      </c>
      <c r="BG857" s="6">
        <f t="shared" si="74"/>
        <v>0</v>
      </c>
      <c r="BH857" s="6">
        <f t="shared" si="75"/>
        <v>0</v>
      </c>
      <c r="BI857" s="9" t="str">
        <f t="shared" si="76"/>
        <v/>
      </c>
      <c r="BJ857" s="6">
        <f t="shared" si="77"/>
        <v>0</v>
      </c>
      <c r="BK857" s="6">
        <f t="shared" si="78"/>
        <v>0</v>
      </c>
      <c r="BL857" s="6">
        <f t="shared" si="79"/>
        <v>0</v>
      </c>
      <c r="BM857" s="6">
        <f t="shared" si="80"/>
        <v>0</v>
      </c>
      <c r="BN857" s="6">
        <f t="shared" si="81"/>
        <v>0</v>
      </c>
      <c r="BP857" s="6">
        <f t="shared" si="82"/>
        <v>0</v>
      </c>
      <c r="BQ857" s="6" t="b">
        <f ca="1">IFERROR(__xludf.DUMMYFUNCTION("IF(AND(ISERROR(FILTER('Items by Team'!D$2:D3410,'Items by Team'!C$2:C3410 = D857,'Items by Team'!B$2:B3410 = B857)),NOT(A857=""Practice"")),TRUE,FALSE)"),FALSE)</f>
        <v>0</v>
      </c>
      <c r="BR857" s="6">
        <f t="shared" ca="1" si="83"/>
        <v>0</v>
      </c>
    </row>
    <row r="858" spans="1:70">
      <c r="A858" s="6"/>
      <c r="B858" s="6"/>
      <c r="C858" s="6"/>
      <c r="D858" s="6"/>
      <c r="E858" s="6"/>
      <c r="F858" s="6"/>
      <c r="G858" s="6"/>
      <c r="H858" s="6"/>
      <c r="I858" s="6"/>
      <c r="J858" s="6"/>
      <c r="K858" s="6"/>
      <c r="L858" s="6"/>
      <c r="M858" s="6"/>
      <c r="N858" s="6"/>
      <c r="O858" s="6"/>
      <c r="P858" s="6"/>
      <c r="R858" s="6"/>
      <c r="S858" s="6"/>
      <c r="T858" s="6"/>
      <c r="U858" s="6"/>
      <c r="V858" s="6"/>
      <c r="W858" s="6"/>
      <c r="X858" s="6"/>
      <c r="Y858" s="6"/>
      <c r="Z858" s="6"/>
      <c r="AA858" s="6"/>
      <c r="AB858" s="6"/>
      <c r="AD858" s="6"/>
      <c r="AE858" s="6"/>
      <c r="AF858" s="6"/>
      <c r="AG858" s="6"/>
      <c r="AH858" s="6"/>
      <c r="AI858" s="6"/>
      <c r="AK858" s="6"/>
      <c r="AL858" s="6"/>
      <c r="AM858" s="6"/>
      <c r="AN858" s="6"/>
      <c r="AO858" s="6"/>
      <c r="AP858" s="6"/>
      <c r="AQ858" s="6"/>
      <c r="AR858" s="6"/>
      <c r="AS858" s="15"/>
      <c r="AT858" s="6" t="str">
        <f ca="1">IFERROR(__xludf.DUMMYFUNCTION("""COMPUTED_VALUE"""),"#N/A")</f>
        <v>#N/A</v>
      </c>
      <c r="AU858" s="6" t="str">
        <f ca="1">IFERROR(__xludf.DUMMYFUNCTION("""COMPUTED_VALUE"""),"FALSE")</f>
        <v>FALSE</v>
      </c>
      <c r="AV858" s="6">
        <f t="shared" si="63"/>
        <v>0</v>
      </c>
      <c r="AW858" s="6">
        <f t="shared" si="64"/>
        <v>0</v>
      </c>
      <c r="AX858" s="6">
        <f t="shared" si="65"/>
        <v>0</v>
      </c>
      <c r="AY858" s="6">
        <f t="shared" si="66"/>
        <v>0</v>
      </c>
      <c r="AZ858" s="9" t="str">
        <f t="shared" si="67"/>
        <v/>
      </c>
      <c r="BA858" s="6">
        <f t="shared" si="68"/>
        <v>0</v>
      </c>
      <c r="BB858" s="6">
        <f t="shared" si="69"/>
        <v>0</v>
      </c>
      <c r="BC858" s="9" t="str">
        <f t="shared" si="70"/>
        <v/>
      </c>
      <c r="BD858" s="6">
        <f t="shared" si="71"/>
        <v>0</v>
      </c>
      <c r="BE858" s="6">
        <f t="shared" si="72"/>
        <v>0</v>
      </c>
      <c r="BF858" s="9" t="str">
        <f t="shared" si="73"/>
        <v/>
      </c>
      <c r="BG858" s="6">
        <f t="shared" si="74"/>
        <v>0</v>
      </c>
      <c r="BH858" s="6">
        <f t="shared" si="75"/>
        <v>0</v>
      </c>
      <c r="BI858" s="9" t="str">
        <f t="shared" si="76"/>
        <v/>
      </c>
      <c r="BJ858" s="6">
        <f t="shared" si="77"/>
        <v>0</v>
      </c>
      <c r="BK858" s="6">
        <f t="shared" si="78"/>
        <v>0</v>
      </c>
      <c r="BL858" s="6">
        <f t="shared" si="79"/>
        <v>0</v>
      </c>
      <c r="BM858" s="6">
        <f t="shared" si="80"/>
        <v>0</v>
      </c>
      <c r="BN858" s="6">
        <f t="shared" si="81"/>
        <v>0</v>
      </c>
      <c r="BP858" s="6">
        <f t="shared" si="82"/>
        <v>0</v>
      </c>
      <c r="BQ858" s="6" t="b">
        <f ca="1">IFERROR(__xludf.DUMMYFUNCTION("IF(AND(ISERROR(FILTER('Items by Team'!D$2:D3410,'Items by Team'!C$2:C3410 = D858,'Items by Team'!B$2:B3410 = B858)),NOT(A858=""Practice"")),TRUE,FALSE)"),FALSE)</f>
        <v>0</v>
      </c>
      <c r="BR858" s="6">
        <f t="shared" ca="1" si="83"/>
        <v>0</v>
      </c>
    </row>
    <row r="859" spans="1:70">
      <c r="A859" s="6"/>
      <c r="B859" s="6"/>
      <c r="C859" s="6"/>
      <c r="D859" s="6"/>
      <c r="E859" s="6"/>
      <c r="F859" s="6"/>
      <c r="G859" s="6"/>
      <c r="H859" s="6"/>
      <c r="I859" s="6"/>
      <c r="J859" s="6"/>
      <c r="K859" s="6"/>
      <c r="L859" s="6"/>
      <c r="M859" s="6"/>
      <c r="N859" s="6"/>
      <c r="O859" s="6"/>
      <c r="P859" s="6"/>
      <c r="R859" s="6"/>
      <c r="S859" s="6"/>
      <c r="T859" s="6"/>
      <c r="U859" s="6"/>
      <c r="V859" s="6"/>
      <c r="W859" s="6"/>
      <c r="X859" s="6"/>
      <c r="Y859" s="6"/>
      <c r="Z859" s="6"/>
      <c r="AA859" s="6"/>
      <c r="AB859" s="6"/>
      <c r="AD859" s="6"/>
      <c r="AE859" s="6"/>
      <c r="AF859" s="6"/>
      <c r="AG859" s="6"/>
      <c r="AH859" s="6"/>
      <c r="AI859" s="6"/>
      <c r="AK859" s="6"/>
      <c r="AL859" s="6"/>
      <c r="AM859" s="6"/>
      <c r="AN859" s="6"/>
      <c r="AO859" s="6"/>
      <c r="AP859" s="6"/>
      <c r="AQ859" s="6"/>
      <c r="AR859" s="6"/>
      <c r="AS859" s="15"/>
      <c r="AT859" s="6" t="str">
        <f ca="1">IFERROR(__xludf.DUMMYFUNCTION("""COMPUTED_VALUE"""),"#N/A")</f>
        <v>#N/A</v>
      </c>
      <c r="AU859" s="6" t="str">
        <f ca="1">IFERROR(__xludf.DUMMYFUNCTION("""COMPUTED_VALUE"""),"FALSE")</f>
        <v>FALSE</v>
      </c>
      <c r="AV859" s="6">
        <f t="shared" si="63"/>
        <v>0</v>
      </c>
      <c r="AW859" s="6">
        <f t="shared" si="64"/>
        <v>0</v>
      </c>
      <c r="AX859" s="6">
        <f t="shared" si="65"/>
        <v>0</v>
      </c>
      <c r="AY859" s="6">
        <f t="shared" si="66"/>
        <v>0</v>
      </c>
      <c r="AZ859" s="9" t="str">
        <f t="shared" si="67"/>
        <v/>
      </c>
      <c r="BA859" s="6">
        <f t="shared" si="68"/>
        <v>0</v>
      </c>
      <c r="BB859" s="6">
        <f t="shared" si="69"/>
        <v>0</v>
      </c>
      <c r="BC859" s="9" t="str">
        <f t="shared" si="70"/>
        <v/>
      </c>
      <c r="BD859" s="6">
        <f t="shared" si="71"/>
        <v>0</v>
      </c>
      <c r="BE859" s="6">
        <f t="shared" si="72"/>
        <v>0</v>
      </c>
      <c r="BF859" s="9" t="str">
        <f t="shared" si="73"/>
        <v/>
      </c>
      <c r="BG859" s="6">
        <f t="shared" si="74"/>
        <v>0</v>
      </c>
      <c r="BH859" s="6">
        <f t="shared" si="75"/>
        <v>0</v>
      </c>
      <c r="BI859" s="9" t="str">
        <f t="shared" si="76"/>
        <v/>
      </c>
      <c r="BJ859" s="6">
        <f t="shared" si="77"/>
        <v>0</v>
      </c>
      <c r="BK859" s="6">
        <f t="shared" si="78"/>
        <v>0</v>
      </c>
      <c r="BL859" s="6">
        <f t="shared" si="79"/>
        <v>0</v>
      </c>
      <c r="BM859" s="6">
        <f t="shared" si="80"/>
        <v>0</v>
      </c>
      <c r="BN859" s="6">
        <f t="shared" si="81"/>
        <v>0</v>
      </c>
      <c r="BP859" s="6">
        <f t="shared" si="82"/>
        <v>0</v>
      </c>
      <c r="BQ859" s="6" t="b">
        <f ca="1">IFERROR(__xludf.DUMMYFUNCTION("IF(AND(ISERROR(FILTER('Items by Team'!D$2:D3410,'Items by Team'!C$2:C3410 = D859,'Items by Team'!B$2:B3410 = B859)),NOT(A859=""Practice"")),TRUE,FALSE)"),FALSE)</f>
        <v>0</v>
      </c>
      <c r="BR859" s="6">
        <f t="shared" ca="1" si="83"/>
        <v>0</v>
      </c>
    </row>
    <row r="860" spans="1:70">
      <c r="A860" s="6"/>
      <c r="B860" s="6"/>
      <c r="C860" s="6"/>
      <c r="D860" s="6"/>
      <c r="E860" s="6"/>
      <c r="F860" s="6"/>
      <c r="G860" s="6"/>
      <c r="H860" s="6"/>
      <c r="I860" s="6"/>
      <c r="J860" s="6"/>
      <c r="K860" s="6"/>
      <c r="L860" s="6"/>
      <c r="M860" s="6"/>
      <c r="N860" s="6"/>
      <c r="O860" s="6"/>
      <c r="P860" s="6"/>
      <c r="R860" s="6"/>
      <c r="S860" s="6"/>
      <c r="T860" s="6"/>
      <c r="U860" s="6"/>
      <c r="V860" s="6"/>
      <c r="W860" s="6"/>
      <c r="X860" s="6"/>
      <c r="Y860" s="6"/>
      <c r="Z860" s="6"/>
      <c r="AA860" s="6"/>
      <c r="AB860" s="6"/>
      <c r="AD860" s="6"/>
      <c r="AE860" s="6"/>
      <c r="AF860" s="6"/>
      <c r="AG860" s="6"/>
      <c r="AH860" s="6"/>
      <c r="AI860" s="6"/>
      <c r="AK860" s="6"/>
      <c r="AL860" s="6"/>
      <c r="AM860" s="6"/>
      <c r="AN860" s="6"/>
      <c r="AO860" s="6"/>
      <c r="AP860" s="6"/>
      <c r="AQ860" s="6"/>
      <c r="AR860" s="6"/>
      <c r="AS860" s="15"/>
      <c r="AT860" s="6" t="str">
        <f ca="1">IFERROR(__xludf.DUMMYFUNCTION("""COMPUTED_VALUE"""),"#N/A")</f>
        <v>#N/A</v>
      </c>
      <c r="AU860" s="6" t="str">
        <f ca="1">IFERROR(__xludf.DUMMYFUNCTION("""COMPUTED_VALUE"""),"FALSE")</f>
        <v>FALSE</v>
      </c>
      <c r="AV860" s="6">
        <f t="shared" si="63"/>
        <v>0</v>
      </c>
      <c r="AW860" s="6">
        <f t="shared" si="64"/>
        <v>0</v>
      </c>
      <c r="AX860" s="6">
        <f t="shared" si="65"/>
        <v>0</v>
      </c>
      <c r="AY860" s="6">
        <f t="shared" si="66"/>
        <v>0</v>
      </c>
      <c r="AZ860" s="9" t="str">
        <f t="shared" si="67"/>
        <v/>
      </c>
      <c r="BA860" s="6">
        <f t="shared" si="68"/>
        <v>0</v>
      </c>
      <c r="BB860" s="6">
        <f t="shared" si="69"/>
        <v>0</v>
      </c>
      <c r="BC860" s="9" t="str">
        <f t="shared" si="70"/>
        <v/>
      </c>
      <c r="BD860" s="6">
        <f t="shared" si="71"/>
        <v>0</v>
      </c>
      <c r="BE860" s="6">
        <f t="shared" si="72"/>
        <v>0</v>
      </c>
      <c r="BF860" s="9" t="str">
        <f t="shared" si="73"/>
        <v/>
      </c>
      <c r="BG860" s="6">
        <f t="shared" si="74"/>
        <v>0</v>
      </c>
      <c r="BH860" s="6">
        <f t="shared" si="75"/>
        <v>0</v>
      </c>
      <c r="BI860" s="9" t="str">
        <f t="shared" si="76"/>
        <v/>
      </c>
      <c r="BJ860" s="6">
        <f t="shared" si="77"/>
        <v>0</v>
      </c>
      <c r="BK860" s="6">
        <f t="shared" si="78"/>
        <v>0</v>
      </c>
      <c r="BL860" s="6">
        <f t="shared" si="79"/>
        <v>0</v>
      </c>
      <c r="BM860" s="6">
        <f t="shared" si="80"/>
        <v>0</v>
      </c>
      <c r="BN860" s="6">
        <f t="shared" si="81"/>
        <v>0</v>
      </c>
      <c r="BP860" s="6">
        <f t="shared" si="82"/>
        <v>0</v>
      </c>
      <c r="BQ860" s="6" t="b">
        <f ca="1">IFERROR(__xludf.DUMMYFUNCTION("IF(AND(ISERROR(FILTER('Items by Team'!D$2:D3410,'Items by Team'!C$2:C3410 = D860,'Items by Team'!B$2:B3410 = B860)),NOT(A860=""Practice"")),TRUE,FALSE)"),FALSE)</f>
        <v>0</v>
      </c>
      <c r="BR860" s="6">
        <f t="shared" ca="1" si="83"/>
        <v>0</v>
      </c>
    </row>
    <row r="861" spans="1:70">
      <c r="A861" s="6"/>
      <c r="B861" s="6"/>
      <c r="C861" s="6"/>
      <c r="D861" s="6"/>
      <c r="E861" s="6"/>
      <c r="F861" s="6"/>
      <c r="G861" s="6"/>
      <c r="H861" s="6"/>
      <c r="I861" s="6"/>
      <c r="J861" s="6"/>
      <c r="K861" s="6"/>
      <c r="L861" s="6"/>
      <c r="M861" s="6"/>
      <c r="N861" s="6"/>
      <c r="O861" s="6"/>
      <c r="P861" s="6"/>
      <c r="R861" s="6"/>
      <c r="S861" s="6"/>
      <c r="T861" s="6"/>
      <c r="U861" s="6"/>
      <c r="V861" s="6"/>
      <c r="W861" s="6"/>
      <c r="X861" s="6"/>
      <c r="Y861" s="6"/>
      <c r="Z861" s="6"/>
      <c r="AA861" s="6"/>
      <c r="AB861" s="6"/>
      <c r="AD861" s="6"/>
      <c r="AE861" s="6"/>
      <c r="AF861" s="6"/>
      <c r="AG861" s="6"/>
      <c r="AH861" s="6"/>
      <c r="AI861" s="6"/>
      <c r="AK861" s="6"/>
      <c r="AL861" s="6"/>
      <c r="AM861" s="6"/>
      <c r="AN861" s="6"/>
      <c r="AO861" s="6"/>
      <c r="AP861" s="6"/>
      <c r="AQ861" s="6"/>
      <c r="AR861" s="6"/>
      <c r="AS861" s="15"/>
      <c r="AT861" s="6" t="str">
        <f ca="1">IFERROR(__xludf.DUMMYFUNCTION("""COMPUTED_VALUE"""),"#N/A")</f>
        <v>#N/A</v>
      </c>
      <c r="AU861" s="6" t="str">
        <f ca="1">IFERROR(__xludf.DUMMYFUNCTION("""COMPUTED_VALUE"""),"FALSE")</f>
        <v>FALSE</v>
      </c>
      <c r="AV861" s="6">
        <f t="shared" si="63"/>
        <v>0</v>
      </c>
      <c r="AW861" s="6">
        <f t="shared" si="64"/>
        <v>0</v>
      </c>
      <c r="AX861" s="6">
        <f t="shared" si="65"/>
        <v>0</v>
      </c>
      <c r="AY861" s="6">
        <f t="shared" si="66"/>
        <v>0</v>
      </c>
      <c r="AZ861" s="9" t="str">
        <f t="shared" si="67"/>
        <v/>
      </c>
      <c r="BA861" s="6">
        <f t="shared" si="68"/>
        <v>0</v>
      </c>
      <c r="BB861" s="6">
        <f t="shared" si="69"/>
        <v>0</v>
      </c>
      <c r="BC861" s="9" t="str">
        <f t="shared" si="70"/>
        <v/>
      </c>
      <c r="BD861" s="6">
        <f t="shared" si="71"/>
        <v>0</v>
      </c>
      <c r="BE861" s="6">
        <f t="shared" si="72"/>
        <v>0</v>
      </c>
      <c r="BF861" s="9" t="str">
        <f t="shared" si="73"/>
        <v/>
      </c>
      <c r="BG861" s="6">
        <f t="shared" si="74"/>
        <v>0</v>
      </c>
      <c r="BH861" s="6">
        <f t="shared" si="75"/>
        <v>0</v>
      </c>
      <c r="BI861" s="9" t="str">
        <f t="shared" si="76"/>
        <v/>
      </c>
      <c r="BJ861" s="6">
        <f t="shared" si="77"/>
        <v>0</v>
      </c>
      <c r="BK861" s="6">
        <f t="shared" si="78"/>
        <v>0</v>
      </c>
      <c r="BL861" s="6">
        <f t="shared" si="79"/>
        <v>0</v>
      </c>
      <c r="BM861" s="6">
        <f t="shared" si="80"/>
        <v>0</v>
      </c>
      <c r="BN861" s="6">
        <f t="shared" si="81"/>
        <v>0</v>
      </c>
      <c r="BP861" s="6">
        <f t="shared" si="82"/>
        <v>0</v>
      </c>
      <c r="BQ861" s="6" t="b">
        <f ca="1">IFERROR(__xludf.DUMMYFUNCTION("IF(AND(ISERROR(FILTER('Items by Team'!D$2:D3410,'Items by Team'!C$2:C3410 = D861,'Items by Team'!B$2:B3410 = B861)),NOT(A861=""Practice"")),TRUE,FALSE)"),FALSE)</f>
        <v>0</v>
      </c>
      <c r="BR861" s="6">
        <f t="shared" ca="1" si="83"/>
        <v>0</v>
      </c>
    </row>
    <row r="862" spans="1:70">
      <c r="A862" s="6"/>
      <c r="B862" s="6"/>
      <c r="C862" s="6"/>
      <c r="D862" s="6"/>
      <c r="E862" s="6"/>
      <c r="F862" s="6"/>
      <c r="G862" s="6"/>
      <c r="H862" s="6"/>
      <c r="I862" s="6"/>
      <c r="J862" s="6"/>
      <c r="K862" s="6"/>
      <c r="L862" s="6"/>
      <c r="M862" s="6"/>
      <c r="N862" s="6"/>
      <c r="O862" s="6"/>
      <c r="P862" s="6"/>
      <c r="R862" s="6"/>
      <c r="S862" s="6"/>
      <c r="T862" s="6"/>
      <c r="U862" s="6"/>
      <c r="V862" s="6"/>
      <c r="W862" s="6"/>
      <c r="X862" s="6"/>
      <c r="Y862" s="6"/>
      <c r="Z862" s="6"/>
      <c r="AA862" s="6"/>
      <c r="AB862" s="6"/>
      <c r="AD862" s="6"/>
      <c r="AE862" s="6"/>
      <c r="AF862" s="6"/>
      <c r="AG862" s="6"/>
      <c r="AH862" s="6"/>
      <c r="AI862" s="6"/>
      <c r="AK862" s="6"/>
      <c r="AL862" s="6"/>
      <c r="AM862" s="6"/>
      <c r="AN862" s="6"/>
      <c r="AO862" s="6"/>
      <c r="AP862" s="6"/>
      <c r="AQ862" s="6"/>
      <c r="AR862" s="6"/>
      <c r="AS862" s="15"/>
      <c r="AT862" s="6" t="str">
        <f ca="1">IFERROR(__xludf.DUMMYFUNCTION("""COMPUTED_VALUE"""),"#N/A")</f>
        <v>#N/A</v>
      </c>
      <c r="AU862" s="6" t="str">
        <f ca="1">IFERROR(__xludf.DUMMYFUNCTION("""COMPUTED_VALUE"""),"FALSE")</f>
        <v>FALSE</v>
      </c>
      <c r="AV862" s="6">
        <f t="shared" si="63"/>
        <v>0</v>
      </c>
      <c r="AW862" s="6">
        <f t="shared" si="64"/>
        <v>0</v>
      </c>
      <c r="AX862" s="6">
        <f t="shared" si="65"/>
        <v>0</v>
      </c>
      <c r="AY862" s="6">
        <f t="shared" si="66"/>
        <v>0</v>
      </c>
      <c r="AZ862" s="9" t="str">
        <f t="shared" si="67"/>
        <v/>
      </c>
      <c r="BA862" s="6">
        <f t="shared" si="68"/>
        <v>0</v>
      </c>
      <c r="BB862" s="6">
        <f t="shared" si="69"/>
        <v>0</v>
      </c>
      <c r="BC862" s="9" t="str">
        <f t="shared" si="70"/>
        <v/>
      </c>
      <c r="BD862" s="6">
        <f t="shared" si="71"/>
        <v>0</v>
      </c>
      <c r="BE862" s="6">
        <f t="shared" si="72"/>
        <v>0</v>
      </c>
      <c r="BF862" s="9" t="str">
        <f t="shared" si="73"/>
        <v/>
      </c>
      <c r="BG862" s="6">
        <f t="shared" si="74"/>
        <v>0</v>
      </c>
      <c r="BH862" s="6">
        <f t="shared" si="75"/>
        <v>0</v>
      </c>
      <c r="BI862" s="9" t="str">
        <f t="shared" si="76"/>
        <v/>
      </c>
      <c r="BJ862" s="6">
        <f t="shared" si="77"/>
        <v>0</v>
      </c>
      <c r="BK862" s="6">
        <f t="shared" si="78"/>
        <v>0</v>
      </c>
      <c r="BL862" s="6">
        <f t="shared" si="79"/>
        <v>0</v>
      </c>
      <c r="BM862" s="6">
        <f t="shared" si="80"/>
        <v>0</v>
      </c>
      <c r="BN862" s="6">
        <f t="shared" si="81"/>
        <v>0</v>
      </c>
      <c r="BP862" s="6">
        <f t="shared" si="82"/>
        <v>0</v>
      </c>
      <c r="BQ862" s="6" t="b">
        <f ca="1">IFERROR(__xludf.DUMMYFUNCTION("IF(AND(ISERROR(FILTER('Items by Team'!D$2:D3410,'Items by Team'!C$2:C3410 = D862,'Items by Team'!B$2:B3410 = B862)),NOT(A862=""Practice"")),TRUE,FALSE)"),FALSE)</f>
        <v>0</v>
      </c>
      <c r="BR862" s="6">
        <f t="shared" ca="1" si="83"/>
        <v>0</v>
      </c>
    </row>
    <row r="863" spans="1:70">
      <c r="A863" s="6"/>
      <c r="B863" s="6"/>
      <c r="C863" s="6"/>
      <c r="D863" s="6"/>
      <c r="E863" s="6"/>
      <c r="F863" s="6"/>
      <c r="G863" s="6"/>
      <c r="H863" s="6"/>
      <c r="I863" s="6"/>
      <c r="J863" s="6"/>
      <c r="K863" s="6"/>
      <c r="L863" s="6"/>
      <c r="M863" s="6"/>
      <c r="N863" s="6"/>
      <c r="O863" s="6"/>
      <c r="P863" s="6"/>
      <c r="R863" s="6"/>
      <c r="S863" s="6"/>
      <c r="T863" s="6"/>
      <c r="U863" s="6"/>
      <c r="V863" s="6"/>
      <c r="W863" s="6"/>
      <c r="X863" s="6"/>
      <c r="Y863" s="6"/>
      <c r="Z863" s="6"/>
      <c r="AA863" s="6"/>
      <c r="AB863" s="6"/>
      <c r="AD863" s="6"/>
      <c r="AE863" s="6"/>
      <c r="AF863" s="6"/>
      <c r="AG863" s="6"/>
      <c r="AH863" s="6"/>
      <c r="AI863" s="6"/>
      <c r="AK863" s="6"/>
      <c r="AL863" s="6"/>
      <c r="AM863" s="6"/>
      <c r="AN863" s="6"/>
      <c r="AO863" s="6"/>
      <c r="AP863" s="6"/>
      <c r="AQ863" s="6"/>
      <c r="AR863" s="6"/>
      <c r="AS863" s="15"/>
      <c r="AT863" s="6" t="str">
        <f ca="1">IFERROR(__xludf.DUMMYFUNCTION("""COMPUTED_VALUE"""),"#N/A")</f>
        <v>#N/A</v>
      </c>
      <c r="AU863" s="6" t="str">
        <f ca="1">IFERROR(__xludf.DUMMYFUNCTION("""COMPUTED_VALUE"""),"FALSE")</f>
        <v>FALSE</v>
      </c>
      <c r="AV863" s="6">
        <f t="shared" si="63"/>
        <v>0</v>
      </c>
      <c r="AW863" s="6">
        <f t="shared" si="64"/>
        <v>0</v>
      </c>
      <c r="AX863" s="6">
        <f t="shared" si="65"/>
        <v>0</v>
      </c>
      <c r="AY863" s="6">
        <f t="shared" si="66"/>
        <v>0</v>
      </c>
      <c r="AZ863" s="9" t="str">
        <f t="shared" si="67"/>
        <v/>
      </c>
      <c r="BA863" s="6">
        <f t="shared" si="68"/>
        <v>0</v>
      </c>
      <c r="BB863" s="6">
        <f t="shared" si="69"/>
        <v>0</v>
      </c>
      <c r="BC863" s="9" t="str">
        <f t="shared" si="70"/>
        <v/>
      </c>
      <c r="BD863" s="6">
        <f t="shared" si="71"/>
        <v>0</v>
      </c>
      <c r="BE863" s="6">
        <f t="shared" si="72"/>
        <v>0</v>
      </c>
      <c r="BF863" s="9" t="str">
        <f t="shared" si="73"/>
        <v/>
      </c>
      <c r="BG863" s="6">
        <f t="shared" si="74"/>
        <v>0</v>
      </c>
      <c r="BH863" s="6">
        <f t="shared" si="75"/>
        <v>0</v>
      </c>
      <c r="BI863" s="9" t="str">
        <f t="shared" si="76"/>
        <v/>
      </c>
      <c r="BJ863" s="6">
        <f t="shared" si="77"/>
        <v>0</v>
      </c>
      <c r="BK863" s="6">
        <f t="shared" si="78"/>
        <v>0</v>
      </c>
      <c r="BL863" s="6">
        <f t="shared" si="79"/>
        <v>0</v>
      </c>
      <c r="BM863" s="6">
        <f t="shared" si="80"/>
        <v>0</v>
      </c>
      <c r="BN863" s="6">
        <f t="shared" si="81"/>
        <v>0</v>
      </c>
      <c r="BP863" s="6">
        <f t="shared" si="82"/>
        <v>0</v>
      </c>
      <c r="BQ863" s="6" t="b">
        <f ca="1">IFERROR(__xludf.DUMMYFUNCTION("IF(AND(ISERROR(FILTER('Items by Team'!D$2:D3410,'Items by Team'!C$2:C3410 = D863,'Items by Team'!B$2:B3410 = B863)),NOT(A863=""Practice"")),TRUE,FALSE)"),FALSE)</f>
        <v>0</v>
      </c>
      <c r="BR863" s="6">
        <f t="shared" ca="1" si="83"/>
        <v>0</v>
      </c>
    </row>
    <row r="864" spans="1:70">
      <c r="A864" s="6"/>
      <c r="B864" s="6"/>
      <c r="C864" s="6"/>
      <c r="D864" s="6"/>
      <c r="E864" s="6"/>
      <c r="F864" s="6"/>
      <c r="G864" s="6"/>
      <c r="H864" s="6"/>
      <c r="I864" s="6"/>
      <c r="J864" s="6"/>
      <c r="K864" s="6"/>
      <c r="L864" s="6"/>
      <c r="M864" s="6"/>
      <c r="N864" s="6"/>
      <c r="O864" s="6"/>
      <c r="P864" s="6"/>
      <c r="R864" s="6"/>
      <c r="S864" s="6"/>
      <c r="T864" s="6"/>
      <c r="U864" s="6"/>
      <c r="V864" s="6"/>
      <c r="W864" s="6"/>
      <c r="X864" s="6"/>
      <c r="Y864" s="6"/>
      <c r="Z864" s="6"/>
      <c r="AA864" s="6"/>
      <c r="AB864" s="6"/>
      <c r="AD864" s="6"/>
      <c r="AE864" s="6"/>
      <c r="AF864" s="6"/>
      <c r="AG864" s="6"/>
      <c r="AH864" s="6"/>
      <c r="AI864" s="6"/>
      <c r="AK864" s="6"/>
      <c r="AL864" s="6"/>
      <c r="AM864" s="6"/>
      <c r="AN864" s="6"/>
      <c r="AO864" s="6"/>
      <c r="AP864" s="6"/>
      <c r="AQ864" s="6"/>
      <c r="AR864" s="6"/>
      <c r="AS864" s="15"/>
      <c r="AT864" s="6" t="str">
        <f ca="1">IFERROR(__xludf.DUMMYFUNCTION("""COMPUTED_VALUE"""),"#N/A")</f>
        <v>#N/A</v>
      </c>
      <c r="AU864" s="6" t="str">
        <f ca="1">IFERROR(__xludf.DUMMYFUNCTION("""COMPUTED_VALUE"""),"FALSE")</f>
        <v>FALSE</v>
      </c>
      <c r="AV864" s="6">
        <f t="shared" si="63"/>
        <v>0</v>
      </c>
      <c r="AW864" s="6">
        <f t="shared" si="64"/>
        <v>0</v>
      </c>
      <c r="AX864" s="6">
        <f t="shared" si="65"/>
        <v>0</v>
      </c>
      <c r="AY864" s="6">
        <f t="shared" si="66"/>
        <v>0</v>
      </c>
      <c r="AZ864" s="9" t="str">
        <f t="shared" si="67"/>
        <v/>
      </c>
      <c r="BA864" s="6">
        <f t="shared" si="68"/>
        <v>0</v>
      </c>
      <c r="BB864" s="6">
        <f t="shared" si="69"/>
        <v>0</v>
      </c>
      <c r="BC864" s="9" t="str">
        <f t="shared" si="70"/>
        <v/>
      </c>
      <c r="BD864" s="6">
        <f t="shared" si="71"/>
        <v>0</v>
      </c>
      <c r="BE864" s="6">
        <f t="shared" si="72"/>
        <v>0</v>
      </c>
      <c r="BF864" s="9" t="str">
        <f t="shared" si="73"/>
        <v/>
      </c>
      <c r="BG864" s="6">
        <f t="shared" si="74"/>
        <v>0</v>
      </c>
      <c r="BH864" s="6">
        <f t="shared" si="75"/>
        <v>0</v>
      </c>
      <c r="BI864" s="9" t="str">
        <f t="shared" si="76"/>
        <v/>
      </c>
      <c r="BJ864" s="6">
        <f t="shared" si="77"/>
        <v>0</v>
      </c>
      <c r="BK864" s="6">
        <f t="shared" si="78"/>
        <v>0</v>
      </c>
      <c r="BL864" s="6">
        <f t="shared" si="79"/>
        <v>0</v>
      </c>
      <c r="BM864" s="6">
        <f t="shared" si="80"/>
        <v>0</v>
      </c>
      <c r="BN864" s="6">
        <f t="shared" si="81"/>
        <v>0</v>
      </c>
      <c r="BP864" s="6">
        <f t="shared" si="82"/>
        <v>0</v>
      </c>
      <c r="BQ864" s="6" t="b">
        <f ca="1">IFERROR(__xludf.DUMMYFUNCTION("IF(AND(ISERROR(FILTER('Items by Team'!D$2:D3410,'Items by Team'!C$2:C3410 = D864,'Items by Team'!B$2:B3410 = B864)),NOT(A864=""Practice"")),TRUE,FALSE)"),FALSE)</f>
        <v>0</v>
      </c>
      <c r="BR864" s="6">
        <f t="shared" ca="1" si="83"/>
        <v>0</v>
      </c>
    </row>
    <row r="865" spans="1:70">
      <c r="A865" s="6"/>
      <c r="B865" s="6"/>
      <c r="C865" s="6"/>
      <c r="D865" s="6"/>
      <c r="E865" s="6"/>
      <c r="F865" s="6"/>
      <c r="G865" s="6"/>
      <c r="H865" s="6"/>
      <c r="I865" s="6"/>
      <c r="J865" s="6"/>
      <c r="K865" s="6"/>
      <c r="L865" s="6"/>
      <c r="M865" s="6"/>
      <c r="N865" s="6"/>
      <c r="O865" s="6"/>
      <c r="P865" s="6"/>
      <c r="R865" s="6"/>
      <c r="S865" s="6"/>
      <c r="T865" s="6"/>
      <c r="U865" s="6"/>
      <c r="V865" s="6"/>
      <c r="W865" s="6"/>
      <c r="X865" s="6"/>
      <c r="Y865" s="6"/>
      <c r="Z865" s="6"/>
      <c r="AA865" s="6"/>
      <c r="AB865" s="6"/>
      <c r="AD865" s="6"/>
      <c r="AE865" s="6"/>
      <c r="AF865" s="6"/>
      <c r="AG865" s="6"/>
      <c r="AH865" s="6"/>
      <c r="AI865" s="6"/>
      <c r="AK865" s="6"/>
      <c r="AL865" s="6"/>
      <c r="AM865" s="6"/>
      <c r="AN865" s="6"/>
      <c r="AO865" s="6"/>
      <c r="AP865" s="6"/>
      <c r="AQ865" s="6"/>
      <c r="AR865" s="6"/>
      <c r="AS865" s="15"/>
      <c r="AT865" s="6" t="str">
        <f ca="1">IFERROR(__xludf.DUMMYFUNCTION("""COMPUTED_VALUE"""),"#N/A")</f>
        <v>#N/A</v>
      </c>
      <c r="AU865" s="6" t="str">
        <f ca="1">IFERROR(__xludf.DUMMYFUNCTION("""COMPUTED_VALUE"""),"FALSE")</f>
        <v>FALSE</v>
      </c>
      <c r="AV865" s="6">
        <f t="shared" si="63"/>
        <v>0</v>
      </c>
      <c r="AW865" s="6">
        <f t="shared" si="64"/>
        <v>0</v>
      </c>
      <c r="AX865" s="6">
        <f t="shared" si="65"/>
        <v>0</v>
      </c>
      <c r="AY865" s="6">
        <f t="shared" si="66"/>
        <v>0</v>
      </c>
      <c r="AZ865" s="9" t="str">
        <f t="shared" si="67"/>
        <v/>
      </c>
      <c r="BA865" s="6">
        <f t="shared" si="68"/>
        <v>0</v>
      </c>
      <c r="BB865" s="6">
        <f t="shared" si="69"/>
        <v>0</v>
      </c>
      <c r="BC865" s="9" t="str">
        <f t="shared" si="70"/>
        <v/>
      </c>
      <c r="BD865" s="6">
        <f t="shared" si="71"/>
        <v>0</v>
      </c>
      <c r="BE865" s="6">
        <f t="shared" si="72"/>
        <v>0</v>
      </c>
      <c r="BF865" s="9" t="str">
        <f t="shared" si="73"/>
        <v/>
      </c>
      <c r="BG865" s="6">
        <f t="shared" si="74"/>
        <v>0</v>
      </c>
      <c r="BH865" s="6">
        <f t="shared" si="75"/>
        <v>0</v>
      </c>
      <c r="BI865" s="9" t="str">
        <f t="shared" si="76"/>
        <v/>
      </c>
      <c r="BJ865" s="6">
        <f t="shared" si="77"/>
        <v>0</v>
      </c>
      <c r="BK865" s="6">
        <f t="shared" si="78"/>
        <v>0</v>
      </c>
      <c r="BL865" s="6">
        <f t="shared" si="79"/>
        <v>0</v>
      </c>
      <c r="BM865" s="6">
        <f t="shared" si="80"/>
        <v>0</v>
      </c>
      <c r="BN865" s="6">
        <f t="shared" si="81"/>
        <v>0</v>
      </c>
      <c r="BP865" s="6">
        <f t="shared" si="82"/>
        <v>0</v>
      </c>
      <c r="BQ865" s="6" t="b">
        <f ca="1">IFERROR(__xludf.DUMMYFUNCTION("IF(AND(ISERROR(FILTER('Items by Team'!D$2:D3410,'Items by Team'!C$2:C3410 = D865,'Items by Team'!B$2:B3410 = B865)),NOT(A865=""Practice"")),TRUE,FALSE)"),FALSE)</f>
        <v>0</v>
      </c>
      <c r="BR865" s="6">
        <f t="shared" ca="1" si="83"/>
        <v>0</v>
      </c>
    </row>
    <row r="866" spans="1:70">
      <c r="A866" s="6"/>
      <c r="B866" s="6"/>
      <c r="C866" s="6"/>
      <c r="D866" s="6"/>
      <c r="E866" s="6"/>
      <c r="F866" s="6"/>
      <c r="G866" s="6"/>
      <c r="H866" s="6"/>
      <c r="I866" s="6"/>
      <c r="J866" s="6"/>
      <c r="K866" s="6"/>
      <c r="L866" s="6"/>
      <c r="M866" s="6"/>
      <c r="N866" s="6"/>
      <c r="O866" s="6"/>
      <c r="P866" s="6"/>
      <c r="R866" s="6"/>
      <c r="S866" s="6"/>
      <c r="T866" s="6"/>
      <c r="U866" s="6"/>
      <c r="V866" s="6"/>
      <c r="W866" s="6"/>
      <c r="X866" s="6"/>
      <c r="Y866" s="6"/>
      <c r="Z866" s="6"/>
      <c r="AA866" s="6"/>
      <c r="AB866" s="6"/>
      <c r="AD866" s="6"/>
      <c r="AE866" s="6"/>
      <c r="AF866" s="6"/>
      <c r="AG866" s="6"/>
      <c r="AH866" s="6"/>
      <c r="AI866" s="6"/>
      <c r="AK866" s="6"/>
      <c r="AL866" s="6"/>
      <c r="AM866" s="6"/>
      <c r="AN866" s="6"/>
      <c r="AO866" s="6"/>
      <c r="AP866" s="6"/>
      <c r="AQ866" s="6"/>
      <c r="AR866" s="6"/>
      <c r="AS866" s="15"/>
      <c r="AT866" s="6" t="str">
        <f ca="1">IFERROR(__xludf.DUMMYFUNCTION("""COMPUTED_VALUE"""),"#N/A")</f>
        <v>#N/A</v>
      </c>
      <c r="AU866" s="6" t="str">
        <f ca="1">IFERROR(__xludf.DUMMYFUNCTION("""COMPUTED_VALUE"""),"FALSE")</f>
        <v>FALSE</v>
      </c>
      <c r="AV866" s="6">
        <f t="shared" si="63"/>
        <v>0</v>
      </c>
      <c r="AW866" s="6">
        <f t="shared" si="64"/>
        <v>0</v>
      </c>
      <c r="AX866" s="6">
        <f t="shared" si="65"/>
        <v>0</v>
      </c>
      <c r="AY866" s="6">
        <f t="shared" si="66"/>
        <v>0</v>
      </c>
      <c r="AZ866" s="9" t="str">
        <f t="shared" si="67"/>
        <v/>
      </c>
      <c r="BA866" s="6">
        <f t="shared" si="68"/>
        <v>0</v>
      </c>
      <c r="BB866" s="6">
        <f t="shared" si="69"/>
        <v>0</v>
      </c>
      <c r="BC866" s="9" t="str">
        <f t="shared" si="70"/>
        <v/>
      </c>
      <c r="BD866" s="6">
        <f t="shared" si="71"/>
        <v>0</v>
      </c>
      <c r="BE866" s="6">
        <f t="shared" si="72"/>
        <v>0</v>
      </c>
      <c r="BF866" s="9" t="str">
        <f t="shared" si="73"/>
        <v/>
      </c>
      <c r="BG866" s="6">
        <f t="shared" si="74"/>
        <v>0</v>
      </c>
      <c r="BH866" s="6">
        <f t="shared" si="75"/>
        <v>0</v>
      </c>
      <c r="BI866" s="9" t="str">
        <f t="shared" si="76"/>
        <v/>
      </c>
      <c r="BJ866" s="6">
        <f t="shared" si="77"/>
        <v>0</v>
      </c>
      <c r="BK866" s="6">
        <f t="shared" si="78"/>
        <v>0</v>
      </c>
      <c r="BL866" s="6">
        <f t="shared" si="79"/>
        <v>0</v>
      </c>
      <c r="BM866" s="6">
        <f t="shared" si="80"/>
        <v>0</v>
      </c>
      <c r="BN866" s="6">
        <f t="shared" si="81"/>
        <v>0</v>
      </c>
      <c r="BP866" s="6">
        <f t="shared" si="82"/>
        <v>0</v>
      </c>
      <c r="BQ866" s="6" t="b">
        <f ca="1">IFERROR(__xludf.DUMMYFUNCTION("IF(AND(ISERROR(FILTER('Items by Team'!D$2:D3410,'Items by Team'!C$2:C3410 = D866,'Items by Team'!B$2:B3410 = B866)),NOT(A866=""Practice"")),TRUE,FALSE)"),FALSE)</f>
        <v>0</v>
      </c>
      <c r="BR866" s="6">
        <f t="shared" ca="1" si="83"/>
        <v>0</v>
      </c>
    </row>
    <row r="867" spans="1:70">
      <c r="A867" s="6"/>
      <c r="B867" s="6"/>
      <c r="C867" s="6"/>
      <c r="D867" s="6"/>
      <c r="E867" s="6"/>
      <c r="F867" s="6"/>
      <c r="G867" s="6"/>
      <c r="H867" s="6"/>
      <c r="I867" s="6"/>
      <c r="J867" s="6"/>
      <c r="K867" s="6"/>
      <c r="L867" s="6"/>
      <c r="M867" s="6"/>
      <c r="N867" s="6"/>
      <c r="O867" s="6"/>
      <c r="P867" s="6"/>
      <c r="R867" s="6"/>
      <c r="S867" s="6"/>
      <c r="T867" s="6"/>
      <c r="U867" s="6"/>
      <c r="V867" s="6"/>
      <c r="W867" s="6"/>
      <c r="X867" s="6"/>
      <c r="Y867" s="6"/>
      <c r="Z867" s="6"/>
      <c r="AA867" s="6"/>
      <c r="AB867" s="6"/>
      <c r="AD867" s="6"/>
      <c r="AE867" s="6"/>
      <c r="AF867" s="6"/>
      <c r="AG867" s="6"/>
      <c r="AH867" s="6"/>
      <c r="AI867" s="6"/>
      <c r="AK867" s="6"/>
      <c r="AL867" s="6"/>
      <c r="AM867" s="6"/>
      <c r="AN867" s="6"/>
      <c r="AO867" s="6"/>
      <c r="AP867" s="6"/>
      <c r="AQ867" s="6"/>
      <c r="AR867" s="6"/>
      <c r="AS867" s="15"/>
      <c r="AT867" s="6" t="str">
        <f ca="1">IFERROR(__xludf.DUMMYFUNCTION("""COMPUTED_VALUE"""),"#N/A")</f>
        <v>#N/A</v>
      </c>
      <c r="AU867" s="6" t="str">
        <f ca="1">IFERROR(__xludf.DUMMYFUNCTION("""COMPUTED_VALUE"""),"FALSE")</f>
        <v>FALSE</v>
      </c>
      <c r="AV867" s="6">
        <f t="shared" si="63"/>
        <v>0</v>
      </c>
      <c r="AW867" s="6">
        <f t="shared" si="64"/>
        <v>0</v>
      </c>
      <c r="AX867" s="6">
        <f t="shared" si="65"/>
        <v>0</v>
      </c>
      <c r="AY867" s="6">
        <f t="shared" si="66"/>
        <v>0</v>
      </c>
      <c r="AZ867" s="9" t="str">
        <f t="shared" si="67"/>
        <v/>
      </c>
      <c r="BA867" s="6">
        <f t="shared" si="68"/>
        <v>0</v>
      </c>
      <c r="BB867" s="6">
        <f t="shared" si="69"/>
        <v>0</v>
      </c>
      <c r="BC867" s="9" t="str">
        <f t="shared" si="70"/>
        <v/>
      </c>
      <c r="BD867" s="6">
        <f t="shared" si="71"/>
        <v>0</v>
      </c>
      <c r="BE867" s="6">
        <f t="shared" si="72"/>
        <v>0</v>
      </c>
      <c r="BF867" s="9" t="str">
        <f t="shared" si="73"/>
        <v/>
      </c>
      <c r="BG867" s="6">
        <f t="shared" si="74"/>
        <v>0</v>
      </c>
      <c r="BH867" s="6">
        <f t="shared" si="75"/>
        <v>0</v>
      </c>
      <c r="BI867" s="9" t="str">
        <f t="shared" si="76"/>
        <v/>
      </c>
      <c r="BJ867" s="6">
        <f t="shared" si="77"/>
        <v>0</v>
      </c>
      <c r="BK867" s="6">
        <f t="shared" si="78"/>
        <v>0</v>
      </c>
      <c r="BL867" s="6">
        <f t="shared" si="79"/>
        <v>0</v>
      </c>
      <c r="BM867" s="6">
        <f t="shared" si="80"/>
        <v>0</v>
      </c>
      <c r="BN867" s="6">
        <f t="shared" si="81"/>
        <v>0</v>
      </c>
      <c r="BP867" s="6">
        <f t="shared" si="82"/>
        <v>0</v>
      </c>
      <c r="BQ867" s="6" t="b">
        <f ca="1">IFERROR(__xludf.DUMMYFUNCTION("IF(AND(ISERROR(FILTER('Items by Team'!D$2:D3410,'Items by Team'!C$2:C3410 = D867,'Items by Team'!B$2:B3410 = B867)),NOT(A867=""Practice"")),TRUE,FALSE)"),FALSE)</f>
        <v>0</v>
      </c>
      <c r="BR867" s="6">
        <f t="shared" ca="1" si="83"/>
        <v>0</v>
      </c>
    </row>
    <row r="868" spans="1:70">
      <c r="A868" s="6"/>
      <c r="B868" s="6"/>
      <c r="C868" s="6"/>
      <c r="D868" s="6"/>
      <c r="E868" s="6"/>
      <c r="F868" s="6"/>
      <c r="G868" s="6"/>
      <c r="H868" s="6"/>
      <c r="I868" s="6"/>
      <c r="J868" s="6"/>
      <c r="K868" s="6"/>
      <c r="L868" s="6"/>
      <c r="M868" s="6"/>
      <c r="N868" s="6"/>
      <c r="O868" s="6"/>
      <c r="P868" s="6"/>
      <c r="R868" s="6"/>
      <c r="S868" s="6"/>
      <c r="T868" s="6"/>
      <c r="U868" s="6"/>
      <c r="V868" s="6"/>
      <c r="W868" s="6"/>
      <c r="X868" s="6"/>
      <c r="Y868" s="6"/>
      <c r="Z868" s="6"/>
      <c r="AA868" s="6"/>
      <c r="AB868" s="6"/>
      <c r="AD868" s="6"/>
      <c r="AE868" s="6"/>
      <c r="AF868" s="6"/>
      <c r="AG868" s="6"/>
      <c r="AH868" s="6"/>
      <c r="AI868" s="6"/>
      <c r="AK868" s="6"/>
      <c r="AL868" s="6"/>
      <c r="AM868" s="6"/>
      <c r="AN868" s="6"/>
      <c r="AO868" s="6"/>
      <c r="AP868" s="6"/>
      <c r="AQ868" s="6"/>
      <c r="AR868" s="6"/>
      <c r="AS868" s="15"/>
      <c r="AT868" s="6" t="str">
        <f ca="1">IFERROR(__xludf.DUMMYFUNCTION("""COMPUTED_VALUE"""),"#N/A")</f>
        <v>#N/A</v>
      </c>
      <c r="AU868" s="6" t="str">
        <f ca="1">IFERROR(__xludf.DUMMYFUNCTION("""COMPUTED_VALUE"""),"FALSE")</f>
        <v>FALSE</v>
      </c>
      <c r="AV868" s="6">
        <f t="shared" si="63"/>
        <v>0</v>
      </c>
      <c r="AW868" s="6">
        <f t="shared" si="64"/>
        <v>0</v>
      </c>
      <c r="AX868" s="6">
        <f t="shared" si="65"/>
        <v>0</v>
      </c>
      <c r="AY868" s="6">
        <f t="shared" si="66"/>
        <v>0</v>
      </c>
      <c r="AZ868" s="9" t="str">
        <f t="shared" si="67"/>
        <v/>
      </c>
      <c r="BA868" s="6">
        <f t="shared" si="68"/>
        <v>0</v>
      </c>
      <c r="BB868" s="6">
        <f t="shared" si="69"/>
        <v>0</v>
      </c>
      <c r="BC868" s="9" t="str">
        <f t="shared" si="70"/>
        <v/>
      </c>
      <c r="BD868" s="6">
        <f t="shared" si="71"/>
        <v>0</v>
      </c>
      <c r="BE868" s="6">
        <f t="shared" si="72"/>
        <v>0</v>
      </c>
      <c r="BF868" s="9" t="str">
        <f t="shared" si="73"/>
        <v/>
      </c>
      <c r="BG868" s="6">
        <f t="shared" si="74"/>
        <v>0</v>
      </c>
      <c r="BH868" s="6">
        <f t="shared" si="75"/>
        <v>0</v>
      </c>
      <c r="BI868" s="9" t="str">
        <f t="shared" si="76"/>
        <v/>
      </c>
      <c r="BJ868" s="6">
        <f t="shared" si="77"/>
        <v>0</v>
      </c>
      <c r="BK868" s="6">
        <f t="shared" si="78"/>
        <v>0</v>
      </c>
      <c r="BL868" s="6">
        <f t="shared" si="79"/>
        <v>0</v>
      </c>
      <c r="BM868" s="6">
        <f t="shared" si="80"/>
        <v>0</v>
      </c>
      <c r="BN868" s="6">
        <f t="shared" si="81"/>
        <v>0</v>
      </c>
      <c r="BP868" s="6">
        <f t="shared" si="82"/>
        <v>0</v>
      </c>
      <c r="BQ868" s="6" t="b">
        <f ca="1">IFERROR(__xludf.DUMMYFUNCTION("IF(AND(ISERROR(FILTER('Items by Team'!D$2:D3410,'Items by Team'!C$2:C3410 = D868,'Items by Team'!B$2:B3410 = B868)),NOT(A868=""Practice"")),TRUE,FALSE)"),FALSE)</f>
        <v>0</v>
      </c>
      <c r="BR868" s="6">
        <f t="shared" ca="1" si="83"/>
        <v>0</v>
      </c>
    </row>
    <row r="869" spans="1:70">
      <c r="A869" s="6"/>
      <c r="B869" s="6"/>
      <c r="C869" s="6"/>
      <c r="D869" s="6"/>
      <c r="E869" s="6"/>
      <c r="F869" s="6"/>
      <c r="G869" s="6"/>
      <c r="H869" s="6"/>
      <c r="I869" s="6"/>
      <c r="J869" s="6"/>
      <c r="K869" s="6"/>
      <c r="L869" s="6"/>
      <c r="M869" s="6"/>
      <c r="N869" s="6"/>
      <c r="O869" s="6"/>
      <c r="P869" s="6"/>
      <c r="R869" s="6"/>
      <c r="S869" s="6"/>
      <c r="T869" s="6"/>
      <c r="U869" s="6"/>
      <c r="V869" s="6"/>
      <c r="W869" s="6"/>
      <c r="X869" s="6"/>
      <c r="Y869" s="6"/>
      <c r="Z869" s="6"/>
      <c r="AA869" s="6"/>
      <c r="AB869" s="6"/>
      <c r="AD869" s="6"/>
      <c r="AE869" s="6"/>
      <c r="AF869" s="6"/>
      <c r="AG869" s="6"/>
      <c r="AH869" s="6"/>
      <c r="AI869" s="6"/>
      <c r="AK869" s="6"/>
      <c r="AL869" s="6"/>
      <c r="AM869" s="6"/>
      <c r="AN869" s="6"/>
      <c r="AO869" s="6"/>
      <c r="AP869" s="6"/>
      <c r="AQ869" s="6"/>
      <c r="AR869" s="6"/>
      <c r="AS869" s="15"/>
      <c r="AT869" s="6" t="str">
        <f ca="1">IFERROR(__xludf.DUMMYFUNCTION("""COMPUTED_VALUE"""),"#N/A")</f>
        <v>#N/A</v>
      </c>
      <c r="AU869" s="6" t="str">
        <f ca="1">IFERROR(__xludf.DUMMYFUNCTION("""COMPUTED_VALUE"""),"FALSE")</f>
        <v>FALSE</v>
      </c>
      <c r="AV869" s="6">
        <f t="shared" si="63"/>
        <v>0</v>
      </c>
      <c r="AW869" s="6">
        <f t="shared" si="64"/>
        <v>0</v>
      </c>
      <c r="AX869" s="6">
        <f t="shared" si="65"/>
        <v>0</v>
      </c>
      <c r="AY869" s="6">
        <f t="shared" si="66"/>
        <v>0</v>
      </c>
      <c r="AZ869" s="9" t="str">
        <f t="shared" si="67"/>
        <v/>
      </c>
      <c r="BA869" s="6">
        <f t="shared" si="68"/>
        <v>0</v>
      </c>
      <c r="BB869" s="6">
        <f t="shared" si="69"/>
        <v>0</v>
      </c>
      <c r="BC869" s="9" t="str">
        <f t="shared" si="70"/>
        <v/>
      </c>
      <c r="BD869" s="6">
        <f t="shared" si="71"/>
        <v>0</v>
      </c>
      <c r="BE869" s="6">
        <f t="shared" si="72"/>
        <v>0</v>
      </c>
      <c r="BF869" s="9" t="str">
        <f t="shared" si="73"/>
        <v/>
      </c>
      <c r="BG869" s="6">
        <f t="shared" si="74"/>
        <v>0</v>
      </c>
      <c r="BH869" s="6">
        <f t="shared" si="75"/>
        <v>0</v>
      </c>
      <c r="BI869" s="9" t="str">
        <f t="shared" si="76"/>
        <v/>
      </c>
      <c r="BJ869" s="6">
        <f t="shared" si="77"/>
        <v>0</v>
      </c>
      <c r="BK869" s="6">
        <f t="shared" si="78"/>
        <v>0</v>
      </c>
      <c r="BL869" s="6">
        <f t="shared" si="79"/>
        <v>0</v>
      </c>
      <c r="BM869" s="6">
        <f t="shared" si="80"/>
        <v>0</v>
      </c>
      <c r="BN869" s="6">
        <f t="shared" si="81"/>
        <v>0</v>
      </c>
      <c r="BP869" s="6">
        <f t="shared" si="82"/>
        <v>0</v>
      </c>
      <c r="BQ869" s="6" t="b">
        <f ca="1">IFERROR(__xludf.DUMMYFUNCTION("IF(AND(ISERROR(FILTER('Items by Team'!D$2:D3410,'Items by Team'!C$2:C3410 = D869,'Items by Team'!B$2:B3410 = B869)),NOT(A869=""Practice"")),TRUE,FALSE)"),FALSE)</f>
        <v>0</v>
      </c>
      <c r="BR869" s="6">
        <f t="shared" ca="1" si="83"/>
        <v>0</v>
      </c>
    </row>
    <row r="870" spans="1:70">
      <c r="A870" s="6"/>
      <c r="B870" s="6"/>
      <c r="C870" s="6"/>
      <c r="D870" s="6"/>
      <c r="E870" s="6"/>
      <c r="F870" s="6"/>
      <c r="G870" s="6"/>
      <c r="H870" s="6"/>
      <c r="I870" s="6"/>
      <c r="J870" s="6"/>
      <c r="K870" s="6"/>
      <c r="L870" s="6"/>
      <c r="M870" s="6"/>
      <c r="N870" s="6"/>
      <c r="O870" s="6"/>
      <c r="P870" s="6"/>
      <c r="R870" s="6"/>
      <c r="S870" s="6"/>
      <c r="T870" s="6"/>
      <c r="U870" s="6"/>
      <c r="V870" s="6"/>
      <c r="W870" s="6"/>
      <c r="X870" s="6"/>
      <c r="Y870" s="6"/>
      <c r="Z870" s="6"/>
      <c r="AA870" s="6"/>
      <c r="AB870" s="6"/>
      <c r="AD870" s="6"/>
      <c r="AE870" s="6"/>
      <c r="AF870" s="6"/>
      <c r="AG870" s="6"/>
      <c r="AH870" s="6"/>
      <c r="AI870" s="6"/>
      <c r="AK870" s="6"/>
      <c r="AL870" s="6"/>
      <c r="AM870" s="6"/>
      <c r="AN870" s="6"/>
      <c r="AO870" s="6"/>
      <c r="AP870" s="6"/>
      <c r="AQ870" s="6"/>
      <c r="AR870" s="6"/>
      <c r="AS870" s="15"/>
      <c r="AT870" s="6" t="str">
        <f ca="1">IFERROR(__xludf.DUMMYFUNCTION("""COMPUTED_VALUE"""),"#N/A")</f>
        <v>#N/A</v>
      </c>
      <c r="AU870" s="6" t="str">
        <f ca="1">IFERROR(__xludf.DUMMYFUNCTION("""COMPUTED_VALUE"""),"FALSE")</f>
        <v>FALSE</v>
      </c>
      <c r="AV870" s="6">
        <f t="shared" si="63"/>
        <v>0</v>
      </c>
      <c r="AW870" s="6">
        <f t="shared" si="64"/>
        <v>0</v>
      </c>
      <c r="AX870" s="6">
        <f t="shared" si="65"/>
        <v>0</v>
      </c>
      <c r="AY870" s="6">
        <f t="shared" si="66"/>
        <v>0</v>
      </c>
      <c r="AZ870" s="9" t="str">
        <f t="shared" si="67"/>
        <v/>
      </c>
      <c r="BA870" s="6">
        <f t="shared" si="68"/>
        <v>0</v>
      </c>
      <c r="BB870" s="6">
        <f t="shared" si="69"/>
        <v>0</v>
      </c>
      <c r="BC870" s="9" t="str">
        <f t="shared" si="70"/>
        <v/>
      </c>
      <c r="BD870" s="6">
        <f t="shared" si="71"/>
        <v>0</v>
      </c>
      <c r="BE870" s="6">
        <f t="shared" si="72"/>
        <v>0</v>
      </c>
      <c r="BF870" s="9" t="str">
        <f t="shared" si="73"/>
        <v/>
      </c>
      <c r="BG870" s="6">
        <f t="shared" si="74"/>
        <v>0</v>
      </c>
      <c r="BH870" s="6">
        <f t="shared" si="75"/>
        <v>0</v>
      </c>
      <c r="BI870" s="9" t="str">
        <f t="shared" si="76"/>
        <v/>
      </c>
      <c r="BJ870" s="6">
        <f t="shared" si="77"/>
        <v>0</v>
      </c>
      <c r="BK870" s="6">
        <f t="shared" si="78"/>
        <v>0</v>
      </c>
      <c r="BL870" s="6">
        <f t="shared" si="79"/>
        <v>0</v>
      </c>
      <c r="BM870" s="6">
        <f t="shared" si="80"/>
        <v>0</v>
      </c>
      <c r="BN870" s="6">
        <f t="shared" si="81"/>
        <v>0</v>
      </c>
      <c r="BP870" s="6">
        <f t="shared" si="82"/>
        <v>0</v>
      </c>
      <c r="BQ870" s="6" t="b">
        <f ca="1">IFERROR(__xludf.DUMMYFUNCTION("IF(AND(ISERROR(FILTER('Items by Team'!D$2:D3410,'Items by Team'!C$2:C3410 = D870,'Items by Team'!B$2:B3410 = B870)),NOT(A870=""Practice"")),TRUE,FALSE)"),FALSE)</f>
        <v>0</v>
      </c>
      <c r="BR870" s="6">
        <f t="shared" ca="1" si="83"/>
        <v>0</v>
      </c>
    </row>
    <row r="871" spans="1:70">
      <c r="A871" s="6"/>
      <c r="B871" s="6"/>
      <c r="C871" s="6"/>
      <c r="D871" s="6"/>
      <c r="E871" s="6"/>
      <c r="F871" s="6"/>
      <c r="G871" s="6"/>
      <c r="H871" s="6"/>
      <c r="I871" s="6"/>
      <c r="J871" s="6"/>
      <c r="K871" s="6"/>
      <c r="L871" s="6"/>
      <c r="M871" s="6"/>
      <c r="N871" s="6"/>
      <c r="O871" s="6"/>
      <c r="P871" s="6"/>
      <c r="R871" s="6"/>
      <c r="S871" s="6"/>
      <c r="T871" s="6"/>
      <c r="U871" s="6"/>
      <c r="V871" s="6"/>
      <c r="W871" s="6"/>
      <c r="X871" s="6"/>
      <c r="Y871" s="6"/>
      <c r="Z871" s="6"/>
      <c r="AA871" s="6"/>
      <c r="AB871" s="6"/>
      <c r="AD871" s="6"/>
      <c r="AE871" s="6"/>
      <c r="AF871" s="6"/>
      <c r="AG871" s="6"/>
      <c r="AH871" s="6"/>
      <c r="AI871" s="6"/>
      <c r="AK871" s="6"/>
      <c r="AL871" s="6"/>
      <c r="AM871" s="6"/>
      <c r="AN871" s="6"/>
      <c r="AO871" s="6"/>
      <c r="AP871" s="6"/>
      <c r="AQ871" s="6"/>
      <c r="AR871" s="6"/>
      <c r="AS871" s="15"/>
      <c r="AT871" s="6" t="str">
        <f ca="1">IFERROR(__xludf.DUMMYFUNCTION("""COMPUTED_VALUE"""),"#N/A")</f>
        <v>#N/A</v>
      </c>
      <c r="AU871" s="6" t="str">
        <f ca="1">IFERROR(__xludf.DUMMYFUNCTION("""COMPUTED_VALUE"""),"FALSE")</f>
        <v>FALSE</v>
      </c>
      <c r="AV871" s="6">
        <f t="shared" si="63"/>
        <v>0</v>
      </c>
      <c r="AW871" s="6">
        <f t="shared" si="64"/>
        <v>0</v>
      </c>
      <c r="AX871" s="6">
        <f t="shared" si="65"/>
        <v>0</v>
      </c>
      <c r="AY871" s="6">
        <f t="shared" si="66"/>
        <v>0</v>
      </c>
      <c r="AZ871" s="9" t="str">
        <f t="shared" si="67"/>
        <v/>
      </c>
      <c r="BA871" s="6">
        <f t="shared" si="68"/>
        <v>0</v>
      </c>
      <c r="BB871" s="6">
        <f t="shared" si="69"/>
        <v>0</v>
      </c>
      <c r="BC871" s="9" t="str">
        <f t="shared" si="70"/>
        <v/>
      </c>
      <c r="BD871" s="6">
        <f t="shared" si="71"/>
        <v>0</v>
      </c>
      <c r="BE871" s="6">
        <f t="shared" si="72"/>
        <v>0</v>
      </c>
      <c r="BF871" s="9" t="str">
        <f t="shared" si="73"/>
        <v/>
      </c>
      <c r="BG871" s="6">
        <f t="shared" si="74"/>
        <v>0</v>
      </c>
      <c r="BH871" s="6">
        <f t="shared" si="75"/>
        <v>0</v>
      </c>
      <c r="BI871" s="9" t="str">
        <f t="shared" si="76"/>
        <v/>
      </c>
      <c r="BJ871" s="6">
        <f t="shared" si="77"/>
        <v>0</v>
      </c>
      <c r="BK871" s="6">
        <f t="shared" si="78"/>
        <v>0</v>
      </c>
      <c r="BL871" s="6">
        <f t="shared" si="79"/>
        <v>0</v>
      </c>
      <c r="BM871" s="6">
        <f t="shared" si="80"/>
        <v>0</v>
      </c>
      <c r="BN871" s="6">
        <f t="shared" si="81"/>
        <v>0</v>
      </c>
      <c r="BP871" s="6">
        <f t="shared" si="82"/>
        <v>0</v>
      </c>
      <c r="BQ871" s="6" t="b">
        <f ca="1">IFERROR(__xludf.DUMMYFUNCTION("IF(AND(ISERROR(FILTER('Items by Team'!D$2:D3410,'Items by Team'!C$2:C3410 = D871,'Items by Team'!B$2:B3410 = B871)),NOT(A871=""Practice"")),TRUE,FALSE)"),FALSE)</f>
        <v>0</v>
      </c>
      <c r="BR871" s="6">
        <f t="shared" ca="1" si="83"/>
        <v>0</v>
      </c>
    </row>
    <row r="872" spans="1:70">
      <c r="A872" s="6"/>
      <c r="B872" s="6"/>
      <c r="C872" s="6"/>
      <c r="D872" s="6"/>
      <c r="E872" s="6"/>
      <c r="F872" s="6"/>
      <c r="G872" s="6"/>
      <c r="H872" s="6"/>
      <c r="I872" s="6"/>
      <c r="J872" s="6"/>
      <c r="K872" s="6"/>
      <c r="L872" s="6"/>
      <c r="M872" s="6"/>
      <c r="N872" s="6"/>
      <c r="O872" s="6"/>
      <c r="P872" s="6"/>
      <c r="R872" s="6"/>
      <c r="S872" s="6"/>
      <c r="T872" s="6"/>
      <c r="U872" s="6"/>
      <c r="V872" s="6"/>
      <c r="W872" s="6"/>
      <c r="X872" s="6"/>
      <c r="Y872" s="6"/>
      <c r="Z872" s="6"/>
      <c r="AA872" s="6"/>
      <c r="AB872" s="6"/>
      <c r="AD872" s="6"/>
      <c r="AE872" s="6"/>
      <c r="AF872" s="6"/>
      <c r="AG872" s="6"/>
      <c r="AH872" s="6"/>
      <c r="AI872" s="6"/>
      <c r="AK872" s="6"/>
      <c r="AL872" s="6"/>
      <c r="AM872" s="6"/>
      <c r="AN872" s="6"/>
      <c r="AO872" s="6"/>
      <c r="AP872" s="6"/>
      <c r="AQ872" s="6"/>
      <c r="AR872" s="6"/>
      <c r="AS872" s="15"/>
      <c r="AT872" s="6" t="str">
        <f ca="1">IFERROR(__xludf.DUMMYFUNCTION("""COMPUTED_VALUE"""),"#N/A")</f>
        <v>#N/A</v>
      </c>
      <c r="AU872" s="6" t="str">
        <f ca="1">IFERROR(__xludf.DUMMYFUNCTION("""COMPUTED_VALUE"""),"FALSE")</f>
        <v>FALSE</v>
      </c>
      <c r="AW872" s="6">
        <f t="shared" si="64"/>
        <v>0</v>
      </c>
      <c r="AX872" s="6">
        <f t="shared" si="65"/>
        <v>0</v>
      </c>
      <c r="AY872" s="6">
        <f t="shared" si="66"/>
        <v>0</v>
      </c>
      <c r="AZ872" s="9" t="str">
        <f t="shared" si="67"/>
        <v/>
      </c>
      <c r="BA872" s="6">
        <f t="shared" si="68"/>
        <v>0</v>
      </c>
      <c r="BB872" s="6">
        <f t="shared" si="69"/>
        <v>0</v>
      </c>
      <c r="BC872" s="9" t="str">
        <f t="shared" si="70"/>
        <v/>
      </c>
      <c r="BD872" s="6">
        <f t="shared" si="71"/>
        <v>0</v>
      </c>
      <c r="BE872" s="6">
        <f t="shared" si="72"/>
        <v>0</v>
      </c>
      <c r="BF872" s="9" t="str">
        <f t="shared" si="73"/>
        <v/>
      </c>
      <c r="BG872" s="6">
        <f t="shared" si="74"/>
        <v>0</v>
      </c>
      <c r="BH872" s="6">
        <f t="shared" si="75"/>
        <v>0</v>
      </c>
      <c r="BI872" s="9" t="str">
        <f t="shared" si="76"/>
        <v/>
      </c>
      <c r="BJ872" s="6">
        <f t="shared" si="77"/>
        <v>0</v>
      </c>
      <c r="BK872" s="6">
        <f t="shared" si="78"/>
        <v>0</v>
      </c>
      <c r="BL872" s="6">
        <f t="shared" si="79"/>
        <v>0</v>
      </c>
      <c r="BM872" s="6">
        <f t="shared" si="80"/>
        <v>0</v>
      </c>
      <c r="BN872" s="6">
        <f t="shared" si="81"/>
        <v>0</v>
      </c>
      <c r="BP872" s="6">
        <f t="shared" si="82"/>
        <v>0</v>
      </c>
      <c r="BQ872" s="6" t="b">
        <f ca="1">IFERROR(__xludf.DUMMYFUNCTION("IF(AND(ISERROR(FILTER('Items by Team'!D$2:D3410,'Items by Team'!C$2:C3410 = D872,'Items by Team'!B$2:B3410 = B872)),NOT(A872=""Practice"")),TRUE,FALSE)"),FALSE)</f>
        <v>0</v>
      </c>
      <c r="BR872" s="6">
        <f t="shared" ca="1" si="83"/>
        <v>0</v>
      </c>
    </row>
    <row r="873" spans="1:70">
      <c r="A873" s="6"/>
      <c r="B873" s="6"/>
      <c r="C873" s="6"/>
      <c r="D873" s="6"/>
      <c r="E873" s="6"/>
      <c r="F873" s="6"/>
      <c r="G873" s="6"/>
      <c r="H873" s="6"/>
      <c r="I873" s="6"/>
      <c r="J873" s="6"/>
      <c r="K873" s="6"/>
      <c r="L873" s="6"/>
      <c r="M873" s="6"/>
      <c r="N873" s="6"/>
      <c r="O873" s="6"/>
      <c r="P873" s="6"/>
      <c r="R873" s="6"/>
      <c r="S873" s="6"/>
      <c r="T873" s="6"/>
      <c r="U873" s="6"/>
      <c r="V873" s="6"/>
      <c r="W873" s="6"/>
      <c r="X873" s="6"/>
      <c r="Y873" s="6"/>
      <c r="Z873" s="6"/>
      <c r="AA873" s="6"/>
      <c r="AB873" s="6"/>
      <c r="AD873" s="6"/>
      <c r="AE873" s="6"/>
      <c r="AF873" s="6"/>
      <c r="AG873" s="6"/>
      <c r="AH873" s="6"/>
      <c r="AI873" s="6"/>
      <c r="AK873" s="6"/>
      <c r="AL873" s="6"/>
      <c r="AM873" s="6"/>
      <c r="AN873" s="6"/>
      <c r="AO873" s="6"/>
      <c r="AP873" s="6"/>
      <c r="AQ873" s="6"/>
      <c r="AR873" s="6"/>
      <c r="AS873" s="15"/>
      <c r="AT873" s="6" t="str">
        <f ca="1">IFERROR(__xludf.DUMMYFUNCTION("""COMPUTED_VALUE"""),"#N/A")</f>
        <v>#N/A</v>
      </c>
      <c r="AU873" s="6" t="str">
        <f ca="1">IFERROR(__xludf.DUMMYFUNCTION("""COMPUTED_VALUE"""),"FALSE")</f>
        <v>FALSE</v>
      </c>
      <c r="AW873" s="6">
        <f t="shared" si="64"/>
        <v>0</v>
      </c>
      <c r="AX873" s="6">
        <f t="shared" si="65"/>
        <v>0</v>
      </c>
      <c r="AY873" s="6">
        <f t="shared" si="66"/>
        <v>0</v>
      </c>
      <c r="AZ873" s="9" t="str">
        <f t="shared" si="67"/>
        <v/>
      </c>
      <c r="BA873" s="6">
        <f t="shared" si="68"/>
        <v>0</v>
      </c>
      <c r="BB873" s="6">
        <f t="shared" si="69"/>
        <v>0</v>
      </c>
      <c r="BC873" s="9" t="str">
        <f t="shared" si="70"/>
        <v/>
      </c>
      <c r="BD873" s="6">
        <f t="shared" si="71"/>
        <v>0</v>
      </c>
      <c r="BE873" s="6">
        <f t="shared" si="72"/>
        <v>0</v>
      </c>
      <c r="BF873" s="9" t="str">
        <f t="shared" si="73"/>
        <v/>
      </c>
      <c r="BG873" s="6">
        <f t="shared" si="74"/>
        <v>0</v>
      </c>
      <c r="BH873" s="6">
        <f t="shared" si="75"/>
        <v>0</v>
      </c>
      <c r="BI873" s="9" t="str">
        <f t="shared" si="76"/>
        <v/>
      </c>
      <c r="BJ873" s="6">
        <f t="shared" si="77"/>
        <v>0</v>
      </c>
      <c r="BK873" s="6">
        <f t="shared" si="78"/>
        <v>0</v>
      </c>
      <c r="BL873" s="6">
        <f t="shared" si="79"/>
        <v>0</v>
      </c>
      <c r="BM873" s="6">
        <f t="shared" si="80"/>
        <v>0</v>
      </c>
      <c r="BN873" s="6">
        <f t="shared" si="81"/>
        <v>0</v>
      </c>
      <c r="BP873" s="6">
        <f t="shared" si="82"/>
        <v>0</v>
      </c>
      <c r="BQ873" s="6" t="b">
        <f ca="1">IFERROR(__xludf.DUMMYFUNCTION("IF(AND(ISERROR(FILTER('Items by Team'!D$2:D3410,'Items by Team'!C$2:C3410 = D873,'Items by Team'!B$2:B3410 = B873)),NOT(A873=""Practice"")),TRUE,FALSE)"),FALSE)</f>
        <v>0</v>
      </c>
      <c r="BR873" s="6">
        <f t="shared" ca="1" si="83"/>
        <v>0</v>
      </c>
    </row>
    <row r="874" spans="1:70">
      <c r="A874" s="6"/>
      <c r="B874" s="6"/>
      <c r="C874" s="6"/>
      <c r="D874" s="6"/>
      <c r="E874" s="6"/>
      <c r="F874" s="6"/>
      <c r="G874" s="6"/>
      <c r="H874" s="6"/>
      <c r="I874" s="6"/>
      <c r="J874" s="6"/>
      <c r="K874" s="6"/>
      <c r="L874" s="6"/>
      <c r="M874" s="6"/>
      <c r="N874" s="6"/>
      <c r="O874" s="6"/>
      <c r="P874" s="6"/>
      <c r="R874" s="6"/>
      <c r="S874" s="6"/>
      <c r="T874" s="6"/>
      <c r="U874" s="6"/>
      <c r="V874" s="6"/>
      <c r="W874" s="6"/>
      <c r="X874" s="6"/>
      <c r="Y874" s="6"/>
      <c r="Z874" s="6"/>
      <c r="AA874" s="6"/>
      <c r="AB874" s="6"/>
      <c r="AD874" s="6"/>
      <c r="AE874" s="6"/>
      <c r="AF874" s="6"/>
      <c r="AG874" s="6"/>
      <c r="AH874" s="6"/>
      <c r="AI874" s="6"/>
      <c r="AK874" s="6"/>
      <c r="AL874" s="6"/>
      <c r="AM874" s="6"/>
      <c r="AN874" s="6"/>
      <c r="AO874" s="6"/>
      <c r="AP874" s="6"/>
      <c r="AQ874" s="6"/>
      <c r="AR874" s="6"/>
      <c r="AS874" s="15"/>
      <c r="AT874" s="6" t="str">
        <f ca="1">IFERROR(__xludf.DUMMYFUNCTION("""COMPUTED_VALUE"""),"#N/A")</f>
        <v>#N/A</v>
      </c>
      <c r="AU874" s="6" t="str">
        <f ca="1">IFERROR(__xludf.DUMMYFUNCTION("""COMPUTED_VALUE"""),"FALSE")</f>
        <v>FALSE</v>
      </c>
      <c r="AW874" s="6">
        <f t="shared" si="64"/>
        <v>0</v>
      </c>
      <c r="AX874" s="6">
        <f t="shared" si="65"/>
        <v>0</v>
      </c>
      <c r="AY874" s="6">
        <f t="shared" si="66"/>
        <v>0</v>
      </c>
      <c r="AZ874" s="9" t="str">
        <f t="shared" si="67"/>
        <v/>
      </c>
      <c r="BA874" s="6">
        <f t="shared" si="68"/>
        <v>0</v>
      </c>
      <c r="BB874" s="6">
        <f t="shared" si="69"/>
        <v>0</v>
      </c>
      <c r="BC874" s="9" t="str">
        <f t="shared" si="70"/>
        <v/>
      </c>
      <c r="BD874" s="6">
        <f t="shared" si="71"/>
        <v>0</v>
      </c>
      <c r="BE874" s="6">
        <f t="shared" si="72"/>
        <v>0</v>
      </c>
      <c r="BF874" s="9" t="str">
        <f t="shared" si="73"/>
        <v/>
      </c>
      <c r="BG874" s="6">
        <f t="shared" si="74"/>
        <v>0</v>
      </c>
      <c r="BH874" s="6">
        <f t="shared" si="75"/>
        <v>0</v>
      </c>
      <c r="BI874" s="9" t="str">
        <f t="shared" si="76"/>
        <v/>
      </c>
      <c r="BJ874" s="6">
        <f t="shared" si="77"/>
        <v>0</v>
      </c>
      <c r="BK874" s="6">
        <f t="shared" si="78"/>
        <v>0</v>
      </c>
      <c r="BL874" s="6">
        <f t="shared" si="79"/>
        <v>0</v>
      </c>
      <c r="BM874" s="6">
        <f t="shared" si="80"/>
        <v>0</v>
      </c>
      <c r="BN874" s="6">
        <f t="shared" si="81"/>
        <v>0</v>
      </c>
      <c r="BP874" s="6">
        <f t="shared" si="82"/>
        <v>0</v>
      </c>
      <c r="BQ874" s="6" t="b">
        <f ca="1">IFERROR(__xludf.DUMMYFUNCTION("IF(AND(ISERROR(FILTER('Items by Team'!D$2:D3410,'Items by Team'!C$2:C3410 = D874,'Items by Team'!B$2:B3410 = B874)),NOT(A874=""Practice"")),TRUE,FALSE)"),FALSE)</f>
        <v>0</v>
      </c>
      <c r="BR874" s="6">
        <f t="shared" ca="1" si="83"/>
        <v>0</v>
      </c>
    </row>
    <row r="875" spans="1:70">
      <c r="A875" s="6"/>
      <c r="B875" s="6"/>
      <c r="C875" s="6"/>
      <c r="D875" s="6"/>
      <c r="E875" s="6"/>
      <c r="F875" s="6"/>
      <c r="G875" s="6"/>
      <c r="H875" s="6"/>
      <c r="I875" s="6"/>
      <c r="J875" s="6"/>
      <c r="K875" s="6"/>
      <c r="L875" s="6"/>
      <c r="M875" s="6"/>
      <c r="N875" s="6"/>
      <c r="O875" s="6"/>
      <c r="P875" s="6"/>
      <c r="R875" s="6"/>
      <c r="S875" s="6"/>
      <c r="T875" s="6"/>
      <c r="U875" s="6"/>
      <c r="V875" s="6"/>
      <c r="W875" s="6"/>
      <c r="X875" s="6"/>
      <c r="Y875" s="6"/>
      <c r="Z875" s="6"/>
      <c r="AA875" s="6"/>
      <c r="AB875" s="6"/>
      <c r="AD875" s="6"/>
      <c r="AE875" s="6"/>
      <c r="AF875" s="6"/>
      <c r="AG875" s="6"/>
      <c r="AH875" s="6"/>
      <c r="AI875" s="6"/>
      <c r="AK875" s="6"/>
      <c r="AL875" s="6"/>
      <c r="AM875" s="6"/>
      <c r="AN875" s="6"/>
      <c r="AO875" s="6"/>
      <c r="AP875" s="6"/>
      <c r="AQ875" s="6"/>
      <c r="AR875" s="6"/>
      <c r="AS875" s="15"/>
      <c r="AT875" s="6" t="str">
        <f ca="1">IFERROR(__xludf.DUMMYFUNCTION("""COMPUTED_VALUE"""),"#N/A")</f>
        <v>#N/A</v>
      </c>
      <c r="AU875" s="6" t="str">
        <f ca="1">IFERROR(__xludf.DUMMYFUNCTION("""COMPUTED_VALUE"""),"FALSE")</f>
        <v>FALSE</v>
      </c>
      <c r="AW875" s="6">
        <f t="shared" si="64"/>
        <v>0</v>
      </c>
      <c r="AX875" s="6">
        <f t="shared" si="65"/>
        <v>0</v>
      </c>
      <c r="AY875" s="6">
        <f t="shared" si="66"/>
        <v>0</v>
      </c>
      <c r="AZ875" s="9" t="str">
        <f t="shared" si="67"/>
        <v/>
      </c>
      <c r="BA875" s="6">
        <f t="shared" si="68"/>
        <v>0</v>
      </c>
      <c r="BB875" s="6">
        <f t="shared" si="69"/>
        <v>0</v>
      </c>
      <c r="BC875" s="9" t="str">
        <f t="shared" si="70"/>
        <v/>
      </c>
      <c r="BD875" s="6">
        <f t="shared" si="71"/>
        <v>0</v>
      </c>
      <c r="BE875" s="6">
        <f t="shared" si="72"/>
        <v>0</v>
      </c>
      <c r="BF875" s="9" t="str">
        <f t="shared" si="73"/>
        <v/>
      </c>
      <c r="BG875" s="6">
        <f t="shared" si="74"/>
        <v>0</v>
      </c>
      <c r="BH875" s="6">
        <f t="shared" si="75"/>
        <v>0</v>
      </c>
      <c r="BI875" s="9" t="str">
        <f t="shared" si="76"/>
        <v/>
      </c>
      <c r="BJ875" s="6">
        <f t="shared" si="77"/>
        <v>0</v>
      </c>
      <c r="BK875" s="6">
        <f t="shared" si="78"/>
        <v>0</v>
      </c>
      <c r="BL875" s="6">
        <f t="shared" si="79"/>
        <v>0</v>
      </c>
      <c r="BM875" s="6">
        <f t="shared" si="80"/>
        <v>0</v>
      </c>
      <c r="BN875" s="6">
        <f t="shared" si="81"/>
        <v>0</v>
      </c>
      <c r="BP875" s="6">
        <f t="shared" si="82"/>
        <v>0</v>
      </c>
      <c r="BQ875" s="6" t="b">
        <f ca="1">IFERROR(__xludf.DUMMYFUNCTION("IF(AND(ISERROR(FILTER('Items by Team'!D$2:D3410,'Items by Team'!C$2:C3410 = D875,'Items by Team'!B$2:B3410 = B875)),NOT(A875=""Practice"")),TRUE,FALSE)"),FALSE)</f>
        <v>0</v>
      </c>
      <c r="BR875" s="6">
        <f t="shared" ca="1" si="83"/>
        <v>0</v>
      </c>
    </row>
    <row r="876" spans="1:70">
      <c r="A876" s="6"/>
      <c r="B876" s="6"/>
      <c r="C876" s="6"/>
      <c r="D876" s="6"/>
      <c r="E876" s="6"/>
      <c r="F876" s="6"/>
      <c r="G876" s="6"/>
      <c r="H876" s="6"/>
      <c r="I876" s="6"/>
      <c r="J876" s="6"/>
      <c r="K876" s="6"/>
      <c r="L876" s="6"/>
      <c r="M876" s="6"/>
      <c r="N876" s="6"/>
      <c r="O876" s="6"/>
      <c r="P876" s="6"/>
      <c r="R876" s="6"/>
      <c r="S876" s="6"/>
      <c r="T876" s="6"/>
      <c r="U876" s="6"/>
      <c r="V876" s="6"/>
      <c r="W876" s="6"/>
      <c r="X876" s="6"/>
      <c r="Y876" s="6"/>
      <c r="Z876" s="6"/>
      <c r="AA876" s="6"/>
      <c r="AB876" s="6"/>
      <c r="AD876" s="6"/>
      <c r="AE876" s="6"/>
      <c r="AF876" s="6"/>
      <c r="AG876" s="6"/>
      <c r="AH876" s="6"/>
      <c r="AI876" s="6"/>
      <c r="AK876" s="6"/>
      <c r="AL876" s="6"/>
      <c r="AM876" s="6"/>
      <c r="AN876" s="6"/>
      <c r="AO876" s="6"/>
      <c r="AP876" s="6"/>
      <c r="AQ876" s="6"/>
      <c r="AR876" s="6"/>
      <c r="AS876" s="15"/>
      <c r="AT876" s="6" t="str">
        <f ca="1">IFERROR(__xludf.DUMMYFUNCTION("""COMPUTED_VALUE"""),"#N/A")</f>
        <v>#N/A</v>
      </c>
      <c r="AU876" s="6" t="str">
        <f ca="1">IFERROR(__xludf.DUMMYFUNCTION("""COMPUTED_VALUE"""),"FALSE")</f>
        <v>FALSE</v>
      </c>
      <c r="AW876" s="6">
        <f t="shared" si="64"/>
        <v>0</v>
      </c>
      <c r="AX876" s="6">
        <f t="shared" si="65"/>
        <v>0</v>
      </c>
      <c r="AY876" s="6">
        <f t="shared" si="66"/>
        <v>0</v>
      </c>
      <c r="AZ876" s="9" t="str">
        <f t="shared" si="67"/>
        <v/>
      </c>
      <c r="BA876" s="6">
        <f t="shared" si="68"/>
        <v>0</v>
      </c>
      <c r="BB876" s="6">
        <f t="shared" si="69"/>
        <v>0</v>
      </c>
      <c r="BC876" s="9" t="str">
        <f t="shared" si="70"/>
        <v/>
      </c>
      <c r="BD876" s="6">
        <f t="shared" si="71"/>
        <v>0</v>
      </c>
      <c r="BE876" s="6">
        <f t="shared" si="72"/>
        <v>0</v>
      </c>
      <c r="BF876" s="9" t="str">
        <f t="shared" si="73"/>
        <v/>
      </c>
      <c r="BG876" s="6">
        <f t="shared" si="74"/>
        <v>0</v>
      </c>
      <c r="BH876" s="6">
        <f t="shared" si="75"/>
        <v>0</v>
      </c>
      <c r="BI876" s="9" t="str">
        <f t="shared" si="76"/>
        <v/>
      </c>
      <c r="BJ876" s="6">
        <f t="shared" si="77"/>
        <v>0</v>
      </c>
      <c r="BK876" s="6">
        <f t="shared" si="78"/>
        <v>0</v>
      </c>
      <c r="BL876" s="6">
        <f t="shared" si="79"/>
        <v>0</v>
      </c>
      <c r="BM876" s="6">
        <f t="shared" si="80"/>
        <v>0</v>
      </c>
      <c r="BN876" s="6">
        <f t="shared" si="81"/>
        <v>0</v>
      </c>
      <c r="BP876" s="6">
        <f t="shared" si="82"/>
        <v>0</v>
      </c>
      <c r="BQ876" s="6" t="b">
        <f ca="1">IFERROR(__xludf.DUMMYFUNCTION("IF(AND(ISERROR(FILTER('Items by Team'!D$2:D3410,'Items by Team'!C$2:C3410 = D876,'Items by Team'!B$2:B3410 = B876)),NOT(A876=""Practice"")),TRUE,FALSE)"),FALSE)</f>
        <v>0</v>
      </c>
      <c r="BR876" s="6">
        <f t="shared" ca="1" si="83"/>
        <v>0</v>
      </c>
    </row>
    <row r="877" spans="1:70">
      <c r="A877" s="6"/>
      <c r="B877" s="6"/>
      <c r="C877" s="6"/>
      <c r="D877" s="6"/>
      <c r="E877" s="6"/>
      <c r="F877" s="6"/>
      <c r="G877" s="6"/>
      <c r="H877" s="6"/>
      <c r="I877" s="6"/>
      <c r="J877" s="6"/>
      <c r="K877" s="6"/>
      <c r="L877" s="6"/>
      <c r="M877" s="6"/>
      <c r="N877" s="6"/>
      <c r="O877" s="6"/>
      <c r="P877" s="6"/>
      <c r="R877" s="6"/>
      <c r="S877" s="6"/>
      <c r="T877" s="6"/>
      <c r="U877" s="6"/>
      <c r="V877" s="6"/>
      <c r="W877" s="6"/>
      <c r="X877" s="6"/>
      <c r="Y877" s="6"/>
      <c r="Z877" s="6"/>
      <c r="AA877" s="6"/>
      <c r="AB877" s="6"/>
      <c r="AD877" s="6"/>
      <c r="AE877" s="6"/>
      <c r="AF877" s="6"/>
      <c r="AG877" s="6"/>
      <c r="AH877" s="6"/>
      <c r="AI877" s="6"/>
      <c r="AK877" s="6"/>
      <c r="AL877" s="6"/>
      <c r="AM877" s="6"/>
      <c r="AN877" s="6"/>
      <c r="AO877" s="6"/>
      <c r="AP877" s="6"/>
      <c r="AQ877" s="6"/>
      <c r="AR877" s="6"/>
      <c r="AS877" s="15"/>
      <c r="AT877" s="6" t="str">
        <f ca="1">IFERROR(__xludf.DUMMYFUNCTION("""COMPUTED_VALUE"""),"#N/A")</f>
        <v>#N/A</v>
      </c>
      <c r="AU877" s="6" t="str">
        <f ca="1">IFERROR(__xludf.DUMMYFUNCTION("""COMPUTED_VALUE"""),"FALSE")</f>
        <v>FALSE</v>
      </c>
      <c r="AW877" s="6">
        <f t="shared" si="64"/>
        <v>0</v>
      </c>
      <c r="AX877" s="6">
        <f t="shared" si="65"/>
        <v>0</v>
      </c>
      <c r="AY877" s="6">
        <f t="shared" si="66"/>
        <v>0</v>
      </c>
      <c r="AZ877" s="9" t="str">
        <f t="shared" si="67"/>
        <v/>
      </c>
      <c r="BA877" s="6">
        <f t="shared" si="68"/>
        <v>0</v>
      </c>
      <c r="BB877" s="6">
        <f t="shared" si="69"/>
        <v>0</v>
      </c>
      <c r="BC877" s="9" t="str">
        <f t="shared" si="70"/>
        <v/>
      </c>
      <c r="BD877" s="6">
        <f t="shared" si="71"/>
        <v>0</v>
      </c>
      <c r="BE877" s="6">
        <f t="shared" si="72"/>
        <v>0</v>
      </c>
      <c r="BF877" s="9" t="str">
        <f t="shared" si="73"/>
        <v/>
      </c>
      <c r="BG877" s="6">
        <f t="shared" si="74"/>
        <v>0</v>
      </c>
      <c r="BH877" s="6">
        <f t="shared" si="75"/>
        <v>0</v>
      </c>
      <c r="BI877" s="9" t="str">
        <f t="shared" si="76"/>
        <v/>
      </c>
      <c r="BJ877" s="6">
        <f t="shared" si="77"/>
        <v>0</v>
      </c>
      <c r="BK877" s="6">
        <f t="shared" si="78"/>
        <v>0</v>
      </c>
      <c r="BL877" s="6">
        <f t="shared" si="79"/>
        <v>0</v>
      </c>
      <c r="BM877" s="6">
        <f t="shared" si="80"/>
        <v>0</v>
      </c>
      <c r="BN877" s="6">
        <f t="shared" si="81"/>
        <v>0</v>
      </c>
      <c r="BP877" s="6">
        <f t="shared" si="82"/>
        <v>0</v>
      </c>
      <c r="BQ877" s="6" t="b">
        <f ca="1">IFERROR(__xludf.DUMMYFUNCTION("IF(AND(ISERROR(FILTER('Items by Team'!D$2:D3410,'Items by Team'!C$2:C3410 = D877,'Items by Team'!B$2:B3410 = B877)),NOT(A877=""Practice"")),TRUE,FALSE)"),FALSE)</f>
        <v>0</v>
      </c>
      <c r="BR877" s="6">
        <f t="shared" ca="1" si="83"/>
        <v>0</v>
      </c>
    </row>
    <row r="878" spans="1:70">
      <c r="A878" s="6"/>
      <c r="B878" s="6"/>
      <c r="C878" s="6"/>
      <c r="D878" s="6"/>
      <c r="E878" s="6"/>
      <c r="F878" s="6"/>
      <c r="G878" s="6"/>
      <c r="H878" s="6"/>
      <c r="I878" s="6"/>
      <c r="J878" s="6"/>
      <c r="K878" s="6"/>
      <c r="L878" s="6"/>
      <c r="M878" s="6"/>
      <c r="N878" s="6"/>
      <c r="O878" s="6"/>
      <c r="P878" s="6"/>
      <c r="R878" s="6"/>
      <c r="S878" s="6"/>
      <c r="T878" s="6"/>
      <c r="U878" s="6"/>
      <c r="V878" s="6"/>
      <c r="W878" s="6"/>
      <c r="X878" s="6"/>
      <c r="Y878" s="6"/>
      <c r="Z878" s="6"/>
      <c r="AA878" s="6"/>
      <c r="AB878" s="6"/>
      <c r="AD878" s="6"/>
      <c r="AE878" s="6"/>
      <c r="AF878" s="6"/>
      <c r="AG878" s="6"/>
      <c r="AH878" s="6"/>
      <c r="AI878" s="6"/>
      <c r="AK878" s="6"/>
      <c r="AL878" s="6"/>
      <c r="AM878" s="6"/>
      <c r="AN878" s="6"/>
      <c r="AO878" s="6"/>
      <c r="AP878" s="6"/>
      <c r="AQ878" s="6"/>
      <c r="AR878" s="6"/>
      <c r="AS878" s="15"/>
      <c r="AT878" s="6" t="str">
        <f ca="1">IFERROR(__xludf.DUMMYFUNCTION("""COMPUTED_VALUE"""),"#N/A")</f>
        <v>#N/A</v>
      </c>
      <c r="AU878" s="6" t="str">
        <f ca="1">IFERROR(__xludf.DUMMYFUNCTION("""COMPUTED_VALUE"""),"FALSE")</f>
        <v>FALSE</v>
      </c>
      <c r="AW878" s="6">
        <f t="shared" si="64"/>
        <v>0</v>
      </c>
      <c r="AX878" s="6">
        <f t="shared" si="65"/>
        <v>0</v>
      </c>
      <c r="AY878" s="6">
        <f t="shared" si="66"/>
        <v>0</v>
      </c>
      <c r="AZ878" s="9" t="str">
        <f t="shared" si="67"/>
        <v/>
      </c>
      <c r="BA878" s="6">
        <f t="shared" si="68"/>
        <v>0</v>
      </c>
      <c r="BB878" s="6">
        <f t="shared" si="69"/>
        <v>0</v>
      </c>
      <c r="BC878" s="9" t="str">
        <f t="shared" si="70"/>
        <v/>
      </c>
      <c r="BD878" s="6">
        <f t="shared" si="71"/>
        <v>0</v>
      </c>
      <c r="BE878" s="6">
        <f t="shared" si="72"/>
        <v>0</v>
      </c>
      <c r="BF878" s="9" t="str">
        <f t="shared" si="73"/>
        <v/>
      </c>
      <c r="BG878" s="6">
        <f t="shared" si="74"/>
        <v>0</v>
      </c>
      <c r="BH878" s="6">
        <f t="shared" si="75"/>
        <v>0</v>
      </c>
      <c r="BI878" s="9" t="str">
        <f t="shared" si="76"/>
        <v/>
      </c>
      <c r="BJ878" s="6">
        <f t="shared" si="77"/>
        <v>0</v>
      </c>
      <c r="BK878" s="6">
        <f t="shared" si="78"/>
        <v>0</v>
      </c>
      <c r="BL878" s="6">
        <f t="shared" si="79"/>
        <v>0</v>
      </c>
      <c r="BM878" s="6">
        <f t="shared" si="80"/>
        <v>0</v>
      </c>
      <c r="BN878" s="6">
        <f t="shared" si="81"/>
        <v>0</v>
      </c>
      <c r="BP878" s="6">
        <f t="shared" si="82"/>
        <v>0</v>
      </c>
      <c r="BQ878" s="6" t="b">
        <f ca="1">IFERROR(__xludf.DUMMYFUNCTION("IF(AND(ISERROR(FILTER('Items by Team'!D$2:D3410,'Items by Team'!C$2:C3410 = D878,'Items by Team'!B$2:B3410 = B878)),NOT(A878=""Practice"")),TRUE,FALSE)"),FALSE)</f>
        <v>0</v>
      </c>
      <c r="BR878" s="6">
        <f t="shared" ca="1" si="83"/>
        <v>0</v>
      </c>
    </row>
    <row r="879" spans="1:70">
      <c r="A879" s="6"/>
      <c r="B879" s="6"/>
      <c r="C879" s="6"/>
      <c r="D879" s="6"/>
      <c r="E879" s="6"/>
      <c r="F879" s="6"/>
      <c r="G879" s="6"/>
      <c r="H879" s="6"/>
      <c r="I879" s="6"/>
      <c r="J879" s="6"/>
      <c r="K879" s="6"/>
      <c r="L879" s="6"/>
      <c r="M879" s="6"/>
      <c r="N879" s="6"/>
      <c r="O879" s="6"/>
      <c r="P879" s="6"/>
      <c r="R879" s="6"/>
      <c r="S879" s="6"/>
      <c r="T879" s="6"/>
      <c r="U879" s="6"/>
      <c r="V879" s="6"/>
      <c r="W879" s="6"/>
      <c r="X879" s="6"/>
      <c r="Y879" s="6"/>
      <c r="Z879" s="6"/>
      <c r="AA879" s="6"/>
      <c r="AB879" s="6"/>
      <c r="AD879" s="6"/>
      <c r="AE879" s="6"/>
      <c r="AF879" s="6"/>
      <c r="AG879" s="6"/>
      <c r="AH879" s="6"/>
      <c r="AI879" s="6"/>
      <c r="AK879" s="6"/>
      <c r="AL879" s="6"/>
      <c r="AM879" s="6"/>
      <c r="AN879" s="6"/>
      <c r="AO879" s="6"/>
      <c r="AP879" s="6"/>
      <c r="AQ879" s="6"/>
      <c r="AR879" s="6"/>
      <c r="AS879" s="15"/>
      <c r="AT879" s="6" t="str">
        <f ca="1">IFERROR(__xludf.DUMMYFUNCTION("""COMPUTED_VALUE"""),"#N/A")</f>
        <v>#N/A</v>
      </c>
      <c r="AU879" s="6" t="str">
        <f ca="1">IFERROR(__xludf.DUMMYFUNCTION("""COMPUTED_VALUE"""),"FALSE")</f>
        <v>FALSE</v>
      </c>
      <c r="AW879" s="6">
        <f t="shared" si="64"/>
        <v>0</v>
      </c>
      <c r="AX879" s="6">
        <f t="shared" si="65"/>
        <v>0</v>
      </c>
      <c r="AY879" s="6">
        <f t="shared" si="66"/>
        <v>0</v>
      </c>
      <c r="AZ879" s="9" t="str">
        <f t="shared" si="67"/>
        <v/>
      </c>
      <c r="BA879" s="6">
        <f t="shared" si="68"/>
        <v>0</v>
      </c>
      <c r="BB879" s="6">
        <f t="shared" si="69"/>
        <v>0</v>
      </c>
      <c r="BC879" s="9" t="str">
        <f t="shared" si="70"/>
        <v/>
      </c>
      <c r="BD879" s="6">
        <f t="shared" si="71"/>
        <v>0</v>
      </c>
      <c r="BE879" s="6">
        <f t="shared" si="72"/>
        <v>0</v>
      </c>
      <c r="BF879" s="9" t="str">
        <f t="shared" si="73"/>
        <v/>
      </c>
      <c r="BG879" s="6">
        <f t="shared" si="74"/>
        <v>0</v>
      </c>
      <c r="BH879" s="6">
        <f t="shared" si="75"/>
        <v>0</v>
      </c>
      <c r="BI879" s="9" t="str">
        <f t="shared" si="76"/>
        <v/>
      </c>
      <c r="BJ879" s="6">
        <f t="shared" si="77"/>
        <v>0</v>
      </c>
      <c r="BK879" s="6">
        <f t="shared" si="78"/>
        <v>0</v>
      </c>
      <c r="BL879" s="6">
        <f t="shared" si="79"/>
        <v>0</v>
      </c>
      <c r="BM879" s="6">
        <f t="shared" si="80"/>
        <v>0</v>
      </c>
      <c r="BN879" s="6">
        <f t="shared" si="81"/>
        <v>0</v>
      </c>
      <c r="BP879" s="6">
        <f t="shared" si="82"/>
        <v>0</v>
      </c>
      <c r="BQ879" s="6" t="b">
        <f ca="1">IFERROR(__xludf.DUMMYFUNCTION("IF(AND(ISERROR(FILTER('Items by Team'!D$2:D3410,'Items by Team'!C$2:C3410 = D879,'Items by Team'!B$2:B3410 = B879)),NOT(A879=""Practice"")),TRUE,FALSE)"),FALSE)</f>
        <v>0</v>
      </c>
      <c r="BR879" s="6">
        <f t="shared" ca="1" si="83"/>
        <v>0</v>
      </c>
    </row>
    <row r="880" spans="1:70">
      <c r="A880" s="6"/>
      <c r="B880" s="6"/>
      <c r="C880" s="6"/>
      <c r="D880" s="6"/>
      <c r="E880" s="6"/>
      <c r="F880" s="6"/>
      <c r="G880" s="6"/>
      <c r="H880" s="6"/>
      <c r="I880" s="6"/>
      <c r="J880" s="6"/>
      <c r="K880" s="6"/>
      <c r="L880" s="6"/>
      <c r="M880" s="6"/>
      <c r="N880" s="6"/>
      <c r="O880" s="6"/>
      <c r="P880" s="6"/>
      <c r="R880" s="6"/>
      <c r="S880" s="6"/>
      <c r="T880" s="6"/>
      <c r="U880" s="6"/>
      <c r="V880" s="6"/>
      <c r="W880" s="6"/>
      <c r="X880" s="6"/>
      <c r="Y880" s="6"/>
      <c r="Z880" s="6"/>
      <c r="AA880" s="6"/>
      <c r="AB880" s="6"/>
      <c r="AD880" s="6"/>
      <c r="AE880" s="6"/>
      <c r="AF880" s="6"/>
      <c r="AG880" s="6"/>
      <c r="AH880" s="6"/>
      <c r="AI880" s="6"/>
      <c r="AK880" s="6"/>
      <c r="AL880" s="6"/>
      <c r="AM880" s="6"/>
      <c r="AN880" s="6"/>
      <c r="AO880" s="6"/>
      <c r="AP880" s="6"/>
      <c r="AQ880" s="6"/>
      <c r="AR880" s="6"/>
      <c r="AS880" s="15"/>
      <c r="AT880" s="6" t="str">
        <f ca="1">IFERROR(__xludf.DUMMYFUNCTION("""COMPUTED_VALUE"""),"#N/A")</f>
        <v>#N/A</v>
      </c>
      <c r="AU880" s="6" t="str">
        <f ca="1">IFERROR(__xludf.DUMMYFUNCTION("""COMPUTED_VALUE"""),"FALSE")</f>
        <v>FALSE</v>
      </c>
      <c r="AW880" s="6">
        <f t="shared" si="64"/>
        <v>0</v>
      </c>
      <c r="AX880" s="6">
        <f t="shared" si="65"/>
        <v>0</v>
      </c>
      <c r="AY880" s="6">
        <f t="shared" si="66"/>
        <v>0</v>
      </c>
      <c r="AZ880" s="9" t="str">
        <f t="shared" si="67"/>
        <v/>
      </c>
      <c r="BA880" s="6">
        <f t="shared" si="68"/>
        <v>0</v>
      </c>
      <c r="BB880" s="6">
        <f t="shared" si="69"/>
        <v>0</v>
      </c>
      <c r="BC880" s="9" t="str">
        <f t="shared" si="70"/>
        <v/>
      </c>
      <c r="BD880" s="6">
        <f t="shared" si="71"/>
        <v>0</v>
      </c>
      <c r="BE880" s="6">
        <f t="shared" si="72"/>
        <v>0</v>
      </c>
      <c r="BF880" s="9" t="str">
        <f t="shared" si="73"/>
        <v/>
      </c>
      <c r="BG880" s="6">
        <f t="shared" si="74"/>
        <v>0</v>
      </c>
      <c r="BH880" s="6">
        <f t="shared" si="75"/>
        <v>0</v>
      </c>
      <c r="BI880" s="9" t="str">
        <f t="shared" si="76"/>
        <v/>
      </c>
      <c r="BJ880" s="6">
        <f t="shared" si="77"/>
        <v>0</v>
      </c>
      <c r="BK880" s="6">
        <f t="shared" si="78"/>
        <v>0</v>
      </c>
      <c r="BL880" s="6">
        <f t="shared" si="79"/>
        <v>0</v>
      </c>
      <c r="BM880" s="6">
        <f t="shared" si="80"/>
        <v>0</v>
      </c>
      <c r="BN880" s="6">
        <f t="shared" si="81"/>
        <v>0</v>
      </c>
      <c r="BP880" s="6">
        <f t="shared" si="82"/>
        <v>0</v>
      </c>
      <c r="BQ880" s="6" t="b">
        <f ca="1">IFERROR(__xludf.DUMMYFUNCTION("IF(AND(ISERROR(FILTER('Items by Team'!D$2:D3410,'Items by Team'!C$2:C3410 = D880,'Items by Team'!B$2:B3410 = B880)),NOT(A880=""Practice"")),TRUE,FALSE)"),FALSE)</f>
        <v>0</v>
      </c>
      <c r="BR880" s="6">
        <f t="shared" ca="1" si="83"/>
        <v>0</v>
      </c>
    </row>
    <row r="881" spans="1:70">
      <c r="A881" s="6"/>
      <c r="B881" s="6"/>
      <c r="C881" s="6"/>
      <c r="D881" s="6"/>
      <c r="E881" s="6"/>
      <c r="F881" s="6"/>
      <c r="G881" s="6"/>
      <c r="H881" s="6"/>
      <c r="I881" s="6"/>
      <c r="J881" s="6"/>
      <c r="K881" s="6"/>
      <c r="L881" s="6"/>
      <c r="M881" s="6"/>
      <c r="N881" s="6"/>
      <c r="O881" s="6"/>
      <c r="P881" s="6"/>
      <c r="R881" s="6"/>
      <c r="S881" s="6"/>
      <c r="T881" s="6"/>
      <c r="U881" s="6"/>
      <c r="V881" s="6"/>
      <c r="W881" s="6"/>
      <c r="X881" s="6"/>
      <c r="Y881" s="6"/>
      <c r="Z881" s="6"/>
      <c r="AA881" s="6"/>
      <c r="AB881" s="6"/>
      <c r="AD881" s="6"/>
      <c r="AE881" s="6"/>
      <c r="AF881" s="6"/>
      <c r="AG881" s="6"/>
      <c r="AH881" s="6"/>
      <c r="AI881" s="6"/>
      <c r="AK881" s="6"/>
      <c r="AL881" s="6"/>
      <c r="AM881" s="6"/>
      <c r="AN881" s="6"/>
      <c r="AO881" s="6"/>
      <c r="AP881" s="6"/>
      <c r="AQ881" s="6"/>
      <c r="AR881" s="6"/>
      <c r="AS881" s="15"/>
      <c r="AT881" s="6" t="str">
        <f ca="1">IFERROR(__xludf.DUMMYFUNCTION("""COMPUTED_VALUE"""),"#N/A")</f>
        <v>#N/A</v>
      </c>
      <c r="AU881" s="6" t="str">
        <f ca="1">IFERROR(__xludf.DUMMYFUNCTION("""COMPUTED_VALUE"""),"FALSE")</f>
        <v>FALSE</v>
      </c>
      <c r="AW881" s="6">
        <f t="shared" si="64"/>
        <v>0</v>
      </c>
      <c r="AX881" s="6">
        <f t="shared" si="65"/>
        <v>0</v>
      </c>
      <c r="AY881" s="6">
        <f t="shared" si="66"/>
        <v>0</v>
      </c>
      <c r="AZ881" s="9" t="str">
        <f t="shared" si="67"/>
        <v/>
      </c>
      <c r="BA881" s="6">
        <f t="shared" si="68"/>
        <v>0</v>
      </c>
      <c r="BB881" s="6">
        <f t="shared" si="69"/>
        <v>0</v>
      </c>
      <c r="BC881" s="9" t="str">
        <f t="shared" si="70"/>
        <v/>
      </c>
      <c r="BD881" s="6">
        <f t="shared" si="71"/>
        <v>0</v>
      </c>
      <c r="BE881" s="6">
        <f t="shared" si="72"/>
        <v>0</v>
      </c>
      <c r="BF881" s="9" t="str">
        <f t="shared" si="73"/>
        <v/>
      </c>
      <c r="BG881" s="6">
        <f t="shared" si="74"/>
        <v>0</v>
      </c>
      <c r="BH881" s="6">
        <f t="shared" si="75"/>
        <v>0</v>
      </c>
      <c r="BI881" s="9" t="str">
        <f t="shared" si="76"/>
        <v/>
      </c>
      <c r="BJ881" s="6">
        <f t="shared" si="77"/>
        <v>0</v>
      </c>
      <c r="BK881" s="6">
        <f t="shared" si="78"/>
        <v>0</v>
      </c>
      <c r="BL881" s="6">
        <f t="shared" si="79"/>
        <v>0</v>
      </c>
      <c r="BM881" s="6">
        <f t="shared" si="80"/>
        <v>0</v>
      </c>
      <c r="BN881" s="6">
        <f t="shared" si="81"/>
        <v>0</v>
      </c>
      <c r="BP881" s="6">
        <f t="shared" si="82"/>
        <v>0</v>
      </c>
      <c r="BQ881" s="6" t="b">
        <f ca="1">IFERROR(__xludf.DUMMYFUNCTION("IF(AND(ISERROR(FILTER('Items by Team'!D$2:D3410,'Items by Team'!C$2:C3410 = D881,'Items by Team'!B$2:B3410 = B881)),NOT(A881=""Practice"")),TRUE,FALSE)"),FALSE)</f>
        <v>0</v>
      </c>
      <c r="BR881" s="6">
        <f t="shared" ca="1" si="83"/>
        <v>0</v>
      </c>
    </row>
    <row r="882" spans="1:70">
      <c r="A882" s="6"/>
      <c r="B882" s="6"/>
      <c r="C882" s="6"/>
      <c r="D882" s="6"/>
      <c r="E882" s="6"/>
      <c r="F882" s="6"/>
      <c r="G882" s="6"/>
      <c r="H882" s="6"/>
      <c r="I882" s="6"/>
      <c r="J882" s="6"/>
      <c r="K882" s="6"/>
      <c r="L882" s="6"/>
      <c r="M882" s="6"/>
      <c r="N882" s="6"/>
      <c r="O882" s="6"/>
      <c r="P882" s="6"/>
      <c r="R882" s="6"/>
      <c r="S882" s="6"/>
      <c r="T882" s="6"/>
      <c r="U882" s="6"/>
      <c r="V882" s="6"/>
      <c r="W882" s="6"/>
      <c r="X882" s="6"/>
      <c r="Y882" s="6"/>
      <c r="Z882" s="6"/>
      <c r="AA882" s="6"/>
      <c r="AB882" s="6"/>
      <c r="AD882" s="6"/>
      <c r="AE882" s="6"/>
      <c r="AF882" s="6"/>
      <c r="AG882" s="6"/>
      <c r="AH882" s="6"/>
      <c r="AI882" s="6"/>
      <c r="AK882" s="6"/>
      <c r="AL882" s="6"/>
      <c r="AM882" s="6"/>
      <c r="AN882" s="6"/>
      <c r="AO882" s="6"/>
      <c r="AP882" s="6"/>
      <c r="AQ882" s="6"/>
      <c r="AR882" s="6"/>
      <c r="AS882" s="15"/>
      <c r="AT882" s="6" t="str">
        <f ca="1">IFERROR(__xludf.DUMMYFUNCTION("""COMPUTED_VALUE"""),"#N/A")</f>
        <v>#N/A</v>
      </c>
      <c r="AU882" s="6" t="str">
        <f ca="1">IFERROR(__xludf.DUMMYFUNCTION("""COMPUTED_VALUE"""),"FALSE")</f>
        <v>FALSE</v>
      </c>
      <c r="AW882" s="6">
        <f t="shared" si="64"/>
        <v>0</v>
      </c>
      <c r="AX882" s="6">
        <f t="shared" si="65"/>
        <v>0</v>
      </c>
      <c r="AY882" s="6">
        <f t="shared" si="66"/>
        <v>0</v>
      </c>
      <c r="AZ882" s="9" t="str">
        <f t="shared" si="67"/>
        <v/>
      </c>
      <c r="BA882" s="6">
        <f t="shared" si="68"/>
        <v>0</v>
      </c>
      <c r="BB882" s="6">
        <f t="shared" si="69"/>
        <v>0</v>
      </c>
      <c r="BC882" s="9" t="str">
        <f t="shared" si="70"/>
        <v/>
      </c>
      <c r="BD882" s="6">
        <f t="shared" si="71"/>
        <v>0</v>
      </c>
      <c r="BE882" s="6">
        <f t="shared" si="72"/>
        <v>0</v>
      </c>
      <c r="BF882" s="9" t="str">
        <f t="shared" si="73"/>
        <v/>
      </c>
      <c r="BG882" s="6">
        <f t="shared" si="74"/>
        <v>0</v>
      </c>
      <c r="BH882" s="6">
        <f t="shared" si="75"/>
        <v>0</v>
      </c>
      <c r="BI882" s="9" t="str">
        <f t="shared" si="76"/>
        <v/>
      </c>
      <c r="BJ882" s="6">
        <f t="shared" si="77"/>
        <v>0</v>
      </c>
      <c r="BK882" s="6">
        <f t="shared" si="78"/>
        <v>0</v>
      </c>
      <c r="BL882" s="6">
        <f t="shared" si="79"/>
        <v>0</v>
      </c>
      <c r="BM882" s="6">
        <f t="shared" si="80"/>
        <v>0</v>
      </c>
      <c r="BN882" s="6">
        <f t="shared" si="81"/>
        <v>0</v>
      </c>
      <c r="BP882" s="6">
        <f t="shared" si="82"/>
        <v>0</v>
      </c>
      <c r="BQ882" s="6" t="b">
        <f ca="1">IFERROR(__xludf.DUMMYFUNCTION("IF(AND(ISERROR(FILTER('Items by Team'!D$2:D3410,'Items by Team'!C$2:C3410 = D882,'Items by Team'!B$2:B3410 = B882)),NOT(A882=""Practice"")),TRUE,FALSE)"),FALSE)</f>
        <v>0</v>
      </c>
      <c r="BR882" s="6">
        <f t="shared" ca="1" si="83"/>
        <v>0</v>
      </c>
    </row>
    <row r="883" spans="1:70">
      <c r="A883" s="6"/>
      <c r="B883" s="6"/>
      <c r="C883" s="6"/>
      <c r="D883" s="6"/>
      <c r="E883" s="6"/>
      <c r="F883" s="6"/>
      <c r="G883" s="6"/>
      <c r="H883" s="6"/>
      <c r="I883" s="6"/>
      <c r="J883" s="6"/>
      <c r="K883" s="6"/>
      <c r="L883" s="6"/>
      <c r="M883" s="6"/>
      <c r="N883" s="6"/>
      <c r="O883" s="6"/>
      <c r="P883" s="6"/>
      <c r="R883" s="6"/>
      <c r="S883" s="6"/>
      <c r="T883" s="6"/>
      <c r="U883" s="6"/>
      <c r="V883" s="6"/>
      <c r="W883" s="6"/>
      <c r="X883" s="6"/>
      <c r="Y883" s="6"/>
      <c r="Z883" s="6"/>
      <c r="AA883" s="6"/>
      <c r="AB883" s="6"/>
      <c r="AD883" s="6"/>
      <c r="AE883" s="6"/>
      <c r="AF883" s="6"/>
      <c r="AG883" s="6"/>
      <c r="AH883" s="6"/>
      <c r="AI883" s="6"/>
      <c r="AK883" s="6"/>
      <c r="AL883" s="6"/>
      <c r="AM883" s="6"/>
      <c r="AN883" s="6"/>
      <c r="AO883" s="6"/>
      <c r="AP883" s="6"/>
      <c r="AQ883" s="6"/>
      <c r="AR883" s="6"/>
      <c r="AS883" s="15"/>
      <c r="AT883" s="6" t="str">
        <f ca="1">IFERROR(__xludf.DUMMYFUNCTION("""COMPUTED_VALUE"""),"#N/A")</f>
        <v>#N/A</v>
      </c>
      <c r="AU883" s="6" t="str">
        <f ca="1">IFERROR(__xludf.DUMMYFUNCTION("""COMPUTED_VALUE"""),"FALSE")</f>
        <v>FALSE</v>
      </c>
      <c r="AW883" s="6">
        <f t="shared" si="64"/>
        <v>0</v>
      </c>
      <c r="AX883" s="6">
        <f t="shared" si="65"/>
        <v>0</v>
      </c>
      <c r="AY883" s="6">
        <f t="shared" si="66"/>
        <v>0</v>
      </c>
      <c r="AZ883" s="9" t="str">
        <f t="shared" si="67"/>
        <v/>
      </c>
      <c r="BA883" s="6">
        <f t="shared" si="68"/>
        <v>0</v>
      </c>
      <c r="BB883" s="6">
        <f t="shared" si="69"/>
        <v>0</v>
      </c>
      <c r="BC883" s="9" t="str">
        <f t="shared" si="70"/>
        <v/>
      </c>
      <c r="BD883" s="6">
        <f t="shared" si="71"/>
        <v>0</v>
      </c>
      <c r="BE883" s="6">
        <f t="shared" si="72"/>
        <v>0</v>
      </c>
      <c r="BF883" s="9" t="str">
        <f t="shared" si="73"/>
        <v/>
      </c>
      <c r="BG883" s="6">
        <f t="shared" si="74"/>
        <v>0</v>
      </c>
      <c r="BH883" s="6">
        <f t="shared" si="75"/>
        <v>0</v>
      </c>
      <c r="BI883" s="9" t="str">
        <f t="shared" si="76"/>
        <v/>
      </c>
      <c r="BJ883" s="6">
        <f t="shared" si="77"/>
        <v>0</v>
      </c>
      <c r="BK883" s="6">
        <f t="shared" si="78"/>
        <v>0</v>
      </c>
      <c r="BL883" s="6">
        <f t="shared" si="79"/>
        <v>0</v>
      </c>
      <c r="BM883" s="6">
        <f t="shared" si="80"/>
        <v>0</v>
      </c>
      <c r="BN883" s="6">
        <f t="shared" si="81"/>
        <v>0</v>
      </c>
      <c r="BP883" s="6">
        <f t="shared" si="82"/>
        <v>0</v>
      </c>
      <c r="BQ883" s="6" t="b">
        <f ca="1">IFERROR(__xludf.DUMMYFUNCTION("IF(AND(ISERROR(FILTER('Items by Team'!D$2:D3410,'Items by Team'!C$2:C3410 = D883,'Items by Team'!B$2:B3410 = B883)),NOT(A883=""Practice"")),TRUE,FALSE)"),FALSE)</f>
        <v>0</v>
      </c>
      <c r="BR883" s="6">
        <f t="shared" ca="1" si="83"/>
        <v>0</v>
      </c>
    </row>
    <row r="884" spans="1:70">
      <c r="A884" s="6"/>
      <c r="B884" s="6"/>
      <c r="C884" s="6"/>
      <c r="D884" s="6"/>
      <c r="E884" s="6"/>
      <c r="F884" s="6"/>
      <c r="G884" s="6"/>
      <c r="H884" s="6"/>
      <c r="I884" s="6"/>
      <c r="J884" s="6"/>
      <c r="K884" s="6"/>
      <c r="L884" s="6"/>
      <c r="M884" s="6"/>
      <c r="N884" s="6"/>
      <c r="O884" s="6"/>
      <c r="P884" s="6"/>
      <c r="R884" s="6"/>
      <c r="S884" s="6"/>
      <c r="T884" s="6"/>
      <c r="U884" s="6"/>
      <c r="V884" s="6"/>
      <c r="W884" s="6"/>
      <c r="X884" s="6"/>
      <c r="Y884" s="6"/>
      <c r="Z884" s="6"/>
      <c r="AA884" s="6"/>
      <c r="AB884" s="6"/>
      <c r="AD884" s="6"/>
      <c r="AE884" s="6"/>
      <c r="AF884" s="6"/>
      <c r="AG884" s="6"/>
      <c r="AH884" s="6"/>
      <c r="AI884" s="6"/>
      <c r="AK884" s="6"/>
      <c r="AL884" s="6"/>
      <c r="AM884" s="6"/>
      <c r="AN884" s="6"/>
      <c r="AO884" s="6"/>
      <c r="AP884" s="6"/>
      <c r="AQ884" s="6"/>
      <c r="AR884" s="6"/>
      <c r="AS884" s="15"/>
      <c r="AT884" s="6" t="str">
        <f ca="1">IFERROR(__xludf.DUMMYFUNCTION("""COMPUTED_VALUE"""),"#N/A")</f>
        <v>#N/A</v>
      </c>
      <c r="AU884" s="6" t="str">
        <f ca="1">IFERROR(__xludf.DUMMYFUNCTION("""COMPUTED_VALUE"""),"FALSE")</f>
        <v>FALSE</v>
      </c>
      <c r="AW884" s="6">
        <f t="shared" si="64"/>
        <v>0</v>
      </c>
      <c r="AX884" s="6">
        <f t="shared" si="65"/>
        <v>0</v>
      </c>
      <c r="AY884" s="6">
        <f t="shared" si="66"/>
        <v>0</v>
      </c>
      <c r="AZ884" s="9" t="str">
        <f t="shared" si="67"/>
        <v/>
      </c>
      <c r="BA884" s="6">
        <f t="shared" si="68"/>
        <v>0</v>
      </c>
      <c r="BB884" s="6">
        <f t="shared" si="69"/>
        <v>0</v>
      </c>
      <c r="BC884" s="9" t="str">
        <f t="shared" si="70"/>
        <v/>
      </c>
      <c r="BD884" s="6">
        <f t="shared" si="71"/>
        <v>0</v>
      </c>
      <c r="BE884" s="6">
        <f t="shared" si="72"/>
        <v>0</v>
      </c>
      <c r="BF884" s="9" t="str">
        <f t="shared" si="73"/>
        <v/>
      </c>
      <c r="BG884" s="6">
        <f t="shared" si="74"/>
        <v>0</v>
      </c>
      <c r="BH884" s="6">
        <f t="shared" si="75"/>
        <v>0</v>
      </c>
      <c r="BI884" s="9" t="str">
        <f t="shared" si="76"/>
        <v/>
      </c>
      <c r="BJ884" s="6">
        <f t="shared" si="77"/>
        <v>0</v>
      </c>
      <c r="BK884" s="6">
        <f t="shared" si="78"/>
        <v>0</v>
      </c>
      <c r="BL884" s="6">
        <f t="shared" si="79"/>
        <v>0</v>
      </c>
      <c r="BM884" s="6">
        <f t="shared" si="80"/>
        <v>0</v>
      </c>
      <c r="BN884" s="6">
        <f t="shared" si="81"/>
        <v>0</v>
      </c>
      <c r="BP884" s="6">
        <f t="shared" si="82"/>
        <v>0</v>
      </c>
      <c r="BQ884" s="6" t="b">
        <f ca="1">IFERROR(__xludf.DUMMYFUNCTION("IF(AND(ISERROR(FILTER('Items by Team'!D$2:D3410,'Items by Team'!C$2:C3410 = D884,'Items by Team'!B$2:B3410 = B884)),NOT(A884=""Practice"")),TRUE,FALSE)"),FALSE)</f>
        <v>0</v>
      </c>
      <c r="BR884" s="6">
        <f t="shared" ca="1" si="83"/>
        <v>0</v>
      </c>
    </row>
    <row r="885" spans="1:70">
      <c r="A885" s="6"/>
      <c r="B885" s="6"/>
      <c r="C885" s="6"/>
      <c r="D885" s="6"/>
      <c r="E885" s="6"/>
      <c r="F885" s="6"/>
      <c r="G885" s="6"/>
      <c r="H885" s="6"/>
      <c r="I885" s="6"/>
      <c r="J885" s="6"/>
      <c r="K885" s="6"/>
      <c r="L885" s="6"/>
      <c r="M885" s="6"/>
      <c r="N885" s="6"/>
      <c r="O885" s="6"/>
      <c r="P885" s="6"/>
      <c r="R885" s="6"/>
      <c r="S885" s="6"/>
      <c r="T885" s="6"/>
      <c r="U885" s="6"/>
      <c r="V885" s="6"/>
      <c r="W885" s="6"/>
      <c r="X885" s="6"/>
      <c r="Y885" s="6"/>
      <c r="Z885" s="6"/>
      <c r="AA885" s="6"/>
      <c r="AB885" s="6"/>
      <c r="AD885" s="6"/>
      <c r="AE885" s="6"/>
      <c r="AF885" s="6"/>
      <c r="AG885" s="6"/>
      <c r="AH885" s="6"/>
      <c r="AI885" s="6"/>
      <c r="AK885" s="6"/>
      <c r="AL885" s="6"/>
      <c r="AM885" s="6"/>
      <c r="AN885" s="6"/>
      <c r="AO885" s="6"/>
      <c r="AP885" s="6"/>
      <c r="AQ885" s="6"/>
      <c r="AR885" s="6"/>
      <c r="AS885" s="15"/>
      <c r="AT885" s="6" t="str">
        <f ca="1">IFERROR(__xludf.DUMMYFUNCTION("""COMPUTED_VALUE"""),"#N/A")</f>
        <v>#N/A</v>
      </c>
      <c r="AU885" s="6" t="str">
        <f ca="1">IFERROR(__xludf.DUMMYFUNCTION("""COMPUTED_VALUE"""),"FALSE")</f>
        <v>FALSE</v>
      </c>
      <c r="AW885" s="6">
        <f t="shared" si="64"/>
        <v>0</v>
      </c>
      <c r="AX885" s="6">
        <f t="shared" si="65"/>
        <v>0</v>
      </c>
      <c r="AY885" s="6">
        <f t="shared" si="66"/>
        <v>0</v>
      </c>
      <c r="AZ885" s="9" t="str">
        <f t="shared" si="67"/>
        <v/>
      </c>
      <c r="BA885" s="6">
        <f t="shared" si="68"/>
        <v>0</v>
      </c>
      <c r="BB885" s="6">
        <f t="shared" si="69"/>
        <v>0</v>
      </c>
      <c r="BC885" s="9" t="str">
        <f t="shared" si="70"/>
        <v/>
      </c>
      <c r="BD885" s="6">
        <f t="shared" si="71"/>
        <v>0</v>
      </c>
      <c r="BE885" s="6">
        <f t="shared" si="72"/>
        <v>0</v>
      </c>
      <c r="BF885" s="9" t="str">
        <f t="shared" si="73"/>
        <v/>
      </c>
      <c r="BG885" s="6">
        <f t="shared" si="74"/>
        <v>0</v>
      </c>
      <c r="BH885" s="6">
        <f t="shared" si="75"/>
        <v>0</v>
      </c>
      <c r="BI885" s="9" t="str">
        <f t="shared" si="76"/>
        <v/>
      </c>
      <c r="BJ885" s="6">
        <f t="shared" si="77"/>
        <v>0</v>
      </c>
      <c r="BK885" s="6">
        <f t="shared" si="78"/>
        <v>0</v>
      </c>
      <c r="BL885" s="6">
        <f t="shared" si="79"/>
        <v>0</v>
      </c>
      <c r="BM885" s="6">
        <f t="shared" si="80"/>
        <v>0</v>
      </c>
      <c r="BN885" s="6">
        <f t="shared" si="81"/>
        <v>0</v>
      </c>
      <c r="BP885" s="6">
        <f t="shared" si="82"/>
        <v>0</v>
      </c>
      <c r="BQ885" s="6" t="b">
        <f ca="1">IFERROR(__xludf.DUMMYFUNCTION("IF(AND(ISERROR(FILTER('Items by Team'!D$2:D3410,'Items by Team'!C$2:C3410 = D885,'Items by Team'!B$2:B3410 = B885)),NOT(A885=""Practice"")),TRUE,FALSE)"),FALSE)</f>
        <v>0</v>
      </c>
      <c r="BR885" s="6">
        <f t="shared" ca="1" si="83"/>
        <v>0</v>
      </c>
    </row>
    <row r="886" spans="1:70">
      <c r="A886" s="6"/>
      <c r="B886" s="6"/>
      <c r="C886" s="6"/>
      <c r="D886" s="6"/>
      <c r="E886" s="6"/>
      <c r="F886" s="6"/>
      <c r="G886" s="6"/>
      <c r="H886" s="6"/>
      <c r="I886" s="6"/>
      <c r="J886" s="6"/>
      <c r="K886" s="6"/>
      <c r="L886" s="6"/>
      <c r="M886" s="6"/>
      <c r="N886" s="6"/>
      <c r="O886" s="6"/>
      <c r="P886" s="6"/>
      <c r="R886" s="6"/>
      <c r="S886" s="6"/>
      <c r="T886" s="6"/>
      <c r="U886" s="6"/>
      <c r="V886" s="6"/>
      <c r="W886" s="6"/>
      <c r="X886" s="6"/>
      <c r="Y886" s="6"/>
      <c r="Z886" s="6"/>
      <c r="AA886" s="6"/>
      <c r="AB886" s="6"/>
      <c r="AD886" s="6"/>
      <c r="AE886" s="6"/>
      <c r="AF886" s="6"/>
      <c r="AG886" s="6"/>
      <c r="AH886" s="6"/>
      <c r="AI886" s="6"/>
      <c r="AK886" s="6"/>
      <c r="AL886" s="6"/>
      <c r="AM886" s="6"/>
      <c r="AN886" s="6"/>
      <c r="AO886" s="6"/>
      <c r="AP886" s="6"/>
      <c r="AQ886" s="6"/>
      <c r="AR886" s="6"/>
      <c r="AS886" s="15"/>
      <c r="AT886" s="6" t="str">
        <f ca="1">IFERROR(__xludf.DUMMYFUNCTION("""COMPUTED_VALUE"""),"#N/A")</f>
        <v>#N/A</v>
      </c>
      <c r="AU886" s="6" t="str">
        <f ca="1">IFERROR(__xludf.DUMMYFUNCTION("""COMPUTED_VALUE"""),"FALSE")</f>
        <v>FALSE</v>
      </c>
      <c r="AW886" s="6">
        <f t="shared" si="64"/>
        <v>0</v>
      </c>
      <c r="AX886" s="6">
        <f t="shared" si="65"/>
        <v>0</v>
      </c>
      <c r="AY886" s="6">
        <f t="shared" si="66"/>
        <v>0</v>
      </c>
      <c r="AZ886" s="9" t="str">
        <f t="shared" si="67"/>
        <v/>
      </c>
      <c r="BA886" s="6">
        <f t="shared" si="68"/>
        <v>0</v>
      </c>
      <c r="BB886" s="6">
        <f t="shared" si="69"/>
        <v>0</v>
      </c>
      <c r="BC886" s="9" t="str">
        <f t="shared" si="70"/>
        <v/>
      </c>
      <c r="BD886" s="6">
        <f t="shared" si="71"/>
        <v>0</v>
      </c>
      <c r="BE886" s="6">
        <f t="shared" si="72"/>
        <v>0</v>
      </c>
      <c r="BF886" s="9" t="str">
        <f t="shared" si="73"/>
        <v/>
      </c>
      <c r="BG886" s="6">
        <f t="shared" si="74"/>
        <v>0</v>
      </c>
      <c r="BH886" s="6">
        <f t="shared" si="75"/>
        <v>0</v>
      </c>
      <c r="BI886" s="9" t="str">
        <f t="shared" si="76"/>
        <v/>
      </c>
      <c r="BJ886" s="6">
        <f t="shared" si="77"/>
        <v>0</v>
      </c>
      <c r="BK886" s="6">
        <f t="shared" si="78"/>
        <v>0</v>
      </c>
      <c r="BL886" s="6">
        <f t="shared" si="79"/>
        <v>0</v>
      </c>
      <c r="BM886" s="6">
        <f t="shared" si="80"/>
        <v>0</v>
      </c>
      <c r="BN886" s="6">
        <f t="shared" si="81"/>
        <v>0</v>
      </c>
      <c r="BP886" s="6">
        <f t="shared" si="82"/>
        <v>0</v>
      </c>
      <c r="BQ886" s="6" t="b">
        <f ca="1">IFERROR(__xludf.DUMMYFUNCTION("IF(AND(ISERROR(FILTER('Items by Team'!D$2:D3410,'Items by Team'!C$2:C3410 = D886,'Items by Team'!B$2:B3410 = B886)),NOT(A886=""Practice"")),TRUE,FALSE)"),FALSE)</f>
        <v>0</v>
      </c>
      <c r="BR886" s="6">
        <f t="shared" ca="1" si="83"/>
        <v>0</v>
      </c>
    </row>
    <row r="887" spans="1:70">
      <c r="A887" s="6"/>
      <c r="B887" s="6"/>
      <c r="C887" s="6"/>
      <c r="D887" s="6"/>
      <c r="E887" s="6"/>
      <c r="F887" s="6"/>
      <c r="G887" s="6"/>
      <c r="H887" s="6"/>
      <c r="I887" s="6"/>
      <c r="J887" s="6"/>
      <c r="K887" s="6"/>
      <c r="L887" s="6"/>
      <c r="M887" s="6"/>
      <c r="N887" s="6"/>
      <c r="O887" s="6"/>
      <c r="P887" s="6"/>
      <c r="R887" s="6"/>
      <c r="S887" s="6"/>
      <c r="T887" s="6"/>
      <c r="U887" s="6"/>
      <c r="V887" s="6"/>
      <c r="W887" s="6"/>
      <c r="X887" s="6"/>
      <c r="Y887" s="6"/>
      <c r="Z887" s="6"/>
      <c r="AA887" s="6"/>
      <c r="AB887" s="6"/>
      <c r="AD887" s="6"/>
      <c r="AE887" s="6"/>
      <c r="AF887" s="6"/>
      <c r="AG887" s="6"/>
      <c r="AH887" s="6"/>
      <c r="AI887" s="6"/>
      <c r="AK887" s="6"/>
      <c r="AL887" s="6"/>
      <c r="AM887" s="6"/>
      <c r="AN887" s="6"/>
      <c r="AO887" s="6"/>
      <c r="AP887" s="6"/>
      <c r="AQ887" s="6"/>
      <c r="AR887" s="6"/>
      <c r="AS887" s="15"/>
      <c r="AT887" s="6" t="str">
        <f ca="1">IFERROR(__xludf.DUMMYFUNCTION("""COMPUTED_VALUE"""),"#N/A")</f>
        <v>#N/A</v>
      </c>
      <c r="AU887" s="6" t="str">
        <f ca="1">IFERROR(__xludf.DUMMYFUNCTION("""COMPUTED_VALUE"""),"FALSE")</f>
        <v>FALSE</v>
      </c>
      <c r="AW887" s="6">
        <f t="shared" si="64"/>
        <v>0</v>
      </c>
      <c r="AX887" s="6">
        <f t="shared" si="65"/>
        <v>0</v>
      </c>
      <c r="AY887" s="6">
        <f t="shared" si="66"/>
        <v>0</v>
      </c>
      <c r="AZ887" s="9" t="str">
        <f t="shared" si="67"/>
        <v/>
      </c>
      <c r="BA887" s="6">
        <f t="shared" si="68"/>
        <v>0</v>
      </c>
      <c r="BB887" s="6">
        <f t="shared" si="69"/>
        <v>0</v>
      </c>
      <c r="BC887" s="9" t="str">
        <f t="shared" si="70"/>
        <v/>
      </c>
      <c r="BD887" s="6">
        <f t="shared" si="71"/>
        <v>0</v>
      </c>
      <c r="BE887" s="6">
        <f t="shared" si="72"/>
        <v>0</v>
      </c>
      <c r="BF887" s="9" t="str">
        <f t="shared" si="73"/>
        <v/>
      </c>
      <c r="BG887" s="6">
        <f t="shared" si="74"/>
        <v>0</v>
      </c>
      <c r="BH887" s="6">
        <f t="shared" si="75"/>
        <v>0</v>
      </c>
      <c r="BI887" s="9" t="str">
        <f t="shared" si="76"/>
        <v/>
      </c>
      <c r="BJ887" s="6">
        <f t="shared" si="77"/>
        <v>0</v>
      </c>
      <c r="BK887" s="6">
        <f t="shared" si="78"/>
        <v>0</v>
      </c>
      <c r="BL887" s="6">
        <f t="shared" si="79"/>
        <v>0</v>
      </c>
      <c r="BM887" s="6">
        <f t="shared" si="80"/>
        <v>0</v>
      </c>
      <c r="BN887" s="6">
        <f t="shared" si="81"/>
        <v>0</v>
      </c>
      <c r="BP887" s="6">
        <f t="shared" si="82"/>
        <v>0</v>
      </c>
      <c r="BQ887" s="6" t="b">
        <f ca="1">IFERROR(__xludf.DUMMYFUNCTION("IF(AND(ISERROR(FILTER('Items by Team'!D$2:D3410,'Items by Team'!C$2:C3410 = D887,'Items by Team'!B$2:B3410 = B887)),NOT(A887=""Practice"")),TRUE,FALSE)"),FALSE)</f>
        <v>0</v>
      </c>
      <c r="BR887" s="6">
        <f t="shared" ca="1" si="83"/>
        <v>0</v>
      </c>
    </row>
    <row r="888" spans="1:70">
      <c r="A888" s="6"/>
      <c r="B888" s="6"/>
      <c r="C888" s="6"/>
      <c r="D888" s="6"/>
      <c r="E888" s="6"/>
      <c r="F888" s="6"/>
      <c r="G888" s="6"/>
      <c r="H888" s="6"/>
      <c r="I888" s="6"/>
      <c r="J888" s="6"/>
      <c r="K888" s="6"/>
      <c r="L888" s="6"/>
      <c r="M888" s="6"/>
      <c r="N888" s="6"/>
      <c r="O888" s="6"/>
      <c r="P888" s="6"/>
      <c r="R888" s="6"/>
      <c r="S888" s="6"/>
      <c r="T888" s="6"/>
      <c r="U888" s="6"/>
      <c r="V888" s="6"/>
      <c r="W888" s="6"/>
      <c r="X888" s="6"/>
      <c r="Y888" s="6"/>
      <c r="Z888" s="6"/>
      <c r="AA888" s="6"/>
      <c r="AB888" s="6"/>
      <c r="AD888" s="6"/>
      <c r="AE888" s="6"/>
      <c r="AF888" s="6"/>
      <c r="AG888" s="6"/>
      <c r="AH888" s="6"/>
      <c r="AI888" s="6"/>
      <c r="AK888" s="6"/>
      <c r="AL888" s="6"/>
      <c r="AM888" s="6"/>
      <c r="AN888" s="6"/>
      <c r="AO888" s="6"/>
      <c r="AP888" s="6"/>
      <c r="AQ888" s="6"/>
      <c r="AR888" s="6"/>
      <c r="AS888" s="15"/>
      <c r="AT888" s="6" t="str">
        <f ca="1">IFERROR(__xludf.DUMMYFUNCTION("""COMPUTED_VALUE"""),"#N/A")</f>
        <v>#N/A</v>
      </c>
      <c r="AU888" s="6" t="str">
        <f ca="1">IFERROR(__xludf.DUMMYFUNCTION("""COMPUTED_VALUE"""),"FALSE")</f>
        <v>FALSE</v>
      </c>
      <c r="AW888" s="6">
        <f t="shared" si="64"/>
        <v>0</v>
      </c>
      <c r="AX888" s="6">
        <f t="shared" si="65"/>
        <v>0</v>
      </c>
      <c r="AY888" s="6">
        <f t="shared" si="66"/>
        <v>0</v>
      </c>
      <c r="AZ888" s="9" t="str">
        <f t="shared" si="67"/>
        <v/>
      </c>
      <c r="BA888" s="6">
        <f t="shared" si="68"/>
        <v>0</v>
      </c>
      <c r="BB888" s="6">
        <f t="shared" si="69"/>
        <v>0</v>
      </c>
      <c r="BC888" s="9" t="str">
        <f t="shared" si="70"/>
        <v/>
      </c>
      <c r="BD888" s="6">
        <f t="shared" si="71"/>
        <v>0</v>
      </c>
      <c r="BE888" s="6">
        <f t="shared" si="72"/>
        <v>0</v>
      </c>
      <c r="BF888" s="9" t="str">
        <f t="shared" si="73"/>
        <v/>
      </c>
      <c r="BG888" s="6">
        <f t="shared" si="74"/>
        <v>0</v>
      </c>
      <c r="BH888" s="6">
        <f t="shared" si="75"/>
        <v>0</v>
      </c>
      <c r="BI888" s="9" t="str">
        <f t="shared" si="76"/>
        <v/>
      </c>
      <c r="BJ888" s="6">
        <f t="shared" si="77"/>
        <v>0</v>
      </c>
      <c r="BK888" s="6">
        <f t="shared" si="78"/>
        <v>0</v>
      </c>
      <c r="BL888" s="6">
        <f t="shared" si="79"/>
        <v>0</v>
      </c>
      <c r="BM888" s="6">
        <f t="shared" si="80"/>
        <v>0</v>
      </c>
      <c r="BN888" s="6">
        <f t="shared" si="81"/>
        <v>0</v>
      </c>
      <c r="BP888" s="6">
        <f t="shared" si="82"/>
        <v>0</v>
      </c>
      <c r="BQ888" s="6" t="b">
        <f ca="1">IFERROR(__xludf.DUMMYFUNCTION("IF(AND(ISERROR(FILTER('Items by Team'!D$2:D3410,'Items by Team'!C$2:C3410 = D888,'Items by Team'!B$2:B3410 = B888)),NOT(A888=""Practice"")),TRUE,FALSE)"),FALSE)</f>
        <v>0</v>
      </c>
      <c r="BR888" s="6">
        <f t="shared" ca="1" si="83"/>
        <v>0</v>
      </c>
    </row>
    <row r="889" spans="1:70">
      <c r="A889" s="6"/>
      <c r="B889" s="6"/>
      <c r="C889" s="6"/>
      <c r="D889" s="6"/>
      <c r="E889" s="6"/>
      <c r="F889" s="6"/>
      <c r="G889" s="6"/>
      <c r="H889" s="6"/>
      <c r="I889" s="6"/>
      <c r="J889" s="6"/>
      <c r="K889" s="6"/>
      <c r="L889" s="6"/>
      <c r="M889" s="6"/>
      <c r="N889" s="6"/>
      <c r="O889" s="6"/>
      <c r="P889" s="6"/>
      <c r="R889" s="6"/>
      <c r="S889" s="6"/>
      <c r="T889" s="6"/>
      <c r="U889" s="6"/>
      <c r="V889" s="6"/>
      <c r="W889" s="6"/>
      <c r="X889" s="6"/>
      <c r="Y889" s="6"/>
      <c r="Z889" s="6"/>
      <c r="AA889" s="6"/>
      <c r="AB889" s="6"/>
      <c r="AD889" s="6"/>
      <c r="AE889" s="6"/>
      <c r="AF889" s="6"/>
      <c r="AG889" s="6"/>
      <c r="AH889" s="6"/>
      <c r="AI889" s="6"/>
      <c r="AK889" s="6"/>
      <c r="AL889" s="6"/>
      <c r="AM889" s="6"/>
      <c r="AN889" s="6"/>
      <c r="AO889" s="6"/>
      <c r="AP889" s="6"/>
      <c r="AQ889" s="6"/>
      <c r="AR889" s="6"/>
      <c r="AS889" s="15"/>
      <c r="AT889" s="6" t="str">
        <f ca="1">IFERROR(__xludf.DUMMYFUNCTION("""COMPUTED_VALUE"""),"#N/A")</f>
        <v>#N/A</v>
      </c>
      <c r="AU889" s="6" t="str">
        <f ca="1">IFERROR(__xludf.DUMMYFUNCTION("""COMPUTED_VALUE"""),"FALSE")</f>
        <v>FALSE</v>
      </c>
      <c r="AW889" s="6">
        <f t="shared" si="64"/>
        <v>0</v>
      </c>
      <c r="AX889" s="6">
        <f t="shared" si="65"/>
        <v>0</v>
      </c>
      <c r="AY889" s="6">
        <f t="shared" si="66"/>
        <v>0</v>
      </c>
      <c r="AZ889" s="9" t="str">
        <f t="shared" si="67"/>
        <v/>
      </c>
      <c r="BA889" s="6">
        <f t="shared" si="68"/>
        <v>0</v>
      </c>
      <c r="BB889" s="6">
        <f t="shared" si="69"/>
        <v>0</v>
      </c>
      <c r="BC889" s="9" t="str">
        <f t="shared" si="70"/>
        <v/>
      </c>
      <c r="BD889" s="6">
        <f t="shared" si="71"/>
        <v>0</v>
      </c>
      <c r="BE889" s="6">
        <f t="shared" si="72"/>
        <v>0</v>
      </c>
      <c r="BF889" s="9" t="str">
        <f t="shared" si="73"/>
        <v/>
      </c>
      <c r="BG889" s="6">
        <f t="shared" si="74"/>
        <v>0</v>
      </c>
      <c r="BH889" s="6">
        <f t="shared" si="75"/>
        <v>0</v>
      </c>
      <c r="BI889" s="9" t="str">
        <f t="shared" si="76"/>
        <v/>
      </c>
      <c r="BJ889" s="6">
        <f t="shared" si="77"/>
        <v>0</v>
      </c>
      <c r="BK889" s="6">
        <f t="shared" si="78"/>
        <v>0</v>
      </c>
      <c r="BL889" s="6">
        <f t="shared" si="79"/>
        <v>0</v>
      </c>
      <c r="BM889" s="6">
        <f t="shared" si="80"/>
        <v>0</v>
      </c>
      <c r="BN889" s="6">
        <f t="shared" si="81"/>
        <v>0</v>
      </c>
      <c r="BP889" s="6">
        <f t="shared" si="82"/>
        <v>0</v>
      </c>
      <c r="BQ889" s="6" t="b">
        <f ca="1">IFERROR(__xludf.DUMMYFUNCTION("IF(AND(ISERROR(FILTER('Items by Team'!D$2:D3410,'Items by Team'!C$2:C3410 = D889,'Items by Team'!B$2:B3410 = B889)),NOT(A889=""Practice"")),TRUE,FALSE)"),FALSE)</f>
        <v>0</v>
      </c>
      <c r="BR889" s="6">
        <f t="shared" ca="1" si="83"/>
        <v>0</v>
      </c>
    </row>
    <row r="890" spans="1:70">
      <c r="A890" s="6"/>
      <c r="B890" s="6"/>
      <c r="C890" s="6"/>
      <c r="D890" s="6"/>
      <c r="E890" s="6"/>
      <c r="F890" s="6"/>
      <c r="G890" s="6"/>
      <c r="H890" s="6"/>
      <c r="I890" s="6"/>
      <c r="J890" s="6"/>
      <c r="K890" s="6"/>
      <c r="L890" s="6"/>
      <c r="M890" s="6"/>
      <c r="N890" s="6"/>
      <c r="O890" s="6"/>
      <c r="P890" s="6"/>
      <c r="R890" s="6"/>
      <c r="S890" s="6"/>
      <c r="T890" s="6"/>
      <c r="U890" s="6"/>
      <c r="V890" s="6"/>
      <c r="W890" s="6"/>
      <c r="X890" s="6"/>
      <c r="Y890" s="6"/>
      <c r="Z890" s="6"/>
      <c r="AA890" s="6"/>
      <c r="AB890" s="6"/>
      <c r="AD890" s="6"/>
      <c r="AE890" s="6"/>
      <c r="AF890" s="6"/>
      <c r="AG890" s="6"/>
      <c r="AH890" s="6"/>
      <c r="AI890" s="6"/>
      <c r="AK890" s="6"/>
      <c r="AL890" s="6"/>
      <c r="AM890" s="6"/>
      <c r="AN890" s="6"/>
      <c r="AO890" s="6"/>
      <c r="AP890" s="6"/>
      <c r="AQ890" s="6"/>
      <c r="AR890" s="6"/>
      <c r="AS890" s="15"/>
      <c r="AT890" s="6" t="str">
        <f ca="1">IFERROR(__xludf.DUMMYFUNCTION("""COMPUTED_VALUE"""),"#N/A")</f>
        <v>#N/A</v>
      </c>
      <c r="AU890" s="6" t="str">
        <f ca="1">IFERROR(__xludf.DUMMYFUNCTION("""COMPUTED_VALUE"""),"FALSE")</f>
        <v>FALSE</v>
      </c>
      <c r="AW890" s="6">
        <f t="shared" si="64"/>
        <v>0</v>
      </c>
      <c r="AX890" s="6">
        <f t="shared" si="65"/>
        <v>0</v>
      </c>
      <c r="AY890" s="6">
        <f t="shared" si="66"/>
        <v>0</v>
      </c>
      <c r="AZ890" s="9" t="str">
        <f t="shared" si="67"/>
        <v/>
      </c>
      <c r="BA890" s="6">
        <f t="shared" si="68"/>
        <v>0</v>
      </c>
      <c r="BB890" s="6">
        <f t="shared" si="69"/>
        <v>0</v>
      </c>
      <c r="BC890" s="9" t="str">
        <f t="shared" si="70"/>
        <v/>
      </c>
      <c r="BD890" s="6">
        <f t="shared" si="71"/>
        <v>0</v>
      </c>
      <c r="BE890" s="6">
        <f t="shared" si="72"/>
        <v>0</v>
      </c>
      <c r="BF890" s="9" t="str">
        <f t="shared" si="73"/>
        <v/>
      </c>
      <c r="BG890" s="6">
        <f t="shared" si="74"/>
        <v>0</v>
      </c>
      <c r="BH890" s="6">
        <f t="shared" si="75"/>
        <v>0</v>
      </c>
      <c r="BI890" s="9" t="str">
        <f t="shared" si="76"/>
        <v/>
      </c>
      <c r="BJ890" s="6">
        <f t="shared" si="77"/>
        <v>0</v>
      </c>
      <c r="BK890" s="6">
        <f t="shared" si="78"/>
        <v>0</v>
      </c>
      <c r="BL890" s="6">
        <f t="shared" si="79"/>
        <v>0</v>
      </c>
      <c r="BM890" s="6">
        <f t="shared" si="80"/>
        <v>0</v>
      </c>
      <c r="BN890" s="6">
        <f t="shared" si="81"/>
        <v>0</v>
      </c>
      <c r="BP890" s="6">
        <f t="shared" si="82"/>
        <v>0</v>
      </c>
      <c r="BQ890" s="6" t="b">
        <f ca="1">IFERROR(__xludf.DUMMYFUNCTION("IF(AND(ISERROR(FILTER('Items by Team'!D$2:D3410,'Items by Team'!C$2:C3410 = D890,'Items by Team'!B$2:B3410 = B890)),NOT(A890=""Practice"")),TRUE,FALSE)"),FALSE)</f>
        <v>0</v>
      </c>
      <c r="BR890" s="6">
        <f t="shared" ca="1" si="83"/>
        <v>0</v>
      </c>
    </row>
    <row r="891" spans="1:70">
      <c r="A891" s="6"/>
      <c r="B891" s="6"/>
      <c r="C891" s="6"/>
      <c r="D891" s="6"/>
      <c r="E891" s="6"/>
      <c r="F891" s="6"/>
      <c r="G891" s="6"/>
      <c r="H891" s="6"/>
      <c r="I891" s="6"/>
      <c r="J891" s="6"/>
      <c r="K891" s="6"/>
      <c r="L891" s="6"/>
      <c r="M891" s="6"/>
      <c r="N891" s="6"/>
      <c r="O891" s="6"/>
      <c r="P891" s="6"/>
      <c r="R891" s="6"/>
      <c r="S891" s="6"/>
      <c r="T891" s="6"/>
      <c r="U891" s="6"/>
      <c r="V891" s="6"/>
      <c r="W891" s="6"/>
      <c r="X891" s="6"/>
      <c r="Y891" s="6"/>
      <c r="Z891" s="6"/>
      <c r="AA891" s="6"/>
      <c r="AB891" s="6"/>
      <c r="AD891" s="6"/>
      <c r="AE891" s="6"/>
      <c r="AF891" s="6"/>
      <c r="AG891" s="6"/>
      <c r="AH891" s="6"/>
      <c r="AI891" s="6"/>
      <c r="AK891" s="6"/>
      <c r="AL891" s="6"/>
      <c r="AM891" s="6"/>
      <c r="AN891" s="6"/>
      <c r="AO891" s="6"/>
      <c r="AP891" s="6"/>
      <c r="AQ891" s="6"/>
      <c r="AR891" s="6"/>
      <c r="AS891" s="15"/>
      <c r="AT891" s="6" t="str">
        <f ca="1">IFERROR(__xludf.DUMMYFUNCTION("""COMPUTED_VALUE"""),"#N/A")</f>
        <v>#N/A</v>
      </c>
      <c r="AU891" s="6" t="str">
        <f ca="1">IFERROR(__xludf.DUMMYFUNCTION("""COMPUTED_VALUE"""),"FALSE")</f>
        <v>FALSE</v>
      </c>
      <c r="AW891" s="6">
        <f t="shared" si="64"/>
        <v>0</v>
      </c>
      <c r="AX891" s="6">
        <f t="shared" si="65"/>
        <v>0</v>
      </c>
      <c r="AY891" s="6">
        <f t="shared" si="66"/>
        <v>0</v>
      </c>
      <c r="AZ891" s="9" t="str">
        <f t="shared" si="67"/>
        <v/>
      </c>
      <c r="BA891" s="6">
        <f t="shared" si="68"/>
        <v>0</v>
      </c>
      <c r="BB891" s="6">
        <f t="shared" si="69"/>
        <v>0</v>
      </c>
      <c r="BC891" s="9" t="str">
        <f t="shared" si="70"/>
        <v/>
      </c>
      <c r="BD891" s="6">
        <f t="shared" si="71"/>
        <v>0</v>
      </c>
      <c r="BE891" s="6">
        <f t="shared" si="72"/>
        <v>0</v>
      </c>
      <c r="BF891" s="9" t="str">
        <f t="shared" si="73"/>
        <v/>
      </c>
      <c r="BG891" s="6">
        <f t="shared" si="74"/>
        <v>0</v>
      </c>
      <c r="BH891" s="6">
        <f t="shared" si="75"/>
        <v>0</v>
      </c>
      <c r="BI891" s="9" t="str">
        <f t="shared" si="76"/>
        <v/>
      </c>
      <c r="BJ891" s="6">
        <f t="shared" si="77"/>
        <v>0</v>
      </c>
      <c r="BK891" s="6">
        <f t="shared" si="78"/>
        <v>0</v>
      </c>
      <c r="BL891" s="6">
        <f t="shared" si="79"/>
        <v>0</v>
      </c>
      <c r="BM891" s="6">
        <f t="shared" si="80"/>
        <v>0</v>
      </c>
      <c r="BN891" s="6">
        <f t="shared" si="81"/>
        <v>0</v>
      </c>
      <c r="BP891" s="6">
        <f t="shared" si="82"/>
        <v>0</v>
      </c>
      <c r="BQ891" s="6" t="b">
        <f ca="1">IFERROR(__xludf.DUMMYFUNCTION("IF(AND(ISERROR(FILTER('Items by Team'!D$2:D3410,'Items by Team'!C$2:C3410 = D891,'Items by Team'!B$2:B3410 = B891)),NOT(A891=""Practice"")),TRUE,FALSE)"),FALSE)</f>
        <v>0</v>
      </c>
      <c r="BR891" s="6">
        <f t="shared" ca="1" si="83"/>
        <v>0</v>
      </c>
    </row>
    <row r="892" spans="1:70">
      <c r="A892" s="6"/>
      <c r="B892" s="6"/>
      <c r="C892" s="6"/>
      <c r="D892" s="6"/>
      <c r="E892" s="6"/>
      <c r="F892" s="6"/>
      <c r="G892" s="6"/>
      <c r="H892" s="6"/>
      <c r="I892" s="6"/>
      <c r="J892" s="6"/>
      <c r="K892" s="6"/>
      <c r="L892" s="6"/>
      <c r="M892" s="6"/>
      <c r="N892" s="6"/>
      <c r="O892" s="6"/>
      <c r="P892" s="6"/>
      <c r="R892" s="6"/>
      <c r="S892" s="6"/>
      <c r="T892" s="6"/>
      <c r="U892" s="6"/>
      <c r="V892" s="6"/>
      <c r="W892" s="6"/>
      <c r="X892" s="6"/>
      <c r="Y892" s="6"/>
      <c r="Z892" s="6"/>
      <c r="AA892" s="6"/>
      <c r="AB892" s="6"/>
      <c r="AD892" s="6"/>
      <c r="AE892" s="6"/>
      <c r="AF892" s="6"/>
      <c r="AG892" s="6"/>
      <c r="AH892" s="6"/>
      <c r="AI892" s="6"/>
      <c r="AK892" s="6"/>
      <c r="AL892" s="6"/>
      <c r="AM892" s="6"/>
      <c r="AN892" s="6"/>
      <c r="AO892" s="6"/>
      <c r="AP892" s="6"/>
      <c r="AQ892" s="6"/>
      <c r="AR892" s="6"/>
      <c r="AS892" s="15"/>
      <c r="AT892" s="6" t="str">
        <f ca="1">IFERROR(__xludf.DUMMYFUNCTION("""COMPUTED_VALUE"""),"#N/A")</f>
        <v>#N/A</v>
      </c>
      <c r="AU892" s="6" t="str">
        <f ca="1">IFERROR(__xludf.DUMMYFUNCTION("""COMPUTED_VALUE"""),"FALSE")</f>
        <v>FALSE</v>
      </c>
      <c r="AW892" s="6">
        <f t="shared" si="64"/>
        <v>0</v>
      </c>
      <c r="AX892" s="6">
        <f t="shared" si="65"/>
        <v>0</v>
      </c>
      <c r="AY892" s="6">
        <f t="shared" si="66"/>
        <v>0</v>
      </c>
      <c r="AZ892" s="9" t="str">
        <f t="shared" si="67"/>
        <v/>
      </c>
      <c r="BA892" s="6">
        <f t="shared" si="68"/>
        <v>0</v>
      </c>
      <c r="BB892" s="6">
        <f t="shared" si="69"/>
        <v>0</v>
      </c>
      <c r="BC892" s="9" t="str">
        <f t="shared" si="70"/>
        <v/>
      </c>
      <c r="BD892" s="6">
        <f t="shared" si="71"/>
        <v>0</v>
      </c>
      <c r="BE892" s="6">
        <f t="shared" si="72"/>
        <v>0</v>
      </c>
      <c r="BF892" s="9" t="str">
        <f t="shared" si="73"/>
        <v/>
      </c>
      <c r="BG892" s="6">
        <f t="shared" si="74"/>
        <v>0</v>
      </c>
      <c r="BH892" s="6">
        <f t="shared" si="75"/>
        <v>0</v>
      </c>
      <c r="BI892" s="9" t="str">
        <f t="shared" si="76"/>
        <v/>
      </c>
      <c r="BJ892" s="6">
        <f t="shared" si="77"/>
        <v>0</v>
      </c>
      <c r="BK892" s="6">
        <f t="shared" si="78"/>
        <v>0</v>
      </c>
      <c r="BL892" s="6">
        <f t="shared" si="79"/>
        <v>0</v>
      </c>
      <c r="BM892" s="6">
        <f t="shared" si="80"/>
        <v>0</v>
      </c>
      <c r="BN892" s="6">
        <f t="shared" si="81"/>
        <v>0</v>
      </c>
      <c r="BP892" s="6">
        <f t="shared" si="82"/>
        <v>0</v>
      </c>
      <c r="BQ892" s="6" t="b">
        <f ca="1">IFERROR(__xludf.DUMMYFUNCTION("IF(AND(ISERROR(FILTER('Items by Team'!D$2:D3410,'Items by Team'!C$2:C3410 = D892,'Items by Team'!B$2:B3410 = B892)),NOT(A892=""Practice"")),TRUE,FALSE)"),FALSE)</f>
        <v>0</v>
      </c>
      <c r="BR892" s="6">
        <f t="shared" ca="1" si="83"/>
        <v>0</v>
      </c>
    </row>
    <row r="893" spans="1:70">
      <c r="A893" s="6"/>
      <c r="B893" s="6"/>
      <c r="C893" s="6"/>
      <c r="D893" s="6"/>
      <c r="E893" s="6"/>
      <c r="F893" s="6"/>
      <c r="G893" s="6"/>
      <c r="H893" s="6"/>
      <c r="I893" s="6"/>
      <c r="J893" s="6"/>
      <c r="K893" s="6"/>
      <c r="L893" s="6"/>
      <c r="M893" s="6"/>
      <c r="N893" s="6"/>
      <c r="O893" s="6"/>
      <c r="P893" s="6"/>
      <c r="R893" s="6"/>
      <c r="S893" s="6"/>
      <c r="T893" s="6"/>
      <c r="U893" s="6"/>
      <c r="V893" s="6"/>
      <c r="W893" s="6"/>
      <c r="X893" s="6"/>
      <c r="Y893" s="6"/>
      <c r="Z893" s="6"/>
      <c r="AA893" s="6"/>
      <c r="AB893" s="6"/>
      <c r="AD893" s="6"/>
      <c r="AE893" s="6"/>
      <c r="AF893" s="6"/>
      <c r="AG893" s="6"/>
      <c r="AH893" s="6"/>
      <c r="AI893" s="6"/>
      <c r="AK893" s="6"/>
      <c r="AL893" s="6"/>
      <c r="AM893" s="6"/>
      <c r="AN893" s="6"/>
      <c r="AO893" s="6"/>
      <c r="AP893" s="6"/>
      <c r="AQ893" s="6"/>
      <c r="AR893" s="6"/>
      <c r="AS893" s="15"/>
      <c r="AT893" s="6" t="str">
        <f ca="1">IFERROR(__xludf.DUMMYFUNCTION("""COMPUTED_VALUE"""),"#N/A")</f>
        <v>#N/A</v>
      </c>
      <c r="AU893" s="6" t="str">
        <f ca="1">IFERROR(__xludf.DUMMYFUNCTION("""COMPUTED_VALUE"""),"FALSE")</f>
        <v>FALSE</v>
      </c>
      <c r="AW893" s="6">
        <f t="shared" si="64"/>
        <v>0</v>
      </c>
      <c r="AX893" s="6">
        <f t="shared" si="65"/>
        <v>0</v>
      </c>
      <c r="AY893" s="6">
        <f t="shared" si="66"/>
        <v>0</v>
      </c>
      <c r="AZ893" s="9" t="str">
        <f t="shared" si="67"/>
        <v/>
      </c>
      <c r="BA893" s="6">
        <f t="shared" si="68"/>
        <v>0</v>
      </c>
      <c r="BB893" s="6">
        <f t="shared" si="69"/>
        <v>0</v>
      </c>
      <c r="BC893" s="9" t="str">
        <f t="shared" si="70"/>
        <v/>
      </c>
      <c r="BD893" s="6">
        <f t="shared" si="71"/>
        <v>0</v>
      </c>
      <c r="BE893" s="6">
        <f t="shared" si="72"/>
        <v>0</v>
      </c>
      <c r="BF893" s="9" t="str">
        <f t="shared" si="73"/>
        <v/>
      </c>
      <c r="BG893" s="6">
        <f t="shared" si="74"/>
        <v>0</v>
      </c>
      <c r="BH893" s="6">
        <f t="shared" si="75"/>
        <v>0</v>
      </c>
      <c r="BI893" s="9" t="str">
        <f t="shared" si="76"/>
        <v/>
      </c>
      <c r="BJ893" s="6">
        <f t="shared" si="77"/>
        <v>0</v>
      </c>
      <c r="BK893" s="6">
        <f t="shared" si="78"/>
        <v>0</v>
      </c>
      <c r="BL893" s="6">
        <f t="shared" si="79"/>
        <v>0</v>
      </c>
      <c r="BM893" s="6">
        <f t="shared" si="80"/>
        <v>0</v>
      </c>
      <c r="BN893" s="6">
        <f t="shared" si="81"/>
        <v>0</v>
      </c>
      <c r="BP893" s="6">
        <f t="shared" si="82"/>
        <v>0</v>
      </c>
      <c r="BQ893" s="6" t="b">
        <f ca="1">IFERROR(__xludf.DUMMYFUNCTION("IF(AND(ISERROR(FILTER('Items by Team'!D$2:D3410,'Items by Team'!C$2:C3410 = D893,'Items by Team'!B$2:B3410 = B893)),NOT(A893=""Practice"")),TRUE,FALSE)"),FALSE)</f>
        <v>0</v>
      </c>
      <c r="BR893" s="6">
        <f t="shared" ca="1" si="83"/>
        <v>0</v>
      </c>
    </row>
    <row r="894" spans="1:70">
      <c r="A894" s="6"/>
      <c r="B894" s="6"/>
      <c r="C894" s="6"/>
      <c r="D894" s="6"/>
      <c r="E894" s="6"/>
      <c r="F894" s="6"/>
      <c r="G894" s="6"/>
      <c r="H894" s="6"/>
      <c r="I894" s="6"/>
      <c r="J894" s="6"/>
      <c r="K894" s="6"/>
      <c r="L894" s="6"/>
      <c r="M894" s="6"/>
      <c r="N894" s="6"/>
      <c r="O894" s="6"/>
      <c r="P894" s="6"/>
      <c r="R894" s="6"/>
      <c r="S894" s="6"/>
      <c r="T894" s="6"/>
      <c r="U894" s="6"/>
      <c r="V894" s="6"/>
      <c r="W894" s="6"/>
      <c r="X894" s="6"/>
      <c r="Y894" s="6"/>
      <c r="Z894" s="6"/>
      <c r="AA894" s="6"/>
      <c r="AB894" s="6"/>
      <c r="AD894" s="6"/>
      <c r="AE894" s="6"/>
      <c r="AF894" s="6"/>
      <c r="AG894" s="6"/>
      <c r="AH894" s="6"/>
      <c r="AI894" s="6"/>
      <c r="AK894" s="6"/>
      <c r="AL894" s="6"/>
      <c r="AM894" s="6"/>
      <c r="AN894" s="6"/>
      <c r="AO894" s="6"/>
      <c r="AP894" s="6"/>
      <c r="AQ894" s="6"/>
      <c r="AR894" s="6"/>
      <c r="AS894" s="15"/>
      <c r="AT894" s="6" t="str">
        <f ca="1">IFERROR(__xludf.DUMMYFUNCTION("""COMPUTED_VALUE"""),"#N/A")</f>
        <v>#N/A</v>
      </c>
      <c r="AU894" s="6" t="str">
        <f ca="1">IFERROR(__xludf.DUMMYFUNCTION("""COMPUTED_VALUE"""),"FALSE")</f>
        <v>FALSE</v>
      </c>
      <c r="AW894" s="6">
        <f t="shared" si="64"/>
        <v>0</v>
      </c>
      <c r="AX894" s="6">
        <f t="shared" si="65"/>
        <v>0</v>
      </c>
      <c r="AY894" s="6">
        <f t="shared" si="66"/>
        <v>0</v>
      </c>
      <c r="AZ894" s="9" t="str">
        <f t="shared" si="67"/>
        <v/>
      </c>
      <c r="BA894" s="6">
        <f t="shared" si="68"/>
        <v>0</v>
      </c>
      <c r="BB894" s="6">
        <f t="shared" si="69"/>
        <v>0</v>
      </c>
      <c r="BC894" s="9" t="str">
        <f t="shared" si="70"/>
        <v/>
      </c>
      <c r="BD894" s="6">
        <f t="shared" si="71"/>
        <v>0</v>
      </c>
      <c r="BE894" s="6">
        <f t="shared" si="72"/>
        <v>0</v>
      </c>
      <c r="BF894" s="9" t="str">
        <f t="shared" si="73"/>
        <v/>
      </c>
      <c r="BG894" s="6">
        <f t="shared" si="74"/>
        <v>0</v>
      </c>
      <c r="BH894" s="6">
        <f t="shared" si="75"/>
        <v>0</v>
      </c>
      <c r="BI894" s="9" t="str">
        <f t="shared" si="76"/>
        <v/>
      </c>
      <c r="BJ894" s="6">
        <f t="shared" si="77"/>
        <v>0</v>
      </c>
      <c r="BK894" s="6">
        <f t="shared" si="78"/>
        <v>0</v>
      </c>
      <c r="BL894" s="6">
        <f t="shared" si="79"/>
        <v>0</v>
      </c>
      <c r="BM894" s="6">
        <f t="shared" si="80"/>
        <v>0</v>
      </c>
      <c r="BN894" s="6">
        <f t="shared" si="81"/>
        <v>0</v>
      </c>
      <c r="BP894" s="6">
        <f t="shared" si="82"/>
        <v>0</v>
      </c>
      <c r="BQ894" s="6" t="b">
        <f ca="1">IFERROR(__xludf.DUMMYFUNCTION("IF(AND(ISERROR(FILTER('Items by Team'!D$2:D3410,'Items by Team'!C$2:C3410 = D894,'Items by Team'!B$2:B3410 = B894)),NOT(A894=""Practice"")),TRUE,FALSE)"),FALSE)</f>
        <v>0</v>
      </c>
      <c r="BR894" s="6">
        <f t="shared" ca="1" si="83"/>
        <v>0</v>
      </c>
    </row>
    <row r="895" spans="1:70">
      <c r="A895" s="6"/>
      <c r="B895" s="6"/>
      <c r="C895" s="6"/>
      <c r="D895" s="6"/>
      <c r="E895" s="6"/>
      <c r="F895" s="6"/>
      <c r="G895" s="6"/>
      <c r="H895" s="6"/>
      <c r="I895" s="6"/>
      <c r="J895" s="6"/>
      <c r="K895" s="6"/>
      <c r="L895" s="6"/>
      <c r="M895" s="6"/>
      <c r="N895" s="6"/>
      <c r="O895" s="6"/>
      <c r="P895" s="6"/>
      <c r="R895" s="6"/>
      <c r="S895" s="6"/>
      <c r="T895" s="6"/>
      <c r="U895" s="6"/>
      <c r="V895" s="6"/>
      <c r="W895" s="6"/>
      <c r="X895" s="6"/>
      <c r="Y895" s="6"/>
      <c r="Z895" s="6"/>
      <c r="AA895" s="6"/>
      <c r="AB895" s="6"/>
      <c r="AD895" s="6"/>
      <c r="AE895" s="6"/>
      <c r="AF895" s="6"/>
      <c r="AG895" s="6"/>
      <c r="AH895" s="6"/>
      <c r="AI895" s="6"/>
      <c r="AK895" s="6"/>
      <c r="AL895" s="6"/>
      <c r="AM895" s="6"/>
      <c r="AN895" s="6"/>
      <c r="AO895" s="6"/>
      <c r="AP895" s="6"/>
      <c r="AQ895" s="6"/>
      <c r="AR895" s="6"/>
      <c r="AS895" s="15"/>
      <c r="AT895" s="6" t="str">
        <f ca="1">IFERROR(__xludf.DUMMYFUNCTION("""COMPUTED_VALUE"""),"#N/A")</f>
        <v>#N/A</v>
      </c>
      <c r="AU895" s="6" t="str">
        <f ca="1">IFERROR(__xludf.DUMMYFUNCTION("""COMPUTED_VALUE"""),"FALSE")</f>
        <v>FALSE</v>
      </c>
      <c r="AW895" s="6">
        <f t="shared" si="64"/>
        <v>0</v>
      </c>
      <c r="AX895" s="6">
        <f t="shared" si="65"/>
        <v>0</v>
      </c>
      <c r="AY895" s="6">
        <f t="shared" si="66"/>
        <v>0</v>
      </c>
      <c r="AZ895" s="9" t="str">
        <f t="shared" si="67"/>
        <v/>
      </c>
      <c r="BA895" s="6">
        <f t="shared" si="68"/>
        <v>0</v>
      </c>
      <c r="BB895" s="6">
        <f t="shared" si="69"/>
        <v>0</v>
      </c>
      <c r="BC895" s="9" t="str">
        <f t="shared" si="70"/>
        <v/>
      </c>
      <c r="BD895" s="6">
        <f t="shared" si="71"/>
        <v>0</v>
      </c>
      <c r="BE895" s="6">
        <f t="shared" si="72"/>
        <v>0</v>
      </c>
      <c r="BF895" s="9" t="str">
        <f t="shared" si="73"/>
        <v/>
      </c>
      <c r="BG895" s="6">
        <f t="shared" si="74"/>
        <v>0</v>
      </c>
      <c r="BH895" s="6">
        <f t="shared" si="75"/>
        <v>0</v>
      </c>
      <c r="BI895" s="9" t="str">
        <f t="shared" si="76"/>
        <v/>
      </c>
      <c r="BJ895" s="6">
        <f t="shared" si="77"/>
        <v>0</v>
      </c>
      <c r="BK895" s="6">
        <f t="shared" si="78"/>
        <v>0</v>
      </c>
      <c r="BL895" s="6">
        <f t="shared" si="79"/>
        <v>0</v>
      </c>
      <c r="BM895" s="6">
        <f t="shared" si="80"/>
        <v>0</v>
      </c>
      <c r="BN895" s="6">
        <f t="shared" si="81"/>
        <v>0</v>
      </c>
      <c r="BP895" s="6">
        <f t="shared" si="82"/>
        <v>0</v>
      </c>
      <c r="BQ895" s="6" t="b">
        <f ca="1">IFERROR(__xludf.DUMMYFUNCTION("IF(AND(ISERROR(FILTER('Items by Team'!D$2:D3410,'Items by Team'!C$2:C3410 = D895,'Items by Team'!B$2:B3410 = B895)),NOT(A895=""Practice"")),TRUE,FALSE)"),FALSE)</f>
        <v>0</v>
      </c>
      <c r="BR895" s="6">
        <f t="shared" ca="1" si="83"/>
        <v>0</v>
      </c>
    </row>
    <row r="896" spans="1:70">
      <c r="A896" s="6"/>
      <c r="B896" s="6"/>
      <c r="C896" s="6"/>
      <c r="D896" s="6"/>
      <c r="E896" s="6"/>
      <c r="F896" s="6"/>
      <c r="G896" s="6"/>
      <c r="H896" s="6"/>
      <c r="I896" s="6"/>
      <c r="J896" s="6"/>
      <c r="K896" s="6"/>
      <c r="L896" s="6"/>
      <c r="M896" s="6"/>
      <c r="N896" s="6"/>
      <c r="O896" s="6"/>
      <c r="P896" s="6"/>
      <c r="R896" s="6"/>
      <c r="S896" s="6"/>
      <c r="T896" s="6"/>
      <c r="U896" s="6"/>
      <c r="V896" s="6"/>
      <c r="W896" s="6"/>
      <c r="X896" s="6"/>
      <c r="Y896" s="6"/>
      <c r="Z896" s="6"/>
      <c r="AA896" s="6"/>
      <c r="AB896" s="6"/>
      <c r="AD896" s="6"/>
      <c r="AE896" s="6"/>
      <c r="AF896" s="6"/>
      <c r="AG896" s="6"/>
      <c r="AH896" s="6"/>
      <c r="AI896" s="6"/>
      <c r="AK896" s="6"/>
      <c r="AL896" s="6"/>
      <c r="AM896" s="6"/>
      <c r="AN896" s="6"/>
      <c r="AO896" s="6"/>
      <c r="AP896" s="6"/>
      <c r="AQ896" s="6"/>
      <c r="AR896" s="6"/>
      <c r="AS896" s="15"/>
      <c r="AT896" s="6" t="str">
        <f ca="1">IFERROR(__xludf.DUMMYFUNCTION("""COMPUTED_VALUE"""),"#N/A")</f>
        <v>#N/A</v>
      </c>
      <c r="AU896" s="6" t="str">
        <f ca="1">IFERROR(__xludf.DUMMYFUNCTION("""COMPUTED_VALUE"""),"FALSE")</f>
        <v>FALSE</v>
      </c>
      <c r="AW896" s="6">
        <f t="shared" si="64"/>
        <v>0</v>
      </c>
      <c r="AX896" s="6">
        <f t="shared" si="65"/>
        <v>0</v>
      </c>
      <c r="AY896" s="6">
        <f t="shared" si="66"/>
        <v>0</v>
      </c>
      <c r="AZ896" s="9" t="str">
        <f t="shared" si="67"/>
        <v/>
      </c>
      <c r="BA896" s="6">
        <f t="shared" si="68"/>
        <v>0</v>
      </c>
      <c r="BB896" s="6">
        <f t="shared" si="69"/>
        <v>0</v>
      </c>
      <c r="BC896" s="9" t="str">
        <f t="shared" si="70"/>
        <v/>
      </c>
      <c r="BD896" s="6">
        <f t="shared" si="71"/>
        <v>0</v>
      </c>
      <c r="BE896" s="6">
        <f t="shared" si="72"/>
        <v>0</v>
      </c>
      <c r="BF896" s="9" t="str">
        <f t="shared" si="73"/>
        <v/>
      </c>
      <c r="BG896" s="6">
        <f t="shared" si="74"/>
        <v>0</v>
      </c>
      <c r="BH896" s="6">
        <f t="shared" si="75"/>
        <v>0</v>
      </c>
      <c r="BI896" s="9" t="str">
        <f t="shared" si="76"/>
        <v/>
      </c>
      <c r="BJ896" s="6">
        <f t="shared" si="77"/>
        <v>0</v>
      </c>
      <c r="BK896" s="6">
        <f t="shared" si="78"/>
        <v>0</v>
      </c>
      <c r="BL896" s="6">
        <f t="shared" si="79"/>
        <v>0</v>
      </c>
      <c r="BM896" s="6">
        <f t="shared" si="80"/>
        <v>0</v>
      </c>
      <c r="BN896" s="6">
        <f t="shared" si="81"/>
        <v>0</v>
      </c>
      <c r="BP896" s="6">
        <f t="shared" si="82"/>
        <v>0</v>
      </c>
      <c r="BQ896" s="6" t="b">
        <f ca="1">IFERROR(__xludf.DUMMYFUNCTION("IF(AND(ISERROR(FILTER('Items by Team'!D$2:D3410,'Items by Team'!C$2:C3410 = D896,'Items by Team'!B$2:B3410 = B896)),NOT(A896=""Practice"")),TRUE,FALSE)"),FALSE)</f>
        <v>0</v>
      </c>
      <c r="BR896" s="6">
        <f t="shared" ca="1" si="83"/>
        <v>0</v>
      </c>
    </row>
    <row r="897" spans="1:70">
      <c r="A897" s="6"/>
      <c r="B897" s="6"/>
      <c r="C897" s="6"/>
      <c r="D897" s="6"/>
      <c r="E897" s="6"/>
      <c r="F897" s="6"/>
      <c r="G897" s="6"/>
      <c r="H897" s="6"/>
      <c r="I897" s="6"/>
      <c r="J897" s="6"/>
      <c r="K897" s="6"/>
      <c r="L897" s="6"/>
      <c r="M897" s="6"/>
      <c r="N897" s="6"/>
      <c r="O897" s="6"/>
      <c r="P897" s="6"/>
      <c r="R897" s="6"/>
      <c r="S897" s="6"/>
      <c r="T897" s="6"/>
      <c r="U897" s="6"/>
      <c r="V897" s="6"/>
      <c r="W897" s="6"/>
      <c r="X897" s="6"/>
      <c r="Y897" s="6"/>
      <c r="Z897" s="6"/>
      <c r="AA897" s="6"/>
      <c r="AB897" s="6"/>
      <c r="AD897" s="6"/>
      <c r="AE897" s="6"/>
      <c r="AF897" s="6"/>
      <c r="AG897" s="6"/>
      <c r="AH897" s="6"/>
      <c r="AI897" s="6"/>
      <c r="AK897" s="6"/>
      <c r="AL897" s="6"/>
      <c r="AM897" s="6"/>
      <c r="AN897" s="6"/>
      <c r="AO897" s="6"/>
      <c r="AP897" s="6"/>
      <c r="AQ897" s="6"/>
      <c r="AR897" s="6"/>
      <c r="AS897" s="15"/>
      <c r="AT897" s="6" t="str">
        <f ca="1">IFERROR(__xludf.DUMMYFUNCTION("""COMPUTED_VALUE"""),"#N/A")</f>
        <v>#N/A</v>
      </c>
      <c r="AU897" s="6" t="str">
        <f ca="1">IFERROR(__xludf.DUMMYFUNCTION("""COMPUTED_VALUE"""),"FALSE")</f>
        <v>FALSE</v>
      </c>
      <c r="AW897" s="6">
        <f t="shared" si="64"/>
        <v>0</v>
      </c>
      <c r="AX897" s="6">
        <f t="shared" si="65"/>
        <v>0</v>
      </c>
      <c r="AY897" s="6">
        <f t="shared" si="66"/>
        <v>0</v>
      </c>
      <c r="AZ897" s="9" t="str">
        <f t="shared" si="67"/>
        <v/>
      </c>
      <c r="BA897" s="6">
        <f t="shared" si="68"/>
        <v>0</v>
      </c>
      <c r="BB897" s="6">
        <f t="shared" si="69"/>
        <v>0</v>
      </c>
      <c r="BC897" s="9" t="str">
        <f t="shared" si="70"/>
        <v/>
      </c>
      <c r="BD897" s="6">
        <f t="shared" si="71"/>
        <v>0</v>
      </c>
      <c r="BE897" s="6">
        <f t="shared" si="72"/>
        <v>0</v>
      </c>
      <c r="BF897" s="9" t="str">
        <f t="shared" si="73"/>
        <v/>
      </c>
      <c r="BG897" s="6">
        <f t="shared" si="74"/>
        <v>0</v>
      </c>
      <c r="BH897" s="6">
        <f t="shared" si="75"/>
        <v>0</v>
      </c>
      <c r="BI897" s="9" t="str">
        <f t="shared" si="76"/>
        <v/>
      </c>
      <c r="BJ897" s="6">
        <f t="shared" si="77"/>
        <v>0</v>
      </c>
      <c r="BK897" s="6">
        <f t="shared" si="78"/>
        <v>0</v>
      </c>
      <c r="BL897" s="6">
        <f t="shared" si="79"/>
        <v>0</v>
      </c>
      <c r="BM897" s="6">
        <f t="shared" si="80"/>
        <v>0</v>
      </c>
      <c r="BN897" s="6">
        <f t="shared" si="81"/>
        <v>0</v>
      </c>
      <c r="BP897" s="6">
        <f t="shared" si="82"/>
        <v>0</v>
      </c>
      <c r="BQ897" s="6" t="b">
        <f ca="1">IFERROR(__xludf.DUMMYFUNCTION("IF(AND(ISERROR(FILTER('Items by Team'!D$2:D3410,'Items by Team'!C$2:C3410 = D897,'Items by Team'!B$2:B3410 = B897)),NOT(A897=""Practice"")),TRUE,FALSE)"),FALSE)</f>
        <v>0</v>
      </c>
      <c r="BR897" s="6">
        <f t="shared" ca="1" si="83"/>
        <v>0</v>
      </c>
    </row>
    <row r="898" spans="1:70">
      <c r="A898" s="6"/>
      <c r="B898" s="6"/>
      <c r="C898" s="6"/>
      <c r="D898" s="6"/>
      <c r="E898" s="6"/>
      <c r="F898" s="6"/>
      <c r="G898" s="6"/>
      <c r="H898" s="6"/>
      <c r="I898" s="6"/>
      <c r="J898" s="6"/>
      <c r="K898" s="6"/>
      <c r="L898" s="6"/>
      <c r="M898" s="6"/>
      <c r="N898" s="6"/>
      <c r="O898" s="6"/>
      <c r="P898" s="6"/>
      <c r="R898" s="6"/>
      <c r="S898" s="6"/>
      <c r="T898" s="6"/>
      <c r="U898" s="6"/>
      <c r="V898" s="6"/>
      <c r="W898" s="6"/>
      <c r="X898" s="6"/>
      <c r="Y898" s="6"/>
      <c r="Z898" s="6"/>
      <c r="AA898" s="6"/>
      <c r="AB898" s="6"/>
      <c r="AD898" s="6"/>
      <c r="AE898" s="6"/>
      <c r="AF898" s="6"/>
      <c r="AG898" s="6"/>
      <c r="AH898" s="6"/>
      <c r="AI898" s="6"/>
      <c r="AK898" s="6"/>
      <c r="AL898" s="6"/>
      <c r="AM898" s="6"/>
      <c r="AN898" s="6"/>
      <c r="AO898" s="6"/>
      <c r="AP898" s="6"/>
      <c r="AQ898" s="6"/>
      <c r="AR898" s="6"/>
      <c r="AS898" s="15"/>
      <c r="AT898" s="6" t="str">
        <f ca="1">IFERROR(__xludf.DUMMYFUNCTION("""COMPUTED_VALUE"""),"#N/A")</f>
        <v>#N/A</v>
      </c>
      <c r="AU898" s="6" t="str">
        <f ca="1">IFERROR(__xludf.DUMMYFUNCTION("""COMPUTED_VALUE"""),"FALSE")</f>
        <v>FALSE</v>
      </c>
      <c r="AW898" s="6">
        <f t="shared" si="64"/>
        <v>0</v>
      </c>
      <c r="AX898" s="6">
        <f t="shared" si="65"/>
        <v>0</v>
      </c>
      <c r="AY898" s="6">
        <f t="shared" si="66"/>
        <v>0</v>
      </c>
      <c r="AZ898" s="9" t="str">
        <f t="shared" si="67"/>
        <v/>
      </c>
      <c r="BA898" s="6">
        <f t="shared" si="68"/>
        <v>0</v>
      </c>
      <c r="BB898" s="6">
        <f t="shared" si="69"/>
        <v>0</v>
      </c>
      <c r="BC898" s="9" t="str">
        <f t="shared" si="70"/>
        <v/>
      </c>
      <c r="BD898" s="6">
        <f t="shared" si="71"/>
        <v>0</v>
      </c>
      <c r="BE898" s="6">
        <f t="shared" si="72"/>
        <v>0</v>
      </c>
      <c r="BF898" s="9" t="str">
        <f t="shared" si="73"/>
        <v/>
      </c>
      <c r="BG898" s="6">
        <f t="shared" si="74"/>
        <v>0</v>
      </c>
      <c r="BH898" s="6">
        <f t="shared" si="75"/>
        <v>0</v>
      </c>
      <c r="BI898" s="9" t="str">
        <f t="shared" si="76"/>
        <v/>
      </c>
      <c r="BJ898" s="6">
        <f t="shared" si="77"/>
        <v>0</v>
      </c>
      <c r="BK898" s="6">
        <f t="shared" si="78"/>
        <v>0</v>
      </c>
      <c r="BL898" s="6">
        <f t="shared" si="79"/>
        <v>0</v>
      </c>
      <c r="BM898" s="6">
        <f t="shared" si="80"/>
        <v>0</v>
      </c>
      <c r="BN898" s="6">
        <f t="shared" si="81"/>
        <v>0</v>
      </c>
      <c r="BP898" s="6">
        <f t="shared" si="82"/>
        <v>0</v>
      </c>
      <c r="BQ898" s="6" t="b">
        <f ca="1">IFERROR(__xludf.DUMMYFUNCTION("IF(AND(ISERROR(FILTER('Items by Team'!D$2:D3410,'Items by Team'!C$2:C3410 = D898,'Items by Team'!B$2:B3410 = B898)),NOT(A898=""Practice"")),TRUE,FALSE)"),FALSE)</f>
        <v>0</v>
      </c>
      <c r="BR898" s="6">
        <f t="shared" ca="1" si="83"/>
        <v>0</v>
      </c>
    </row>
    <row r="899" spans="1:70">
      <c r="A899" s="6"/>
      <c r="B899" s="6"/>
      <c r="C899" s="6"/>
      <c r="D899" s="6"/>
      <c r="E899" s="6"/>
      <c r="F899" s="6"/>
      <c r="G899" s="6"/>
      <c r="H899" s="6"/>
      <c r="I899" s="6"/>
      <c r="J899" s="6"/>
      <c r="K899" s="6"/>
      <c r="L899" s="6"/>
      <c r="M899" s="6"/>
      <c r="N899" s="6"/>
      <c r="O899" s="6"/>
      <c r="P899" s="6"/>
      <c r="R899" s="6"/>
      <c r="S899" s="6"/>
      <c r="T899" s="6"/>
      <c r="U899" s="6"/>
      <c r="V899" s="6"/>
      <c r="W899" s="6"/>
      <c r="X899" s="6"/>
      <c r="Y899" s="6"/>
      <c r="Z899" s="6"/>
      <c r="AA899" s="6"/>
      <c r="AB899" s="6"/>
      <c r="AD899" s="6"/>
      <c r="AE899" s="6"/>
      <c r="AF899" s="6"/>
      <c r="AG899" s="6"/>
      <c r="AH899" s="6"/>
      <c r="AI899" s="6"/>
      <c r="AK899" s="6"/>
      <c r="AL899" s="6"/>
      <c r="AM899" s="6"/>
      <c r="AN899" s="6"/>
      <c r="AO899" s="6"/>
      <c r="AP899" s="6"/>
      <c r="AQ899" s="6"/>
      <c r="AR899" s="6"/>
      <c r="AS899" s="15"/>
      <c r="AT899" s="6" t="str">
        <f ca="1">IFERROR(__xludf.DUMMYFUNCTION("""COMPUTED_VALUE"""),"#N/A")</f>
        <v>#N/A</v>
      </c>
      <c r="AU899" s="6" t="str">
        <f ca="1">IFERROR(__xludf.DUMMYFUNCTION("""COMPUTED_VALUE"""),"FALSE")</f>
        <v>FALSE</v>
      </c>
      <c r="AW899" s="6">
        <f t="shared" si="64"/>
        <v>0</v>
      </c>
      <c r="AX899" s="6">
        <f t="shared" si="65"/>
        <v>0</v>
      </c>
      <c r="AY899" s="6">
        <f t="shared" si="66"/>
        <v>0</v>
      </c>
      <c r="AZ899" s="9" t="str">
        <f t="shared" si="67"/>
        <v/>
      </c>
      <c r="BA899" s="6">
        <f t="shared" si="68"/>
        <v>0</v>
      </c>
      <c r="BB899" s="6">
        <f t="shared" si="69"/>
        <v>0</v>
      </c>
      <c r="BC899" s="9" t="str">
        <f t="shared" si="70"/>
        <v/>
      </c>
      <c r="BD899" s="6">
        <f t="shared" si="71"/>
        <v>0</v>
      </c>
      <c r="BE899" s="6">
        <f t="shared" si="72"/>
        <v>0</v>
      </c>
      <c r="BF899" s="9" t="str">
        <f t="shared" si="73"/>
        <v/>
      </c>
      <c r="BG899" s="6">
        <f t="shared" si="74"/>
        <v>0</v>
      </c>
      <c r="BH899" s="6">
        <f t="shared" si="75"/>
        <v>0</v>
      </c>
      <c r="BI899" s="9" t="str">
        <f t="shared" si="76"/>
        <v/>
      </c>
      <c r="BJ899" s="6">
        <f t="shared" si="77"/>
        <v>0</v>
      </c>
      <c r="BK899" s="6">
        <f t="shared" si="78"/>
        <v>0</v>
      </c>
      <c r="BL899" s="6">
        <f t="shared" si="79"/>
        <v>0</v>
      </c>
      <c r="BM899" s="6">
        <f t="shared" si="80"/>
        <v>0</v>
      </c>
      <c r="BN899" s="6">
        <f t="shared" si="81"/>
        <v>0</v>
      </c>
      <c r="BP899" s="6">
        <f t="shared" si="82"/>
        <v>0</v>
      </c>
      <c r="BQ899" s="6" t="b">
        <f ca="1">IFERROR(__xludf.DUMMYFUNCTION("IF(AND(ISERROR(FILTER('Items by Team'!D$2:D3410,'Items by Team'!C$2:C3410 = D899,'Items by Team'!B$2:B3410 = B899)),NOT(A899=""Practice"")),TRUE,FALSE)"),FALSE)</f>
        <v>0</v>
      </c>
      <c r="BR899" s="6">
        <f t="shared" ca="1" si="83"/>
        <v>0</v>
      </c>
    </row>
    <row r="900" spans="1:70">
      <c r="A900" s="6"/>
      <c r="B900" s="6"/>
      <c r="C900" s="6"/>
      <c r="D900" s="6"/>
      <c r="E900" s="6"/>
      <c r="F900" s="6"/>
      <c r="G900" s="6"/>
      <c r="H900" s="6"/>
      <c r="I900" s="6"/>
      <c r="J900" s="6"/>
      <c r="K900" s="6"/>
      <c r="L900" s="6"/>
      <c r="M900" s="6"/>
      <c r="N900" s="6"/>
      <c r="O900" s="6"/>
      <c r="P900" s="6"/>
      <c r="R900" s="6"/>
      <c r="S900" s="6"/>
      <c r="T900" s="6"/>
      <c r="U900" s="6"/>
      <c r="V900" s="6"/>
      <c r="W900" s="6"/>
      <c r="X900" s="6"/>
      <c r="Y900" s="6"/>
      <c r="Z900" s="6"/>
      <c r="AA900" s="6"/>
      <c r="AB900" s="6"/>
      <c r="AD900" s="6"/>
      <c r="AE900" s="6"/>
      <c r="AF900" s="6"/>
      <c r="AG900" s="6"/>
      <c r="AH900" s="6"/>
      <c r="AI900" s="6"/>
      <c r="AK900" s="6"/>
      <c r="AL900" s="6"/>
      <c r="AM900" s="6"/>
      <c r="AN900" s="6"/>
      <c r="AO900" s="6"/>
      <c r="AP900" s="6"/>
      <c r="AQ900" s="6"/>
      <c r="AR900" s="6"/>
      <c r="AS900" s="15"/>
      <c r="AT900" s="6" t="str">
        <f ca="1">IFERROR(__xludf.DUMMYFUNCTION("""COMPUTED_VALUE"""),"#N/A")</f>
        <v>#N/A</v>
      </c>
      <c r="AU900" s="6" t="str">
        <f ca="1">IFERROR(__xludf.DUMMYFUNCTION("""COMPUTED_VALUE"""),"FALSE")</f>
        <v>FALSE</v>
      </c>
      <c r="AW900" s="6">
        <f t="shared" si="64"/>
        <v>0</v>
      </c>
      <c r="AX900" s="6">
        <f t="shared" si="65"/>
        <v>0</v>
      </c>
      <c r="AY900" s="6">
        <f t="shared" si="66"/>
        <v>0</v>
      </c>
      <c r="AZ900" s="9" t="str">
        <f t="shared" si="67"/>
        <v/>
      </c>
      <c r="BA900" s="6">
        <f t="shared" si="68"/>
        <v>0</v>
      </c>
      <c r="BB900" s="6">
        <f t="shared" si="69"/>
        <v>0</v>
      </c>
      <c r="BC900" s="9" t="str">
        <f t="shared" si="70"/>
        <v/>
      </c>
      <c r="BD900" s="6">
        <f t="shared" si="71"/>
        <v>0</v>
      </c>
      <c r="BE900" s="6">
        <f t="shared" si="72"/>
        <v>0</v>
      </c>
      <c r="BF900" s="9" t="str">
        <f t="shared" si="73"/>
        <v/>
      </c>
      <c r="BG900" s="6">
        <f t="shared" si="74"/>
        <v>0</v>
      </c>
      <c r="BH900" s="6">
        <f t="shared" si="75"/>
        <v>0</v>
      </c>
      <c r="BI900" s="9" t="str">
        <f t="shared" si="76"/>
        <v/>
      </c>
      <c r="BJ900" s="6">
        <f t="shared" si="77"/>
        <v>0</v>
      </c>
      <c r="BK900" s="6">
        <f t="shared" si="78"/>
        <v>0</v>
      </c>
      <c r="BL900" s="6">
        <f t="shared" si="79"/>
        <v>0</v>
      </c>
      <c r="BM900" s="6">
        <f t="shared" si="80"/>
        <v>0</v>
      </c>
      <c r="BN900" s="6">
        <f t="shared" si="81"/>
        <v>0</v>
      </c>
      <c r="BP900" s="6">
        <f t="shared" si="82"/>
        <v>0</v>
      </c>
      <c r="BQ900" s="6" t="b">
        <f ca="1">IFERROR(__xludf.DUMMYFUNCTION("IF(AND(ISERROR(FILTER('Items by Team'!D$2:D3410,'Items by Team'!C$2:C3410 = D900,'Items by Team'!B$2:B3410 = B900)),NOT(A900=""Practice"")),TRUE,FALSE)"),FALSE)</f>
        <v>0</v>
      </c>
      <c r="BR900" s="6">
        <f t="shared" ca="1" si="83"/>
        <v>0</v>
      </c>
    </row>
    <row r="901" spans="1:70">
      <c r="A901" s="6"/>
      <c r="B901" s="6"/>
      <c r="C901" s="6"/>
      <c r="D901" s="6"/>
      <c r="E901" s="6"/>
      <c r="F901" s="6"/>
      <c r="G901" s="6"/>
      <c r="H901" s="6"/>
      <c r="I901" s="6"/>
      <c r="J901" s="6"/>
      <c r="K901" s="6"/>
      <c r="L901" s="6"/>
      <c r="M901" s="6"/>
      <c r="N901" s="6"/>
      <c r="O901" s="6"/>
      <c r="P901" s="6"/>
      <c r="R901" s="6"/>
      <c r="S901" s="6"/>
      <c r="T901" s="6"/>
      <c r="U901" s="6"/>
      <c r="V901" s="6"/>
      <c r="W901" s="6"/>
      <c r="X901" s="6"/>
      <c r="Y901" s="6"/>
      <c r="Z901" s="6"/>
      <c r="AA901" s="6"/>
      <c r="AB901" s="6"/>
      <c r="AD901" s="6"/>
      <c r="AE901" s="6"/>
      <c r="AF901" s="6"/>
      <c r="AG901" s="6"/>
      <c r="AH901" s="6"/>
      <c r="AI901" s="6"/>
      <c r="AK901" s="6"/>
      <c r="AL901" s="6"/>
      <c r="AM901" s="6"/>
      <c r="AN901" s="6"/>
      <c r="AO901" s="6"/>
      <c r="AP901" s="6"/>
      <c r="AQ901" s="6"/>
      <c r="AR901" s="6"/>
      <c r="AS901" s="15"/>
      <c r="AT901" s="6" t="str">
        <f ca="1">IFERROR(__xludf.DUMMYFUNCTION("""COMPUTED_VALUE"""),"#N/A")</f>
        <v>#N/A</v>
      </c>
      <c r="AU901" s="6" t="str">
        <f ca="1">IFERROR(__xludf.DUMMYFUNCTION("""COMPUTED_VALUE"""),"FALSE")</f>
        <v>FALSE</v>
      </c>
      <c r="AW901" s="6">
        <f t="shared" si="64"/>
        <v>0</v>
      </c>
      <c r="AX901" s="6">
        <f t="shared" si="65"/>
        <v>0</v>
      </c>
      <c r="AY901" s="6">
        <f t="shared" si="66"/>
        <v>0</v>
      </c>
      <c r="AZ901" s="9" t="str">
        <f t="shared" si="67"/>
        <v/>
      </c>
      <c r="BA901" s="6">
        <f t="shared" si="68"/>
        <v>0</v>
      </c>
      <c r="BB901" s="6">
        <f t="shared" si="69"/>
        <v>0</v>
      </c>
      <c r="BC901" s="9" t="str">
        <f t="shared" si="70"/>
        <v/>
      </c>
      <c r="BD901" s="6">
        <f t="shared" si="71"/>
        <v>0</v>
      </c>
      <c r="BE901" s="6">
        <f t="shared" si="72"/>
        <v>0</v>
      </c>
      <c r="BF901" s="9" t="str">
        <f t="shared" si="73"/>
        <v/>
      </c>
      <c r="BG901" s="6">
        <f t="shared" si="74"/>
        <v>0</v>
      </c>
      <c r="BH901" s="6">
        <f t="shared" si="75"/>
        <v>0</v>
      </c>
      <c r="BI901" s="9" t="str">
        <f t="shared" si="76"/>
        <v/>
      </c>
      <c r="BJ901" s="6">
        <f t="shared" si="77"/>
        <v>0</v>
      </c>
      <c r="BK901" s="6">
        <f t="shared" si="78"/>
        <v>0</v>
      </c>
      <c r="BL901" s="6">
        <f t="shared" si="79"/>
        <v>0</v>
      </c>
      <c r="BM901" s="6">
        <f t="shared" si="80"/>
        <v>0</v>
      </c>
      <c r="BN901" s="6">
        <f t="shared" si="81"/>
        <v>0</v>
      </c>
      <c r="BP901" s="6">
        <f t="shared" si="82"/>
        <v>0</v>
      </c>
      <c r="BQ901" s="6" t="b">
        <f ca="1">IFERROR(__xludf.DUMMYFUNCTION("IF(AND(ISERROR(FILTER('Items by Team'!D$2:D3410,'Items by Team'!C$2:C3410 = D901,'Items by Team'!B$2:B3410 = B901)),NOT(A901=""Practice"")),TRUE,FALSE)"),FALSE)</f>
        <v>0</v>
      </c>
      <c r="BR901" s="6">
        <f t="shared" ca="1" si="83"/>
        <v>0</v>
      </c>
    </row>
    <row r="902" spans="1:70">
      <c r="A902" s="6"/>
      <c r="B902" s="6"/>
      <c r="C902" s="6"/>
      <c r="D902" s="6"/>
      <c r="E902" s="6"/>
      <c r="F902" s="6"/>
      <c r="G902" s="6"/>
      <c r="H902" s="6"/>
      <c r="I902" s="6"/>
      <c r="J902" s="6"/>
      <c r="K902" s="6"/>
      <c r="L902" s="6"/>
      <c r="M902" s="6"/>
      <c r="N902" s="6"/>
      <c r="O902" s="6"/>
      <c r="P902" s="6"/>
      <c r="R902" s="6"/>
      <c r="S902" s="6"/>
      <c r="T902" s="6"/>
      <c r="U902" s="6"/>
      <c r="V902" s="6"/>
      <c r="W902" s="6"/>
      <c r="X902" s="6"/>
      <c r="Y902" s="6"/>
      <c r="Z902" s="6"/>
      <c r="AA902" s="6"/>
      <c r="AB902" s="6"/>
      <c r="AD902" s="6"/>
      <c r="AE902" s="6"/>
      <c r="AF902" s="6"/>
      <c r="AG902" s="6"/>
      <c r="AH902" s="6"/>
      <c r="AI902" s="6"/>
      <c r="AK902" s="6"/>
      <c r="AL902" s="6"/>
      <c r="AM902" s="6"/>
      <c r="AN902" s="6"/>
      <c r="AO902" s="6"/>
      <c r="AP902" s="6"/>
      <c r="AQ902" s="6"/>
      <c r="AR902" s="6"/>
      <c r="AS902" s="15"/>
      <c r="AT902" s="6" t="str">
        <f ca="1">IFERROR(__xludf.DUMMYFUNCTION("""COMPUTED_VALUE"""),"#N/A")</f>
        <v>#N/A</v>
      </c>
      <c r="AU902" s="6" t="str">
        <f ca="1">IFERROR(__xludf.DUMMYFUNCTION("""COMPUTED_VALUE"""),"FALSE")</f>
        <v>FALSE</v>
      </c>
      <c r="AW902" s="6">
        <f t="shared" si="64"/>
        <v>0</v>
      </c>
      <c r="AX902" s="6">
        <f t="shared" si="65"/>
        <v>0</v>
      </c>
      <c r="AY902" s="6">
        <f t="shared" si="66"/>
        <v>0</v>
      </c>
      <c r="AZ902" s="9" t="str">
        <f t="shared" si="67"/>
        <v/>
      </c>
      <c r="BA902" s="6">
        <f t="shared" si="68"/>
        <v>0</v>
      </c>
      <c r="BB902" s="6">
        <f t="shared" si="69"/>
        <v>0</v>
      </c>
      <c r="BC902" s="9" t="str">
        <f t="shared" si="70"/>
        <v/>
      </c>
      <c r="BD902" s="6">
        <f t="shared" si="71"/>
        <v>0</v>
      </c>
      <c r="BE902" s="6">
        <f t="shared" si="72"/>
        <v>0</v>
      </c>
      <c r="BF902" s="9" t="str">
        <f t="shared" si="73"/>
        <v/>
      </c>
      <c r="BG902" s="6">
        <f t="shared" si="74"/>
        <v>0</v>
      </c>
      <c r="BH902" s="6">
        <f t="shared" si="75"/>
        <v>0</v>
      </c>
      <c r="BI902" s="9" t="str">
        <f t="shared" si="76"/>
        <v/>
      </c>
      <c r="BJ902" s="6">
        <f t="shared" si="77"/>
        <v>0</v>
      </c>
      <c r="BK902" s="6">
        <f t="shared" si="78"/>
        <v>0</v>
      </c>
      <c r="BL902" s="6">
        <f t="shared" si="79"/>
        <v>0</v>
      </c>
      <c r="BM902" s="6">
        <f t="shared" si="80"/>
        <v>0</v>
      </c>
      <c r="BN902" s="6">
        <f t="shared" si="81"/>
        <v>0</v>
      </c>
      <c r="BP902" s="6">
        <f t="shared" si="82"/>
        <v>0</v>
      </c>
      <c r="BQ902" s="6" t="b">
        <f ca="1">IFERROR(__xludf.DUMMYFUNCTION("IF(AND(ISERROR(FILTER('Items by Team'!D$2:D3410,'Items by Team'!C$2:C3410 = D902,'Items by Team'!B$2:B3410 = B902)),NOT(A902=""Practice"")),TRUE,FALSE)"),FALSE)</f>
        <v>0</v>
      </c>
      <c r="BR902" s="6">
        <f t="shared" ca="1" si="83"/>
        <v>0</v>
      </c>
    </row>
    <row r="903" spans="1:70">
      <c r="A903" s="6"/>
      <c r="B903" s="6"/>
      <c r="C903" s="6"/>
      <c r="D903" s="6"/>
      <c r="E903" s="6"/>
      <c r="F903" s="6"/>
      <c r="G903" s="6"/>
      <c r="H903" s="6"/>
      <c r="I903" s="6"/>
      <c r="J903" s="6"/>
      <c r="K903" s="6"/>
      <c r="L903" s="6"/>
      <c r="M903" s="6"/>
      <c r="N903" s="6"/>
      <c r="O903" s="6"/>
      <c r="P903" s="6"/>
      <c r="R903" s="6"/>
      <c r="S903" s="6"/>
      <c r="T903" s="6"/>
      <c r="U903" s="6"/>
      <c r="V903" s="6"/>
      <c r="W903" s="6"/>
      <c r="X903" s="6"/>
      <c r="Y903" s="6"/>
      <c r="Z903" s="6"/>
      <c r="AA903" s="6"/>
      <c r="AB903" s="6"/>
      <c r="AD903" s="6"/>
      <c r="AE903" s="6"/>
      <c r="AF903" s="6"/>
      <c r="AG903" s="6"/>
      <c r="AH903" s="6"/>
      <c r="AI903" s="6"/>
      <c r="AK903" s="6"/>
      <c r="AL903" s="6"/>
      <c r="AM903" s="6"/>
      <c r="AN903" s="6"/>
      <c r="AO903" s="6"/>
      <c r="AP903" s="6"/>
      <c r="AQ903" s="6"/>
      <c r="AR903" s="6"/>
      <c r="AS903" s="15"/>
      <c r="AT903" s="6" t="str">
        <f ca="1">IFERROR(__xludf.DUMMYFUNCTION("""COMPUTED_VALUE"""),"#N/A")</f>
        <v>#N/A</v>
      </c>
      <c r="AU903" s="6" t="str">
        <f ca="1">IFERROR(__xludf.DUMMYFUNCTION("""COMPUTED_VALUE"""),"FALSE")</f>
        <v>FALSE</v>
      </c>
      <c r="AW903" s="6">
        <f t="shared" si="64"/>
        <v>0</v>
      </c>
      <c r="AX903" s="6">
        <f t="shared" si="65"/>
        <v>0</v>
      </c>
      <c r="AY903" s="6">
        <f t="shared" si="66"/>
        <v>0</v>
      </c>
      <c r="AZ903" s="9" t="str">
        <f t="shared" si="67"/>
        <v/>
      </c>
      <c r="BA903" s="6">
        <f t="shared" si="68"/>
        <v>0</v>
      </c>
      <c r="BB903" s="6">
        <f t="shared" si="69"/>
        <v>0</v>
      </c>
      <c r="BC903" s="9" t="str">
        <f t="shared" si="70"/>
        <v/>
      </c>
      <c r="BD903" s="6">
        <f t="shared" si="71"/>
        <v>0</v>
      </c>
      <c r="BE903" s="6">
        <f t="shared" si="72"/>
        <v>0</v>
      </c>
      <c r="BF903" s="9" t="str">
        <f t="shared" si="73"/>
        <v/>
      </c>
      <c r="BG903" s="6">
        <f t="shared" si="74"/>
        <v>0</v>
      </c>
      <c r="BH903" s="6">
        <f t="shared" si="75"/>
        <v>0</v>
      </c>
      <c r="BI903" s="9" t="str">
        <f t="shared" si="76"/>
        <v/>
      </c>
      <c r="BJ903" s="6">
        <f t="shared" si="77"/>
        <v>0</v>
      </c>
      <c r="BK903" s="6">
        <f t="shared" si="78"/>
        <v>0</v>
      </c>
      <c r="BL903" s="6">
        <f t="shared" si="79"/>
        <v>0</v>
      </c>
      <c r="BM903" s="6">
        <f t="shared" si="80"/>
        <v>0</v>
      </c>
      <c r="BN903" s="6">
        <f t="shared" si="81"/>
        <v>0</v>
      </c>
      <c r="BP903" s="6">
        <f t="shared" si="82"/>
        <v>0</v>
      </c>
      <c r="BQ903" s="6" t="b">
        <f ca="1">IFERROR(__xludf.DUMMYFUNCTION("IF(AND(ISERROR(FILTER('Items by Team'!D$2:D3410,'Items by Team'!C$2:C3410 = D903,'Items by Team'!B$2:B3410 = B903)),NOT(A903=""Practice"")),TRUE,FALSE)"),FALSE)</f>
        <v>0</v>
      </c>
      <c r="BR903" s="6">
        <f t="shared" ca="1" si="83"/>
        <v>0</v>
      </c>
    </row>
    <row r="904" spans="1:70">
      <c r="A904" s="6"/>
      <c r="B904" s="6"/>
      <c r="C904" s="6"/>
      <c r="D904" s="6"/>
      <c r="E904" s="6"/>
      <c r="F904" s="6"/>
      <c r="G904" s="6"/>
      <c r="H904" s="6"/>
      <c r="I904" s="6"/>
      <c r="J904" s="6"/>
      <c r="K904" s="6"/>
      <c r="L904" s="6"/>
      <c r="M904" s="6"/>
      <c r="N904" s="6"/>
      <c r="O904" s="6"/>
      <c r="P904" s="6"/>
      <c r="R904" s="6"/>
      <c r="S904" s="6"/>
      <c r="T904" s="6"/>
      <c r="U904" s="6"/>
      <c r="V904" s="6"/>
      <c r="W904" s="6"/>
      <c r="X904" s="6"/>
      <c r="Y904" s="6"/>
      <c r="Z904" s="6"/>
      <c r="AA904" s="6"/>
      <c r="AB904" s="6"/>
      <c r="AD904" s="6"/>
      <c r="AE904" s="6"/>
      <c r="AF904" s="6"/>
      <c r="AG904" s="6"/>
      <c r="AH904" s="6"/>
      <c r="AI904" s="6"/>
      <c r="AK904" s="6"/>
      <c r="AL904" s="6"/>
      <c r="AM904" s="6"/>
      <c r="AN904" s="6"/>
      <c r="AO904" s="6"/>
      <c r="AP904" s="6"/>
      <c r="AQ904" s="6"/>
      <c r="AR904" s="6"/>
      <c r="AS904" s="15"/>
      <c r="AT904" s="6" t="str">
        <f ca="1">IFERROR(__xludf.DUMMYFUNCTION("""COMPUTED_VALUE"""),"#N/A")</f>
        <v>#N/A</v>
      </c>
      <c r="AU904" s="6" t="str">
        <f ca="1">IFERROR(__xludf.DUMMYFUNCTION("""COMPUTED_VALUE"""),"FALSE")</f>
        <v>FALSE</v>
      </c>
      <c r="AW904" s="6">
        <f t="shared" si="64"/>
        <v>0</v>
      </c>
      <c r="AX904" s="6">
        <f t="shared" si="65"/>
        <v>0</v>
      </c>
      <c r="AY904" s="6">
        <f t="shared" si="66"/>
        <v>0</v>
      </c>
      <c r="AZ904" s="9" t="str">
        <f t="shared" si="67"/>
        <v/>
      </c>
      <c r="BA904" s="6">
        <f t="shared" si="68"/>
        <v>0</v>
      </c>
      <c r="BB904" s="6">
        <f t="shared" si="69"/>
        <v>0</v>
      </c>
      <c r="BC904" s="9" t="str">
        <f t="shared" si="70"/>
        <v/>
      </c>
      <c r="BD904" s="6">
        <f t="shared" si="71"/>
        <v>0</v>
      </c>
      <c r="BE904" s="6">
        <f t="shared" si="72"/>
        <v>0</v>
      </c>
      <c r="BF904" s="9" t="str">
        <f t="shared" si="73"/>
        <v/>
      </c>
      <c r="BG904" s="6">
        <f t="shared" si="74"/>
        <v>0</v>
      </c>
      <c r="BH904" s="6">
        <f t="shared" si="75"/>
        <v>0</v>
      </c>
      <c r="BI904" s="9" t="str">
        <f t="shared" si="76"/>
        <v/>
      </c>
      <c r="BJ904" s="6">
        <f t="shared" si="77"/>
        <v>0</v>
      </c>
      <c r="BK904" s="6">
        <f t="shared" si="78"/>
        <v>0</v>
      </c>
      <c r="BL904" s="6">
        <f t="shared" si="79"/>
        <v>0</v>
      </c>
      <c r="BM904" s="6">
        <f t="shared" si="80"/>
        <v>0</v>
      </c>
      <c r="BN904" s="6">
        <f t="shared" si="81"/>
        <v>0</v>
      </c>
      <c r="BP904" s="6">
        <f t="shared" si="82"/>
        <v>0</v>
      </c>
      <c r="BQ904" s="6" t="b">
        <f ca="1">IFERROR(__xludf.DUMMYFUNCTION("IF(AND(ISERROR(FILTER('Items by Team'!D$2:D3410,'Items by Team'!C$2:C3410 = D904,'Items by Team'!B$2:B3410 = B904)),NOT(A904=""Practice"")),TRUE,FALSE)"),FALSE)</f>
        <v>0</v>
      </c>
      <c r="BR904" s="6">
        <f t="shared" ca="1" si="83"/>
        <v>0</v>
      </c>
    </row>
    <row r="905" spans="1:70">
      <c r="A905" s="6"/>
      <c r="B905" s="6"/>
      <c r="C905" s="6"/>
      <c r="D905" s="6"/>
      <c r="E905" s="6"/>
      <c r="F905" s="6"/>
      <c r="G905" s="6"/>
      <c r="H905" s="6"/>
      <c r="I905" s="6"/>
      <c r="J905" s="6"/>
      <c r="K905" s="6"/>
      <c r="L905" s="6"/>
      <c r="M905" s="6"/>
      <c r="N905" s="6"/>
      <c r="O905" s="6"/>
      <c r="P905" s="6"/>
      <c r="R905" s="6"/>
      <c r="S905" s="6"/>
      <c r="T905" s="6"/>
      <c r="U905" s="6"/>
      <c r="V905" s="6"/>
      <c r="W905" s="6"/>
      <c r="X905" s="6"/>
      <c r="Y905" s="6"/>
      <c r="Z905" s="6"/>
      <c r="AA905" s="6"/>
      <c r="AB905" s="6"/>
      <c r="AD905" s="6"/>
      <c r="AE905" s="6"/>
      <c r="AF905" s="6"/>
      <c r="AG905" s="6"/>
      <c r="AH905" s="6"/>
      <c r="AI905" s="6"/>
      <c r="AK905" s="6"/>
      <c r="AL905" s="6"/>
      <c r="AM905" s="6"/>
      <c r="AN905" s="6"/>
      <c r="AO905" s="6"/>
      <c r="AP905" s="6"/>
      <c r="AQ905" s="6"/>
      <c r="AR905" s="6"/>
      <c r="AS905" s="15"/>
      <c r="AT905" s="6" t="str">
        <f ca="1">IFERROR(__xludf.DUMMYFUNCTION("""COMPUTED_VALUE"""),"#N/A")</f>
        <v>#N/A</v>
      </c>
      <c r="AU905" s="6" t="str">
        <f ca="1">IFERROR(__xludf.DUMMYFUNCTION("""COMPUTED_VALUE"""),"FALSE")</f>
        <v>FALSE</v>
      </c>
      <c r="AW905" s="6">
        <f t="shared" si="64"/>
        <v>0</v>
      </c>
      <c r="AX905" s="6">
        <f t="shared" si="65"/>
        <v>0</v>
      </c>
      <c r="AY905" s="6">
        <f t="shared" si="66"/>
        <v>0</v>
      </c>
      <c r="AZ905" s="9" t="str">
        <f t="shared" si="67"/>
        <v/>
      </c>
      <c r="BA905" s="6">
        <f t="shared" si="68"/>
        <v>0</v>
      </c>
      <c r="BB905" s="6">
        <f t="shared" si="69"/>
        <v>0</v>
      </c>
      <c r="BC905" s="9" t="str">
        <f t="shared" si="70"/>
        <v/>
      </c>
      <c r="BD905" s="6">
        <f t="shared" si="71"/>
        <v>0</v>
      </c>
      <c r="BE905" s="6">
        <f t="shared" si="72"/>
        <v>0</v>
      </c>
      <c r="BF905" s="9" t="str">
        <f t="shared" si="73"/>
        <v/>
      </c>
      <c r="BG905" s="6">
        <f t="shared" si="74"/>
        <v>0</v>
      </c>
      <c r="BH905" s="6">
        <f t="shared" si="75"/>
        <v>0</v>
      </c>
      <c r="BI905" s="9" t="str">
        <f t="shared" si="76"/>
        <v/>
      </c>
      <c r="BJ905" s="6">
        <f t="shared" si="77"/>
        <v>0</v>
      </c>
      <c r="BK905" s="6">
        <f t="shared" si="78"/>
        <v>0</v>
      </c>
      <c r="BL905" s="6">
        <f t="shared" si="79"/>
        <v>0</v>
      </c>
      <c r="BM905" s="6">
        <f t="shared" si="80"/>
        <v>0</v>
      </c>
      <c r="BN905" s="6">
        <f t="shared" si="81"/>
        <v>0</v>
      </c>
      <c r="BP905" s="6">
        <f t="shared" si="82"/>
        <v>0</v>
      </c>
      <c r="BQ905" s="6" t="b">
        <f ca="1">IFERROR(__xludf.DUMMYFUNCTION("IF(AND(ISERROR(FILTER('Items by Team'!D$2:D3410,'Items by Team'!C$2:C3410 = D905,'Items by Team'!B$2:B3410 = B905)),NOT(A905=""Practice"")),TRUE,FALSE)"),FALSE)</f>
        <v>0</v>
      </c>
      <c r="BR905" s="6">
        <f t="shared" ca="1" si="83"/>
        <v>0</v>
      </c>
    </row>
    <row r="906" spans="1:70">
      <c r="A906" s="6"/>
      <c r="B906" s="6"/>
      <c r="C906" s="6"/>
      <c r="D906" s="6"/>
      <c r="E906" s="6"/>
      <c r="F906" s="6"/>
      <c r="G906" s="6"/>
      <c r="H906" s="6"/>
      <c r="I906" s="6"/>
      <c r="J906" s="6"/>
      <c r="K906" s="6"/>
      <c r="L906" s="6"/>
      <c r="M906" s="6"/>
      <c r="N906" s="6"/>
      <c r="O906" s="6"/>
      <c r="P906" s="6"/>
      <c r="R906" s="6"/>
      <c r="S906" s="6"/>
      <c r="T906" s="6"/>
      <c r="U906" s="6"/>
      <c r="V906" s="6"/>
      <c r="W906" s="6"/>
      <c r="X906" s="6"/>
      <c r="Y906" s="6"/>
      <c r="Z906" s="6"/>
      <c r="AA906" s="6"/>
      <c r="AB906" s="6"/>
      <c r="AD906" s="6"/>
      <c r="AE906" s="6"/>
      <c r="AF906" s="6"/>
      <c r="AG906" s="6"/>
      <c r="AH906" s="6"/>
      <c r="AI906" s="6"/>
      <c r="AK906" s="6"/>
      <c r="AL906" s="6"/>
      <c r="AM906" s="6"/>
      <c r="AN906" s="6"/>
      <c r="AO906" s="6"/>
      <c r="AP906" s="6"/>
      <c r="AQ906" s="6"/>
      <c r="AR906" s="6"/>
      <c r="AS906" s="15"/>
      <c r="AT906" s="6" t="str">
        <f ca="1">IFERROR(__xludf.DUMMYFUNCTION("""COMPUTED_VALUE"""),"#N/A")</f>
        <v>#N/A</v>
      </c>
      <c r="AU906" s="6" t="str">
        <f ca="1">IFERROR(__xludf.DUMMYFUNCTION("""COMPUTED_VALUE"""),"FALSE")</f>
        <v>FALSE</v>
      </c>
      <c r="AW906" s="6">
        <f t="shared" si="64"/>
        <v>0</v>
      </c>
      <c r="AX906" s="6">
        <f t="shared" si="65"/>
        <v>0</v>
      </c>
      <c r="AY906" s="6">
        <f t="shared" si="66"/>
        <v>0</v>
      </c>
      <c r="AZ906" s="9" t="str">
        <f t="shared" si="67"/>
        <v/>
      </c>
      <c r="BA906" s="6">
        <f t="shared" si="68"/>
        <v>0</v>
      </c>
      <c r="BB906" s="6">
        <f t="shared" si="69"/>
        <v>0</v>
      </c>
      <c r="BC906" s="9" t="str">
        <f t="shared" si="70"/>
        <v/>
      </c>
      <c r="BD906" s="6">
        <f t="shared" si="71"/>
        <v>0</v>
      </c>
      <c r="BE906" s="6">
        <f t="shared" si="72"/>
        <v>0</v>
      </c>
      <c r="BF906" s="9" t="str">
        <f t="shared" si="73"/>
        <v/>
      </c>
      <c r="BG906" s="6">
        <f t="shared" si="74"/>
        <v>0</v>
      </c>
      <c r="BH906" s="6">
        <f t="shared" si="75"/>
        <v>0</v>
      </c>
      <c r="BI906" s="9" t="str">
        <f t="shared" si="76"/>
        <v/>
      </c>
      <c r="BJ906" s="6">
        <f t="shared" si="77"/>
        <v>0</v>
      </c>
      <c r="BK906" s="6">
        <f t="shared" si="78"/>
        <v>0</v>
      </c>
      <c r="BL906" s="6">
        <f t="shared" si="79"/>
        <v>0</v>
      </c>
      <c r="BM906" s="6">
        <f t="shared" si="80"/>
        <v>0</v>
      </c>
      <c r="BN906" s="6">
        <f t="shared" si="81"/>
        <v>0</v>
      </c>
      <c r="BP906" s="6">
        <f t="shared" si="82"/>
        <v>0</v>
      </c>
      <c r="BQ906" s="6" t="b">
        <f ca="1">IFERROR(__xludf.DUMMYFUNCTION("IF(AND(ISERROR(FILTER('Items by Team'!D$2:D3410,'Items by Team'!C$2:C3410 = D906,'Items by Team'!B$2:B3410 = B906)),NOT(A906=""Practice"")),TRUE,FALSE)"),FALSE)</f>
        <v>0</v>
      </c>
      <c r="BR906" s="6">
        <f t="shared" ca="1" si="83"/>
        <v>0</v>
      </c>
    </row>
    <row r="907" spans="1:70">
      <c r="A907" s="6"/>
      <c r="B907" s="6"/>
      <c r="C907" s="6"/>
      <c r="D907" s="6"/>
      <c r="E907" s="6"/>
      <c r="F907" s="6"/>
      <c r="G907" s="6"/>
      <c r="H907" s="6"/>
      <c r="I907" s="6"/>
      <c r="J907" s="6"/>
      <c r="K907" s="6"/>
      <c r="L907" s="6"/>
      <c r="M907" s="6"/>
      <c r="N907" s="6"/>
      <c r="O907" s="6"/>
      <c r="P907" s="6"/>
      <c r="R907" s="6"/>
      <c r="S907" s="6"/>
      <c r="T907" s="6"/>
      <c r="U907" s="6"/>
      <c r="V907" s="6"/>
      <c r="W907" s="6"/>
      <c r="X907" s="6"/>
      <c r="Y907" s="6"/>
      <c r="Z907" s="6"/>
      <c r="AA907" s="6"/>
      <c r="AB907" s="6"/>
      <c r="AD907" s="6"/>
      <c r="AE907" s="6"/>
      <c r="AF907" s="6"/>
      <c r="AG907" s="6"/>
      <c r="AH907" s="6"/>
      <c r="AI907" s="6"/>
      <c r="AK907" s="6"/>
      <c r="AL907" s="6"/>
      <c r="AM907" s="6"/>
      <c r="AN907" s="6"/>
      <c r="AO907" s="6"/>
      <c r="AP907" s="6"/>
      <c r="AQ907" s="6"/>
      <c r="AR907" s="6"/>
      <c r="AS907" s="15"/>
      <c r="AT907" s="6" t="str">
        <f ca="1">IFERROR(__xludf.DUMMYFUNCTION("""COMPUTED_VALUE"""),"#N/A")</f>
        <v>#N/A</v>
      </c>
      <c r="AU907" s="6" t="str">
        <f ca="1">IFERROR(__xludf.DUMMYFUNCTION("""COMPUTED_VALUE"""),"FALSE")</f>
        <v>FALSE</v>
      </c>
      <c r="AW907" s="6">
        <f t="shared" si="64"/>
        <v>0</v>
      </c>
      <c r="AX907" s="6">
        <f t="shared" si="65"/>
        <v>0</v>
      </c>
      <c r="AY907" s="6">
        <f t="shared" si="66"/>
        <v>0</v>
      </c>
      <c r="AZ907" s="9" t="str">
        <f t="shared" si="67"/>
        <v/>
      </c>
      <c r="BA907" s="6">
        <f t="shared" si="68"/>
        <v>0</v>
      </c>
      <c r="BB907" s="6">
        <f t="shared" si="69"/>
        <v>0</v>
      </c>
      <c r="BC907" s="9" t="str">
        <f t="shared" si="70"/>
        <v/>
      </c>
      <c r="BD907" s="6">
        <f t="shared" si="71"/>
        <v>0</v>
      </c>
      <c r="BE907" s="6">
        <f t="shared" si="72"/>
        <v>0</v>
      </c>
      <c r="BF907" s="9" t="str">
        <f t="shared" si="73"/>
        <v/>
      </c>
      <c r="BG907" s="6">
        <f t="shared" si="74"/>
        <v>0</v>
      </c>
      <c r="BH907" s="6">
        <f t="shared" si="75"/>
        <v>0</v>
      </c>
      <c r="BI907" s="9" t="str">
        <f t="shared" si="76"/>
        <v/>
      </c>
      <c r="BJ907" s="6">
        <f t="shared" si="77"/>
        <v>0</v>
      </c>
      <c r="BK907" s="6">
        <f t="shared" si="78"/>
        <v>0</v>
      </c>
      <c r="BL907" s="6">
        <f t="shared" si="79"/>
        <v>0</v>
      </c>
      <c r="BM907" s="6">
        <f t="shared" si="80"/>
        <v>0</v>
      </c>
      <c r="BN907" s="6">
        <f t="shared" si="81"/>
        <v>0</v>
      </c>
      <c r="BP907" s="6">
        <f t="shared" si="82"/>
        <v>0</v>
      </c>
      <c r="BQ907" s="6" t="b">
        <f ca="1">IFERROR(__xludf.DUMMYFUNCTION("IF(AND(ISERROR(FILTER('Items by Team'!D$2:D3410,'Items by Team'!C$2:C3410 = D907,'Items by Team'!B$2:B3410 = B907)),NOT(A907=""Practice"")),TRUE,FALSE)"),FALSE)</f>
        <v>0</v>
      </c>
      <c r="BR907" s="6">
        <f t="shared" ca="1" si="83"/>
        <v>0</v>
      </c>
    </row>
    <row r="908" spans="1:70">
      <c r="A908" s="6"/>
      <c r="B908" s="6"/>
      <c r="C908" s="6"/>
      <c r="D908" s="6"/>
      <c r="E908" s="6"/>
      <c r="F908" s="6"/>
      <c r="G908" s="6"/>
      <c r="H908" s="6"/>
      <c r="I908" s="6"/>
      <c r="J908" s="6"/>
      <c r="K908" s="6"/>
      <c r="L908" s="6"/>
      <c r="M908" s="6"/>
      <c r="N908" s="6"/>
      <c r="O908" s="6"/>
      <c r="P908" s="6"/>
      <c r="R908" s="6"/>
      <c r="S908" s="6"/>
      <c r="T908" s="6"/>
      <c r="U908" s="6"/>
      <c r="V908" s="6"/>
      <c r="W908" s="6"/>
      <c r="X908" s="6"/>
      <c r="Y908" s="6"/>
      <c r="Z908" s="6"/>
      <c r="AA908" s="6"/>
      <c r="AB908" s="6"/>
      <c r="AD908" s="6"/>
      <c r="AE908" s="6"/>
      <c r="AF908" s="6"/>
      <c r="AG908" s="6"/>
      <c r="AH908" s="6"/>
      <c r="AI908" s="6"/>
      <c r="AK908" s="6"/>
      <c r="AL908" s="6"/>
      <c r="AM908" s="6"/>
      <c r="AN908" s="6"/>
      <c r="AO908" s="6"/>
      <c r="AP908" s="6"/>
      <c r="AQ908" s="6"/>
      <c r="AR908" s="6"/>
      <c r="AS908" s="15"/>
      <c r="AT908" s="6" t="str">
        <f ca="1">IFERROR(__xludf.DUMMYFUNCTION("""COMPUTED_VALUE"""),"#N/A")</f>
        <v>#N/A</v>
      </c>
      <c r="AU908" s="6" t="str">
        <f ca="1">IFERROR(__xludf.DUMMYFUNCTION("""COMPUTED_VALUE"""),"FALSE")</f>
        <v>FALSE</v>
      </c>
      <c r="AW908" s="6">
        <f t="shared" si="64"/>
        <v>0</v>
      </c>
      <c r="AX908" s="6">
        <f t="shared" si="65"/>
        <v>0</v>
      </c>
      <c r="AY908" s="6">
        <f t="shared" si="66"/>
        <v>0</v>
      </c>
      <c r="AZ908" s="9" t="str">
        <f t="shared" si="67"/>
        <v/>
      </c>
      <c r="BA908" s="6">
        <f t="shared" si="68"/>
        <v>0</v>
      </c>
      <c r="BB908" s="6">
        <f t="shared" si="69"/>
        <v>0</v>
      </c>
      <c r="BC908" s="9" t="str">
        <f t="shared" si="70"/>
        <v/>
      </c>
      <c r="BD908" s="6">
        <f t="shared" si="71"/>
        <v>0</v>
      </c>
      <c r="BE908" s="6">
        <f t="shared" si="72"/>
        <v>0</v>
      </c>
      <c r="BF908" s="9" t="str">
        <f t="shared" si="73"/>
        <v/>
      </c>
      <c r="BG908" s="6">
        <f t="shared" si="74"/>
        <v>0</v>
      </c>
      <c r="BH908" s="6">
        <f t="shared" si="75"/>
        <v>0</v>
      </c>
      <c r="BI908" s="9" t="str">
        <f t="shared" si="76"/>
        <v/>
      </c>
      <c r="BJ908" s="6">
        <f t="shared" si="77"/>
        <v>0</v>
      </c>
      <c r="BK908" s="6">
        <f t="shared" si="78"/>
        <v>0</v>
      </c>
      <c r="BL908" s="6">
        <f t="shared" si="79"/>
        <v>0</v>
      </c>
      <c r="BM908" s="6">
        <f t="shared" si="80"/>
        <v>0</v>
      </c>
      <c r="BN908" s="6">
        <f t="shared" si="81"/>
        <v>0</v>
      </c>
      <c r="BP908" s="6">
        <f t="shared" si="82"/>
        <v>0</v>
      </c>
      <c r="BQ908" s="6" t="b">
        <f ca="1">IFERROR(__xludf.DUMMYFUNCTION("IF(AND(ISERROR(FILTER('Items by Team'!D$2:D3410,'Items by Team'!C$2:C3410 = D908,'Items by Team'!B$2:B3410 = B908)),NOT(A908=""Practice"")),TRUE,FALSE)"),FALSE)</f>
        <v>0</v>
      </c>
      <c r="BR908" s="6">
        <f t="shared" ca="1" si="83"/>
        <v>0</v>
      </c>
    </row>
    <row r="909" spans="1:70">
      <c r="A909" s="6"/>
      <c r="B909" s="6"/>
      <c r="C909" s="6"/>
      <c r="D909" s="6"/>
      <c r="E909" s="6"/>
      <c r="F909" s="6"/>
      <c r="G909" s="6"/>
      <c r="H909" s="6"/>
      <c r="I909" s="6"/>
      <c r="J909" s="6"/>
      <c r="K909" s="6"/>
      <c r="L909" s="6"/>
      <c r="M909" s="6"/>
      <c r="N909" s="6"/>
      <c r="O909" s="6"/>
      <c r="P909" s="6"/>
      <c r="R909" s="6"/>
      <c r="S909" s="6"/>
      <c r="T909" s="6"/>
      <c r="U909" s="6"/>
      <c r="V909" s="6"/>
      <c r="W909" s="6"/>
      <c r="X909" s="6"/>
      <c r="Y909" s="6"/>
      <c r="Z909" s="6"/>
      <c r="AA909" s="6"/>
      <c r="AB909" s="6"/>
      <c r="AD909" s="6"/>
      <c r="AE909" s="6"/>
      <c r="AF909" s="6"/>
      <c r="AG909" s="6"/>
      <c r="AH909" s="6"/>
      <c r="AI909" s="6"/>
      <c r="AK909" s="6"/>
      <c r="AL909" s="6"/>
      <c r="AM909" s="6"/>
      <c r="AN909" s="6"/>
      <c r="AO909" s="6"/>
      <c r="AP909" s="6"/>
      <c r="AQ909" s="6"/>
      <c r="AR909" s="6"/>
      <c r="AS909" s="15"/>
      <c r="AT909" s="6" t="str">
        <f ca="1">IFERROR(__xludf.DUMMYFUNCTION("""COMPUTED_VALUE"""),"#N/A")</f>
        <v>#N/A</v>
      </c>
      <c r="AU909" s="6" t="str">
        <f ca="1">IFERROR(__xludf.DUMMYFUNCTION("""COMPUTED_VALUE"""),"FALSE")</f>
        <v>FALSE</v>
      </c>
      <c r="AW909" s="6">
        <f t="shared" si="64"/>
        <v>0</v>
      </c>
      <c r="AX909" s="6">
        <f t="shared" si="65"/>
        <v>0</v>
      </c>
      <c r="AY909" s="6">
        <f t="shared" si="66"/>
        <v>0</v>
      </c>
      <c r="AZ909" s="9" t="str">
        <f t="shared" si="67"/>
        <v/>
      </c>
      <c r="BA909" s="6">
        <f t="shared" si="68"/>
        <v>0</v>
      </c>
      <c r="BB909" s="6">
        <f t="shared" si="69"/>
        <v>0</v>
      </c>
      <c r="BC909" s="9" t="str">
        <f t="shared" si="70"/>
        <v/>
      </c>
      <c r="BD909" s="6">
        <f t="shared" si="71"/>
        <v>0</v>
      </c>
      <c r="BE909" s="6">
        <f t="shared" si="72"/>
        <v>0</v>
      </c>
      <c r="BF909" s="9" t="str">
        <f t="shared" si="73"/>
        <v/>
      </c>
      <c r="BG909" s="6">
        <f t="shared" si="74"/>
        <v>0</v>
      </c>
      <c r="BH909" s="6">
        <f t="shared" si="75"/>
        <v>0</v>
      </c>
      <c r="BI909" s="9" t="str">
        <f t="shared" si="76"/>
        <v/>
      </c>
      <c r="BJ909" s="6">
        <f t="shared" si="77"/>
        <v>0</v>
      </c>
      <c r="BK909" s="6">
        <f t="shared" si="78"/>
        <v>0</v>
      </c>
      <c r="BL909" s="6">
        <f t="shared" si="79"/>
        <v>0</v>
      </c>
      <c r="BM909" s="6">
        <f t="shared" si="80"/>
        <v>0</v>
      </c>
      <c r="BN909" s="6">
        <f t="shared" si="81"/>
        <v>0</v>
      </c>
      <c r="BP909" s="6">
        <f t="shared" si="82"/>
        <v>0</v>
      </c>
      <c r="BQ909" s="6" t="b">
        <f ca="1">IFERROR(__xludf.DUMMYFUNCTION("IF(AND(ISERROR(FILTER('Items by Team'!D$2:D3410,'Items by Team'!C$2:C3410 = D909,'Items by Team'!B$2:B3410 = B909)),NOT(A909=""Practice"")),TRUE,FALSE)"),FALSE)</f>
        <v>0</v>
      </c>
      <c r="BR909" s="6">
        <f t="shared" ca="1" si="83"/>
        <v>0</v>
      </c>
    </row>
    <row r="910" spans="1:70">
      <c r="A910" s="6"/>
      <c r="B910" s="6"/>
      <c r="C910" s="6"/>
      <c r="D910" s="6"/>
      <c r="E910" s="6"/>
      <c r="F910" s="6"/>
      <c r="G910" s="6"/>
      <c r="H910" s="6"/>
      <c r="I910" s="6"/>
      <c r="J910" s="6"/>
      <c r="K910" s="6"/>
      <c r="L910" s="6"/>
      <c r="M910" s="6"/>
      <c r="N910" s="6"/>
      <c r="O910" s="6"/>
      <c r="P910" s="6"/>
      <c r="R910" s="6"/>
      <c r="S910" s="6"/>
      <c r="T910" s="6"/>
      <c r="U910" s="6"/>
      <c r="V910" s="6"/>
      <c r="W910" s="6"/>
      <c r="X910" s="6"/>
      <c r="Y910" s="6"/>
      <c r="Z910" s="6"/>
      <c r="AA910" s="6"/>
      <c r="AB910" s="6"/>
      <c r="AD910" s="6"/>
      <c r="AE910" s="6"/>
      <c r="AF910" s="6"/>
      <c r="AG910" s="6"/>
      <c r="AH910" s="6"/>
      <c r="AI910" s="6"/>
      <c r="AK910" s="6"/>
      <c r="AL910" s="6"/>
      <c r="AM910" s="6"/>
      <c r="AN910" s="6"/>
      <c r="AO910" s="6"/>
      <c r="AP910" s="6"/>
      <c r="AQ910" s="6"/>
      <c r="AR910" s="6"/>
      <c r="AS910" s="15"/>
      <c r="AT910" s="6" t="str">
        <f ca="1">IFERROR(__xludf.DUMMYFUNCTION("""COMPUTED_VALUE"""),"#N/A")</f>
        <v>#N/A</v>
      </c>
      <c r="AU910" s="6" t="str">
        <f ca="1">IFERROR(__xludf.DUMMYFUNCTION("""COMPUTED_VALUE"""),"FALSE")</f>
        <v>FALSE</v>
      </c>
      <c r="AW910" s="6">
        <f t="shared" si="64"/>
        <v>0</v>
      </c>
      <c r="AX910" s="6">
        <f t="shared" si="65"/>
        <v>0</v>
      </c>
      <c r="AY910" s="6">
        <f t="shared" si="66"/>
        <v>0</v>
      </c>
      <c r="AZ910" s="9" t="str">
        <f t="shared" si="67"/>
        <v/>
      </c>
      <c r="BA910" s="6">
        <f t="shared" si="68"/>
        <v>0</v>
      </c>
      <c r="BB910" s="6">
        <f t="shared" si="69"/>
        <v>0</v>
      </c>
      <c r="BC910" s="9" t="str">
        <f t="shared" si="70"/>
        <v/>
      </c>
      <c r="BD910" s="6">
        <f t="shared" si="71"/>
        <v>0</v>
      </c>
      <c r="BE910" s="6">
        <f t="shared" si="72"/>
        <v>0</v>
      </c>
      <c r="BF910" s="9" t="str">
        <f t="shared" si="73"/>
        <v/>
      </c>
      <c r="BG910" s="6">
        <f t="shared" si="74"/>
        <v>0</v>
      </c>
      <c r="BH910" s="6">
        <f t="shared" si="75"/>
        <v>0</v>
      </c>
      <c r="BI910" s="9" t="str">
        <f t="shared" si="76"/>
        <v/>
      </c>
      <c r="BJ910" s="6">
        <f t="shared" si="77"/>
        <v>0</v>
      </c>
      <c r="BK910" s="6">
        <f t="shared" si="78"/>
        <v>0</v>
      </c>
      <c r="BL910" s="6">
        <f t="shared" si="79"/>
        <v>0</v>
      </c>
      <c r="BM910" s="6">
        <f t="shared" si="80"/>
        <v>0</v>
      </c>
      <c r="BN910" s="6">
        <f t="shared" si="81"/>
        <v>0</v>
      </c>
      <c r="BP910" s="6">
        <f t="shared" si="82"/>
        <v>0</v>
      </c>
      <c r="BQ910" s="6" t="b">
        <f ca="1">IFERROR(__xludf.DUMMYFUNCTION("IF(AND(ISERROR(FILTER('Items by Team'!D$2:D3410,'Items by Team'!C$2:C3410 = D910,'Items by Team'!B$2:B3410 = B910)),NOT(A910=""Practice"")),TRUE,FALSE)"),FALSE)</f>
        <v>0</v>
      </c>
      <c r="BR910" s="6">
        <f t="shared" ca="1" si="83"/>
        <v>0</v>
      </c>
    </row>
    <row r="911" spans="1:70">
      <c r="A911" s="6"/>
      <c r="B911" s="6"/>
      <c r="C911" s="6"/>
      <c r="D911" s="6"/>
      <c r="E911" s="6"/>
      <c r="F911" s="6"/>
      <c r="G911" s="6"/>
      <c r="H911" s="6"/>
      <c r="I911" s="6"/>
      <c r="J911" s="6"/>
      <c r="K911" s="6"/>
      <c r="L911" s="6"/>
      <c r="M911" s="6"/>
      <c r="N911" s="6"/>
      <c r="O911" s="6"/>
      <c r="P911" s="6"/>
      <c r="R911" s="6"/>
      <c r="S911" s="6"/>
      <c r="T911" s="6"/>
      <c r="U911" s="6"/>
      <c r="V911" s="6"/>
      <c r="W911" s="6"/>
      <c r="X911" s="6"/>
      <c r="Y911" s="6"/>
      <c r="Z911" s="6"/>
      <c r="AA911" s="6"/>
      <c r="AB911" s="6"/>
      <c r="AD911" s="6"/>
      <c r="AE911" s="6"/>
      <c r="AF911" s="6"/>
      <c r="AG911" s="6"/>
      <c r="AH911" s="6"/>
      <c r="AI911" s="6"/>
      <c r="AK911" s="6"/>
      <c r="AL911" s="6"/>
      <c r="AM911" s="6"/>
      <c r="AN911" s="6"/>
      <c r="AO911" s="6"/>
      <c r="AP911" s="6"/>
      <c r="AQ911" s="6"/>
      <c r="AR911" s="6"/>
      <c r="AS911" s="15"/>
      <c r="AT911" s="6" t="str">
        <f ca="1">IFERROR(__xludf.DUMMYFUNCTION("""COMPUTED_VALUE"""),"#N/A")</f>
        <v>#N/A</v>
      </c>
      <c r="AU911" s="6" t="str">
        <f ca="1">IFERROR(__xludf.DUMMYFUNCTION("""COMPUTED_VALUE"""),"FALSE")</f>
        <v>FALSE</v>
      </c>
      <c r="AW911" s="6">
        <f t="shared" si="64"/>
        <v>0</v>
      </c>
      <c r="AX911" s="6">
        <f t="shared" si="65"/>
        <v>0</v>
      </c>
      <c r="AY911" s="6">
        <f t="shared" si="66"/>
        <v>0</v>
      </c>
      <c r="AZ911" s="9" t="str">
        <f t="shared" si="67"/>
        <v/>
      </c>
      <c r="BA911" s="6">
        <f t="shared" si="68"/>
        <v>0</v>
      </c>
      <c r="BB911" s="6">
        <f t="shared" si="69"/>
        <v>0</v>
      </c>
      <c r="BC911" s="9" t="str">
        <f t="shared" si="70"/>
        <v/>
      </c>
      <c r="BD911" s="6">
        <f t="shared" si="71"/>
        <v>0</v>
      </c>
      <c r="BE911" s="6">
        <f t="shared" si="72"/>
        <v>0</v>
      </c>
      <c r="BF911" s="9" t="str">
        <f t="shared" si="73"/>
        <v/>
      </c>
      <c r="BG911" s="6">
        <f t="shared" si="74"/>
        <v>0</v>
      </c>
      <c r="BH911" s="6">
        <f t="shared" si="75"/>
        <v>0</v>
      </c>
      <c r="BI911" s="9" t="str">
        <f t="shared" si="76"/>
        <v/>
      </c>
      <c r="BJ911" s="6">
        <f t="shared" si="77"/>
        <v>0</v>
      </c>
      <c r="BK911" s="6">
        <f t="shared" si="78"/>
        <v>0</v>
      </c>
      <c r="BL911" s="6">
        <f t="shared" si="79"/>
        <v>0</v>
      </c>
      <c r="BM911" s="6">
        <f t="shared" si="80"/>
        <v>0</v>
      </c>
      <c r="BN911" s="6">
        <f t="shared" si="81"/>
        <v>0</v>
      </c>
      <c r="BP911" s="6">
        <f t="shared" si="82"/>
        <v>0</v>
      </c>
      <c r="BQ911" s="6" t="b">
        <f ca="1">IFERROR(__xludf.DUMMYFUNCTION("IF(AND(ISERROR(FILTER('Items by Team'!D$2:D3410,'Items by Team'!C$2:C3410 = D911,'Items by Team'!B$2:B3410 = B911)),NOT(A911=""Practice"")),TRUE,FALSE)"),FALSE)</f>
        <v>0</v>
      </c>
      <c r="BR911" s="6">
        <f t="shared" ca="1" si="83"/>
        <v>0</v>
      </c>
    </row>
    <row r="912" spans="1:70">
      <c r="A912" s="6"/>
      <c r="B912" s="6"/>
      <c r="C912" s="6"/>
      <c r="D912" s="6"/>
      <c r="E912" s="6"/>
      <c r="F912" s="6"/>
      <c r="G912" s="6"/>
      <c r="H912" s="6"/>
      <c r="I912" s="6"/>
      <c r="J912" s="6"/>
      <c r="K912" s="6"/>
      <c r="L912" s="6"/>
      <c r="M912" s="6"/>
      <c r="N912" s="6"/>
      <c r="O912" s="6"/>
      <c r="P912" s="6"/>
      <c r="R912" s="6"/>
      <c r="S912" s="6"/>
      <c r="T912" s="6"/>
      <c r="U912" s="6"/>
      <c r="V912" s="6"/>
      <c r="W912" s="6"/>
      <c r="X912" s="6"/>
      <c r="Y912" s="6"/>
      <c r="Z912" s="6"/>
      <c r="AA912" s="6"/>
      <c r="AB912" s="6"/>
      <c r="AD912" s="6"/>
      <c r="AE912" s="6"/>
      <c r="AF912" s="6"/>
      <c r="AG912" s="6"/>
      <c r="AH912" s="6"/>
      <c r="AI912" s="6"/>
      <c r="AK912" s="6"/>
      <c r="AL912" s="6"/>
      <c r="AM912" s="6"/>
      <c r="AN912" s="6"/>
      <c r="AO912" s="6"/>
      <c r="AP912" s="6"/>
      <c r="AQ912" s="6"/>
      <c r="AR912" s="6"/>
      <c r="AS912" s="15"/>
      <c r="AT912" s="6" t="str">
        <f ca="1">IFERROR(__xludf.DUMMYFUNCTION("""COMPUTED_VALUE"""),"#N/A")</f>
        <v>#N/A</v>
      </c>
      <c r="AU912" s="6" t="str">
        <f ca="1">IFERROR(__xludf.DUMMYFUNCTION("""COMPUTED_VALUE"""),"FALSE")</f>
        <v>FALSE</v>
      </c>
      <c r="AW912" s="6">
        <f t="shared" si="64"/>
        <v>0</v>
      </c>
      <c r="AX912" s="6">
        <f t="shared" si="65"/>
        <v>0</v>
      </c>
      <c r="AY912" s="6">
        <f t="shared" si="66"/>
        <v>0</v>
      </c>
      <c r="AZ912" s="9" t="str">
        <f t="shared" si="67"/>
        <v/>
      </c>
      <c r="BA912" s="6">
        <f t="shared" si="68"/>
        <v>0</v>
      </c>
      <c r="BB912" s="6">
        <f t="shared" si="69"/>
        <v>0</v>
      </c>
      <c r="BC912" s="9" t="str">
        <f t="shared" si="70"/>
        <v/>
      </c>
      <c r="BD912" s="6">
        <f t="shared" si="71"/>
        <v>0</v>
      </c>
      <c r="BE912" s="6">
        <f t="shared" si="72"/>
        <v>0</v>
      </c>
      <c r="BF912" s="9" t="str">
        <f t="shared" si="73"/>
        <v/>
      </c>
      <c r="BG912" s="6">
        <f t="shared" si="74"/>
        <v>0</v>
      </c>
      <c r="BH912" s="6">
        <f t="shared" si="75"/>
        <v>0</v>
      </c>
      <c r="BI912" s="9" t="str">
        <f t="shared" si="76"/>
        <v/>
      </c>
      <c r="BJ912" s="6">
        <f t="shared" si="77"/>
        <v>0</v>
      </c>
      <c r="BK912" s="6">
        <f t="shared" si="78"/>
        <v>0</v>
      </c>
      <c r="BL912" s="6">
        <f t="shared" si="79"/>
        <v>0</v>
      </c>
      <c r="BM912" s="6">
        <f t="shared" si="80"/>
        <v>0</v>
      </c>
      <c r="BN912" s="6">
        <f t="shared" si="81"/>
        <v>0</v>
      </c>
      <c r="BP912" s="6">
        <f t="shared" si="82"/>
        <v>0</v>
      </c>
      <c r="BQ912" s="6" t="b">
        <f ca="1">IFERROR(__xludf.DUMMYFUNCTION("IF(AND(ISERROR(FILTER('Items by Team'!D$2:D3410,'Items by Team'!C$2:C3410 = D912,'Items by Team'!B$2:B3410 = B912)),NOT(A912=""Practice"")),TRUE,FALSE)"),FALSE)</f>
        <v>0</v>
      </c>
      <c r="BR912" s="6">
        <f t="shared" ca="1" si="83"/>
        <v>0</v>
      </c>
    </row>
    <row r="913" spans="1:70">
      <c r="A913" s="6"/>
      <c r="B913" s="6"/>
      <c r="C913" s="6"/>
      <c r="D913" s="6"/>
      <c r="E913" s="6"/>
      <c r="F913" s="6"/>
      <c r="G913" s="6"/>
      <c r="H913" s="6"/>
      <c r="I913" s="6"/>
      <c r="J913" s="6"/>
      <c r="K913" s="6"/>
      <c r="L913" s="6"/>
      <c r="M913" s="6"/>
      <c r="N913" s="6"/>
      <c r="O913" s="6"/>
      <c r="P913" s="6"/>
      <c r="R913" s="6"/>
      <c r="S913" s="6"/>
      <c r="T913" s="6"/>
      <c r="U913" s="6"/>
      <c r="V913" s="6"/>
      <c r="W913" s="6"/>
      <c r="X913" s="6"/>
      <c r="Y913" s="6"/>
      <c r="Z913" s="6"/>
      <c r="AA913" s="6"/>
      <c r="AB913" s="6"/>
      <c r="AD913" s="6"/>
      <c r="AE913" s="6"/>
      <c r="AF913" s="6"/>
      <c r="AG913" s="6"/>
      <c r="AH913" s="6"/>
      <c r="AI913" s="6"/>
      <c r="AK913" s="6"/>
      <c r="AL913" s="6"/>
      <c r="AM913" s="6"/>
      <c r="AN913" s="6"/>
      <c r="AO913" s="6"/>
      <c r="AP913" s="6"/>
      <c r="AQ913" s="6"/>
      <c r="AR913" s="6"/>
      <c r="AS913" s="15"/>
      <c r="AT913" s="6" t="str">
        <f ca="1">IFERROR(__xludf.DUMMYFUNCTION("""COMPUTED_VALUE"""),"#N/A")</f>
        <v>#N/A</v>
      </c>
      <c r="AU913" s="6" t="str">
        <f ca="1">IFERROR(__xludf.DUMMYFUNCTION("""COMPUTED_VALUE"""),"FALSE")</f>
        <v>FALSE</v>
      </c>
      <c r="AW913" s="6">
        <f t="shared" si="64"/>
        <v>0</v>
      </c>
      <c r="AX913" s="6">
        <f t="shared" si="65"/>
        <v>0</v>
      </c>
      <c r="AY913" s="6">
        <f t="shared" si="66"/>
        <v>0</v>
      </c>
      <c r="AZ913" s="9" t="str">
        <f t="shared" si="67"/>
        <v/>
      </c>
      <c r="BA913" s="6">
        <f t="shared" si="68"/>
        <v>0</v>
      </c>
      <c r="BB913" s="6">
        <f t="shared" si="69"/>
        <v>0</v>
      </c>
      <c r="BC913" s="9" t="str">
        <f t="shared" si="70"/>
        <v/>
      </c>
      <c r="BD913" s="6">
        <f t="shared" si="71"/>
        <v>0</v>
      </c>
      <c r="BE913" s="6">
        <f t="shared" si="72"/>
        <v>0</v>
      </c>
      <c r="BF913" s="9" t="str">
        <f t="shared" si="73"/>
        <v/>
      </c>
      <c r="BG913" s="6">
        <f t="shared" si="74"/>
        <v>0</v>
      </c>
      <c r="BH913" s="6">
        <f t="shared" si="75"/>
        <v>0</v>
      </c>
      <c r="BI913" s="9" t="str">
        <f t="shared" si="76"/>
        <v/>
      </c>
      <c r="BJ913" s="6">
        <f t="shared" si="77"/>
        <v>0</v>
      </c>
      <c r="BK913" s="6">
        <f t="shared" si="78"/>
        <v>0</v>
      </c>
      <c r="BL913" s="6">
        <f t="shared" si="79"/>
        <v>0</v>
      </c>
      <c r="BM913" s="6">
        <f t="shared" si="80"/>
        <v>0</v>
      </c>
      <c r="BN913" s="6">
        <f t="shared" si="81"/>
        <v>0</v>
      </c>
      <c r="BP913" s="6">
        <f t="shared" si="82"/>
        <v>0</v>
      </c>
      <c r="BQ913" s="6" t="b">
        <f ca="1">IFERROR(__xludf.DUMMYFUNCTION("IF(AND(ISERROR(FILTER('Items by Team'!D$2:D3410,'Items by Team'!C$2:C3410 = D913,'Items by Team'!B$2:B3410 = B913)),NOT(A913=""Practice"")),TRUE,FALSE)"),FALSE)</f>
        <v>0</v>
      </c>
      <c r="BR913" s="6">
        <f t="shared" ca="1" si="83"/>
        <v>0</v>
      </c>
    </row>
    <row r="914" spans="1:70">
      <c r="A914" s="6"/>
      <c r="B914" s="6"/>
      <c r="C914" s="6"/>
      <c r="D914" s="6"/>
      <c r="E914" s="6"/>
      <c r="F914" s="6"/>
      <c r="G914" s="6"/>
      <c r="H914" s="6"/>
      <c r="I914" s="6"/>
      <c r="J914" s="6"/>
      <c r="K914" s="6"/>
      <c r="L914" s="6"/>
      <c r="M914" s="6"/>
      <c r="N914" s="6"/>
      <c r="O914" s="6"/>
      <c r="P914" s="6"/>
      <c r="R914" s="6"/>
      <c r="S914" s="6"/>
      <c r="T914" s="6"/>
      <c r="U914" s="6"/>
      <c r="V914" s="6"/>
      <c r="W914" s="6"/>
      <c r="X914" s="6"/>
      <c r="Y914" s="6"/>
      <c r="Z914" s="6"/>
      <c r="AA914" s="6"/>
      <c r="AB914" s="6"/>
      <c r="AD914" s="6"/>
      <c r="AE914" s="6"/>
      <c r="AF914" s="6"/>
      <c r="AG914" s="6"/>
      <c r="AH914" s="6"/>
      <c r="AI914" s="6"/>
      <c r="AK914" s="6"/>
      <c r="AL914" s="6"/>
      <c r="AM914" s="6"/>
      <c r="AN914" s="6"/>
      <c r="AO914" s="6"/>
      <c r="AP914" s="6"/>
      <c r="AQ914" s="6"/>
      <c r="AR914" s="6"/>
      <c r="AS914" s="15"/>
      <c r="AT914" s="6" t="str">
        <f ca="1">IFERROR(__xludf.DUMMYFUNCTION("""COMPUTED_VALUE"""),"#N/A")</f>
        <v>#N/A</v>
      </c>
      <c r="AU914" s="6" t="str">
        <f ca="1">IFERROR(__xludf.DUMMYFUNCTION("""COMPUTED_VALUE"""),"FALSE")</f>
        <v>FALSE</v>
      </c>
      <c r="AW914" s="6">
        <f t="shared" si="64"/>
        <v>0</v>
      </c>
      <c r="AX914" s="6">
        <f t="shared" si="65"/>
        <v>0</v>
      </c>
      <c r="AY914" s="6">
        <f t="shared" si="66"/>
        <v>0</v>
      </c>
      <c r="AZ914" s="9" t="str">
        <f t="shared" si="67"/>
        <v/>
      </c>
      <c r="BA914" s="6">
        <f t="shared" si="68"/>
        <v>0</v>
      </c>
      <c r="BB914" s="6">
        <f t="shared" si="69"/>
        <v>0</v>
      </c>
      <c r="BC914" s="9" t="str">
        <f t="shared" si="70"/>
        <v/>
      </c>
      <c r="BD914" s="6">
        <f t="shared" si="71"/>
        <v>0</v>
      </c>
      <c r="BE914" s="6">
        <f t="shared" si="72"/>
        <v>0</v>
      </c>
      <c r="BF914" s="9" t="str">
        <f t="shared" si="73"/>
        <v/>
      </c>
      <c r="BG914" s="6">
        <f t="shared" si="74"/>
        <v>0</v>
      </c>
      <c r="BH914" s="6">
        <f t="shared" si="75"/>
        <v>0</v>
      </c>
      <c r="BI914" s="9" t="str">
        <f t="shared" si="76"/>
        <v/>
      </c>
      <c r="BJ914" s="6">
        <f t="shared" si="77"/>
        <v>0</v>
      </c>
      <c r="BK914" s="6">
        <f t="shared" si="78"/>
        <v>0</v>
      </c>
      <c r="BL914" s="6">
        <f t="shared" si="79"/>
        <v>0</v>
      </c>
      <c r="BM914" s="6">
        <f t="shared" si="80"/>
        <v>0</v>
      </c>
      <c r="BN914" s="6">
        <f t="shared" si="81"/>
        <v>0</v>
      </c>
      <c r="BP914" s="6">
        <f t="shared" si="82"/>
        <v>0</v>
      </c>
      <c r="BQ914" s="6" t="b">
        <f ca="1">IFERROR(__xludf.DUMMYFUNCTION("IF(AND(ISERROR(FILTER('Items by Team'!D$2:D3410,'Items by Team'!C$2:C3410 = D914,'Items by Team'!B$2:B3410 = B914)),NOT(A914=""Practice"")),TRUE,FALSE)"),FALSE)</f>
        <v>0</v>
      </c>
      <c r="BR914" s="6">
        <f t="shared" ca="1" si="83"/>
        <v>0</v>
      </c>
    </row>
    <row r="915" spans="1:70">
      <c r="A915" s="6"/>
      <c r="B915" s="6"/>
      <c r="C915" s="6"/>
      <c r="D915" s="6"/>
      <c r="E915" s="6"/>
      <c r="F915" s="6"/>
      <c r="G915" s="6"/>
      <c r="H915" s="6"/>
      <c r="I915" s="6"/>
      <c r="J915" s="6"/>
      <c r="K915" s="6"/>
      <c r="L915" s="6"/>
      <c r="M915" s="6"/>
      <c r="N915" s="6"/>
      <c r="O915" s="6"/>
      <c r="P915" s="6"/>
      <c r="R915" s="6"/>
      <c r="S915" s="6"/>
      <c r="T915" s="6"/>
      <c r="U915" s="6"/>
      <c r="V915" s="6"/>
      <c r="W915" s="6"/>
      <c r="X915" s="6"/>
      <c r="Y915" s="6"/>
      <c r="Z915" s="6"/>
      <c r="AA915" s="6"/>
      <c r="AB915" s="6"/>
      <c r="AD915" s="6"/>
      <c r="AE915" s="6"/>
      <c r="AF915" s="6"/>
      <c r="AG915" s="6"/>
      <c r="AH915" s="6"/>
      <c r="AI915" s="6"/>
      <c r="AK915" s="6"/>
      <c r="AL915" s="6"/>
      <c r="AM915" s="6"/>
      <c r="AN915" s="6"/>
      <c r="AO915" s="6"/>
      <c r="AP915" s="6"/>
      <c r="AQ915" s="6"/>
      <c r="AR915" s="6"/>
      <c r="AS915" s="15"/>
      <c r="AT915" s="6" t="str">
        <f ca="1">IFERROR(__xludf.DUMMYFUNCTION("""COMPUTED_VALUE"""),"#N/A")</f>
        <v>#N/A</v>
      </c>
      <c r="AU915" s="6" t="str">
        <f ca="1">IFERROR(__xludf.DUMMYFUNCTION("""COMPUTED_VALUE"""),"FALSE")</f>
        <v>FALSE</v>
      </c>
      <c r="AW915" s="6">
        <f t="shared" si="64"/>
        <v>0</v>
      </c>
      <c r="AX915" s="6">
        <f t="shared" si="65"/>
        <v>0</v>
      </c>
      <c r="AY915" s="6">
        <f t="shared" si="66"/>
        <v>0</v>
      </c>
      <c r="AZ915" s="9" t="str">
        <f t="shared" si="67"/>
        <v/>
      </c>
      <c r="BA915" s="6">
        <f t="shared" si="68"/>
        <v>0</v>
      </c>
      <c r="BB915" s="6">
        <f t="shared" si="69"/>
        <v>0</v>
      </c>
      <c r="BC915" s="9" t="str">
        <f t="shared" si="70"/>
        <v/>
      </c>
      <c r="BD915" s="6">
        <f t="shared" si="71"/>
        <v>0</v>
      </c>
      <c r="BE915" s="6">
        <f t="shared" si="72"/>
        <v>0</v>
      </c>
      <c r="BF915" s="9" t="str">
        <f t="shared" si="73"/>
        <v/>
      </c>
      <c r="BG915" s="6">
        <f t="shared" si="74"/>
        <v>0</v>
      </c>
      <c r="BH915" s="6">
        <f t="shared" si="75"/>
        <v>0</v>
      </c>
      <c r="BI915" s="9" t="str">
        <f t="shared" si="76"/>
        <v/>
      </c>
      <c r="BJ915" s="6">
        <f t="shared" si="77"/>
        <v>0</v>
      </c>
      <c r="BK915" s="6">
        <f t="shared" si="78"/>
        <v>0</v>
      </c>
      <c r="BL915" s="6">
        <f t="shared" si="79"/>
        <v>0</v>
      </c>
      <c r="BM915" s="6">
        <f t="shared" si="80"/>
        <v>0</v>
      </c>
      <c r="BN915" s="6">
        <f t="shared" si="81"/>
        <v>0</v>
      </c>
      <c r="BP915" s="6">
        <f t="shared" si="82"/>
        <v>0</v>
      </c>
      <c r="BQ915" s="6" t="b">
        <f ca="1">IFERROR(__xludf.DUMMYFUNCTION("IF(AND(ISERROR(FILTER('Items by Team'!D$2:D3410,'Items by Team'!C$2:C3410 = D915,'Items by Team'!B$2:B3410 = B915)),NOT(A915=""Practice"")),TRUE,FALSE)"),FALSE)</f>
        <v>0</v>
      </c>
      <c r="BR915" s="6">
        <f t="shared" ca="1" si="83"/>
        <v>0</v>
      </c>
    </row>
    <row r="916" spans="1:70">
      <c r="A916" s="6"/>
      <c r="B916" s="6"/>
      <c r="C916" s="6"/>
      <c r="D916" s="6"/>
      <c r="E916" s="6"/>
      <c r="F916" s="6"/>
      <c r="G916" s="6"/>
      <c r="H916" s="6"/>
      <c r="I916" s="6"/>
      <c r="J916" s="6"/>
      <c r="K916" s="6"/>
      <c r="L916" s="6"/>
      <c r="M916" s="6"/>
      <c r="N916" s="6"/>
      <c r="O916" s="6"/>
      <c r="P916" s="6"/>
      <c r="R916" s="6"/>
      <c r="S916" s="6"/>
      <c r="T916" s="6"/>
      <c r="U916" s="6"/>
      <c r="V916" s="6"/>
      <c r="W916" s="6"/>
      <c r="X916" s="6"/>
      <c r="Y916" s="6"/>
      <c r="Z916" s="6"/>
      <c r="AA916" s="6"/>
      <c r="AB916" s="6"/>
      <c r="AD916" s="6"/>
      <c r="AE916" s="6"/>
      <c r="AF916" s="6"/>
      <c r="AG916" s="6"/>
      <c r="AH916" s="6"/>
      <c r="AI916" s="6"/>
      <c r="AK916" s="6"/>
      <c r="AL916" s="6"/>
      <c r="AM916" s="6"/>
      <c r="AN916" s="6"/>
      <c r="AO916" s="6"/>
      <c r="AP916" s="6"/>
      <c r="AQ916" s="6"/>
      <c r="AR916" s="6"/>
      <c r="AS916" s="15"/>
      <c r="AT916" s="6" t="str">
        <f ca="1">IFERROR(__xludf.DUMMYFUNCTION("""COMPUTED_VALUE"""),"#N/A")</f>
        <v>#N/A</v>
      </c>
      <c r="AU916" s="6" t="str">
        <f ca="1">IFERROR(__xludf.DUMMYFUNCTION("""COMPUTED_VALUE"""),"FALSE")</f>
        <v>FALSE</v>
      </c>
      <c r="AW916" s="6">
        <f t="shared" si="64"/>
        <v>0</v>
      </c>
      <c r="AX916" s="6">
        <f t="shared" si="65"/>
        <v>0</v>
      </c>
      <c r="AY916" s="6">
        <f t="shared" si="66"/>
        <v>0</v>
      </c>
      <c r="AZ916" s="9" t="str">
        <f t="shared" si="67"/>
        <v/>
      </c>
      <c r="BA916" s="6">
        <f t="shared" si="68"/>
        <v>0</v>
      </c>
      <c r="BB916" s="6">
        <f t="shared" si="69"/>
        <v>0</v>
      </c>
      <c r="BC916" s="9" t="str">
        <f t="shared" si="70"/>
        <v/>
      </c>
      <c r="BD916" s="6">
        <f t="shared" si="71"/>
        <v>0</v>
      </c>
      <c r="BE916" s="6">
        <f t="shared" si="72"/>
        <v>0</v>
      </c>
      <c r="BF916" s="9" t="str">
        <f t="shared" si="73"/>
        <v/>
      </c>
      <c r="BG916" s="6">
        <f t="shared" si="74"/>
        <v>0</v>
      </c>
      <c r="BH916" s="6">
        <f t="shared" si="75"/>
        <v>0</v>
      </c>
      <c r="BI916" s="9" t="str">
        <f t="shared" si="76"/>
        <v/>
      </c>
      <c r="BJ916" s="6">
        <f t="shared" si="77"/>
        <v>0</v>
      </c>
      <c r="BK916" s="6">
        <f t="shared" si="78"/>
        <v>0</v>
      </c>
      <c r="BL916" s="6">
        <f t="shared" si="79"/>
        <v>0</v>
      </c>
      <c r="BM916" s="6">
        <f t="shared" si="80"/>
        <v>0</v>
      </c>
      <c r="BN916" s="6">
        <f t="shared" si="81"/>
        <v>0</v>
      </c>
      <c r="BP916" s="6">
        <f t="shared" si="82"/>
        <v>0</v>
      </c>
      <c r="BQ916" s="6" t="b">
        <f ca="1">IFERROR(__xludf.DUMMYFUNCTION("IF(AND(ISERROR(FILTER('Items by Team'!D$2:D3410,'Items by Team'!C$2:C3410 = D916,'Items by Team'!B$2:B3410 = B916)),NOT(A916=""Practice"")),TRUE,FALSE)"),FALSE)</f>
        <v>0</v>
      </c>
      <c r="BR916" s="6">
        <f t="shared" ca="1" si="83"/>
        <v>0</v>
      </c>
    </row>
    <row r="917" spans="1:70">
      <c r="A917" s="6"/>
      <c r="B917" s="6"/>
      <c r="C917" s="6"/>
      <c r="D917" s="6"/>
      <c r="E917" s="6"/>
      <c r="F917" s="6"/>
      <c r="G917" s="6"/>
      <c r="H917" s="6"/>
      <c r="I917" s="6"/>
      <c r="J917" s="6"/>
      <c r="K917" s="6"/>
      <c r="L917" s="6"/>
      <c r="M917" s="6"/>
      <c r="N917" s="6"/>
      <c r="O917" s="6"/>
      <c r="P917" s="6"/>
      <c r="R917" s="6"/>
      <c r="S917" s="6"/>
      <c r="T917" s="6"/>
      <c r="U917" s="6"/>
      <c r="V917" s="6"/>
      <c r="W917" s="6"/>
      <c r="X917" s="6"/>
      <c r="Y917" s="6"/>
      <c r="Z917" s="6"/>
      <c r="AA917" s="6"/>
      <c r="AB917" s="6"/>
      <c r="AD917" s="6"/>
      <c r="AE917" s="6"/>
      <c r="AF917" s="6"/>
      <c r="AG917" s="6"/>
      <c r="AH917" s="6"/>
      <c r="AI917" s="6"/>
      <c r="AK917" s="6"/>
      <c r="AL917" s="6"/>
      <c r="AM917" s="6"/>
      <c r="AN917" s="6"/>
      <c r="AO917" s="6"/>
      <c r="AP917" s="6"/>
      <c r="AQ917" s="6"/>
      <c r="AR917" s="6"/>
      <c r="AS917" s="15"/>
      <c r="AT917" s="6" t="str">
        <f ca="1">IFERROR(__xludf.DUMMYFUNCTION("""COMPUTED_VALUE"""),"#N/A")</f>
        <v>#N/A</v>
      </c>
      <c r="AU917" s="6" t="str">
        <f ca="1">IFERROR(__xludf.DUMMYFUNCTION("""COMPUTED_VALUE"""),"FALSE")</f>
        <v>FALSE</v>
      </c>
      <c r="AW917" s="6">
        <f t="shared" si="64"/>
        <v>0</v>
      </c>
      <c r="AX917" s="6">
        <f t="shared" si="65"/>
        <v>0</v>
      </c>
      <c r="AY917" s="6">
        <f t="shared" si="66"/>
        <v>0</v>
      </c>
      <c r="AZ917" s="9" t="str">
        <f t="shared" si="67"/>
        <v/>
      </c>
      <c r="BA917" s="6">
        <f t="shared" si="68"/>
        <v>0</v>
      </c>
      <c r="BB917" s="6">
        <f t="shared" si="69"/>
        <v>0</v>
      </c>
      <c r="BC917" s="9" t="str">
        <f t="shared" si="70"/>
        <v/>
      </c>
      <c r="BD917" s="6">
        <f t="shared" si="71"/>
        <v>0</v>
      </c>
      <c r="BE917" s="6">
        <f t="shared" si="72"/>
        <v>0</v>
      </c>
      <c r="BF917" s="9" t="str">
        <f t="shared" si="73"/>
        <v/>
      </c>
      <c r="BG917" s="6">
        <f t="shared" si="74"/>
        <v>0</v>
      </c>
      <c r="BH917" s="6">
        <f t="shared" si="75"/>
        <v>0</v>
      </c>
      <c r="BI917" s="9" t="str">
        <f t="shared" si="76"/>
        <v/>
      </c>
      <c r="BJ917" s="6">
        <f t="shared" si="77"/>
        <v>0</v>
      </c>
      <c r="BK917" s="6">
        <f t="shared" si="78"/>
        <v>0</v>
      </c>
      <c r="BL917" s="6">
        <f t="shared" si="79"/>
        <v>0</v>
      </c>
      <c r="BM917" s="6">
        <f t="shared" si="80"/>
        <v>0</v>
      </c>
      <c r="BN917" s="6">
        <f t="shared" si="81"/>
        <v>0</v>
      </c>
      <c r="BP917" s="6">
        <f t="shared" si="82"/>
        <v>0</v>
      </c>
      <c r="BQ917" s="6" t="b">
        <f ca="1">IFERROR(__xludf.DUMMYFUNCTION("IF(AND(ISERROR(FILTER('Items by Team'!D$2:D3410,'Items by Team'!C$2:C3410 = D917,'Items by Team'!B$2:B3410 = B917)),NOT(A917=""Practice"")),TRUE,FALSE)"),FALSE)</f>
        <v>0</v>
      </c>
      <c r="BR917" s="6">
        <f t="shared" ca="1" si="83"/>
        <v>0</v>
      </c>
    </row>
    <row r="918" spans="1:70">
      <c r="A918" s="6"/>
      <c r="B918" s="6"/>
      <c r="C918" s="6"/>
      <c r="D918" s="6"/>
      <c r="E918" s="6"/>
      <c r="F918" s="6"/>
      <c r="G918" s="6"/>
      <c r="H918" s="6"/>
      <c r="I918" s="6"/>
      <c r="J918" s="6"/>
      <c r="K918" s="6"/>
      <c r="L918" s="6"/>
      <c r="M918" s="6"/>
      <c r="N918" s="6"/>
      <c r="O918" s="6"/>
      <c r="P918" s="6"/>
      <c r="R918" s="6"/>
      <c r="S918" s="6"/>
      <c r="T918" s="6"/>
      <c r="U918" s="6"/>
      <c r="V918" s="6"/>
      <c r="W918" s="6"/>
      <c r="X918" s="6"/>
      <c r="Y918" s="6"/>
      <c r="Z918" s="6"/>
      <c r="AA918" s="6"/>
      <c r="AB918" s="6"/>
      <c r="AD918" s="6"/>
      <c r="AE918" s="6"/>
      <c r="AF918" s="6"/>
      <c r="AG918" s="6"/>
      <c r="AH918" s="6"/>
      <c r="AI918" s="6"/>
      <c r="AK918" s="6"/>
      <c r="AL918" s="6"/>
      <c r="AM918" s="6"/>
      <c r="AN918" s="6"/>
      <c r="AO918" s="6"/>
      <c r="AP918" s="6"/>
      <c r="AQ918" s="6"/>
      <c r="AR918" s="6"/>
      <c r="AS918" s="15"/>
      <c r="AT918" s="6" t="str">
        <f ca="1">IFERROR(__xludf.DUMMYFUNCTION("""COMPUTED_VALUE"""),"#N/A")</f>
        <v>#N/A</v>
      </c>
      <c r="AU918" s="6" t="str">
        <f ca="1">IFERROR(__xludf.DUMMYFUNCTION("""COMPUTED_VALUE"""),"FALSE")</f>
        <v>FALSE</v>
      </c>
      <c r="AW918" s="6">
        <f t="shared" si="64"/>
        <v>0</v>
      </c>
      <c r="AX918" s="6">
        <f t="shared" si="65"/>
        <v>0</v>
      </c>
      <c r="AY918" s="6">
        <f t="shared" si="66"/>
        <v>0</v>
      </c>
      <c r="AZ918" s="9" t="str">
        <f t="shared" si="67"/>
        <v/>
      </c>
      <c r="BA918" s="6">
        <f t="shared" si="68"/>
        <v>0</v>
      </c>
      <c r="BB918" s="6">
        <f t="shared" si="69"/>
        <v>0</v>
      </c>
      <c r="BC918" s="9" t="str">
        <f t="shared" si="70"/>
        <v/>
      </c>
      <c r="BD918" s="6">
        <f t="shared" si="71"/>
        <v>0</v>
      </c>
      <c r="BE918" s="6">
        <f t="shared" si="72"/>
        <v>0</v>
      </c>
      <c r="BF918" s="9" t="str">
        <f t="shared" si="73"/>
        <v/>
      </c>
      <c r="BG918" s="6">
        <f t="shared" si="74"/>
        <v>0</v>
      </c>
      <c r="BH918" s="6">
        <f t="shared" si="75"/>
        <v>0</v>
      </c>
      <c r="BI918" s="9" t="str">
        <f t="shared" si="76"/>
        <v/>
      </c>
      <c r="BJ918" s="6">
        <f t="shared" si="77"/>
        <v>0</v>
      </c>
      <c r="BK918" s="6">
        <f t="shared" si="78"/>
        <v>0</v>
      </c>
      <c r="BL918" s="6">
        <f t="shared" si="79"/>
        <v>0</v>
      </c>
      <c r="BM918" s="6">
        <f t="shared" si="80"/>
        <v>0</v>
      </c>
      <c r="BN918" s="6">
        <f t="shared" si="81"/>
        <v>0</v>
      </c>
      <c r="BP918" s="6">
        <f t="shared" si="82"/>
        <v>0</v>
      </c>
      <c r="BQ918" s="6" t="b">
        <f ca="1">IFERROR(__xludf.DUMMYFUNCTION("IF(AND(ISERROR(FILTER('Items by Team'!D$2:D3410,'Items by Team'!C$2:C3410 = D918,'Items by Team'!B$2:B3410 = B918)),NOT(A918=""Practice"")),TRUE,FALSE)"),FALSE)</f>
        <v>0</v>
      </c>
      <c r="BR918" s="6">
        <f t="shared" ca="1" si="83"/>
        <v>0</v>
      </c>
    </row>
    <row r="919" spans="1:70">
      <c r="A919" s="6"/>
      <c r="B919" s="6"/>
      <c r="C919" s="6"/>
      <c r="D919" s="6"/>
      <c r="E919" s="6"/>
      <c r="F919" s="6"/>
      <c r="G919" s="6"/>
      <c r="H919" s="6"/>
      <c r="I919" s="6"/>
      <c r="J919" s="6"/>
      <c r="K919" s="6"/>
      <c r="L919" s="6"/>
      <c r="M919" s="6"/>
      <c r="N919" s="6"/>
      <c r="O919" s="6"/>
      <c r="P919" s="6"/>
      <c r="R919" s="6"/>
      <c r="S919" s="6"/>
      <c r="T919" s="6"/>
      <c r="U919" s="6"/>
      <c r="V919" s="6"/>
      <c r="W919" s="6"/>
      <c r="X919" s="6"/>
      <c r="Y919" s="6"/>
      <c r="Z919" s="6"/>
      <c r="AA919" s="6"/>
      <c r="AB919" s="6"/>
      <c r="AD919" s="6"/>
      <c r="AE919" s="6"/>
      <c r="AF919" s="6"/>
      <c r="AG919" s="6"/>
      <c r="AH919" s="6"/>
      <c r="AI919" s="6"/>
      <c r="AK919" s="6"/>
      <c r="AL919" s="6"/>
      <c r="AM919" s="6"/>
      <c r="AN919" s="6"/>
      <c r="AO919" s="6"/>
      <c r="AP919" s="6"/>
      <c r="AQ919" s="6"/>
      <c r="AR919" s="6"/>
      <c r="AS919" s="15"/>
      <c r="AT919" s="6" t="str">
        <f ca="1">IFERROR(__xludf.DUMMYFUNCTION("""COMPUTED_VALUE"""),"#N/A")</f>
        <v>#N/A</v>
      </c>
      <c r="AU919" s="6" t="str">
        <f ca="1">IFERROR(__xludf.DUMMYFUNCTION("""COMPUTED_VALUE"""),"FALSE")</f>
        <v>FALSE</v>
      </c>
      <c r="AW919" s="6">
        <f t="shared" si="64"/>
        <v>0</v>
      </c>
      <c r="AX919" s="6">
        <f t="shared" si="65"/>
        <v>0</v>
      </c>
      <c r="AY919" s="6">
        <f t="shared" si="66"/>
        <v>0</v>
      </c>
      <c r="AZ919" s="9" t="str">
        <f t="shared" si="67"/>
        <v/>
      </c>
      <c r="BA919" s="6">
        <f t="shared" si="68"/>
        <v>0</v>
      </c>
      <c r="BB919" s="6">
        <f t="shared" si="69"/>
        <v>0</v>
      </c>
      <c r="BC919" s="9" t="str">
        <f t="shared" si="70"/>
        <v/>
      </c>
      <c r="BD919" s="6">
        <f t="shared" si="71"/>
        <v>0</v>
      </c>
      <c r="BE919" s="6">
        <f t="shared" si="72"/>
        <v>0</v>
      </c>
      <c r="BF919" s="9" t="str">
        <f t="shared" si="73"/>
        <v/>
      </c>
      <c r="BG919" s="6">
        <f t="shared" si="74"/>
        <v>0</v>
      </c>
      <c r="BH919" s="6">
        <f t="shared" si="75"/>
        <v>0</v>
      </c>
      <c r="BI919" s="9" t="str">
        <f t="shared" si="76"/>
        <v/>
      </c>
      <c r="BJ919" s="6">
        <f t="shared" si="77"/>
        <v>0</v>
      </c>
      <c r="BK919" s="6">
        <f t="shared" si="78"/>
        <v>0</v>
      </c>
      <c r="BL919" s="6">
        <f t="shared" si="79"/>
        <v>0</v>
      </c>
      <c r="BM919" s="6">
        <f t="shared" si="80"/>
        <v>0</v>
      </c>
      <c r="BN919" s="6">
        <f t="shared" si="81"/>
        <v>0</v>
      </c>
      <c r="BP919" s="6">
        <f t="shared" si="82"/>
        <v>0</v>
      </c>
      <c r="BQ919" s="6" t="b">
        <f ca="1">IFERROR(__xludf.DUMMYFUNCTION("IF(AND(ISERROR(FILTER('Items by Team'!D$2:D3410,'Items by Team'!C$2:C3410 = D919,'Items by Team'!B$2:B3410 = B919)),NOT(A919=""Practice"")),TRUE,FALSE)"),FALSE)</f>
        <v>0</v>
      </c>
      <c r="BR919" s="6">
        <f t="shared" ca="1" si="83"/>
        <v>0</v>
      </c>
    </row>
    <row r="920" spans="1:70">
      <c r="A920" s="6"/>
      <c r="B920" s="6"/>
      <c r="C920" s="6"/>
      <c r="D920" s="6"/>
      <c r="E920" s="6"/>
      <c r="F920" s="6"/>
      <c r="G920" s="6"/>
      <c r="H920" s="6"/>
      <c r="I920" s="6"/>
      <c r="J920" s="6"/>
      <c r="K920" s="6"/>
      <c r="L920" s="6"/>
      <c r="M920" s="6"/>
      <c r="N920" s="6"/>
      <c r="O920" s="6"/>
      <c r="P920" s="6"/>
      <c r="R920" s="6"/>
      <c r="S920" s="6"/>
      <c r="T920" s="6"/>
      <c r="U920" s="6"/>
      <c r="V920" s="6"/>
      <c r="W920" s="6"/>
      <c r="X920" s="6"/>
      <c r="Y920" s="6"/>
      <c r="Z920" s="6"/>
      <c r="AA920" s="6"/>
      <c r="AB920" s="6"/>
      <c r="AD920" s="6"/>
      <c r="AE920" s="6"/>
      <c r="AF920" s="6"/>
      <c r="AG920" s="6"/>
      <c r="AH920" s="6"/>
      <c r="AI920" s="6"/>
      <c r="AK920" s="6"/>
      <c r="AL920" s="6"/>
      <c r="AM920" s="6"/>
      <c r="AN920" s="6"/>
      <c r="AO920" s="6"/>
      <c r="AP920" s="6"/>
      <c r="AQ920" s="6"/>
      <c r="AR920" s="6"/>
      <c r="AS920" s="15"/>
      <c r="AT920" s="6" t="str">
        <f ca="1">IFERROR(__xludf.DUMMYFUNCTION("""COMPUTED_VALUE"""),"#N/A")</f>
        <v>#N/A</v>
      </c>
      <c r="AU920" s="6" t="str">
        <f ca="1">IFERROR(__xludf.DUMMYFUNCTION("""COMPUTED_VALUE"""),"FALSE")</f>
        <v>FALSE</v>
      </c>
      <c r="AW920" s="6">
        <f t="shared" si="64"/>
        <v>0</v>
      </c>
      <c r="AX920" s="6">
        <f t="shared" si="65"/>
        <v>0</v>
      </c>
      <c r="AY920" s="6">
        <f t="shared" si="66"/>
        <v>0</v>
      </c>
      <c r="AZ920" s="9" t="str">
        <f t="shared" si="67"/>
        <v/>
      </c>
      <c r="BA920" s="6">
        <f t="shared" si="68"/>
        <v>0</v>
      </c>
      <c r="BB920" s="6">
        <f t="shared" si="69"/>
        <v>0</v>
      </c>
      <c r="BC920" s="9" t="str">
        <f t="shared" si="70"/>
        <v/>
      </c>
      <c r="BD920" s="6">
        <f t="shared" si="71"/>
        <v>0</v>
      </c>
      <c r="BE920" s="6">
        <f t="shared" si="72"/>
        <v>0</v>
      </c>
      <c r="BF920" s="9" t="str">
        <f t="shared" si="73"/>
        <v/>
      </c>
      <c r="BG920" s="6">
        <f t="shared" si="74"/>
        <v>0</v>
      </c>
      <c r="BH920" s="6">
        <f t="shared" si="75"/>
        <v>0</v>
      </c>
      <c r="BI920" s="9" t="str">
        <f t="shared" si="76"/>
        <v/>
      </c>
      <c r="BJ920" s="6">
        <f t="shared" si="77"/>
        <v>0</v>
      </c>
      <c r="BK920" s="6">
        <f t="shared" si="78"/>
        <v>0</v>
      </c>
      <c r="BL920" s="6">
        <f t="shared" si="79"/>
        <v>0</v>
      </c>
      <c r="BM920" s="6">
        <f t="shared" si="80"/>
        <v>0</v>
      </c>
      <c r="BN920" s="6">
        <f t="shared" si="81"/>
        <v>0</v>
      </c>
      <c r="BP920" s="6">
        <f t="shared" si="82"/>
        <v>0</v>
      </c>
      <c r="BQ920" s="6" t="b">
        <f ca="1">IFERROR(__xludf.DUMMYFUNCTION("IF(AND(ISERROR(FILTER('Items by Team'!D$2:D3410,'Items by Team'!C$2:C3410 = D920,'Items by Team'!B$2:B3410 = B920)),NOT(A920=""Practice"")),TRUE,FALSE)"),FALSE)</f>
        <v>0</v>
      </c>
      <c r="BR920" s="6">
        <f t="shared" ca="1" si="83"/>
        <v>0</v>
      </c>
    </row>
    <row r="921" spans="1:70">
      <c r="A921" s="6"/>
      <c r="B921" s="6"/>
      <c r="C921" s="6"/>
      <c r="D921" s="6"/>
      <c r="E921" s="6"/>
      <c r="F921" s="6"/>
      <c r="G921" s="6"/>
      <c r="H921" s="6"/>
      <c r="I921" s="6"/>
      <c r="J921" s="6"/>
      <c r="K921" s="6"/>
      <c r="L921" s="6"/>
      <c r="M921" s="6"/>
      <c r="N921" s="6"/>
      <c r="O921" s="6"/>
      <c r="P921" s="6"/>
      <c r="R921" s="6"/>
      <c r="S921" s="6"/>
      <c r="T921" s="6"/>
      <c r="U921" s="6"/>
      <c r="V921" s="6"/>
      <c r="W921" s="6"/>
      <c r="X921" s="6"/>
      <c r="Y921" s="6"/>
      <c r="Z921" s="6"/>
      <c r="AA921" s="6"/>
      <c r="AB921" s="6"/>
      <c r="AD921" s="6"/>
      <c r="AE921" s="6"/>
      <c r="AF921" s="6"/>
      <c r="AG921" s="6"/>
      <c r="AH921" s="6"/>
      <c r="AI921" s="6"/>
      <c r="AK921" s="6"/>
      <c r="AL921" s="6"/>
      <c r="AM921" s="6"/>
      <c r="AN921" s="6"/>
      <c r="AO921" s="6"/>
      <c r="AP921" s="6"/>
      <c r="AQ921" s="6"/>
      <c r="AR921" s="6"/>
      <c r="AS921" s="15"/>
      <c r="AT921" s="6" t="str">
        <f ca="1">IFERROR(__xludf.DUMMYFUNCTION("""COMPUTED_VALUE"""),"#N/A")</f>
        <v>#N/A</v>
      </c>
      <c r="AU921" s="6" t="str">
        <f ca="1">IFERROR(__xludf.DUMMYFUNCTION("""COMPUTED_VALUE"""),"FALSE")</f>
        <v>FALSE</v>
      </c>
      <c r="AW921" s="6">
        <f t="shared" si="64"/>
        <v>0</v>
      </c>
      <c r="AX921" s="6">
        <f t="shared" si="65"/>
        <v>0</v>
      </c>
      <c r="AY921" s="6">
        <f t="shared" si="66"/>
        <v>0</v>
      </c>
      <c r="AZ921" s="9" t="str">
        <f t="shared" si="67"/>
        <v/>
      </c>
      <c r="BA921" s="6">
        <f t="shared" si="68"/>
        <v>0</v>
      </c>
      <c r="BB921" s="6">
        <f t="shared" si="69"/>
        <v>0</v>
      </c>
      <c r="BC921" s="9" t="str">
        <f t="shared" si="70"/>
        <v/>
      </c>
      <c r="BD921" s="6">
        <f t="shared" si="71"/>
        <v>0</v>
      </c>
      <c r="BE921" s="6">
        <f t="shared" si="72"/>
        <v>0</v>
      </c>
      <c r="BF921" s="9" t="str">
        <f t="shared" si="73"/>
        <v/>
      </c>
      <c r="BG921" s="6">
        <f t="shared" si="74"/>
        <v>0</v>
      </c>
      <c r="BH921" s="6">
        <f t="shared" si="75"/>
        <v>0</v>
      </c>
      <c r="BI921" s="9" t="str">
        <f t="shared" si="76"/>
        <v/>
      </c>
      <c r="BJ921" s="6">
        <f t="shared" si="77"/>
        <v>0</v>
      </c>
      <c r="BK921" s="6">
        <f t="shared" si="78"/>
        <v>0</v>
      </c>
      <c r="BL921" s="6">
        <f t="shared" si="79"/>
        <v>0</v>
      </c>
      <c r="BM921" s="6">
        <f t="shared" si="80"/>
        <v>0</v>
      </c>
      <c r="BN921" s="6">
        <f t="shared" si="81"/>
        <v>0</v>
      </c>
      <c r="BP921" s="6">
        <f t="shared" si="82"/>
        <v>0</v>
      </c>
      <c r="BQ921" s="6" t="b">
        <f ca="1">IFERROR(__xludf.DUMMYFUNCTION("IF(AND(ISERROR(FILTER('Items by Team'!D$2:D3410,'Items by Team'!C$2:C3410 = D921,'Items by Team'!B$2:B3410 = B921)),NOT(A921=""Practice"")),TRUE,FALSE)"),FALSE)</f>
        <v>0</v>
      </c>
      <c r="BR921" s="6">
        <f t="shared" ca="1" si="83"/>
        <v>0</v>
      </c>
    </row>
    <row r="922" spans="1:70">
      <c r="A922" s="6"/>
      <c r="B922" s="6"/>
      <c r="C922" s="6"/>
      <c r="D922" s="6"/>
      <c r="E922" s="6"/>
      <c r="F922" s="6"/>
      <c r="G922" s="6"/>
      <c r="H922" s="6"/>
      <c r="I922" s="6"/>
      <c r="J922" s="6"/>
      <c r="K922" s="6"/>
      <c r="L922" s="6"/>
      <c r="M922" s="6"/>
      <c r="N922" s="6"/>
      <c r="O922" s="6"/>
      <c r="P922" s="6"/>
      <c r="R922" s="6"/>
      <c r="S922" s="6"/>
      <c r="T922" s="6"/>
      <c r="U922" s="6"/>
      <c r="V922" s="6"/>
      <c r="W922" s="6"/>
      <c r="X922" s="6"/>
      <c r="Y922" s="6"/>
      <c r="Z922" s="6"/>
      <c r="AA922" s="6"/>
      <c r="AB922" s="6"/>
      <c r="AD922" s="6"/>
      <c r="AE922" s="6"/>
      <c r="AF922" s="6"/>
      <c r="AG922" s="6"/>
      <c r="AH922" s="6"/>
      <c r="AI922" s="6"/>
      <c r="AK922" s="6"/>
      <c r="AL922" s="6"/>
      <c r="AM922" s="6"/>
      <c r="AN922" s="6"/>
      <c r="AO922" s="6"/>
      <c r="AP922" s="6"/>
      <c r="AQ922" s="6"/>
      <c r="AR922" s="6"/>
      <c r="AS922" s="15"/>
      <c r="AT922" s="6" t="str">
        <f ca="1">IFERROR(__xludf.DUMMYFUNCTION("""COMPUTED_VALUE"""),"#N/A")</f>
        <v>#N/A</v>
      </c>
      <c r="AU922" s="6" t="str">
        <f ca="1">IFERROR(__xludf.DUMMYFUNCTION("""COMPUTED_VALUE"""),"FALSE")</f>
        <v>FALSE</v>
      </c>
      <c r="AW922" s="6">
        <f t="shared" si="64"/>
        <v>0</v>
      </c>
      <c r="AX922" s="6">
        <f t="shared" si="65"/>
        <v>0</v>
      </c>
      <c r="AY922" s="6">
        <f t="shared" si="66"/>
        <v>0</v>
      </c>
      <c r="AZ922" s="9" t="str">
        <f t="shared" si="67"/>
        <v/>
      </c>
      <c r="BA922" s="6">
        <f t="shared" si="68"/>
        <v>0</v>
      </c>
      <c r="BB922" s="6">
        <f t="shared" si="69"/>
        <v>0</v>
      </c>
      <c r="BC922" s="9" t="str">
        <f t="shared" si="70"/>
        <v/>
      </c>
      <c r="BD922" s="6">
        <f t="shared" si="71"/>
        <v>0</v>
      </c>
      <c r="BE922" s="6">
        <f t="shared" si="72"/>
        <v>0</v>
      </c>
      <c r="BF922" s="9" t="str">
        <f t="shared" si="73"/>
        <v/>
      </c>
      <c r="BG922" s="6">
        <f t="shared" si="74"/>
        <v>0</v>
      </c>
      <c r="BH922" s="6">
        <f t="shared" si="75"/>
        <v>0</v>
      </c>
      <c r="BI922" s="9" t="str">
        <f t="shared" si="76"/>
        <v/>
      </c>
      <c r="BJ922" s="6">
        <f t="shared" si="77"/>
        <v>0</v>
      </c>
      <c r="BK922" s="6">
        <f t="shared" si="78"/>
        <v>0</v>
      </c>
      <c r="BL922" s="6">
        <f t="shared" si="79"/>
        <v>0</v>
      </c>
      <c r="BM922" s="6">
        <f t="shared" si="80"/>
        <v>0</v>
      </c>
      <c r="BN922" s="6">
        <f t="shared" si="81"/>
        <v>0</v>
      </c>
      <c r="BP922" s="6">
        <f t="shared" si="82"/>
        <v>0</v>
      </c>
      <c r="BQ922" s="6" t="b">
        <f ca="1">IFERROR(__xludf.DUMMYFUNCTION("IF(AND(ISERROR(FILTER('Items by Team'!D$2:D3410,'Items by Team'!C$2:C3410 = D922,'Items by Team'!B$2:B3410 = B922)),NOT(A922=""Practice"")),TRUE,FALSE)"),FALSE)</f>
        <v>0</v>
      </c>
      <c r="BR922" s="6">
        <f t="shared" ca="1" si="83"/>
        <v>0</v>
      </c>
    </row>
    <row r="923" spans="1:70">
      <c r="A923" s="6"/>
      <c r="B923" s="6"/>
      <c r="C923" s="6"/>
      <c r="D923" s="6"/>
      <c r="E923" s="6"/>
      <c r="F923" s="6"/>
      <c r="G923" s="6"/>
      <c r="H923" s="6"/>
      <c r="I923" s="6"/>
      <c r="J923" s="6"/>
      <c r="K923" s="6"/>
      <c r="L923" s="6"/>
      <c r="M923" s="6"/>
      <c r="N923" s="6"/>
      <c r="O923" s="6"/>
      <c r="P923" s="6"/>
      <c r="R923" s="6"/>
      <c r="S923" s="6"/>
      <c r="T923" s="6"/>
      <c r="U923" s="6"/>
      <c r="V923" s="6"/>
      <c r="W923" s="6"/>
      <c r="X923" s="6"/>
      <c r="Y923" s="6"/>
      <c r="Z923" s="6"/>
      <c r="AA923" s="6"/>
      <c r="AB923" s="6"/>
      <c r="AD923" s="6"/>
      <c r="AE923" s="6"/>
      <c r="AF923" s="6"/>
      <c r="AG923" s="6"/>
      <c r="AH923" s="6"/>
      <c r="AI923" s="6"/>
      <c r="AK923" s="6"/>
      <c r="AL923" s="6"/>
      <c r="AM923" s="6"/>
      <c r="AN923" s="6"/>
      <c r="AO923" s="6"/>
      <c r="AP923" s="6"/>
      <c r="AQ923" s="6"/>
      <c r="AR923" s="6"/>
      <c r="AS923" s="15"/>
      <c r="AT923" s="6" t="str">
        <f ca="1">IFERROR(__xludf.DUMMYFUNCTION("""COMPUTED_VALUE"""),"#N/A")</f>
        <v>#N/A</v>
      </c>
      <c r="AU923" s="6" t="str">
        <f ca="1">IFERROR(__xludf.DUMMYFUNCTION("""COMPUTED_VALUE"""),"FALSE")</f>
        <v>FALSE</v>
      </c>
      <c r="AW923" s="6">
        <f t="shared" si="64"/>
        <v>0</v>
      </c>
      <c r="AX923" s="6">
        <f t="shared" si="65"/>
        <v>0</v>
      </c>
      <c r="AY923" s="6">
        <f t="shared" si="66"/>
        <v>0</v>
      </c>
      <c r="AZ923" s="9" t="str">
        <f t="shared" si="67"/>
        <v/>
      </c>
      <c r="BA923" s="6">
        <f t="shared" si="68"/>
        <v>0</v>
      </c>
      <c r="BB923" s="6">
        <f t="shared" si="69"/>
        <v>0</v>
      </c>
      <c r="BC923" s="9" t="str">
        <f t="shared" si="70"/>
        <v/>
      </c>
      <c r="BD923" s="6">
        <f t="shared" si="71"/>
        <v>0</v>
      </c>
      <c r="BE923" s="6">
        <f t="shared" si="72"/>
        <v>0</v>
      </c>
      <c r="BF923" s="9" t="str">
        <f t="shared" si="73"/>
        <v/>
      </c>
      <c r="BG923" s="6">
        <f t="shared" si="74"/>
        <v>0</v>
      </c>
      <c r="BH923" s="6">
        <f t="shared" si="75"/>
        <v>0</v>
      </c>
      <c r="BI923" s="9" t="str">
        <f t="shared" si="76"/>
        <v/>
      </c>
      <c r="BJ923" s="6">
        <f t="shared" si="77"/>
        <v>0</v>
      </c>
      <c r="BK923" s="6">
        <f t="shared" si="78"/>
        <v>0</v>
      </c>
      <c r="BL923" s="6">
        <f t="shared" si="79"/>
        <v>0</v>
      </c>
      <c r="BM923" s="6">
        <f t="shared" si="80"/>
        <v>0</v>
      </c>
      <c r="BN923" s="6">
        <f t="shared" si="81"/>
        <v>0</v>
      </c>
      <c r="BP923" s="6">
        <f t="shared" si="82"/>
        <v>0</v>
      </c>
      <c r="BQ923" s="6" t="b">
        <f ca="1">IFERROR(__xludf.DUMMYFUNCTION("IF(AND(ISERROR(FILTER('Items by Team'!D$2:D3410,'Items by Team'!C$2:C3410 = D923,'Items by Team'!B$2:B3410 = B923)),NOT(A923=""Practice"")),TRUE,FALSE)"),FALSE)</f>
        <v>0</v>
      </c>
      <c r="BR923" s="6">
        <f t="shared" ca="1" si="83"/>
        <v>0</v>
      </c>
    </row>
    <row r="924" spans="1:70">
      <c r="A924" s="6"/>
      <c r="B924" s="6"/>
      <c r="C924" s="6"/>
      <c r="D924" s="6"/>
      <c r="E924" s="6"/>
      <c r="F924" s="6"/>
      <c r="G924" s="6"/>
      <c r="H924" s="6"/>
      <c r="I924" s="6"/>
      <c r="J924" s="6"/>
      <c r="K924" s="6"/>
      <c r="L924" s="6"/>
      <c r="M924" s="6"/>
      <c r="N924" s="6"/>
      <c r="O924" s="6"/>
      <c r="P924" s="6"/>
      <c r="R924" s="6"/>
      <c r="S924" s="6"/>
      <c r="T924" s="6"/>
      <c r="U924" s="6"/>
      <c r="V924" s="6"/>
      <c r="W924" s="6"/>
      <c r="X924" s="6"/>
      <c r="Y924" s="6"/>
      <c r="Z924" s="6"/>
      <c r="AA924" s="6"/>
      <c r="AB924" s="6"/>
      <c r="AD924" s="6"/>
      <c r="AE924" s="6"/>
      <c r="AF924" s="6"/>
      <c r="AG924" s="6"/>
      <c r="AH924" s="6"/>
      <c r="AI924" s="6"/>
      <c r="AK924" s="6"/>
      <c r="AL924" s="6"/>
      <c r="AM924" s="6"/>
      <c r="AN924" s="6"/>
      <c r="AO924" s="6"/>
      <c r="AP924" s="6"/>
      <c r="AQ924" s="6"/>
      <c r="AR924" s="6"/>
      <c r="AS924" s="15"/>
      <c r="AT924" s="6" t="str">
        <f ca="1">IFERROR(__xludf.DUMMYFUNCTION("""COMPUTED_VALUE"""),"#N/A")</f>
        <v>#N/A</v>
      </c>
      <c r="AU924" s="6" t="str">
        <f ca="1">IFERROR(__xludf.DUMMYFUNCTION("""COMPUTED_VALUE"""),"FALSE")</f>
        <v>FALSE</v>
      </c>
      <c r="AW924" s="6">
        <f t="shared" si="64"/>
        <v>0</v>
      </c>
      <c r="AX924" s="6">
        <f t="shared" si="65"/>
        <v>0</v>
      </c>
      <c r="AY924" s="6">
        <f t="shared" si="66"/>
        <v>0</v>
      </c>
      <c r="AZ924" s="9" t="str">
        <f t="shared" si="67"/>
        <v/>
      </c>
      <c r="BA924" s="6">
        <f t="shared" si="68"/>
        <v>0</v>
      </c>
      <c r="BB924" s="6">
        <f t="shared" si="69"/>
        <v>0</v>
      </c>
      <c r="BC924" s="9" t="str">
        <f t="shared" si="70"/>
        <v/>
      </c>
      <c r="BD924" s="6">
        <f t="shared" si="71"/>
        <v>0</v>
      </c>
      <c r="BE924" s="6">
        <f t="shared" si="72"/>
        <v>0</v>
      </c>
      <c r="BF924" s="9" t="str">
        <f t="shared" si="73"/>
        <v/>
      </c>
      <c r="BG924" s="6">
        <f t="shared" si="74"/>
        <v>0</v>
      </c>
      <c r="BH924" s="6">
        <f t="shared" si="75"/>
        <v>0</v>
      </c>
      <c r="BI924" s="9" t="str">
        <f t="shared" si="76"/>
        <v/>
      </c>
      <c r="BJ924" s="6">
        <f t="shared" si="77"/>
        <v>0</v>
      </c>
      <c r="BK924" s="6">
        <f t="shared" si="78"/>
        <v>0</v>
      </c>
      <c r="BL924" s="6">
        <f t="shared" si="79"/>
        <v>0</v>
      </c>
      <c r="BM924" s="6">
        <f t="shared" si="80"/>
        <v>0</v>
      </c>
      <c r="BN924" s="6">
        <f t="shared" si="81"/>
        <v>0</v>
      </c>
      <c r="BP924" s="6">
        <f t="shared" si="82"/>
        <v>0</v>
      </c>
      <c r="BQ924" s="6" t="b">
        <f ca="1">IFERROR(__xludf.DUMMYFUNCTION("IF(AND(ISERROR(FILTER('Items by Team'!D$2:D3410,'Items by Team'!C$2:C3410 = D924,'Items by Team'!B$2:B3410 = B924)),NOT(A924=""Practice"")),TRUE,FALSE)"),FALSE)</f>
        <v>0</v>
      </c>
      <c r="BR924" s="6">
        <f t="shared" ca="1" si="83"/>
        <v>0</v>
      </c>
    </row>
    <row r="925" spans="1:70">
      <c r="A925" s="6"/>
      <c r="B925" s="6"/>
      <c r="C925" s="6"/>
      <c r="D925" s="6"/>
      <c r="E925" s="6"/>
      <c r="F925" s="6"/>
      <c r="G925" s="6"/>
      <c r="H925" s="6"/>
      <c r="I925" s="6"/>
      <c r="J925" s="6"/>
      <c r="K925" s="6"/>
      <c r="L925" s="6"/>
      <c r="M925" s="6"/>
      <c r="N925" s="6"/>
      <c r="O925" s="6"/>
      <c r="P925" s="6"/>
      <c r="R925" s="6"/>
      <c r="S925" s="6"/>
      <c r="T925" s="6"/>
      <c r="U925" s="6"/>
      <c r="V925" s="6"/>
      <c r="W925" s="6"/>
      <c r="X925" s="6"/>
      <c r="Y925" s="6"/>
      <c r="Z925" s="6"/>
      <c r="AA925" s="6"/>
      <c r="AB925" s="6"/>
      <c r="AD925" s="6"/>
      <c r="AE925" s="6"/>
      <c r="AF925" s="6"/>
      <c r="AG925" s="6"/>
      <c r="AH925" s="6"/>
      <c r="AI925" s="6"/>
      <c r="AK925" s="6"/>
      <c r="AL925" s="6"/>
      <c r="AM925" s="6"/>
      <c r="AN925" s="6"/>
      <c r="AO925" s="6"/>
      <c r="AP925" s="6"/>
      <c r="AQ925" s="6"/>
      <c r="AR925" s="6"/>
      <c r="AS925" s="15"/>
      <c r="AT925" s="6" t="str">
        <f ca="1">IFERROR(__xludf.DUMMYFUNCTION("""COMPUTED_VALUE"""),"#N/A")</f>
        <v>#N/A</v>
      </c>
      <c r="AU925" s="6" t="str">
        <f ca="1">IFERROR(__xludf.DUMMYFUNCTION("""COMPUTED_VALUE"""),"FALSE")</f>
        <v>FALSE</v>
      </c>
      <c r="AW925" s="6">
        <f t="shared" si="64"/>
        <v>0</v>
      </c>
      <c r="AX925" s="6">
        <f t="shared" si="65"/>
        <v>0</v>
      </c>
      <c r="AY925" s="6">
        <f t="shared" si="66"/>
        <v>0</v>
      </c>
      <c r="AZ925" s="9" t="str">
        <f t="shared" si="67"/>
        <v/>
      </c>
      <c r="BA925" s="6">
        <f t="shared" si="68"/>
        <v>0</v>
      </c>
      <c r="BB925" s="6">
        <f t="shared" si="69"/>
        <v>0</v>
      </c>
      <c r="BC925" s="9" t="str">
        <f t="shared" si="70"/>
        <v/>
      </c>
      <c r="BD925" s="6">
        <f t="shared" si="71"/>
        <v>0</v>
      </c>
      <c r="BE925" s="6">
        <f t="shared" si="72"/>
        <v>0</v>
      </c>
      <c r="BF925" s="9" t="str">
        <f t="shared" si="73"/>
        <v/>
      </c>
      <c r="BG925" s="6">
        <f t="shared" si="74"/>
        <v>0</v>
      </c>
      <c r="BH925" s="6">
        <f t="shared" si="75"/>
        <v>0</v>
      </c>
      <c r="BI925" s="9" t="str">
        <f t="shared" si="76"/>
        <v/>
      </c>
      <c r="BJ925" s="6">
        <f t="shared" si="77"/>
        <v>0</v>
      </c>
      <c r="BK925" s="6">
        <f t="shared" si="78"/>
        <v>0</v>
      </c>
      <c r="BL925" s="6">
        <f t="shared" si="79"/>
        <v>0</v>
      </c>
      <c r="BM925" s="6">
        <f t="shared" si="80"/>
        <v>0</v>
      </c>
      <c r="BN925" s="6">
        <f t="shared" si="81"/>
        <v>0</v>
      </c>
      <c r="BP925" s="6">
        <f t="shared" si="82"/>
        <v>0</v>
      </c>
      <c r="BQ925" s="6" t="b">
        <f ca="1">IFERROR(__xludf.DUMMYFUNCTION("IF(AND(ISERROR(FILTER('Items by Team'!D$2:D3410,'Items by Team'!C$2:C3410 = D925,'Items by Team'!B$2:B3410 = B925)),NOT(A925=""Practice"")),TRUE,FALSE)"),FALSE)</f>
        <v>0</v>
      </c>
      <c r="BR925" s="6">
        <f t="shared" ca="1" si="83"/>
        <v>0</v>
      </c>
    </row>
    <row r="926" spans="1:70">
      <c r="A926" s="6"/>
      <c r="B926" s="6"/>
      <c r="C926" s="6"/>
      <c r="D926" s="6"/>
      <c r="E926" s="6"/>
      <c r="F926" s="6"/>
      <c r="G926" s="6"/>
      <c r="H926" s="6"/>
      <c r="I926" s="6"/>
      <c r="J926" s="6"/>
      <c r="K926" s="6"/>
      <c r="L926" s="6"/>
      <c r="M926" s="6"/>
      <c r="N926" s="6"/>
      <c r="O926" s="6"/>
      <c r="P926" s="6"/>
      <c r="R926" s="6"/>
      <c r="S926" s="6"/>
      <c r="T926" s="6"/>
      <c r="U926" s="6"/>
      <c r="V926" s="6"/>
      <c r="W926" s="6"/>
      <c r="X926" s="6"/>
      <c r="Y926" s="6"/>
      <c r="Z926" s="6"/>
      <c r="AA926" s="6"/>
      <c r="AB926" s="6"/>
      <c r="AD926" s="6"/>
      <c r="AE926" s="6"/>
      <c r="AF926" s="6"/>
      <c r="AG926" s="6"/>
      <c r="AH926" s="6"/>
      <c r="AI926" s="6"/>
      <c r="AK926" s="6"/>
      <c r="AL926" s="6"/>
      <c r="AM926" s="6"/>
      <c r="AN926" s="6"/>
      <c r="AO926" s="6"/>
      <c r="AP926" s="6"/>
      <c r="AQ926" s="6"/>
      <c r="AR926" s="6"/>
      <c r="AS926" s="15"/>
      <c r="AT926" s="6" t="str">
        <f ca="1">IFERROR(__xludf.DUMMYFUNCTION("""COMPUTED_VALUE"""),"#N/A")</f>
        <v>#N/A</v>
      </c>
      <c r="AU926" s="6" t="str">
        <f ca="1">IFERROR(__xludf.DUMMYFUNCTION("""COMPUTED_VALUE"""),"FALSE")</f>
        <v>FALSE</v>
      </c>
      <c r="AW926" s="6">
        <f t="shared" si="64"/>
        <v>0</v>
      </c>
      <c r="AX926" s="6">
        <f t="shared" si="65"/>
        <v>0</v>
      </c>
      <c r="AY926" s="6">
        <f t="shared" si="66"/>
        <v>0</v>
      </c>
      <c r="AZ926" s="9" t="str">
        <f t="shared" si="67"/>
        <v/>
      </c>
      <c r="BA926" s="6">
        <f t="shared" si="68"/>
        <v>0</v>
      </c>
      <c r="BB926" s="6">
        <f t="shared" si="69"/>
        <v>0</v>
      </c>
      <c r="BC926" s="9" t="str">
        <f t="shared" si="70"/>
        <v/>
      </c>
      <c r="BD926" s="6">
        <f t="shared" si="71"/>
        <v>0</v>
      </c>
      <c r="BE926" s="6">
        <f t="shared" si="72"/>
        <v>0</v>
      </c>
      <c r="BF926" s="9" t="str">
        <f t="shared" si="73"/>
        <v/>
      </c>
      <c r="BG926" s="6">
        <f t="shared" si="74"/>
        <v>0</v>
      </c>
      <c r="BH926" s="6">
        <f t="shared" si="75"/>
        <v>0</v>
      </c>
      <c r="BI926" s="9" t="str">
        <f t="shared" si="76"/>
        <v/>
      </c>
      <c r="BJ926" s="6">
        <f t="shared" si="77"/>
        <v>0</v>
      </c>
      <c r="BK926" s="6">
        <f t="shared" si="78"/>
        <v>0</v>
      </c>
      <c r="BL926" s="6">
        <f t="shared" si="79"/>
        <v>0</v>
      </c>
      <c r="BM926" s="6">
        <f t="shared" si="80"/>
        <v>0</v>
      </c>
      <c r="BN926" s="6">
        <f t="shared" si="81"/>
        <v>0</v>
      </c>
      <c r="BP926" s="6">
        <f t="shared" si="82"/>
        <v>0</v>
      </c>
      <c r="BQ926" s="6" t="b">
        <f ca="1">IFERROR(__xludf.DUMMYFUNCTION("IF(AND(ISERROR(FILTER('Items by Team'!D$2:D3410,'Items by Team'!C$2:C3410 = D926,'Items by Team'!B$2:B3410 = B926)),NOT(A926=""Practice"")),TRUE,FALSE)"),FALSE)</f>
        <v>0</v>
      </c>
      <c r="BR926" s="6">
        <f t="shared" ca="1" si="83"/>
        <v>0</v>
      </c>
    </row>
    <row r="927" spans="1:70">
      <c r="A927" s="6"/>
      <c r="B927" s="6"/>
      <c r="C927" s="6"/>
      <c r="D927" s="6"/>
      <c r="E927" s="6"/>
      <c r="F927" s="6"/>
      <c r="G927" s="6"/>
      <c r="H927" s="6"/>
      <c r="I927" s="6"/>
      <c r="J927" s="6"/>
      <c r="K927" s="6"/>
      <c r="L927" s="6"/>
      <c r="M927" s="6"/>
      <c r="N927" s="6"/>
      <c r="O927" s="6"/>
      <c r="P927" s="6"/>
      <c r="R927" s="6"/>
      <c r="S927" s="6"/>
      <c r="T927" s="6"/>
      <c r="U927" s="6"/>
      <c r="V927" s="6"/>
      <c r="W927" s="6"/>
      <c r="X927" s="6"/>
      <c r="Y927" s="6"/>
      <c r="Z927" s="6"/>
      <c r="AA927" s="6"/>
      <c r="AB927" s="6"/>
      <c r="AD927" s="6"/>
      <c r="AE927" s="6"/>
      <c r="AF927" s="6"/>
      <c r="AG927" s="6"/>
      <c r="AH927" s="6"/>
      <c r="AI927" s="6"/>
      <c r="AK927" s="6"/>
      <c r="AL927" s="6"/>
      <c r="AM927" s="6"/>
      <c r="AN927" s="6"/>
      <c r="AO927" s="6"/>
      <c r="AP927" s="6"/>
      <c r="AQ927" s="6"/>
      <c r="AR927" s="6"/>
      <c r="AS927" s="15"/>
      <c r="AT927" s="6" t="str">
        <f ca="1">IFERROR(__xludf.DUMMYFUNCTION("""COMPUTED_VALUE"""),"#N/A")</f>
        <v>#N/A</v>
      </c>
      <c r="AU927" s="6" t="str">
        <f ca="1">IFERROR(__xludf.DUMMYFUNCTION("""COMPUTED_VALUE"""),"FALSE")</f>
        <v>FALSE</v>
      </c>
      <c r="AW927" s="6">
        <f t="shared" si="64"/>
        <v>0</v>
      </c>
      <c r="AX927" s="6">
        <f t="shared" si="65"/>
        <v>0</v>
      </c>
      <c r="AY927" s="6">
        <f t="shared" si="66"/>
        <v>0</v>
      </c>
      <c r="AZ927" s="9" t="str">
        <f t="shared" si="67"/>
        <v/>
      </c>
      <c r="BA927" s="6">
        <f t="shared" si="68"/>
        <v>0</v>
      </c>
      <c r="BB927" s="6">
        <f t="shared" si="69"/>
        <v>0</v>
      </c>
      <c r="BC927" s="9" t="str">
        <f t="shared" si="70"/>
        <v/>
      </c>
      <c r="BD927" s="6">
        <f t="shared" si="71"/>
        <v>0</v>
      </c>
      <c r="BE927" s="6">
        <f t="shared" si="72"/>
        <v>0</v>
      </c>
      <c r="BF927" s="9" t="str">
        <f t="shared" si="73"/>
        <v/>
      </c>
      <c r="BG927" s="6">
        <f t="shared" si="74"/>
        <v>0</v>
      </c>
      <c r="BH927" s="6">
        <f t="shared" si="75"/>
        <v>0</v>
      </c>
      <c r="BI927" s="9" t="str">
        <f t="shared" si="76"/>
        <v/>
      </c>
      <c r="BJ927" s="6">
        <f t="shared" si="77"/>
        <v>0</v>
      </c>
      <c r="BK927" s="6">
        <f t="shared" si="78"/>
        <v>0</v>
      </c>
      <c r="BL927" s="6">
        <f t="shared" si="79"/>
        <v>0</v>
      </c>
      <c r="BM927" s="6">
        <f t="shared" si="80"/>
        <v>0</v>
      </c>
      <c r="BN927" s="6">
        <f t="shared" si="81"/>
        <v>0</v>
      </c>
      <c r="BP927" s="6">
        <f t="shared" si="82"/>
        <v>0</v>
      </c>
      <c r="BQ927" s="6" t="b">
        <f ca="1">IFERROR(__xludf.DUMMYFUNCTION("IF(AND(ISERROR(FILTER('Items by Team'!D$2:D3410,'Items by Team'!C$2:C3410 = D927,'Items by Team'!B$2:B3410 = B927)),NOT(A927=""Practice"")),TRUE,FALSE)"),FALSE)</f>
        <v>0</v>
      </c>
      <c r="BR927" s="6">
        <f t="shared" ca="1" si="83"/>
        <v>0</v>
      </c>
    </row>
    <row r="928" spans="1:70">
      <c r="A928" s="6"/>
      <c r="B928" s="6"/>
      <c r="C928" s="6"/>
      <c r="D928" s="6"/>
      <c r="E928" s="6"/>
      <c r="F928" s="6"/>
      <c r="G928" s="6"/>
      <c r="H928" s="6"/>
      <c r="I928" s="6"/>
      <c r="J928" s="6"/>
      <c r="K928" s="6"/>
      <c r="L928" s="6"/>
      <c r="M928" s="6"/>
      <c r="N928" s="6"/>
      <c r="O928" s="6"/>
      <c r="P928" s="6"/>
      <c r="R928" s="6"/>
      <c r="S928" s="6"/>
      <c r="T928" s="6"/>
      <c r="U928" s="6"/>
      <c r="V928" s="6"/>
      <c r="W928" s="6"/>
      <c r="X928" s="6"/>
      <c r="Y928" s="6"/>
      <c r="Z928" s="6"/>
      <c r="AA928" s="6"/>
      <c r="AB928" s="6"/>
      <c r="AD928" s="6"/>
      <c r="AE928" s="6"/>
      <c r="AF928" s="6"/>
      <c r="AG928" s="6"/>
      <c r="AH928" s="6"/>
      <c r="AI928" s="6"/>
      <c r="AK928" s="6"/>
      <c r="AL928" s="6"/>
      <c r="AM928" s="6"/>
      <c r="AN928" s="6"/>
      <c r="AO928" s="6"/>
      <c r="AP928" s="6"/>
      <c r="AQ928" s="6"/>
      <c r="AR928" s="6"/>
      <c r="AS928" s="15"/>
      <c r="AT928" s="6" t="str">
        <f ca="1">IFERROR(__xludf.DUMMYFUNCTION("""COMPUTED_VALUE"""),"#N/A")</f>
        <v>#N/A</v>
      </c>
      <c r="AU928" s="6" t="str">
        <f ca="1">IFERROR(__xludf.DUMMYFUNCTION("""COMPUTED_VALUE"""),"FALSE")</f>
        <v>FALSE</v>
      </c>
      <c r="AW928" s="6">
        <f t="shared" si="64"/>
        <v>0</v>
      </c>
      <c r="AX928" s="6">
        <f t="shared" si="65"/>
        <v>0</v>
      </c>
      <c r="AY928" s="6">
        <f t="shared" si="66"/>
        <v>0</v>
      </c>
      <c r="AZ928" s="9" t="str">
        <f t="shared" si="67"/>
        <v/>
      </c>
      <c r="BA928" s="6">
        <f t="shared" si="68"/>
        <v>0</v>
      </c>
      <c r="BB928" s="6">
        <f t="shared" si="69"/>
        <v>0</v>
      </c>
      <c r="BC928" s="9" t="str">
        <f t="shared" si="70"/>
        <v/>
      </c>
      <c r="BD928" s="6">
        <f t="shared" si="71"/>
        <v>0</v>
      </c>
      <c r="BE928" s="6">
        <f t="shared" si="72"/>
        <v>0</v>
      </c>
      <c r="BF928" s="9" t="str">
        <f t="shared" si="73"/>
        <v/>
      </c>
      <c r="BG928" s="6">
        <f t="shared" si="74"/>
        <v>0</v>
      </c>
      <c r="BH928" s="6">
        <f t="shared" si="75"/>
        <v>0</v>
      </c>
      <c r="BI928" s="9" t="str">
        <f t="shared" si="76"/>
        <v/>
      </c>
      <c r="BJ928" s="6">
        <f t="shared" si="77"/>
        <v>0</v>
      </c>
      <c r="BK928" s="6">
        <f t="shared" si="78"/>
        <v>0</v>
      </c>
      <c r="BL928" s="6">
        <f t="shared" si="79"/>
        <v>0</v>
      </c>
      <c r="BM928" s="6">
        <f t="shared" si="80"/>
        <v>0</v>
      </c>
      <c r="BN928" s="6">
        <f t="shared" si="81"/>
        <v>0</v>
      </c>
      <c r="BP928" s="6">
        <f t="shared" si="82"/>
        <v>0</v>
      </c>
      <c r="BQ928" s="6" t="b">
        <f ca="1">IFERROR(__xludf.DUMMYFUNCTION("IF(AND(ISERROR(FILTER('Items by Team'!D$2:D3410,'Items by Team'!C$2:C3410 = D928,'Items by Team'!B$2:B3410 = B928)),NOT(A928=""Practice"")),TRUE,FALSE)"),FALSE)</f>
        <v>0</v>
      </c>
      <c r="BR928" s="6">
        <f t="shared" ca="1" si="83"/>
        <v>0</v>
      </c>
    </row>
    <row r="929" spans="1:70">
      <c r="A929" s="6"/>
      <c r="B929" s="6"/>
      <c r="C929" s="6"/>
      <c r="D929" s="6"/>
      <c r="E929" s="6"/>
      <c r="F929" s="6"/>
      <c r="G929" s="6"/>
      <c r="H929" s="6"/>
      <c r="I929" s="6"/>
      <c r="J929" s="6"/>
      <c r="K929" s="6"/>
      <c r="L929" s="6"/>
      <c r="M929" s="6"/>
      <c r="N929" s="6"/>
      <c r="O929" s="6"/>
      <c r="P929" s="6"/>
      <c r="R929" s="6"/>
      <c r="S929" s="6"/>
      <c r="T929" s="6"/>
      <c r="U929" s="6"/>
      <c r="V929" s="6"/>
      <c r="W929" s="6"/>
      <c r="X929" s="6"/>
      <c r="Y929" s="6"/>
      <c r="Z929" s="6"/>
      <c r="AA929" s="6"/>
      <c r="AB929" s="6"/>
      <c r="AD929" s="6"/>
      <c r="AE929" s="6"/>
      <c r="AF929" s="6"/>
      <c r="AG929" s="6"/>
      <c r="AH929" s="6"/>
      <c r="AI929" s="6"/>
      <c r="AK929" s="6"/>
      <c r="AL929" s="6"/>
      <c r="AM929" s="6"/>
      <c r="AN929" s="6"/>
      <c r="AO929" s="6"/>
      <c r="AP929" s="6"/>
      <c r="AQ929" s="6"/>
      <c r="AR929" s="6"/>
      <c r="AS929" s="15"/>
      <c r="AT929" s="6" t="str">
        <f ca="1">IFERROR(__xludf.DUMMYFUNCTION("""COMPUTED_VALUE"""),"#N/A")</f>
        <v>#N/A</v>
      </c>
      <c r="AU929" s="6" t="str">
        <f ca="1">IFERROR(__xludf.DUMMYFUNCTION("""COMPUTED_VALUE"""),"FALSE")</f>
        <v>FALSE</v>
      </c>
      <c r="AW929" s="6">
        <f t="shared" si="64"/>
        <v>0</v>
      </c>
      <c r="AX929" s="6">
        <f t="shared" si="65"/>
        <v>0</v>
      </c>
      <c r="AY929" s="6">
        <f t="shared" si="66"/>
        <v>0</v>
      </c>
      <c r="AZ929" s="9" t="str">
        <f t="shared" si="67"/>
        <v/>
      </c>
      <c r="BA929" s="6">
        <f t="shared" si="68"/>
        <v>0</v>
      </c>
      <c r="BB929" s="6">
        <f t="shared" si="69"/>
        <v>0</v>
      </c>
      <c r="BC929" s="9" t="str">
        <f t="shared" si="70"/>
        <v/>
      </c>
      <c r="BD929" s="6">
        <f t="shared" si="71"/>
        <v>0</v>
      </c>
      <c r="BE929" s="6">
        <f t="shared" si="72"/>
        <v>0</v>
      </c>
      <c r="BF929" s="9" t="str">
        <f t="shared" si="73"/>
        <v/>
      </c>
      <c r="BG929" s="6">
        <f t="shared" si="74"/>
        <v>0</v>
      </c>
      <c r="BH929" s="6">
        <f t="shared" si="75"/>
        <v>0</v>
      </c>
      <c r="BI929" s="9" t="str">
        <f t="shared" si="76"/>
        <v/>
      </c>
      <c r="BJ929" s="6">
        <f t="shared" si="77"/>
        <v>0</v>
      </c>
      <c r="BK929" s="6">
        <f t="shared" si="78"/>
        <v>0</v>
      </c>
      <c r="BL929" s="6">
        <f t="shared" si="79"/>
        <v>0</v>
      </c>
      <c r="BM929" s="6">
        <f t="shared" si="80"/>
        <v>0</v>
      </c>
      <c r="BN929" s="6">
        <f t="shared" si="81"/>
        <v>0</v>
      </c>
      <c r="BP929" s="6">
        <f t="shared" si="82"/>
        <v>0</v>
      </c>
      <c r="BQ929" s="6" t="b">
        <f ca="1">IFERROR(__xludf.DUMMYFUNCTION("IF(AND(ISERROR(FILTER('Items by Team'!D$2:D3410,'Items by Team'!C$2:C3410 = D929,'Items by Team'!B$2:B3410 = B929)),NOT(A929=""Practice"")),TRUE,FALSE)"),FALSE)</f>
        <v>0</v>
      </c>
      <c r="BR929" s="6">
        <f t="shared" ca="1" si="83"/>
        <v>0</v>
      </c>
    </row>
    <row r="930" spans="1:70">
      <c r="A930" s="6"/>
      <c r="B930" s="6"/>
      <c r="C930" s="6"/>
      <c r="D930" s="6"/>
      <c r="E930" s="6"/>
      <c r="F930" s="6"/>
      <c r="G930" s="6"/>
      <c r="H930" s="6"/>
      <c r="I930" s="6"/>
      <c r="J930" s="6"/>
      <c r="K930" s="6"/>
      <c r="L930" s="6"/>
      <c r="M930" s="6"/>
      <c r="N930" s="6"/>
      <c r="O930" s="6"/>
      <c r="P930" s="6"/>
      <c r="R930" s="6"/>
      <c r="S930" s="6"/>
      <c r="T930" s="6"/>
      <c r="U930" s="6"/>
      <c r="V930" s="6"/>
      <c r="W930" s="6"/>
      <c r="X930" s="6"/>
      <c r="Y930" s="6"/>
      <c r="Z930" s="6"/>
      <c r="AA930" s="6"/>
      <c r="AB930" s="6"/>
      <c r="AD930" s="6"/>
      <c r="AE930" s="6"/>
      <c r="AF930" s="6"/>
      <c r="AG930" s="6"/>
      <c r="AH930" s="6"/>
      <c r="AI930" s="6"/>
      <c r="AK930" s="6"/>
      <c r="AL930" s="6"/>
      <c r="AM930" s="6"/>
      <c r="AN930" s="6"/>
      <c r="AO930" s="6"/>
      <c r="AP930" s="6"/>
      <c r="AQ930" s="6"/>
      <c r="AR930" s="6"/>
      <c r="AS930" s="15"/>
      <c r="AT930" s="6" t="str">
        <f ca="1">IFERROR(__xludf.DUMMYFUNCTION("""COMPUTED_VALUE"""),"#N/A")</f>
        <v>#N/A</v>
      </c>
      <c r="AU930" s="6" t="str">
        <f ca="1">IFERROR(__xludf.DUMMYFUNCTION("""COMPUTED_VALUE"""),"FALSE")</f>
        <v>FALSE</v>
      </c>
      <c r="AW930" s="6">
        <f t="shared" si="64"/>
        <v>0</v>
      </c>
      <c r="AX930" s="6">
        <f t="shared" si="65"/>
        <v>0</v>
      </c>
      <c r="AY930" s="6">
        <f t="shared" si="66"/>
        <v>0</v>
      </c>
      <c r="AZ930" s="9" t="str">
        <f t="shared" si="67"/>
        <v/>
      </c>
      <c r="BA930" s="6">
        <f t="shared" si="68"/>
        <v>0</v>
      </c>
      <c r="BB930" s="6">
        <f t="shared" si="69"/>
        <v>0</v>
      </c>
      <c r="BC930" s="9" t="str">
        <f t="shared" si="70"/>
        <v/>
      </c>
      <c r="BD930" s="6">
        <f t="shared" si="71"/>
        <v>0</v>
      </c>
      <c r="BE930" s="6">
        <f t="shared" si="72"/>
        <v>0</v>
      </c>
      <c r="BF930" s="9" t="str">
        <f t="shared" si="73"/>
        <v/>
      </c>
      <c r="BG930" s="6">
        <f t="shared" si="74"/>
        <v>0</v>
      </c>
      <c r="BH930" s="6">
        <f t="shared" si="75"/>
        <v>0</v>
      </c>
      <c r="BI930" s="9" t="str">
        <f t="shared" si="76"/>
        <v/>
      </c>
      <c r="BJ930" s="6">
        <f t="shared" si="77"/>
        <v>0</v>
      </c>
      <c r="BK930" s="6">
        <f t="shared" si="78"/>
        <v>0</v>
      </c>
      <c r="BL930" s="6">
        <f t="shared" si="79"/>
        <v>0</v>
      </c>
      <c r="BM930" s="6">
        <f t="shared" si="80"/>
        <v>0</v>
      </c>
      <c r="BN930" s="6">
        <f t="shared" si="81"/>
        <v>0</v>
      </c>
      <c r="BP930" s="6">
        <f t="shared" si="82"/>
        <v>0</v>
      </c>
      <c r="BQ930" s="6" t="b">
        <f ca="1">IFERROR(__xludf.DUMMYFUNCTION("IF(AND(ISERROR(FILTER('Items by Team'!D$2:D3410,'Items by Team'!C$2:C3410 = D930,'Items by Team'!B$2:B3410 = B930)),NOT(A930=""Practice"")),TRUE,FALSE)"),FALSE)</f>
        <v>0</v>
      </c>
      <c r="BR930" s="6">
        <f t="shared" ca="1" si="83"/>
        <v>0</v>
      </c>
    </row>
    <row r="931" spans="1:70">
      <c r="A931" s="6"/>
      <c r="B931" s="6"/>
      <c r="C931" s="6"/>
      <c r="D931" s="6"/>
      <c r="E931" s="6"/>
      <c r="F931" s="6"/>
      <c r="G931" s="6"/>
      <c r="H931" s="6"/>
      <c r="I931" s="6"/>
      <c r="J931" s="6"/>
      <c r="K931" s="6"/>
      <c r="L931" s="6"/>
      <c r="M931" s="6"/>
      <c r="N931" s="6"/>
      <c r="O931" s="6"/>
      <c r="P931" s="6"/>
      <c r="R931" s="6"/>
      <c r="S931" s="6"/>
      <c r="T931" s="6"/>
      <c r="U931" s="6"/>
      <c r="V931" s="6"/>
      <c r="W931" s="6"/>
      <c r="X931" s="6"/>
      <c r="Y931" s="6"/>
      <c r="Z931" s="6"/>
      <c r="AA931" s="6"/>
      <c r="AB931" s="6"/>
      <c r="AD931" s="6"/>
      <c r="AE931" s="6"/>
      <c r="AF931" s="6"/>
      <c r="AG931" s="6"/>
      <c r="AH931" s="6"/>
      <c r="AI931" s="6"/>
      <c r="AK931" s="6"/>
      <c r="AL931" s="6"/>
      <c r="AM931" s="6"/>
      <c r="AN931" s="6"/>
      <c r="AO931" s="6"/>
      <c r="AP931" s="6"/>
      <c r="AQ931" s="6"/>
      <c r="AR931" s="6"/>
      <c r="AS931" s="15"/>
      <c r="AT931" s="6" t="str">
        <f ca="1">IFERROR(__xludf.DUMMYFUNCTION("""COMPUTED_VALUE"""),"#N/A")</f>
        <v>#N/A</v>
      </c>
      <c r="AU931" s="6" t="str">
        <f ca="1">IFERROR(__xludf.DUMMYFUNCTION("""COMPUTED_VALUE"""),"FALSE")</f>
        <v>FALSE</v>
      </c>
      <c r="AW931" s="6">
        <f t="shared" si="64"/>
        <v>0</v>
      </c>
      <c r="AX931" s="6">
        <f t="shared" si="65"/>
        <v>0</v>
      </c>
      <c r="AY931" s="6">
        <f t="shared" si="66"/>
        <v>0</v>
      </c>
      <c r="AZ931" s="9" t="str">
        <f t="shared" si="67"/>
        <v/>
      </c>
      <c r="BA931" s="6">
        <f t="shared" si="68"/>
        <v>0</v>
      </c>
      <c r="BB931" s="6">
        <f t="shared" si="69"/>
        <v>0</v>
      </c>
      <c r="BC931" s="9" t="str">
        <f t="shared" si="70"/>
        <v/>
      </c>
      <c r="BD931" s="6">
        <f t="shared" si="71"/>
        <v>0</v>
      </c>
      <c r="BE931" s="6">
        <f t="shared" si="72"/>
        <v>0</v>
      </c>
      <c r="BF931" s="9" t="str">
        <f t="shared" si="73"/>
        <v/>
      </c>
      <c r="BG931" s="6">
        <f t="shared" si="74"/>
        <v>0</v>
      </c>
      <c r="BH931" s="6">
        <f t="shared" si="75"/>
        <v>0</v>
      </c>
      <c r="BI931" s="9" t="str">
        <f t="shared" si="76"/>
        <v/>
      </c>
      <c r="BJ931" s="6">
        <f t="shared" si="77"/>
        <v>0</v>
      </c>
      <c r="BK931" s="6">
        <f t="shared" si="78"/>
        <v>0</v>
      </c>
      <c r="BL931" s="6">
        <f t="shared" si="79"/>
        <v>0</v>
      </c>
      <c r="BM931" s="6">
        <f t="shared" si="80"/>
        <v>0</v>
      </c>
      <c r="BN931" s="6">
        <f t="shared" si="81"/>
        <v>0</v>
      </c>
      <c r="BP931" s="6">
        <f t="shared" si="82"/>
        <v>0</v>
      </c>
      <c r="BQ931" s="6" t="b">
        <f ca="1">IFERROR(__xludf.DUMMYFUNCTION("IF(AND(ISERROR(FILTER('Items by Team'!D$2:D3410,'Items by Team'!C$2:C3410 = D931,'Items by Team'!B$2:B3410 = B931)),NOT(A931=""Practice"")),TRUE,FALSE)"),FALSE)</f>
        <v>0</v>
      </c>
      <c r="BR931" s="6">
        <f t="shared" ca="1" si="83"/>
        <v>0</v>
      </c>
    </row>
    <row r="932" spans="1:70">
      <c r="A932" s="6"/>
      <c r="B932" s="6"/>
      <c r="C932" s="6"/>
      <c r="D932" s="6"/>
      <c r="E932" s="6"/>
      <c r="F932" s="6"/>
      <c r="G932" s="6"/>
      <c r="H932" s="6"/>
      <c r="I932" s="6"/>
      <c r="J932" s="6"/>
      <c r="K932" s="6"/>
      <c r="L932" s="6"/>
      <c r="M932" s="6"/>
      <c r="N932" s="6"/>
      <c r="O932" s="6"/>
      <c r="P932" s="6"/>
      <c r="R932" s="6"/>
      <c r="S932" s="6"/>
      <c r="T932" s="6"/>
      <c r="U932" s="6"/>
      <c r="V932" s="6"/>
      <c r="W932" s="6"/>
      <c r="X932" s="6"/>
      <c r="Y932" s="6"/>
      <c r="Z932" s="6"/>
      <c r="AA932" s="6"/>
      <c r="AB932" s="6"/>
      <c r="AD932" s="6"/>
      <c r="AE932" s="6"/>
      <c r="AF932" s="6"/>
      <c r="AG932" s="6"/>
      <c r="AH932" s="6"/>
      <c r="AI932" s="6"/>
      <c r="AK932" s="6"/>
      <c r="AL932" s="6"/>
      <c r="AM932" s="6"/>
      <c r="AN932" s="6"/>
      <c r="AO932" s="6"/>
      <c r="AP932" s="6"/>
      <c r="AQ932" s="6"/>
      <c r="AR932" s="6"/>
      <c r="AS932" s="15"/>
      <c r="AT932" s="6" t="str">
        <f ca="1">IFERROR(__xludf.DUMMYFUNCTION("""COMPUTED_VALUE"""),"#N/A")</f>
        <v>#N/A</v>
      </c>
      <c r="AU932" s="6" t="str">
        <f ca="1">IFERROR(__xludf.DUMMYFUNCTION("""COMPUTED_VALUE"""),"FALSE")</f>
        <v>FALSE</v>
      </c>
      <c r="AW932" s="6">
        <f t="shared" si="64"/>
        <v>0</v>
      </c>
      <c r="AX932" s="6">
        <f t="shared" si="65"/>
        <v>0</v>
      </c>
      <c r="AY932" s="6">
        <f t="shared" si="66"/>
        <v>0</v>
      </c>
      <c r="AZ932" s="9" t="str">
        <f t="shared" si="67"/>
        <v/>
      </c>
      <c r="BA932" s="6">
        <f t="shared" si="68"/>
        <v>0</v>
      </c>
      <c r="BB932" s="6">
        <f t="shared" si="69"/>
        <v>0</v>
      </c>
      <c r="BC932" s="9" t="str">
        <f t="shared" si="70"/>
        <v/>
      </c>
      <c r="BD932" s="6">
        <f t="shared" si="71"/>
        <v>0</v>
      </c>
      <c r="BE932" s="6">
        <f t="shared" si="72"/>
        <v>0</v>
      </c>
      <c r="BF932" s="9" t="str">
        <f t="shared" si="73"/>
        <v/>
      </c>
      <c r="BG932" s="6">
        <f t="shared" si="74"/>
        <v>0</v>
      </c>
      <c r="BH932" s="6">
        <f t="shared" si="75"/>
        <v>0</v>
      </c>
      <c r="BI932" s="9" t="str">
        <f t="shared" si="76"/>
        <v/>
      </c>
      <c r="BJ932" s="6">
        <f t="shared" si="77"/>
        <v>0</v>
      </c>
      <c r="BK932" s="6">
        <f t="shared" si="78"/>
        <v>0</v>
      </c>
      <c r="BL932" s="6">
        <f t="shared" si="79"/>
        <v>0</v>
      </c>
      <c r="BM932" s="6">
        <f t="shared" si="80"/>
        <v>0</v>
      </c>
      <c r="BN932" s="6">
        <f t="shared" si="81"/>
        <v>0</v>
      </c>
      <c r="BP932" s="6">
        <f t="shared" si="82"/>
        <v>0</v>
      </c>
      <c r="BQ932" s="6" t="b">
        <f ca="1">IFERROR(__xludf.DUMMYFUNCTION("IF(AND(ISERROR(FILTER('Items by Team'!D$2:D3410,'Items by Team'!C$2:C3410 = D932,'Items by Team'!B$2:B3410 = B932)),NOT(A932=""Practice"")),TRUE,FALSE)"),FALSE)</f>
        <v>0</v>
      </c>
      <c r="BR932" s="6">
        <f t="shared" ca="1" si="83"/>
        <v>0</v>
      </c>
    </row>
    <row r="933" spans="1:70">
      <c r="A933" s="6"/>
      <c r="B933" s="6"/>
      <c r="C933" s="6"/>
      <c r="D933" s="6"/>
      <c r="E933" s="6"/>
      <c r="F933" s="6"/>
      <c r="G933" s="6"/>
      <c r="H933" s="6"/>
      <c r="I933" s="6"/>
      <c r="J933" s="6"/>
      <c r="K933" s="6"/>
      <c r="L933" s="6"/>
      <c r="M933" s="6"/>
      <c r="N933" s="6"/>
      <c r="O933" s="6"/>
      <c r="P933" s="6"/>
      <c r="R933" s="6"/>
      <c r="S933" s="6"/>
      <c r="T933" s="6"/>
      <c r="U933" s="6"/>
      <c r="V933" s="6"/>
      <c r="W933" s="6"/>
      <c r="X933" s="6"/>
      <c r="Y933" s="6"/>
      <c r="Z933" s="6"/>
      <c r="AA933" s="6"/>
      <c r="AB933" s="6"/>
      <c r="AD933" s="6"/>
      <c r="AE933" s="6"/>
      <c r="AF933" s="6"/>
      <c r="AG933" s="6"/>
      <c r="AH933" s="6"/>
      <c r="AI933" s="6"/>
      <c r="AK933" s="6"/>
      <c r="AL933" s="6"/>
      <c r="AM933" s="6"/>
      <c r="AN933" s="6"/>
      <c r="AO933" s="6"/>
      <c r="AP933" s="6"/>
      <c r="AQ933" s="6"/>
      <c r="AR933" s="6"/>
      <c r="AS933" s="15"/>
      <c r="AT933" s="6" t="str">
        <f ca="1">IFERROR(__xludf.DUMMYFUNCTION("""COMPUTED_VALUE"""),"#N/A")</f>
        <v>#N/A</v>
      </c>
      <c r="AU933" s="6" t="str">
        <f ca="1">IFERROR(__xludf.DUMMYFUNCTION("""COMPUTED_VALUE"""),"FALSE")</f>
        <v>FALSE</v>
      </c>
      <c r="AW933" s="6">
        <f t="shared" si="64"/>
        <v>0</v>
      </c>
      <c r="AX933" s="6">
        <f t="shared" si="65"/>
        <v>0</v>
      </c>
      <c r="AY933" s="6">
        <f t="shared" si="66"/>
        <v>0</v>
      </c>
      <c r="AZ933" s="9" t="str">
        <f t="shared" si="67"/>
        <v/>
      </c>
      <c r="BA933" s="6">
        <f t="shared" si="68"/>
        <v>0</v>
      </c>
      <c r="BB933" s="6">
        <f t="shared" si="69"/>
        <v>0</v>
      </c>
      <c r="BC933" s="9" t="str">
        <f t="shared" si="70"/>
        <v/>
      </c>
      <c r="BD933" s="6">
        <f t="shared" si="71"/>
        <v>0</v>
      </c>
      <c r="BE933" s="6">
        <f t="shared" si="72"/>
        <v>0</v>
      </c>
      <c r="BF933" s="9" t="str">
        <f t="shared" si="73"/>
        <v/>
      </c>
      <c r="BG933" s="6">
        <f t="shared" si="74"/>
        <v>0</v>
      </c>
      <c r="BH933" s="6">
        <f t="shared" si="75"/>
        <v>0</v>
      </c>
      <c r="BI933" s="9" t="str">
        <f t="shared" si="76"/>
        <v/>
      </c>
      <c r="BJ933" s="6">
        <f t="shared" si="77"/>
        <v>0</v>
      </c>
      <c r="BK933" s="6">
        <f t="shared" si="78"/>
        <v>0</v>
      </c>
      <c r="BL933" s="6">
        <f t="shared" si="79"/>
        <v>0</v>
      </c>
      <c r="BM933" s="6">
        <f t="shared" si="80"/>
        <v>0</v>
      </c>
      <c r="BN933" s="6">
        <f t="shared" si="81"/>
        <v>0</v>
      </c>
      <c r="BP933" s="6">
        <f t="shared" si="82"/>
        <v>0</v>
      </c>
      <c r="BQ933" s="6" t="b">
        <f ca="1">IFERROR(__xludf.DUMMYFUNCTION("IF(AND(ISERROR(FILTER('Items by Team'!D$2:D3410,'Items by Team'!C$2:C3410 = D933,'Items by Team'!B$2:B3410 = B933)),NOT(A933=""Practice"")),TRUE,FALSE)"),FALSE)</f>
        <v>0</v>
      </c>
      <c r="BR933" s="6">
        <f t="shared" ca="1" si="83"/>
        <v>0</v>
      </c>
    </row>
    <row r="934" spans="1:70">
      <c r="A934" s="6"/>
      <c r="B934" s="6"/>
      <c r="C934" s="6"/>
      <c r="D934" s="6"/>
      <c r="E934" s="6"/>
      <c r="F934" s="6"/>
      <c r="G934" s="6"/>
      <c r="H934" s="6"/>
      <c r="I934" s="6"/>
      <c r="J934" s="6"/>
      <c r="K934" s="6"/>
      <c r="L934" s="6"/>
      <c r="M934" s="6"/>
      <c r="N934" s="6"/>
      <c r="O934" s="6"/>
      <c r="P934" s="6"/>
      <c r="R934" s="6"/>
      <c r="S934" s="6"/>
      <c r="T934" s="6"/>
      <c r="U934" s="6"/>
      <c r="V934" s="6"/>
      <c r="W934" s="6"/>
      <c r="X934" s="6"/>
      <c r="Y934" s="6"/>
      <c r="Z934" s="6"/>
      <c r="AA934" s="6"/>
      <c r="AB934" s="6"/>
      <c r="AD934" s="6"/>
      <c r="AE934" s="6"/>
      <c r="AF934" s="6"/>
      <c r="AG934" s="6"/>
      <c r="AH934" s="6"/>
      <c r="AI934" s="6"/>
      <c r="AK934" s="6"/>
      <c r="AL934" s="6"/>
      <c r="AM934" s="6"/>
      <c r="AN934" s="6"/>
      <c r="AO934" s="6"/>
      <c r="AP934" s="6"/>
      <c r="AQ934" s="6"/>
      <c r="AR934" s="6"/>
      <c r="AS934" s="15"/>
      <c r="AT934" s="6" t="str">
        <f ca="1">IFERROR(__xludf.DUMMYFUNCTION("""COMPUTED_VALUE"""),"#N/A")</f>
        <v>#N/A</v>
      </c>
      <c r="AU934" s="6" t="str">
        <f ca="1">IFERROR(__xludf.DUMMYFUNCTION("""COMPUTED_VALUE"""),"FALSE")</f>
        <v>FALSE</v>
      </c>
      <c r="AW934" s="6">
        <f t="shared" si="64"/>
        <v>0</v>
      </c>
      <c r="AX934" s="6">
        <f t="shared" si="65"/>
        <v>0</v>
      </c>
      <c r="AY934" s="6">
        <f t="shared" si="66"/>
        <v>0</v>
      </c>
      <c r="AZ934" s="9" t="str">
        <f t="shared" si="67"/>
        <v/>
      </c>
      <c r="BA934" s="6">
        <f t="shared" si="68"/>
        <v>0</v>
      </c>
      <c r="BB934" s="6">
        <f t="shared" si="69"/>
        <v>0</v>
      </c>
      <c r="BC934" s="9" t="str">
        <f t="shared" si="70"/>
        <v/>
      </c>
      <c r="BD934" s="6">
        <f t="shared" si="71"/>
        <v>0</v>
      </c>
      <c r="BE934" s="6">
        <f t="shared" si="72"/>
        <v>0</v>
      </c>
      <c r="BF934" s="9" t="str">
        <f t="shared" si="73"/>
        <v/>
      </c>
      <c r="BG934" s="6">
        <f t="shared" si="74"/>
        <v>0</v>
      </c>
      <c r="BH934" s="6">
        <f t="shared" si="75"/>
        <v>0</v>
      </c>
      <c r="BI934" s="9" t="str">
        <f t="shared" si="76"/>
        <v/>
      </c>
      <c r="BJ934" s="6">
        <f t="shared" si="77"/>
        <v>0</v>
      </c>
      <c r="BK934" s="6">
        <f t="shared" si="78"/>
        <v>0</v>
      </c>
      <c r="BL934" s="6">
        <f t="shared" si="79"/>
        <v>0</v>
      </c>
      <c r="BM934" s="6">
        <f t="shared" si="80"/>
        <v>0</v>
      </c>
      <c r="BN934" s="6">
        <f t="shared" si="81"/>
        <v>0</v>
      </c>
      <c r="BP934" s="6">
        <f t="shared" si="82"/>
        <v>0</v>
      </c>
      <c r="BQ934" s="6" t="b">
        <f ca="1">IFERROR(__xludf.DUMMYFUNCTION("IF(AND(ISERROR(FILTER('Items by Team'!D$2:D3410,'Items by Team'!C$2:C3410 = D934,'Items by Team'!B$2:B3410 = B934)),NOT(A934=""Practice"")),TRUE,FALSE)"),FALSE)</f>
        <v>0</v>
      </c>
      <c r="BR934" s="6">
        <f t="shared" ca="1" si="83"/>
        <v>0</v>
      </c>
    </row>
    <row r="935" spans="1:70">
      <c r="A935" s="6"/>
      <c r="B935" s="6"/>
      <c r="C935" s="6"/>
      <c r="D935" s="6"/>
      <c r="E935" s="6"/>
      <c r="F935" s="6"/>
      <c r="G935" s="6"/>
      <c r="H935" s="6"/>
      <c r="I935" s="6"/>
      <c r="J935" s="6"/>
      <c r="K935" s="6"/>
      <c r="L935" s="6"/>
      <c r="M935" s="6"/>
      <c r="N935" s="6"/>
      <c r="O935" s="6"/>
      <c r="P935" s="6"/>
      <c r="R935" s="6"/>
      <c r="S935" s="6"/>
      <c r="T935" s="6"/>
      <c r="U935" s="6"/>
      <c r="V935" s="6"/>
      <c r="W935" s="6"/>
      <c r="X935" s="6"/>
      <c r="Y935" s="6"/>
      <c r="Z935" s="6"/>
      <c r="AA935" s="6"/>
      <c r="AB935" s="6"/>
      <c r="AD935" s="6"/>
      <c r="AE935" s="6"/>
      <c r="AF935" s="6"/>
      <c r="AG935" s="6"/>
      <c r="AH935" s="6"/>
      <c r="AI935" s="6"/>
      <c r="AK935" s="6"/>
      <c r="AL935" s="6"/>
      <c r="AM935" s="6"/>
      <c r="AN935" s="6"/>
      <c r="AO935" s="6"/>
      <c r="AP935" s="6"/>
      <c r="AQ935" s="6"/>
      <c r="AR935" s="6"/>
      <c r="AS935" s="15"/>
      <c r="AT935" s="6" t="str">
        <f ca="1">IFERROR(__xludf.DUMMYFUNCTION("""COMPUTED_VALUE"""),"#N/A")</f>
        <v>#N/A</v>
      </c>
      <c r="AU935" s="6" t="str">
        <f ca="1">IFERROR(__xludf.DUMMYFUNCTION("""COMPUTED_VALUE"""),"FALSE")</f>
        <v>FALSE</v>
      </c>
      <c r="AW935" s="6">
        <f t="shared" si="64"/>
        <v>0</v>
      </c>
      <c r="AX935" s="6">
        <f t="shared" si="65"/>
        <v>0</v>
      </c>
      <c r="AY935" s="6">
        <f t="shared" si="66"/>
        <v>0</v>
      </c>
      <c r="AZ935" s="9" t="str">
        <f t="shared" si="67"/>
        <v/>
      </c>
      <c r="BA935" s="6">
        <f t="shared" si="68"/>
        <v>0</v>
      </c>
      <c r="BB935" s="6">
        <f t="shared" si="69"/>
        <v>0</v>
      </c>
      <c r="BC935" s="9" t="str">
        <f t="shared" si="70"/>
        <v/>
      </c>
      <c r="BD935" s="6">
        <f t="shared" si="71"/>
        <v>0</v>
      </c>
      <c r="BE935" s="6">
        <f t="shared" si="72"/>
        <v>0</v>
      </c>
      <c r="BF935" s="9" t="str">
        <f t="shared" si="73"/>
        <v/>
      </c>
      <c r="BG935" s="6">
        <f t="shared" si="74"/>
        <v>0</v>
      </c>
      <c r="BH935" s="6">
        <f t="shared" si="75"/>
        <v>0</v>
      </c>
      <c r="BI935" s="9" t="str">
        <f t="shared" si="76"/>
        <v/>
      </c>
      <c r="BJ935" s="6">
        <f t="shared" si="77"/>
        <v>0</v>
      </c>
      <c r="BK935" s="6">
        <f t="shared" si="78"/>
        <v>0</v>
      </c>
      <c r="BL935" s="6">
        <f t="shared" si="79"/>
        <v>0</v>
      </c>
      <c r="BM935" s="6">
        <f t="shared" si="80"/>
        <v>0</v>
      </c>
      <c r="BN935" s="6">
        <f t="shared" si="81"/>
        <v>0</v>
      </c>
      <c r="BP935" s="6">
        <f t="shared" si="82"/>
        <v>0</v>
      </c>
      <c r="BQ935" s="6" t="b">
        <f ca="1">IFERROR(__xludf.DUMMYFUNCTION("IF(AND(ISERROR(FILTER('Items by Team'!D$2:D3410,'Items by Team'!C$2:C3410 = D935,'Items by Team'!B$2:B3410 = B935)),NOT(A935=""Practice"")),TRUE,FALSE)"),FALSE)</f>
        <v>0</v>
      </c>
      <c r="BR935" s="6">
        <f t="shared" ca="1" si="83"/>
        <v>0</v>
      </c>
    </row>
    <row r="936" spans="1:70">
      <c r="A936" s="6"/>
      <c r="B936" s="6"/>
      <c r="C936" s="6"/>
      <c r="D936" s="6"/>
      <c r="E936" s="6"/>
      <c r="F936" s="6"/>
      <c r="G936" s="6"/>
      <c r="H936" s="6"/>
      <c r="I936" s="6"/>
      <c r="J936" s="6"/>
      <c r="K936" s="6"/>
      <c r="L936" s="6"/>
      <c r="M936" s="6"/>
      <c r="N936" s="6"/>
      <c r="O936" s="6"/>
      <c r="P936" s="6"/>
      <c r="R936" s="6"/>
      <c r="S936" s="6"/>
      <c r="T936" s="6"/>
      <c r="U936" s="6"/>
      <c r="V936" s="6"/>
      <c r="W936" s="6"/>
      <c r="X936" s="6"/>
      <c r="Y936" s="6"/>
      <c r="Z936" s="6"/>
      <c r="AA936" s="6"/>
      <c r="AB936" s="6"/>
      <c r="AD936" s="6"/>
      <c r="AE936" s="6"/>
      <c r="AF936" s="6"/>
      <c r="AG936" s="6"/>
      <c r="AH936" s="6"/>
      <c r="AI936" s="6"/>
      <c r="AK936" s="6"/>
      <c r="AL936" s="6"/>
      <c r="AM936" s="6"/>
      <c r="AN936" s="6"/>
      <c r="AO936" s="6"/>
      <c r="AP936" s="6"/>
      <c r="AQ936" s="6"/>
      <c r="AR936" s="6"/>
      <c r="AS936" s="15"/>
      <c r="AT936" s="6" t="str">
        <f ca="1">IFERROR(__xludf.DUMMYFUNCTION("""COMPUTED_VALUE"""),"#N/A")</f>
        <v>#N/A</v>
      </c>
      <c r="AU936" s="6" t="str">
        <f ca="1">IFERROR(__xludf.DUMMYFUNCTION("""COMPUTED_VALUE"""),"FALSE")</f>
        <v>FALSE</v>
      </c>
      <c r="AW936" s="6">
        <f t="shared" si="64"/>
        <v>0</v>
      </c>
      <c r="AX936" s="6">
        <f t="shared" si="65"/>
        <v>0</v>
      </c>
      <c r="AY936" s="6">
        <f t="shared" si="66"/>
        <v>0</v>
      </c>
      <c r="AZ936" s="9" t="str">
        <f t="shared" si="67"/>
        <v/>
      </c>
      <c r="BA936" s="6">
        <f t="shared" si="68"/>
        <v>0</v>
      </c>
      <c r="BB936" s="6">
        <f t="shared" si="69"/>
        <v>0</v>
      </c>
      <c r="BC936" s="9" t="str">
        <f t="shared" si="70"/>
        <v/>
      </c>
      <c r="BD936" s="6">
        <f t="shared" si="71"/>
        <v>0</v>
      </c>
      <c r="BE936" s="6">
        <f t="shared" si="72"/>
        <v>0</v>
      </c>
      <c r="BF936" s="9" t="str">
        <f t="shared" si="73"/>
        <v/>
      </c>
      <c r="BG936" s="6">
        <f t="shared" si="74"/>
        <v>0</v>
      </c>
      <c r="BH936" s="6">
        <f t="shared" si="75"/>
        <v>0</v>
      </c>
      <c r="BI936" s="9" t="str">
        <f t="shared" si="76"/>
        <v/>
      </c>
      <c r="BJ936" s="6">
        <f t="shared" si="77"/>
        <v>0</v>
      </c>
      <c r="BK936" s="6">
        <f t="shared" si="78"/>
        <v>0</v>
      </c>
      <c r="BL936" s="6">
        <f t="shared" si="79"/>
        <v>0</v>
      </c>
      <c r="BM936" s="6">
        <f t="shared" si="80"/>
        <v>0</v>
      </c>
      <c r="BN936" s="6">
        <f t="shared" si="81"/>
        <v>0</v>
      </c>
      <c r="BP936" s="6">
        <f t="shared" si="82"/>
        <v>0</v>
      </c>
      <c r="BQ936" s="6" t="b">
        <f ca="1">IFERROR(__xludf.DUMMYFUNCTION("IF(AND(ISERROR(FILTER('Items by Team'!D$2:D3410,'Items by Team'!C$2:C3410 = D936,'Items by Team'!B$2:B3410 = B936)),NOT(A936=""Practice"")),TRUE,FALSE)"),FALSE)</f>
        <v>0</v>
      </c>
      <c r="BR936" s="6">
        <f t="shared" ca="1" si="83"/>
        <v>0</v>
      </c>
    </row>
    <row r="937" spans="1:70">
      <c r="A937" s="6"/>
      <c r="B937" s="6"/>
      <c r="C937" s="6"/>
      <c r="D937" s="6"/>
      <c r="E937" s="6"/>
      <c r="F937" s="6"/>
      <c r="G937" s="6"/>
      <c r="H937" s="6"/>
      <c r="I937" s="6"/>
      <c r="J937" s="6"/>
      <c r="K937" s="6"/>
      <c r="L937" s="6"/>
      <c r="M937" s="6"/>
      <c r="N937" s="6"/>
      <c r="O937" s="6"/>
      <c r="P937" s="6"/>
      <c r="R937" s="6"/>
      <c r="S937" s="6"/>
      <c r="T937" s="6"/>
      <c r="U937" s="6"/>
      <c r="V937" s="6"/>
      <c r="W937" s="6"/>
      <c r="X937" s="6"/>
      <c r="Y937" s="6"/>
      <c r="Z937" s="6"/>
      <c r="AA937" s="6"/>
      <c r="AB937" s="6"/>
      <c r="AD937" s="6"/>
      <c r="AE937" s="6"/>
      <c r="AF937" s="6"/>
      <c r="AG937" s="6"/>
      <c r="AH937" s="6"/>
      <c r="AI937" s="6"/>
      <c r="AK937" s="6"/>
      <c r="AL937" s="6"/>
      <c r="AM937" s="6"/>
      <c r="AN937" s="6"/>
      <c r="AO937" s="6"/>
      <c r="AP937" s="6"/>
      <c r="AQ937" s="6"/>
      <c r="AR937" s="6"/>
      <c r="AS937" s="15"/>
      <c r="AT937" s="6" t="str">
        <f ca="1">IFERROR(__xludf.DUMMYFUNCTION("""COMPUTED_VALUE"""),"#N/A")</f>
        <v>#N/A</v>
      </c>
      <c r="AU937" s="6" t="str">
        <f ca="1">IFERROR(__xludf.DUMMYFUNCTION("""COMPUTED_VALUE"""),"FALSE")</f>
        <v>FALSE</v>
      </c>
      <c r="AW937" s="6">
        <f t="shared" si="64"/>
        <v>0</v>
      </c>
      <c r="AX937" s="6">
        <f t="shared" si="65"/>
        <v>0</v>
      </c>
      <c r="AY937" s="6">
        <f t="shared" si="66"/>
        <v>0</v>
      </c>
      <c r="AZ937" s="9" t="str">
        <f t="shared" si="67"/>
        <v/>
      </c>
      <c r="BA937" s="6">
        <f t="shared" si="68"/>
        <v>0</v>
      </c>
      <c r="BB937" s="6">
        <f t="shared" si="69"/>
        <v>0</v>
      </c>
      <c r="BC937" s="9" t="str">
        <f t="shared" si="70"/>
        <v/>
      </c>
      <c r="BD937" s="6">
        <f t="shared" si="71"/>
        <v>0</v>
      </c>
      <c r="BE937" s="6">
        <f t="shared" si="72"/>
        <v>0</v>
      </c>
      <c r="BF937" s="9" t="str">
        <f t="shared" si="73"/>
        <v/>
      </c>
      <c r="BG937" s="6">
        <f t="shared" si="74"/>
        <v>0</v>
      </c>
      <c r="BH937" s="6">
        <f t="shared" si="75"/>
        <v>0</v>
      </c>
      <c r="BI937" s="9" t="str">
        <f t="shared" si="76"/>
        <v/>
      </c>
      <c r="BJ937" s="6">
        <f t="shared" si="77"/>
        <v>0</v>
      </c>
      <c r="BK937" s="6">
        <f t="shared" si="78"/>
        <v>0</v>
      </c>
      <c r="BL937" s="6">
        <f t="shared" si="79"/>
        <v>0</v>
      </c>
      <c r="BM937" s="6">
        <f t="shared" si="80"/>
        <v>0</v>
      </c>
      <c r="BN937" s="6">
        <f t="shared" si="81"/>
        <v>0</v>
      </c>
      <c r="BP937" s="6">
        <f t="shared" si="82"/>
        <v>0</v>
      </c>
      <c r="BQ937" s="6" t="b">
        <f ca="1">IFERROR(__xludf.DUMMYFUNCTION("IF(AND(ISERROR(FILTER('Items by Team'!D$2:D3410,'Items by Team'!C$2:C3410 = D937,'Items by Team'!B$2:B3410 = B937)),NOT(A937=""Practice"")),TRUE,FALSE)"),FALSE)</f>
        <v>0</v>
      </c>
      <c r="BR937" s="6">
        <f t="shared" ca="1" si="83"/>
        <v>0</v>
      </c>
    </row>
    <row r="938" spans="1:70">
      <c r="A938" s="6"/>
      <c r="B938" s="6"/>
      <c r="C938" s="6"/>
      <c r="D938" s="6"/>
      <c r="E938" s="6"/>
      <c r="F938" s="6"/>
      <c r="G938" s="6"/>
      <c r="H938" s="6"/>
      <c r="I938" s="6"/>
      <c r="J938" s="6"/>
      <c r="K938" s="6"/>
      <c r="L938" s="6"/>
      <c r="M938" s="6"/>
      <c r="N938" s="6"/>
      <c r="O938" s="6"/>
      <c r="P938" s="6"/>
      <c r="R938" s="6"/>
      <c r="S938" s="6"/>
      <c r="T938" s="6"/>
      <c r="U938" s="6"/>
      <c r="V938" s="6"/>
      <c r="W938" s="6"/>
      <c r="X938" s="6"/>
      <c r="Y938" s="6"/>
      <c r="Z938" s="6"/>
      <c r="AA938" s="6"/>
      <c r="AB938" s="6"/>
      <c r="AD938" s="6"/>
      <c r="AE938" s="6"/>
      <c r="AF938" s="6"/>
      <c r="AG938" s="6"/>
      <c r="AH938" s="6"/>
      <c r="AI938" s="6"/>
      <c r="AK938" s="6"/>
      <c r="AL938" s="6"/>
      <c r="AM938" s="6"/>
      <c r="AN938" s="6"/>
      <c r="AO938" s="6"/>
      <c r="AP938" s="6"/>
      <c r="AQ938" s="6"/>
      <c r="AR938" s="6"/>
      <c r="AS938" s="15"/>
      <c r="AT938" s="6" t="str">
        <f ca="1">IFERROR(__xludf.DUMMYFUNCTION("""COMPUTED_VALUE"""),"#N/A")</f>
        <v>#N/A</v>
      </c>
      <c r="AU938" s="6" t="str">
        <f ca="1">IFERROR(__xludf.DUMMYFUNCTION("""COMPUTED_VALUE"""),"FALSE")</f>
        <v>FALSE</v>
      </c>
      <c r="AW938" s="6">
        <f t="shared" si="64"/>
        <v>0</v>
      </c>
      <c r="AX938" s="6">
        <f t="shared" si="65"/>
        <v>0</v>
      </c>
      <c r="AY938" s="6">
        <f t="shared" si="66"/>
        <v>0</v>
      </c>
      <c r="AZ938" s="9" t="str">
        <f t="shared" si="67"/>
        <v/>
      </c>
      <c r="BA938" s="6">
        <f t="shared" si="68"/>
        <v>0</v>
      </c>
      <c r="BB938" s="6">
        <f t="shared" si="69"/>
        <v>0</v>
      </c>
      <c r="BC938" s="9" t="str">
        <f t="shared" si="70"/>
        <v/>
      </c>
      <c r="BD938" s="6">
        <f t="shared" si="71"/>
        <v>0</v>
      </c>
      <c r="BE938" s="6">
        <f t="shared" si="72"/>
        <v>0</v>
      </c>
      <c r="BF938" s="9" t="str">
        <f t="shared" si="73"/>
        <v/>
      </c>
      <c r="BG938" s="6">
        <f t="shared" si="74"/>
        <v>0</v>
      </c>
      <c r="BH938" s="6">
        <f t="shared" si="75"/>
        <v>0</v>
      </c>
      <c r="BI938" s="9" t="str">
        <f t="shared" si="76"/>
        <v/>
      </c>
      <c r="BJ938" s="6">
        <f t="shared" si="77"/>
        <v>0</v>
      </c>
      <c r="BK938" s="6">
        <f t="shared" si="78"/>
        <v>0</v>
      </c>
      <c r="BL938" s="6">
        <f t="shared" si="79"/>
        <v>0</v>
      </c>
      <c r="BM938" s="6">
        <f t="shared" si="80"/>
        <v>0</v>
      </c>
      <c r="BN938" s="6">
        <f t="shared" si="81"/>
        <v>0</v>
      </c>
      <c r="BP938" s="6">
        <f t="shared" si="82"/>
        <v>0</v>
      </c>
      <c r="BQ938" s="6" t="b">
        <f ca="1">IFERROR(__xludf.DUMMYFUNCTION("IF(AND(ISERROR(FILTER('Items by Team'!D$2:D3410,'Items by Team'!C$2:C3410 = D938,'Items by Team'!B$2:B3410 = B938)),NOT(A938=""Practice"")),TRUE,FALSE)"),FALSE)</f>
        <v>0</v>
      </c>
      <c r="BR938" s="6">
        <f t="shared" ca="1" si="83"/>
        <v>0</v>
      </c>
    </row>
    <row r="939" spans="1:70">
      <c r="A939" s="6"/>
      <c r="B939" s="6"/>
      <c r="C939" s="6"/>
      <c r="D939" s="6"/>
      <c r="E939" s="6"/>
      <c r="F939" s="6"/>
      <c r="G939" s="6"/>
      <c r="H939" s="6"/>
      <c r="I939" s="6"/>
      <c r="J939" s="6"/>
      <c r="K939" s="6"/>
      <c r="L939" s="6"/>
      <c r="M939" s="6"/>
      <c r="N939" s="6"/>
      <c r="O939" s="6"/>
      <c r="P939" s="6"/>
      <c r="R939" s="6"/>
      <c r="S939" s="6"/>
      <c r="T939" s="6"/>
      <c r="U939" s="6"/>
      <c r="V939" s="6"/>
      <c r="W939" s="6"/>
      <c r="X939" s="6"/>
      <c r="Y939" s="6"/>
      <c r="Z939" s="6"/>
      <c r="AA939" s="6"/>
      <c r="AB939" s="6"/>
      <c r="AD939" s="6"/>
      <c r="AE939" s="6"/>
      <c r="AF939" s="6"/>
      <c r="AG939" s="6"/>
      <c r="AH939" s="6"/>
      <c r="AI939" s="6"/>
      <c r="AK939" s="6"/>
      <c r="AL939" s="6"/>
      <c r="AM939" s="6"/>
      <c r="AN939" s="6"/>
      <c r="AO939" s="6"/>
      <c r="AP939" s="6"/>
      <c r="AQ939" s="6"/>
      <c r="AR939" s="6"/>
      <c r="AS939" s="15"/>
      <c r="AT939" s="6" t="str">
        <f ca="1">IFERROR(__xludf.DUMMYFUNCTION("""COMPUTED_VALUE"""),"#N/A")</f>
        <v>#N/A</v>
      </c>
      <c r="AU939" s="6" t="str">
        <f ca="1">IFERROR(__xludf.DUMMYFUNCTION("""COMPUTED_VALUE"""),"FALSE")</f>
        <v>FALSE</v>
      </c>
      <c r="AW939" s="6">
        <f t="shared" si="64"/>
        <v>0</v>
      </c>
      <c r="AX939" s="6">
        <f t="shared" si="65"/>
        <v>0</v>
      </c>
      <c r="AY939" s="6">
        <f t="shared" si="66"/>
        <v>0</v>
      </c>
      <c r="AZ939" s="9" t="str">
        <f t="shared" si="67"/>
        <v/>
      </c>
      <c r="BA939" s="6">
        <f t="shared" si="68"/>
        <v>0</v>
      </c>
      <c r="BB939" s="6">
        <f t="shared" si="69"/>
        <v>0</v>
      </c>
      <c r="BC939" s="9" t="str">
        <f t="shared" si="70"/>
        <v/>
      </c>
      <c r="BD939" s="6">
        <f t="shared" si="71"/>
        <v>0</v>
      </c>
      <c r="BE939" s="6">
        <f t="shared" si="72"/>
        <v>0</v>
      </c>
      <c r="BF939" s="9" t="str">
        <f t="shared" si="73"/>
        <v/>
      </c>
      <c r="BG939" s="6">
        <f t="shared" si="74"/>
        <v>0</v>
      </c>
      <c r="BH939" s="6">
        <f t="shared" si="75"/>
        <v>0</v>
      </c>
      <c r="BI939" s="9" t="str">
        <f t="shared" si="76"/>
        <v/>
      </c>
      <c r="BJ939" s="6">
        <f t="shared" si="77"/>
        <v>0</v>
      </c>
      <c r="BK939" s="6">
        <f t="shared" si="78"/>
        <v>0</v>
      </c>
      <c r="BL939" s="6">
        <f t="shared" si="79"/>
        <v>0</v>
      </c>
      <c r="BM939" s="6">
        <f t="shared" si="80"/>
        <v>0</v>
      </c>
      <c r="BN939" s="6">
        <f t="shared" si="81"/>
        <v>0</v>
      </c>
      <c r="BP939" s="6">
        <f t="shared" si="82"/>
        <v>0</v>
      </c>
      <c r="BQ939" s="6" t="b">
        <f ca="1">IFERROR(__xludf.DUMMYFUNCTION("IF(AND(ISERROR(FILTER('Items by Team'!D$2:D3410,'Items by Team'!C$2:C3410 = D939,'Items by Team'!B$2:B3410 = B939)),NOT(A939=""Practice"")),TRUE,FALSE)"),FALSE)</f>
        <v>0</v>
      </c>
      <c r="BR939" s="6">
        <f t="shared" ca="1" si="83"/>
        <v>0</v>
      </c>
    </row>
    <row r="940" spans="1:70">
      <c r="A940" s="6"/>
      <c r="B940" s="6"/>
      <c r="C940" s="6"/>
      <c r="D940" s="6"/>
      <c r="E940" s="6"/>
      <c r="F940" s="6"/>
      <c r="G940" s="6"/>
      <c r="H940" s="6"/>
      <c r="I940" s="6"/>
      <c r="J940" s="6"/>
      <c r="K940" s="6"/>
      <c r="L940" s="6"/>
      <c r="M940" s="6"/>
      <c r="N940" s="6"/>
      <c r="O940" s="6"/>
      <c r="P940" s="6"/>
      <c r="R940" s="6"/>
      <c r="S940" s="6"/>
      <c r="T940" s="6"/>
      <c r="U940" s="6"/>
      <c r="V940" s="6"/>
      <c r="W940" s="6"/>
      <c r="X940" s="6"/>
      <c r="Y940" s="6"/>
      <c r="Z940" s="6"/>
      <c r="AA940" s="6"/>
      <c r="AB940" s="6"/>
      <c r="AD940" s="6"/>
      <c r="AE940" s="6"/>
      <c r="AF940" s="6"/>
      <c r="AG940" s="6"/>
      <c r="AH940" s="6"/>
      <c r="AI940" s="6"/>
      <c r="AK940" s="6"/>
      <c r="AL940" s="6"/>
      <c r="AM940" s="6"/>
      <c r="AN940" s="6"/>
      <c r="AO940" s="6"/>
      <c r="AP940" s="6"/>
      <c r="AQ940" s="6"/>
      <c r="AR940" s="6"/>
      <c r="AS940" s="15"/>
      <c r="AT940" s="6" t="str">
        <f ca="1">IFERROR(__xludf.DUMMYFUNCTION("""COMPUTED_VALUE"""),"#N/A")</f>
        <v>#N/A</v>
      </c>
      <c r="AU940" s="6" t="str">
        <f ca="1">IFERROR(__xludf.DUMMYFUNCTION("""COMPUTED_VALUE"""),"FALSE")</f>
        <v>FALSE</v>
      </c>
      <c r="AW940" s="6">
        <f t="shared" si="64"/>
        <v>0</v>
      </c>
      <c r="AX940" s="6">
        <f t="shared" si="65"/>
        <v>0</v>
      </c>
      <c r="AY940" s="6">
        <f t="shared" si="66"/>
        <v>0</v>
      </c>
      <c r="AZ940" s="9" t="str">
        <f t="shared" si="67"/>
        <v/>
      </c>
      <c r="BA940" s="6">
        <f t="shared" si="68"/>
        <v>0</v>
      </c>
      <c r="BB940" s="6">
        <f t="shared" si="69"/>
        <v>0</v>
      </c>
      <c r="BC940" s="9" t="str">
        <f t="shared" si="70"/>
        <v/>
      </c>
      <c r="BD940" s="6">
        <f t="shared" si="71"/>
        <v>0</v>
      </c>
      <c r="BE940" s="6">
        <f t="shared" si="72"/>
        <v>0</v>
      </c>
      <c r="BF940" s="9" t="str">
        <f t="shared" si="73"/>
        <v/>
      </c>
      <c r="BG940" s="6">
        <f t="shared" si="74"/>
        <v>0</v>
      </c>
      <c r="BH940" s="6">
        <f t="shared" si="75"/>
        <v>0</v>
      </c>
      <c r="BI940" s="9" t="str">
        <f t="shared" si="76"/>
        <v/>
      </c>
      <c r="BJ940" s="6">
        <f t="shared" si="77"/>
        <v>0</v>
      </c>
      <c r="BK940" s="6">
        <f t="shared" si="78"/>
        <v>0</v>
      </c>
      <c r="BL940" s="6">
        <f t="shared" si="79"/>
        <v>0</v>
      </c>
      <c r="BM940" s="6">
        <f t="shared" si="80"/>
        <v>0</v>
      </c>
      <c r="BN940" s="6">
        <f t="shared" si="81"/>
        <v>0</v>
      </c>
      <c r="BP940" s="6">
        <f t="shared" si="82"/>
        <v>0</v>
      </c>
      <c r="BQ940" s="6" t="b">
        <f ca="1">IFERROR(__xludf.DUMMYFUNCTION("IF(AND(ISERROR(FILTER('Items by Team'!D$2:D3410,'Items by Team'!C$2:C3410 = D940,'Items by Team'!B$2:B3410 = B940)),NOT(A940=""Practice"")),TRUE,FALSE)"),FALSE)</f>
        <v>0</v>
      </c>
      <c r="BR940" s="6">
        <f t="shared" ca="1" si="83"/>
        <v>0</v>
      </c>
    </row>
    <row r="941" spans="1:70">
      <c r="A941" s="6"/>
      <c r="B941" s="6"/>
      <c r="C941" s="6"/>
      <c r="D941" s="6"/>
      <c r="E941" s="6"/>
      <c r="F941" s="6"/>
      <c r="G941" s="6"/>
      <c r="H941" s="6"/>
      <c r="I941" s="6"/>
      <c r="J941" s="6"/>
      <c r="K941" s="6"/>
      <c r="L941" s="6"/>
      <c r="M941" s="6"/>
      <c r="N941" s="6"/>
      <c r="O941" s="6"/>
      <c r="P941" s="6"/>
      <c r="R941" s="6"/>
      <c r="S941" s="6"/>
      <c r="T941" s="6"/>
      <c r="U941" s="6"/>
      <c r="V941" s="6"/>
      <c r="W941" s="6"/>
      <c r="X941" s="6"/>
      <c r="Y941" s="6"/>
      <c r="Z941" s="6"/>
      <c r="AA941" s="6"/>
      <c r="AB941" s="6"/>
      <c r="AD941" s="6"/>
      <c r="AE941" s="6"/>
      <c r="AF941" s="6"/>
      <c r="AG941" s="6"/>
      <c r="AH941" s="6"/>
      <c r="AI941" s="6"/>
      <c r="AK941" s="6"/>
      <c r="AL941" s="6"/>
      <c r="AM941" s="6"/>
      <c r="AN941" s="6"/>
      <c r="AO941" s="6"/>
      <c r="AP941" s="6"/>
      <c r="AQ941" s="6"/>
      <c r="AR941" s="6"/>
      <c r="AS941" s="15"/>
      <c r="AT941" s="6" t="str">
        <f ca="1">IFERROR(__xludf.DUMMYFUNCTION("""COMPUTED_VALUE"""),"#N/A")</f>
        <v>#N/A</v>
      </c>
      <c r="AU941" s="6" t="str">
        <f ca="1">IFERROR(__xludf.DUMMYFUNCTION("""COMPUTED_VALUE"""),"FALSE")</f>
        <v>FALSE</v>
      </c>
      <c r="AW941" s="6">
        <f t="shared" si="64"/>
        <v>0</v>
      </c>
      <c r="AX941" s="6">
        <f t="shared" si="65"/>
        <v>0</v>
      </c>
      <c r="AY941" s="6">
        <f t="shared" si="66"/>
        <v>0</v>
      </c>
      <c r="AZ941" s="9" t="str">
        <f t="shared" si="67"/>
        <v/>
      </c>
      <c r="BA941" s="6">
        <f t="shared" si="68"/>
        <v>0</v>
      </c>
      <c r="BB941" s="6">
        <f t="shared" si="69"/>
        <v>0</v>
      </c>
      <c r="BC941" s="9" t="str">
        <f t="shared" si="70"/>
        <v/>
      </c>
      <c r="BD941" s="6">
        <f t="shared" si="71"/>
        <v>0</v>
      </c>
      <c r="BE941" s="6">
        <f t="shared" si="72"/>
        <v>0</v>
      </c>
      <c r="BF941" s="9" t="str">
        <f t="shared" si="73"/>
        <v/>
      </c>
      <c r="BG941" s="6">
        <f t="shared" si="74"/>
        <v>0</v>
      </c>
      <c r="BH941" s="6">
        <f t="shared" si="75"/>
        <v>0</v>
      </c>
      <c r="BI941" s="9" t="str">
        <f t="shared" si="76"/>
        <v/>
      </c>
      <c r="BJ941" s="6">
        <f t="shared" si="77"/>
        <v>0</v>
      </c>
      <c r="BK941" s="6">
        <f t="shared" si="78"/>
        <v>0</v>
      </c>
      <c r="BL941" s="6">
        <f t="shared" si="79"/>
        <v>0</v>
      </c>
      <c r="BM941" s="6">
        <f t="shared" si="80"/>
        <v>0</v>
      </c>
      <c r="BN941" s="6">
        <f t="shared" si="81"/>
        <v>0</v>
      </c>
      <c r="BP941" s="6">
        <f t="shared" si="82"/>
        <v>0</v>
      </c>
      <c r="BQ941" s="6" t="b">
        <f ca="1">IFERROR(__xludf.DUMMYFUNCTION("IF(AND(ISERROR(FILTER('Items by Team'!D$2:D3410,'Items by Team'!C$2:C3410 = D941,'Items by Team'!B$2:B3410 = B941)),NOT(A941=""Practice"")),TRUE,FALSE)"),FALSE)</f>
        <v>0</v>
      </c>
      <c r="BR941" s="6">
        <f t="shared" ca="1" si="83"/>
        <v>0</v>
      </c>
    </row>
    <row r="942" spans="1:70">
      <c r="A942" s="6"/>
      <c r="B942" s="6"/>
      <c r="C942" s="6"/>
      <c r="D942" s="6"/>
      <c r="E942" s="6"/>
      <c r="F942" s="6"/>
      <c r="G942" s="6"/>
      <c r="H942" s="6"/>
      <c r="I942" s="6"/>
      <c r="J942" s="6"/>
      <c r="K942" s="6"/>
      <c r="L942" s="6"/>
      <c r="M942" s="6"/>
      <c r="N942" s="6"/>
      <c r="O942" s="6"/>
      <c r="P942" s="6"/>
      <c r="R942" s="6"/>
      <c r="S942" s="6"/>
      <c r="T942" s="6"/>
      <c r="U942" s="6"/>
      <c r="V942" s="6"/>
      <c r="W942" s="6"/>
      <c r="X942" s="6"/>
      <c r="Y942" s="6"/>
      <c r="Z942" s="6"/>
      <c r="AA942" s="6"/>
      <c r="AB942" s="6"/>
      <c r="AD942" s="6"/>
      <c r="AE942" s="6"/>
      <c r="AF942" s="6"/>
      <c r="AG942" s="6"/>
      <c r="AH942" s="6"/>
      <c r="AI942" s="6"/>
      <c r="AK942" s="6"/>
      <c r="AL942" s="6"/>
      <c r="AM942" s="6"/>
      <c r="AN942" s="6"/>
      <c r="AO942" s="6"/>
      <c r="AP942" s="6"/>
      <c r="AQ942" s="6"/>
      <c r="AR942" s="6"/>
      <c r="AS942" s="15"/>
      <c r="AT942" s="6" t="str">
        <f ca="1">IFERROR(__xludf.DUMMYFUNCTION("""COMPUTED_VALUE"""),"#N/A")</f>
        <v>#N/A</v>
      </c>
      <c r="AU942" s="6" t="str">
        <f ca="1">IFERROR(__xludf.DUMMYFUNCTION("""COMPUTED_VALUE"""),"FALSE")</f>
        <v>FALSE</v>
      </c>
      <c r="AW942" s="6">
        <f t="shared" si="64"/>
        <v>0</v>
      </c>
      <c r="AX942" s="6">
        <f t="shared" si="65"/>
        <v>0</v>
      </c>
      <c r="AY942" s="6">
        <f t="shared" si="66"/>
        <v>0</v>
      </c>
      <c r="AZ942" s="9" t="str">
        <f t="shared" si="67"/>
        <v/>
      </c>
      <c r="BA942" s="6">
        <f t="shared" si="68"/>
        <v>0</v>
      </c>
      <c r="BB942" s="6">
        <f t="shared" si="69"/>
        <v>0</v>
      </c>
      <c r="BC942" s="9" t="str">
        <f t="shared" si="70"/>
        <v/>
      </c>
      <c r="BD942" s="6">
        <f t="shared" si="71"/>
        <v>0</v>
      </c>
      <c r="BE942" s="6">
        <f t="shared" si="72"/>
        <v>0</v>
      </c>
      <c r="BF942" s="9" t="str">
        <f t="shared" si="73"/>
        <v/>
      </c>
      <c r="BG942" s="6">
        <f t="shared" si="74"/>
        <v>0</v>
      </c>
      <c r="BH942" s="6">
        <f t="shared" si="75"/>
        <v>0</v>
      </c>
      <c r="BI942" s="9" t="str">
        <f t="shared" si="76"/>
        <v/>
      </c>
      <c r="BJ942" s="6">
        <f t="shared" si="77"/>
        <v>0</v>
      </c>
      <c r="BK942" s="6">
        <f t="shared" si="78"/>
        <v>0</v>
      </c>
      <c r="BL942" s="6">
        <f t="shared" si="79"/>
        <v>0</v>
      </c>
      <c r="BM942" s="6">
        <f t="shared" si="80"/>
        <v>0</v>
      </c>
      <c r="BN942" s="6">
        <f t="shared" si="81"/>
        <v>0</v>
      </c>
      <c r="BP942" s="6">
        <f t="shared" si="82"/>
        <v>0</v>
      </c>
      <c r="BQ942" s="6" t="b">
        <f ca="1">IFERROR(__xludf.DUMMYFUNCTION("IF(AND(ISERROR(FILTER('Items by Team'!D$2:D3410,'Items by Team'!C$2:C3410 = D942,'Items by Team'!B$2:B3410 = B942)),NOT(A942=""Practice"")),TRUE,FALSE)"),FALSE)</f>
        <v>0</v>
      </c>
      <c r="BR942" s="6">
        <f t="shared" ca="1" si="83"/>
        <v>0</v>
      </c>
    </row>
    <row r="943" spans="1:70">
      <c r="A943" s="6"/>
      <c r="B943" s="6"/>
      <c r="C943" s="6"/>
      <c r="D943" s="6"/>
      <c r="E943" s="6"/>
      <c r="F943" s="6"/>
      <c r="G943" s="6"/>
      <c r="H943" s="6"/>
      <c r="I943" s="6"/>
      <c r="J943" s="6"/>
      <c r="K943" s="6"/>
      <c r="L943" s="6"/>
      <c r="M943" s="6"/>
      <c r="N943" s="6"/>
      <c r="O943" s="6"/>
      <c r="P943" s="6"/>
      <c r="R943" s="6"/>
      <c r="S943" s="6"/>
      <c r="T943" s="6"/>
      <c r="U943" s="6"/>
      <c r="V943" s="6"/>
      <c r="W943" s="6"/>
      <c r="X943" s="6"/>
      <c r="Y943" s="6"/>
      <c r="Z943" s="6"/>
      <c r="AA943" s="6"/>
      <c r="AB943" s="6"/>
      <c r="AD943" s="6"/>
      <c r="AE943" s="6"/>
      <c r="AF943" s="6"/>
      <c r="AG943" s="6"/>
      <c r="AH943" s="6"/>
      <c r="AI943" s="6"/>
      <c r="AK943" s="6"/>
      <c r="AL943" s="6"/>
      <c r="AM943" s="6"/>
      <c r="AN943" s="6"/>
      <c r="AO943" s="6"/>
      <c r="AP943" s="6"/>
      <c r="AQ943" s="6"/>
      <c r="AR943" s="6"/>
      <c r="AS943" s="15"/>
      <c r="AT943" s="6" t="str">
        <f ca="1">IFERROR(__xludf.DUMMYFUNCTION("""COMPUTED_VALUE"""),"#N/A")</f>
        <v>#N/A</v>
      </c>
      <c r="AU943" s="6" t="str">
        <f ca="1">IFERROR(__xludf.DUMMYFUNCTION("""COMPUTED_VALUE"""),"FALSE")</f>
        <v>FALSE</v>
      </c>
      <c r="AW943" s="6">
        <f t="shared" si="64"/>
        <v>0</v>
      </c>
      <c r="AX943" s="6">
        <f t="shared" si="65"/>
        <v>0</v>
      </c>
      <c r="AY943" s="6">
        <f t="shared" si="66"/>
        <v>0</v>
      </c>
      <c r="AZ943" s="9" t="str">
        <f t="shared" si="67"/>
        <v/>
      </c>
      <c r="BA943" s="6">
        <f t="shared" si="68"/>
        <v>0</v>
      </c>
      <c r="BB943" s="6">
        <f t="shared" si="69"/>
        <v>0</v>
      </c>
      <c r="BC943" s="9" t="str">
        <f t="shared" si="70"/>
        <v/>
      </c>
      <c r="BD943" s="6">
        <f t="shared" si="71"/>
        <v>0</v>
      </c>
      <c r="BE943" s="6">
        <f t="shared" si="72"/>
        <v>0</v>
      </c>
      <c r="BF943" s="9" t="str">
        <f t="shared" si="73"/>
        <v/>
      </c>
      <c r="BG943" s="6">
        <f t="shared" si="74"/>
        <v>0</v>
      </c>
      <c r="BH943" s="6">
        <f t="shared" si="75"/>
        <v>0</v>
      </c>
      <c r="BI943" s="9" t="str">
        <f t="shared" si="76"/>
        <v/>
      </c>
      <c r="BJ943" s="6">
        <f t="shared" si="77"/>
        <v>0</v>
      </c>
      <c r="BK943" s="6">
        <f t="shared" si="78"/>
        <v>0</v>
      </c>
      <c r="BL943" s="6">
        <f t="shared" si="79"/>
        <v>0</v>
      </c>
      <c r="BM943" s="6">
        <f t="shared" si="80"/>
        <v>0</v>
      </c>
      <c r="BN943" s="6">
        <f t="shared" si="81"/>
        <v>0</v>
      </c>
      <c r="BP943" s="6">
        <f t="shared" si="82"/>
        <v>0</v>
      </c>
      <c r="BQ943" s="6" t="b">
        <f ca="1">IFERROR(__xludf.DUMMYFUNCTION("IF(AND(ISERROR(FILTER('Items by Team'!D$2:D3410,'Items by Team'!C$2:C3410 = D943,'Items by Team'!B$2:B3410 = B943)),NOT(A943=""Practice"")),TRUE,FALSE)"),FALSE)</f>
        <v>0</v>
      </c>
      <c r="BR943" s="6">
        <f t="shared" ca="1" si="83"/>
        <v>0</v>
      </c>
    </row>
    <row r="944" spans="1:70">
      <c r="A944" s="6"/>
      <c r="B944" s="6"/>
      <c r="C944" s="6"/>
      <c r="D944" s="6"/>
      <c r="E944" s="6"/>
      <c r="F944" s="6"/>
      <c r="G944" s="6"/>
      <c r="H944" s="6"/>
      <c r="I944" s="6"/>
      <c r="J944" s="6"/>
      <c r="K944" s="6"/>
      <c r="L944" s="6"/>
      <c r="M944" s="6"/>
      <c r="N944" s="6"/>
      <c r="O944" s="6"/>
      <c r="P944" s="6"/>
      <c r="R944" s="6"/>
      <c r="S944" s="6"/>
      <c r="T944" s="6"/>
      <c r="U944" s="6"/>
      <c r="V944" s="6"/>
      <c r="W944" s="6"/>
      <c r="X944" s="6"/>
      <c r="Y944" s="6"/>
      <c r="Z944" s="6"/>
      <c r="AA944" s="6"/>
      <c r="AB944" s="6"/>
      <c r="AD944" s="6"/>
      <c r="AE944" s="6"/>
      <c r="AF944" s="6"/>
      <c r="AG944" s="6"/>
      <c r="AH944" s="6"/>
      <c r="AI944" s="6"/>
      <c r="AK944" s="6"/>
      <c r="AL944" s="6"/>
      <c r="AM944" s="6"/>
      <c r="AN944" s="6"/>
      <c r="AO944" s="6"/>
      <c r="AP944" s="6"/>
      <c r="AQ944" s="6"/>
      <c r="AR944" s="6"/>
      <c r="AS944" s="15"/>
      <c r="AT944" s="6" t="str">
        <f ca="1">IFERROR(__xludf.DUMMYFUNCTION("""COMPUTED_VALUE"""),"#N/A")</f>
        <v>#N/A</v>
      </c>
      <c r="AU944" s="6" t="str">
        <f ca="1">IFERROR(__xludf.DUMMYFUNCTION("""COMPUTED_VALUE"""),"FALSE")</f>
        <v>FALSE</v>
      </c>
      <c r="AW944" s="6">
        <f t="shared" si="64"/>
        <v>0</v>
      </c>
      <c r="AX944" s="6">
        <f t="shared" si="65"/>
        <v>0</v>
      </c>
      <c r="AY944" s="6">
        <f t="shared" si="66"/>
        <v>0</v>
      </c>
      <c r="AZ944" s="9" t="str">
        <f t="shared" si="67"/>
        <v/>
      </c>
      <c r="BA944" s="6">
        <f t="shared" si="68"/>
        <v>0</v>
      </c>
      <c r="BB944" s="6">
        <f t="shared" si="69"/>
        <v>0</v>
      </c>
      <c r="BC944" s="9" t="str">
        <f t="shared" si="70"/>
        <v/>
      </c>
      <c r="BD944" s="6">
        <f t="shared" si="71"/>
        <v>0</v>
      </c>
      <c r="BE944" s="6">
        <f t="shared" si="72"/>
        <v>0</v>
      </c>
      <c r="BF944" s="9" t="str">
        <f t="shared" si="73"/>
        <v/>
      </c>
      <c r="BG944" s="6">
        <f t="shared" si="74"/>
        <v>0</v>
      </c>
      <c r="BH944" s="6">
        <f t="shared" si="75"/>
        <v>0</v>
      </c>
      <c r="BI944" s="9" t="str">
        <f t="shared" si="76"/>
        <v/>
      </c>
      <c r="BJ944" s="6">
        <f t="shared" si="77"/>
        <v>0</v>
      </c>
      <c r="BK944" s="6">
        <f t="shared" si="78"/>
        <v>0</v>
      </c>
      <c r="BL944" s="6">
        <f t="shared" si="79"/>
        <v>0</v>
      </c>
      <c r="BM944" s="6">
        <f t="shared" si="80"/>
        <v>0</v>
      </c>
      <c r="BN944" s="6">
        <f t="shared" si="81"/>
        <v>0</v>
      </c>
      <c r="BP944" s="6">
        <f t="shared" si="82"/>
        <v>0</v>
      </c>
      <c r="BQ944" s="6" t="b">
        <f ca="1">IFERROR(__xludf.DUMMYFUNCTION("IF(AND(ISERROR(FILTER('Items by Team'!D$2:D3410,'Items by Team'!C$2:C3410 = D944,'Items by Team'!B$2:B3410 = B944)),NOT(A944=""Practice"")),TRUE,FALSE)"),FALSE)</f>
        <v>0</v>
      </c>
      <c r="BR944" s="6">
        <f t="shared" ca="1" si="83"/>
        <v>0</v>
      </c>
    </row>
    <row r="945" spans="1:70">
      <c r="A945" s="6"/>
      <c r="B945" s="6"/>
      <c r="C945" s="6"/>
      <c r="D945" s="6"/>
      <c r="E945" s="6"/>
      <c r="F945" s="6"/>
      <c r="G945" s="6"/>
      <c r="H945" s="6"/>
      <c r="I945" s="6"/>
      <c r="J945" s="6"/>
      <c r="K945" s="6"/>
      <c r="L945" s="6"/>
      <c r="M945" s="6"/>
      <c r="N945" s="6"/>
      <c r="O945" s="6"/>
      <c r="P945" s="6"/>
      <c r="R945" s="6"/>
      <c r="S945" s="6"/>
      <c r="T945" s="6"/>
      <c r="U945" s="6"/>
      <c r="V945" s="6"/>
      <c r="W945" s="6"/>
      <c r="X945" s="6"/>
      <c r="Y945" s="6"/>
      <c r="Z945" s="6"/>
      <c r="AA945" s="6"/>
      <c r="AB945" s="6"/>
      <c r="AD945" s="6"/>
      <c r="AE945" s="6"/>
      <c r="AF945" s="6"/>
      <c r="AG945" s="6"/>
      <c r="AH945" s="6"/>
      <c r="AI945" s="6"/>
      <c r="AK945" s="6"/>
      <c r="AL945" s="6"/>
      <c r="AM945" s="6"/>
      <c r="AN945" s="6"/>
      <c r="AO945" s="6"/>
      <c r="AP945" s="6"/>
      <c r="AQ945" s="6"/>
      <c r="AR945" s="6"/>
      <c r="AS945" s="15"/>
      <c r="AT945" s="6" t="str">
        <f ca="1">IFERROR(__xludf.DUMMYFUNCTION("""COMPUTED_VALUE"""),"#N/A")</f>
        <v>#N/A</v>
      </c>
      <c r="AU945" s="6" t="str">
        <f ca="1">IFERROR(__xludf.DUMMYFUNCTION("""COMPUTED_VALUE"""),"FALSE")</f>
        <v>FALSE</v>
      </c>
      <c r="AW945" s="6">
        <f t="shared" si="64"/>
        <v>0</v>
      </c>
      <c r="AX945" s="6">
        <f t="shared" si="65"/>
        <v>0</v>
      </c>
      <c r="AY945" s="6">
        <f t="shared" si="66"/>
        <v>0</v>
      </c>
      <c r="AZ945" s="9" t="str">
        <f t="shared" si="67"/>
        <v/>
      </c>
      <c r="BA945" s="6">
        <f t="shared" si="68"/>
        <v>0</v>
      </c>
      <c r="BB945" s="6">
        <f t="shared" si="69"/>
        <v>0</v>
      </c>
      <c r="BC945" s="9" t="str">
        <f t="shared" si="70"/>
        <v/>
      </c>
      <c r="BD945" s="6">
        <f t="shared" si="71"/>
        <v>0</v>
      </c>
      <c r="BE945" s="6">
        <f t="shared" si="72"/>
        <v>0</v>
      </c>
      <c r="BF945" s="9" t="str">
        <f t="shared" si="73"/>
        <v/>
      </c>
      <c r="BG945" s="6">
        <f t="shared" si="74"/>
        <v>0</v>
      </c>
      <c r="BH945" s="6">
        <f t="shared" si="75"/>
        <v>0</v>
      </c>
      <c r="BI945" s="9" t="str">
        <f t="shared" si="76"/>
        <v/>
      </c>
      <c r="BJ945" s="6">
        <f t="shared" si="77"/>
        <v>0</v>
      </c>
      <c r="BK945" s="6">
        <f t="shared" si="78"/>
        <v>0</v>
      </c>
      <c r="BL945" s="6">
        <f t="shared" si="79"/>
        <v>0</v>
      </c>
      <c r="BM945" s="6">
        <f t="shared" si="80"/>
        <v>0</v>
      </c>
      <c r="BN945" s="6">
        <f t="shared" si="81"/>
        <v>0</v>
      </c>
      <c r="BP945" s="6">
        <f t="shared" si="82"/>
        <v>0</v>
      </c>
      <c r="BQ945" s="6" t="b">
        <f ca="1">IFERROR(__xludf.DUMMYFUNCTION("IF(AND(ISERROR(FILTER('Items by Team'!D$2:D3410,'Items by Team'!C$2:C3410 = D945,'Items by Team'!B$2:B3410 = B945)),NOT(A945=""Practice"")),TRUE,FALSE)"),FALSE)</f>
        <v>0</v>
      </c>
      <c r="BR945" s="6">
        <f t="shared" ca="1" si="83"/>
        <v>0</v>
      </c>
    </row>
    <row r="946" spans="1:70">
      <c r="A946" s="6"/>
      <c r="B946" s="6"/>
      <c r="C946" s="6"/>
      <c r="D946" s="6"/>
      <c r="E946" s="6"/>
      <c r="F946" s="6"/>
      <c r="G946" s="6"/>
      <c r="H946" s="6"/>
      <c r="I946" s="6"/>
      <c r="J946" s="6"/>
      <c r="K946" s="6"/>
      <c r="L946" s="6"/>
      <c r="M946" s="6"/>
      <c r="N946" s="6"/>
      <c r="O946" s="6"/>
      <c r="P946" s="6"/>
      <c r="R946" s="6"/>
      <c r="S946" s="6"/>
      <c r="T946" s="6"/>
      <c r="U946" s="6"/>
      <c r="V946" s="6"/>
      <c r="W946" s="6"/>
      <c r="X946" s="6"/>
      <c r="Y946" s="6"/>
      <c r="Z946" s="6"/>
      <c r="AA946" s="6"/>
      <c r="AB946" s="6"/>
      <c r="AD946" s="6"/>
      <c r="AE946" s="6"/>
      <c r="AF946" s="6"/>
      <c r="AG946" s="6"/>
      <c r="AH946" s="6"/>
      <c r="AI946" s="6"/>
      <c r="AK946" s="6"/>
      <c r="AL946" s="6"/>
      <c r="AM946" s="6"/>
      <c r="AN946" s="6"/>
      <c r="AO946" s="6"/>
      <c r="AP946" s="6"/>
      <c r="AQ946" s="6"/>
      <c r="AR946" s="6"/>
      <c r="AS946" s="15"/>
      <c r="AT946" s="6" t="str">
        <f ca="1">IFERROR(__xludf.DUMMYFUNCTION("""COMPUTED_VALUE"""),"#N/A")</f>
        <v>#N/A</v>
      </c>
      <c r="AU946" s="6" t="str">
        <f ca="1">IFERROR(__xludf.DUMMYFUNCTION("""COMPUTED_VALUE"""),"FALSE")</f>
        <v>FALSE</v>
      </c>
      <c r="AW946" s="6">
        <f t="shared" si="64"/>
        <v>0</v>
      </c>
      <c r="AX946" s="6">
        <f t="shared" si="65"/>
        <v>0</v>
      </c>
      <c r="AY946" s="6">
        <f t="shared" si="66"/>
        <v>0</v>
      </c>
      <c r="AZ946" s="9" t="str">
        <f t="shared" si="67"/>
        <v/>
      </c>
      <c r="BA946" s="6">
        <f t="shared" si="68"/>
        <v>0</v>
      </c>
      <c r="BB946" s="6">
        <f t="shared" si="69"/>
        <v>0</v>
      </c>
      <c r="BC946" s="9" t="str">
        <f t="shared" si="70"/>
        <v/>
      </c>
      <c r="BD946" s="6">
        <f t="shared" si="71"/>
        <v>0</v>
      </c>
      <c r="BE946" s="6">
        <f t="shared" si="72"/>
        <v>0</v>
      </c>
      <c r="BF946" s="9" t="str">
        <f t="shared" si="73"/>
        <v/>
      </c>
      <c r="BG946" s="6">
        <f t="shared" si="74"/>
        <v>0</v>
      </c>
      <c r="BH946" s="6">
        <f t="shared" si="75"/>
        <v>0</v>
      </c>
      <c r="BI946" s="9" t="str">
        <f t="shared" si="76"/>
        <v/>
      </c>
      <c r="BJ946" s="6">
        <f t="shared" si="77"/>
        <v>0</v>
      </c>
      <c r="BK946" s="6">
        <f t="shared" si="78"/>
        <v>0</v>
      </c>
      <c r="BL946" s="6">
        <f t="shared" si="79"/>
        <v>0</v>
      </c>
      <c r="BM946" s="6">
        <f t="shared" si="80"/>
        <v>0</v>
      </c>
      <c r="BN946" s="6">
        <f t="shared" si="81"/>
        <v>0</v>
      </c>
      <c r="BP946" s="6">
        <f t="shared" si="82"/>
        <v>0</v>
      </c>
      <c r="BQ946" s="6" t="b">
        <f ca="1">IFERROR(__xludf.DUMMYFUNCTION("IF(AND(ISERROR(FILTER('Items by Team'!D$2:D3410,'Items by Team'!C$2:C3410 = D946,'Items by Team'!B$2:B3410 = B946)),NOT(A946=""Practice"")),TRUE,FALSE)"),FALSE)</f>
        <v>0</v>
      </c>
      <c r="BR946" s="6">
        <f t="shared" ca="1" si="83"/>
        <v>0</v>
      </c>
    </row>
    <row r="947" spans="1:70">
      <c r="A947" s="6"/>
      <c r="B947" s="6"/>
      <c r="C947" s="6"/>
      <c r="D947" s="6"/>
      <c r="E947" s="6"/>
      <c r="F947" s="6"/>
      <c r="G947" s="6"/>
      <c r="H947" s="6"/>
      <c r="I947" s="6"/>
      <c r="J947" s="6"/>
      <c r="K947" s="6"/>
      <c r="L947" s="6"/>
      <c r="M947" s="6"/>
      <c r="N947" s="6"/>
      <c r="O947" s="6"/>
      <c r="P947" s="6"/>
      <c r="R947" s="6"/>
      <c r="S947" s="6"/>
      <c r="T947" s="6"/>
      <c r="U947" s="6"/>
      <c r="V947" s="6"/>
      <c r="W947" s="6"/>
      <c r="X947" s="6"/>
      <c r="Y947" s="6"/>
      <c r="Z947" s="6"/>
      <c r="AA947" s="6"/>
      <c r="AB947" s="6"/>
      <c r="AD947" s="6"/>
      <c r="AE947" s="6"/>
      <c r="AF947" s="6"/>
      <c r="AG947" s="6"/>
      <c r="AH947" s="6"/>
      <c r="AI947" s="6"/>
      <c r="AK947" s="6"/>
      <c r="AL947" s="6"/>
      <c r="AM947" s="6"/>
      <c r="AN947" s="6"/>
      <c r="AO947" s="6"/>
      <c r="AP947" s="6"/>
      <c r="AQ947" s="6"/>
      <c r="AR947" s="6"/>
      <c r="AS947" s="15"/>
      <c r="AT947" s="6" t="str">
        <f ca="1">IFERROR(__xludf.DUMMYFUNCTION("""COMPUTED_VALUE"""),"#N/A")</f>
        <v>#N/A</v>
      </c>
      <c r="AU947" s="6" t="str">
        <f ca="1">IFERROR(__xludf.DUMMYFUNCTION("""COMPUTED_VALUE"""),"FALSE")</f>
        <v>FALSE</v>
      </c>
      <c r="AW947" s="6">
        <f t="shared" si="64"/>
        <v>0</v>
      </c>
      <c r="AX947" s="6">
        <f t="shared" si="65"/>
        <v>0</v>
      </c>
      <c r="AY947" s="6">
        <f t="shared" si="66"/>
        <v>0</v>
      </c>
      <c r="AZ947" s="9" t="str">
        <f t="shared" si="67"/>
        <v/>
      </c>
      <c r="BA947" s="6">
        <f t="shared" si="68"/>
        <v>0</v>
      </c>
      <c r="BB947" s="6">
        <f t="shared" si="69"/>
        <v>0</v>
      </c>
      <c r="BC947" s="9" t="str">
        <f t="shared" si="70"/>
        <v/>
      </c>
      <c r="BD947" s="6">
        <f t="shared" si="71"/>
        <v>0</v>
      </c>
      <c r="BE947" s="6">
        <f t="shared" si="72"/>
        <v>0</v>
      </c>
      <c r="BF947" s="9" t="str">
        <f t="shared" si="73"/>
        <v/>
      </c>
      <c r="BG947" s="6">
        <f t="shared" si="74"/>
        <v>0</v>
      </c>
      <c r="BH947" s="6">
        <f t="shared" si="75"/>
        <v>0</v>
      </c>
      <c r="BI947" s="9" t="str">
        <f t="shared" si="76"/>
        <v/>
      </c>
      <c r="BJ947" s="6">
        <f t="shared" si="77"/>
        <v>0</v>
      </c>
      <c r="BK947" s="6">
        <f t="shared" si="78"/>
        <v>0</v>
      </c>
      <c r="BL947" s="6">
        <f t="shared" si="79"/>
        <v>0</v>
      </c>
      <c r="BM947" s="6">
        <f t="shared" si="80"/>
        <v>0</v>
      </c>
      <c r="BN947" s="6">
        <f t="shared" si="81"/>
        <v>0</v>
      </c>
      <c r="BP947" s="6">
        <f t="shared" si="82"/>
        <v>0</v>
      </c>
      <c r="BQ947" s="6" t="b">
        <f ca="1">IFERROR(__xludf.DUMMYFUNCTION("IF(AND(ISERROR(FILTER('Items by Team'!D$2:D3410,'Items by Team'!C$2:C3410 = D947,'Items by Team'!B$2:B3410 = B947)),NOT(A947=""Practice"")),TRUE,FALSE)"),FALSE)</f>
        <v>0</v>
      </c>
      <c r="BR947" s="6">
        <f t="shared" ca="1" si="83"/>
        <v>0</v>
      </c>
    </row>
    <row r="948" spans="1:70">
      <c r="A948" s="6"/>
      <c r="B948" s="6"/>
      <c r="C948" s="6"/>
      <c r="D948" s="6"/>
      <c r="E948" s="6"/>
      <c r="F948" s="6"/>
      <c r="G948" s="6"/>
      <c r="H948" s="6"/>
      <c r="I948" s="6"/>
      <c r="J948" s="6"/>
      <c r="K948" s="6"/>
      <c r="L948" s="6"/>
      <c r="M948" s="6"/>
      <c r="N948" s="6"/>
      <c r="O948" s="6"/>
      <c r="P948" s="6"/>
      <c r="R948" s="6"/>
      <c r="S948" s="6"/>
      <c r="T948" s="6"/>
      <c r="U948" s="6"/>
      <c r="V948" s="6"/>
      <c r="W948" s="6"/>
      <c r="X948" s="6"/>
      <c r="Y948" s="6"/>
      <c r="Z948" s="6"/>
      <c r="AA948" s="6"/>
      <c r="AB948" s="6"/>
      <c r="AD948" s="6"/>
      <c r="AE948" s="6"/>
      <c r="AF948" s="6"/>
      <c r="AG948" s="6"/>
      <c r="AH948" s="6"/>
      <c r="AI948" s="6"/>
      <c r="AK948" s="6"/>
      <c r="AL948" s="6"/>
      <c r="AM948" s="6"/>
      <c r="AN948" s="6"/>
      <c r="AO948" s="6"/>
      <c r="AP948" s="6"/>
      <c r="AQ948" s="6"/>
      <c r="AR948" s="6"/>
      <c r="AS948" s="15"/>
      <c r="AT948" s="6" t="str">
        <f ca="1">IFERROR(__xludf.DUMMYFUNCTION("""COMPUTED_VALUE"""),"#N/A")</f>
        <v>#N/A</v>
      </c>
      <c r="AU948" s="6" t="str">
        <f ca="1">IFERROR(__xludf.DUMMYFUNCTION("""COMPUTED_VALUE"""),"FALSE")</f>
        <v>FALSE</v>
      </c>
      <c r="AW948" s="6">
        <f t="shared" si="64"/>
        <v>0</v>
      </c>
      <c r="AX948" s="6">
        <f t="shared" si="65"/>
        <v>0</v>
      </c>
      <c r="AY948" s="6">
        <f t="shared" si="66"/>
        <v>0</v>
      </c>
      <c r="AZ948" s="9" t="str">
        <f t="shared" si="67"/>
        <v/>
      </c>
      <c r="BA948" s="6">
        <f t="shared" si="68"/>
        <v>0</v>
      </c>
      <c r="BB948" s="6">
        <f t="shared" si="69"/>
        <v>0</v>
      </c>
      <c r="BC948" s="9" t="str">
        <f t="shared" si="70"/>
        <v/>
      </c>
      <c r="BD948" s="6">
        <f t="shared" si="71"/>
        <v>0</v>
      </c>
      <c r="BE948" s="6">
        <f t="shared" si="72"/>
        <v>0</v>
      </c>
      <c r="BF948" s="9" t="str">
        <f t="shared" si="73"/>
        <v/>
      </c>
      <c r="BG948" s="6">
        <f t="shared" si="74"/>
        <v>0</v>
      </c>
      <c r="BH948" s="6">
        <f t="shared" si="75"/>
        <v>0</v>
      </c>
      <c r="BI948" s="9" t="str">
        <f t="shared" si="76"/>
        <v/>
      </c>
      <c r="BJ948" s="6">
        <f t="shared" si="77"/>
        <v>0</v>
      </c>
      <c r="BK948" s="6">
        <f t="shared" si="78"/>
        <v>0</v>
      </c>
      <c r="BL948" s="6">
        <f t="shared" si="79"/>
        <v>0</v>
      </c>
      <c r="BM948" s="6">
        <f t="shared" si="80"/>
        <v>0</v>
      </c>
      <c r="BN948" s="6">
        <f t="shared" si="81"/>
        <v>0</v>
      </c>
      <c r="BP948" s="6">
        <f t="shared" si="82"/>
        <v>0</v>
      </c>
      <c r="BQ948" s="6" t="b">
        <f ca="1">IFERROR(__xludf.DUMMYFUNCTION("IF(AND(ISERROR(FILTER('Items by Team'!D$2:D3410,'Items by Team'!C$2:C3410 = D948,'Items by Team'!B$2:B3410 = B948)),NOT(A948=""Practice"")),TRUE,FALSE)"),FALSE)</f>
        <v>0</v>
      </c>
      <c r="BR948" s="6">
        <f t="shared" ca="1" si="83"/>
        <v>0</v>
      </c>
    </row>
    <row r="949" spans="1:70">
      <c r="A949" s="6"/>
      <c r="B949" s="6"/>
      <c r="C949" s="6"/>
      <c r="D949" s="6"/>
      <c r="E949" s="6"/>
      <c r="F949" s="6"/>
      <c r="G949" s="6"/>
      <c r="H949" s="6"/>
      <c r="I949" s="6"/>
      <c r="J949" s="6"/>
      <c r="K949" s="6"/>
      <c r="L949" s="6"/>
      <c r="M949" s="6"/>
      <c r="N949" s="6"/>
      <c r="O949" s="6"/>
      <c r="P949" s="6"/>
      <c r="R949" s="6"/>
      <c r="S949" s="6"/>
      <c r="T949" s="6"/>
      <c r="U949" s="6"/>
      <c r="V949" s="6"/>
      <c r="W949" s="6"/>
      <c r="X949" s="6"/>
      <c r="Y949" s="6"/>
      <c r="Z949" s="6"/>
      <c r="AA949" s="6"/>
      <c r="AB949" s="6"/>
      <c r="AD949" s="6"/>
      <c r="AE949" s="6"/>
      <c r="AF949" s="6"/>
      <c r="AG949" s="6"/>
      <c r="AH949" s="6"/>
      <c r="AI949" s="6"/>
      <c r="AK949" s="6"/>
      <c r="AL949" s="6"/>
      <c r="AM949" s="6"/>
      <c r="AN949" s="6"/>
      <c r="AO949" s="6"/>
      <c r="AP949" s="6"/>
      <c r="AQ949" s="6"/>
      <c r="AR949" s="6"/>
      <c r="AS949" s="15"/>
      <c r="AT949" s="6" t="str">
        <f ca="1">IFERROR(__xludf.DUMMYFUNCTION("""COMPUTED_VALUE"""),"#N/A")</f>
        <v>#N/A</v>
      </c>
      <c r="AU949" s="6" t="str">
        <f ca="1">IFERROR(__xludf.DUMMYFUNCTION("""COMPUTED_VALUE"""),"FALSE")</f>
        <v>FALSE</v>
      </c>
      <c r="AW949" s="6">
        <f t="shared" si="64"/>
        <v>0</v>
      </c>
      <c r="AX949" s="6">
        <f t="shared" si="65"/>
        <v>0</v>
      </c>
      <c r="AY949" s="6">
        <f t="shared" si="66"/>
        <v>0</v>
      </c>
      <c r="AZ949" s="9" t="str">
        <f t="shared" si="67"/>
        <v/>
      </c>
      <c r="BA949" s="6">
        <f t="shared" si="68"/>
        <v>0</v>
      </c>
      <c r="BB949" s="6">
        <f t="shared" si="69"/>
        <v>0</v>
      </c>
      <c r="BC949" s="9" t="str">
        <f t="shared" si="70"/>
        <v/>
      </c>
      <c r="BD949" s="6">
        <f t="shared" si="71"/>
        <v>0</v>
      </c>
      <c r="BE949" s="6">
        <f t="shared" si="72"/>
        <v>0</v>
      </c>
      <c r="BF949" s="9" t="str">
        <f t="shared" si="73"/>
        <v/>
      </c>
      <c r="BG949" s="6">
        <f t="shared" si="74"/>
        <v>0</v>
      </c>
      <c r="BH949" s="6">
        <f t="shared" si="75"/>
        <v>0</v>
      </c>
      <c r="BI949" s="9" t="str">
        <f t="shared" si="76"/>
        <v/>
      </c>
      <c r="BJ949" s="6">
        <f t="shared" si="77"/>
        <v>0</v>
      </c>
      <c r="BK949" s="6">
        <f t="shared" si="78"/>
        <v>0</v>
      </c>
      <c r="BL949" s="6">
        <f t="shared" si="79"/>
        <v>0</v>
      </c>
      <c r="BM949" s="6">
        <f t="shared" si="80"/>
        <v>0</v>
      </c>
      <c r="BN949" s="6">
        <f t="shared" si="81"/>
        <v>0</v>
      </c>
      <c r="BP949" s="6">
        <f t="shared" si="82"/>
        <v>0</v>
      </c>
      <c r="BQ949" s="6" t="b">
        <f ca="1">IFERROR(__xludf.DUMMYFUNCTION("IF(AND(ISERROR(FILTER('Items by Team'!D$2:D3410,'Items by Team'!C$2:C3410 = D949,'Items by Team'!B$2:B3410 = B949)),NOT(A949=""Practice"")),TRUE,FALSE)"),FALSE)</f>
        <v>0</v>
      </c>
      <c r="BR949" s="6">
        <f t="shared" ca="1" si="83"/>
        <v>0</v>
      </c>
    </row>
    <row r="950" spans="1:70">
      <c r="A950" s="6"/>
      <c r="B950" s="6"/>
      <c r="C950" s="6"/>
      <c r="D950" s="6"/>
      <c r="E950" s="6"/>
      <c r="F950" s="6"/>
      <c r="G950" s="6"/>
      <c r="H950" s="6"/>
      <c r="I950" s="6"/>
      <c r="J950" s="6"/>
      <c r="K950" s="6"/>
      <c r="L950" s="6"/>
      <c r="M950" s="6"/>
      <c r="N950" s="6"/>
      <c r="O950" s="6"/>
      <c r="P950" s="6"/>
      <c r="R950" s="6"/>
      <c r="S950" s="6"/>
      <c r="T950" s="6"/>
      <c r="U950" s="6"/>
      <c r="V950" s="6"/>
      <c r="W950" s="6"/>
      <c r="X950" s="6"/>
      <c r="Y950" s="6"/>
      <c r="Z950" s="6"/>
      <c r="AA950" s="6"/>
      <c r="AB950" s="6"/>
      <c r="AD950" s="6"/>
      <c r="AE950" s="6"/>
      <c r="AF950" s="6"/>
      <c r="AG950" s="6"/>
      <c r="AH950" s="6"/>
      <c r="AI950" s="6"/>
      <c r="AK950" s="6"/>
      <c r="AL950" s="6"/>
      <c r="AM950" s="6"/>
      <c r="AN950" s="6"/>
      <c r="AO950" s="6"/>
      <c r="AP950" s="6"/>
      <c r="AQ950" s="6"/>
      <c r="AR950" s="6"/>
      <c r="AS950" s="15"/>
      <c r="AT950" s="6" t="str">
        <f ca="1">IFERROR(__xludf.DUMMYFUNCTION("""COMPUTED_VALUE"""),"#N/A")</f>
        <v>#N/A</v>
      </c>
      <c r="AU950" s="6" t="str">
        <f ca="1">IFERROR(__xludf.DUMMYFUNCTION("""COMPUTED_VALUE"""),"FALSE")</f>
        <v>FALSE</v>
      </c>
      <c r="AW950" s="6">
        <f t="shared" si="64"/>
        <v>0</v>
      </c>
      <c r="AX950" s="6">
        <f t="shared" si="65"/>
        <v>0</v>
      </c>
      <c r="AY950" s="6">
        <f t="shared" si="66"/>
        <v>0</v>
      </c>
      <c r="AZ950" s="9" t="str">
        <f t="shared" si="67"/>
        <v/>
      </c>
      <c r="BA950" s="6">
        <f t="shared" si="68"/>
        <v>0</v>
      </c>
      <c r="BB950" s="6">
        <f t="shared" si="69"/>
        <v>0</v>
      </c>
      <c r="BC950" s="9" t="str">
        <f t="shared" si="70"/>
        <v/>
      </c>
      <c r="BD950" s="6">
        <f t="shared" si="71"/>
        <v>0</v>
      </c>
      <c r="BE950" s="6">
        <f t="shared" si="72"/>
        <v>0</v>
      </c>
      <c r="BF950" s="9" t="str">
        <f t="shared" si="73"/>
        <v/>
      </c>
      <c r="BG950" s="6">
        <f t="shared" si="74"/>
        <v>0</v>
      </c>
      <c r="BH950" s="6">
        <f t="shared" si="75"/>
        <v>0</v>
      </c>
      <c r="BI950" s="9" t="str">
        <f t="shared" si="76"/>
        <v/>
      </c>
      <c r="BJ950" s="6">
        <f t="shared" si="77"/>
        <v>0</v>
      </c>
      <c r="BK950" s="6">
        <f t="shared" si="78"/>
        <v>0</v>
      </c>
      <c r="BL950" s="6">
        <f t="shared" si="79"/>
        <v>0</v>
      </c>
      <c r="BM950" s="6">
        <f t="shared" si="80"/>
        <v>0</v>
      </c>
      <c r="BN950" s="6">
        <f t="shared" si="81"/>
        <v>0</v>
      </c>
      <c r="BP950" s="6">
        <f t="shared" si="82"/>
        <v>0</v>
      </c>
      <c r="BQ950" s="6" t="b">
        <f ca="1">IFERROR(__xludf.DUMMYFUNCTION("IF(AND(ISERROR(FILTER('Items by Team'!D$2:D3410,'Items by Team'!C$2:C3410 = D950,'Items by Team'!B$2:B3410 = B950)),NOT(A950=""Practice"")),TRUE,FALSE)"),FALSE)</f>
        <v>0</v>
      </c>
      <c r="BR950" s="6">
        <f t="shared" ca="1" si="83"/>
        <v>0</v>
      </c>
    </row>
    <row r="951" spans="1:70">
      <c r="A951" s="6"/>
      <c r="B951" s="6"/>
      <c r="C951" s="6"/>
      <c r="D951" s="6"/>
      <c r="E951" s="6"/>
      <c r="F951" s="6"/>
      <c r="G951" s="6"/>
      <c r="H951" s="6"/>
      <c r="I951" s="6"/>
      <c r="J951" s="6"/>
      <c r="K951" s="6"/>
      <c r="L951" s="6"/>
      <c r="M951" s="6"/>
      <c r="N951" s="6"/>
      <c r="O951" s="6"/>
      <c r="P951" s="6"/>
      <c r="R951" s="6"/>
      <c r="S951" s="6"/>
      <c r="T951" s="6"/>
      <c r="U951" s="6"/>
      <c r="V951" s="6"/>
      <c r="W951" s="6"/>
      <c r="X951" s="6"/>
      <c r="Y951" s="6"/>
      <c r="Z951" s="6"/>
      <c r="AA951" s="6"/>
      <c r="AB951" s="6"/>
      <c r="AD951" s="6"/>
      <c r="AE951" s="6"/>
      <c r="AF951" s="6"/>
      <c r="AG951" s="6"/>
      <c r="AH951" s="6"/>
      <c r="AI951" s="6"/>
      <c r="AK951" s="6"/>
      <c r="AL951" s="6"/>
      <c r="AM951" s="6"/>
      <c r="AN951" s="6"/>
      <c r="AO951" s="6"/>
      <c r="AP951" s="6"/>
      <c r="AQ951" s="6"/>
      <c r="AR951" s="6"/>
      <c r="AS951" s="15"/>
      <c r="AT951" s="6" t="str">
        <f ca="1">IFERROR(__xludf.DUMMYFUNCTION("""COMPUTED_VALUE"""),"#N/A")</f>
        <v>#N/A</v>
      </c>
      <c r="AU951" s="6" t="str">
        <f ca="1">IFERROR(__xludf.DUMMYFUNCTION("""COMPUTED_VALUE"""),"FALSE")</f>
        <v>FALSE</v>
      </c>
      <c r="AW951" s="6">
        <f t="shared" si="64"/>
        <v>0</v>
      </c>
      <c r="AX951" s="6">
        <f t="shared" si="65"/>
        <v>0</v>
      </c>
      <c r="AY951" s="6">
        <f t="shared" si="66"/>
        <v>0</v>
      </c>
      <c r="AZ951" s="9" t="str">
        <f t="shared" si="67"/>
        <v/>
      </c>
      <c r="BA951" s="6">
        <f t="shared" si="68"/>
        <v>0</v>
      </c>
      <c r="BB951" s="6">
        <f t="shared" si="69"/>
        <v>0</v>
      </c>
      <c r="BC951" s="9" t="str">
        <f t="shared" si="70"/>
        <v/>
      </c>
      <c r="BD951" s="6">
        <f t="shared" si="71"/>
        <v>0</v>
      </c>
      <c r="BE951" s="6">
        <f t="shared" si="72"/>
        <v>0</v>
      </c>
      <c r="BF951" s="9" t="str">
        <f t="shared" si="73"/>
        <v/>
      </c>
      <c r="BG951" s="6">
        <f t="shared" si="74"/>
        <v>0</v>
      </c>
      <c r="BH951" s="6">
        <f t="shared" si="75"/>
        <v>0</v>
      </c>
      <c r="BI951" s="9" t="str">
        <f t="shared" si="76"/>
        <v/>
      </c>
      <c r="BJ951" s="6">
        <f t="shared" si="77"/>
        <v>0</v>
      </c>
      <c r="BK951" s="6">
        <f t="shared" si="78"/>
        <v>0</v>
      </c>
      <c r="BL951" s="6">
        <f t="shared" si="79"/>
        <v>0</v>
      </c>
      <c r="BM951" s="6">
        <f t="shared" si="80"/>
        <v>0</v>
      </c>
      <c r="BN951" s="6">
        <f t="shared" si="81"/>
        <v>0</v>
      </c>
      <c r="BP951" s="6">
        <f t="shared" si="82"/>
        <v>0</v>
      </c>
      <c r="BQ951" s="6" t="b">
        <f ca="1">IFERROR(__xludf.DUMMYFUNCTION("IF(AND(ISERROR(FILTER('Items by Team'!D$2:D3410,'Items by Team'!C$2:C3410 = D951,'Items by Team'!B$2:B3410 = B951)),NOT(A951=""Practice"")),TRUE,FALSE)"),FALSE)</f>
        <v>0</v>
      </c>
      <c r="BR951" s="6">
        <f t="shared" ca="1" si="83"/>
        <v>0</v>
      </c>
    </row>
    <row r="952" spans="1:70">
      <c r="A952" s="6"/>
      <c r="B952" s="6"/>
      <c r="C952" s="6"/>
      <c r="D952" s="6"/>
      <c r="E952" s="6"/>
      <c r="F952" s="6"/>
      <c r="G952" s="6"/>
      <c r="H952" s="6"/>
      <c r="I952" s="6"/>
      <c r="J952" s="6"/>
      <c r="K952" s="6"/>
      <c r="L952" s="6"/>
      <c r="M952" s="6"/>
      <c r="N952" s="6"/>
      <c r="O952" s="6"/>
      <c r="P952" s="6"/>
      <c r="R952" s="6"/>
      <c r="S952" s="6"/>
      <c r="T952" s="6"/>
      <c r="U952" s="6"/>
      <c r="V952" s="6"/>
      <c r="W952" s="6"/>
      <c r="X952" s="6"/>
      <c r="Y952" s="6"/>
      <c r="Z952" s="6"/>
      <c r="AA952" s="6"/>
      <c r="AB952" s="6"/>
      <c r="AD952" s="6"/>
      <c r="AE952" s="6"/>
      <c r="AF952" s="6"/>
      <c r="AG952" s="6"/>
      <c r="AH952" s="6"/>
      <c r="AI952" s="6"/>
      <c r="AK952" s="6"/>
      <c r="AL952" s="6"/>
      <c r="AM952" s="6"/>
      <c r="AN952" s="6"/>
      <c r="AO952" s="6"/>
      <c r="AP952" s="6"/>
      <c r="AQ952" s="6"/>
      <c r="AR952" s="6"/>
      <c r="AS952" s="15"/>
      <c r="AT952" s="6" t="str">
        <f ca="1">IFERROR(__xludf.DUMMYFUNCTION("""COMPUTED_VALUE"""),"#N/A")</f>
        <v>#N/A</v>
      </c>
      <c r="AU952" s="6" t="str">
        <f ca="1">IFERROR(__xludf.DUMMYFUNCTION("""COMPUTED_VALUE"""),"FALSE")</f>
        <v>FALSE</v>
      </c>
      <c r="AW952" s="6">
        <f t="shared" si="64"/>
        <v>0</v>
      </c>
      <c r="AX952" s="6">
        <f t="shared" si="65"/>
        <v>0</v>
      </c>
      <c r="AY952" s="6">
        <f t="shared" si="66"/>
        <v>0</v>
      </c>
      <c r="AZ952" s="9" t="str">
        <f t="shared" si="67"/>
        <v/>
      </c>
      <c r="BA952" s="6">
        <f t="shared" si="68"/>
        <v>0</v>
      </c>
      <c r="BB952" s="6">
        <f t="shared" si="69"/>
        <v>0</v>
      </c>
      <c r="BC952" s="9" t="str">
        <f t="shared" si="70"/>
        <v/>
      </c>
      <c r="BD952" s="6">
        <f t="shared" si="71"/>
        <v>0</v>
      </c>
      <c r="BE952" s="6">
        <f t="shared" si="72"/>
        <v>0</v>
      </c>
      <c r="BF952" s="9" t="str">
        <f t="shared" si="73"/>
        <v/>
      </c>
      <c r="BG952" s="6">
        <f t="shared" si="74"/>
        <v>0</v>
      </c>
      <c r="BH952" s="6">
        <f t="shared" si="75"/>
        <v>0</v>
      </c>
      <c r="BI952" s="9" t="str">
        <f t="shared" si="76"/>
        <v/>
      </c>
      <c r="BJ952" s="6">
        <f t="shared" si="77"/>
        <v>0</v>
      </c>
      <c r="BK952" s="6">
        <f t="shared" si="78"/>
        <v>0</v>
      </c>
      <c r="BL952" s="6">
        <f t="shared" si="79"/>
        <v>0</v>
      </c>
      <c r="BM952" s="6">
        <f t="shared" si="80"/>
        <v>0</v>
      </c>
      <c r="BN952" s="6">
        <f t="shared" si="81"/>
        <v>0</v>
      </c>
      <c r="BP952" s="6">
        <f t="shared" si="82"/>
        <v>0</v>
      </c>
      <c r="BQ952" s="6" t="b">
        <f ca="1">IFERROR(__xludf.DUMMYFUNCTION("IF(AND(ISERROR(FILTER('Items by Team'!D$2:D3410,'Items by Team'!C$2:C3410 = D952,'Items by Team'!B$2:B3410 = B952)),NOT(A952=""Practice"")),TRUE,FALSE)"),FALSE)</f>
        <v>0</v>
      </c>
      <c r="BR952" s="6">
        <f t="shared" ca="1" si="83"/>
        <v>0</v>
      </c>
    </row>
    <row r="953" spans="1:70">
      <c r="A953" s="6"/>
      <c r="B953" s="6"/>
      <c r="C953" s="6"/>
      <c r="D953" s="6"/>
      <c r="E953" s="6"/>
      <c r="F953" s="6"/>
      <c r="G953" s="6"/>
      <c r="H953" s="6"/>
      <c r="I953" s="6"/>
      <c r="J953" s="6"/>
      <c r="K953" s="6"/>
      <c r="L953" s="6"/>
      <c r="M953" s="6"/>
      <c r="N953" s="6"/>
      <c r="O953" s="6"/>
      <c r="P953" s="6"/>
      <c r="R953" s="6"/>
      <c r="S953" s="6"/>
      <c r="T953" s="6"/>
      <c r="U953" s="6"/>
      <c r="V953" s="6"/>
      <c r="W953" s="6"/>
      <c r="X953" s="6"/>
      <c r="Y953" s="6"/>
      <c r="Z953" s="6"/>
      <c r="AA953" s="6"/>
      <c r="AB953" s="6"/>
      <c r="AD953" s="6"/>
      <c r="AE953" s="6"/>
      <c r="AF953" s="6"/>
      <c r="AG953" s="6"/>
      <c r="AH953" s="6"/>
      <c r="AI953" s="6"/>
      <c r="AK953" s="6"/>
      <c r="AL953" s="6"/>
      <c r="AM953" s="6"/>
      <c r="AN953" s="6"/>
      <c r="AO953" s="6"/>
      <c r="AP953" s="6"/>
      <c r="AQ953" s="6"/>
      <c r="AR953" s="6"/>
      <c r="AS953" s="15"/>
      <c r="AT953" s="6" t="str">
        <f ca="1">IFERROR(__xludf.DUMMYFUNCTION("""COMPUTED_VALUE"""),"#N/A")</f>
        <v>#N/A</v>
      </c>
      <c r="AU953" s="6" t="str">
        <f ca="1">IFERROR(__xludf.DUMMYFUNCTION("""COMPUTED_VALUE"""),"FALSE")</f>
        <v>FALSE</v>
      </c>
      <c r="AW953" s="6">
        <f t="shared" si="64"/>
        <v>0</v>
      </c>
      <c r="AX953" s="6">
        <f t="shared" si="65"/>
        <v>0</v>
      </c>
      <c r="AY953" s="6">
        <f t="shared" si="66"/>
        <v>0</v>
      </c>
      <c r="AZ953" s="9" t="str">
        <f t="shared" si="67"/>
        <v/>
      </c>
      <c r="BA953" s="6">
        <f t="shared" si="68"/>
        <v>0</v>
      </c>
      <c r="BB953" s="6">
        <f t="shared" si="69"/>
        <v>0</v>
      </c>
      <c r="BC953" s="9" t="str">
        <f t="shared" si="70"/>
        <v/>
      </c>
      <c r="BD953" s="6">
        <f t="shared" si="71"/>
        <v>0</v>
      </c>
      <c r="BE953" s="6">
        <f t="shared" si="72"/>
        <v>0</v>
      </c>
      <c r="BF953" s="9" t="str">
        <f t="shared" si="73"/>
        <v/>
      </c>
      <c r="BG953" s="6">
        <f t="shared" si="74"/>
        <v>0</v>
      </c>
      <c r="BH953" s="6">
        <f t="shared" si="75"/>
        <v>0</v>
      </c>
      <c r="BI953" s="9" t="str">
        <f t="shared" si="76"/>
        <v/>
      </c>
      <c r="BJ953" s="6">
        <f t="shared" si="77"/>
        <v>0</v>
      </c>
      <c r="BK953" s="6">
        <f t="shared" si="78"/>
        <v>0</v>
      </c>
      <c r="BL953" s="6">
        <f t="shared" si="79"/>
        <v>0</v>
      </c>
      <c r="BM953" s="6">
        <f t="shared" si="80"/>
        <v>0</v>
      </c>
      <c r="BN953" s="6">
        <f t="shared" si="81"/>
        <v>0</v>
      </c>
      <c r="BP953" s="6">
        <f t="shared" si="82"/>
        <v>0</v>
      </c>
      <c r="BQ953" s="6" t="b">
        <f ca="1">IFERROR(__xludf.DUMMYFUNCTION("IF(AND(ISERROR(FILTER('Items by Team'!D$2:D3410,'Items by Team'!C$2:C3410 = D953,'Items by Team'!B$2:B3410 = B953)),NOT(A953=""Practice"")),TRUE,FALSE)"),FALSE)</f>
        <v>0</v>
      </c>
      <c r="BR953" s="6">
        <f t="shared" ca="1" si="83"/>
        <v>0</v>
      </c>
    </row>
    <row r="954" spans="1:70">
      <c r="A954" s="6"/>
      <c r="B954" s="6"/>
      <c r="C954" s="6"/>
      <c r="D954" s="6"/>
      <c r="E954" s="6"/>
      <c r="F954" s="6"/>
      <c r="G954" s="6"/>
      <c r="H954" s="6"/>
      <c r="I954" s="6"/>
      <c r="J954" s="6"/>
      <c r="K954" s="6"/>
      <c r="L954" s="6"/>
      <c r="M954" s="6"/>
      <c r="N954" s="6"/>
      <c r="O954" s="6"/>
      <c r="P954" s="6"/>
      <c r="R954" s="6"/>
      <c r="S954" s="6"/>
      <c r="T954" s="6"/>
      <c r="U954" s="6"/>
      <c r="V954" s="6"/>
      <c r="W954" s="6"/>
      <c r="X954" s="6"/>
      <c r="Y954" s="6"/>
      <c r="Z954" s="6"/>
      <c r="AA954" s="6"/>
      <c r="AB954" s="6"/>
      <c r="AD954" s="6"/>
      <c r="AE954" s="6"/>
      <c r="AF954" s="6"/>
      <c r="AG954" s="6"/>
      <c r="AH954" s="6"/>
      <c r="AI954" s="6"/>
      <c r="AK954" s="6"/>
      <c r="AL954" s="6"/>
      <c r="AM954" s="6"/>
      <c r="AN954" s="6"/>
      <c r="AO954" s="6"/>
      <c r="AP954" s="6"/>
      <c r="AQ954" s="6"/>
      <c r="AR954" s="6"/>
      <c r="AS954" s="15"/>
      <c r="AT954" s="6" t="str">
        <f ca="1">IFERROR(__xludf.DUMMYFUNCTION("""COMPUTED_VALUE"""),"#N/A")</f>
        <v>#N/A</v>
      </c>
      <c r="AU954" s="6" t="str">
        <f ca="1">IFERROR(__xludf.DUMMYFUNCTION("""COMPUTED_VALUE"""),"FALSE")</f>
        <v>FALSE</v>
      </c>
      <c r="AW954" s="6">
        <f t="shared" si="64"/>
        <v>0</v>
      </c>
      <c r="AX954" s="6">
        <f t="shared" si="65"/>
        <v>0</v>
      </c>
      <c r="AY954" s="6">
        <f t="shared" si="66"/>
        <v>0</v>
      </c>
      <c r="AZ954" s="9" t="str">
        <f t="shared" si="67"/>
        <v/>
      </c>
      <c r="BA954" s="6">
        <f t="shared" si="68"/>
        <v>0</v>
      </c>
      <c r="BB954" s="6">
        <f t="shared" si="69"/>
        <v>0</v>
      </c>
      <c r="BC954" s="9" t="str">
        <f t="shared" si="70"/>
        <v/>
      </c>
      <c r="BD954" s="6">
        <f t="shared" si="71"/>
        <v>0</v>
      </c>
      <c r="BE954" s="6">
        <f t="shared" si="72"/>
        <v>0</v>
      </c>
      <c r="BF954" s="9" t="str">
        <f t="shared" si="73"/>
        <v/>
      </c>
      <c r="BG954" s="6">
        <f t="shared" si="74"/>
        <v>0</v>
      </c>
      <c r="BH954" s="6">
        <f t="shared" si="75"/>
        <v>0</v>
      </c>
      <c r="BI954" s="9" t="str">
        <f t="shared" si="76"/>
        <v/>
      </c>
      <c r="BJ954" s="6">
        <f t="shared" si="77"/>
        <v>0</v>
      </c>
      <c r="BK954" s="6">
        <f t="shared" si="78"/>
        <v>0</v>
      </c>
      <c r="BL954" s="6">
        <f t="shared" si="79"/>
        <v>0</v>
      </c>
      <c r="BM954" s="6">
        <f t="shared" si="80"/>
        <v>0</v>
      </c>
      <c r="BN954" s="6">
        <f t="shared" si="81"/>
        <v>0</v>
      </c>
      <c r="BP954" s="6">
        <f t="shared" si="82"/>
        <v>0</v>
      </c>
      <c r="BQ954" s="6" t="b">
        <f ca="1">IFERROR(__xludf.DUMMYFUNCTION("IF(AND(ISERROR(FILTER('Items by Team'!D$2:D3410,'Items by Team'!C$2:C3410 = D954,'Items by Team'!B$2:B3410 = B954)),NOT(A954=""Practice"")),TRUE,FALSE)"),FALSE)</f>
        <v>0</v>
      </c>
      <c r="BR954" s="6">
        <f t="shared" ca="1" si="83"/>
        <v>0</v>
      </c>
    </row>
    <row r="955" spans="1:70">
      <c r="A955" s="6"/>
      <c r="B955" s="6"/>
      <c r="C955" s="6"/>
      <c r="D955" s="6"/>
      <c r="E955" s="6"/>
      <c r="F955" s="6"/>
      <c r="G955" s="6"/>
      <c r="H955" s="6"/>
      <c r="I955" s="6"/>
      <c r="J955" s="6"/>
      <c r="K955" s="6"/>
      <c r="L955" s="6"/>
      <c r="M955" s="6"/>
      <c r="N955" s="6"/>
      <c r="O955" s="6"/>
      <c r="P955" s="6"/>
      <c r="R955" s="6"/>
      <c r="S955" s="6"/>
      <c r="T955" s="6"/>
      <c r="U955" s="6"/>
      <c r="V955" s="6"/>
      <c r="W955" s="6"/>
      <c r="X955" s="6"/>
      <c r="Y955" s="6"/>
      <c r="Z955" s="6"/>
      <c r="AA955" s="6"/>
      <c r="AB955" s="6"/>
      <c r="AD955" s="6"/>
      <c r="AE955" s="6"/>
      <c r="AF955" s="6"/>
      <c r="AG955" s="6"/>
      <c r="AH955" s="6"/>
      <c r="AI955" s="6"/>
      <c r="AK955" s="6"/>
      <c r="AL955" s="6"/>
      <c r="AM955" s="6"/>
      <c r="AN955" s="6"/>
      <c r="AO955" s="6"/>
      <c r="AP955" s="6"/>
      <c r="AQ955" s="6"/>
      <c r="AR955" s="6"/>
      <c r="AS955" s="15"/>
      <c r="AT955" s="6" t="str">
        <f ca="1">IFERROR(__xludf.DUMMYFUNCTION("""COMPUTED_VALUE"""),"#N/A")</f>
        <v>#N/A</v>
      </c>
      <c r="AU955" s="6" t="str">
        <f ca="1">IFERROR(__xludf.DUMMYFUNCTION("""COMPUTED_VALUE"""),"FALSE")</f>
        <v>FALSE</v>
      </c>
      <c r="AW955" s="6">
        <f t="shared" si="64"/>
        <v>0</v>
      </c>
      <c r="AX955" s="6">
        <f t="shared" si="65"/>
        <v>0</v>
      </c>
      <c r="AY955" s="6">
        <f t="shared" si="66"/>
        <v>0</v>
      </c>
      <c r="AZ955" s="9" t="str">
        <f t="shared" si="67"/>
        <v/>
      </c>
      <c r="BA955" s="6">
        <f t="shared" si="68"/>
        <v>0</v>
      </c>
      <c r="BB955" s="6">
        <f t="shared" si="69"/>
        <v>0</v>
      </c>
      <c r="BC955" s="9" t="str">
        <f t="shared" si="70"/>
        <v/>
      </c>
      <c r="BD955" s="6">
        <f t="shared" si="71"/>
        <v>0</v>
      </c>
      <c r="BE955" s="6">
        <f t="shared" si="72"/>
        <v>0</v>
      </c>
      <c r="BF955" s="9" t="str">
        <f t="shared" si="73"/>
        <v/>
      </c>
      <c r="BG955" s="6">
        <f t="shared" si="74"/>
        <v>0</v>
      </c>
      <c r="BH955" s="6">
        <f t="shared" si="75"/>
        <v>0</v>
      </c>
      <c r="BI955" s="9" t="str">
        <f t="shared" si="76"/>
        <v/>
      </c>
      <c r="BJ955" s="6">
        <f t="shared" si="77"/>
        <v>0</v>
      </c>
      <c r="BK955" s="6">
        <f t="shared" si="78"/>
        <v>0</v>
      </c>
      <c r="BL955" s="6">
        <f t="shared" si="79"/>
        <v>0</v>
      </c>
      <c r="BM955" s="6">
        <f t="shared" si="80"/>
        <v>0</v>
      </c>
      <c r="BN955" s="6">
        <f t="shared" si="81"/>
        <v>0</v>
      </c>
      <c r="BP955" s="6">
        <f t="shared" si="82"/>
        <v>0</v>
      </c>
      <c r="BQ955" s="6" t="b">
        <f ca="1">IFERROR(__xludf.DUMMYFUNCTION("IF(AND(ISERROR(FILTER('Items by Team'!D$2:D3410,'Items by Team'!C$2:C3410 = D955,'Items by Team'!B$2:B3410 = B955)),NOT(A955=""Practice"")),TRUE,FALSE)"),FALSE)</f>
        <v>0</v>
      </c>
      <c r="BR955" s="6">
        <f t="shared" ca="1" si="83"/>
        <v>0</v>
      </c>
    </row>
    <row r="956" spans="1:70">
      <c r="A956" s="6"/>
      <c r="B956" s="6"/>
      <c r="C956" s="6"/>
      <c r="D956" s="6"/>
      <c r="E956" s="6"/>
      <c r="F956" s="6"/>
      <c r="G956" s="6"/>
      <c r="H956" s="6"/>
      <c r="I956" s="6"/>
      <c r="J956" s="6"/>
      <c r="K956" s="6"/>
      <c r="L956" s="6"/>
      <c r="M956" s="6"/>
      <c r="N956" s="6"/>
      <c r="O956" s="6"/>
      <c r="P956" s="6"/>
      <c r="R956" s="6"/>
      <c r="S956" s="6"/>
      <c r="T956" s="6"/>
      <c r="U956" s="6"/>
      <c r="V956" s="6"/>
      <c r="W956" s="6"/>
      <c r="X956" s="6"/>
      <c r="Y956" s="6"/>
      <c r="Z956" s="6"/>
      <c r="AA956" s="6"/>
      <c r="AB956" s="6"/>
      <c r="AD956" s="6"/>
      <c r="AE956" s="6"/>
      <c r="AF956" s="6"/>
      <c r="AG956" s="6"/>
      <c r="AH956" s="6"/>
      <c r="AI956" s="6"/>
      <c r="AK956" s="6"/>
      <c r="AL956" s="6"/>
      <c r="AM956" s="6"/>
      <c r="AN956" s="6"/>
      <c r="AO956" s="6"/>
      <c r="AP956" s="6"/>
      <c r="AQ956" s="6"/>
      <c r="AR956" s="6"/>
      <c r="AS956" s="15"/>
      <c r="AT956" s="6" t="str">
        <f ca="1">IFERROR(__xludf.DUMMYFUNCTION("""COMPUTED_VALUE"""),"#N/A")</f>
        <v>#N/A</v>
      </c>
      <c r="AU956" s="6" t="str">
        <f ca="1">IFERROR(__xludf.DUMMYFUNCTION("""COMPUTED_VALUE"""),"FALSE")</f>
        <v>FALSE</v>
      </c>
      <c r="AW956" s="6">
        <f t="shared" si="64"/>
        <v>0</v>
      </c>
      <c r="AX956" s="6">
        <f t="shared" si="65"/>
        <v>0</v>
      </c>
      <c r="AY956" s="6">
        <f t="shared" si="66"/>
        <v>0</v>
      </c>
      <c r="AZ956" s="9" t="str">
        <f t="shared" si="67"/>
        <v/>
      </c>
      <c r="BA956" s="6">
        <f t="shared" si="68"/>
        <v>0</v>
      </c>
      <c r="BB956" s="6">
        <f t="shared" si="69"/>
        <v>0</v>
      </c>
      <c r="BC956" s="9" t="str">
        <f t="shared" si="70"/>
        <v/>
      </c>
      <c r="BD956" s="6">
        <f t="shared" si="71"/>
        <v>0</v>
      </c>
      <c r="BE956" s="6">
        <f t="shared" si="72"/>
        <v>0</v>
      </c>
      <c r="BF956" s="9" t="str">
        <f t="shared" si="73"/>
        <v/>
      </c>
      <c r="BG956" s="6">
        <f t="shared" si="74"/>
        <v>0</v>
      </c>
      <c r="BH956" s="6">
        <f t="shared" si="75"/>
        <v>0</v>
      </c>
      <c r="BI956" s="9" t="str">
        <f t="shared" si="76"/>
        <v/>
      </c>
      <c r="BJ956" s="6">
        <f t="shared" si="77"/>
        <v>0</v>
      </c>
      <c r="BK956" s="6">
        <f t="shared" si="78"/>
        <v>0</v>
      </c>
      <c r="BL956" s="6">
        <f t="shared" si="79"/>
        <v>0</v>
      </c>
      <c r="BM956" s="6">
        <f t="shared" si="80"/>
        <v>0</v>
      </c>
      <c r="BN956" s="6">
        <f t="shared" si="81"/>
        <v>0</v>
      </c>
      <c r="BP956" s="6">
        <f t="shared" si="82"/>
        <v>0</v>
      </c>
      <c r="BQ956" s="6" t="b">
        <f ca="1">IFERROR(__xludf.DUMMYFUNCTION("IF(AND(ISERROR(FILTER('Items by Team'!D$2:D3410,'Items by Team'!C$2:C3410 = D956,'Items by Team'!B$2:B3410 = B956)),NOT(A956=""Practice"")),TRUE,FALSE)"),FALSE)</f>
        <v>0</v>
      </c>
      <c r="BR956" s="6">
        <f t="shared" ca="1" si="83"/>
        <v>0</v>
      </c>
    </row>
    <row r="957" spans="1:70">
      <c r="A957" s="6"/>
      <c r="B957" s="6"/>
      <c r="C957" s="6"/>
      <c r="D957" s="6"/>
      <c r="E957" s="6"/>
      <c r="F957" s="6"/>
      <c r="G957" s="6"/>
      <c r="H957" s="6"/>
      <c r="I957" s="6"/>
      <c r="J957" s="6"/>
      <c r="K957" s="6"/>
      <c r="L957" s="6"/>
      <c r="M957" s="6"/>
      <c r="N957" s="6"/>
      <c r="O957" s="6"/>
      <c r="P957" s="6"/>
      <c r="R957" s="6"/>
      <c r="S957" s="6"/>
      <c r="T957" s="6"/>
      <c r="U957" s="6"/>
      <c r="V957" s="6"/>
      <c r="W957" s="6"/>
      <c r="X957" s="6"/>
      <c r="Y957" s="6"/>
      <c r="Z957" s="6"/>
      <c r="AA957" s="6"/>
      <c r="AB957" s="6"/>
      <c r="AD957" s="6"/>
      <c r="AE957" s="6"/>
      <c r="AF957" s="6"/>
      <c r="AG957" s="6"/>
      <c r="AH957" s="6"/>
      <c r="AI957" s="6"/>
      <c r="AK957" s="6"/>
      <c r="AL957" s="6"/>
      <c r="AM957" s="6"/>
      <c r="AN957" s="6"/>
      <c r="AO957" s="6"/>
      <c r="AP957" s="6"/>
      <c r="AQ957" s="6"/>
      <c r="AR957" s="6"/>
      <c r="AS957" s="15"/>
      <c r="AT957" s="6" t="str">
        <f ca="1">IFERROR(__xludf.DUMMYFUNCTION("""COMPUTED_VALUE"""),"#N/A")</f>
        <v>#N/A</v>
      </c>
      <c r="AU957" s="6" t="str">
        <f ca="1">IFERROR(__xludf.DUMMYFUNCTION("""COMPUTED_VALUE"""),"FALSE")</f>
        <v>FALSE</v>
      </c>
      <c r="AW957" s="6">
        <f t="shared" si="64"/>
        <v>0</v>
      </c>
      <c r="AX957" s="6">
        <f t="shared" si="65"/>
        <v>0</v>
      </c>
      <c r="AY957" s="6">
        <f t="shared" si="66"/>
        <v>0</v>
      </c>
      <c r="AZ957" s="9" t="str">
        <f t="shared" si="67"/>
        <v/>
      </c>
      <c r="BA957" s="6">
        <f t="shared" si="68"/>
        <v>0</v>
      </c>
      <c r="BB957" s="6">
        <f t="shared" si="69"/>
        <v>0</v>
      </c>
      <c r="BC957" s="9" t="str">
        <f t="shared" si="70"/>
        <v/>
      </c>
      <c r="BD957" s="6">
        <f t="shared" si="71"/>
        <v>0</v>
      </c>
      <c r="BE957" s="6">
        <f t="shared" si="72"/>
        <v>0</v>
      </c>
      <c r="BF957" s="9" t="str">
        <f t="shared" si="73"/>
        <v/>
      </c>
      <c r="BG957" s="6">
        <f t="shared" si="74"/>
        <v>0</v>
      </c>
      <c r="BH957" s="6">
        <f t="shared" si="75"/>
        <v>0</v>
      </c>
      <c r="BI957" s="9" t="str">
        <f t="shared" si="76"/>
        <v/>
      </c>
      <c r="BJ957" s="6">
        <f t="shared" si="77"/>
        <v>0</v>
      </c>
      <c r="BK957" s="6">
        <f t="shared" si="78"/>
        <v>0</v>
      </c>
      <c r="BL957" s="6">
        <f t="shared" si="79"/>
        <v>0</v>
      </c>
      <c r="BM957" s="6">
        <f t="shared" si="80"/>
        <v>0</v>
      </c>
      <c r="BN957" s="6">
        <f t="shared" si="81"/>
        <v>0</v>
      </c>
      <c r="BP957" s="6">
        <f t="shared" si="82"/>
        <v>0</v>
      </c>
      <c r="BQ957" s="6" t="b">
        <f ca="1">IFERROR(__xludf.DUMMYFUNCTION("IF(AND(ISERROR(FILTER('Items by Team'!D$2:D3410,'Items by Team'!C$2:C3410 = D957,'Items by Team'!B$2:B3410 = B957)),NOT(A957=""Practice"")),TRUE,FALSE)"),FALSE)</f>
        <v>0</v>
      </c>
      <c r="BR957" s="6">
        <f t="shared" ca="1" si="83"/>
        <v>0</v>
      </c>
    </row>
    <row r="958" spans="1:70">
      <c r="A958" s="6"/>
      <c r="B958" s="6"/>
      <c r="C958" s="6"/>
      <c r="D958" s="6"/>
      <c r="E958" s="6"/>
      <c r="F958" s="6"/>
      <c r="G958" s="6"/>
      <c r="H958" s="6"/>
      <c r="I958" s="6"/>
      <c r="J958" s="6"/>
      <c r="K958" s="6"/>
      <c r="L958" s="6"/>
      <c r="M958" s="6"/>
      <c r="N958" s="6"/>
      <c r="O958" s="6"/>
      <c r="P958" s="6"/>
      <c r="R958" s="6"/>
      <c r="S958" s="6"/>
      <c r="T958" s="6"/>
      <c r="U958" s="6"/>
      <c r="V958" s="6"/>
      <c r="W958" s="6"/>
      <c r="X958" s="6"/>
      <c r="Y958" s="6"/>
      <c r="Z958" s="6"/>
      <c r="AA958" s="6"/>
      <c r="AB958" s="6"/>
      <c r="AD958" s="6"/>
      <c r="AE958" s="6"/>
      <c r="AF958" s="6"/>
      <c r="AG958" s="6"/>
      <c r="AH958" s="6"/>
      <c r="AI958" s="6"/>
      <c r="AK958" s="6"/>
      <c r="AL958" s="6"/>
      <c r="AM958" s="6"/>
      <c r="AN958" s="6"/>
      <c r="AO958" s="6"/>
      <c r="AP958" s="6"/>
      <c r="AQ958" s="6"/>
      <c r="AR958" s="6"/>
      <c r="AS958" s="15"/>
      <c r="AT958" s="6" t="str">
        <f ca="1">IFERROR(__xludf.DUMMYFUNCTION("""COMPUTED_VALUE"""),"#N/A")</f>
        <v>#N/A</v>
      </c>
      <c r="AU958" s="6" t="str">
        <f ca="1">IFERROR(__xludf.DUMMYFUNCTION("""COMPUTED_VALUE"""),"FALSE")</f>
        <v>FALSE</v>
      </c>
      <c r="AW958" s="6">
        <f t="shared" si="64"/>
        <v>0</v>
      </c>
      <c r="AX958" s="6">
        <f t="shared" si="65"/>
        <v>0</v>
      </c>
      <c r="AY958" s="6">
        <f t="shared" si="66"/>
        <v>0</v>
      </c>
      <c r="AZ958" s="9" t="str">
        <f t="shared" si="67"/>
        <v/>
      </c>
      <c r="BA958" s="6">
        <f t="shared" si="68"/>
        <v>0</v>
      </c>
      <c r="BB958" s="6">
        <f t="shared" si="69"/>
        <v>0</v>
      </c>
      <c r="BC958" s="9" t="str">
        <f t="shared" si="70"/>
        <v/>
      </c>
      <c r="BD958" s="6">
        <f t="shared" si="71"/>
        <v>0</v>
      </c>
      <c r="BE958" s="6">
        <f t="shared" si="72"/>
        <v>0</v>
      </c>
      <c r="BF958" s="9" t="str">
        <f t="shared" si="73"/>
        <v/>
      </c>
      <c r="BG958" s="6">
        <f t="shared" si="74"/>
        <v>0</v>
      </c>
      <c r="BH958" s="6">
        <f t="shared" si="75"/>
        <v>0</v>
      </c>
      <c r="BI958" s="9" t="str">
        <f t="shared" si="76"/>
        <v/>
      </c>
      <c r="BJ958" s="6">
        <f t="shared" si="77"/>
        <v>0</v>
      </c>
      <c r="BK958" s="6">
        <f t="shared" si="78"/>
        <v>0</v>
      </c>
      <c r="BL958" s="6">
        <f t="shared" si="79"/>
        <v>0</v>
      </c>
      <c r="BM958" s="6">
        <f t="shared" si="80"/>
        <v>0</v>
      </c>
      <c r="BN958" s="6">
        <f t="shared" si="81"/>
        <v>0</v>
      </c>
      <c r="BP958" s="6">
        <f t="shared" si="82"/>
        <v>0</v>
      </c>
      <c r="BQ958" s="6" t="b">
        <f ca="1">IFERROR(__xludf.DUMMYFUNCTION("IF(AND(ISERROR(FILTER('Items by Team'!D$2:D3410,'Items by Team'!C$2:C3410 = D958,'Items by Team'!B$2:B3410 = B958)),NOT(A958=""Practice"")),TRUE,FALSE)"),FALSE)</f>
        <v>0</v>
      </c>
      <c r="BR958" s="6">
        <f t="shared" ca="1" si="83"/>
        <v>0</v>
      </c>
    </row>
    <row r="959" spans="1:70">
      <c r="A959" s="6"/>
      <c r="B959" s="6"/>
      <c r="C959" s="6"/>
      <c r="D959" s="6"/>
      <c r="E959" s="6"/>
      <c r="F959" s="6"/>
      <c r="G959" s="6"/>
      <c r="H959" s="6"/>
      <c r="I959" s="6"/>
      <c r="J959" s="6"/>
      <c r="K959" s="6"/>
      <c r="L959" s="6"/>
      <c r="M959" s="6"/>
      <c r="N959" s="6"/>
      <c r="O959" s="6"/>
      <c r="P959" s="6"/>
      <c r="R959" s="6"/>
      <c r="S959" s="6"/>
      <c r="T959" s="6"/>
      <c r="U959" s="6"/>
      <c r="V959" s="6"/>
      <c r="W959" s="6"/>
      <c r="X959" s="6"/>
      <c r="Y959" s="6"/>
      <c r="Z959" s="6"/>
      <c r="AA959" s="6"/>
      <c r="AB959" s="6"/>
      <c r="AD959" s="6"/>
      <c r="AE959" s="6"/>
      <c r="AF959" s="6"/>
      <c r="AG959" s="6"/>
      <c r="AH959" s="6"/>
      <c r="AI959" s="6"/>
      <c r="AK959" s="6"/>
      <c r="AL959" s="6"/>
      <c r="AM959" s="6"/>
      <c r="AN959" s="6"/>
      <c r="AO959" s="6"/>
      <c r="AP959" s="6"/>
      <c r="AQ959" s="6"/>
      <c r="AR959" s="6"/>
      <c r="AS959" s="15"/>
      <c r="AT959" s="6" t="str">
        <f ca="1">IFERROR(__xludf.DUMMYFUNCTION("""COMPUTED_VALUE"""),"#N/A")</f>
        <v>#N/A</v>
      </c>
      <c r="AU959" s="6" t="str">
        <f ca="1">IFERROR(__xludf.DUMMYFUNCTION("""COMPUTED_VALUE"""),"FALSE")</f>
        <v>FALSE</v>
      </c>
      <c r="AW959" s="6">
        <f t="shared" si="64"/>
        <v>0</v>
      </c>
      <c r="AX959" s="6">
        <f t="shared" si="65"/>
        <v>0</v>
      </c>
      <c r="AY959" s="6">
        <f t="shared" si="66"/>
        <v>0</v>
      </c>
      <c r="AZ959" s="9" t="str">
        <f t="shared" si="67"/>
        <v/>
      </c>
      <c r="BA959" s="6">
        <f t="shared" si="68"/>
        <v>0</v>
      </c>
      <c r="BB959" s="6">
        <f t="shared" si="69"/>
        <v>0</v>
      </c>
      <c r="BC959" s="9" t="str">
        <f t="shared" si="70"/>
        <v/>
      </c>
      <c r="BD959" s="6">
        <f t="shared" si="71"/>
        <v>0</v>
      </c>
      <c r="BE959" s="6">
        <f t="shared" si="72"/>
        <v>0</v>
      </c>
      <c r="BF959" s="9" t="str">
        <f t="shared" si="73"/>
        <v/>
      </c>
      <c r="BG959" s="6">
        <f t="shared" si="74"/>
        <v>0</v>
      </c>
      <c r="BH959" s="6">
        <f t="shared" si="75"/>
        <v>0</v>
      </c>
      <c r="BI959" s="9" t="str">
        <f t="shared" si="76"/>
        <v/>
      </c>
      <c r="BJ959" s="6">
        <f t="shared" si="77"/>
        <v>0</v>
      </c>
      <c r="BK959" s="6">
        <f t="shared" si="78"/>
        <v>0</v>
      </c>
      <c r="BL959" s="6">
        <f t="shared" si="79"/>
        <v>0</v>
      </c>
      <c r="BM959" s="6">
        <f t="shared" si="80"/>
        <v>0</v>
      </c>
      <c r="BN959" s="6">
        <f t="shared" si="81"/>
        <v>0</v>
      </c>
      <c r="BP959" s="6">
        <f t="shared" si="82"/>
        <v>0</v>
      </c>
      <c r="BQ959" s="6" t="b">
        <f ca="1">IFERROR(__xludf.DUMMYFUNCTION("IF(AND(ISERROR(FILTER('Items by Team'!D$2:D3410,'Items by Team'!C$2:C3410 = D959,'Items by Team'!B$2:B3410 = B959)),NOT(A959=""Practice"")),TRUE,FALSE)"),FALSE)</f>
        <v>0</v>
      </c>
      <c r="BR959" s="6">
        <f t="shared" ca="1" si="83"/>
        <v>0</v>
      </c>
    </row>
    <row r="960" spans="1:70">
      <c r="A960" s="6"/>
      <c r="B960" s="6"/>
      <c r="C960" s="6"/>
      <c r="D960" s="6"/>
      <c r="E960" s="6"/>
      <c r="F960" s="6"/>
      <c r="G960" s="6"/>
      <c r="H960" s="6"/>
      <c r="I960" s="6"/>
      <c r="J960" s="6"/>
      <c r="K960" s="6"/>
      <c r="L960" s="6"/>
      <c r="M960" s="6"/>
      <c r="N960" s="6"/>
      <c r="O960" s="6"/>
      <c r="P960" s="6"/>
      <c r="R960" s="6"/>
      <c r="S960" s="6"/>
      <c r="T960" s="6"/>
      <c r="U960" s="6"/>
      <c r="V960" s="6"/>
      <c r="W960" s="6"/>
      <c r="X960" s="6"/>
      <c r="Y960" s="6"/>
      <c r="Z960" s="6"/>
      <c r="AA960" s="6"/>
      <c r="AB960" s="6"/>
      <c r="AD960" s="6"/>
      <c r="AE960" s="6"/>
      <c r="AF960" s="6"/>
      <c r="AG960" s="6"/>
      <c r="AH960" s="6"/>
      <c r="AI960" s="6"/>
      <c r="AK960" s="6"/>
      <c r="AL960" s="6"/>
      <c r="AM960" s="6"/>
      <c r="AN960" s="6"/>
      <c r="AO960" s="6"/>
      <c r="AP960" s="6"/>
      <c r="AQ960" s="6"/>
      <c r="AR960" s="6"/>
      <c r="AS960" s="15"/>
      <c r="AT960" s="6" t="str">
        <f ca="1">IFERROR(__xludf.DUMMYFUNCTION("""COMPUTED_VALUE"""),"#N/A")</f>
        <v>#N/A</v>
      </c>
      <c r="AU960" s="6" t="str">
        <f ca="1">IFERROR(__xludf.DUMMYFUNCTION("""COMPUTED_VALUE"""),"FALSE")</f>
        <v>FALSE</v>
      </c>
      <c r="AW960" s="6">
        <f t="shared" si="64"/>
        <v>0</v>
      </c>
      <c r="AX960" s="6">
        <f t="shared" si="65"/>
        <v>0</v>
      </c>
      <c r="AY960" s="6">
        <f t="shared" si="66"/>
        <v>0</v>
      </c>
      <c r="AZ960" s="9" t="str">
        <f t="shared" si="67"/>
        <v/>
      </c>
      <c r="BA960" s="6">
        <f t="shared" si="68"/>
        <v>0</v>
      </c>
      <c r="BB960" s="6">
        <f t="shared" si="69"/>
        <v>0</v>
      </c>
      <c r="BC960" s="9" t="str">
        <f t="shared" si="70"/>
        <v/>
      </c>
      <c r="BD960" s="6">
        <f t="shared" si="71"/>
        <v>0</v>
      </c>
      <c r="BE960" s="6">
        <f t="shared" si="72"/>
        <v>0</v>
      </c>
      <c r="BF960" s="9" t="str">
        <f t="shared" si="73"/>
        <v/>
      </c>
      <c r="BG960" s="6">
        <f t="shared" si="74"/>
        <v>0</v>
      </c>
      <c r="BH960" s="6">
        <f t="shared" si="75"/>
        <v>0</v>
      </c>
      <c r="BI960" s="9" t="str">
        <f t="shared" si="76"/>
        <v/>
      </c>
      <c r="BJ960" s="6">
        <f t="shared" si="77"/>
        <v>0</v>
      </c>
      <c r="BK960" s="6">
        <f t="shared" si="78"/>
        <v>0</v>
      </c>
      <c r="BL960" s="6">
        <f t="shared" si="79"/>
        <v>0</v>
      </c>
      <c r="BM960" s="6">
        <f t="shared" si="80"/>
        <v>0</v>
      </c>
      <c r="BN960" s="6">
        <f t="shared" si="81"/>
        <v>0</v>
      </c>
      <c r="BP960" s="6">
        <f t="shared" si="82"/>
        <v>0</v>
      </c>
      <c r="BQ960" s="6" t="b">
        <f ca="1">IFERROR(__xludf.DUMMYFUNCTION("IF(AND(ISERROR(FILTER('Items by Team'!D$2:D3410,'Items by Team'!C$2:C3410 = D960,'Items by Team'!B$2:B3410 = B960)),NOT(A960=""Practice"")),TRUE,FALSE)"),FALSE)</f>
        <v>0</v>
      </c>
      <c r="BR960" s="6">
        <f t="shared" ca="1" si="83"/>
        <v>0</v>
      </c>
    </row>
    <row r="961" spans="1:70">
      <c r="A961" s="6"/>
      <c r="B961" s="6"/>
      <c r="C961" s="6"/>
      <c r="D961" s="6"/>
      <c r="E961" s="6"/>
      <c r="F961" s="6"/>
      <c r="G961" s="6"/>
      <c r="H961" s="6"/>
      <c r="I961" s="6"/>
      <c r="J961" s="6"/>
      <c r="K961" s="6"/>
      <c r="L961" s="6"/>
      <c r="M961" s="6"/>
      <c r="N961" s="6"/>
      <c r="O961" s="6"/>
      <c r="P961" s="6"/>
      <c r="R961" s="6"/>
      <c r="S961" s="6"/>
      <c r="T961" s="6"/>
      <c r="U961" s="6"/>
      <c r="V961" s="6"/>
      <c r="W961" s="6"/>
      <c r="X961" s="6"/>
      <c r="Y961" s="6"/>
      <c r="Z961" s="6"/>
      <c r="AA961" s="6"/>
      <c r="AB961" s="6"/>
      <c r="AD961" s="6"/>
      <c r="AE961" s="6"/>
      <c r="AF961" s="6"/>
      <c r="AG961" s="6"/>
      <c r="AH961" s="6"/>
      <c r="AI961" s="6"/>
      <c r="AK961" s="6"/>
      <c r="AL961" s="6"/>
      <c r="AM961" s="6"/>
      <c r="AN961" s="6"/>
      <c r="AO961" s="6"/>
      <c r="AP961" s="6"/>
      <c r="AQ961" s="6"/>
      <c r="AR961" s="6"/>
      <c r="AS961" s="15"/>
      <c r="AT961" s="6" t="str">
        <f ca="1">IFERROR(__xludf.DUMMYFUNCTION("""COMPUTED_VALUE"""),"#N/A")</f>
        <v>#N/A</v>
      </c>
      <c r="AU961" s="6" t="str">
        <f ca="1">IFERROR(__xludf.DUMMYFUNCTION("""COMPUTED_VALUE"""),"FALSE")</f>
        <v>FALSE</v>
      </c>
      <c r="AW961" s="6">
        <f t="shared" si="64"/>
        <v>0</v>
      </c>
      <c r="AX961" s="6">
        <f t="shared" si="65"/>
        <v>0</v>
      </c>
      <c r="AY961" s="6">
        <f t="shared" si="66"/>
        <v>0</v>
      </c>
      <c r="AZ961" s="9" t="str">
        <f t="shared" si="67"/>
        <v/>
      </c>
      <c r="BA961" s="6">
        <f t="shared" si="68"/>
        <v>0</v>
      </c>
      <c r="BB961" s="6">
        <f t="shared" si="69"/>
        <v>0</v>
      </c>
      <c r="BC961" s="9" t="str">
        <f t="shared" si="70"/>
        <v/>
      </c>
      <c r="BD961" s="6">
        <f t="shared" si="71"/>
        <v>0</v>
      </c>
      <c r="BE961" s="6">
        <f t="shared" si="72"/>
        <v>0</v>
      </c>
      <c r="BF961" s="9" t="str">
        <f t="shared" si="73"/>
        <v/>
      </c>
      <c r="BG961" s="6">
        <f t="shared" si="74"/>
        <v>0</v>
      </c>
      <c r="BH961" s="6">
        <f t="shared" si="75"/>
        <v>0</v>
      </c>
      <c r="BI961" s="9" t="str">
        <f t="shared" si="76"/>
        <v/>
      </c>
      <c r="BJ961" s="6">
        <f t="shared" si="77"/>
        <v>0</v>
      </c>
      <c r="BK961" s="6">
        <f t="shared" si="78"/>
        <v>0</v>
      </c>
      <c r="BL961" s="6">
        <f t="shared" si="79"/>
        <v>0</v>
      </c>
      <c r="BM961" s="6">
        <f t="shared" si="80"/>
        <v>0</v>
      </c>
      <c r="BN961" s="6">
        <f t="shared" si="81"/>
        <v>0</v>
      </c>
      <c r="BP961" s="6">
        <f t="shared" si="82"/>
        <v>0</v>
      </c>
      <c r="BQ961" s="6" t="b">
        <f ca="1">IFERROR(__xludf.DUMMYFUNCTION("IF(AND(ISERROR(FILTER('Items by Team'!D$2:D3410,'Items by Team'!C$2:C3410 = D961,'Items by Team'!B$2:B3410 = B961)),NOT(A961=""Practice"")),TRUE,FALSE)"),FALSE)</f>
        <v>0</v>
      </c>
      <c r="BR961" s="6">
        <f t="shared" ca="1" si="83"/>
        <v>0</v>
      </c>
    </row>
    <row r="962" spans="1:70">
      <c r="A962" s="6"/>
      <c r="B962" s="6"/>
      <c r="C962" s="6"/>
      <c r="D962" s="6"/>
      <c r="E962" s="6"/>
      <c r="F962" s="6"/>
      <c r="G962" s="6"/>
      <c r="H962" s="6"/>
      <c r="I962" s="6"/>
      <c r="J962" s="6"/>
      <c r="K962" s="6"/>
      <c r="L962" s="6"/>
      <c r="M962" s="6"/>
      <c r="N962" s="6"/>
      <c r="O962" s="6"/>
      <c r="P962" s="6"/>
      <c r="R962" s="6"/>
      <c r="S962" s="6"/>
      <c r="T962" s="6"/>
      <c r="U962" s="6"/>
      <c r="V962" s="6"/>
      <c r="W962" s="6"/>
      <c r="X962" s="6"/>
      <c r="Y962" s="6"/>
      <c r="Z962" s="6"/>
      <c r="AA962" s="6"/>
      <c r="AB962" s="6"/>
      <c r="AD962" s="6"/>
      <c r="AE962" s="6"/>
      <c r="AF962" s="6"/>
      <c r="AG962" s="6"/>
      <c r="AH962" s="6"/>
      <c r="AI962" s="6"/>
      <c r="AK962" s="6"/>
      <c r="AL962" s="6"/>
      <c r="AM962" s="6"/>
      <c r="AN962" s="6"/>
      <c r="AO962" s="6"/>
      <c r="AP962" s="6"/>
      <c r="AQ962" s="6"/>
      <c r="AR962" s="6"/>
      <c r="AS962" s="15"/>
      <c r="AT962" s="6" t="str">
        <f ca="1">IFERROR(__xludf.DUMMYFUNCTION("""COMPUTED_VALUE"""),"#N/A")</f>
        <v>#N/A</v>
      </c>
      <c r="AU962" s="6" t="str">
        <f ca="1">IFERROR(__xludf.DUMMYFUNCTION("""COMPUTED_VALUE"""),"FALSE")</f>
        <v>FALSE</v>
      </c>
      <c r="AW962" s="6">
        <f t="shared" si="64"/>
        <v>0</v>
      </c>
      <c r="AX962" s="6">
        <f t="shared" si="65"/>
        <v>0</v>
      </c>
      <c r="AY962" s="6">
        <f t="shared" si="66"/>
        <v>0</v>
      </c>
      <c r="AZ962" s="9" t="str">
        <f t="shared" si="67"/>
        <v/>
      </c>
      <c r="BA962" s="6">
        <f t="shared" si="68"/>
        <v>0</v>
      </c>
      <c r="BB962" s="6">
        <f t="shared" si="69"/>
        <v>0</v>
      </c>
      <c r="BC962" s="9" t="str">
        <f t="shared" si="70"/>
        <v/>
      </c>
      <c r="BD962" s="6">
        <f t="shared" si="71"/>
        <v>0</v>
      </c>
      <c r="BE962" s="6">
        <f t="shared" si="72"/>
        <v>0</v>
      </c>
      <c r="BF962" s="9" t="str">
        <f t="shared" si="73"/>
        <v/>
      </c>
      <c r="BG962" s="6">
        <f t="shared" si="74"/>
        <v>0</v>
      </c>
      <c r="BH962" s="6">
        <f t="shared" si="75"/>
        <v>0</v>
      </c>
      <c r="BI962" s="9" t="str">
        <f t="shared" si="76"/>
        <v/>
      </c>
      <c r="BJ962" s="6">
        <f t="shared" si="77"/>
        <v>0</v>
      </c>
      <c r="BK962" s="6">
        <f t="shared" si="78"/>
        <v>0</v>
      </c>
      <c r="BL962" s="6">
        <f t="shared" si="79"/>
        <v>0</v>
      </c>
      <c r="BM962" s="6">
        <f t="shared" si="80"/>
        <v>0</v>
      </c>
      <c r="BN962" s="6">
        <f t="shared" si="81"/>
        <v>0</v>
      </c>
      <c r="BP962" s="6">
        <f t="shared" si="82"/>
        <v>0</v>
      </c>
      <c r="BQ962" s="6" t="b">
        <f ca="1">IFERROR(__xludf.DUMMYFUNCTION("IF(AND(ISERROR(FILTER('Items by Team'!D$2:D3410,'Items by Team'!C$2:C3410 = D962,'Items by Team'!B$2:B3410 = B962)),NOT(A962=""Practice"")),TRUE,FALSE)"),FALSE)</f>
        <v>0</v>
      </c>
      <c r="BR962" s="6">
        <f t="shared" ca="1" si="83"/>
        <v>0</v>
      </c>
    </row>
    <row r="963" spans="1:70">
      <c r="A963" s="6"/>
      <c r="B963" s="6"/>
      <c r="C963" s="6"/>
      <c r="D963" s="6"/>
      <c r="E963" s="6"/>
      <c r="F963" s="6"/>
      <c r="G963" s="6"/>
      <c r="H963" s="6"/>
      <c r="I963" s="6"/>
      <c r="J963" s="6"/>
      <c r="K963" s="6"/>
      <c r="L963" s="6"/>
      <c r="M963" s="6"/>
      <c r="N963" s="6"/>
      <c r="O963" s="6"/>
      <c r="P963" s="6"/>
      <c r="R963" s="6"/>
      <c r="S963" s="6"/>
      <c r="T963" s="6"/>
      <c r="U963" s="6"/>
      <c r="V963" s="6"/>
      <c r="W963" s="6"/>
      <c r="X963" s="6"/>
      <c r="Y963" s="6"/>
      <c r="Z963" s="6"/>
      <c r="AA963" s="6"/>
      <c r="AB963" s="6"/>
      <c r="AD963" s="6"/>
      <c r="AE963" s="6"/>
      <c r="AF963" s="6"/>
      <c r="AG963" s="6"/>
      <c r="AH963" s="6"/>
      <c r="AI963" s="6"/>
      <c r="AK963" s="6"/>
      <c r="AL963" s="6"/>
      <c r="AM963" s="6"/>
      <c r="AN963" s="6"/>
      <c r="AO963" s="6"/>
      <c r="AP963" s="6"/>
      <c r="AQ963" s="6"/>
      <c r="AR963" s="6"/>
      <c r="AS963" s="15"/>
      <c r="AT963" s="6" t="str">
        <f ca="1">IFERROR(__xludf.DUMMYFUNCTION("""COMPUTED_VALUE"""),"#N/A")</f>
        <v>#N/A</v>
      </c>
      <c r="AU963" s="6" t="str">
        <f ca="1">IFERROR(__xludf.DUMMYFUNCTION("""COMPUTED_VALUE"""),"FALSE")</f>
        <v>FALSE</v>
      </c>
      <c r="AW963" s="6">
        <f t="shared" si="64"/>
        <v>0</v>
      </c>
      <c r="AX963" s="6">
        <f t="shared" si="65"/>
        <v>0</v>
      </c>
      <c r="AY963" s="6">
        <f t="shared" si="66"/>
        <v>0</v>
      </c>
      <c r="AZ963" s="9" t="str">
        <f t="shared" si="67"/>
        <v/>
      </c>
      <c r="BA963" s="6">
        <f t="shared" si="68"/>
        <v>0</v>
      </c>
      <c r="BB963" s="6">
        <f t="shared" si="69"/>
        <v>0</v>
      </c>
      <c r="BC963" s="9" t="str">
        <f t="shared" si="70"/>
        <v/>
      </c>
      <c r="BD963" s="6">
        <f t="shared" si="71"/>
        <v>0</v>
      </c>
      <c r="BE963" s="6">
        <f t="shared" si="72"/>
        <v>0</v>
      </c>
      <c r="BF963" s="9" t="str">
        <f t="shared" si="73"/>
        <v/>
      </c>
      <c r="BG963" s="6">
        <f t="shared" si="74"/>
        <v>0</v>
      </c>
      <c r="BH963" s="6">
        <f t="shared" si="75"/>
        <v>0</v>
      </c>
      <c r="BI963" s="9" t="str">
        <f t="shared" si="76"/>
        <v/>
      </c>
      <c r="BJ963" s="6">
        <f t="shared" si="77"/>
        <v>0</v>
      </c>
      <c r="BK963" s="6">
        <f t="shared" si="78"/>
        <v>0</v>
      </c>
      <c r="BL963" s="6">
        <f t="shared" si="79"/>
        <v>0</v>
      </c>
      <c r="BM963" s="6">
        <f t="shared" si="80"/>
        <v>0</v>
      </c>
      <c r="BN963" s="6">
        <f t="shared" si="81"/>
        <v>0</v>
      </c>
      <c r="BP963" s="6">
        <f t="shared" si="82"/>
        <v>0</v>
      </c>
      <c r="BQ963" s="6" t="b">
        <f ca="1">IFERROR(__xludf.DUMMYFUNCTION("IF(AND(ISERROR(FILTER('Items by Team'!D$2:D3410,'Items by Team'!C$2:C3410 = D963,'Items by Team'!B$2:B3410 = B963)),NOT(A963=""Practice"")),TRUE,FALSE)"),FALSE)</f>
        <v>0</v>
      </c>
      <c r="BR963" s="6">
        <f t="shared" ca="1" si="83"/>
        <v>0</v>
      </c>
    </row>
    <row r="964" spans="1:70">
      <c r="A964" s="6"/>
      <c r="B964" s="6"/>
      <c r="C964" s="6"/>
      <c r="D964" s="6"/>
      <c r="E964" s="6"/>
      <c r="F964" s="6"/>
      <c r="G964" s="6"/>
      <c r="H964" s="6"/>
      <c r="I964" s="6"/>
      <c r="J964" s="6"/>
      <c r="K964" s="6"/>
      <c r="L964" s="6"/>
      <c r="M964" s="6"/>
      <c r="N964" s="6"/>
      <c r="O964" s="6"/>
      <c r="P964" s="6"/>
      <c r="R964" s="6"/>
      <c r="S964" s="6"/>
      <c r="T964" s="6"/>
      <c r="U964" s="6"/>
      <c r="V964" s="6"/>
      <c r="W964" s="6"/>
      <c r="X964" s="6"/>
      <c r="Y964" s="6"/>
      <c r="Z964" s="6"/>
      <c r="AA964" s="6"/>
      <c r="AB964" s="6"/>
      <c r="AD964" s="6"/>
      <c r="AE964" s="6"/>
      <c r="AF964" s="6"/>
      <c r="AG964" s="6"/>
      <c r="AH964" s="6"/>
      <c r="AI964" s="6"/>
      <c r="AK964" s="6"/>
      <c r="AL964" s="6"/>
      <c r="AM964" s="6"/>
      <c r="AN964" s="6"/>
      <c r="AO964" s="6"/>
      <c r="AP964" s="6"/>
      <c r="AQ964" s="6"/>
      <c r="AR964" s="6"/>
      <c r="AS964" s="15"/>
      <c r="AT964" s="6" t="str">
        <f ca="1">IFERROR(__xludf.DUMMYFUNCTION("""COMPUTED_VALUE"""),"#N/A")</f>
        <v>#N/A</v>
      </c>
      <c r="AU964" s="6" t="str">
        <f ca="1">IFERROR(__xludf.DUMMYFUNCTION("""COMPUTED_VALUE"""),"FALSE")</f>
        <v>FALSE</v>
      </c>
      <c r="AW964" s="6">
        <f t="shared" si="64"/>
        <v>0</v>
      </c>
      <c r="AX964" s="6">
        <f t="shared" si="65"/>
        <v>0</v>
      </c>
      <c r="AY964" s="6">
        <f t="shared" si="66"/>
        <v>0</v>
      </c>
      <c r="AZ964" s="9" t="str">
        <f t="shared" si="67"/>
        <v/>
      </c>
      <c r="BA964" s="6">
        <f t="shared" si="68"/>
        <v>0</v>
      </c>
      <c r="BB964" s="6">
        <f t="shared" si="69"/>
        <v>0</v>
      </c>
      <c r="BC964" s="9" t="str">
        <f t="shared" si="70"/>
        <v/>
      </c>
      <c r="BD964" s="6">
        <f t="shared" si="71"/>
        <v>0</v>
      </c>
      <c r="BE964" s="6">
        <f t="shared" si="72"/>
        <v>0</v>
      </c>
      <c r="BF964" s="9" t="str">
        <f t="shared" si="73"/>
        <v/>
      </c>
      <c r="BG964" s="6">
        <f t="shared" si="74"/>
        <v>0</v>
      </c>
      <c r="BH964" s="6">
        <f t="shared" si="75"/>
        <v>0</v>
      </c>
      <c r="BI964" s="9" t="str">
        <f t="shared" si="76"/>
        <v/>
      </c>
      <c r="BJ964" s="6">
        <f t="shared" si="77"/>
        <v>0</v>
      </c>
      <c r="BK964" s="6">
        <f t="shared" si="78"/>
        <v>0</v>
      </c>
      <c r="BL964" s="6">
        <f t="shared" si="79"/>
        <v>0</v>
      </c>
      <c r="BM964" s="6">
        <f t="shared" si="80"/>
        <v>0</v>
      </c>
      <c r="BN964" s="6">
        <f t="shared" si="81"/>
        <v>0</v>
      </c>
      <c r="BP964" s="6">
        <f t="shared" si="82"/>
        <v>0</v>
      </c>
      <c r="BQ964" s="6" t="b">
        <f ca="1">IFERROR(__xludf.DUMMYFUNCTION("IF(AND(ISERROR(FILTER('Items by Team'!D$2:D3410,'Items by Team'!C$2:C3410 = D964,'Items by Team'!B$2:B3410 = B964)),NOT(A964=""Practice"")),TRUE,FALSE)"),FALSE)</f>
        <v>0</v>
      </c>
      <c r="BR964" s="6">
        <f t="shared" ca="1" si="83"/>
        <v>0</v>
      </c>
    </row>
    <row r="965" spans="1:70">
      <c r="A965" s="6"/>
      <c r="B965" s="6"/>
      <c r="C965" s="6"/>
      <c r="D965" s="6"/>
      <c r="E965" s="6"/>
      <c r="F965" s="6"/>
      <c r="G965" s="6"/>
      <c r="H965" s="6"/>
      <c r="I965" s="6"/>
      <c r="J965" s="6"/>
      <c r="K965" s="6"/>
      <c r="L965" s="6"/>
      <c r="M965" s="6"/>
      <c r="N965" s="6"/>
      <c r="O965" s="6"/>
      <c r="P965" s="6"/>
      <c r="R965" s="6"/>
      <c r="S965" s="6"/>
      <c r="T965" s="6"/>
      <c r="U965" s="6"/>
      <c r="V965" s="6"/>
      <c r="W965" s="6"/>
      <c r="X965" s="6"/>
      <c r="Y965" s="6"/>
      <c r="Z965" s="6"/>
      <c r="AA965" s="6"/>
      <c r="AB965" s="6"/>
      <c r="AD965" s="6"/>
      <c r="AE965" s="6"/>
      <c r="AF965" s="6"/>
      <c r="AG965" s="6"/>
      <c r="AH965" s="6"/>
      <c r="AI965" s="6"/>
      <c r="AK965" s="6"/>
      <c r="AL965" s="6"/>
      <c r="AM965" s="6"/>
      <c r="AN965" s="6"/>
      <c r="AO965" s="6"/>
      <c r="AP965" s="6"/>
      <c r="AQ965" s="6"/>
      <c r="AR965" s="6"/>
      <c r="AS965" s="15"/>
      <c r="AT965" s="6" t="str">
        <f ca="1">IFERROR(__xludf.DUMMYFUNCTION("""COMPUTED_VALUE"""),"#N/A")</f>
        <v>#N/A</v>
      </c>
      <c r="AU965" s="6" t="str">
        <f ca="1">IFERROR(__xludf.DUMMYFUNCTION("""COMPUTED_VALUE"""),"FALSE")</f>
        <v>FALSE</v>
      </c>
      <c r="AW965" s="6">
        <f t="shared" si="64"/>
        <v>0</v>
      </c>
      <c r="AX965" s="6">
        <f t="shared" si="65"/>
        <v>0</v>
      </c>
      <c r="AY965" s="6">
        <f t="shared" si="66"/>
        <v>0</v>
      </c>
      <c r="AZ965" s="9" t="str">
        <f t="shared" si="67"/>
        <v/>
      </c>
      <c r="BA965" s="6">
        <f t="shared" si="68"/>
        <v>0</v>
      </c>
      <c r="BB965" s="6">
        <f t="shared" si="69"/>
        <v>0</v>
      </c>
      <c r="BC965" s="9" t="str">
        <f t="shared" si="70"/>
        <v/>
      </c>
      <c r="BD965" s="6">
        <f t="shared" si="71"/>
        <v>0</v>
      </c>
      <c r="BE965" s="6">
        <f t="shared" si="72"/>
        <v>0</v>
      </c>
      <c r="BF965" s="9" t="str">
        <f t="shared" si="73"/>
        <v/>
      </c>
      <c r="BG965" s="6">
        <f t="shared" si="74"/>
        <v>0</v>
      </c>
      <c r="BH965" s="6">
        <f t="shared" si="75"/>
        <v>0</v>
      </c>
      <c r="BI965" s="9" t="str">
        <f t="shared" si="76"/>
        <v/>
      </c>
      <c r="BJ965" s="6">
        <f t="shared" si="77"/>
        <v>0</v>
      </c>
      <c r="BK965" s="6">
        <f t="shared" si="78"/>
        <v>0</v>
      </c>
      <c r="BL965" s="6">
        <f t="shared" si="79"/>
        <v>0</v>
      </c>
      <c r="BM965" s="6">
        <f t="shared" si="80"/>
        <v>0</v>
      </c>
      <c r="BN965" s="6">
        <f t="shared" si="81"/>
        <v>0</v>
      </c>
      <c r="BP965" s="6">
        <f t="shared" si="82"/>
        <v>0</v>
      </c>
      <c r="BQ965" s="6" t="b">
        <f ca="1">IFERROR(__xludf.DUMMYFUNCTION("IF(AND(ISERROR(FILTER('Items by Team'!D$2:D3410,'Items by Team'!C$2:C3410 = D965,'Items by Team'!B$2:B3410 = B965)),NOT(A965=""Practice"")),TRUE,FALSE)"),FALSE)</f>
        <v>0</v>
      </c>
      <c r="BR965" s="6">
        <f t="shared" ca="1" si="83"/>
        <v>0</v>
      </c>
    </row>
    <row r="966" spans="1:70">
      <c r="A966" s="6"/>
      <c r="B966" s="6"/>
      <c r="C966" s="6"/>
      <c r="D966" s="6"/>
      <c r="E966" s="6"/>
      <c r="F966" s="6"/>
      <c r="G966" s="6"/>
      <c r="H966" s="6"/>
      <c r="I966" s="6"/>
      <c r="J966" s="6"/>
      <c r="K966" s="6"/>
      <c r="L966" s="6"/>
      <c r="M966" s="6"/>
      <c r="N966" s="6"/>
      <c r="O966" s="6"/>
      <c r="P966" s="6"/>
      <c r="R966" s="6"/>
      <c r="S966" s="6"/>
      <c r="T966" s="6"/>
      <c r="U966" s="6"/>
      <c r="V966" s="6"/>
      <c r="W966" s="6"/>
      <c r="X966" s="6"/>
      <c r="Y966" s="6"/>
      <c r="Z966" s="6"/>
      <c r="AA966" s="6"/>
      <c r="AB966" s="6"/>
      <c r="AD966" s="6"/>
      <c r="AE966" s="6"/>
      <c r="AF966" s="6"/>
      <c r="AG966" s="6"/>
      <c r="AH966" s="6"/>
      <c r="AI966" s="6"/>
      <c r="AK966" s="6"/>
      <c r="AL966" s="6"/>
      <c r="AM966" s="6"/>
      <c r="AN966" s="6"/>
      <c r="AO966" s="6"/>
      <c r="AP966" s="6"/>
      <c r="AQ966" s="6"/>
      <c r="AR966" s="6"/>
      <c r="AS966" s="15"/>
      <c r="AT966" s="6" t="str">
        <f ca="1">IFERROR(__xludf.DUMMYFUNCTION("""COMPUTED_VALUE"""),"#N/A")</f>
        <v>#N/A</v>
      </c>
      <c r="AU966" s="6" t="str">
        <f ca="1">IFERROR(__xludf.DUMMYFUNCTION("""COMPUTED_VALUE"""),"FALSE")</f>
        <v>FALSE</v>
      </c>
      <c r="AW966" s="6">
        <f t="shared" si="64"/>
        <v>0</v>
      </c>
      <c r="AX966" s="6">
        <f t="shared" si="65"/>
        <v>0</v>
      </c>
      <c r="AY966" s="6">
        <f t="shared" si="66"/>
        <v>0</v>
      </c>
      <c r="AZ966" s="9" t="str">
        <f t="shared" si="67"/>
        <v/>
      </c>
      <c r="BA966" s="6">
        <f t="shared" si="68"/>
        <v>0</v>
      </c>
      <c r="BB966" s="6">
        <f t="shared" si="69"/>
        <v>0</v>
      </c>
      <c r="BC966" s="9" t="str">
        <f t="shared" si="70"/>
        <v/>
      </c>
      <c r="BD966" s="6">
        <f t="shared" si="71"/>
        <v>0</v>
      </c>
      <c r="BE966" s="6">
        <f t="shared" si="72"/>
        <v>0</v>
      </c>
      <c r="BF966" s="9" t="str">
        <f t="shared" si="73"/>
        <v/>
      </c>
      <c r="BG966" s="6">
        <f t="shared" si="74"/>
        <v>0</v>
      </c>
      <c r="BH966" s="6">
        <f t="shared" si="75"/>
        <v>0</v>
      </c>
      <c r="BI966" s="9" t="str">
        <f t="shared" si="76"/>
        <v/>
      </c>
      <c r="BJ966" s="6">
        <f t="shared" si="77"/>
        <v>0</v>
      </c>
      <c r="BK966" s="6">
        <f t="shared" si="78"/>
        <v>0</v>
      </c>
      <c r="BL966" s="6">
        <f t="shared" si="79"/>
        <v>0</v>
      </c>
      <c r="BM966" s="6">
        <f t="shared" si="80"/>
        <v>0</v>
      </c>
      <c r="BN966" s="6">
        <f t="shared" si="81"/>
        <v>0</v>
      </c>
      <c r="BP966" s="6">
        <f t="shared" si="82"/>
        <v>0</v>
      </c>
      <c r="BQ966" s="6" t="b">
        <f ca="1">IFERROR(__xludf.DUMMYFUNCTION("IF(AND(ISERROR(FILTER('Items by Team'!D$2:D3410,'Items by Team'!C$2:C3410 = D966,'Items by Team'!B$2:B3410 = B966)),NOT(A966=""Practice"")),TRUE,FALSE)"),FALSE)</f>
        <v>0</v>
      </c>
      <c r="BR966" s="6">
        <f t="shared" ca="1" si="83"/>
        <v>0</v>
      </c>
    </row>
    <row r="967" spans="1:70">
      <c r="A967" s="6"/>
      <c r="B967" s="6"/>
      <c r="C967" s="6"/>
      <c r="D967" s="6"/>
      <c r="E967" s="6"/>
      <c r="F967" s="6"/>
      <c r="G967" s="6"/>
      <c r="H967" s="6"/>
      <c r="I967" s="6"/>
      <c r="J967" s="6"/>
      <c r="K967" s="6"/>
      <c r="L967" s="6"/>
      <c r="M967" s="6"/>
      <c r="N967" s="6"/>
      <c r="O967" s="6"/>
      <c r="P967" s="6"/>
      <c r="R967" s="6"/>
      <c r="S967" s="6"/>
      <c r="T967" s="6"/>
      <c r="U967" s="6"/>
      <c r="V967" s="6"/>
      <c r="W967" s="6"/>
      <c r="X967" s="6"/>
      <c r="Y967" s="6"/>
      <c r="Z967" s="6"/>
      <c r="AA967" s="6"/>
      <c r="AB967" s="6"/>
      <c r="AD967" s="6"/>
      <c r="AE967" s="6"/>
      <c r="AF967" s="6"/>
      <c r="AG967" s="6"/>
      <c r="AH967" s="6"/>
      <c r="AI967" s="6"/>
      <c r="AK967" s="6"/>
      <c r="AL967" s="6"/>
      <c r="AM967" s="6"/>
      <c r="AN967" s="6"/>
      <c r="AO967" s="6"/>
      <c r="AP967" s="6"/>
      <c r="AQ967" s="6"/>
      <c r="AR967" s="6"/>
      <c r="AS967" s="15"/>
      <c r="AT967" s="6" t="str">
        <f ca="1">IFERROR(__xludf.DUMMYFUNCTION("""COMPUTED_VALUE"""),"#N/A")</f>
        <v>#N/A</v>
      </c>
      <c r="AU967" s="6" t="str">
        <f ca="1">IFERROR(__xludf.DUMMYFUNCTION("""COMPUTED_VALUE"""),"FALSE")</f>
        <v>FALSE</v>
      </c>
      <c r="AW967" s="6">
        <f t="shared" si="64"/>
        <v>0</v>
      </c>
      <c r="AX967" s="6">
        <f t="shared" si="65"/>
        <v>0</v>
      </c>
      <c r="AY967" s="6">
        <f t="shared" si="66"/>
        <v>0</v>
      </c>
      <c r="AZ967" s="9" t="str">
        <f t="shared" si="67"/>
        <v/>
      </c>
      <c r="BA967" s="6">
        <f t="shared" si="68"/>
        <v>0</v>
      </c>
      <c r="BB967" s="6">
        <f t="shared" si="69"/>
        <v>0</v>
      </c>
      <c r="BC967" s="9" t="str">
        <f t="shared" si="70"/>
        <v/>
      </c>
      <c r="BD967" s="6">
        <f t="shared" si="71"/>
        <v>0</v>
      </c>
      <c r="BE967" s="6">
        <f t="shared" si="72"/>
        <v>0</v>
      </c>
      <c r="BF967" s="9" t="str">
        <f t="shared" si="73"/>
        <v/>
      </c>
      <c r="BG967" s="6">
        <f t="shared" si="74"/>
        <v>0</v>
      </c>
      <c r="BH967" s="6">
        <f t="shared" si="75"/>
        <v>0</v>
      </c>
      <c r="BI967" s="9" t="str">
        <f t="shared" si="76"/>
        <v/>
      </c>
      <c r="BJ967" s="6">
        <f t="shared" si="77"/>
        <v>0</v>
      </c>
      <c r="BK967" s="6">
        <f t="shared" si="78"/>
        <v>0</v>
      </c>
      <c r="BL967" s="6">
        <f t="shared" si="79"/>
        <v>0</v>
      </c>
      <c r="BM967" s="6">
        <f t="shared" si="80"/>
        <v>0</v>
      </c>
      <c r="BN967" s="6">
        <f t="shared" si="81"/>
        <v>0</v>
      </c>
      <c r="BP967" s="6">
        <f t="shared" si="82"/>
        <v>0</v>
      </c>
      <c r="BQ967" s="6" t="b">
        <f ca="1">IFERROR(__xludf.DUMMYFUNCTION("IF(AND(ISERROR(FILTER('Items by Team'!D$2:D3410,'Items by Team'!C$2:C3410 = D967,'Items by Team'!B$2:B3410 = B967)),NOT(A967=""Practice"")),TRUE,FALSE)"),FALSE)</f>
        <v>0</v>
      </c>
      <c r="BR967" s="6">
        <f t="shared" ca="1" si="83"/>
        <v>0</v>
      </c>
    </row>
    <row r="968" spans="1:70">
      <c r="A968" s="6"/>
      <c r="B968" s="6"/>
      <c r="C968" s="6"/>
      <c r="D968" s="6"/>
      <c r="E968" s="6"/>
      <c r="F968" s="6"/>
      <c r="G968" s="6"/>
      <c r="H968" s="6"/>
      <c r="I968" s="6"/>
      <c r="J968" s="6"/>
      <c r="K968" s="6"/>
      <c r="L968" s="6"/>
      <c r="M968" s="6"/>
      <c r="N968" s="6"/>
      <c r="O968" s="6"/>
      <c r="P968" s="6"/>
      <c r="R968" s="6"/>
      <c r="S968" s="6"/>
      <c r="T968" s="6"/>
      <c r="U968" s="6"/>
      <c r="V968" s="6"/>
      <c r="W968" s="6"/>
      <c r="X968" s="6"/>
      <c r="Y968" s="6"/>
      <c r="Z968" s="6"/>
      <c r="AA968" s="6"/>
      <c r="AB968" s="6"/>
      <c r="AD968" s="6"/>
      <c r="AE968" s="6"/>
      <c r="AF968" s="6"/>
      <c r="AG968" s="6"/>
      <c r="AH968" s="6"/>
      <c r="AI968" s="6"/>
      <c r="AK968" s="6"/>
      <c r="AL968" s="6"/>
      <c r="AM968" s="6"/>
      <c r="AN968" s="6"/>
      <c r="AO968" s="6"/>
      <c r="AP968" s="6"/>
      <c r="AQ968" s="6"/>
      <c r="AR968" s="6"/>
      <c r="AS968" s="15"/>
      <c r="AT968" s="6" t="str">
        <f ca="1">IFERROR(__xludf.DUMMYFUNCTION("""COMPUTED_VALUE"""),"#N/A")</f>
        <v>#N/A</v>
      </c>
      <c r="AU968" s="6" t="str">
        <f ca="1">IFERROR(__xludf.DUMMYFUNCTION("""COMPUTED_VALUE"""),"FALSE")</f>
        <v>FALSE</v>
      </c>
      <c r="AW968" s="6">
        <f t="shared" si="64"/>
        <v>0</v>
      </c>
      <c r="AX968" s="6">
        <f t="shared" si="65"/>
        <v>0</v>
      </c>
      <c r="AY968" s="6">
        <f t="shared" si="66"/>
        <v>0</v>
      </c>
      <c r="AZ968" s="9" t="str">
        <f t="shared" si="67"/>
        <v/>
      </c>
      <c r="BA968" s="6">
        <f t="shared" si="68"/>
        <v>0</v>
      </c>
      <c r="BB968" s="6">
        <f t="shared" si="69"/>
        <v>0</v>
      </c>
      <c r="BC968" s="9" t="str">
        <f t="shared" si="70"/>
        <v/>
      </c>
      <c r="BD968" s="6">
        <f t="shared" si="71"/>
        <v>0</v>
      </c>
      <c r="BE968" s="6">
        <f t="shared" si="72"/>
        <v>0</v>
      </c>
      <c r="BF968" s="9" t="str">
        <f t="shared" si="73"/>
        <v/>
      </c>
      <c r="BG968" s="6">
        <f t="shared" si="74"/>
        <v>0</v>
      </c>
      <c r="BH968" s="6">
        <f t="shared" si="75"/>
        <v>0</v>
      </c>
      <c r="BI968" s="9" t="str">
        <f t="shared" si="76"/>
        <v/>
      </c>
      <c r="BJ968" s="6">
        <f t="shared" si="77"/>
        <v>0</v>
      </c>
      <c r="BK968" s="6">
        <f t="shared" si="78"/>
        <v>0</v>
      </c>
      <c r="BL968" s="6">
        <f t="shared" si="79"/>
        <v>0</v>
      </c>
      <c r="BM968" s="6">
        <f t="shared" si="80"/>
        <v>0</v>
      </c>
      <c r="BN968" s="6">
        <f t="shared" si="81"/>
        <v>0</v>
      </c>
      <c r="BP968" s="6">
        <f t="shared" si="82"/>
        <v>0</v>
      </c>
      <c r="BQ968" s="6" t="b">
        <f ca="1">IFERROR(__xludf.DUMMYFUNCTION("IF(AND(ISERROR(FILTER('Items by Team'!D$2:D3410,'Items by Team'!C$2:C3410 = D968,'Items by Team'!B$2:B3410 = B968)),NOT(A968=""Practice"")),TRUE,FALSE)"),FALSE)</f>
        <v>0</v>
      </c>
      <c r="BR968" s="6">
        <f t="shared" ca="1" si="83"/>
        <v>0</v>
      </c>
    </row>
    <row r="969" spans="1:70">
      <c r="A969" s="6"/>
      <c r="B969" s="6"/>
      <c r="C969" s="6"/>
      <c r="D969" s="6"/>
      <c r="E969" s="6"/>
      <c r="F969" s="6"/>
      <c r="G969" s="6"/>
      <c r="H969" s="6"/>
      <c r="I969" s="6"/>
      <c r="J969" s="6"/>
      <c r="K969" s="6"/>
      <c r="L969" s="6"/>
      <c r="M969" s="6"/>
      <c r="N969" s="6"/>
      <c r="O969" s="6"/>
      <c r="P969" s="6"/>
      <c r="R969" s="6"/>
      <c r="S969" s="6"/>
      <c r="T969" s="6"/>
      <c r="U969" s="6"/>
      <c r="V969" s="6"/>
      <c r="W969" s="6"/>
      <c r="X969" s="6"/>
      <c r="Y969" s="6"/>
      <c r="Z969" s="6"/>
      <c r="AA969" s="6"/>
      <c r="AB969" s="6"/>
      <c r="AD969" s="6"/>
      <c r="AE969" s="6"/>
      <c r="AF969" s="6"/>
      <c r="AG969" s="6"/>
      <c r="AH969" s="6"/>
      <c r="AI969" s="6"/>
      <c r="AK969" s="6"/>
      <c r="AL969" s="6"/>
      <c r="AM969" s="6"/>
      <c r="AN969" s="6"/>
      <c r="AO969" s="6"/>
      <c r="AP969" s="6"/>
      <c r="AQ969" s="6"/>
      <c r="AR969" s="6"/>
      <c r="AS969" s="15"/>
      <c r="AT969" s="6" t="str">
        <f ca="1">IFERROR(__xludf.DUMMYFUNCTION("""COMPUTED_VALUE"""),"#N/A")</f>
        <v>#N/A</v>
      </c>
      <c r="AU969" s="6" t="str">
        <f ca="1">IFERROR(__xludf.DUMMYFUNCTION("""COMPUTED_VALUE"""),"FALSE")</f>
        <v>FALSE</v>
      </c>
      <c r="AW969" s="6">
        <f t="shared" si="64"/>
        <v>0</v>
      </c>
      <c r="AX969" s="6">
        <f t="shared" si="65"/>
        <v>0</v>
      </c>
      <c r="AY969" s="6">
        <f t="shared" si="66"/>
        <v>0</v>
      </c>
      <c r="AZ969" s="9" t="str">
        <f t="shared" si="67"/>
        <v/>
      </c>
      <c r="BA969" s="6">
        <f t="shared" si="68"/>
        <v>0</v>
      </c>
      <c r="BB969" s="6">
        <f t="shared" si="69"/>
        <v>0</v>
      </c>
      <c r="BC969" s="9" t="str">
        <f t="shared" si="70"/>
        <v/>
      </c>
      <c r="BD969" s="6">
        <f t="shared" si="71"/>
        <v>0</v>
      </c>
      <c r="BE969" s="6">
        <f t="shared" si="72"/>
        <v>0</v>
      </c>
      <c r="BF969" s="9" t="str">
        <f t="shared" si="73"/>
        <v/>
      </c>
      <c r="BG969" s="6">
        <f t="shared" si="74"/>
        <v>0</v>
      </c>
      <c r="BH969" s="6">
        <f t="shared" si="75"/>
        <v>0</v>
      </c>
      <c r="BI969" s="9" t="str">
        <f t="shared" si="76"/>
        <v/>
      </c>
      <c r="BJ969" s="6">
        <f t="shared" si="77"/>
        <v>0</v>
      </c>
      <c r="BK969" s="6">
        <f t="shared" si="78"/>
        <v>0</v>
      </c>
      <c r="BL969" s="6">
        <f t="shared" si="79"/>
        <v>0</v>
      </c>
      <c r="BM969" s="6">
        <f t="shared" si="80"/>
        <v>0</v>
      </c>
      <c r="BN969" s="6">
        <f t="shared" si="81"/>
        <v>0</v>
      </c>
      <c r="BP969" s="6">
        <f t="shared" si="82"/>
        <v>0</v>
      </c>
      <c r="BQ969" s="6" t="b">
        <f ca="1">IFERROR(__xludf.DUMMYFUNCTION("IF(AND(ISERROR(FILTER('Items by Team'!D$2:D3410,'Items by Team'!C$2:C3410 = D969,'Items by Team'!B$2:B3410 = B969)),NOT(A969=""Practice"")),TRUE,FALSE)"),FALSE)</f>
        <v>0</v>
      </c>
      <c r="BR969" s="6">
        <f t="shared" ca="1" si="83"/>
        <v>0</v>
      </c>
    </row>
    <row r="970" spans="1:70">
      <c r="A970" s="6"/>
      <c r="B970" s="6"/>
      <c r="C970" s="6"/>
      <c r="D970" s="6"/>
      <c r="E970" s="6"/>
      <c r="F970" s="6"/>
      <c r="G970" s="6"/>
      <c r="H970" s="6"/>
      <c r="I970" s="6"/>
      <c r="J970" s="6"/>
      <c r="K970" s="6"/>
      <c r="L970" s="6"/>
      <c r="M970" s="6"/>
      <c r="N970" s="6"/>
      <c r="O970" s="6"/>
      <c r="P970" s="6"/>
      <c r="R970" s="6"/>
      <c r="S970" s="6"/>
      <c r="T970" s="6"/>
      <c r="U970" s="6"/>
      <c r="V970" s="6"/>
      <c r="W970" s="6"/>
      <c r="X970" s="6"/>
      <c r="Y970" s="6"/>
      <c r="Z970" s="6"/>
      <c r="AA970" s="6"/>
      <c r="AB970" s="6"/>
      <c r="AD970" s="6"/>
      <c r="AE970" s="6"/>
      <c r="AF970" s="6"/>
      <c r="AG970" s="6"/>
      <c r="AH970" s="6"/>
      <c r="AI970" s="6"/>
      <c r="AK970" s="6"/>
      <c r="AL970" s="6"/>
      <c r="AM970" s="6"/>
      <c r="AN970" s="6"/>
      <c r="AO970" s="6"/>
      <c r="AP970" s="6"/>
      <c r="AQ970" s="6"/>
      <c r="AR970" s="6"/>
      <c r="AS970" s="15"/>
      <c r="AT970" s="6" t="str">
        <f ca="1">IFERROR(__xludf.DUMMYFUNCTION("""COMPUTED_VALUE"""),"#N/A")</f>
        <v>#N/A</v>
      </c>
      <c r="AU970" s="6" t="str">
        <f ca="1">IFERROR(__xludf.DUMMYFUNCTION("""COMPUTED_VALUE"""),"FALSE")</f>
        <v>FALSE</v>
      </c>
      <c r="AW970" s="6">
        <f t="shared" si="64"/>
        <v>0</v>
      </c>
      <c r="AX970" s="6">
        <f t="shared" si="65"/>
        <v>0</v>
      </c>
      <c r="AY970" s="6">
        <f t="shared" si="66"/>
        <v>0</v>
      </c>
      <c r="AZ970" s="9" t="str">
        <f t="shared" si="67"/>
        <v/>
      </c>
      <c r="BA970" s="6">
        <f t="shared" si="68"/>
        <v>0</v>
      </c>
      <c r="BB970" s="6">
        <f t="shared" si="69"/>
        <v>0</v>
      </c>
      <c r="BC970" s="9" t="str">
        <f t="shared" si="70"/>
        <v/>
      </c>
      <c r="BD970" s="6">
        <f t="shared" si="71"/>
        <v>0</v>
      </c>
      <c r="BE970" s="6">
        <f t="shared" si="72"/>
        <v>0</v>
      </c>
      <c r="BF970" s="9" t="str">
        <f t="shared" si="73"/>
        <v/>
      </c>
      <c r="BG970" s="6">
        <f t="shared" si="74"/>
        <v>0</v>
      </c>
      <c r="BH970" s="6">
        <f t="shared" si="75"/>
        <v>0</v>
      </c>
      <c r="BI970" s="9" t="str">
        <f t="shared" si="76"/>
        <v/>
      </c>
      <c r="BJ970" s="6">
        <f t="shared" si="77"/>
        <v>0</v>
      </c>
      <c r="BK970" s="6">
        <f t="shared" si="78"/>
        <v>0</v>
      </c>
      <c r="BL970" s="6">
        <f t="shared" si="79"/>
        <v>0</v>
      </c>
      <c r="BM970" s="6">
        <f t="shared" si="80"/>
        <v>0</v>
      </c>
      <c r="BN970" s="6">
        <f t="shared" si="81"/>
        <v>0</v>
      </c>
      <c r="BP970" s="6">
        <f t="shared" si="82"/>
        <v>0</v>
      </c>
      <c r="BQ970" s="6" t="b">
        <f ca="1">IFERROR(__xludf.DUMMYFUNCTION("IF(AND(ISERROR(FILTER('Items by Team'!D$2:D3410,'Items by Team'!C$2:C3410 = D970,'Items by Team'!B$2:B3410 = B970)),NOT(A970=""Practice"")),TRUE,FALSE)"),FALSE)</f>
        <v>0</v>
      </c>
      <c r="BR970" s="6">
        <f t="shared" ca="1" si="83"/>
        <v>0</v>
      </c>
    </row>
    <row r="971" spans="1:70">
      <c r="A971" s="6"/>
      <c r="B971" s="6"/>
      <c r="C971" s="6"/>
      <c r="D971" s="6"/>
      <c r="E971" s="6"/>
      <c r="F971" s="6"/>
      <c r="G971" s="6"/>
      <c r="H971" s="6"/>
      <c r="I971" s="6"/>
      <c r="J971" s="6"/>
      <c r="K971" s="6"/>
      <c r="L971" s="6"/>
      <c r="M971" s="6"/>
      <c r="N971" s="6"/>
      <c r="O971" s="6"/>
      <c r="P971" s="6"/>
      <c r="R971" s="6"/>
      <c r="S971" s="6"/>
      <c r="T971" s="6"/>
      <c r="U971" s="6"/>
      <c r="V971" s="6"/>
      <c r="W971" s="6"/>
      <c r="X971" s="6"/>
      <c r="Y971" s="6"/>
      <c r="Z971" s="6"/>
      <c r="AA971" s="6"/>
      <c r="AB971" s="6"/>
      <c r="AD971" s="6"/>
      <c r="AE971" s="6"/>
      <c r="AF971" s="6"/>
      <c r="AG971" s="6"/>
      <c r="AH971" s="6"/>
      <c r="AI971" s="6"/>
      <c r="AK971" s="6"/>
      <c r="AL971" s="6"/>
      <c r="AM971" s="6"/>
      <c r="AN971" s="6"/>
      <c r="AO971" s="6"/>
      <c r="AP971" s="6"/>
      <c r="AQ971" s="6"/>
      <c r="AR971" s="6"/>
      <c r="AS971" s="15"/>
      <c r="AT971" s="6" t="str">
        <f ca="1">IFERROR(__xludf.DUMMYFUNCTION("""COMPUTED_VALUE"""),"#N/A")</f>
        <v>#N/A</v>
      </c>
      <c r="AU971" s="6" t="str">
        <f ca="1">IFERROR(__xludf.DUMMYFUNCTION("""COMPUTED_VALUE"""),"FALSE")</f>
        <v>FALSE</v>
      </c>
      <c r="AW971" s="6">
        <f t="shared" si="64"/>
        <v>0</v>
      </c>
      <c r="AX971" s="6">
        <f t="shared" si="65"/>
        <v>0</v>
      </c>
      <c r="AY971" s="6">
        <f t="shared" si="66"/>
        <v>0</v>
      </c>
      <c r="AZ971" s="9" t="str">
        <f t="shared" si="67"/>
        <v/>
      </c>
      <c r="BA971" s="6">
        <f t="shared" si="68"/>
        <v>0</v>
      </c>
      <c r="BB971" s="6">
        <f t="shared" si="69"/>
        <v>0</v>
      </c>
      <c r="BC971" s="9" t="str">
        <f t="shared" si="70"/>
        <v/>
      </c>
      <c r="BD971" s="6">
        <f t="shared" si="71"/>
        <v>0</v>
      </c>
      <c r="BE971" s="6">
        <f t="shared" si="72"/>
        <v>0</v>
      </c>
      <c r="BF971" s="9" t="str">
        <f t="shared" si="73"/>
        <v/>
      </c>
      <c r="BG971" s="6">
        <f t="shared" si="74"/>
        <v>0</v>
      </c>
      <c r="BH971" s="6">
        <f t="shared" si="75"/>
        <v>0</v>
      </c>
      <c r="BI971" s="9" t="str">
        <f t="shared" si="76"/>
        <v/>
      </c>
      <c r="BJ971" s="6">
        <f t="shared" si="77"/>
        <v>0</v>
      </c>
      <c r="BK971" s="6">
        <f t="shared" si="78"/>
        <v>0</v>
      </c>
      <c r="BL971" s="6">
        <f t="shared" si="79"/>
        <v>0</v>
      </c>
      <c r="BM971" s="6">
        <f t="shared" si="80"/>
        <v>0</v>
      </c>
      <c r="BN971" s="6">
        <f t="shared" si="81"/>
        <v>0</v>
      </c>
      <c r="BP971" s="6">
        <f t="shared" si="82"/>
        <v>0</v>
      </c>
      <c r="BQ971" s="6" t="b">
        <f ca="1">IFERROR(__xludf.DUMMYFUNCTION("IF(AND(ISERROR(FILTER('Items by Team'!D$2:D3410,'Items by Team'!C$2:C3410 = D971,'Items by Team'!B$2:B3410 = B971)),NOT(A971=""Practice"")),TRUE,FALSE)"),FALSE)</f>
        <v>0</v>
      </c>
      <c r="BR971" s="6">
        <f t="shared" ca="1" si="83"/>
        <v>0</v>
      </c>
    </row>
    <row r="972" spans="1:70">
      <c r="A972" s="6"/>
      <c r="B972" s="6"/>
      <c r="C972" s="6"/>
      <c r="D972" s="6"/>
      <c r="E972" s="6"/>
      <c r="F972" s="6"/>
      <c r="G972" s="6"/>
      <c r="H972" s="6"/>
      <c r="I972" s="6"/>
      <c r="J972" s="6"/>
      <c r="K972" s="6"/>
      <c r="L972" s="6"/>
      <c r="M972" s="6"/>
      <c r="N972" s="6"/>
      <c r="O972" s="6"/>
      <c r="P972" s="6"/>
      <c r="R972" s="6"/>
      <c r="S972" s="6"/>
      <c r="T972" s="6"/>
      <c r="U972" s="6"/>
      <c r="V972" s="6"/>
      <c r="W972" s="6"/>
      <c r="X972" s="6"/>
      <c r="Y972" s="6"/>
      <c r="Z972" s="6"/>
      <c r="AA972" s="6"/>
      <c r="AB972" s="6"/>
      <c r="AD972" s="6"/>
      <c r="AE972" s="6"/>
      <c r="AF972" s="6"/>
      <c r="AG972" s="6"/>
      <c r="AH972" s="6"/>
      <c r="AI972" s="6"/>
      <c r="AK972" s="6"/>
      <c r="AL972" s="6"/>
      <c r="AM972" s="6"/>
      <c r="AN972" s="6"/>
      <c r="AO972" s="6"/>
      <c r="AP972" s="6"/>
      <c r="AQ972" s="6"/>
      <c r="AR972" s="6"/>
      <c r="AS972" s="15"/>
      <c r="AT972" s="6" t="str">
        <f ca="1">IFERROR(__xludf.DUMMYFUNCTION("""COMPUTED_VALUE"""),"#N/A")</f>
        <v>#N/A</v>
      </c>
      <c r="AU972" s="6" t="str">
        <f ca="1">IFERROR(__xludf.DUMMYFUNCTION("""COMPUTED_VALUE"""),"FALSE")</f>
        <v>FALSE</v>
      </c>
      <c r="AW972" s="6">
        <f t="shared" si="64"/>
        <v>0</v>
      </c>
      <c r="AX972" s="6">
        <f t="shared" si="65"/>
        <v>0</v>
      </c>
      <c r="AY972" s="6">
        <f t="shared" si="66"/>
        <v>0</v>
      </c>
      <c r="AZ972" s="9" t="str">
        <f t="shared" si="67"/>
        <v/>
      </c>
      <c r="BA972" s="6">
        <f t="shared" si="68"/>
        <v>0</v>
      </c>
      <c r="BB972" s="6">
        <f t="shared" si="69"/>
        <v>0</v>
      </c>
      <c r="BC972" s="9" t="str">
        <f t="shared" si="70"/>
        <v/>
      </c>
      <c r="BD972" s="6">
        <f t="shared" si="71"/>
        <v>0</v>
      </c>
      <c r="BE972" s="6">
        <f t="shared" si="72"/>
        <v>0</v>
      </c>
      <c r="BF972" s="9" t="str">
        <f t="shared" si="73"/>
        <v/>
      </c>
      <c r="BG972" s="6">
        <f t="shared" si="74"/>
        <v>0</v>
      </c>
      <c r="BH972" s="6">
        <f t="shared" si="75"/>
        <v>0</v>
      </c>
      <c r="BI972" s="9" t="str">
        <f t="shared" si="76"/>
        <v/>
      </c>
      <c r="BJ972" s="6">
        <f t="shared" si="77"/>
        <v>0</v>
      </c>
      <c r="BK972" s="6">
        <f t="shared" si="78"/>
        <v>0</v>
      </c>
      <c r="BL972" s="6">
        <f t="shared" si="79"/>
        <v>0</v>
      </c>
      <c r="BM972" s="6">
        <f t="shared" si="80"/>
        <v>0</v>
      </c>
      <c r="BN972" s="6">
        <f t="shared" si="81"/>
        <v>0</v>
      </c>
      <c r="BP972" s="6">
        <f t="shared" si="82"/>
        <v>0</v>
      </c>
      <c r="BQ972" s="6" t="b">
        <f ca="1">IFERROR(__xludf.DUMMYFUNCTION("IF(AND(ISERROR(FILTER('Items by Team'!D$2:D3410,'Items by Team'!C$2:C3410 = D972,'Items by Team'!B$2:B3410 = B972)),NOT(A972=""Practice"")),TRUE,FALSE)"),FALSE)</f>
        <v>0</v>
      </c>
      <c r="BR972" s="6">
        <f t="shared" ca="1" si="83"/>
        <v>0</v>
      </c>
    </row>
    <row r="973" spans="1:70">
      <c r="A973" s="6"/>
      <c r="B973" s="6"/>
      <c r="C973" s="6"/>
      <c r="D973" s="6"/>
      <c r="E973" s="6"/>
      <c r="F973" s="6"/>
      <c r="G973" s="6"/>
      <c r="H973" s="6"/>
      <c r="I973" s="6"/>
      <c r="J973" s="6"/>
      <c r="K973" s="6"/>
      <c r="L973" s="6"/>
      <c r="M973" s="6"/>
      <c r="N973" s="6"/>
      <c r="O973" s="6"/>
      <c r="P973" s="6"/>
      <c r="R973" s="6"/>
      <c r="S973" s="6"/>
      <c r="T973" s="6"/>
      <c r="U973" s="6"/>
      <c r="V973" s="6"/>
      <c r="W973" s="6"/>
      <c r="X973" s="6"/>
      <c r="Y973" s="6"/>
      <c r="Z973" s="6"/>
      <c r="AA973" s="6"/>
      <c r="AB973" s="6"/>
      <c r="AD973" s="6"/>
      <c r="AE973" s="6"/>
      <c r="AF973" s="6"/>
      <c r="AG973" s="6"/>
      <c r="AH973" s="6"/>
      <c r="AI973" s="6"/>
      <c r="AK973" s="6"/>
      <c r="AL973" s="6"/>
      <c r="AM973" s="6"/>
      <c r="AN973" s="6"/>
      <c r="AO973" s="6"/>
      <c r="AP973" s="6"/>
      <c r="AQ973" s="6"/>
      <c r="AR973" s="6"/>
      <c r="AS973" s="15"/>
      <c r="AT973" s="6" t="str">
        <f ca="1">IFERROR(__xludf.DUMMYFUNCTION("""COMPUTED_VALUE"""),"#N/A")</f>
        <v>#N/A</v>
      </c>
      <c r="AU973" s="6" t="str">
        <f ca="1">IFERROR(__xludf.DUMMYFUNCTION("""COMPUTED_VALUE"""),"FALSE")</f>
        <v>FALSE</v>
      </c>
      <c r="AW973" s="6">
        <f t="shared" si="64"/>
        <v>0</v>
      </c>
      <c r="AX973" s="6">
        <f t="shared" si="65"/>
        <v>0</v>
      </c>
      <c r="AY973" s="6">
        <f t="shared" si="66"/>
        <v>0</v>
      </c>
      <c r="AZ973" s="9" t="str">
        <f t="shared" si="67"/>
        <v/>
      </c>
      <c r="BA973" s="6">
        <f t="shared" si="68"/>
        <v>0</v>
      </c>
      <c r="BB973" s="6">
        <f t="shared" si="69"/>
        <v>0</v>
      </c>
      <c r="BC973" s="9" t="str">
        <f t="shared" si="70"/>
        <v/>
      </c>
      <c r="BD973" s="6">
        <f t="shared" si="71"/>
        <v>0</v>
      </c>
      <c r="BE973" s="6">
        <f t="shared" si="72"/>
        <v>0</v>
      </c>
      <c r="BF973" s="9" t="str">
        <f t="shared" si="73"/>
        <v/>
      </c>
      <c r="BG973" s="6">
        <f t="shared" si="74"/>
        <v>0</v>
      </c>
      <c r="BH973" s="6">
        <f t="shared" si="75"/>
        <v>0</v>
      </c>
      <c r="BI973" s="9" t="str">
        <f t="shared" si="76"/>
        <v/>
      </c>
      <c r="BJ973" s="6">
        <f t="shared" si="77"/>
        <v>0</v>
      </c>
      <c r="BK973" s="6">
        <f t="shared" si="78"/>
        <v>0</v>
      </c>
      <c r="BL973" s="6">
        <f t="shared" si="79"/>
        <v>0</v>
      </c>
      <c r="BM973" s="6">
        <f t="shared" si="80"/>
        <v>0</v>
      </c>
      <c r="BN973" s="6">
        <f t="shared" si="81"/>
        <v>0</v>
      </c>
      <c r="BP973" s="6">
        <f t="shared" si="82"/>
        <v>0</v>
      </c>
      <c r="BQ973" s="6" t="b">
        <f ca="1">IFERROR(__xludf.DUMMYFUNCTION("IF(AND(ISERROR(FILTER('Items by Team'!D$2:D3410,'Items by Team'!C$2:C3410 = D973,'Items by Team'!B$2:B3410 = B973)),NOT(A973=""Practice"")),TRUE,FALSE)"),FALSE)</f>
        <v>0</v>
      </c>
      <c r="BR973" s="6">
        <f t="shared" ca="1" si="83"/>
        <v>0</v>
      </c>
    </row>
    <row r="974" spans="1:70">
      <c r="A974" s="6"/>
      <c r="B974" s="6"/>
      <c r="C974" s="6"/>
      <c r="D974" s="6"/>
      <c r="E974" s="6"/>
      <c r="F974" s="6"/>
      <c r="G974" s="6"/>
      <c r="H974" s="6"/>
      <c r="I974" s="6"/>
      <c r="J974" s="6"/>
      <c r="K974" s="6"/>
      <c r="L974" s="6"/>
      <c r="M974" s="6"/>
      <c r="N974" s="6"/>
      <c r="O974" s="6"/>
      <c r="P974" s="6"/>
      <c r="R974" s="6"/>
      <c r="S974" s="6"/>
      <c r="T974" s="6"/>
      <c r="U974" s="6"/>
      <c r="V974" s="6"/>
      <c r="W974" s="6"/>
      <c r="X974" s="6"/>
      <c r="Y974" s="6"/>
      <c r="Z974" s="6"/>
      <c r="AA974" s="6"/>
      <c r="AB974" s="6"/>
      <c r="AD974" s="6"/>
      <c r="AE974" s="6"/>
      <c r="AF974" s="6"/>
      <c r="AG974" s="6"/>
      <c r="AH974" s="6"/>
      <c r="AI974" s="6"/>
      <c r="AK974" s="6"/>
      <c r="AL974" s="6"/>
      <c r="AM974" s="6"/>
      <c r="AN974" s="6"/>
      <c r="AO974" s="6"/>
      <c r="AP974" s="6"/>
      <c r="AQ974" s="6"/>
      <c r="AR974" s="6"/>
      <c r="AS974" s="15"/>
      <c r="AT974" s="6" t="str">
        <f ca="1">IFERROR(__xludf.DUMMYFUNCTION("""COMPUTED_VALUE"""),"#N/A")</f>
        <v>#N/A</v>
      </c>
      <c r="AU974" s="6" t="str">
        <f ca="1">IFERROR(__xludf.DUMMYFUNCTION("""COMPUTED_VALUE"""),"FALSE")</f>
        <v>FALSE</v>
      </c>
      <c r="AW974" s="6">
        <f t="shared" si="64"/>
        <v>0</v>
      </c>
      <c r="AX974" s="6">
        <f t="shared" si="65"/>
        <v>0</v>
      </c>
      <c r="AY974" s="6">
        <f t="shared" si="66"/>
        <v>0</v>
      </c>
      <c r="AZ974" s="9" t="str">
        <f t="shared" si="67"/>
        <v/>
      </c>
      <c r="BA974" s="6">
        <f t="shared" si="68"/>
        <v>0</v>
      </c>
      <c r="BB974" s="6">
        <f t="shared" si="69"/>
        <v>0</v>
      </c>
      <c r="BC974" s="9" t="str">
        <f t="shared" si="70"/>
        <v/>
      </c>
      <c r="BD974" s="6">
        <f t="shared" si="71"/>
        <v>0</v>
      </c>
      <c r="BE974" s="6">
        <f t="shared" si="72"/>
        <v>0</v>
      </c>
      <c r="BF974" s="9" t="str">
        <f t="shared" si="73"/>
        <v/>
      </c>
      <c r="BG974" s="6">
        <f t="shared" si="74"/>
        <v>0</v>
      </c>
      <c r="BH974" s="6">
        <f t="shared" si="75"/>
        <v>0</v>
      </c>
      <c r="BI974" s="9" t="str">
        <f t="shared" si="76"/>
        <v/>
      </c>
      <c r="BJ974" s="6">
        <f t="shared" si="77"/>
        <v>0</v>
      </c>
      <c r="BK974" s="6">
        <f t="shared" si="78"/>
        <v>0</v>
      </c>
      <c r="BL974" s="6">
        <f t="shared" si="79"/>
        <v>0</v>
      </c>
      <c r="BM974" s="6">
        <f t="shared" si="80"/>
        <v>0</v>
      </c>
      <c r="BN974" s="6">
        <f t="shared" si="81"/>
        <v>0</v>
      </c>
      <c r="BP974" s="6">
        <f t="shared" si="82"/>
        <v>0</v>
      </c>
      <c r="BQ974" s="6" t="b">
        <f ca="1">IFERROR(__xludf.DUMMYFUNCTION("IF(AND(ISERROR(FILTER('Items by Team'!D$2:D3410,'Items by Team'!C$2:C3410 = D974,'Items by Team'!B$2:B3410 = B974)),NOT(A974=""Practice"")),TRUE,FALSE)"),FALSE)</f>
        <v>0</v>
      </c>
      <c r="BR974" s="6">
        <f t="shared" ca="1" si="83"/>
        <v>0</v>
      </c>
    </row>
    <row r="975" spans="1:70">
      <c r="A975" s="6"/>
      <c r="B975" s="6"/>
      <c r="C975" s="6"/>
      <c r="D975" s="6"/>
      <c r="E975" s="6"/>
      <c r="F975" s="6"/>
      <c r="G975" s="6"/>
      <c r="H975" s="6"/>
      <c r="I975" s="6"/>
      <c r="J975" s="6"/>
      <c r="K975" s="6"/>
      <c r="L975" s="6"/>
      <c r="M975" s="6"/>
      <c r="N975" s="6"/>
      <c r="O975" s="6"/>
      <c r="P975" s="6"/>
      <c r="R975" s="6"/>
      <c r="S975" s="6"/>
      <c r="T975" s="6"/>
      <c r="U975" s="6"/>
      <c r="V975" s="6"/>
      <c r="W975" s="6"/>
      <c r="X975" s="6"/>
      <c r="Y975" s="6"/>
      <c r="Z975" s="6"/>
      <c r="AA975" s="6"/>
      <c r="AB975" s="6"/>
      <c r="AD975" s="6"/>
      <c r="AE975" s="6"/>
      <c r="AF975" s="6"/>
      <c r="AG975" s="6"/>
      <c r="AH975" s="6"/>
      <c r="AI975" s="6"/>
      <c r="AK975" s="6"/>
      <c r="AL975" s="6"/>
      <c r="AM975" s="6"/>
      <c r="AN975" s="6"/>
      <c r="AO975" s="6"/>
      <c r="AP975" s="6"/>
      <c r="AQ975" s="6"/>
      <c r="AR975" s="6"/>
      <c r="AS975" s="15"/>
      <c r="AT975" s="6" t="str">
        <f ca="1">IFERROR(__xludf.DUMMYFUNCTION("""COMPUTED_VALUE"""),"#N/A")</f>
        <v>#N/A</v>
      </c>
      <c r="AU975" s="6" t="str">
        <f ca="1">IFERROR(__xludf.DUMMYFUNCTION("""COMPUTED_VALUE"""),"FALSE")</f>
        <v>FALSE</v>
      </c>
      <c r="AW975" s="6">
        <f t="shared" si="64"/>
        <v>0</v>
      </c>
      <c r="AX975" s="6">
        <f t="shared" si="65"/>
        <v>0</v>
      </c>
      <c r="AY975" s="6">
        <f t="shared" si="66"/>
        <v>0</v>
      </c>
      <c r="AZ975" s="9" t="str">
        <f t="shared" si="67"/>
        <v/>
      </c>
      <c r="BA975" s="6">
        <f t="shared" si="68"/>
        <v>0</v>
      </c>
      <c r="BB975" s="6">
        <f t="shared" si="69"/>
        <v>0</v>
      </c>
      <c r="BC975" s="9" t="str">
        <f t="shared" si="70"/>
        <v/>
      </c>
      <c r="BD975" s="6">
        <f t="shared" si="71"/>
        <v>0</v>
      </c>
      <c r="BE975" s="6">
        <f t="shared" si="72"/>
        <v>0</v>
      </c>
      <c r="BF975" s="9" t="str">
        <f t="shared" si="73"/>
        <v/>
      </c>
      <c r="BG975" s="6">
        <f t="shared" si="74"/>
        <v>0</v>
      </c>
      <c r="BH975" s="6">
        <f t="shared" si="75"/>
        <v>0</v>
      </c>
      <c r="BI975" s="9" t="str">
        <f t="shared" si="76"/>
        <v/>
      </c>
      <c r="BJ975" s="6">
        <f t="shared" si="77"/>
        <v>0</v>
      </c>
      <c r="BK975" s="6">
        <f t="shared" si="78"/>
        <v>0</v>
      </c>
      <c r="BL975" s="6">
        <f t="shared" si="79"/>
        <v>0</v>
      </c>
      <c r="BM975" s="6">
        <f t="shared" si="80"/>
        <v>0</v>
      </c>
      <c r="BN975" s="6">
        <f t="shared" si="81"/>
        <v>0</v>
      </c>
      <c r="BP975" s="6">
        <f t="shared" si="82"/>
        <v>0</v>
      </c>
      <c r="BQ975" s="6" t="b">
        <f ca="1">IFERROR(__xludf.DUMMYFUNCTION("IF(AND(ISERROR(FILTER('Items by Team'!D$2:D3410,'Items by Team'!C$2:C3410 = D975,'Items by Team'!B$2:B3410 = B975)),NOT(A975=""Practice"")),TRUE,FALSE)"),FALSE)</f>
        <v>0</v>
      </c>
      <c r="BR975" s="6">
        <f t="shared" ca="1" si="83"/>
        <v>0</v>
      </c>
    </row>
    <row r="976" spans="1:70">
      <c r="A976" s="6"/>
      <c r="B976" s="6"/>
      <c r="C976" s="6"/>
      <c r="D976" s="6"/>
      <c r="E976" s="6"/>
      <c r="F976" s="6"/>
      <c r="G976" s="6"/>
      <c r="H976" s="6"/>
      <c r="I976" s="6"/>
      <c r="J976" s="6"/>
      <c r="K976" s="6"/>
      <c r="L976" s="6"/>
      <c r="M976" s="6"/>
      <c r="N976" s="6"/>
      <c r="O976" s="6"/>
      <c r="P976" s="6"/>
      <c r="R976" s="6"/>
      <c r="S976" s="6"/>
      <c r="T976" s="6"/>
      <c r="U976" s="6"/>
      <c r="V976" s="6"/>
      <c r="W976" s="6"/>
      <c r="X976" s="6"/>
      <c r="Y976" s="6"/>
      <c r="Z976" s="6"/>
      <c r="AA976" s="6"/>
      <c r="AB976" s="6"/>
      <c r="AD976" s="6"/>
      <c r="AE976" s="6"/>
      <c r="AF976" s="6"/>
      <c r="AG976" s="6"/>
      <c r="AH976" s="6"/>
      <c r="AI976" s="6"/>
      <c r="AK976" s="6"/>
      <c r="AL976" s="6"/>
      <c r="AM976" s="6"/>
      <c r="AN976" s="6"/>
      <c r="AO976" s="6"/>
      <c r="AP976" s="6"/>
      <c r="AQ976" s="6"/>
      <c r="AR976" s="6"/>
      <c r="AS976" s="15"/>
      <c r="AT976" s="6" t="str">
        <f ca="1">IFERROR(__xludf.DUMMYFUNCTION("""COMPUTED_VALUE"""),"#N/A")</f>
        <v>#N/A</v>
      </c>
      <c r="AU976" s="6" t="str">
        <f ca="1">IFERROR(__xludf.DUMMYFUNCTION("""COMPUTED_VALUE"""),"FALSE")</f>
        <v>FALSE</v>
      </c>
      <c r="AW976" s="6">
        <f t="shared" si="64"/>
        <v>0</v>
      </c>
      <c r="AX976" s="6">
        <f t="shared" si="65"/>
        <v>0</v>
      </c>
      <c r="AY976" s="6">
        <f t="shared" si="66"/>
        <v>0</v>
      </c>
      <c r="AZ976" s="9" t="str">
        <f t="shared" si="67"/>
        <v/>
      </c>
      <c r="BA976" s="6">
        <f t="shared" si="68"/>
        <v>0</v>
      </c>
      <c r="BB976" s="6">
        <f t="shared" si="69"/>
        <v>0</v>
      </c>
      <c r="BC976" s="9" t="str">
        <f t="shared" si="70"/>
        <v/>
      </c>
      <c r="BD976" s="6">
        <f t="shared" si="71"/>
        <v>0</v>
      </c>
      <c r="BE976" s="6">
        <f t="shared" si="72"/>
        <v>0</v>
      </c>
      <c r="BF976" s="9" t="str">
        <f t="shared" si="73"/>
        <v/>
      </c>
      <c r="BG976" s="6">
        <f t="shared" si="74"/>
        <v>0</v>
      </c>
      <c r="BH976" s="6">
        <f t="shared" si="75"/>
        <v>0</v>
      </c>
      <c r="BI976" s="9" t="str">
        <f t="shared" si="76"/>
        <v/>
      </c>
      <c r="BJ976" s="6">
        <f t="shared" si="77"/>
        <v>0</v>
      </c>
      <c r="BK976" s="6">
        <f t="shared" si="78"/>
        <v>0</v>
      </c>
      <c r="BL976" s="6">
        <f t="shared" si="79"/>
        <v>0</v>
      </c>
      <c r="BM976" s="6">
        <f t="shared" si="80"/>
        <v>0</v>
      </c>
      <c r="BN976" s="6">
        <f t="shared" si="81"/>
        <v>0</v>
      </c>
      <c r="BP976" s="6">
        <f t="shared" si="82"/>
        <v>0</v>
      </c>
      <c r="BQ976" s="6" t="b">
        <f ca="1">IFERROR(__xludf.DUMMYFUNCTION("IF(AND(ISERROR(FILTER('Items by Team'!D$2:D3410,'Items by Team'!C$2:C3410 = D976,'Items by Team'!B$2:B3410 = B976)),NOT(A976=""Practice"")),TRUE,FALSE)"),FALSE)</f>
        <v>0</v>
      </c>
      <c r="BR976" s="6">
        <f t="shared" ca="1" si="83"/>
        <v>0</v>
      </c>
    </row>
    <row r="977" spans="1:70">
      <c r="A977" s="6"/>
      <c r="B977" s="6"/>
      <c r="C977" s="6"/>
      <c r="D977" s="6"/>
      <c r="E977" s="6"/>
      <c r="F977" s="6"/>
      <c r="G977" s="6"/>
      <c r="H977" s="6"/>
      <c r="I977" s="6"/>
      <c r="J977" s="6"/>
      <c r="K977" s="6"/>
      <c r="L977" s="6"/>
      <c r="M977" s="6"/>
      <c r="N977" s="6"/>
      <c r="O977" s="6"/>
      <c r="P977" s="6"/>
      <c r="R977" s="6"/>
      <c r="S977" s="6"/>
      <c r="T977" s="6"/>
      <c r="U977" s="6"/>
      <c r="V977" s="6"/>
      <c r="W977" s="6"/>
      <c r="X977" s="6"/>
      <c r="Y977" s="6"/>
      <c r="Z977" s="6"/>
      <c r="AA977" s="6"/>
      <c r="AB977" s="6"/>
      <c r="AD977" s="6"/>
      <c r="AE977" s="6"/>
      <c r="AF977" s="6"/>
      <c r="AG977" s="6"/>
      <c r="AH977" s="6"/>
      <c r="AI977" s="6"/>
      <c r="AK977" s="6"/>
      <c r="AL977" s="6"/>
      <c r="AM977" s="6"/>
      <c r="AN977" s="6"/>
      <c r="AO977" s="6"/>
      <c r="AP977" s="6"/>
      <c r="AQ977" s="6"/>
      <c r="AR977" s="6"/>
      <c r="AS977" s="15"/>
      <c r="AT977" s="6" t="str">
        <f ca="1">IFERROR(__xludf.DUMMYFUNCTION("""COMPUTED_VALUE"""),"#N/A")</f>
        <v>#N/A</v>
      </c>
      <c r="AU977" s="6" t="str">
        <f ca="1">IFERROR(__xludf.DUMMYFUNCTION("""COMPUTED_VALUE"""),"FALSE")</f>
        <v>FALSE</v>
      </c>
      <c r="AW977" s="6">
        <f t="shared" si="64"/>
        <v>0</v>
      </c>
      <c r="AX977" s="6">
        <f t="shared" si="65"/>
        <v>0</v>
      </c>
      <c r="AY977" s="6">
        <f t="shared" si="66"/>
        <v>0</v>
      </c>
      <c r="AZ977" s="9" t="str">
        <f t="shared" si="67"/>
        <v/>
      </c>
      <c r="BA977" s="6">
        <f t="shared" si="68"/>
        <v>0</v>
      </c>
      <c r="BB977" s="6">
        <f t="shared" si="69"/>
        <v>0</v>
      </c>
      <c r="BC977" s="9" t="str">
        <f t="shared" si="70"/>
        <v/>
      </c>
      <c r="BD977" s="6">
        <f t="shared" si="71"/>
        <v>0</v>
      </c>
      <c r="BE977" s="6">
        <f t="shared" si="72"/>
        <v>0</v>
      </c>
      <c r="BF977" s="9" t="str">
        <f t="shared" si="73"/>
        <v/>
      </c>
      <c r="BG977" s="6">
        <f t="shared" si="74"/>
        <v>0</v>
      </c>
      <c r="BH977" s="6">
        <f t="shared" si="75"/>
        <v>0</v>
      </c>
      <c r="BI977" s="9" t="str">
        <f t="shared" si="76"/>
        <v/>
      </c>
      <c r="BJ977" s="6">
        <f t="shared" si="77"/>
        <v>0</v>
      </c>
      <c r="BK977" s="6">
        <f t="shared" si="78"/>
        <v>0</v>
      </c>
      <c r="BL977" s="6">
        <f t="shared" si="79"/>
        <v>0</v>
      </c>
      <c r="BM977" s="6">
        <f t="shared" si="80"/>
        <v>0</v>
      </c>
      <c r="BN977" s="6">
        <f t="shared" si="81"/>
        <v>0</v>
      </c>
      <c r="BP977" s="6">
        <f t="shared" si="82"/>
        <v>0</v>
      </c>
      <c r="BQ977" s="6" t="b">
        <f ca="1">IFERROR(__xludf.DUMMYFUNCTION("IF(AND(ISERROR(FILTER('Items by Team'!D$2:D3410,'Items by Team'!C$2:C3410 = D977,'Items by Team'!B$2:B3410 = B977)),NOT(A977=""Practice"")),TRUE,FALSE)"),FALSE)</f>
        <v>0</v>
      </c>
      <c r="BR977" s="6">
        <f t="shared" ca="1" si="83"/>
        <v>0</v>
      </c>
    </row>
    <row r="978" spans="1:70">
      <c r="A978" s="6"/>
      <c r="B978" s="6"/>
      <c r="C978" s="6"/>
      <c r="D978" s="6"/>
      <c r="E978" s="6"/>
      <c r="F978" s="6"/>
      <c r="G978" s="6"/>
      <c r="H978" s="6"/>
      <c r="I978" s="6"/>
      <c r="J978" s="6"/>
      <c r="K978" s="6"/>
      <c r="L978" s="6"/>
      <c r="M978" s="6"/>
      <c r="N978" s="6"/>
      <c r="O978" s="6"/>
      <c r="P978" s="6"/>
      <c r="R978" s="6"/>
      <c r="S978" s="6"/>
      <c r="T978" s="6"/>
      <c r="U978" s="6"/>
      <c r="V978" s="6"/>
      <c r="W978" s="6"/>
      <c r="X978" s="6"/>
      <c r="Y978" s="6"/>
      <c r="Z978" s="6"/>
      <c r="AA978" s="6"/>
      <c r="AB978" s="6"/>
      <c r="AD978" s="6"/>
      <c r="AE978" s="6"/>
      <c r="AF978" s="6"/>
      <c r="AG978" s="6"/>
      <c r="AH978" s="6"/>
      <c r="AI978" s="6"/>
      <c r="AK978" s="6"/>
      <c r="AL978" s="6"/>
      <c r="AM978" s="6"/>
      <c r="AN978" s="6"/>
      <c r="AO978" s="6"/>
      <c r="AP978" s="6"/>
      <c r="AQ978" s="6"/>
      <c r="AR978" s="6"/>
      <c r="AS978" s="15"/>
      <c r="AT978" s="6" t="str">
        <f ca="1">IFERROR(__xludf.DUMMYFUNCTION("""COMPUTED_VALUE"""),"#N/A")</f>
        <v>#N/A</v>
      </c>
      <c r="AU978" s="6" t="str">
        <f ca="1">IFERROR(__xludf.DUMMYFUNCTION("""COMPUTED_VALUE"""),"FALSE")</f>
        <v>FALSE</v>
      </c>
      <c r="AW978" s="6">
        <f t="shared" si="64"/>
        <v>0</v>
      </c>
      <c r="AX978" s="6">
        <f t="shared" si="65"/>
        <v>0</v>
      </c>
      <c r="AY978" s="6">
        <f t="shared" si="66"/>
        <v>0</v>
      </c>
      <c r="AZ978" s="9" t="str">
        <f t="shared" si="67"/>
        <v/>
      </c>
      <c r="BA978" s="6">
        <f t="shared" si="68"/>
        <v>0</v>
      </c>
      <c r="BB978" s="6">
        <f t="shared" si="69"/>
        <v>0</v>
      </c>
      <c r="BC978" s="9" t="str">
        <f t="shared" si="70"/>
        <v/>
      </c>
      <c r="BD978" s="6">
        <f t="shared" si="71"/>
        <v>0</v>
      </c>
      <c r="BE978" s="6">
        <f t="shared" si="72"/>
        <v>0</v>
      </c>
      <c r="BF978" s="9" t="str">
        <f t="shared" si="73"/>
        <v/>
      </c>
      <c r="BG978" s="6">
        <f t="shared" si="74"/>
        <v>0</v>
      </c>
      <c r="BH978" s="6">
        <f t="shared" si="75"/>
        <v>0</v>
      </c>
      <c r="BI978" s="9" t="str">
        <f t="shared" si="76"/>
        <v/>
      </c>
      <c r="BJ978" s="6">
        <f t="shared" si="77"/>
        <v>0</v>
      </c>
      <c r="BK978" s="6">
        <f t="shared" si="78"/>
        <v>0</v>
      </c>
      <c r="BL978" s="6">
        <f t="shared" si="79"/>
        <v>0</v>
      </c>
      <c r="BM978" s="6">
        <f t="shared" si="80"/>
        <v>0</v>
      </c>
      <c r="BN978" s="6">
        <f t="shared" si="81"/>
        <v>0</v>
      </c>
      <c r="BP978" s="6">
        <f t="shared" si="82"/>
        <v>0</v>
      </c>
      <c r="BQ978" s="6" t="b">
        <f ca="1">IFERROR(__xludf.DUMMYFUNCTION("IF(AND(ISERROR(FILTER('Items by Team'!D$2:D3410,'Items by Team'!C$2:C3410 = D978,'Items by Team'!B$2:B3410 = B978)),NOT(A978=""Practice"")),TRUE,FALSE)"),FALSE)</f>
        <v>0</v>
      </c>
      <c r="BR978" s="6">
        <f t="shared" ca="1" si="83"/>
        <v>0</v>
      </c>
    </row>
    <row r="979" spans="1:70">
      <c r="A979" s="6"/>
      <c r="B979" s="6"/>
      <c r="C979" s="6"/>
      <c r="D979" s="6"/>
      <c r="E979" s="6"/>
      <c r="F979" s="6"/>
      <c r="G979" s="6"/>
      <c r="H979" s="6"/>
      <c r="I979" s="6"/>
      <c r="J979" s="6"/>
      <c r="K979" s="6"/>
      <c r="L979" s="6"/>
      <c r="M979" s="6"/>
      <c r="N979" s="6"/>
      <c r="O979" s="6"/>
      <c r="P979" s="6"/>
      <c r="R979" s="6"/>
      <c r="S979" s="6"/>
      <c r="T979" s="6"/>
      <c r="U979" s="6"/>
      <c r="V979" s="6"/>
      <c r="W979" s="6"/>
      <c r="X979" s="6"/>
      <c r="Y979" s="6"/>
      <c r="Z979" s="6"/>
      <c r="AA979" s="6"/>
      <c r="AB979" s="6"/>
      <c r="AD979" s="6"/>
      <c r="AE979" s="6"/>
      <c r="AF979" s="6"/>
      <c r="AG979" s="6"/>
      <c r="AH979" s="6"/>
      <c r="AI979" s="6"/>
      <c r="AK979" s="6"/>
      <c r="AL979" s="6"/>
      <c r="AM979" s="6"/>
      <c r="AN979" s="6"/>
      <c r="AO979" s="6"/>
      <c r="AP979" s="6"/>
      <c r="AQ979" s="6"/>
      <c r="AR979" s="6"/>
      <c r="AS979" s="15"/>
      <c r="AT979" s="6" t="str">
        <f ca="1">IFERROR(__xludf.DUMMYFUNCTION("""COMPUTED_VALUE"""),"#N/A")</f>
        <v>#N/A</v>
      </c>
      <c r="AU979" s="6" t="str">
        <f ca="1">IFERROR(__xludf.DUMMYFUNCTION("""COMPUTED_VALUE"""),"FALSE")</f>
        <v>FALSE</v>
      </c>
      <c r="AW979" s="6">
        <f t="shared" si="64"/>
        <v>0</v>
      </c>
      <c r="AX979" s="6">
        <f t="shared" si="65"/>
        <v>0</v>
      </c>
      <c r="AY979" s="6">
        <f t="shared" si="66"/>
        <v>0</v>
      </c>
      <c r="AZ979" s="9" t="str">
        <f t="shared" si="67"/>
        <v/>
      </c>
      <c r="BA979" s="6">
        <f t="shared" si="68"/>
        <v>0</v>
      </c>
      <c r="BB979" s="6">
        <f t="shared" si="69"/>
        <v>0</v>
      </c>
      <c r="BC979" s="9" t="str">
        <f t="shared" si="70"/>
        <v/>
      </c>
      <c r="BD979" s="6">
        <f t="shared" si="71"/>
        <v>0</v>
      </c>
      <c r="BE979" s="6">
        <f t="shared" si="72"/>
        <v>0</v>
      </c>
      <c r="BF979" s="9" t="str">
        <f t="shared" si="73"/>
        <v/>
      </c>
      <c r="BG979" s="6">
        <f t="shared" si="74"/>
        <v>0</v>
      </c>
      <c r="BH979" s="6">
        <f t="shared" si="75"/>
        <v>0</v>
      </c>
      <c r="BI979" s="9" t="str">
        <f t="shared" si="76"/>
        <v/>
      </c>
      <c r="BJ979" s="6">
        <f t="shared" si="77"/>
        <v>0</v>
      </c>
      <c r="BK979" s="6">
        <f t="shared" si="78"/>
        <v>0</v>
      </c>
      <c r="BL979" s="6">
        <f t="shared" si="79"/>
        <v>0</v>
      </c>
      <c r="BM979" s="6">
        <f t="shared" si="80"/>
        <v>0</v>
      </c>
      <c r="BN979" s="6">
        <f t="shared" si="81"/>
        <v>0</v>
      </c>
      <c r="BP979" s="6">
        <f t="shared" si="82"/>
        <v>0</v>
      </c>
      <c r="BQ979" s="6" t="b">
        <f ca="1">IFERROR(__xludf.DUMMYFUNCTION("IF(AND(ISERROR(FILTER('Items by Team'!D$2:D3410,'Items by Team'!C$2:C3410 = D979,'Items by Team'!B$2:B3410 = B979)),NOT(A979=""Practice"")),TRUE,FALSE)"),FALSE)</f>
        <v>0</v>
      </c>
      <c r="BR979" s="6">
        <f t="shared" ca="1" si="83"/>
        <v>0</v>
      </c>
    </row>
    <row r="980" spans="1:70">
      <c r="A980" s="6"/>
      <c r="B980" s="6"/>
      <c r="C980" s="6"/>
      <c r="D980" s="6"/>
      <c r="E980" s="6"/>
      <c r="F980" s="6"/>
      <c r="G980" s="6"/>
      <c r="H980" s="6"/>
      <c r="I980" s="6"/>
      <c r="J980" s="6"/>
      <c r="K980" s="6"/>
      <c r="L980" s="6"/>
      <c r="M980" s="6"/>
      <c r="N980" s="6"/>
      <c r="O980" s="6"/>
      <c r="P980" s="6"/>
      <c r="R980" s="6"/>
      <c r="S980" s="6"/>
      <c r="T980" s="6"/>
      <c r="U980" s="6"/>
      <c r="V980" s="6"/>
      <c r="W980" s="6"/>
      <c r="X980" s="6"/>
      <c r="Y980" s="6"/>
      <c r="Z980" s="6"/>
      <c r="AA980" s="6"/>
      <c r="AB980" s="6"/>
      <c r="AD980" s="6"/>
      <c r="AE980" s="6"/>
      <c r="AF980" s="6"/>
      <c r="AG980" s="6"/>
      <c r="AH980" s="6"/>
      <c r="AI980" s="6"/>
      <c r="AK980" s="6"/>
      <c r="AL980" s="6"/>
      <c r="AM980" s="6"/>
      <c r="AN980" s="6"/>
      <c r="AO980" s="6"/>
      <c r="AP980" s="6"/>
      <c r="AQ980" s="6"/>
      <c r="AR980" s="6"/>
      <c r="AS980" s="15"/>
      <c r="AT980" s="6" t="str">
        <f ca="1">IFERROR(__xludf.DUMMYFUNCTION("""COMPUTED_VALUE"""),"#N/A")</f>
        <v>#N/A</v>
      </c>
      <c r="AU980" s="6" t="str">
        <f ca="1">IFERROR(__xludf.DUMMYFUNCTION("""COMPUTED_VALUE"""),"FALSE")</f>
        <v>FALSE</v>
      </c>
      <c r="AW980" s="6">
        <f t="shared" si="64"/>
        <v>0</v>
      </c>
      <c r="AX980" s="6">
        <f t="shared" si="65"/>
        <v>0</v>
      </c>
      <c r="AY980" s="6">
        <f t="shared" si="66"/>
        <v>0</v>
      </c>
      <c r="AZ980" s="9" t="str">
        <f t="shared" si="67"/>
        <v/>
      </c>
      <c r="BA980" s="6">
        <f t="shared" si="68"/>
        <v>0</v>
      </c>
      <c r="BB980" s="6">
        <f t="shared" si="69"/>
        <v>0</v>
      </c>
      <c r="BC980" s="9" t="str">
        <f t="shared" si="70"/>
        <v/>
      </c>
      <c r="BD980" s="6">
        <f t="shared" si="71"/>
        <v>0</v>
      </c>
      <c r="BE980" s="6">
        <f t="shared" si="72"/>
        <v>0</v>
      </c>
      <c r="BF980" s="9" t="str">
        <f t="shared" si="73"/>
        <v/>
      </c>
      <c r="BG980" s="6">
        <f t="shared" si="74"/>
        <v>0</v>
      </c>
      <c r="BH980" s="6">
        <f t="shared" si="75"/>
        <v>0</v>
      </c>
      <c r="BI980" s="9" t="str">
        <f t="shared" si="76"/>
        <v/>
      </c>
      <c r="BJ980" s="6">
        <f t="shared" si="77"/>
        <v>0</v>
      </c>
      <c r="BK980" s="6">
        <f t="shared" si="78"/>
        <v>0</v>
      </c>
      <c r="BL980" s="6">
        <f t="shared" si="79"/>
        <v>0</v>
      </c>
      <c r="BM980" s="6">
        <f t="shared" si="80"/>
        <v>0</v>
      </c>
      <c r="BN980" s="6">
        <f t="shared" si="81"/>
        <v>0</v>
      </c>
      <c r="BP980" s="6">
        <f t="shared" si="82"/>
        <v>0</v>
      </c>
      <c r="BQ980" s="6" t="b">
        <f ca="1">IFERROR(__xludf.DUMMYFUNCTION("IF(AND(ISERROR(FILTER('Items by Team'!D$2:D3410,'Items by Team'!C$2:C3410 = D980,'Items by Team'!B$2:B3410 = B980)),NOT(A980=""Practice"")),TRUE,FALSE)"),FALSE)</f>
        <v>0</v>
      </c>
      <c r="BR980" s="6">
        <f t="shared" ca="1" si="83"/>
        <v>0</v>
      </c>
    </row>
    <row r="981" spans="1:70">
      <c r="A981" s="6"/>
      <c r="B981" s="6"/>
      <c r="C981" s="6"/>
      <c r="D981" s="6"/>
      <c r="E981" s="6"/>
      <c r="F981" s="6"/>
      <c r="G981" s="6"/>
      <c r="H981" s="6"/>
      <c r="I981" s="6"/>
      <c r="J981" s="6"/>
      <c r="K981" s="6"/>
      <c r="L981" s="6"/>
      <c r="M981" s="6"/>
      <c r="N981" s="6"/>
      <c r="O981" s="6"/>
      <c r="P981" s="6"/>
      <c r="R981" s="6"/>
      <c r="S981" s="6"/>
      <c r="T981" s="6"/>
      <c r="U981" s="6"/>
      <c r="V981" s="6"/>
      <c r="W981" s="6"/>
      <c r="X981" s="6"/>
      <c r="Y981" s="6"/>
      <c r="Z981" s="6"/>
      <c r="AA981" s="6"/>
      <c r="AB981" s="6"/>
      <c r="AD981" s="6"/>
      <c r="AE981" s="6"/>
      <c r="AF981" s="6"/>
      <c r="AG981" s="6"/>
      <c r="AH981" s="6"/>
      <c r="AI981" s="6"/>
      <c r="AK981" s="6"/>
      <c r="AL981" s="6"/>
      <c r="AM981" s="6"/>
      <c r="AN981" s="6"/>
      <c r="AO981" s="6"/>
      <c r="AP981" s="6"/>
      <c r="AQ981" s="6"/>
      <c r="AR981" s="6"/>
      <c r="AS981" s="15"/>
      <c r="AT981" s="6" t="str">
        <f ca="1">IFERROR(__xludf.DUMMYFUNCTION("""COMPUTED_VALUE"""),"#N/A")</f>
        <v>#N/A</v>
      </c>
      <c r="AU981" s="6" t="str">
        <f ca="1">IFERROR(__xludf.DUMMYFUNCTION("""COMPUTED_VALUE"""),"FALSE")</f>
        <v>FALSE</v>
      </c>
      <c r="AW981" s="6">
        <f t="shared" si="64"/>
        <v>0</v>
      </c>
      <c r="AX981" s="6">
        <f t="shared" si="65"/>
        <v>0</v>
      </c>
      <c r="AY981" s="6">
        <f t="shared" si="66"/>
        <v>0</v>
      </c>
      <c r="AZ981" s="9" t="str">
        <f t="shared" si="67"/>
        <v/>
      </c>
      <c r="BA981" s="6">
        <f t="shared" si="68"/>
        <v>0</v>
      </c>
      <c r="BB981" s="6">
        <f t="shared" si="69"/>
        <v>0</v>
      </c>
      <c r="BC981" s="9" t="str">
        <f t="shared" si="70"/>
        <v/>
      </c>
      <c r="BD981" s="6">
        <f t="shared" si="71"/>
        <v>0</v>
      </c>
      <c r="BE981" s="6">
        <f t="shared" si="72"/>
        <v>0</v>
      </c>
      <c r="BF981" s="9" t="str">
        <f t="shared" si="73"/>
        <v/>
      </c>
      <c r="BG981" s="6">
        <f t="shared" si="74"/>
        <v>0</v>
      </c>
      <c r="BH981" s="6">
        <f t="shared" si="75"/>
        <v>0</v>
      </c>
      <c r="BI981" s="9" t="str">
        <f t="shared" si="76"/>
        <v/>
      </c>
      <c r="BJ981" s="6">
        <f t="shared" si="77"/>
        <v>0</v>
      </c>
      <c r="BK981" s="6">
        <f t="shared" si="78"/>
        <v>0</v>
      </c>
      <c r="BL981" s="6">
        <f t="shared" si="79"/>
        <v>0</v>
      </c>
      <c r="BM981" s="6">
        <f t="shared" si="80"/>
        <v>0</v>
      </c>
      <c r="BN981" s="6">
        <f t="shared" si="81"/>
        <v>0</v>
      </c>
      <c r="BP981" s="6">
        <f t="shared" si="82"/>
        <v>0</v>
      </c>
      <c r="BQ981" s="6" t="b">
        <f ca="1">IFERROR(__xludf.DUMMYFUNCTION("IF(AND(ISERROR(FILTER('Items by Team'!D$2:D3410,'Items by Team'!C$2:C3410 = D981,'Items by Team'!B$2:B3410 = B981)),NOT(A981=""Practice"")),TRUE,FALSE)"),FALSE)</f>
        <v>0</v>
      </c>
      <c r="BR981" s="6">
        <f t="shared" ca="1" si="83"/>
        <v>0</v>
      </c>
    </row>
    <row r="982" spans="1:70">
      <c r="A982" s="6"/>
      <c r="B982" s="6"/>
      <c r="C982" s="6"/>
      <c r="D982" s="6"/>
      <c r="E982" s="6"/>
      <c r="F982" s="6"/>
      <c r="G982" s="6"/>
      <c r="H982" s="6"/>
      <c r="I982" s="6"/>
      <c r="J982" s="6"/>
      <c r="K982" s="6"/>
      <c r="L982" s="6"/>
      <c r="M982" s="6"/>
      <c r="N982" s="6"/>
      <c r="O982" s="6"/>
      <c r="P982" s="6"/>
      <c r="R982" s="6"/>
      <c r="S982" s="6"/>
      <c r="T982" s="6"/>
      <c r="U982" s="6"/>
      <c r="V982" s="6"/>
      <c r="W982" s="6"/>
      <c r="X982" s="6"/>
      <c r="Y982" s="6"/>
      <c r="Z982" s="6"/>
      <c r="AA982" s="6"/>
      <c r="AB982" s="6"/>
      <c r="AD982" s="6"/>
      <c r="AE982" s="6"/>
      <c r="AF982" s="6"/>
      <c r="AG982" s="6"/>
      <c r="AH982" s="6"/>
      <c r="AI982" s="6"/>
      <c r="AK982" s="6"/>
      <c r="AL982" s="6"/>
      <c r="AM982" s="6"/>
      <c r="AN982" s="6"/>
      <c r="AO982" s="6"/>
      <c r="AP982" s="6"/>
      <c r="AQ982" s="6"/>
      <c r="AR982" s="6"/>
      <c r="AS982" s="15"/>
      <c r="AT982" s="6" t="str">
        <f ca="1">IFERROR(__xludf.DUMMYFUNCTION("""COMPUTED_VALUE"""),"#N/A")</f>
        <v>#N/A</v>
      </c>
      <c r="AU982" s="6" t="str">
        <f ca="1">IFERROR(__xludf.DUMMYFUNCTION("""COMPUTED_VALUE"""),"FALSE")</f>
        <v>FALSE</v>
      </c>
      <c r="AW982" s="6">
        <f t="shared" si="64"/>
        <v>0</v>
      </c>
      <c r="AX982" s="6">
        <f t="shared" si="65"/>
        <v>0</v>
      </c>
      <c r="AY982" s="6">
        <f t="shared" si="66"/>
        <v>0</v>
      </c>
      <c r="AZ982" s="9" t="str">
        <f t="shared" si="67"/>
        <v/>
      </c>
      <c r="BA982" s="6">
        <f t="shared" si="68"/>
        <v>0</v>
      </c>
      <c r="BB982" s="6">
        <f t="shared" si="69"/>
        <v>0</v>
      </c>
      <c r="BC982" s="9" t="str">
        <f t="shared" si="70"/>
        <v/>
      </c>
      <c r="BD982" s="6">
        <f t="shared" si="71"/>
        <v>0</v>
      </c>
      <c r="BE982" s="6">
        <f t="shared" si="72"/>
        <v>0</v>
      </c>
      <c r="BF982" s="9" t="str">
        <f t="shared" si="73"/>
        <v/>
      </c>
      <c r="BG982" s="6">
        <f t="shared" si="74"/>
        <v>0</v>
      </c>
      <c r="BH982" s="6">
        <f t="shared" si="75"/>
        <v>0</v>
      </c>
      <c r="BI982" s="9" t="str">
        <f t="shared" si="76"/>
        <v/>
      </c>
      <c r="BJ982" s="6">
        <f t="shared" si="77"/>
        <v>0</v>
      </c>
      <c r="BK982" s="6">
        <f t="shared" si="78"/>
        <v>0</v>
      </c>
      <c r="BL982" s="6">
        <f t="shared" si="79"/>
        <v>0</v>
      </c>
      <c r="BM982" s="6">
        <f t="shared" si="80"/>
        <v>0</v>
      </c>
      <c r="BN982" s="6">
        <f t="shared" si="81"/>
        <v>0</v>
      </c>
      <c r="BP982" s="6">
        <f t="shared" si="82"/>
        <v>0</v>
      </c>
      <c r="BQ982" s="6" t="b">
        <f ca="1">IFERROR(__xludf.DUMMYFUNCTION("IF(AND(ISERROR(FILTER('Items by Team'!D$2:D3410,'Items by Team'!C$2:C3410 = D982,'Items by Team'!B$2:B3410 = B982)),NOT(A982=""Practice"")),TRUE,FALSE)"),FALSE)</f>
        <v>0</v>
      </c>
      <c r="BR982" s="6">
        <f t="shared" ca="1" si="83"/>
        <v>0</v>
      </c>
    </row>
    <row r="983" spans="1:70">
      <c r="A983" s="6"/>
      <c r="B983" s="6"/>
      <c r="C983" s="6"/>
      <c r="D983" s="6"/>
      <c r="E983" s="6"/>
      <c r="F983" s="6"/>
      <c r="G983" s="6"/>
      <c r="H983" s="6"/>
      <c r="I983" s="6"/>
      <c r="J983" s="6"/>
      <c r="K983" s="6"/>
      <c r="L983" s="6"/>
      <c r="M983" s="6"/>
      <c r="N983" s="6"/>
      <c r="O983" s="6"/>
      <c r="P983" s="6"/>
      <c r="R983" s="6"/>
      <c r="S983" s="6"/>
      <c r="T983" s="6"/>
      <c r="U983" s="6"/>
      <c r="V983" s="6"/>
      <c r="W983" s="6"/>
      <c r="X983" s="6"/>
      <c r="Y983" s="6"/>
      <c r="Z983" s="6"/>
      <c r="AA983" s="6"/>
      <c r="AB983" s="6"/>
      <c r="AD983" s="6"/>
      <c r="AE983" s="6"/>
      <c r="AF983" s="6"/>
      <c r="AG983" s="6"/>
      <c r="AH983" s="6"/>
      <c r="AI983" s="6"/>
      <c r="AK983" s="6"/>
      <c r="AL983" s="6"/>
      <c r="AM983" s="6"/>
      <c r="AN983" s="6"/>
      <c r="AO983" s="6"/>
      <c r="AP983" s="6"/>
      <c r="AQ983" s="6"/>
      <c r="AR983" s="6"/>
      <c r="AS983" s="15"/>
      <c r="AT983" s="6" t="str">
        <f ca="1">IFERROR(__xludf.DUMMYFUNCTION("""COMPUTED_VALUE"""),"#N/A")</f>
        <v>#N/A</v>
      </c>
      <c r="AU983" s="6" t="str">
        <f ca="1">IFERROR(__xludf.DUMMYFUNCTION("""COMPUTED_VALUE"""),"FALSE")</f>
        <v>FALSE</v>
      </c>
      <c r="AW983" s="6">
        <f t="shared" si="64"/>
        <v>0</v>
      </c>
      <c r="AX983" s="6">
        <f t="shared" si="65"/>
        <v>0</v>
      </c>
      <c r="AY983" s="6">
        <f t="shared" si="66"/>
        <v>0</v>
      </c>
      <c r="AZ983" s="9" t="str">
        <f t="shared" si="67"/>
        <v/>
      </c>
      <c r="BA983" s="6">
        <f t="shared" si="68"/>
        <v>0</v>
      </c>
      <c r="BB983" s="6">
        <f t="shared" si="69"/>
        <v>0</v>
      </c>
      <c r="BC983" s="9" t="str">
        <f t="shared" si="70"/>
        <v/>
      </c>
      <c r="BD983" s="6">
        <f t="shared" si="71"/>
        <v>0</v>
      </c>
      <c r="BE983" s="6">
        <f t="shared" si="72"/>
        <v>0</v>
      </c>
      <c r="BF983" s="9" t="str">
        <f t="shared" si="73"/>
        <v/>
      </c>
      <c r="BG983" s="6">
        <f t="shared" si="74"/>
        <v>0</v>
      </c>
      <c r="BH983" s="6">
        <f t="shared" si="75"/>
        <v>0</v>
      </c>
      <c r="BI983" s="9" t="str">
        <f t="shared" si="76"/>
        <v/>
      </c>
      <c r="BJ983" s="6">
        <f t="shared" si="77"/>
        <v>0</v>
      </c>
      <c r="BK983" s="6">
        <f t="shared" si="78"/>
        <v>0</v>
      </c>
      <c r="BL983" s="6">
        <f t="shared" si="79"/>
        <v>0</v>
      </c>
      <c r="BM983" s="6">
        <f t="shared" si="80"/>
        <v>0</v>
      </c>
      <c r="BN983" s="6">
        <f t="shared" si="81"/>
        <v>0</v>
      </c>
      <c r="BP983" s="6">
        <f t="shared" si="82"/>
        <v>0</v>
      </c>
      <c r="BQ983" s="6" t="b">
        <f ca="1">IFERROR(__xludf.DUMMYFUNCTION("IF(AND(ISERROR(FILTER('Items by Team'!D$2:D3410,'Items by Team'!C$2:C3410 = D983,'Items by Team'!B$2:B3410 = B983)),NOT(A983=""Practice"")),TRUE,FALSE)"),FALSE)</f>
        <v>0</v>
      </c>
      <c r="BR983" s="6">
        <f t="shared" ca="1" si="83"/>
        <v>0</v>
      </c>
    </row>
    <row r="984" spans="1:70">
      <c r="A984" s="6"/>
      <c r="B984" s="6"/>
      <c r="C984" s="6"/>
      <c r="D984" s="6"/>
      <c r="E984" s="6"/>
      <c r="F984" s="6"/>
      <c r="G984" s="6"/>
      <c r="H984" s="6"/>
      <c r="I984" s="6"/>
      <c r="J984" s="6"/>
      <c r="K984" s="6"/>
      <c r="L984" s="6"/>
      <c r="M984" s="6"/>
      <c r="N984" s="6"/>
      <c r="O984" s="6"/>
      <c r="P984" s="6"/>
      <c r="R984" s="6"/>
      <c r="S984" s="6"/>
      <c r="T984" s="6"/>
      <c r="U984" s="6"/>
      <c r="V984" s="6"/>
      <c r="W984" s="6"/>
      <c r="X984" s="6"/>
      <c r="Y984" s="6"/>
      <c r="Z984" s="6"/>
      <c r="AA984" s="6"/>
      <c r="AB984" s="6"/>
      <c r="AD984" s="6"/>
      <c r="AE984" s="6"/>
      <c r="AF984" s="6"/>
      <c r="AG984" s="6"/>
      <c r="AH984" s="6"/>
      <c r="AI984" s="6"/>
      <c r="AK984" s="6"/>
      <c r="AL984" s="6"/>
      <c r="AM984" s="6"/>
      <c r="AN984" s="6"/>
      <c r="AO984" s="6"/>
      <c r="AP984" s="6"/>
      <c r="AQ984" s="6"/>
      <c r="AR984" s="6"/>
      <c r="AS984" s="15"/>
      <c r="AT984" s="6" t="str">
        <f ca="1">IFERROR(__xludf.DUMMYFUNCTION("""COMPUTED_VALUE"""),"#N/A")</f>
        <v>#N/A</v>
      </c>
      <c r="AU984" s="6" t="str">
        <f ca="1">IFERROR(__xludf.DUMMYFUNCTION("""COMPUTED_VALUE"""),"FALSE")</f>
        <v>FALSE</v>
      </c>
      <c r="AW984" s="6">
        <f t="shared" si="64"/>
        <v>0</v>
      </c>
      <c r="AX984" s="6">
        <f t="shared" si="65"/>
        <v>0</v>
      </c>
      <c r="AY984" s="6">
        <f t="shared" si="66"/>
        <v>0</v>
      </c>
      <c r="AZ984" s="9" t="str">
        <f t="shared" si="67"/>
        <v/>
      </c>
      <c r="BA984" s="6">
        <f t="shared" si="68"/>
        <v>0</v>
      </c>
      <c r="BB984" s="6">
        <f t="shared" si="69"/>
        <v>0</v>
      </c>
      <c r="BC984" s="9" t="str">
        <f t="shared" si="70"/>
        <v/>
      </c>
      <c r="BD984" s="6">
        <f t="shared" si="71"/>
        <v>0</v>
      </c>
      <c r="BE984" s="6">
        <f t="shared" si="72"/>
        <v>0</v>
      </c>
      <c r="BF984" s="9" t="str">
        <f t="shared" si="73"/>
        <v/>
      </c>
      <c r="BG984" s="6">
        <f t="shared" si="74"/>
        <v>0</v>
      </c>
      <c r="BH984" s="6">
        <f t="shared" si="75"/>
        <v>0</v>
      </c>
      <c r="BI984" s="9" t="str">
        <f t="shared" si="76"/>
        <v/>
      </c>
      <c r="BJ984" s="6">
        <f t="shared" si="77"/>
        <v>0</v>
      </c>
      <c r="BK984" s="6">
        <f t="shared" si="78"/>
        <v>0</v>
      </c>
      <c r="BL984" s="6">
        <f t="shared" si="79"/>
        <v>0</v>
      </c>
      <c r="BM984" s="6">
        <f t="shared" si="80"/>
        <v>0</v>
      </c>
      <c r="BN984" s="6">
        <f t="shared" si="81"/>
        <v>0</v>
      </c>
      <c r="BP984" s="6">
        <f t="shared" si="82"/>
        <v>0</v>
      </c>
      <c r="BQ984" s="6" t="b">
        <f ca="1">IFERROR(__xludf.DUMMYFUNCTION("IF(AND(ISERROR(FILTER('Items by Team'!D$2:D3410,'Items by Team'!C$2:C3410 = D984,'Items by Team'!B$2:B3410 = B984)),NOT(A984=""Practice"")),TRUE,FALSE)"),FALSE)</f>
        <v>0</v>
      </c>
      <c r="BR984" s="6">
        <f t="shared" ca="1" si="83"/>
        <v>0</v>
      </c>
    </row>
    <row r="985" spans="1:70">
      <c r="A985" s="6"/>
      <c r="B985" s="6"/>
      <c r="C985" s="6"/>
      <c r="D985" s="6"/>
      <c r="E985" s="6"/>
      <c r="F985" s="6"/>
      <c r="G985" s="6"/>
      <c r="H985" s="6"/>
      <c r="I985" s="6"/>
      <c r="J985" s="6"/>
      <c r="K985" s="6"/>
      <c r="L985" s="6"/>
      <c r="M985" s="6"/>
      <c r="N985" s="6"/>
      <c r="O985" s="6"/>
      <c r="P985" s="6"/>
      <c r="R985" s="6"/>
      <c r="S985" s="6"/>
      <c r="T985" s="6"/>
      <c r="U985" s="6"/>
      <c r="V985" s="6"/>
      <c r="W985" s="6"/>
      <c r="X985" s="6"/>
      <c r="Y985" s="6"/>
      <c r="Z985" s="6"/>
      <c r="AA985" s="6"/>
      <c r="AB985" s="6"/>
      <c r="AD985" s="6"/>
      <c r="AE985" s="6"/>
      <c r="AF985" s="6"/>
      <c r="AG985" s="6"/>
      <c r="AH985" s="6"/>
      <c r="AI985" s="6"/>
      <c r="AK985" s="6"/>
      <c r="AL985" s="6"/>
      <c r="AM985" s="6"/>
      <c r="AN985" s="6"/>
      <c r="AO985" s="6"/>
      <c r="AP985" s="6"/>
      <c r="AQ985" s="6"/>
      <c r="AR985" s="6"/>
      <c r="AS985" s="15"/>
      <c r="AT985" s="6" t="str">
        <f ca="1">IFERROR(__xludf.DUMMYFUNCTION("""COMPUTED_VALUE"""),"#N/A")</f>
        <v>#N/A</v>
      </c>
      <c r="AU985" s="6" t="str">
        <f ca="1">IFERROR(__xludf.DUMMYFUNCTION("""COMPUTED_VALUE"""),"FALSE")</f>
        <v>FALSE</v>
      </c>
      <c r="AW985" s="6">
        <f t="shared" si="64"/>
        <v>0</v>
      </c>
      <c r="AX985" s="6">
        <f t="shared" si="65"/>
        <v>0</v>
      </c>
      <c r="AY985" s="6">
        <f t="shared" si="66"/>
        <v>0</v>
      </c>
      <c r="AZ985" s="9" t="str">
        <f t="shared" si="67"/>
        <v/>
      </c>
      <c r="BA985" s="6">
        <f t="shared" si="68"/>
        <v>0</v>
      </c>
      <c r="BB985" s="6">
        <f t="shared" si="69"/>
        <v>0</v>
      </c>
      <c r="BC985" s="9" t="str">
        <f t="shared" si="70"/>
        <v/>
      </c>
      <c r="BD985" s="6">
        <f t="shared" si="71"/>
        <v>0</v>
      </c>
      <c r="BE985" s="6">
        <f t="shared" si="72"/>
        <v>0</v>
      </c>
      <c r="BF985" s="9" t="str">
        <f t="shared" si="73"/>
        <v/>
      </c>
      <c r="BG985" s="6">
        <f t="shared" si="74"/>
        <v>0</v>
      </c>
      <c r="BH985" s="6">
        <f t="shared" si="75"/>
        <v>0</v>
      </c>
      <c r="BI985" s="9" t="str">
        <f t="shared" si="76"/>
        <v/>
      </c>
      <c r="BJ985" s="6">
        <f t="shared" si="77"/>
        <v>0</v>
      </c>
      <c r="BK985" s="6">
        <f t="shared" si="78"/>
        <v>0</v>
      </c>
      <c r="BL985" s="6">
        <f t="shared" si="79"/>
        <v>0</v>
      </c>
      <c r="BM985" s="6">
        <f t="shared" si="80"/>
        <v>0</v>
      </c>
      <c r="BN985" s="6">
        <f t="shared" si="81"/>
        <v>0</v>
      </c>
      <c r="BP985" s="6">
        <f t="shared" si="82"/>
        <v>0</v>
      </c>
      <c r="BQ985" s="6" t="b">
        <f ca="1">IFERROR(__xludf.DUMMYFUNCTION("IF(AND(ISERROR(FILTER('Items by Team'!D$2:D3410,'Items by Team'!C$2:C3410 = D985,'Items by Team'!B$2:B3410 = B985)),NOT(A985=""Practice"")),TRUE,FALSE)"),FALSE)</f>
        <v>0</v>
      </c>
      <c r="BR985" s="6">
        <f t="shared" ca="1" si="83"/>
        <v>0</v>
      </c>
    </row>
    <row r="986" spans="1:70">
      <c r="A986" s="6"/>
      <c r="B986" s="6"/>
      <c r="C986" s="6"/>
      <c r="D986" s="6"/>
      <c r="E986" s="6"/>
      <c r="F986" s="6"/>
      <c r="G986" s="6"/>
      <c r="H986" s="6"/>
      <c r="I986" s="6"/>
      <c r="J986" s="6"/>
      <c r="K986" s="6"/>
      <c r="L986" s="6"/>
      <c r="M986" s="6"/>
      <c r="N986" s="6"/>
      <c r="O986" s="6"/>
      <c r="P986" s="6"/>
      <c r="R986" s="6"/>
      <c r="S986" s="6"/>
      <c r="T986" s="6"/>
      <c r="U986" s="6"/>
      <c r="V986" s="6"/>
      <c r="W986" s="6"/>
      <c r="X986" s="6"/>
      <c r="Y986" s="6"/>
      <c r="Z986" s="6"/>
      <c r="AA986" s="6"/>
      <c r="AB986" s="6"/>
      <c r="AD986" s="6"/>
      <c r="AE986" s="6"/>
      <c r="AF986" s="6"/>
      <c r="AG986" s="6"/>
      <c r="AH986" s="6"/>
      <c r="AI986" s="6"/>
      <c r="AK986" s="6"/>
      <c r="AL986" s="6"/>
      <c r="AM986" s="6"/>
      <c r="AN986" s="6"/>
      <c r="AO986" s="6"/>
      <c r="AP986" s="6"/>
      <c r="AQ986" s="6"/>
      <c r="AR986" s="6"/>
      <c r="AS986" s="15"/>
      <c r="AT986" s="6" t="str">
        <f ca="1">IFERROR(__xludf.DUMMYFUNCTION("""COMPUTED_VALUE"""),"#N/A")</f>
        <v>#N/A</v>
      </c>
      <c r="AU986" s="6" t="str">
        <f ca="1">IFERROR(__xludf.DUMMYFUNCTION("""COMPUTED_VALUE"""),"FALSE")</f>
        <v>FALSE</v>
      </c>
      <c r="AW986" s="6">
        <f t="shared" si="64"/>
        <v>0</v>
      </c>
      <c r="AX986" s="6">
        <f t="shared" si="65"/>
        <v>0</v>
      </c>
      <c r="AY986" s="6">
        <f t="shared" si="66"/>
        <v>0</v>
      </c>
      <c r="AZ986" s="9" t="str">
        <f t="shared" si="67"/>
        <v/>
      </c>
      <c r="BA986" s="6">
        <f t="shared" si="68"/>
        <v>0</v>
      </c>
      <c r="BB986" s="6">
        <f t="shared" si="69"/>
        <v>0</v>
      </c>
      <c r="BC986" s="9" t="str">
        <f t="shared" si="70"/>
        <v/>
      </c>
      <c r="BD986" s="6">
        <f t="shared" si="71"/>
        <v>0</v>
      </c>
      <c r="BE986" s="6">
        <f t="shared" si="72"/>
        <v>0</v>
      </c>
      <c r="BF986" s="9" t="str">
        <f t="shared" si="73"/>
        <v/>
      </c>
      <c r="BG986" s="6">
        <f t="shared" si="74"/>
        <v>0</v>
      </c>
      <c r="BH986" s="6">
        <f t="shared" si="75"/>
        <v>0</v>
      </c>
      <c r="BI986" s="9" t="str">
        <f t="shared" si="76"/>
        <v/>
      </c>
      <c r="BJ986" s="6">
        <f t="shared" si="77"/>
        <v>0</v>
      </c>
      <c r="BK986" s="6">
        <f t="shared" si="78"/>
        <v>0</v>
      </c>
      <c r="BL986" s="6">
        <f t="shared" si="79"/>
        <v>0</v>
      </c>
      <c r="BM986" s="6">
        <f t="shared" si="80"/>
        <v>0</v>
      </c>
      <c r="BN986" s="6">
        <f t="shared" si="81"/>
        <v>0</v>
      </c>
      <c r="BP986" s="6">
        <f t="shared" si="82"/>
        <v>0</v>
      </c>
      <c r="BQ986" s="6" t="b">
        <f ca="1">IFERROR(__xludf.DUMMYFUNCTION("IF(AND(ISERROR(FILTER('Items by Team'!D$2:D3410,'Items by Team'!C$2:C3410 = D986,'Items by Team'!B$2:B3410 = B986)),NOT(A986=""Practice"")),TRUE,FALSE)"),FALSE)</f>
        <v>0</v>
      </c>
      <c r="BR986" s="6">
        <f t="shared" ca="1" si="83"/>
        <v>0</v>
      </c>
    </row>
    <row r="987" spans="1:70">
      <c r="A987" s="6"/>
      <c r="B987" s="6"/>
      <c r="C987" s="6"/>
      <c r="D987" s="6"/>
      <c r="E987" s="6"/>
      <c r="F987" s="6"/>
      <c r="G987" s="6"/>
      <c r="H987" s="6"/>
      <c r="I987" s="6"/>
      <c r="J987" s="6"/>
      <c r="K987" s="6"/>
      <c r="L987" s="6"/>
      <c r="M987" s="6"/>
      <c r="N987" s="6"/>
      <c r="O987" s="6"/>
      <c r="P987" s="6"/>
      <c r="R987" s="6"/>
      <c r="S987" s="6"/>
      <c r="T987" s="6"/>
      <c r="U987" s="6"/>
      <c r="V987" s="6"/>
      <c r="W987" s="6"/>
      <c r="X987" s="6"/>
      <c r="Y987" s="6"/>
      <c r="Z987" s="6"/>
      <c r="AA987" s="6"/>
      <c r="AB987" s="6"/>
      <c r="AD987" s="6"/>
      <c r="AE987" s="6"/>
      <c r="AF987" s="6"/>
      <c r="AG987" s="6"/>
      <c r="AH987" s="6"/>
      <c r="AI987" s="6"/>
      <c r="AK987" s="6"/>
      <c r="AL987" s="6"/>
      <c r="AM987" s="6"/>
      <c r="AN987" s="6"/>
      <c r="AO987" s="6"/>
      <c r="AP987" s="6"/>
      <c r="AQ987" s="6"/>
      <c r="AR987" s="6"/>
      <c r="AS987" s="15"/>
      <c r="AT987" s="6" t="str">
        <f ca="1">IFERROR(__xludf.DUMMYFUNCTION("""COMPUTED_VALUE"""),"#N/A")</f>
        <v>#N/A</v>
      </c>
      <c r="AU987" s="6" t="str">
        <f ca="1">IFERROR(__xludf.DUMMYFUNCTION("""COMPUTED_VALUE"""),"FALSE")</f>
        <v>FALSE</v>
      </c>
      <c r="AW987" s="6">
        <f t="shared" si="64"/>
        <v>0</v>
      </c>
      <c r="AX987" s="6">
        <f t="shared" si="65"/>
        <v>0</v>
      </c>
      <c r="AY987" s="6">
        <f t="shared" si="66"/>
        <v>0</v>
      </c>
      <c r="AZ987" s="9" t="str">
        <f t="shared" si="67"/>
        <v/>
      </c>
      <c r="BA987" s="6">
        <f t="shared" si="68"/>
        <v>0</v>
      </c>
      <c r="BB987" s="6">
        <f t="shared" si="69"/>
        <v>0</v>
      </c>
      <c r="BC987" s="9" t="str">
        <f t="shared" si="70"/>
        <v/>
      </c>
      <c r="BD987" s="6">
        <f t="shared" si="71"/>
        <v>0</v>
      </c>
      <c r="BE987" s="6">
        <f t="shared" si="72"/>
        <v>0</v>
      </c>
      <c r="BF987" s="9" t="str">
        <f t="shared" si="73"/>
        <v/>
      </c>
      <c r="BG987" s="6">
        <f t="shared" si="74"/>
        <v>0</v>
      </c>
      <c r="BH987" s="6">
        <f t="shared" si="75"/>
        <v>0</v>
      </c>
      <c r="BI987" s="9" t="str">
        <f t="shared" si="76"/>
        <v/>
      </c>
      <c r="BJ987" s="6">
        <f t="shared" si="77"/>
        <v>0</v>
      </c>
      <c r="BK987" s="6">
        <f t="shared" si="78"/>
        <v>0</v>
      </c>
      <c r="BL987" s="6">
        <f t="shared" si="79"/>
        <v>0</v>
      </c>
      <c r="BM987" s="6">
        <f t="shared" si="80"/>
        <v>0</v>
      </c>
      <c r="BN987" s="6">
        <f t="shared" si="81"/>
        <v>0</v>
      </c>
      <c r="BP987" s="6">
        <f t="shared" si="82"/>
        <v>0</v>
      </c>
      <c r="BQ987" s="6" t="b">
        <f ca="1">IFERROR(__xludf.DUMMYFUNCTION("IF(AND(ISERROR(FILTER('Items by Team'!D$2:D3410,'Items by Team'!C$2:C3410 = D987,'Items by Team'!B$2:B3410 = B987)),NOT(A987=""Practice"")),TRUE,FALSE)"),FALSE)</f>
        <v>0</v>
      </c>
      <c r="BR987" s="6">
        <f t="shared" ca="1" si="83"/>
        <v>0</v>
      </c>
    </row>
    <row r="988" spans="1:70">
      <c r="A988" s="6"/>
      <c r="B988" s="6"/>
      <c r="C988" s="6"/>
      <c r="D988" s="6"/>
      <c r="E988" s="6"/>
      <c r="F988" s="6"/>
      <c r="G988" s="6"/>
      <c r="H988" s="6"/>
      <c r="I988" s="6"/>
      <c r="J988" s="6"/>
      <c r="K988" s="6"/>
      <c r="L988" s="6"/>
      <c r="M988" s="6"/>
      <c r="N988" s="6"/>
      <c r="O988" s="6"/>
      <c r="P988" s="6"/>
      <c r="R988" s="6"/>
      <c r="S988" s="6"/>
      <c r="T988" s="6"/>
      <c r="U988" s="6"/>
      <c r="V988" s="6"/>
      <c r="W988" s="6"/>
      <c r="X988" s="6"/>
      <c r="Y988" s="6"/>
      <c r="Z988" s="6"/>
      <c r="AA988" s="6"/>
      <c r="AB988" s="6"/>
      <c r="AD988" s="6"/>
      <c r="AE988" s="6"/>
      <c r="AF988" s="6"/>
      <c r="AG988" s="6"/>
      <c r="AH988" s="6"/>
      <c r="AI988" s="6"/>
      <c r="AK988" s="6"/>
      <c r="AL988" s="6"/>
      <c r="AM988" s="6"/>
      <c r="AN988" s="6"/>
      <c r="AO988" s="6"/>
      <c r="AP988" s="6"/>
      <c r="AQ988" s="6"/>
      <c r="AR988" s="6"/>
      <c r="AS988" s="15"/>
      <c r="AT988" s="6" t="str">
        <f ca="1">IFERROR(__xludf.DUMMYFUNCTION("""COMPUTED_VALUE"""),"#N/A")</f>
        <v>#N/A</v>
      </c>
      <c r="AU988" s="6" t="str">
        <f ca="1">IFERROR(__xludf.DUMMYFUNCTION("""COMPUTED_VALUE"""),"FALSE")</f>
        <v>FALSE</v>
      </c>
      <c r="AW988" s="6">
        <f t="shared" si="64"/>
        <v>0</v>
      </c>
      <c r="AX988" s="6">
        <f t="shared" si="65"/>
        <v>0</v>
      </c>
      <c r="AY988" s="6">
        <f t="shared" si="66"/>
        <v>0</v>
      </c>
      <c r="AZ988" s="9" t="str">
        <f t="shared" si="67"/>
        <v/>
      </c>
      <c r="BA988" s="6">
        <f t="shared" si="68"/>
        <v>0</v>
      </c>
      <c r="BB988" s="6">
        <f t="shared" si="69"/>
        <v>0</v>
      </c>
      <c r="BC988" s="9" t="str">
        <f t="shared" si="70"/>
        <v/>
      </c>
      <c r="BD988" s="6">
        <f t="shared" si="71"/>
        <v>0</v>
      </c>
      <c r="BE988" s="6">
        <f t="shared" si="72"/>
        <v>0</v>
      </c>
      <c r="BF988" s="9" t="str">
        <f t="shared" si="73"/>
        <v/>
      </c>
      <c r="BG988" s="6">
        <f t="shared" si="74"/>
        <v>0</v>
      </c>
      <c r="BH988" s="6">
        <f t="shared" si="75"/>
        <v>0</v>
      </c>
      <c r="BI988" s="9" t="str">
        <f t="shared" si="76"/>
        <v/>
      </c>
      <c r="BJ988" s="6">
        <f t="shared" si="77"/>
        <v>0</v>
      </c>
      <c r="BK988" s="6">
        <f t="shared" si="78"/>
        <v>0</v>
      </c>
      <c r="BL988" s="6">
        <f t="shared" si="79"/>
        <v>0</v>
      </c>
      <c r="BM988" s="6">
        <f t="shared" si="80"/>
        <v>0</v>
      </c>
      <c r="BN988" s="6">
        <f t="shared" si="81"/>
        <v>0</v>
      </c>
      <c r="BP988" s="6">
        <f t="shared" si="82"/>
        <v>0</v>
      </c>
      <c r="BQ988" s="6" t="b">
        <f ca="1">IFERROR(__xludf.DUMMYFUNCTION("IF(AND(ISERROR(FILTER('Items by Team'!D$2:D3410,'Items by Team'!C$2:C3410 = D988,'Items by Team'!B$2:B3410 = B988)),NOT(A988=""Practice"")),TRUE,FALSE)"),FALSE)</f>
        <v>0</v>
      </c>
      <c r="BR988" s="6">
        <f t="shared" ca="1" si="83"/>
        <v>0</v>
      </c>
    </row>
    <row r="989" spans="1:70">
      <c r="A989" s="6"/>
      <c r="B989" s="6"/>
      <c r="C989" s="6"/>
      <c r="D989" s="6"/>
      <c r="E989" s="6"/>
      <c r="F989" s="6"/>
      <c r="G989" s="6"/>
      <c r="H989" s="6"/>
      <c r="I989" s="6"/>
      <c r="J989" s="6"/>
      <c r="K989" s="6"/>
      <c r="L989" s="6"/>
      <c r="M989" s="6"/>
      <c r="N989" s="6"/>
      <c r="O989" s="6"/>
      <c r="P989" s="6"/>
      <c r="R989" s="6"/>
      <c r="S989" s="6"/>
      <c r="T989" s="6"/>
      <c r="U989" s="6"/>
      <c r="V989" s="6"/>
      <c r="W989" s="6"/>
      <c r="X989" s="6"/>
      <c r="Y989" s="6"/>
      <c r="Z989" s="6"/>
      <c r="AA989" s="6"/>
      <c r="AB989" s="6"/>
      <c r="AD989" s="6"/>
      <c r="AE989" s="6"/>
      <c r="AF989" s="6"/>
      <c r="AG989" s="6"/>
      <c r="AH989" s="6"/>
      <c r="AI989" s="6"/>
      <c r="AK989" s="6"/>
      <c r="AL989" s="6"/>
      <c r="AM989" s="6"/>
      <c r="AN989" s="6"/>
      <c r="AO989" s="6"/>
      <c r="AP989" s="6"/>
      <c r="AQ989" s="6"/>
      <c r="AR989" s="6"/>
      <c r="AS989" s="15"/>
      <c r="AT989" s="6" t="str">
        <f ca="1">IFERROR(__xludf.DUMMYFUNCTION("""COMPUTED_VALUE"""),"#N/A")</f>
        <v>#N/A</v>
      </c>
      <c r="AU989" s="6" t="str">
        <f ca="1">IFERROR(__xludf.DUMMYFUNCTION("""COMPUTED_VALUE"""),"FALSE")</f>
        <v>FALSE</v>
      </c>
      <c r="AW989" s="6">
        <f t="shared" si="64"/>
        <v>0</v>
      </c>
      <c r="AX989" s="6">
        <f t="shared" si="65"/>
        <v>0</v>
      </c>
      <c r="AY989" s="6">
        <f t="shared" si="66"/>
        <v>0</v>
      </c>
      <c r="AZ989" s="9" t="str">
        <f t="shared" si="67"/>
        <v/>
      </c>
      <c r="BA989" s="6">
        <f t="shared" si="68"/>
        <v>0</v>
      </c>
      <c r="BB989" s="6">
        <f t="shared" si="69"/>
        <v>0</v>
      </c>
      <c r="BC989" s="9" t="str">
        <f t="shared" si="70"/>
        <v/>
      </c>
      <c r="BD989" s="6">
        <f t="shared" si="71"/>
        <v>0</v>
      </c>
      <c r="BE989" s="6">
        <f t="shared" si="72"/>
        <v>0</v>
      </c>
      <c r="BF989" s="9" t="str">
        <f t="shared" si="73"/>
        <v/>
      </c>
      <c r="BG989" s="6">
        <f t="shared" si="74"/>
        <v>0</v>
      </c>
      <c r="BH989" s="6">
        <f t="shared" si="75"/>
        <v>0</v>
      </c>
      <c r="BI989" s="9" t="str">
        <f t="shared" si="76"/>
        <v/>
      </c>
      <c r="BJ989" s="6">
        <f t="shared" si="77"/>
        <v>0</v>
      </c>
      <c r="BK989" s="6">
        <f t="shared" si="78"/>
        <v>0</v>
      </c>
      <c r="BL989" s="6">
        <f t="shared" si="79"/>
        <v>0</v>
      </c>
      <c r="BM989" s="6">
        <f t="shared" si="80"/>
        <v>0</v>
      </c>
      <c r="BN989" s="6">
        <f t="shared" si="81"/>
        <v>0</v>
      </c>
      <c r="BP989" s="6">
        <f t="shared" si="82"/>
        <v>0</v>
      </c>
      <c r="BQ989" s="6" t="b">
        <f ca="1">IFERROR(__xludf.DUMMYFUNCTION("IF(AND(ISERROR(FILTER('Items by Team'!D$2:D3410,'Items by Team'!C$2:C3410 = D989,'Items by Team'!B$2:B3410 = B989)),NOT(A989=""Practice"")),TRUE,FALSE)"),FALSE)</f>
        <v>0</v>
      </c>
      <c r="BR989" s="6">
        <f t="shared" ca="1" si="83"/>
        <v>0</v>
      </c>
    </row>
    <row r="990" spans="1:70">
      <c r="A990" s="6"/>
      <c r="B990" s="6"/>
      <c r="C990" s="6"/>
      <c r="D990" s="6"/>
      <c r="E990" s="6"/>
      <c r="F990" s="6"/>
      <c r="G990" s="6"/>
      <c r="H990" s="6"/>
      <c r="I990" s="6"/>
      <c r="J990" s="6"/>
      <c r="K990" s="6"/>
      <c r="L990" s="6"/>
      <c r="M990" s="6"/>
      <c r="N990" s="6"/>
      <c r="O990" s="6"/>
      <c r="P990" s="6"/>
      <c r="R990" s="6"/>
      <c r="S990" s="6"/>
      <c r="T990" s="6"/>
      <c r="U990" s="6"/>
      <c r="V990" s="6"/>
      <c r="W990" s="6"/>
      <c r="X990" s="6"/>
      <c r="Y990" s="6"/>
      <c r="Z990" s="6"/>
      <c r="AA990" s="6"/>
      <c r="AB990" s="6"/>
      <c r="AD990" s="6"/>
      <c r="AE990" s="6"/>
      <c r="AF990" s="6"/>
      <c r="AG990" s="6"/>
      <c r="AH990" s="6"/>
      <c r="AI990" s="6"/>
      <c r="AK990" s="6"/>
      <c r="AL990" s="6"/>
      <c r="AM990" s="6"/>
      <c r="AN990" s="6"/>
      <c r="AO990" s="6"/>
      <c r="AP990" s="6"/>
      <c r="AQ990" s="6"/>
      <c r="AR990" s="6"/>
      <c r="AS990" s="15"/>
      <c r="AT990" s="6" t="str">
        <f ca="1">IFERROR(__xludf.DUMMYFUNCTION("""COMPUTED_VALUE"""),"#N/A")</f>
        <v>#N/A</v>
      </c>
      <c r="AU990" s="6" t="str">
        <f ca="1">IFERROR(__xludf.DUMMYFUNCTION("""COMPUTED_VALUE"""),"FALSE")</f>
        <v>FALSE</v>
      </c>
      <c r="AW990" s="6">
        <f t="shared" si="64"/>
        <v>0</v>
      </c>
      <c r="AX990" s="6">
        <f t="shared" si="65"/>
        <v>0</v>
      </c>
      <c r="AY990" s="6">
        <f t="shared" si="66"/>
        <v>0</v>
      </c>
      <c r="AZ990" s="9" t="str">
        <f t="shared" si="67"/>
        <v/>
      </c>
      <c r="BA990" s="6">
        <f t="shared" si="68"/>
        <v>0</v>
      </c>
      <c r="BB990" s="6">
        <f t="shared" si="69"/>
        <v>0</v>
      </c>
      <c r="BC990" s="9" t="str">
        <f t="shared" si="70"/>
        <v/>
      </c>
      <c r="BD990" s="6">
        <f t="shared" si="71"/>
        <v>0</v>
      </c>
      <c r="BE990" s="6">
        <f t="shared" si="72"/>
        <v>0</v>
      </c>
      <c r="BF990" s="9" t="str">
        <f t="shared" si="73"/>
        <v/>
      </c>
      <c r="BG990" s="6">
        <f t="shared" si="74"/>
        <v>0</v>
      </c>
      <c r="BH990" s="6">
        <f t="shared" si="75"/>
        <v>0</v>
      </c>
      <c r="BI990" s="9" t="str">
        <f t="shared" si="76"/>
        <v/>
      </c>
      <c r="BJ990" s="6">
        <f t="shared" si="77"/>
        <v>0</v>
      </c>
      <c r="BK990" s="6">
        <f t="shared" si="78"/>
        <v>0</v>
      </c>
      <c r="BL990" s="6">
        <f t="shared" si="79"/>
        <v>0</v>
      </c>
      <c r="BM990" s="6">
        <f t="shared" si="80"/>
        <v>0</v>
      </c>
      <c r="BN990" s="6">
        <f t="shared" si="81"/>
        <v>0</v>
      </c>
      <c r="BP990" s="6">
        <f t="shared" si="82"/>
        <v>0</v>
      </c>
      <c r="BQ990" s="6" t="b">
        <f ca="1">IFERROR(__xludf.DUMMYFUNCTION("IF(AND(ISERROR(FILTER('Items by Team'!D$2:D3410,'Items by Team'!C$2:C3410 = D990,'Items by Team'!B$2:B3410 = B990)),NOT(A990=""Practice"")),TRUE,FALSE)"),FALSE)</f>
        <v>0</v>
      </c>
      <c r="BR990" s="6">
        <f t="shared" ca="1" si="83"/>
        <v>0</v>
      </c>
    </row>
    <row r="991" spans="1:70">
      <c r="A991" s="6"/>
      <c r="B991" s="6"/>
      <c r="C991" s="6"/>
      <c r="D991" s="6"/>
      <c r="E991" s="6"/>
      <c r="F991" s="6"/>
      <c r="G991" s="6"/>
      <c r="H991" s="6"/>
      <c r="I991" s="6"/>
      <c r="J991" s="6"/>
      <c r="K991" s="6"/>
      <c r="L991" s="6"/>
      <c r="M991" s="6"/>
      <c r="N991" s="6"/>
      <c r="O991" s="6"/>
      <c r="P991" s="6"/>
      <c r="R991" s="6"/>
      <c r="S991" s="6"/>
      <c r="T991" s="6"/>
      <c r="U991" s="6"/>
      <c r="V991" s="6"/>
      <c r="W991" s="6"/>
      <c r="X991" s="6"/>
      <c r="Y991" s="6"/>
      <c r="Z991" s="6"/>
      <c r="AA991" s="6"/>
      <c r="AB991" s="6"/>
      <c r="AD991" s="6"/>
      <c r="AE991" s="6"/>
      <c r="AF991" s="6"/>
      <c r="AG991" s="6"/>
      <c r="AH991" s="6"/>
      <c r="AI991" s="6"/>
      <c r="AK991" s="6"/>
      <c r="AL991" s="6"/>
      <c r="AM991" s="6"/>
      <c r="AN991" s="6"/>
      <c r="AO991" s="6"/>
      <c r="AP991" s="6"/>
      <c r="AQ991" s="6"/>
      <c r="AR991" s="6"/>
      <c r="AS991" s="15"/>
      <c r="AT991" s="6" t="str">
        <f ca="1">IFERROR(__xludf.DUMMYFUNCTION("""COMPUTED_VALUE"""),"#N/A")</f>
        <v>#N/A</v>
      </c>
      <c r="AU991" s="6" t="str">
        <f ca="1">IFERROR(__xludf.DUMMYFUNCTION("""COMPUTED_VALUE"""),"FALSE")</f>
        <v>FALSE</v>
      </c>
      <c r="AW991" s="6">
        <f t="shared" si="64"/>
        <v>0</v>
      </c>
      <c r="AX991" s="6">
        <f t="shared" si="65"/>
        <v>0</v>
      </c>
      <c r="AY991" s="6">
        <f t="shared" si="66"/>
        <v>0</v>
      </c>
      <c r="AZ991" s="9" t="str">
        <f t="shared" si="67"/>
        <v/>
      </c>
      <c r="BA991" s="6">
        <f t="shared" si="68"/>
        <v>0</v>
      </c>
      <c r="BB991" s="6">
        <f t="shared" si="69"/>
        <v>0</v>
      </c>
      <c r="BC991" s="9" t="str">
        <f t="shared" si="70"/>
        <v/>
      </c>
      <c r="BD991" s="6">
        <f t="shared" si="71"/>
        <v>0</v>
      </c>
      <c r="BE991" s="6">
        <f t="shared" si="72"/>
        <v>0</v>
      </c>
      <c r="BF991" s="9" t="str">
        <f t="shared" si="73"/>
        <v/>
      </c>
      <c r="BG991" s="6">
        <f t="shared" si="74"/>
        <v>0</v>
      </c>
      <c r="BH991" s="6">
        <f t="shared" si="75"/>
        <v>0</v>
      </c>
      <c r="BI991" s="9" t="str">
        <f t="shared" si="76"/>
        <v/>
      </c>
      <c r="BJ991" s="6">
        <f t="shared" si="77"/>
        <v>0</v>
      </c>
      <c r="BK991" s="6">
        <f t="shared" si="78"/>
        <v>0</v>
      </c>
      <c r="BL991" s="6">
        <f t="shared" si="79"/>
        <v>0</v>
      </c>
      <c r="BM991" s="6">
        <f t="shared" si="80"/>
        <v>0</v>
      </c>
      <c r="BN991" s="6">
        <f t="shared" si="81"/>
        <v>0</v>
      </c>
      <c r="BP991" s="6">
        <f t="shared" si="82"/>
        <v>0</v>
      </c>
      <c r="BQ991" s="6" t="b">
        <f ca="1">IFERROR(__xludf.DUMMYFUNCTION("IF(AND(ISERROR(FILTER('Items by Team'!D$2:D3410,'Items by Team'!C$2:C3410 = D991,'Items by Team'!B$2:B3410 = B991)),NOT(A991=""Practice"")),TRUE,FALSE)"),FALSE)</f>
        <v>0</v>
      </c>
      <c r="BR991" s="6">
        <f t="shared" ca="1" si="83"/>
        <v>0</v>
      </c>
    </row>
    <row r="992" spans="1:70">
      <c r="A992" s="6"/>
      <c r="B992" s="6"/>
      <c r="C992" s="6"/>
      <c r="D992" s="6"/>
      <c r="E992" s="6"/>
      <c r="F992" s="6"/>
      <c r="G992" s="6"/>
      <c r="H992" s="6"/>
      <c r="I992" s="6"/>
      <c r="J992" s="6"/>
      <c r="K992" s="6"/>
      <c r="L992" s="6"/>
      <c r="M992" s="6"/>
      <c r="N992" s="6"/>
      <c r="O992" s="6"/>
      <c r="P992" s="6"/>
      <c r="R992" s="6"/>
      <c r="S992" s="6"/>
      <c r="T992" s="6"/>
      <c r="U992" s="6"/>
      <c r="V992" s="6"/>
      <c r="W992" s="6"/>
      <c r="X992" s="6"/>
      <c r="Y992" s="6"/>
      <c r="Z992" s="6"/>
      <c r="AA992" s="6"/>
      <c r="AB992" s="6"/>
      <c r="AD992" s="6"/>
      <c r="AE992" s="6"/>
      <c r="AF992" s="6"/>
      <c r="AG992" s="6"/>
      <c r="AH992" s="6"/>
      <c r="AI992" s="6"/>
      <c r="AK992" s="6"/>
      <c r="AL992" s="6"/>
      <c r="AM992" s="6"/>
      <c r="AN992" s="6"/>
      <c r="AO992" s="6"/>
      <c r="AP992" s="6"/>
      <c r="AQ992" s="6"/>
      <c r="AR992" s="6"/>
      <c r="AS992" s="15"/>
      <c r="AT992" s="6" t="str">
        <f ca="1">IFERROR(__xludf.DUMMYFUNCTION("""COMPUTED_VALUE"""),"#N/A")</f>
        <v>#N/A</v>
      </c>
      <c r="AU992" s="6" t="str">
        <f ca="1">IFERROR(__xludf.DUMMYFUNCTION("""COMPUTED_VALUE"""),"FALSE")</f>
        <v>FALSE</v>
      </c>
      <c r="AW992" s="6">
        <f t="shared" si="64"/>
        <v>0</v>
      </c>
      <c r="AX992" s="6">
        <f t="shared" si="65"/>
        <v>0</v>
      </c>
      <c r="AY992" s="6">
        <f t="shared" si="66"/>
        <v>0</v>
      </c>
      <c r="AZ992" s="9" t="str">
        <f t="shared" si="67"/>
        <v/>
      </c>
      <c r="BA992" s="6">
        <f t="shared" si="68"/>
        <v>0</v>
      </c>
      <c r="BB992" s="6">
        <f t="shared" si="69"/>
        <v>0</v>
      </c>
      <c r="BC992" s="9" t="str">
        <f t="shared" si="70"/>
        <v/>
      </c>
      <c r="BD992" s="6">
        <f t="shared" si="71"/>
        <v>0</v>
      </c>
      <c r="BE992" s="6">
        <f t="shared" si="72"/>
        <v>0</v>
      </c>
      <c r="BF992" s="9" t="str">
        <f t="shared" si="73"/>
        <v/>
      </c>
      <c r="BG992" s="6">
        <f t="shared" si="74"/>
        <v>0</v>
      </c>
      <c r="BH992" s="6">
        <f t="shared" si="75"/>
        <v>0</v>
      </c>
      <c r="BI992" s="9" t="str">
        <f t="shared" si="76"/>
        <v/>
      </c>
      <c r="BJ992" s="6">
        <f t="shared" si="77"/>
        <v>0</v>
      </c>
      <c r="BK992" s="6">
        <f t="shared" si="78"/>
        <v>0</v>
      </c>
      <c r="BL992" s="6">
        <f t="shared" si="79"/>
        <v>0</v>
      </c>
      <c r="BM992" s="6">
        <f t="shared" si="80"/>
        <v>0</v>
      </c>
      <c r="BN992" s="6">
        <f t="shared" si="81"/>
        <v>0</v>
      </c>
      <c r="BP992" s="6">
        <f t="shared" si="82"/>
        <v>0</v>
      </c>
      <c r="BQ992" s="6" t="b">
        <f ca="1">IFERROR(__xludf.DUMMYFUNCTION("IF(AND(ISERROR(FILTER('Items by Team'!D$2:D3410,'Items by Team'!C$2:C3410 = D992,'Items by Team'!B$2:B3410 = B992)),NOT(A992=""Practice"")),TRUE,FALSE)"),FALSE)</f>
        <v>0</v>
      </c>
      <c r="BR992" s="6">
        <f t="shared" ca="1" si="83"/>
        <v>0</v>
      </c>
    </row>
    <row r="993" spans="1:70">
      <c r="A993" s="6"/>
      <c r="B993" s="6"/>
      <c r="C993" s="6"/>
      <c r="D993" s="6"/>
      <c r="E993" s="6"/>
      <c r="F993" s="6"/>
      <c r="G993" s="6"/>
      <c r="H993" s="6"/>
      <c r="I993" s="6"/>
      <c r="J993" s="6"/>
      <c r="K993" s="6"/>
      <c r="L993" s="6"/>
      <c r="M993" s="6"/>
      <c r="N993" s="6"/>
      <c r="O993" s="6"/>
      <c r="P993" s="6"/>
      <c r="R993" s="6"/>
      <c r="S993" s="6"/>
      <c r="T993" s="6"/>
      <c r="U993" s="6"/>
      <c r="V993" s="6"/>
      <c r="W993" s="6"/>
      <c r="X993" s="6"/>
      <c r="Y993" s="6"/>
      <c r="Z993" s="6"/>
      <c r="AA993" s="6"/>
      <c r="AB993" s="6"/>
      <c r="AD993" s="6"/>
      <c r="AE993" s="6"/>
      <c r="AF993" s="6"/>
      <c r="AG993" s="6"/>
      <c r="AH993" s="6"/>
      <c r="AI993" s="6"/>
      <c r="AK993" s="6"/>
      <c r="AL993" s="6"/>
      <c r="AM993" s="6"/>
      <c r="AN993" s="6"/>
      <c r="AO993" s="6"/>
      <c r="AP993" s="6"/>
      <c r="AQ993" s="6"/>
      <c r="AR993" s="6"/>
      <c r="AS993" s="15"/>
      <c r="AT993" s="6" t="str">
        <f ca="1">IFERROR(__xludf.DUMMYFUNCTION("""COMPUTED_VALUE"""),"#N/A")</f>
        <v>#N/A</v>
      </c>
      <c r="AU993" s="6" t="str">
        <f ca="1">IFERROR(__xludf.DUMMYFUNCTION("""COMPUTED_VALUE"""),"FALSE")</f>
        <v>FALSE</v>
      </c>
      <c r="AW993" s="6">
        <f t="shared" si="64"/>
        <v>0</v>
      </c>
      <c r="AX993" s="6">
        <f t="shared" si="65"/>
        <v>0</v>
      </c>
      <c r="AY993" s="6">
        <f t="shared" si="66"/>
        <v>0</v>
      </c>
      <c r="AZ993" s="9" t="str">
        <f t="shared" si="67"/>
        <v/>
      </c>
      <c r="BA993" s="6">
        <f t="shared" si="68"/>
        <v>0</v>
      </c>
      <c r="BB993" s="6">
        <f t="shared" si="69"/>
        <v>0</v>
      </c>
      <c r="BC993" s="9" t="str">
        <f t="shared" si="70"/>
        <v/>
      </c>
      <c r="BD993" s="6">
        <f t="shared" si="71"/>
        <v>0</v>
      </c>
      <c r="BE993" s="6">
        <f t="shared" si="72"/>
        <v>0</v>
      </c>
      <c r="BF993" s="9" t="str">
        <f t="shared" si="73"/>
        <v/>
      </c>
      <c r="BG993" s="6">
        <f t="shared" si="74"/>
        <v>0</v>
      </c>
      <c r="BH993" s="6">
        <f t="shared" si="75"/>
        <v>0</v>
      </c>
      <c r="BI993" s="9" t="str">
        <f t="shared" si="76"/>
        <v/>
      </c>
      <c r="BJ993" s="6">
        <f t="shared" si="77"/>
        <v>0</v>
      </c>
      <c r="BK993" s="6">
        <f t="shared" si="78"/>
        <v>0</v>
      </c>
      <c r="BL993" s="6">
        <f t="shared" si="79"/>
        <v>0</v>
      </c>
      <c r="BM993" s="6">
        <f t="shared" si="80"/>
        <v>0</v>
      </c>
      <c r="BN993" s="6">
        <f t="shared" si="81"/>
        <v>0</v>
      </c>
      <c r="BP993" s="6">
        <f t="shared" si="82"/>
        <v>0</v>
      </c>
      <c r="BQ993" s="6" t="b">
        <f ca="1">IFERROR(__xludf.DUMMYFUNCTION("IF(AND(ISERROR(FILTER('Items by Team'!D$2:D3410,'Items by Team'!C$2:C3410 = D993,'Items by Team'!B$2:B3410 = B993)),NOT(A993=""Practice"")),TRUE,FALSE)"),FALSE)</f>
        <v>0</v>
      </c>
      <c r="BR993" s="6">
        <f t="shared" ca="1" si="83"/>
        <v>0</v>
      </c>
    </row>
    <row r="994" spans="1:70">
      <c r="A994" s="6"/>
      <c r="B994" s="6"/>
      <c r="C994" s="6"/>
      <c r="D994" s="6"/>
      <c r="E994" s="6"/>
      <c r="F994" s="6"/>
      <c r="G994" s="6"/>
      <c r="H994" s="6"/>
      <c r="I994" s="6"/>
      <c r="J994" s="6"/>
      <c r="K994" s="6"/>
      <c r="L994" s="6"/>
      <c r="M994" s="6"/>
      <c r="N994" s="6"/>
      <c r="O994" s="6"/>
      <c r="P994" s="6"/>
      <c r="R994" s="6"/>
      <c r="S994" s="6"/>
      <c r="T994" s="6"/>
      <c r="U994" s="6"/>
      <c r="V994" s="6"/>
      <c r="W994" s="6"/>
      <c r="X994" s="6"/>
      <c r="Y994" s="6"/>
      <c r="Z994" s="6"/>
      <c r="AA994" s="6"/>
      <c r="AB994" s="6"/>
      <c r="AD994" s="6"/>
      <c r="AE994" s="6"/>
      <c r="AF994" s="6"/>
      <c r="AG994" s="6"/>
      <c r="AH994" s="6"/>
      <c r="AI994" s="6"/>
      <c r="AK994" s="6"/>
      <c r="AL994" s="6"/>
      <c r="AM994" s="6"/>
      <c r="AN994" s="6"/>
      <c r="AO994" s="6"/>
      <c r="AP994" s="6"/>
      <c r="AQ994" s="6"/>
      <c r="AR994" s="6"/>
      <c r="AS994" s="15"/>
      <c r="AT994" s="6" t="str">
        <f ca="1">IFERROR(__xludf.DUMMYFUNCTION("""COMPUTED_VALUE"""),"#N/A")</f>
        <v>#N/A</v>
      </c>
      <c r="AU994" s="6" t="str">
        <f ca="1">IFERROR(__xludf.DUMMYFUNCTION("""COMPUTED_VALUE"""),"FALSE")</f>
        <v>FALSE</v>
      </c>
      <c r="AW994" s="6">
        <f t="shared" si="64"/>
        <v>0</v>
      </c>
      <c r="AX994" s="6">
        <f t="shared" si="65"/>
        <v>0</v>
      </c>
      <c r="AY994" s="6">
        <f t="shared" si="66"/>
        <v>0</v>
      </c>
      <c r="AZ994" s="9" t="str">
        <f t="shared" si="67"/>
        <v/>
      </c>
      <c r="BA994" s="6">
        <f t="shared" si="68"/>
        <v>0</v>
      </c>
      <c r="BB994" s="6">
        <f t="shared" si="69"/>
        <v>0</v>
      </c>
      <c r="BC994" s="9" t="str">
        <f t="shared" si="70"/>
        <v/>
      </c>
      <c r="BD994" s="6">
        <f t="shared" si="71"/>
        <v>0</v>
      </c>
      <c r="BE994" s="6">
        <f t="shared" si="72"/>
        <v>0</v>
      </c>
      <c r="BF994" s="9" t="str">
        <f t="shared" si="73"/>
        <v/>
      </c>
      <c r="BG994" s="6">
        <f t="shared" si="74"/>
        <v>0</v>
      </c>
      <c r="BH994" s="6">
        <f t="shared" si="75"/>
        <v>0</v>
      </c>
      <c r="BI994" s="9" t="str">
        <f t="shared" si="76"/>
        <v/>
      </c>
      <c r="BJ994" s="6">
        <f t="shared" si="77"/>
        <v>0</v>
      </c>
      <c r="BK994" s="6">
        <f t="shared" si="78"/>
        <v>0</v>
      </c>
      <c r="BL994" s="6">
        <f t="shared" si="79"/>
        <v>0</v>
      </c>
      <c r="BM994" s="6">
        <f t="shared" si="80"/>
        <v>0</v>
      </c>
      <c r="BN994" s="6">
        <f t="shared" si="81"/>
        <v>0</v>
      </c>
      <c r="BP994" s="6">
        <f t="shared" si="82"/>
        <v>0</v>
      </c>
      <c r="BQ994" s="6" t="b">
        <f ca="1">IFERROR(__xludf.DUMMYFUNCTION("IF(AND(ISERROR(FILTER('Items by Team'!D$2:D3410,'Items by Team'!C$2:C3410 = D994,'Items by Team'!B$2:B3410 = B994)),NOT(A994=""Practice"")),TRUE,FALSE)"),FALSE)</f>
        <v>0</v>
      </c>
      <c r="BR994" s="6">
        <f t="shared" ca="1" si="83"/>
        <v>0</v>
      </c>
    </row>
    <row r="995" spans="1:70">
      <c r="A995" s="6"/>
      <c r="B995" s="6"/>
      <c r="C995" s="6"/>
      <c r="D995" s="6"/>
      <c r="E995" s="6"/>
      <c r="F995" s="6"/>
      <c r="G995" s="6"/>
      <c r="H995" s="6"/>
      <c r="I995" s="6"/>
      <c r="J995" s="6"/>
      <c r="K995" s="6"/>
      <c r="L995" s="6"/>
      <c r="M995" s="6"/>
      <c r="N995" s="6"/>
      <c r="O995" s="6"/>
      <c r="P995" s="6"/>
      <c r="R995" s="6"/>
      <c r="S995" s="6"/>
      <c r="T995" s="6"/>
      <c r="U995" s="6"/>
      <c r="V995" s="6"/>
      <c r="W995" s="6"/>
      <c r="X995" s="6"/>
      <c r="Y995" s="6"/>
      <c r="Z995" s="6"/>
      <c r="AA995" s="6"/>
      <c r="AB995" s="6"/>
      <c r="AD995" s="6"/>
      <c r="AE995" s="6"/>
      <c r="AF995" s="6"/>
      <c r="AG995" s="6"/>
      <c r="AH995" s="6"/>
      <c r="AI995" s="6"/>
      <c r="AK995" s="6"/>
      <c r="AL995" s="6"/>
      <c r="AM995" s="6"/>
      <c r="AN995" s="6"/>
      <c r="AO995" s="6"/>
      <c r="AP995" s="6"/>
      <c r="AQ995" s="6"/>
      <c r="AR995" s="6"/>
      <c r="AS995" s="15"/>
      <c r="AT995" s="6" t="str">
        <f ca="1">IFERROR(__xludf.DUMMYFUNCTION("""COMPUTED_VALUE"""),"#N/A")</f>
        <v>#N/A</v>
      </c>
      <c r="AU995" s="6" t="str">
        <f ca="1">IFERROR(__xludf.DUMMYFUNCTION("""COMPUTED_VALUE"""),"FALSE")</f>
        <v>FALSE</v>
      </c>
      <c r="AW995" s="6">
        <f t="shared" si="64"/>
        <v>0</v>
      </c>
      <c r="AX995" s="6">
        <f t="shared" si="65"/>
        <v>0</v>
      </c>
      <c r="AY995" s="6">
        <f t="shared" si="66"/>
        <v>0</v>
      </c>
      <c r="AZ995" s="9" t="str">
        <f t="shared" si="67"/>
        <v/>
      </c>
      <c r="BA995" s="6">
        <f t="shared" si="68"/>
        <v>0</v>
      </c>
      <c r="BB995" s="6">
        <f t="shared" si="69"/>
        <v>0</v>
      </c>
      <c r="BC995" s="9" t="str">
        <f t="shared" si="70"/>
        <v/>
      </c>
      <c r="BD995" s="6">
        <f t="shared" si="71"/>
        <v>0</v>
      </c>
      <c r="BE995" s="6">
        <f t="shared" si="72"/>
        <v>0</v>
      </c>
      <c r="BF995" s="9" t="str">
        <f t="shared" si="73"/>
        <v/>
      </c>
      <c r="BG995" s="6">
        <f t="shared" si="74"/>
        <v>0</v>
      </c>
      <c r="BH995" s="6">
        <f t="shared" si="75"/>
        <v>0</v>
      </c>
      <c r="BI995" s="9" t="str">
        <f t="shared" si="76"/>
        <v/>
      </c>
      <c r="BJ995" s="6">
        <f t="shared" si="77"/>
        <v>0</v>
      </c>
      <c r="BK995" s="6">
        <f t="shared" si="78"/>
        <v>0</v>
      </c>
      <c r="BL995" s="6">
        <f t="shared" si="79"/>
        <v>0</v>
      </c>
      <c r="BM995" s="6">
        <f t="shared" si="80"/>
        <v>0</v>
      </c>
      <c r="BN995" s="6">
        <f t="shared" si="81"/>
        <v>0</v>
      </c>
      <c r="BP995" s="6">
        <f t="shared" si="82"/>
        <v>0</v>
      </c>
      <c r="BQ995" s="6" t="b">
        <f ca="1">IFERROR(__xludf.DUMMYFUNCTION("IF(AND(ISERROR(FILTER('Items by Team'!D$2:D3410,'Items by Team'!C$2:C3410 = D995,'Items by Team'!B$2:B3410 = B995)),NOT(A995=""Practice"")),TRUE,FALSE)"),FALSE)</f>
        <v>0</v>
      </c>
      <c r="BR995" s="6">
        <f t="shared" ca="1" si="83"/>
        <v>0</v>
      </c>
    </row>
    <row r="996" spans="1:70">
      <c r="A996" s="6"/>
      <c r="B996" s="6"/>
      <c r="C996" s="6"/>
      <c r="D996" s="6"/>
      <c r="E996" s="6"/>
      <c r="F996" s="6"/>
      <c r="G996" s="6"/>
      <c r="H996" s="6"/>
      <c r="I996" s="6"/>
      <c r="J996" s="6"/>
      <c r="K996" s="6"/>
      <c r="L996" s="6"/>
      <c r="M996" s="6"/>
      <c r="N996" s="6"/>
      <c r="O996" s="6"/>
      <c r="P996" s="6"/>
      <c r="R996" s="6"/>
      <c r="S996" s="6"/>
      <c r="T996" s="6"/>
      <c r="U996" s="6"/>
      <c r="V996" s="6"/>
      <c r="W996" s="6"/>
      <c r="X996" s="6"/>
      <c r="Y996" s="6"/>
      <c r="Z996" s="6"/>
      <c r="AA996" s="6"/>
      <c r="AB996" s="6"/>
      <c r="AD996" s="6"/>
      <c r="AE996" s="6"/>
      <c r="AF996" s="6"/>
      <c r="AG996" s="6"/>
      <c r="AH996" s="6"/>
      <c r="AI996" s="6"/>
      <c r="AK996" s="6"/>
      <c r="AL996" s="6"/>
      <c r="AM996" s="6"/>
      <c r="AN996" s="6"/>
      <c r="AO996" s="6"/>
      <c r="AP996" s="6"/>
      <c r="AQ996" s="6"/>
      <c r="AR996" s="6"/>
      <c r="AS996" s="15"/>
      <c r="AT996" s="6" t="str">
        <f ca="1">IFERROR(__xludf.DUMMYFUNCTION("""COMPUTED_VALUE"""),"#N/A")</f>
        <v>#N/A</v>
      </c>
      <c r="AU996" s="6" t="str">
        <f ca="1">IFERROR(__xludf.DUMMYFUNCTION("""COMPUTED_VALUE"""),"FALSE")</f>
        <v>FALSE</v>
      </c>
      <c r="AW996" s="6">
        <f t="shared" si="64"/>
        <v>0</v>
      </c>
      <c r="AX996" s="6">
        <f t="shared" si="65"/>
        <v>0</v>
      </c>
      <c r="AY996" s="6">
        <f t="shared" si="66"/>
        <v>0</v>
      </c>
      <c r="AZ996" s="9" t="str">
        <f t="shared" si="67"/>
        <v/>
      </c>
      <c r="BA996" s="6">
        <f t="shared" si="68"/>
        <v>0</v>
      </c>
      <c r="BB996" s="6">
        <f t="shared" si="69"/>
        <v>0</v>
      </c>
      <c r="BC996" s="9" t="str">
        <f t="shared" si="70"/>
        <v/>
      </c>
      <c r="BD996" s="6">
        <f t="shared" si="71"/>
        <v>0</v>
      </c>
      <c r="BE996" s="6">
        <f t="shared" si="72"/>
        <v>0</v>
      </c>
      <c r="BF996" s="9" t="str">
        <f t="shared" si="73"/>
        <v/>
      </c>
      <c r="BG996" s="6">
        <f t="shared" si="74"/>
        <v>0</v>
      </c>
      <c r="BH996" s="6">
        <f t="shared" si="75"/>
        <v>0</v>
      </c>
      <c r="BI996" s="9" t="str">
        <f t="shared" si="76"/>
        <v/>
      </c>
      <c r="BJ996" s="6">
        <f t="shared" si="77"/>
        <v>0</v>
      </c>
      <c r="BK996" s="6">
        <f t="shared" si="78"/>
        <v>0</v>
      </c>
      <c r="BL996" s="6">
        <f t="shared" si="79"/>
        <v>0</v>
      </c>
      <c r="BM996" s="6">
        <f t="shared" si="80"/>
        <v>0</v>
      </c>
      <c r="BN996" s="6">
        <f t="shared" si="81"/>
        <v>0</v>
      </c>
      <c r="BP996" s="6">
        <f t="shared" si="82"/>
        <v>0</v>
      </c>
      <c r="BQ996" s="6" t="b">
        <f ca="1">IFERROR(__xludf.DUMMYFUNCTION("IF(AND(ISERROR(FILTER('Items by Team'!D$2:D3410,'Items by Team'!C$2:C3410 = D996,'Items by Team'!B$2:B3410 = B996)),NOT(A996=""Practice"")),TRUE,FALSE)"),FALSE)</f>
        <v>0</v>
      </c>
      <c r="BR996" s="6">
        <f t="shared" ca="1" si="83"/>
        <v>0</v>
      </c>
    </row>
    <row r="997" spans="1:70">
      <c r="A997" s="6"/>
      <c r="B997" s="6"/>
      <c r="C997" s="6"/>
      <c r="D997" s="6"/>
      <c r="E997" s="6"/>
      <c r="F997" s="6"/>
      <c r="G997" s="6"/>
      <c r="H997" s="6"/>
      <c r="I997" s="6"/>
      <c r="J997" s="6"/>
      <c r="K997" s="6"/>
      <c r="L997" s="6"/>
      <c r="M997" s="6"/>
      <c r="N997" s="6"/>
      <c r="O997" s="6"/>
      <c r="P997" s="6"/>
      <c r="R997" s="6"/>
      <c r="S997" s="6"/>
      <c r="T997" s="6"/>
      <c r="U997" s="6"/>
      <c r="V997" s="6"/>
      <c r="W997" s="6"/>
      <c r="X997" s="6"/>
      <c r="Y997" s="6"/>
      <c r="Z997" s="6"/>
      <c r="AA997" s="6"/>
      <c r="AB997" s="6"/>
      <c r="AD997" s="6"/>
      <c r="AE997" s="6"/>
      <c r="AF997" s="6"/>
      <c r="AG997" s="6"/>
      <c r="AH997" s="6"/>
      <c r="AI997" s="6"/>
      <c r="AK997" s="6"/>
      <c r="AL997" s="6"/>
      <c r="AM997" s="6"/>
      <c r="AN997" s="6"/>
      <c r="AO997" s="6"/>
      <c r="AP997" s="6"/>
      <c r="AQ997" s="6"/>
      <c r="AR997" s="6"/>
      <c r="AS997" s="15"/>
      <c r="AT997" s="6" t="str">
        <f ca="1">IFERROR(__xludf.DUMMYFUNCTION("""COMPUTED_VALUE"""),"#N/A")</f>
        <v>#N/A</v>
      </c>
      <c r="AU997" s="6" t="str">
        <f ca="1">IFERROR(__xludf.DUMMYFUNCTION("""COMPUTED_VALUE"""),"FALSE")</f>
        <v>FALSE</v>
      </c>
      <c r="AW997" s="6">
        <f t="shared" si="64"/>
        <v>0</v>
      </c>
      <c r="AX997" s="6">
        <f t="shared" si="65"/>
        <v>0</v>
      </c>
      <c r="AY997" s="6">
        <f t="shared" si="66"/>
        <v>0</v>
      </c>
      <c r="AZ997" s="9" t="str">
        <f t="shared" si="67"/>
        <v/>
      </c>
      <c r="BA997" s="6">
        <f t="shared" si="68"/>
        <v>0</v>
      </c>
      <c r="BB997" s="6">
        <f t="shared" si="69"/>
        <v>0</v>
      </c>
      <c r="BC997" s="9" t="str">
        <f t="shared" si="70"/>
        <v/>
      </c>
      <c r="BD997" s="6">
        <f t="shared" si="71"/>
        <v>0</v>
      </c>
      <c r="BE997" s="6">
        <f t="shared" si="72"/>
        <v>0</v>
      </c>
      <c r="BF997" s="9" t="str">
        <f t="shared" si="73"/>
        <v/>
      </c>
      <c r="BG997" s="6">
        <f t="shared" si="74"/>
        <v>0</v>
      </c>
      <c r="BH997" s="6">
        <f t="shared" si="75"/>
        <v>0</v>
      </c>
      <c r="BI997" s="9" t="str">
        <f t="shared" si="76"/>
        <v/>
      </c>
      <c r="BJ997" s="6">
        <f t="shared" si="77"/>
        <v>0</v>
      </c>
      <c r="BK997" s="6">
        <f t="shared" si="78"/>
        <v>0</v>
      </c>
      <c r="BL997" s="6">
        <f t="shared" si="79"/>
        <v>0</v>
      </c>
      <c r="BM997" s="6">
        <f t="shared" si="80"/>
        <v>0</v>
      </c>
      <c r="BN997" s="6">
        <f t="shared" si="81"/>
        <v>0</v>
      </c>
      <c r="BP997" s="6">
        <f t="shared" si="82"/>
        <v>0</v>
      </c>
      <c r="BQ997" s="6" t="b">
        <f ca="1">IFERROR(__xludf.DUMMYFUNCTION("IF(AND(ISERROR(FILTER('Items by Team'!D$2:D3410,'Items by Team'!C$2:C3410 = D997,'Items by Team'!B$2:B3410 = B997)),NOT(A997=""Practice"")),TRUE,FALSE)"),FALSE)</f>
        <v>0</v>
      </c>
      <c r="BR997" s="6">
        <f t="shared" ca="1" si="83"/>
        <v>0</v>
      </c>
    </row>
    <row r="998" spans="1:70">
      <c r="A998" s="6"/>
      <c r="B998" s="6"/>
      <c r="C998" s="6"/>
      <c r="D998" s="6"/>
      <c r="E998" s="6"/>
      <c r="F998" s="6"/>
      <c r="G998" s="6"/>
      <c r="H998" s="6"/>
      <c r="I998" s="6"/>
      <c r="J998" s="6"/>
      <c r="K998" s="6"/>
      <c r="L998" s="6"/>
      <c r="M998" s="6"/>
      <c r="N998" s="6"/>
      <c r="O998" s="6"/>
      <c r="P998" s="6"/>
      <c r="R998" s="6"/>
      <c r="S998" s="6"/>
      <c r="T998" s="6"/>
      <c r="U998" s="6"/>
      <c r="V998" s="6"/>
      <c r="W998" s="6"/>
      <c r="X998" s="6"/>
      <c r="Y998" s="6"/>
      <c r="Z998" s="6"/>
      <c r="AA998" s="6"/>
      <c r="AB998" s="6"/>
      <c r="AD998" s="6"/>
      <c r="AE998" s="6"/>
      <c r="AF998" s="6"/>
      <c r="AG998" s="6"/>
      <c r="AH998" s="6"/>
      <c r="AI998" s="6"/>
      <c r="AK998" s="6"/>
      <c r="AL998" s="6"/>
      <c r="AM998" s="6"/>
      <c r="AN998" s="6"/>
      <c r="AO998" s="6"/>
      <c r="AP998" s="6"/>
      <c r="AQ998" s="6"/>
      <c r="AR998" s="6"/>
      <c r="AS998" s="15"/>
      <c r="AT998" s="6" t="str">
        <f ca="1">IFERROR(__xludf.DUMMYFUNCTION("""COMPUTED_VALUE"""),"#N/A")</f>
        <v>#N/A</v>
      </c>
      <c r="AU998" s="6" t="str">
        <f ca="1">IFERROR(__xludf.DUMMYFUNCTION("""COMPUTED_VALUE"""),"FALSE")</f>
        <v>FALSE</v>
      </c>
      <c r="AW998" s="6">
        <f t="shared" si="64"/>
        <v>0</v>
      </c>
      <c r="AX998" s="6">
        <f t="shared" si="65"/>
        <v>0</v>
      </c>
      <c r="AY998" s="6">
        <f t="shared" si="66"/>
        <v>0</v>
      </c>
      <c r="AZ998" s="9" t="str">
        <f t="shared" si="67"/>
        <v/>
      </c>
      <c r="BA998" s="6">
        <f t="shared" si="68"/>
        <v>0</v>
      </c>
      <c r="BB998" s="6">
        <f t="shared" si="69"/>
        <v>0</v>
      </c>
      <c r="BC998" s="9" t="str">
        <f t="shared" si="70"/>
        <v/>
      </c>
      <c r="BD998" s="6">
        <f t="shared" si="71"/>
        <v>0</v>
      </c>
      <c r="BE998" s="6">
        <f t="shared" si="72"/>
        <v>0</v>
      </c>
      <c r="BF998" s="9" t="str">
        <f t="shared" si="73"/>
        <v/>
      </c>
      <c r="BG998" s="6">
        <f t="shared" si="74"/>
        <v>0</v>
      </c>
      <c r="BH998" s="6">
        <f t="shared" si="75"/>
        <v>0</v>
      </c>
      <c r="BI998" s="9" t="str">
        <f t="shared" si="76"/>
        <v/>
      </c>
      <c r="BJ998" s="6">
        <f t="shared" si="77"/>
        <v>0</v>
      </c>
      <c r="BK998" s="6">
        <f t="shared" si="78"/>
        <v>0</v>
      </c>
      <c r="BL998" s="6">
        <f t="shared" si="79"/>
        <v>0</v>
      </c>
      <c r="BM998" s="6">
        <f t="shared" si="80"/>
        <v>0</v>
      </c>
      <c r="BN998" s="6">
        <f t="shared" si="81"/>
        <v>0</v>
      </c>
      <c r="BP998" s="6">
        <f t="shared" si="82"/>
        <v>0</v>
      </c>
      <c r="BQ998" s="6" t="b">
        <f ca="1">IFERROR(__xludf.DUMMYFUNCTION("IF(AND(ISERROR(FILTER('Items by Team'!D$2:D3410,'Items by Team'!C$2:C3410 = D998,'Items by Team'!B$2:B3410 = B998)),NOT(A998=""Practice"")),TRUE,FALSE)"),FALSE)</f>
        <v>0</v>
      </c>
      <c r="BR998" s="6">
        <f t="shared" ca="1" si="83"/>
        <v>0</v>
      </c>
    </row>
    <row r="999" spans="1:70">
      <c r="A999" s="6"/>
      <c r="B999" s="6"/>
      <c r="C999" s="6"/>
      <c r="D999" s="6"/>
      <c r="E999" s="6"/>
      <c r="F999" s="6"/>
      <c r="G999" s="6"/>
      <c r="H999" s="6"/>
      <c r="I999" s="6"/>
      <c r="J999" s="6"/>
      <c r="K999" s="6"/>
      <c r="L999" s="6"/>
      <c r="M999" s="6"/>
      <c r="N999" s="6"/>
      <c r="O999" s="6"/>
      <c r="P999" s="6"/>
      <c r="R999" s="6"/>
      <c r="S999" s="6"/>
      <c r="T999" s="6"/>
      <c r="U999" s="6"/>
      <c r="V999" s="6"/>
      <c r="W999" s="6"/>
      <c r="X999" s="6"/>
      <c r="Y999" s="6"/>
      <c r="Z999" s="6"/>
      <c r="AA999" s="6"/>
      <c r="AB999" s="6"/>
      <c r="AD999" s="6"/>
      <c r="AE999" s="6"/>
      <c r="AF999" s="6"/>
      <c r="AG999" s="6"/>
      <c r="AH999" s="6"/>
      <c r="AI999" s="6"/>
      <c r="AK999" s="6"/>
      <c r="AL999" s="6"/>
      <c r="AM999" s="6"/>
      <c r="AN999" s="6"/>
      <c r="AO999" s="6"/>
      <c r="AP999" s="6"/>
      <c r="AQ999" s="6"/>
      <c r="AR999" s="6"/>
      <c r="AS999" s="15"/>
      <c r="AT999" s="6" t="str">
        <f ca="1">IFERROR(__xludf.DUMMYFUNCTION("""COMPUTED_VALUE"""),"#N/A")</f>
        <v>#N/A</v>
      </c>
      <c r="AU999" s="6" t="str">
        <f ca="1">IFERROR(__xludf.DUMMYFUNCTION("""COMPUTED_VALUE"""),"FALSE")</f>
        <v>FALSE</v>
      </c>
      <c r="AW999" s="6">
        <f t="shared" si="64"/>
        <v>0</v>
      </c>
      <c r="AX999" s="6">
        <f t="shared" si="65"/>
        <v>0</v>
      </c>
      <c r="AY999" s="6">
        <f t="shared" si="66"/>
        <v>0</v>
      </c>
      <c r="AZ999" s="9" t="str">
        <f t="shared" si="67"/>
        <v/>
      </c>
      <c r="BA999" s="6">
        <f t="shared" si="68"/>
        <v>0</v>
      </c>
      <c r="BB999" s="6">
        <f t="shared" si="69"/>
        <v>0</v>
      </c>
      <c r="BC999" s="9" t="str">
        <f t="shared" si="70"/>
        <v/>
      </c>
      <c r="BD999" s="6">
        <f t="shared" si="71"/>
        <v>0</v>
      </c>
      <c r="BE999" s="6">
        <f t="shared" si="72"/>
        <v>0</v>
      </c>
      <c r="BF999" s="9" t="str">
        <f t="shared" si="73"/>
        <v/>
      </c>
      <c r="BG999" s="6">
        <f t="shared" si="74"/>
        <v>0</v>
      </c>
      <c r="BH999" s="6">
        <f t="shared" si="75"/>
        <v>0</v>
      </c>
      <c r="BI999" s="9" t="str">
        <f t="shared" si="76"/>
        <v/>
      </c>
      <c r="BJ999" s="6">
        <f t="shared" si="77"/>
        <v>0</v>
      </c>
      <c r="BK999" s="6">
        <f t="shared" si="78"/>
        <v>0</v>
      </c>
      <c r="BL999" s="6">
        <f t="shared" si="79"/>
        <v>0</v>
      </c>
      <c r="BM999" s="6">
        <f t="shared" si="80"/>
        <v>0</v>
      </c>
      <c r="BN999" s="6">
        <f t="shared" si="81"/>
        <v>0</v>
      </c>
      <c r="BP999" s="6">
        <f t="shared" si="82"/>
        <v>0</v>
      </c>
      <c r="BQ999" s="6" t="b">
        <f ca="1">IFERROR(__xludf.DUMMYFUNCTION("IF(AND(ISERROR(FILTER('Items by Team'!D$2:D3410,'Items by Team'!C$2:C3410 = D999,'Items by Team'!B$2:B3410 = B999)),NOT(A999=""Practice"")),TRUE,FALSE)"),FALSE)</f>
        <v>0</v>
      </c>
      <c r="BR999" s="6">
        <f t="shared" ca="1" si="83"/>
        <v>0</v>
      </c>
    </row>
    <row r="1000" spans="1:70">
      <c r="A1000" s="6"/>
      <c r="B1000" s="6"/>
      <c r="C1000" s="6"/>
      <c r="D1000" s="6"/>
      <c r="E1000" s="6"/>
      <c r="F1000" s="6"/>
      <c r="G1000" s="6"/>
      <c r="H1000" s="6"/>
      <c r="I1000" s="6"/>
      <c r="J1000" s="6"/>
      <c r="K1000" s="6"/>
      <c r="L1000" s="6"/>
      <c r="M1000" s="6"/>
      <c r="N1000" s="6"/>
      <c r="O1000" s="6"/>
      <c r="P1000" s="6"/>
      <c r="R1000" s="6"/>
      <c r="S1000" s="6"/>
      <c r="T1000" s="6"/>
      <c r="U1000" s="6"/>
      <c r="V1000" s="6"/>
      <c r="W1000" s="6"/>
      <c r="X1000" s="6"/>
      <c r="Y1000" s="6"/>
      <c r="Z1000" s="6"/>
      <c r="AA1000" s="6"/>
      <c r="AB1000" s="6"/>
      <c r="AD1000" s="6"/>
      <c r="AE1000" s="6"/>
      <c r="AF1000" s="6"/>
      <c r="AG1000" s="6"/>
      <c r="AH1000" s="6"/>
      <c r="AI1000" s="6"/>
      <c r="AK1000" s="6"/>
      <c r="AL1000" s="6"/>
      <c r="AM1000" s="6"/>
      <c r="AN1000" s="6"/>
      <c r="AO1000" s="6"/>
      <c r="AP1000" s="6"/>
      <c r="AQ1000" s="6"/>
      <c r="AR1000" s="6"/>
      <c r="AS1000" s="15"/>
      <c r="AT1000" s="6" t="str">
        <f ca="1">IFERROR(__xludf.DUMMYFUNCTION("""COMPUTED_VALUE"""),"#N/A")</f>
        <v>#N/A</v>
      </c>
      <c r="AU1000" s="6" t="str">
        <f ca="1">IFERROR(__xludf.DUMMYFUNCTION("""COMPUTED_VALUE"""),"FALSE")</f>
        <v>FALSE</v>
      </c>
      <c r="AW1000" s="6">
        <f t="shared" si="64"/>
        <v>0</v>
      </c>
      <c r="AX1000" s="6">
        <f t="shared" si="65"/>
        <v>0</v>
      </c>
      <c r="AY1000" s="6">
        <f t="shared" si="66"/>
        <v>0</v>
      </c>
      <c r="AZ1000" s="9" t="str">
        <f t="shared" si="67"/>
        <v/>
      </c>
      <c r="BA1000" s="6">
        <f t="shared" si="68"/>
        <v>0</v>
      </c>
      <c r="BB1000" s="6">
        <f t="shared" si="69"/>
        <v>0</v>
      </c>
      <c r="BC1000" s="9" t="str">
        <f t="shared" si="70"/>
        <v/>
      </c>
      <c r="BD1000" s="6">
        <f t="shared" si="71"/>
        <v>0</v>
      </c>
      <c r="BE1000" s="6">
        <f t="shared" si="72"/>
        <v>0</v>
      </c>
      <c r="BF1000" s="9" t="str">
        <f t="shared" si="73"/>
        <v/>
      </c>
      <c r="BG1000" s="6">
        <f t="shared" si="74"/>
        <v>0</v>
      </c>
      <c r="BH1000" s="6">
        <f t="shared" si="75"/>
        <v>0</v>
      </c>
      <c r="BI1000" s="9" t="str">
        <f t="shared" si="76"/>
        <v/>
      </c>
      <c r="BJ1000" s="6">
        <f t="shared" si="77"/>
        <v>0</v>
      </c>
      <c r="BK1000" s="6">
        <f t="shared" si="78"/>
        <v>0</v>
      </c>
      <c r="BL1000" s="6">
        <f t="shared" si="79"/>
        <v>0</v>
      </c>
      <c r="BM1000" s="6">
        <f t="shared" si="80"/>
        <v>0</v>
      </c>
      <c r="BN1000" s="6">
        <f t="shared" si="81"/>
        <v>0</v>
      </c>
      <c r="BP1000" s="6">
        <f t="shared" si="82"/>
        <v>0</v>
      </c>
      <c r="BQ1000" s="6" t="b">
        <f ca="1">IFERROR(__xludf.DUMMYFUNCTION("IF(AND(ISERROR(FILTER('Items by Team'!D$2:D3410,'Items by Team'!C$2:C3410 = D1000,'Items by Team'!B$2:B3410 = B1000)),NOT(A1000=""Practice"")),TRUE,FALSE)"),FALSE)</f>
        <v>0</v>
      </c>
      <c r="BR1000" s="6">
        <f t="shared" ca="1" si="83"/>
        <v>0</v>
      </c>
    </row>
    <row r="1001" spans="1:70">
      <c r="A1001" s="6"/>
      <c r="B1001" s="6"/>
      <c r="C1001" s="6"/>
      <c r="D1001" s="6"/>
      <c r="E1001" s="6"/>
      <c r="F1001" s="6"/>
      <c r="G1001" s="6"/>
      <c r="H1001" s="6"/>
      <c r="I1001" s="6"/>
      <c r="J1001" s="6"/>
      <c r="K1001" s="6"/>
      <c r="L1001" s="6"/>
      <c r="M1001" s="6"/>
      <c r="N1001" s="6"/>
      <c r="O1001" s="6"/>
      <c r="P1001" s="6"/>
      <c r="R1001" s="6"/>
      <c r="S1001" s="6"/>
      <c r="T1001" s="6"/>
      <c r="U1001" s="6"/>
      <c r="V1001" s="6"/>
      <c r="W1001" s="6"/>
      <c r="X1001" s="6"/>
      <c r="Y1001" s="6"/>
      <c r="Z1001" s="6"/>
      <c r="AA1001" s="6"/>
      <c r="AB1001" s="6"/>
      <c r="AD1001" s="6"/>
      <c r="AE1001" s="6"/>
      <c r="AF1001" s="6"/>
      <c r="AG1001" s="6"/>
      <c r="AH1001" s="6"/>
      <c r="AI1001" s="6"/>
      <c r="AK1001" s="6"/>
      <c r="AL1001" s="6"/>
      <c r="AM1001" s="6"/>
      <c r="AN1001" s="6"/>
      <c r="AO1001" s="6"/>
      <c r="AP1001" s="6"/>
      <c r="AQ1001" s="6"/>
      <c r="AR1001" s="6"/>
      <c r="AS1001" s="15"/>
      <c r="AT1001" s="6" t="str">
        <f ca="1">IFERROR(__xludf.DUMMYFUNCTION("""COMPUTED_VALUE"""),"#N/A")</f>
        <v>#N/A</v>
      </c>
      <c r="AU1001" s="6" t="str">
        <f ca="1">IFERROR(__xludf.DUMMYFUNCTION("""COMPUTED_VALUE"""),"FALSE")</f>
        <v>FALSE</v>
      </c>
      <c r="AW1001" s="6">
        <f t="shared" si="64"/>
        <v>0</v>
      </c>
      <c r="AX1001" s="6">
        <f t="shared" si="65"/>
        <v>0</v>
      </c>
      <c r="AY1001" s="6">
        <f t="shared" si="66"/>
        <v>0</v>
      </c>
      <c r="AZ1001" s="9" t="str">
        <f t="shared" si="67"/>
        <v/>
      </c>
      <c r="BA1001" s="6">
        <f t="shared" si="68"/>
        <v>0</v>
      </c>
      <c r="BB1001" s="6">
        <f t="shared" si="69"/>
        <v>0</v>
      </c>
      <c r="BC1001" s="9" t="str">
        <f t="shared" si="70"/>
        <v/>
      </c>
      <c r="BD1001" s="6">
        <f t="shared" si="71"/>
        <v>0</v>
      </c>
      <c r="BE1001" s="6">
        <f t="shared" si="72"/>
        <v>0</v>
      </c>
      <c r="BF1001" s="9" t="str">
        <f t="shared" si="73"/>
        <v/>
      </c>
      <c r="BG1001" s="6">
        <f t="shared" si="74"/>
        <v>0</v>
      </c>
      <c r="BH1001" s="6">
        <f t="shared" si="75"/>
        <v>0</v>
      </c>
      <c r="BI1001" s="9" t="str">
        <f t="shared" si="76"/>
        <v/>
      </c>
      <c r="BJ1001" s="6">
        <f t="shared" si="77"/>
        <v>0</v>
      </c>
      <c r="BK1001" s="6">
        <f t="shared" si="78"/>
        <v>0</v>
      </c>
      <c r="BL1001" s="6">
        <f t="shared" si="79"/>
        <v>0</v>
      </c>
      <c r="BM1001" s="6">
        <f t="shared" si="80"/>
        <v>0</v>
      </c>
      <c r="BN1001" s="6">
        <f t="shared" si="81"/>
        <v>0</v>
      </c>
      <c r="BP1001" s="6">
        <f t="shared" si="82"/>
        <v>0</v>
      </c>
      <c r="BQ1001" s="6" t="b">
        <f ca="1">IFERROR(__xludf.DUMMYFUNCTION("IF(AND(ISERROR(FILTER('Items by Team'!D$2:D3410,'Items by Team'!C$2:C3410 = D1001,'Items by Team'!B$2:B3410 = B1001)),NOT(A1001=""Practice"")),TRUE,FALSE)"),FALSE)</f>
        <v>0</v>
      </c>
      <c r="BR1001" s="6">
        <f t="shared" ca="1" si="83"/>
        <v>0</v>
      </c>
    </row>
    <row r="1002" spans="1:70">
      <c r="A1002" s="6"/>
      <c r="B1002" s="6"/>
      <c r="C1002" s="6"/>
      <c r="D1002" s="6"/>
      <c r="E1002" s="6"/>
      <c r="F1002" s="6"/>
      <c r="G1002" s="6"/>
      <c r="H1002" s="6"/>
      <c r="I1002" s="6"/>
      <c r="J1002" s="6"/>
      <c r="K1002" s="6"/>
      <c r="L1002" s="6"/>
      <c r="M1002" s="6"/>
      <c r="N1002" s="6"/>
      <c r="O1002" s="6"/>
      <c r="P1002" s="6"/>
      <c r="R1002" s="6"/>
      <c r="S1002" s="6"/>
      <c r="T1002" s="6"/>
      <c r="U1002" s="6"/>
      <c r="V1002" s="6"/>
      <c r="W1002" s="6"/>
      <c r="X1002" s="6"/>
      <c r="Y1002" s="6"/>
      <c r="Z1002" s="6"/>
      <c r="AA1002" s="6"/>
      <c r="AB1002" s="6"/>
      <c r="AD1002" s="6"/>
      <c r="AE1002" s="6"/>
      <c r="AF1002" s="6"/>
      <c r="AG1002" s="6"/>
      <c r="AH1002" s="6"/>
      <c r="AI1002" s="6"/>
      <c r="AK1002" s="6"/>
      <c r="AL1002" s="6"/>
      <c r="AM1002" s="6"/>
      <c r="AN1002" s="6"/>
      <c r="AO1002" s="6"/>
      <c r="AP1002" s="6"/>
      <c r="AQ1002" s="6"/>
      <c r="AR1002" s="6"/>
      <c r="AS1002" s="15"/>
      <c r="AT1002" s="6" t="str">
        <f ca="1">IFERROR(__xludf.DUMMYFUNCTION("""COMPUTED_VALUE"""),"#N/A")</f>
        <v>#N/A</v>
      </c>
      <c r="AU1002" s="6" t="str">
        <f ca="1">IFERROR(__xludf.DUMMYFUNCTION("""COMPUTED_VALUE"""),"FALSE")</f>
        <v>FALSE</v>
      </c>
      <c r="AZ1002" s="9"/>
      <c r="BC1002" s="9"/>
      <c r="BF1002" s="9"/>
      <c r="BI1002" s="9"/>
    </row>
    <row r="1003" spans="1:70">
      <c r="A1003" s="6"/>
      <c r="B1003" s="6"/>
      <c r="C1003" s="6"/>
      <c r="D1003" s="6"/>
      <c r="E1003" s="6"/>
      <c r="F1003" s="6"/>
      <c r="G1003" s="6"/>
      <c r="H1003" s="6"/>
      <c r="I1003" s="6"/>
      <c r="J1003" s="6"/>
      <c r="K1003" s="6"/>
      <c r="L1003" s="6"/>
      <c r="M1003" s="6"/>
      <c r="N1003" s="6"/>
      <c r="O1003" s="6"/>
      <c r="P1003" s="6"/>
      <c r="R1003" s="6"/>
      <c r="S1003" s="6"/>
      <c r="T1003" s="6"/>
      <c r="U1003" s="6"/>
      <c r="V1003" s="6"/>
      <c r="W1003" s="6"/>
      <c r="X1003" s="6"/>
      <c r="Y1003" s="6"/>
      <c r="Z1003" s="6"/>
      <c r="AA1003" s="6"/>
      <c r="AB1003" s="6"/>
      <c r="AD1003" s="6"/>
      <c r="AE1003" s="6"/>
      <c r="AF1003" s="6"/>
      <c r="AG1003" s="6"/>
      <c r="AH1003" s="6"/>
      <c r="AI1003" s="6"/>
      <c r="AK1003" s="6"/>
      <c r="AL1003" s="6"/>
      <c r="AM1003" s="6"/>
      <c r="AN1003" s="6"/>
      <c r="AO1003" s="6"/>
      <c r="AP1003" s="6"/>
      <c r="AQ1003" s="6"/>
      <c r="AR1003" s="6"/>
      <c r="AS1003" s="15"/>
      <c r="AT1003" s="6" t="str">
        <f ca="1">IFERROR(__xludf.DUMMYFUNCTION("""COMPUTED_VALUE"""),"#N/A")</f>
        <v>#N/A</v>
      </c>
      <c r="AU1003" s="6" t="str">
        <f ca="1">IFERROR(__xludf.DUMMYFUNCTION("""COMPUTED_VALUE"""),"FALSE")</f>
        <v>FALSE</v>
      </c>
      <c r="AZ1003" s="9"/>
      <c r="BC1003" s="9"/>
      <c r="BF1003" s="9"/>
      <c r="BI1003" s="9"/>
    </row>
    <row r="1004" spans="1:70">
      <c r="A1004" s="6"/>
      <c r="B1004" s="6"/>
      <c r="C1004" s="6"/>
      <c r="D1004" s="6"/>
      <c r="E1004" s="6"/>
      <c r="F1004" s="6"/>
      <c r="G1004" s="6"/>
      <c r="H1004" s="6"/>
      <c r="I1004" s="6"/>
      <c r="J1004" s="6"/>
      <c r="K1004" s="6"/>
      <c r="L1004" s="6"/>
      <c r="M1004" s="6"/>
      <c r="N1004" s="6"/>
      <c r="O1004" s="6"/>
      <c r="P1004" s="6"/>
      <c r="R1004" s="6"/>
      <c r="S1004" s="6"/>
      <c r="T1004" s="6"/>
      <c r="U1004" s="6"/>
      <c r="V1004" s="6"/>
      <c r="W1004" s="6"/>
      <c r="X1004" s="6"/>
      <c r="Y1004" s="6"/>
      <c r="Z1004" s="6"/>
      <c r="AA1004" s="6"/>
      <c r="AB1004" s="6"/>
      <c r="AD1004" s="6"/>
      <c r="AE1004" s="6"/>
      <c r="AF1004" s="6"/>
      <c r="AG1004" s="6"/>
      <c r="AH1004" s="6"/>
      <c r="AI1004" s="6"/>
      <c r="AK1004" s="6"/>
      <c r="AL1004" s="6"/>
      <c r="AM1004" s="6"/>
      <c r="AN1004" s="6"/>
      <c r="AO1004" s="6"/>
      <c r="AP1004" s="6"/>
      <c r="AQ1004" s="6"/>
      <c r="AR1004" s="6"/>
      <c r="AS1004" s="15"/>
      <c r="AT1004" s="6" t="str">
        <f ca="1">IFERROR(__xludf.DUMMYFUNCTION("""COMPUTED_VALUE"""),"#N/A")</f>
        <v>#N/A</v>
      </c>
      <c r="AU1004" s="6" t="str">
        <f ca="1">IFERROR(__xludf.DUMMYFUNCTION("""COMPUTED_VALUE"""),"FALSE")</f>
        <v>FALSE</v>
      </c>
      <c r="AZ1004" s="9"/>
      <c r="BC1004" s="9"/>
      <c r="BF1004" s="9"/>
      <c r="BI1004" s="9"/>
    </row>
    <row r="1005" spans="1:70">
      <c r="A1005" s="6"/>
      <c r="B1005" s="6"/>
      <c r="C1005" s="6"/>
      <c r="D1005" s="6"/>
      <c r="E1005" s="6"/>
      <c r="F1005" s="6"/>
      <c r="G1005" s="6"/>
      <c r="H1005" s="6"/>
      <c r="I1005" s="6"/>
      <c r="J1005" s="6"/>
      <c r="K1005" s="6"/>
      <c r="L1005" s="6"/>
      <c r="M1005" s="6"/>
      <c r="N1005" s="6"/>
      <c r="O1005" s="6"/>
      <c r="P1005" s="6"/>
      <c r="R1005" s="6"/>
      <c r="S1005" s="6"/>
      <c r="T1005" s="6"/>
      <c r="U1005" s="6"/>
      <c r="V1005" s="6"/>
      <c r="W1005" s="6"/>
      <c r="X1005" s="6"/>
      <c r="Y1005" s="6"/>
      <c r="Z1005" s="6"/>
      <c r="AA1005" s="6"/>
      <c r="AB1005" s="6"/>
      <c r="AD1005" s="6"/>
      <c r="AE1005" s="6"/>
      <c r="AF1005" s="6"/>
      <c r="AG1005" s="6"/>
      <c r="AH1005" s="6"/>
      <c r="AI1005" s="6"/>
      <c r="AK1005" s="6"/>
      <c r="AL1005" s="6"/>
      <c r="AM1005" s="6"/>
      <c r="AN1005" s="6"/>
      <c r="AO1005" s="6"/>
      <c r="AP1005" s="6"/>
      <c r="AQ1005" s="6"/>
      <c r="AR1005" s="6"/>
      <c r="AS1005" s="15"/>
      <c r="AT1005" s="6" t="str">
        <f ca="1">IFERROR(__xludf.DUMMYFUNCTION("""COMPUTED_VALUE"""),"#N/A")</f>
        <v>#N/A</v>
      </c>
      <c r="AU1005" s="6" t="str">
        <f ca="1">IFERROR(__xludf.DUMMYFUNCTION("""COMPUTED_VALUE"""),"FALSE")</f>
        <v>FALSE</v>
      </c>
      <c r="AZ1005" s="9"/>
      <c r="BC1005" s="9"/>
      <c r="BF1005" s="9"/>
      <c r="BI1005" s="9"/>
    </row>
    <row r="1006" spans="1:70">
      <c r="A1006" s="6"/>
      <c r="B1006" s="6"/>
      <c r="C1006" s="6"/>
      <c r="D1006" s="6"/>
      <c r="E1006" s="6"/>
      <c r="F1006" s="6"/>
      <c r="G1006" s="6"/>
      <c r="H1006" s="6"/>
      <c r="I1006" s="6"/>
      <c r="J1006" s="6"/>
      <c r="K1006" s="6"/>
      <c r="L1006" s="6"/>
      <c r="M1006" s="6"/>
      <c r="N1006" s="6"/>
      <c r="O1006" s="6"/>
      <c r="P1006" s="6"/>
      <c r="R1006" s="6"/>
      <c r="S1006" s="6"/>
      <c r="T1006" s="6"/>
      <c r="U1006" s="6"/>
      <c r="V1006" s="6"/>
      <c r="W1006" s="6"/>
      <c r="X1006" s="6"/>
      <c r="Y1006" s="6"/>
      <c r="Z1006" s="6"/>
      <c r="AA1006" s="6"/>
      <c r="AB1006" s="6"/>
      <c r="AD1006" s="6"/>
      <c r="AE1006" s="6"/>
      <c r="AF1006" s="6"/>
      <c r="AG1006" s="6"/>
      <c r="AH1006" s="6"/>
      <c r="AI1006" s="6"/>
      <c r="AK1006" s="6"/>
      <c r="AL1006" s="6"/>
      <c r="AM1006" s="6"/>
      <c r="AN1006" s="6"/>
      <c r="AO1006" s="6"/>
      <c r="AP1006" s="6"/>
      <c r="AQ1006" s="6"/>
      <c r="AR1006" s="6"/>
      <c r="AS1006" s="15"/>
      <c r="AT1006" s="6" t="str">
        <f ca="1">IFERROR(__xludf.DUMMYFUNCTION("""COMPUTED_VALUE"""),"#N/A")</f>
        <v>#N/A</v>
      </c>
      <c r="AU1006" s="6" t="str">
        <f ca="1">IFERROR(__xludf.DUMMYFUNCTION("""COMPUTED_VALUE"""),"FALSE")</f>
        <v>FALSE</v>
      </c>
      <c r="AZ1006" s="9"/>
      <c r="BC1006" s="9"/>
      <c r="BF1006" s="9"/>
      <c r="BI1006" s="9"/>
    </row>
    <row r="1007" spans="1:70">
      <c r="A1007" s="6"/>
      <c r="B1007" s="6"/>
      <c r="C1007" s="6"/>
      <c r="D1007" s="6"/>
      <c r="E1007" s="6"/>
      <c r="F1007" s="6"/>
      <c r="G1007" s="6"/>
      <c r="H1007" s="6"/>
      <c r="I1007" s="6"/>
      <c r="J1007" s="6"/>
      <c r="K1007" s="6"/>
      <c r="L1007" s="6"/>
      <c r="M1007" s="6"/>
      <c r="N1007" s="6"/>
      <c r="O1007" s="6"/>
      <c r="P1007" s="6"/>
      <c r="R1007" s="6"/>
      <c r="S1007" s="6"/>
      <c r="T1007" s="6"/>
      <c r="U1007" s="6"/>
      <c r="V1007" s="6"/>
      <c r="W1007" s="6"/>
      <c r="X1007" s="6"/>
      <c r="Y1007" s="6"/>
      <c r="Z1007" s="6"/>
      <c r="AA1007" s="6"/>
      <c r="AB1007" s="6"/>
      <c r="AD1007" s="6"/>
      <c r="AE1007" s="6"/>
      <c r="AF1007" s="6"/>
      <c r="AG1007" s="6"/>
      <c r="AH1007" s="6"/>
      <c r="AI1007" s="6"/>
      <c r="AK1007" s="6"/>
      <c r="AL1007" s="6"/>
      <c r="AM1007" s="6"/>
      <c r="AN1007" s="6"/>
      <c r="AO1007" s="6"/>
      <c r="AP1007" s="6"/>
      <c r="AQ1007" s="6"/>
      <c r="AR1007" s="6"/>
      <c r="AS1007" s="15"/>
      <c r="AT1007" s="6" t="str">
        <f ca="1">IFERROR(__xludf.DUMMYFUNCTION("""COMPUTED_VALUE"""),"#N/A")</f>
        <v>#N/A</v>
      </c>
      <c r="AU1007" s="6" t="str">
        <f ca="1">IFERROR(__xludf.DUMMYFUNCTION("""COMPUTED_VALUE"""),"FALSE")</f>
        <v>FALSE</v>
      </c>
      <c r="AZ1007" s="9"/>
      <c r="BC1007" s="9"/>
      <c r="BF1007" s="9"/>
      <c r="BI1007" s="9"/>
    </row>
    <row r="1008" spans="1:70">
      <c r="A1008" s="6"/>
      <c r="B1008" s="6"/>
      <c r="C1008" s="6"/>
      <c r="D1008" s="6"/>
      <c r="E1008" s="6"/>
      <c r="F1008" s="6"/>
      <c r="G1008" s="6"/>
      <c r="H1008" s="6"/>
      <c r="I1008" s="6"/>
      <c r="J1008" s="6"/>
      <c r="K1008" s="6"/>
      <c r="L1008" s="6"/>
      <c r="M1008" s="6"/>
      <c r="N1008" s="6"/>
      <c r="O1008" s="6"/>
      <c r="P1008" s="6"/>
      <c r="R1008" s="6"/>
      <c r="S1008" s="6"/>
      <c r="T1008" s="6"/>
      <c r="U1008" s="6"/>
      <c r="V1008" s="6"/>
      <c r="W1008" s="6"/>
      <c r="X1008" s="6"/>
      <c r="Y1008" s="6"/>
      <c r="Z1008" s="6"/>
      <c r="AA1008" s="6"/>
      <c r="AB1008" s="6"/>
      <c r="AD1008" s="6"/>
      <c r="AE1008" s="6"/>
      <c r="AF1008" s="6"/>
      <c r="AG1008" s="6"/>
      <c r="AH1008" s="6"/>
      <c r="AI1008" s="6"/>
      <c r="AK1008" s="6"/>
      <c r="AL1008" s="6"/>
      <c r="AM1008" s="6"/>
      <c r="AN1008" s="6"/>
      <c r="AO1008" s="6"/>
      <c r="AP1008" s="6"/>
      <c r="AQ1008" s="6"/>
      <c r="AR1008" s="6"/>
      <c r="AS1008" s="15"/>
      <c r="AT1008" s="6" t="str">
        <f ca="1">IFERROR(__xludf.DUMMYFUNCTION("""COMPUTED_VALUE"""),"#N/A")</f>
        <v>#N/A</v>
      </c>
      <c r="AU1008" s="6" t="str">
        <f ca="1">IFERROR(__xludf.DUMMYFUNCTION("""COMPUTED_VALUE"""),"FALSE")</f>
        <v>FALSE</v>
      </c>
      <c r="AZ1008" s="9"/>
      <c r="BC1008" s="9"/>
      <c r="BF1008" s="9"/>
      <c r="BI1008" s="9"/>
    </row>
    <row r="1009" spans="1:61">
      <c r="A1009" s="6"/>
      <c r="B1009" s="6"/>
      <c r="C1009" s="6"/>
      <c r="D1009" s="6"/>
      <c r="E1009" s="6"/>
      <c r="F1009" s="6"/>
      <c r="G1009" s="6"/>
      <c r="H1009" s="6"/>
      <c r="I1009" s="6"/>
      <c r="J1009" s="6"/>
      <c r="K1009" s="6"/>
      <c r="L1009" s="6"/>
      <c r="M1009" s="6"/>
      <c r="N1009" s="6"/>
      <c r="O1009" s="6"/>
      <c r="P1009" s="6"/>
      <c r="R1009" s="6"/>
      <c r="S1009" s="6"/>
      <c r="T1009" s="6"/>
      <c r="U1009" s="6"/>
      <c r="V1009" s="6"/>
      <c r="W1009" s="6"/>
      <c r="X1009" s="6"/>
      <c r="Y1009" s="6"/>
      <c r="Z1009" s="6"/>
      <c r="AA1009" s="6"/>
      <c r="AB1009" s="6"/>
      <c r="AD1009" s="6"/>
      <c r="AE1009" s="6"/>
      <c r="AF1009" s="6"/>
      <c r="AG1009" s="6"/>
      <c r="AH1009" s="6"/>
      <c r="AI1009" s="6"/>
      <c r="AK1009" s="6"/>
      <c r="AL1009" s="6"/>
      <c r="AM1009" s="6"/>
      <c r="AN1009" s="6"/>
      <c r="AO1009" s="6"/>
      <c r="AP1009" s="6"/>
      <c r="AQ1009" s="6"/>
      <c r="AR1009" s="6"/>
      <c r="AS1009" s="15"/>
      <c r="AT1009" s="6" t="str">
        <f ca="1">IFERROR(__xludf.DUMMYFUNCTION("""COMPUTED_VALUE"""),"#N/A")</f>
        <v>#N/A</v>
      </c>
      <c r="AU1009" s="6" t="str">
        <f ca="1">IFERROR(__xludf.DUMMYFUNCTION("""COMPUTED_VALUE"""),"FALSE")</f>
        <v>FALSE</v>
      </c>
      <c r="AZ1009" s="9"/>
      <c r="BC1009" s="9"/>
      <c r="BF1009" s="9"/>
      <c r="BI1009" s="9"/>
    </row>
    <row r="1010" spans="1:61">
      <c r="A1010" s="6"/>
      <c r="B1010" s="6"/>
      <c r="C1010" s="6"/>
      <c r="D1010" s="6"/>
      <c r="E1010" s="6"/>
      <c r="F1010" s="6"/>
      <c r="G1010" s="6"/>
      <c r="H1010" s="6"/>
      <c r="I1010" s="6"/>
      <c r="J1010" s="6"/>
      <c r="K1010" s="6"/>
      <c r="L1010" s="6"/>
      <c r="M1010" s="6"/>
      <c r="N1010" s="6"/>
      <c r="O1010" s="6"/>
      <c r="P1010" s="6"/>
      <c r="R1010" s="6"/>
      <c r="S1010" s="6"/>
      <c r="T1010" s="6"/>
      <c r="U1010" s="6"/>
      <c r="V1010" s="6"/>
      <c r="W1010" s="6"/>
      <c r="X1010" s="6"/>
      <c r="Y1010" s="6"/>
      <c r="Z1010" s="6"/>
      <c r="AA1010" s="6"/>
      <c r="AB1010" s="6"/>
      <c r="AD1010" s="6"/>
      <c r="AE1010" s="6"/>
      <c r="AF1010" s="6"/>
      <c r="AG1010" s="6"/>
      <c r="AH1010" s="6"/>
      <c r="AI1010" s="6"/>
      <c r="AK1010" s="6"/>
      <c r="AL1010" s="6"/>
      <c r="AM1010" s="6"/>
      <c r="AN1010" s="6"/>
      <c r="AO1010" s="6"/>
      <c r="AP1010" s="6"/>
      <c r="AQ1010" s="6"/>
      <c r="AR1010" s="6"/>
      <c r="AS1010" s="15"/>
      <c r="AT1010" s="6" t="str">
        <f ca="1">IFERROR(__xludf.DUMMYFUNCTION("""COMPUTED_VALUE"""),"#N/A")</f>
        <v>#N/A</v>
      </c>
      <c r="AU1010" s="6" t="str">
        <f ca="1">IFERROR(__xludf.DUMMYFUNCTION("""COMPUTED_VALUE"""),"FALSE")</f>
        <v>FALSE</v>
      </c>
      <c r="AZ1010" s="9"/>
      <c r="BC1010" s="9"/>
      <c r="BF1010" s="9"/>
      <c r="BI1010" s="9"/>
    </row>
    <row r="1011" spans="1:61">
      <c r="A1011" s="6"/>
      <c r="B1011" s="6"/>
      <c r="C1011" s="6"/>
      <c r="D1011" s="6"/>
      <c r="E1011" s="6"/>
      <c r="F1011" s="6"/>
      <c r="G1011" s="6"/>
      <c r="H1011" s="6"/>
      <c r="I1011" s="6"/>
      <c r="J1011" s="6"/>
      <c r="K1011" s="6"/>
      <c r="L1011" s="6"/>
      <c r="M1011" s="6"/>
      <c r="N1011" s="6"/>
      <c r="O1011" s="6"/>
      <c r="P1011" s="6"/>
      <c r="R1011" s="6"/>
      <c r="S1011" s="6"/>
      <c r="T1011" s="6"/>
      <c r="U1011" s="6"/>
      <c r="V1011" s="6"/>
      <c r="W1011" s="6"/>
      <c r="X1011" s="6"/>
      <c r="Y1011" s="6"/>
      <c r="Z1011" s="6"/>
      <c r="AA1011" s="6"/>
      <c r="AB1011" s="6"/>
      <c r="AD1011" s="6"/>
      <c r="AE1011" s="6"/>
      <c r="AF1011" s="6"/>
      <c r="AG1011" s="6"/>
      <c r="AH1011" s="6"/>
      <c r="AI1011" s="6"/>
      <c r="AK1011" s="6"/>
      <c r="AL1011" s="6"/>
      <c r="AM1011" s="6"/>
      <c r="AN1011" s="6"/>
      <c r="AO1011" s="6"/>
      <c r="AP1011" s="6"/>
      <c r="AQ1011" s="6"/>
      <c r="AR1011" s="6"/>
      <c r="AS1011" s="15"/>
      <c r="AT1011" s="6" t="str">
        <f ca="1">IFERROR(__xludf.DUMMYFUNCTION("""COMPUTED_VALUE"""),"#N/A")</f>
        <v>#N/A</v>
      </c>
      <c r="AU1011" s="6" t="str">
        <f ca="1">IFERROR(__xludf.DUMMYFUNCTION("""COMPUTED_VALUE"""),"FALSE")</f>
        <v>FALSE</v>
      </c>
      <c r="AZ1011" s="9"/>
      <c r="BC1011" s="9"/>
      <c r="BF1011" s="9"/>
      <c r="BI1011" s="9"/>
    </row>
    <row r="1012" spans="1:61">
      <c r="A1012" s="6"/>
      <c r="B1012" s="6"/>
      <c r="C1012" s="6"/>
      <c r="D1012" s="6"/>
      <c r="E1012" s="6"/>
      <c r="F1012" s="6"/>
      <c r="G1012" s="6"/>
      <c r="H1012" s="6"/>
      <c r="I1012" s="6"/>
      <c r="J1012" s="6"/>
      <c r="K1012" s="6"/>
      <c r="L1012" s="6"/>
      <c r="M1012" s="6"/>
      <c r="N1012" s="6"/>
      <c r="O1012" s="6"/>
      <c r="P1012" s="6"/>
      <c r="R1012" s="6"/>
      <c r="S1012" s="6"/>
      <c r="T1012" s="6"/>
      <c r="U1012" s="6"/>
      <c r="V1012" s="6"/>
      <c r="W1012" s="6"/>
      <c r="X1012" s="6"/>
      <c r="Y1012" s="6"/>
      <c r="Z1012" s="6"/>
      <c r="AA1012" s="6"/>
      <c r="AB1012" s="6"/>
      <c r="AD1012" s="6"/>
      <c r="AE1012" s="6"/>
      <c r="AF1012" s="6"/>
      <c r="AG1012" s="6"/>
      <c r="AH1012" s="6"/>
      <c r="AI1012" s="6"/>
      <c r="AK1012" s="6"/>
      <c r="AL1012" s="6"/>
      <c r="AM1012" s="6"/>
      <c r="AN1012" s="6"/>
      <c r="AO1012" s="6"/>
      <c r="AP1012" s="6"/>
      <c r="AQ1012" s="6"/>
      <c r="AR1012" s="6"/>
      <c r="AS1012" s="15"/>
      <c r="AT1012" s="6" t="str">
        <f ca="1">IFERROR(__xludf.DUMMYFUNCTION("""COMPUTED_VALUE"""),"#N/A")</f>
        <v>#N/A</v>
      </c>
      <c r="AU1012" s="6" t="str">
        <f ca="1">IFERROR(__xludf.DUMMYFUNCTION("""COMPUTED_VALUE"""),"FALSE")</f>
        <v>FALSE</v>
      </c>
      <c r="AZ1012" s="9"/>
      <c r="BC1012" s="9"/>
      <c r="BF1012" s="9"/>
      <c r="BI1012" s="9"/>
    </row>
    <row r="1013" spans="1:61">
      <c r="A1013" s="6"/>
      <c r="B1013" s="6"/>
      <c r="C1013" s="6"/>
      <c r="D1013" s="6"/>
      <c r="E1013" s="6"/>
      <c r="F1013" s="6"/>
      <c r="G1013" s="6"/>
      <c r="H1013" s="6"/>
      <c r="I1013" s="6"/>
      <c r="J1013" s="6"/>
      <c r="K1013" s="6"/>
      <c r="L1013" s="6"/>
      <c r="M1013" s="6"/>
      <c r="N1013" s="6"/>
      <c r="O1013" s="6"/>
      <c r="P1013" s="6"/>
      <c r="R1013" s="6"/>
      <c r="S1013" s="6"/>
      <c r="T1013" s="6"/>
      <c r="U1013" s="6"/>
      <c r="V1013" s="6"/>
      <c r="W1013" s="6"/>
      <c r="X1013" s="6"/>
      <c r="Y1013" s="6"/>
      <c r="Z1013" s="6"/>
      <c r="AA1013" s="6"/>
      <c r="AB1013" s="6"/>
      <c r="AD1013" s="6"/>
      <c r="AE1013" s="6"/>
      <c r="AF1013" s="6"/>
      <c r="AG1013" s="6"/>
      <c r="AH1013" s="6"/>
      <c r="AI1013" s="6"/>
      <c r="AK1013" s="6"/>
      <c r="AL1013" s="6"/>
      <c r="AM1013" s="6"/>
      <c r="AN1013" s="6"/>
      <c r="AO1013" s="6"/>
      <c r="AP1013" s="6"/>
      <c r="AQ1013" s="6"/>
      <c r="AR1013" s="6"/>
      <c r="AS1013" s="15"/>
      <c r="AT1013" s="6" t="str">
        <f ca="1">IFERROR(__xludf.DUMMYFUNCTION("""COMPUTED_VALUE"""),"#N/A")</f>
        <v>#N/A</v>
      </c>
      <c r="AU1013" s="6" t="str">
        <f ca="1">IFERROR(__xludf.DUMMYFUNCTION("""COMPUTED_VALUE"""),"FALSE")</f>
        <v>FALSE</v>
      </c>
      <c r="AZ1013" s="9"/>
      <c r="BC1013" s="9"/>
      <c r="BF1013" s="9"/>
      <c r="BI1013" s="9"/>
    </row>
    <row r="1014" spans="1:61">
      <c r="A1014" s="6"/>
      <c r="B1014" s="6"/>
      <c r="C1014" s="6"/>
      <c r="D1014" s="6"/>
      <c r="E1014" s="6"/>
      <c r="F1014" s="6"/>
      <c r="G1014" s="6"/>
      <c r="H1014" s="6"/>
      <c r="I1014" s="6"/>
      <c r="J1014" s="6"/>
      <c r="K1014" s="6"/>
      <c r="L1014" s="6"/>
      <c r="M1014" s="6"/>
      <c r="N1014" s="6"/>
      <c r="O1014" s="6"/>
      <c r="P1014" s="6"/>
      <c r="R1014" s="6"/>
      <c r="S1014" s="6"/>
      <c r="T1014" s="6"/>
      <c r="U1014" s="6"/>
      <c r="V1014" s="6"/>
      <c r="W1014" s="6"/>
      <c r="X1014" s="6"/>
      <c r="Y1014" s="6"/>
      <c r="Z1014" s="6"/>
      <c r="AA1014" s="6"/>
      <c r="AB1014" s="6"/>
      <c r="AD1014" s="6"/>
      <c r="AE1014" s="6"/>
      <c r="AF1014" s="6"/>
      <c r="AG1014" s="6"/>
      <c r="AH1014" s="6"/>
      <c r="AI1014" s="6"/>
      <c r="AK1014" s="6"/>
      <c r="AL1014" s="6"/>
      <c r="AM1014" s="6"/>
      <c r="AN1014" s="6"/>
      <c r="AO1014" s="6"/>
      <c r="AP1014" s="6"/>
      <c r="AQ1014" s="6"/>
      <c r="AR1014" s="6"/>
      <c r="AS1014" s="15"/>
      <c r="AT1014" s="6" t="str">
        <f ca="1">IFERROR(__xludf.DUMMYFUNCTION("""COMPUTED_VALUE"""),"#N/A")</f>
        <v>#N/A</v>
      </c>
      <c r="AU1014" s="6" t="str">
        <f ca="1">IFERROR(__xludf.DUMMYFUNCTION("""COMPUTED_VALUE"""),"FALSE")</f>
        <v>FALSE</v>
      </c>
      <c r="AZ1014" s="9"/>
      <c r="BC1014" s="9"/>
      <c r="BF1014" s="9"/>
      <c r="BI1014" s="9"/>
    </row>
    <row r="1015" spans="1:61">
      <c r="A1015" s="6"/>
      <c r="B1015" s="6"/>
      <c r="C1015" s="6"/>
      <c r="D1015" s="6"/>
      <c r="E1015" s="6"/>
      <c r="F1015" s="6"/>
      <c r="G1015" s="6"/>
      <c r="H1015" s="6"/>
      <c r="I1015" s="6"/>
      <c r="J1015" s="6"/>
      <c r="K1015" s="6"/>
      <c r="L1015" s="6"/>
      <c r="M1015" s="6"/>
      <c r="N1015" s="6"/>
      <c r="O1015" s="6"/>
      <c r="P1015" s="6"/>
      <c r="R1015" s="6"/>
      <c r="S1015" s="6"/>
      <c r="T1015" s="6"/>
      <c r="U1015" s="6"/>
      <c r="V1015" s="6"/>
      <c r="W1015" s="6"/>
      <c r="X1015" s="6"/>
      <c r="Y1015" s="6"/>
      <c r="Z1015" s="6"/>
      <c r="AA1015" s="6"/>
      <c r="AB1015" s="6"/>
      <c r="AD1015" s="6"/>
      <c r="AE1015" s="6"/>
      <c r="AF1015" s="6"/>
      <c r="AG1015" s="6"/>
      <c r="AH1015" s="6"/>
      <c r="AI1015" s="6"/>
      <c r="AK1015" s="6"/>
      <c r="AL1015" s="6"/>
      <c r="AM1015" s="6"/>
      <c r="AN1015" s="6"/>
      <c r="AO1015" s="6"/>
      <c r="AP1015" s="6"/>
      <c r="AQ1015" s="6"/>
      <c r="AR1015" s="6"/>
      <c r="AS1015" s="15"/>
      <c r="AT1015" s="6" t="str">
        <f ca="1">IFERROR(__xludf.DUMMYFUNCTION("""COMPUTED_VALUE"""),"#N/A")</f>
        <v>#N/A</v>
      </c>
      <c r="AU1015" s="6" t="str">
        <f ca="1">IFERROR(__xludf.DUMMYFUNCTION("""COMPUTED_VALUE"""),"FALSE")</f>
        <v>FALSE</v>
      </c>
      <c r="AZ1015" s="9"/>
      <c r="BC1015" s="9"/>
      <c r="BF1015" s="9"/>
      <c r="BI1015" s="9"/>
    </row>
    <row r="1016" spans="1:61">
      <c r="A1016" s="6"/>
      <c r="B1016" s="6"/>
      <c r="C1016" s="6"/>
      <c r="D1016" s="6"/>
      <c r="E1016" s="6"/>
      <c r="F1016" s="6"/>
      <c r="G1016" s="6"/>
      <c r="H1016" s="6"/>
      <c r="I1016" s="6"/>
      <c r="J1016" s="6"/>
      <c r="K1016" s="6"/>
      <c r="L1016" s="6"/>
      <c r="M1016" s="6"/>
      <c r="N1016" s="6"/>
      <c r="O1016" s="6"/>
      <c r="P1016" s="6"/>
      <c r="R1016" s="6"/>
      <c r="S1016" s="6"/>
      <c r="T1016" s="6"/>
      <c r="U1016" s="6"/>
      <c r="V1016" s="6"/>
      <c r="W1016" s="6"/>
      <c r="X1016" s="6"/>
      <c r="Y1016" s="6"/>
      <c r="Z1016" s="6"/>
      <c r="AA1016" s="6"/>
      <c r="AB1016" s="6"/>
      <c r="AD1016" s="6"/>
      <c r="AE1016" s="6"/>
      <c r="AF1016" s="6"/>
      <c r="AG1016" s="6"/>
      <c r="AH1016" s="6"/>
      <c r="AI1016" s="6"/>
      <c r="AK1016" s="6"/>
      <c r="AL1016" s="6"/>
      <c r="AM1016" s="6"/>
      <c r="AN1016" s="6"/>
      <c r="AO1016" s="6"/>
      <c r="AP1016" s="6"/>
      <c r="AQ1016" s="6"/>
      <c r="AR1016" s="6"/>
      <c r="AS1016" s="15"/>
      <c r="AT1016" s="6" t="str">
        <f ca="1">IFERROR(__xludf.DUMMYFUNCTION("""COMPUTED_VALUE"""),"#N/A")</f>
        <v>#N/A</v>
      </c>
      <c r="AU1016" s="6" t="str">
        <f ca="1">IFERROR(__xludf.DUMMYFUNCTION("""COMPUTED_VALUE"""),"FALSE")</f>
        <v>FALSE</v>
      </c>
      <c r="AZ1016" s="9"/>
      <c r="BC1016" s="9"/>
      <c r="BF1016" s="9"/>
      <c r="BI1016" s="9"/>
    </row>
    <row r="1017" spans="1:61">
      <c r="A1017" s="6"/>
      <c r="B1017" s="6"/>
      <c r="C1017" s="6"/>
      <c r="D1017" s="6"/>
      <c r="E1017" s="6"/>
      <c r="F1017" s="6"/>
      <c r="G1017" s="6"/>
      <c r="H1017" s="6"/>
      <c r="I1017" s="6"/>
      <c r="J1017" s="6"/>
      <c r="K1017" s="6"/>
      <c r="L1017" s="6"/>
      <c r="M1017" s="6"/>
      <c r="N1017" s="6"/>
      <c r="O1017" s="6"/>
      <c r="P1017" s="6"/>
      <c r="R1017" s="6"/>
      <c r="S1017" s="6"/>
      <c r="T1017" s="6"/>
      <c r="U1017" s="6"/>
      <c r="V1017" s="6"/>
      <c r="W1017" s="6"/>
      <c r="X1017" s="6"/>
      <c r="Y1017" s="6"/>
      <c r="Z1017" s="6"/>
      <c r="AA1017" s="6"/>
      <c r="AB1017" s="6"/>
      <c r="AD1017" s="6"/>
      <c r="AE1017" s="6"/>
      <c r="AF1017" s="6"/>
      <c r="AG1017" s="6"/>
      <c r="AH1017" s="6"/>
      <c r="AI1017" s="6"/>
      <c r="AK1017" s="6"/>
      <c r="AL1017" s="6"/>
      <c r="AM1017" s="6"/>
      <c r="AN1017" s="6"/>
      <c r="AO1017" s="6"/>
      <c r="AP1017" s="6"/>
      <c r="AQ1017" s="6"/>
      <c r="AR1017" s="6"/>
      <c r="AS1017" s="15"/>
      <c r="AT1017" s="6" t="str">
        <f ca="1">IFERROR(__xludf.DUMMYFUNCTION("""COMPUTED_VALUE"""),"#N/A")</f>
        <v>#N/A</v>
      </c>
      <c r="AU1017" s="6" t="str">
        <f ca="1">IFERROR(__xludf.DUMMYFUNCTION("""COMPUTED_VALUE"""),"FALSE")</f>
        <v>FALSE</v>
      </c>
      <c r="AZ1017" s="9"/>
      <c r="BC1017" s="9"/>
      <c r="BF1017" s="9"/>
      <c r="BI1017" s="9"/>
    </row>
    <row r="1018" spans="1:61">
      <c r="A1018" s="6"/>
      <c r="B1018" s="6"/>
      <c r="C1018" s="6"/>
      <c r="D1018" s="6"/>
      <c r="E1018" s="6"/>
      <c r="F1018" s="6"/>
      <c r="G1018" s="6"/>
      <c r="H1018" s="6"/>
      <c r="I1018" s="6"/>
      <c r="J1018" s="6"/>
      <c r="K1018" s="6"/>
      <c r="L1018" s="6"/>
      <c r="M1018" s="6"/>
      <c r="N1018" s="6"/>
      <c r="O1018" s="6"/>
      <c r="P1018" s="6"/>
      <c r="R1018" s="6"/>
      <c r="S1018" s="6"/>
      <c r="T1018" s="6"/>
      <c r="U1018" s="6"/>
      <c r="V1018" s="6"/>
      <c r="W1018" s="6"/>
      <c r="X1018" s="6"/>
      <c r="Y1018" s="6"/>
      <c r="Z1018" s="6"/>
      <c r="AA1018" s="6"/>
      <c r="AB1018" s="6"/>
      <c r="AD1018" s="6"/>
      <c r="AE1018" s="6"/>
      <c r="AF1018" s="6"/>
      <c r="AG1018" s="6"/>
      <c r="AH1018" s="6"/>
      <c r="AI1018" s="6"/>
      <c r="AK1018" s="6"/>
      <c r="AL1018" s="6"/>
      <c r="AM1018" s="6"/>
      <c r="AN1018" s="6"/>
      <c r="AO1018" s="6"/>
      <c r="AP1018" s="6"/>
      <c r="AQ1018" s="6"/>
      <c r="AR1018" s="6"/>
      <c r="AS1018" s="15"/>
      <c r="AT1018" s="6" t="str">
        <f ca="1">IFERROR(__xludf.DUMMYFUNCTION("""COMPUTED_VALUE"""),"#N/A")</f>
        <v>#N/A</v>
      </c>
      <c r="AU1018" s="6" t="str">
        <f ca="1">IFERROR(__xludf.DUMMYFUNCTION("""COMPUTED_VALUE"""),"FALSE")</f>
        <v>FALSE</v>
      </c>
      <c r="AZ1018" s="9"/>
      <c r="BC1018" s="9"/>
      <c r="BF1018" s="9"/>
      <c r="BI1018" s="9"/>
    </row>
    <row r="1019" spans="1:61">
      <c r="A1019" s="6"/>
      <c r="B1019" s="6"/>
      <c r="C1019" s="6"/>
      <c r="D1019" s="6"/>
      <c r="E1019" s="6"/>
      <c r="F1019" s="6"/>
      <c r="G1019" s="6"/>
      <c r="H1019" s="6"/>
      <c r="I1019" s="6"/>
      <c r="J1019" s="6"/>
      <c r="K1019" s="6"/>
      <c r="L1019" s="6"/>
      <c r="M1019" s="6"/>
      <c r="N1019" s="6"/>
      <c r="O1019" s="6"/>
      <c r="P1019" s="6"/>
      <c r="R1019" s="6"/>
      <c r="S1019" s="6"/>
      <c r="T1019" s="6"/>
      <c r="U1019" s="6"/>
      <c r="V1019" s="6"/>
      <c r="W1019" s="6"/>
      <c r="X1019" s="6"/>
      <c r="Y1019" s="6"/>
      <c r="Z1019" s="6"/>
      <c r="AA1019" s="6"/>
      <c r="AB1019" s="6"/>
      <c r="AD1019" s="6"/>
      <c r="AE1019" s="6"/>
      <c r="AF1019" s="6"/>
      <c r="AG1019" s="6"/>
      <c r="AH1019" s="6"/>
      <c r="AI1019" s="6"/>
      <c r="AK1019" s="6"/>
      <c r="AL1019" s="6"/>
      <c r="AM1019" s="6"/>
      <c r="AN1019" s="6"/>
      <c r="AO1019" s="6"/>
      <c r="AP1019" s="6"/>
      <c r="AQ1019" s="6"/>
      <c r="AR1019" s="6"/>
      <c r="AS1019" s="15"/>
      <c r="AT1019" s="6" t="str">
        <f ca="1">IFERROR(__xludf.DUMMYFUNCTION("""COMPUTED_VALUE"""),"#N/A")</f>
        <v>#N/A</v>
      </c>
      <c r="AU1019" s="6" t="str">
        <f ca="1">IFERROR(__xludf.DUMMYFUNCTION("""COMPUTED_VALUE"""),"FALSE")</f>
        <v>FALSE</v>
      </c>
      <c r="AZ1019" s="9"/>
      <c r="BC1019" s="9"/>
      <c r="BF1019" s="9"/>
      <c r="BI1019" s="9"/>
    </row>
    <row r="1020" spans="1:61">
      <c r="A1020" s="6"/>
      <c r="B1020" s="6"/>
      <c r="C1020" s="6"/>
      <c r="D1020" s="6"/>
      <c r="E1020" s="6"/>
      <c r="F1020" s="6"/>
      <c r="G1020" s="6"/>
      <c r="H1020" s="6"/>
      <c r="I1020" s="6"/>
      <c r="J1020" s="6"/>
      <c r="K1020" s="6"/>
      <c r="L1020" s="6"/>
      <c r="M1020" s="6"/>
      <c r="N1020" s="6"/>
      <c r="O1020" s="6"/>
      <c r="P1020" s="6"/>
      <c r="R1020" s="6"/>
      <c r="S1020" s="6"/>
      <c r="T1020" s="6"/>
      <c r="U1020" s="6"/>
      <c r="V1020" s="6"/>
      <c r="W1020" s="6"/>
      <c r="X1020" s="6"/>
      <c r="Y1020" s="6"/>
      <c r="Z1020" s="6"/>
      <c r="AA1020" s="6"/>
      <c r="AB1020" s="6"/>
      <c r="AD1020" s="6"/>
      <c r="AE1020" s="6"/>
      <c r="AF1020" s="6"/>
      <c r="AG1020" s="6"/>
      <c r="AH1020" s="6"/>
      <c r="AI1020" s="6"/>
      <c r="AK1020" s="6"/>
      <c r="AL1020" s="6"/>
      <c r="AM1020" s="6"/>
      <c r="AN1020" s="6"/>
      <c r="AO1020" s="6"/>
      <c r="AP1020" s="6"/>
      <c r="AQ1020" s="6"/>
      <c r="AR1020" s="6"/>
      <c r="AS1020" s="15"/>
      <c r="AT1020" s="6" t="str">
        <f ca="1">IFERROR(__xludf.DUMMYFUNCTION("""COMPUTED_VALUE"""),"#N/A")</f>
        <v>#N/A</v>
      </c>
      <c r="AU1020" s="6" t="str">
        <f ca="1">IFERROR(__xludf.DUMMYFUNCTION("""COMPUTED_VALUE"""),"FALSE")</f>
        <v>FALSE</v>
      </c>
      <c r="AZ1020" s="9"/>
      <c r="BC1020" s="9"/>
      <c r="BF1020" s="9"/>
      <c r="BI1020" s="9"/>
    </row>
    <row r="1021" spans="1:61">
      <c r="A1021" s="6"/>
      <c r="B1021" s="6"/>
      <c r="C1021" s="6"/>
      <c r="D1021" s="6"/>
      <c r="E1021" s="6"/>
      <c r="F1021" s="6"/>
      <c r="G1021" s="6"/>
      <c r="H1021" s="6"/>
      <c r="I1021" s="6"/>
      <c r="J1021" s="6"/>
      <c r="K1021" s="6"/>
      <c r="L1021" s="6"/>
      <c r="M1021" s="6"/>
      <c r="N1021" s="6"/>
      <c r="O1021" s="6"/>
      <c r="P1021" s="6"/>
      <c r="R1021" s="6"/>
      <c r="S1021" s="6"/>
      <c r="T1021" s="6"/>
      <c r="U1021" s="6"/>
      <c r="V1021" s="6"/>
      <c r="W1021" s="6"/>
      <c r="X1021" s="6"/>
      <c r="Y1021" s="6"/>
      <c r="Z1021" s="6"/>
      <c r="AA1021" s="6"/>
      <c r="AB1021" s="6"/>
      <c r="AD1021" s="6"/>
      <c r="AE1021" s="6"/>
      <c r="AF1021" s="6"/>
      <c r="AG1021" s="6"/>
      <c r="AH1021" s="6"/>
      <c r="AI1021" s="6"/>
      <c r="AK1021" s="6"/>
      <c r="AL1021" s="6"/>
      <c r="AM1021" s="6"/>
      <c r="AN1021" s="6"/>
      <c r="AO1021" s="6"/>
      <c r="AP1021" s="6"/>
      <c r="AQ1021" s="6"/>
      <c r="AR1021" s="6"/>
      <c r="AS1021" s="15"/>
      <c r="AT1021" s="6" t="str">
        <f ca="1">IFERROR(__xludf.DUMMYFUNCTION("""COMPUTED_VALUE"""),"#N/A")</f>
        <v>#N/A</v>
      </c>
      <c r="AU1021" s="6" t="str">
        <f ca="1">IFERROR(__xludf.DUMMYFUNCTION("""COMPUTED_VALUE"""),"FALSE")</f>
        <v>FALSE</v>
      </c>
      <c r="AZ1021" s="9"/>
      <c r="BC1021" s="9"/>
      <c r="BF1021" s="9"/>
      <c r="BI1021" s="9"/>
    </row>
    <row r="1022" spans="1:61">
      <c r="A1022" s="6"/>
      <c r="B1022" s="6"/>
      <c r="C1022" s="6"/>
      <c r="D1022" s="6"/>
      <c r="E1022" s="6"/>
      <c r="F1022" s="6"/>
      <c r="G1022" s="6"/>
      <c r="H1022" s="6"/>
      <c r="I1022" s="6"/>
      <c r="J1022" s="6"/>
      <c r="K1022" s="6"/>
      <c r="L1022" s="6"/>
      <c r="M1022" s="6"/>
      <c r="N1022" s="6"/>
      <c r="O1022" s="6"/>
      <c r="P1022" s="6"/>
      <c r="R1022" s="6"/>
      <c r="S1022" s="6"/>
      <c r="T1022" s="6"/>
      <c r="U1022" s="6"/>
      <c r="V1022" s="6"/>
      <c r="W1022" s="6"/>
      <c r="X1022" s="6"/>
      <c r="Y1022" s="6"/>
      <c r="Z1022" s="6"/>
      <c r="AA1022" s="6"/>
      <c r="AB1022" s="6"/>
      <c r="AD1022" s="6"/>
      <c r="AE1022" s="6"/>
      <c r="AF1022" s="6"/>
      <c r="AG1022" s="6"/>
      <c r="AH1022" s="6"/>
      <c r="AI1022" s="6"/>
      <c r="AK1022" s="6"/>
      <c r="AL1022" s="6"/>
      <c r="AM1022" s="6"/>
      <c r="AN1022" s="6"/>
      <c r="AO1022" s="6"/>
      <c r="AP1022" s="6"/>
      <c r="AQ1022" s="6"/>
      <c r="AR1022" s="6"/>
      <c r="AS1022" s="15"/>
      <c r="AT1022" s="6" t="str">
        <f ca="1">IFERROR(__xludf.DUMMYFUNCTION("""COMPUTED_VALUE"""),"#N/A")</f>
        <v>#N/A</v>
      </c>
      <c r="AU1022" s="6" t="str">
        <f ca="1">IFERROR(__xludf.DUMMYFUNCTION("""COMPUTED_VALUE"""),"FALSE")</f>
        <v>FALSE</v>
      </c>
      <c r="AZ1022" s="9"/>
      <c r="BC1022" s="9"/>
      <c r="BF1022" s="9"/>
      <c r="BI1022" s="9"/>
    </row>
    <row r="1023" spans="1:61">
      <c r="A1023" s="6"/>
      <c r="B1023" s="6"/>
      <c r="C1023" s="6"/>
      <c r="D1023" s="6"/>
      <c r="E1023" s="6"/>
      <c r="F1023" s="6"/>
      <c r="G1023" s="6"/>
      <c r="H1023" s="6"/>
      <c r="I1023" s="6"/>
      <c r="J1023" s="6"/>
      <c r="K1023" s="6"/>
      <c r="L1023" s="6"/>
      <c r="M1023" s="6"/>
      <c r="N1023" s="6"/>
      <c r="O1023" s="6"/>
      <c r="P1023" s="6"/>
      <c r="R1023" s="6"/>
      <c r="S1023" s="6"/>
      <c r="T1023" s="6"/>
      <c r="U1023" s="6"/>
      <c r="V1023" s="6"/>
      <c r="W1023" s="6"/>
      <c r="X1023" s="6"/>
      <c r="Y1023" s="6"/>
      <c r="Z1023" s="6"/>
      <c r="AA1023" s="6"/>
      <c r="AB1023" s="6"/>
      <c r="AD1023" s="6"/>
      <c r="AE1023" s="6"/>
      <c r="AF1023" s="6"/>
      <c r="AG1023" s="6"/>
      <c r="AH1023" s="6"/>
      <c r="AI1023" s="6"/>
      <c r="AK1023" s="6"/>
      <c r="AL1023" s="6"/>
      <c r="AM1023" s="6"/>
      <c r="AN1023" s="6"/>
      <c r="AO1023" s="6"/>
      <c r="AP1023" s="6"/>
      <c r="AQ1023" s="6"/>
      <c r="AR1023" s="6"/>
      <c r="AS1023" s="15"/>
      <c r="AT1023" s="6" t="str">
        <f ca="1">IFERROR(__xludf.DUMMYFUNCTION("""COMPUTED_VALUE"""),"#N/A")</f>
        <v>#N/A</v>
      </c>
      <c r="AU1023" s="6" t="str">
        <f ca="1">IFERROR(__xludf.DUMMYFUNCTION("""COMPUTED_VALUE"""),"FALSE")</f>
        <v>FALSE</v>
      </c>
      <c r="AZ1023" s="9"/>
      <c r="BC1023" s="9"/>
      <c r="BF1023" s="9"/>
      <c r="BI1023" s="9"/>
    </row>
    <row r="1024" spans="1:61">
      <c r="A1024" s="6"/>
      <c r="B1024" s="6"/>
      <c r="C1024" s="6"/>
      <c r="D1024" s="6"/>
      <c r="E1024" s="6"/>
      <c r="F1024" s="6"/>
      <c r="G1024" s="6"/>
      <c r="H1024" s="6"/>
      <c r="I1024" s="6"/>
      <c r="J1024" s="6"/>
      <c r="K1024" s="6"/>
      <c r="L1024" s="6"/>
      <c r="M1024" s="6"/>
      <c r="N1024" s="6"/>
      <c r="O1024" s="6"/>
      <c r="P1024" s="6"/>
      <c r="R1024" s="6"/>
      <c r="S1024" s="6"/>
      <c r="T1024" s="6"/>
      <c r="U1024" s="6"/>
      <c r="V1024" s="6"/>
      <c r="W1024" s="6"/>
      <c r="X1024" s="6"/>
      <c r="Y1024" s="6"/>
      <c r="Z1024" s="6"/>
      <c r="AA1024" s="6"/>
      <c r="AB1024" s="6"/>
      <c r="AD1024" s="6"/>
      <c r="AE1024" s="6"/>
      <c r="AF1024" s="6"/>
      <c r="AG1024" s="6"/>
      <c r="AH1024" s="6"/>
      <c r="AI1024" s="6"/>
      <c r="AK1024" s="6"/>
      <c r="AL1024" s="6"/>
      <c r="AM1024" s="6"/>
      <c r="AN1024" s="6"/>
      <c r="AO1024" s="6"/>
      <c r="AP1024" s="6"/>
      <c r="AQ1024" s="6"/>
      <c r="AR1024" s="6"/>
      <c r="AS1024" s="15"/>
      <c r="AT1024" s="6" t="str">
        <f ca="1">IFERROR(__xludf.DUMMYFUNCTION("""COMPUTED_VALUE"""),"#N/A")</f>
        <v>#N/A</v>
      </c>
      <c r="AU1024" s="6" t="str">
        <f ca="1">IFERROR(__xludf.DUMMYFUNCTION("""COMPUTED_VALUE"""),"FALSE")</f>
        <v>FALSE</v>
      </c>
      <c r="AZ1024" s="9"/>
      <c r="BC1024" s="9"/>
      <c r="BF1024" s="9"/>
      <c r="BI1024" s="9"/>
    </row>
    <row r="1025" spans="1:61">
      <c r="A1025" s="6"/>
      <c r="B1025" s="6"/>
      <c r="C1025" s="6"/>
      <c r="D1025" s="6"/>
      <c r="E1025" s="6"/>
      <c r="F1025" s="6"/>
      <c r="G1025" s="6"/>
      <c r="H1025" s="6"/>
      <c r="I1025" s="6"/>
      <c r="J1025" s="6"/>
      <c r="K1025" s="6"/>
      <c r="L1025" s="6"/>
      <c r="M1025" s="6"/>
      <c r="N1025" s="6"/>
      <c r="O1025" s="6"/>
      <c r="P1025" s="6"/>
      <c r="R1025" s="6"/>
      <c r="S1025" s="6"/>
      <c r="T1025" s="6"/>
      <c r="U1025" s="6"/>
      <c r="V1025" s="6"/>
      <c r="W1025" s="6"/>
      <c r="X1025" s="6"/>
      <c r="Y1025" s="6"/>
      <c r="Z1025" s="6"/>
      <c r="AA1025" s="6"/>
      <c r="AB1025" s="6"/>
      <c r="AD1025" s="6"/>
      <c r="AE1025" s="6"/>
      <c r="AF1025" s="6"/>
      <c r="AG1025" s="6"/>
      <c r="AH1025" s="6"/>
      <c r="AI1025" s="6"/>
      <c r="AK1025" s="6"/>
      <c r="AL1025" s="6"/>
      <c r="AM1025" s="6"/>
      <c r="AN1025" s="6"/>
      <c r="AO1025" s="6"/>
      <c r="AP1025" s="6"/>
      <c r="AQ1025" s="6"/>
      <c r="AR1025" s="6"/>
      <c r="AS1025" s="15"/>
      <c r="AT1025" s="6" t="str">
        <f ca="1">IFERROR(__xludf.DUMMYFUNCTION("""COMPUTED_VALUE"""),"#N/A")</f>
        <v>#N/A</v>
      </c>
      <c r="AU1025" s="6" t="str">
        <f ca="1">IFERROR(__xludf.DUMMYFUNCTION("""COMPUTED_VALUE"""),"FALSE")</f>
        <v>FALSE</v>
      </c>
      <c r="AZ1025" s="9"/>
      <c r="BC1025" s="9"/>
      <c r="BF1025" s="9"/>
      <c r="BI1025" s="9"/>
    </row>
    <row r="1026" spans="1:61">
      <c r="A1026" s="6"/>
      <c r="B1026" s="6"/>
      <c r="C1026" s="6"/>
      <c r="D1026" s="6"/>
      <c r="E1026" s="6"/>
      <c r="F1026" s="6"/>
      <c r="G1026" s="6"/>
      <c r="H1026" s="6"/>
      <c r="I1026" s="6"/>
      <c r="J1026" s="6"/>
      <c r="K1026" s="6"/>
      <c r="L1026" s="6"/>
      <c r="M1026" s="6"/>
      <c r="N1026" s="6"/>
      <c r="O1026" s="6"/>
      <c r="P1026" s="6"/>
      <c r="R1026" s="6"/>
      <c r="S1026" s="6"/>
      <c r="T1026" s="6"/>
      <c r="U1026" s="6"/>
      <c r="V1026" s="6"/>
      <c r="W1026" s="6"/>
      <c r="X1026" s="6"/>
      <c r="Y1026" s="6"/>
      <c r="Z1026" s="6"/>
      <c r="AA1026" s="6"/>
      <c r="AB1026" s="6"/>
      <c r="AD1026" s="6"/>
      <c r="AE1026" s="6"/>
      <c r="AF1026" s="6"/>
      <c r="AG1026" s="6"/>
      <c r="AH1026" s="6"/>
      <c r="AI1026" s="6"/>
      <c r="AK1026" s="6"/>
      <c r="AL1026" s="6"/>
      <c r="AM1026" s="6"/>
      <c r="AN1026" s="6"/>
      <c r="AO1026" s="6"/>
      <c r="AP1026" s="6"/>
      <c r="AQ1026" s="6"/>
      <c r="AR1026" s="6"/>
      <c r="AS1026" s="15"/>
      <c r="AT1026" s="6" t="str">
        <f ca="1">IFERROR(__xludf.DUMMYFUNCTION("""COMPUTED_VALUE"""),"#N/A")</f>
        <v>#N/A</v>
      </c>
      <c r="AU1026" s="6" t="str">
        <f ca="1">IFERROR(__xludf.DUMMYFUNCTION("""COMPUTED_VALUE"""),"FALSE")</f>
        <v>FALSE</v>
      </c>
      <c r="AZ1026" s="9"/>
      <c r="BC1026" s="9"/>
      <c r="BF1026" s="9"/>
      <c r="BI1026" s="9"/>
    </row>
    <row r="1027" spans="1:61">
      <c r="A1027" s="6"/>
      <c r="B1027" s="6"/>
      <c r="C1027" s="6"/>
      <c r="D1027" s="6"/>
      <c r="E1027" s="6"/>
      <c r="F1027" s="6"/>
      <c r="G1027" s="6"/>
      <c r="H1027" s="6"/>
      <c r="I1027" s="6"/>
      <c r="J1027" s="6"/>
      <c r="K1027" s="6"/>
      <c r="L1027" s="6"/>
      <c r="M1027" s="6"/>
      <c r="N1027" s="6"/>
      <c r="O1027" s="6"/>
      <c r="P1027" s="6"/>
      <c r="R1027" s="6"/>
      <c r="S1027" s="6"/>
      <c r="T1027" s="6"/>
      <c r="U1027" s="6"/>
      <c r="V1027" s="6"/>
      <c r="W1027" s="6"/>
      <c r="X1027" s="6"/>
      <c r="Y1027" s="6"/>
      <c r="Z1027" s="6"/>
      <c r="AA1027" s="6"/>
      <c r="AB1027" s="6"/>
      <c r="AD1027" s="6"/>
      <c r="AE1027" s="6"/>
      <c r="AF1027" s="6"/>
      <c r="AG1027" s="6"/>
      <c r="AH1027" s="6"/>
      <c r="AI1027" s="6"/>
      <c r="AK1027" s="6"/>
      <c r="AL1027" s="6"/>
      <c r="AM1027" s="6"/>
      <c r="AN1027" s="6"/>
      <c r="AO1027" s="6"/>
      <c r="AP1027" s="6"/>
      <c r="AQ1027" s="6"/>
      <c r="AR1027" s="6"/>
      <c r="AS1027" s="15"/>
      <c r="AT1027" s="6" t="str">
        <f ca="1">IFERROR(__xludf.DUMMYFUNCTION("""COMPUTED_VALUE"""),"#N/A")</f>
        <v>#N/A</v>
      </c>
      <c r="AU1027" s="6" t="str">
        <f ca="1">IFERROR(__xludf.DUMMYFUNCTION("""COMPUTED_VALUE"""),"FALSE")</f>
        <v>FALSE</v>
      </c>
      <c r="AZ1027" s="9"/>
      <c r="BC1027" s="9"/>
      <c r="BF1027" s="9"/>
      <c r="BI1027" s="9"/>
    </row>
    <row r="1028" spans="1:61">
      <c r="A1028" s="6"/>
      <c r="B1028" s="6"/>
      <c r="C1028" s="6"/>
      <c r="D1028" s="6"/>
      <c r="E1028" s="6"/>
      <c r="F1028" s="6"/>
      <c r="G1028" s="6"/>
      <c r="H1028" s="6"/>
      <c r="I1028" s="6"/>
      <c r="J1028" s="6"/>
      <c r="K1028" s="6"/>
      <c r="L1028" s="6"/>
      <c r="M1028" s="6"/>
      <c r="N1028" s="6"/>
      <c r="O1028" s="6"/>
      <c r="P1028" s="6"/>
      <c r="R1028" s="6"/>
      <c r="S1028" s="6"/>
      <c r="T1028" s="6"/>
      <c r="U1028" s="6"/>
      <c r="V1028" s="6"/>
      <c r="W1028" s="6"/>
      <c r="X1028" s="6"/>
      <c r="Y1028" s="6"/>
      <c r="Z1028" s="6"/>
      <c r="AA1028" s="6"/>
      <c r="AB1028" s="6"/>
      <c r="AD1028" s="6"/>
      <c r="AE1028" s="6"/>
      <c r="AF1028" s="6"/>
      <c r="AG1028" s="6"/>
      <c r="AH1028" s="6"/>
      <c r="AI1028" s="6"/>
      <c r="AK1028" s="6"/>
      <c r="AL1028" s="6"/>
      <c r="AM1028" s="6"/>
      <c r="AN1028" s="6"/>
      <c r="AO1028" s="6"/>
      <c r="AP1028" s="6"/>
      <c r="AQ1028" s="6"/>
      <c r="AR1028" s="6"/>
      <c r="AS1028" s="15"/>
      <c r="AT1028" s="6" t="str">
        <f ca="1">IFERROR(__xludf.DUMMYFUNCTION("""COMPUTED_VALUE"""),"#N/A")</f>
        <v>#N/A</v>
      </c>
      <c r="AU1028" s="6" t="str">
        <f ca="1">IFERROR(__xludf.DUMMYFUNCTION("""COMPUTED_VALUE"""),"FALSE")</f>
        <v>FALSE</v>
      </c>
      <c r="AZ1028" s="9"/>
      <c r="BC1028" s="9"/>
      <c r="BF1028" s="9"/>
      <c r="BI1028" s="9"/>
    </row>
    <row r="1029" spans="1:61">
      <c r="A1029" s="6"/>
      <c r="B1029" s="6"/>
      <c r="C1029" s="6"/>
      <c r="D1029" s="6"/>
      <c r="E1029" s="6"/>
      <c r="F1029" s="6"/>
      <c r="G1029" s="6"/>
      <c r="H1029" s="6"/>
      <c r="I1029" s="6"/>
      <c r="J1029" s="6"/>
      <c r="K1029" s="6"/>
      <c r="L1029" s="6"/>
      <c r="M1029" s="6"/>
      <c r="N1029" s="6"/>
      <c r="O1029" s="6"/>
      <c r="P1029" s="6"/>
      <c r="R1029" s="6"/>
      <c r="S1029" s="6"/>
      <c r="T1029" s="6"/>
      <c r="U1029" s="6"/>
      <c r="V1029" s="6"/>
      <c r="W1029" s="6"/>
      <c r="X1029" s="6"/>
      <c r="Y1029" s="6"/>
      <c r="Z1029" s="6"/>
      <c r="AA1029" s="6"/>
      <c r="AB1029" s="6"/>
      <c r="AD1029" s="6"/>
      <c r="AE1029" s="6"/>
      <c r="AF1029" s="6"/>
      <c r="AG1029" s="6"/>
      <c r="AH1029" s="6"/>
      <c r="AI1029" s="6"/>
      <c r="AK1029" s="6"/>
      <c r="AL1029" s="6"/>
      <c r="AM1029" s="6"/>
      <c r="AN1029" s="6"/>
      <c r="AO1029" s="6"/>
      <c r="AP1029" s="6"/>
      <c r="AQ1029" s="6"/>
      <c r="AR1029" s="6"/>
      <c r="AS1029" s="15"/>
      <c r="AT1029" s="6" t="str">
        <f ca="1">IFERROR(__xludf.DUMMYFUNCTION("""COMPUTED_VALUE"""),"#N/A")</f>
        <v>#N/A</v>
      </c>
      <c r="AU1029" s="6" t="str">
        <f ca="1">IFERROR(__xludf.DUMMYFUNCTION("""COMPUTED_VALUE"""),"FALSE")</f>
        <v>FALSE</v>
      </c>
      <c r="AZ1029" s="9"/>
      <c r="BC1029" s="9"/>
      <c r="BF1029" s="9"/>
      <c r="BI1029" s="9"/>
    </row>
    <row r="1030" spans="1:61">
      <c r="A1030" s="6"/>
      <c r="B1030" s="6"/>
      <c r="C1030" s="6"/>
      <c r="D1030" s="6"/>
      <c r="E1030" s="6"/>
      <c r="F1030" s="6"/>
      <c r="G1030" s="6"/>
      <c r="H1030" s="6"/>
      <c r="I1030" s="6"/>
      <c r="J1030" s="6"/>
      <c r="K1030" s="6"/>
      <c r="L1030" s="6"/>
      <c r="M1030" s="6"/>
      <c r="N1030" s="6"/>
      <c r="O1030" s="6"/>
      <c r="P1030" s="6"/>
      <c r="R1030" s="6"/>
      <c r="S1030" s="6"/>
      <c r="T1030" s="6"/>
      <c r="U1030" s="6"/>
      <c r="V1030" s="6"/>
      <c r="W1030" s="6"/>
      <c r="X1030" s="6"/>
      <c r="Y1030" s="6"/>
      <c r="Z1030" s="6"/>
      <c r="AA1030" s="6"/>
      <c r="AB1030" s="6"/>
      <c r="AD1030" s="6"/>
      <c r="AE1030" s="6"/>
      <c r="AF1030" s="6"/>
      <c r="AG1030" s="6"/>
      <c r="AH1030" s="6"/>
      <c r="AI1030" s="6"/>
      <c r="AK1030" s="6"/>
      <c r="AL1030" s="6"/>
      <c r="AM1030" s="6"/>
      <c r="AN1030" s="6"/>
      <c r="AO1030" s="6"/>
      <c r="AP1030" s="6"/>
      <c r="AQ1030" s="6"/>
      <c r="AR1030" s="6"/>
      <c r="AS1030" s="15"/>
      <c r="AT1030" s="6" t="str">
        <f ca="1">IFERROR(__xludf.DUMMYFUNCTION("""COMPUTED_VALUE"""),"#N/A")</f>
        <v>#N/A</v>
      </c>
      <c r="AU1030" s="6" t="str">
        <f ca="1">IFERROR(__xludf.DUMMYFUNCTION("""COMPUTED_VALUE"""),"FALSE")</f>
        <v>FALSE</v>
      </c>
      <c r="AZ1030" s="9"/>
      <c r="BC1030" s="9"/>
      <c r="BF1030" s="9"/>
      <c r="BI1030" s="9"/>
    </row>
    <row r="1031" spans="1:61">
      <c r="A1031" s="6"/>
      <c r="B1031" s="6"/>
      <c r="C1031" s="6"/>
      <c r="D1031" s="6"/>
      <c r="E1031" s="6"/>
      <c r="F1031" s="6"/>
      <c r="G1031" s="6"/>
      <c r="H1031" s="6"/>
      <c r="I1031" s="6"/>
      <c r="J1031" s="6"/>
      <c r="K1031" s="6"/>
      <c r="L1031" s="6"/>
      <c r="M1031" s="6"/>
      <c r="N1031" s="6"/>
      <c r="O1031" s="6"/>
      <c r="P1031" s="6"/>
      <c r="R1031" s="6"/>
      <c r="S1031" s="6"/>
      <c r="T1031" s="6"/>
      <c r="U1031" s="6"/>
      <c r="V1031" s="6"/>
      <c r="W1031" s="6"/>
      <c r="X1031" s="6"/>
      <c r="Y1031" s="6"/>
      <c r="Z1031" s="6"/>
      <c r="AA1031" s="6"/>
      <c r="AB1031" s="6"/>
      <c r="AD1031" s="6"/>
      <c r="AE1031" s="6"/>
      <c r="AF1031" s="6"/>
      <c r="AG1031" s="6"/>
      <c r="AH1031" s="6"/>
      <c r="AI1031" s="6"/>
      <c r="AK1031" s="6"/>
      <c r="AL1031" s="6"/>
      <c r="AM1031" s="6"/>
      <c r="AN1031" s="6"/>
      <c r="AO1031" s="6"/>
      <c r="AP1031" s="6"/>
      <c r="AQ1031" s="6"/>
      <c r="AR1031" s="6"/>
      <c r="AS1031" s="15"/>
      <c r="AT1031" s="6" t="str">
        <f ca="1">IFERROR(__xludf.DUMMYFUNCTION("""COMPUTED_VALUE"""),"#N/A")</f>
        <v>#N/A</v>
      </c>
      <c r="AU1031" s="6" t="str">
        <f ca="1">IFERROR(__xludf.DUMMYFUNCTION("""COMPUTED_VALUE"""),"FALSE")</f>
        <v>FALSE</v>
      </c>
      <c r="AZ1031" s="9"/>
      <c r="BC1031" s="9"/>
      <c r="BF1031" s="9"/>
      <c r="BI1031" s="9"/>
    </row>
    <row r="1032" spans="1:61">
      <c r="A1032" s="6"/>
      <c r="B1032" s="6"/>
      <c r="C1032" s="6"/>
      <c r="D1032" s="6"/>
      <c r="E1032" s="6"/>
      <c r="F1032" s="6"/>
      <c r="G1032" s="6"/>
      <c r="H1032" s="6"/>
      <c r="I1032" s="6"/>
      <c r="J1032" s="6"/>
      <c r="K1032" s="6"/>
      <c r="L1032" s="6"/>
      <c r="M1032" s="6"/>
      <c r="N1032" s="6"/>
      <c r="O1032" s="6"/>
      <c r="P1032" s="6"/>
      <c r="R1032" s="6"/>
      <c r="S1032" s="6"/>
      <c r="T1032" s="6"/>
      <c r="U1032" s="6"/>
      <c r="V1032" s="6"/>
      <c r="W1032" s="6"/>
      <c r="X1032" s="6"/>
      <c r="Y1032" s="6"/>
      <c r="Z1032" s="6"/>
      <c r="AA1032" s="6"/>
      <c r="AB1032" s="6"/>
      <c r="AD1032" s="6"/>
      <c r="AE1032" s="6"/>
      <c r="AF1032" s="6"/>
      <c r="AG1032" s="6"/>
      <c r="AH1032" s="6"/>
      <c r="AI1032" s="6"/>
      <c r="AK1032" s="6"/>
      <c r="AL1032" s="6"/>
      <c r="AM1032" s="6"/>
      <c r="AN1032" s="6"/>
      <c r="AO1032" s="6"/>
      <c r="AP1032" s="6"/>
      <c r="AQ1032" s="6"/>
      <c r="AR1032" s="6"/>
      <c r="AS1032" s="15"/>
      <c r="AT1032" s="6" t="str">
        <f ca="1">IFERROR(__xludf.DUMMYFUNCTION("""COMPUTED_VALUE"""),"#N/A")</f>
        <v>#N/A</v>
      </c>
      <c r="AU1032" s="6" t="str">
        <f ca="1">IFERROR(__xludf.DUMMYFUNCTION("""COMPUTED_VALUE"""),"FALSE")</f>
        <v>FALSE</v>
      </c>
      <c r="AZ1032" s="9"/>
      <c r="BC1032" s="9"/>
      <c r="BF1032" s="9"/>
      <c r="BI1032" s="9"/>
    </row>
    <row r="1033" spans="1:61">
      <c r="A1033" s="6"/>
      <c r="B1033" s="6"/>
      <c r="C1033" s="6"/>
      <c r="D1033" s="6"/>
      <c r="E1033" s="6"/>
      <c r="F1033" s="6"/>
      <c r="G1033" s="6"/>
      <c r="H1033" s="6"/>
      <c r="I1033" s="6"/>
      <c r="J1033" s="6"/>
      <c r="K1033" s="6"/>
      <c r="L1033" s="6"/>
      <c r="M1033" s="6"/>
      <c r="N1033" s="6"/>
      <c r="O1033" s="6"/>
      <c r="P1033" s="6"/>
      <c r="R1033" s="6"/>
      <c r="S1033" s="6"/>
      <c r="T1033" s="6"/>
      <c r="U1033" s="6"/>
      <c r="V1033" s="6"/>
      <c r="W1033" s="6"/>
      <c r="X1033" s="6"/>
      <c r="Y1033" s="6"/>
      <c r="Z1033" s="6"/>
      <c r="AA1033" s="6"/>
      <c r="AB1033" s="6"/>
      <c r="AD1033" s="6"/>
      <c r="AE1033" s="6"/>
      <c r="AF1033" s="6"/>
      <c r="AG1033" s="6"/>
      <c r="AH1033" s="6"/>
      <c r="AI1033" s="6"/>
      <c r="AK1033" s="6"/>
      <c r="AL1033" s="6"/>
      <c r="AM1033" s="6"/>
      <c r="AN1033" s="6"/>
      <c r="AO1033" s="6"/>
      <c r="AP1033" s="6"/>
      <c r="AQ1033" s="6"/>
      <c r="AR1033" s="6"/>
      <c r="AS1033" s="15"/>
      <c r="AT1033" s="6" t="str">
        <f ca="1">IFERROR(__xludf.DUMMYFUNCTION("""COMPUTED_VALUE"""),"#N/A")</f>
        <v>#N/A</v>
      </c>
      <c r="AU1033" s="6" t="str">
        <f ca="1">IFERROR(__xludf.DUMMYFUNCTION("""COMPUTED_VALUE"""),"FALSE")</f>
        <v>FALSE</v>
      </c>
      <c r="AZ1033" s="9"/>
      <c r="BC1033" s="9"/>
      <c r="BF1033" s="9"/>
      <c r="BI1033" s="9"/>
    </row>
    <row r="1034" spans="1:61">
      <c r="A1034" s="6"/>
      <c r="B1034" s="6"/>
      <c r="C1034" s="6"/>
      <c r="D1034" s="6"/>
      <c r="E1034" s="6"/>
      <c r="F1034" s="6"/>
      <c r="G1034" s="6"/>
      <c r="H1034" s="6"/>
      <c r="I1034" s="6"/>
      <c r="J1034" s="6"/>
      <c r="K1034" s="6"/>
      <c r="L1034" s="6"/>
      <c r="M1034" s="6"/>
      <c r="N1034" s="6"/>
      <c r="O1034" s="6"/>
      <c r="P1034" s="6"/>
      <c r="R1034" s="6"/>
      <c r="S1034" s="6"/>
      <c r="T1034" s="6"/>
      <c r="U1034" s="6"/>
      <c r="V1034" s="6"/>
      <c r="W1034" s="6"/>
      <c r="X1034" s="6"/>
      <c r="Y1034" s="6"/>
      <c r="Z1034" s="6"/>
      <c r="AA1034" s="6"/>
      <c r="AB1034" s="6"/>
      <c r="AD1034" s="6"/>
      <c r="AE1034" s="6"/>
      <c r="AF1034" s="6"/>
      <c r="AG1034" s="6"/>
      <c r="AH1034" s="6"/>
      <c r="AI1034" s="6"/>
      <c r="AK1034" s="6"/>
      <c r="AL1034" s="6"/>
      <c r="AM1034" s="6"/>
      <c r="AN1034" s="6"/>
      <c r="AO1034" s="6"/>
      <c r="AP1034" s="6"/>
      <c r="AQ1034" s="6"/>
      <c r="AR1034" s="6"/>
      <c r="AS1034" s="15"/>
      <c r="AT1034" s="6" t="str">
        <f ca="1">IFERROR(__xludf.DUMMYFUNCTION("""COMPUTED_VALUE"""),"#N/A")</f>
        <v>#N/A</v>
      </c>
      <c r="AU1034" s="6" t="str">
        <f ca="1">IFERROR(__xludf.DUMMYFUNCTION("""COMPUTED_VALUE"""),"FALSE")</f>
        <v>FALSE</v>
      </c>
      <c r="AZ1034" s="9"/>
      <c r="BC1034" s="9"/>
      <c r="BF1034" s="9"/>
      <c r="BI1034" s="9"/>
    </row>
    <row r="1035" spans="1:61">
      <c r="A1035" s="6"/>
      <c r="B1035" s="6"/>
      <c r="C1035" s="6"/>
      <c r="D1035" s="6"/>
      <c r="E1035" s="6"/>
      <c r="F1035" s="6"/>
      <c r="G1035" s="6"/>
      <c r="H1035" s="6"/>
      <c r="I1035" s="6"/>
      <c r="J1035" s="6"/>
      <c r="K1035" s="6"/>
      <c r="L1035" s="6"/>
      <c r="M1035" s="6"/>
      <c r="N1035" s="6"/>
      <c r="O1035" s="6"/>
      <c r="P1035" s="6"/>
      <c r="R1035" s="6"/>
      <c r="S1035" s="6"/>
      <c r="T1035" s="6"/>
      <c r="U1035" s="6"/>
      <c r="V1035" s="6"/>
      <c r="W1035" s="6"/>
      <c r="X1035" s="6"/>
      <c r="Y1035" s="6"/>
      <c r="Z1035" s="6"/>
      <c r="AA1035" s="6"/>
      <c r="AB1035" s="6"/>
      <c r="AD1035" s="6"/>
      <c r="AE1035" s="6"/>
      <c r="AF1035" s="6"/>
      <c r="AG1035" s="6"/>
      <c r="AH1035" s="6"/>
      <c r="AI1035" s="6"/>
      <c r="AK1035" s="6"/>
      <c r="AL1035" s="6"/>
      <c r="AM1035" s="6"/>
      <c r="AN1035" s="6"/>
      <c r="AO1035" s="6"/>
      <c r="AP1035" s="6"/>
      <c r="AQ1035" s="6"/>
      <c r="AR1035" s="6"/>
      <c r="AS1035" s="15"/>
      <c r="AT1035" s="6" t="str">
        <f ca="1">IFERROR(__xludf.DUMMYFUNCTION("""COMPUTED_VALUE"""),"#N/A")</f>
        <v>#N/A</v>
      </c>
      <c r="AU1035" s="6" t="str">
        <f ca="1">IFERROR(__xludf.DUMMYFUNCTION("""COMPUTED_VALUE"""),"FALSE")</f>
        <v>FALSE</v>
      </c>
      <c r="AZ1035" s="9"/>
      <c r="BC1035" s="9"/>
      <c r="BF1035" s="9"/>
      <c r="BI1035" s="9"/>
    </row>
    <row r="1036" spans="1:61">
      <c r="A1036" s="6"/>
      <c r="B1036" s="6"/>
      <c r="C1036" s="6"/>
      <c r="D1036" s="6"/>
      <c r="E1036" s="6"/>
      <c r="F1036" s="6"/>
      <c r="G1036" s="6"/>
      <c r="H1036" s="6"/>
      <c r="I1036" s="6"/>
      <c r="J1036" s="6"/>
      <c r="K1036" s="6"/>
      <c r="L1036" s="6"/>
      <c r="M1036" s="6"/>
      <c r="N1036" s="6"/>
      <c r="O1036" s="6"/>
      <c r="P1036" s="6"/>
      <c r="R1036" s="6"/>
      <c r="S1036" s="6"/>
      <c r="T1036" s="6"/>
      <c r="U1036" s="6"/>
      <c r="V1036" s="6"/>
      <c r="W1036" s="6"/>
      <c r="X1036" s="6"/>
      <c r="Y1036" s="6"/>
      <c r="Z1036" s="6"/>
      <c r="AA1036" s="6"/>
      <c r="AB1036" s="6"/>
      <c r="AD1036" s="6"/>
      <c r="AE1036" s="6"/>
      <c r="AF1036" s="6"/>
      <c r="AG1036" s="6"/>
      <c r="AH1036" s="6"/>
      <c r="AI1036" s="6"/>
      <c r="AK1036" s="6"/>
      <c r="AL1036" s="6"/>
      <c r="AM1036" s="6"/>
      <c r="AN1036" s="6"/>
      <c r="AO1036" s="6"/>
      <c r="AP1036" s="6"/>
      <c r="AQ1036" s="6"/>
      <c r="AR1036" s="6"/>
      <c r="AS1036" s="15"/>
      <c r="AT1036" s="6" t="str">
        <f ca="1">IFERROR(__xludf.DUMMYFUNCTION("""COMPUTED_VALUE"""),"#N/A")</f>
        <v>#N/A</v>
      </c>
      <c r="AU1036" s="6" t="str">
        <f ca="1">IFERROR(__xludf.DUMMYFUNCTION("""COMPUTED_VALUE"""),"FALSE")</f>
        <v>FALSE</v>
      </c>
      <c r="AZ1036" s="9"/>
      <c r="BC1036" s="9"/>
      <c r="BF1036" s="9"/>
      <c r="BI1036" s="9"/>
    </row>
    <row r="1037" spans="1:61">
      <c r="A1037" s="6"/>
      <c r="B1037" s="6"/>
      <c r="C1037" s="6"/>
      <c r="D1037" s="6"/>
      <c r="E1037" s="6"/>
      <c r="F1037" s="6"/>
      <c r="G1037" s="6"/>
      <c r="H1037" s="6"/>
      <c r="I1037" s="6"/>
      <c r="J1037" s="6"/>
      <c r="K1037" s="6"/>
      <c r="L1037" s="6"/>
      <c r="M1037" s="6"/>
      <c r="N1037" s="6"/>
      <c r="O1037" s="6"/>
      <c r="P1037" s="6"/>
      <c r="R1037" s="6"/>
      <c r="S1037" s="6"/>
      <c r="T1037" s="6"/>
      <c r="U1037" s="6"/>
      <c r="V1037" s="6"/>
      <c r="W1037" s="6"/>
      <c r="X1037" s="6"/>
      <c r="Y1037" s="6"/>
      <c r="Z1037" s="6"/>
      <c r="AA1037" s="6"/>
      <c r="AB1037" s="6"/>
      <c r="AD1037" s="6"/>
      <c r="AE1037" s="6"/>
      <c r="AF1037" s="6"/>
      <c r="AG1037" s="6"/>
      <c r="AH1037" s="6"/>
      <c r="AI1037" s="6"/>
      <c r="AK1037" s="6"/>
      <c r="AL1037" s="6"/>
      <c r="AM1037" s="6"/>
      <c r="AN1037" s="6"/>
      <c r="AO1037" s="6"/>
      <c r="AP1037" s="6"/>
      <c r="AQ1037" s="6"/>
      <c r="AR1037" s="6"/>
      <c r="AS1037" s="15"/>
      <c r="AT1037" s="6" t="str">
        <f ca="1">IFERROR(__xludf.DUMMYFUNCTION("""COMPUTED_VALUE"""),"#N/A")</f>
        <v>#N/A</v>
      </c>
      <c r="AU1037" s="6" t="str">
        <f ca="1">IFERROR(__xludf.DUMMYFUNCTION("""COMPUTED_VALUE"""),"FALSE")</f>
        <v>FALSE</v>
      </c>
      <c r="AZ1037" s="9"/>
      <c r="BC1037" s="9"/>
      <c r="BF1037" s="9"/>
      <c r="BI1037" s="9"/>
    </row>
    <row r="1038" spans="1:61">
      <c r="A1038" s="6"/>
      <c r="B1038" s="6"/>
      <c r="C1038" s="6"/>
      <c r="D1038" s="6"/>
      <c r="E1038" s="6"/>
      <c r="F1038" s="6"/>
      <c r="G1038" s="6"/>
      <c r="H1038" s="6"/>
      <c r="I1038" s="6"/>
      <c r="J1038" s="6"/>
      <c r="K1038" s="6"/>
      <c r="L1038" s="6"/>
      <c r="M1038" s="6"/>
      <c r="N1038" s="6"/>
      <c r="O1038" s="6"/>
      <c r="P1038" s="6"/>
      <c r="R1038" s="6"/>
      <c r="S1038" s="6"/>
      <c r="T1038" s="6"/>
      <c r="U1038" s="6"/>
      <c r="V1038" s="6"/>
      <c r="W1038" s="6"/>
      <c r="X1038" s="6"/>
      <c r="Y1038" s="6"/>
      <c r="Z1038" s="6"/>
      <c r="AA1038" s="6"/>
      <c r="AB1038" s="6"/>
      <c r="AD1038" s="6"/>
      <c r="AE1038" s="6"/>
      <c r="AF1038" s="6"/>
      <c r="AG1038" s="6"/>
      <c r="AH1038" s="6"/>
      <c r="AI1038" s="6"/>
      <c r="AK1038" s="6"/>
      <c r="AL1038" s="6"/>
      <c r="AM1038" s="6"/>
      <c r="AN1038" s="6"/>
      <c r="AO1038" s="6"/>
      <c r="AP1038" s="6"/>
      <c r="AQ1038" s="6"/>
      <c r="AR1038" s="6"/>
      <c r="AS1038" s="15"/>
      <c r="AT1038" s="6" t="str">
        <f ca="1">IFERROR(__xludf.DUMMYFUNCTION("""COMPUTED_VALUE"""),"#N/A")</f>
        <v>#N/A</v>
      </c>
      <c r="AU1038" s="6" t="str">
        <f ca="1">IFERROR(__xludf.DUMMYFUNCTION("""COMPUTED_VALUE"""),"FALSE")</f>
        <v>FALSE</v>
      </c>
      <c r="AZ1038" s="9"/>
      <c r="BC1038" s="9"/>
      <c r="BF1038" s="9"/>
      <c r="BI1038" s="9"/>
    </row>
    <row r="1039" spans="1:61">
      <c r="A1039" s="6"/>
      <c r="B1039" s="6"/>
      <c r="C1039" s="6"/>
      <c r="D1039" s="6"/>
      <c r="E1039" s="6"/>
      <c r="F1039" s="6"/>
      <c r="G1039" s="6"/>
      <c r="H1039" s="6"/>
      <c r="I1039" s="6"/>
      <c r="J1039" s="6"/>
      <c r="K1039" s="6"/>
      <c r="L1039" s="6"/>
      <c r="M1039" s="6"/>
      <c r="N1039" s="6"/>
      <c r="O1039" s="6"/>
      <c r="P1039" s="6"/>
      <c r="R1039" s="6"/>
      <c r="S1039" s="6"/>
      <c r="T1039" s="6"/>
      <c r="U1039" s="6"/>
      <c r="V1039" s="6"/>
      <c r="W1039" s="6"/>
      <c r="X1039" s="6"/>
      <c r="Y1039" s="6"/>
      <c r="Z1039" s="6"/>
      <c r="AA1039" s="6"/>
      <c r="AB1039" s="6"/>
      <c r="AD1039" s="6"/>
      <c r="AE1039" s="6"/>
      <c r="AF1039" s="6"/>
      <c r="AG1039" s="6"/>
      <c r="AH1039" s="6"/>
      <c r="AI1039" s="6"/>
      <c r="AK1039" s="6"/>
      <c r="AL1039" s="6"/>
      <c r="AM1039" s="6"/>
      <c r="AN1039" s="6"/>
      <c r="AO1039" s="6"/>
      <c r="AP1039" s="6"/>
      <c r="AQ1039" s="6"/>
      <c r="AR1039" s="6"/>
      <c r="AS1039" s="15"/>
      <c r="AT1039" s="6" t="str">
        <f ca="1">IFERROR(__xludf.DUMMYFUNCTION("""COMPUTED_VALUE"""),"#N/A")</f>
        <v>#N/A</v>
      </c>
      <c r="AU1039" s="6" t="str">
        <f ca="1">IFERROR(__xludf.DUMMYFUNCTION("""COMPUTED_VALUE"""),"FALSE")</f>
        <v>FALSE</v>
      </c>
      <c r="AZ1039" s="9"/>
      <c r="BC1039" s="9"/>
      <c r="BF1039" s="9"/>
      <c r="BI1039" s="9"/>
    </row>
    <row r="1040" spans="1:61">
      <c r="A1040" s="6"/>
      <c r="B1040" s="6"/>
      <c r="C1040" s="6"/>
      <c r="D1040" s="6"/>
      <c r="E1040" s="6"/>
      <c r="F1040" s="6"/>
      <c r="G1040" s="6"/>
      <c r="H1040" s="6"/>
      <c r="I1040" s="6"/>
      <c r="J1040" s="6"/>
      <c r="K1040" s="6"/>
      <c r="L1040" s="6"/>
      <c r="M1040" s="6"/>
      <c r="N1040" s="6"/>
      <c r="O1040" s="6"/>
      <c r="P1040" s="6"/>
      <c r="R1040" s="6"/>
      <c r="S1040" s="6"/>
      <c r="T1040" s="6"/>
      <c r="U1040" s="6"/>
      <c r="V1040" s="6"/>
      <c r="W1040" s="6"/>
      <c r="X1040" s="6"/>
      <c r="Y1040" s="6"/>
      <c r="Z1040" s="6"/>
      <c r="AA1040" s="6"/>
      <c r="AB1040" s="6"/>
      <c r="AD1040" s="6"/>
      <c r="AE1040" s="6"/>
      <c r="AF1040" s="6"/>
      <c r="AG1040" s="6"/>
      <c r="AH1040" s="6"/>
      <c r="AI1040" s="6"/>
      <c r="AK1040" s="6"/>
      <c r="AL1040" s="6"/>
      <c r="AM1040" s="6"/>
      <c r="AN1040" s="6"/>
      <c r="AO1040" s="6"/>
      <c r="AP1040" s="6"/>
      <c r="AQ1040" s="6"/>
      <c r="AR1040" s="6"/>
      <c r="AS1040" s="15"/>
      <c r="AT1040" s="6" t="str">
        <f ca="1">IFERROR(__xludf.DUMMYFUNCTION("""COMPUTED_VALUE"""),"#N/A")</f>
        <v>#N/A</v>
      </c>
      <c r="AU1040" s="6" t="str">
        <f ca="1">IFERROR(__xludf.DUMMYFUNCTION("""COMPUTED_VALUE"""),"FALSE")</f>
        <v>FALSE</v>
      </c>
      <c r="AZ1040" s="9"/>
      <c r="BC1040" s="9"/>
      <c r="BF1040" s="9"/>
      <c r="BI1040" s="9"/>
    </row>
    <row r="1041" spans="1:61">
      <c r="A1041" s="6"/>
      <c r="B1041" s="6"/>
      <c r="C1041" s="6"/>
      <c r="D1041" s="6"/>
      <c r="E1041" s="6"/>
      <c r="F1041" s="6"/>
      <c r="G1041" s="6"/>
      <c r="H1041" s="6"/>
      <c r="I1041" s="6"/>
      <c r="J1041" s="6"/>
      <c r="K1041" s="6"/>
      <c r="L1041" s="6"/>
      <c r="M1041" s="6"/>
      <c r="N1041" s="6"/>
      <c r="O1041" s="6"/>
      <c r="P1041" s="6"/>
      <c r="R1041" s="6"/>
      <c r="S1041" s="6"/>
      <c r="T1041" s="6"/>
      <c r="U1041" s="6"/>
      <c r="V1041" s="6"/>
      <c r="W1041" s="6"/>
      <c r="X1041" s="6"/>
      <c r="Y1041" s="6"/>
      <c r="Z1041" s="6"/>
      <c r="AA1041" s="6"/>
      <c r="AB1041" s="6"/>
      <c r="AD1041" s="6"/>
      <c r="AE1041" s="6"/>
      <c r="AF1041" s="6"/>
      <c r="AG1041" s="6"/>
      <c r="AH1041" s="6"/>
      <c r="AI1041" s="6"/>
      <c r="AK1041" s="6"/>
      <c r="AL1041" s="6"/>
      <c r="AM1041" s="6"/>
      <c r="AN1041" s="6"/>
      <c r="AO1041" s="6"/>
      <c r="AP1041" s="6"/>
      <c r="AQ1041" s="6"/>
      <c r="AR1041" s="6"/>
      <c r="AS1041" s="15"/>
      <c r="AT1041" s="6" t="str">
        <f ca="1">IFERROR(__xludf.DUMMYFUNCTION("""COMPUTED_VALUE"""),"#N/A")</f>
        <v>#N/A</v>
      </c>
      <c r="AU1041" s="6" t="str">
        <f ca="1">IFERROR(__xludf.DUMMYFUNCTION("""COMPUTED_VALUE"""),"FALSE")</f>
        <v>FALSE</v>
      </c>
      <c r="AZ1041" s="9"/>
      <c r="BC1041" s="9"/>
      <c r="BF1041" s="9"/>
      <c r="BI1041" s="9"/>
    </row>
    <row r="1042" spans="1:61">
      <c r="A1042" s="6"/>
      <c r="B1042" s="6"/>
      <c r="C1042" s="6"/>
      <c r="D1042" s="6"/>
      <c r="E1042" s="6"/>
      <c r="F1042" s="6"/>
      <c r="G1042" s="6"/>
      <c r="H1042" s="6"/>
      <c r="I1042" s="6"/>
      <c r="J1042" s="6"/>
      <c r="K1042" s="6"/>
      <c r="L1042" s="6"/>
      <c r="M1042" s="6"/>
      <c r="N1042" s="6"/>
      <c r="O1042" s="6"/>
      <c r="P1042" s="6"/>
      <c r="R1042" s="6"/>
      <c r="S1042" s="6"/>
      <c r="T1042" s="6"/>
      <c r="U1042" s="6"/>
      <c r="V1042" s="6"/>
      <c r="W1042" s="6"/>
      <c r="X1042" s="6"/>
      <c r="Y1042" s="6"/>
      <c r="Z1042" s="6"/>
      <c r="AA1042" s="6"/>
      <c r="AB1042" s="6"/>
      <c r="AD1042" s="6"/>
      <c r="AE1042" s="6"/>
      <c r="AF1042" s="6"/>
      <c r="AG1042" s="6"/>
      <c r="AH1042" s="6"/>
      <c r="AI1042" s="6"/>
      <c r="AK1042" s="6"/>
      <c r="AL1042" s="6"/>
      <c r="AM1042" s="6"/>
      <c r="AN1042" s="6"/>
      <c r="AO1042" s="6"/>
      <c r="AP1042" s="6"/>
      <c r="AQ1042" s="6"/>
      <c r="AR1042" s="6"/>
      <c r="AS1042" s="15"/>
      <c r="AT1042" s="6" t="str">
        <f ca="1">IFERROR(__xludf.DUMMYFUNCTION("""COMPUTED_VALUE"""),"#N/A")</f>
        <v>#N/A</v>
      </c>
      <c r="AU1042" s="6" t="str">
        <f ca="1">IFERROR(__xludf.DUMMYFUNCTION("""COMPUTED_VALUE"""),"FALSE")</f>
        <v>FALSE</v>
      </c>
      <c r="AZ1042" s="9"/>
      <c r="BC1042" s="9"/>
      <c r="BF1042" s="9"/>
      <c r="BI1042" s="9"/>
    </row>
    <row r="1043" spans="1:61">
      <c r="A1043" s="6"/>
      <c r="B1043" s="6"/>
      <c r="C1043" s="6"/>
      <c r="D1043" s="6"/>
      <c r="E1043" s="6"/>
      <c r="F1043" s="6"/>
      <c r="G1043" s="6"/>
      <c r="H1043" s="6"/>
      <c r="I1043" s="6"/>
      <c r="J1043" s="6"/>
      <c r="K1043" s="6"/>
      <c r="L1043" s="6"/>
      <c r="M1043" s="6"/>
      <c r="N1043" s="6"/>
      <c r="O1043" s="6"/>
      <c r="P1043" s="6"/>
      <c r="R1043" s="6"/>
      <c r="S1043" s="6"/>
      <c r="T1043" s="6"/>
      <c r="U1043" s="6"/>
      <c r="V1043" s="6"/>
      <c r="W1043" s="6"/>
      <c r="X1043" s="6"/>
      <c r="Y1043" s="6"/>
      <c r="Z1043" s="6"/>
      <c r="AA1043" s="6"/>
      <c r="AB1043" s="6"/>
      <c r="AD1043" s="6"/>
      <c r="AE1043" s="6"/>
      <c r="AF1043" s="6"/>
      <c r="AG1043" s="6"/>
      <c r="AH1043" s="6"/>
      <c r="AI1043" s="6"/>
      <c r="AK1043" s="6"/>
      <c r="AL1043" s="6"/>
      <c r="AM1043" s="6"/>
      <c r="AN1043" s="6"/>
      <c r="AO1043" s="6"/>
      <c r="AP1043" s="6"/>
      <c r="AQ1043" s="6"/>
      <c r="AR1043" s="6"/>
      <c r="AS1043" s="15"/>
      <c r="AT1043" s="6" t="str">
        <f ca="1">IFERROR(__xludf.DUMMYFUNCTION("""COMPUTED_VALUE"""),"#N/A")</f>
        <v>#N/A</v>
      </c>
      <c r="AU1043" s="6" t="str">
        <f ca="1">IFERROR(__xludf.DUMMYFUNCTION("""COMPUTED_VALUE"""),"FALSE")</f>
        <v>FALSE</v>
      </c>
      <c r="AZ1043" s="9"/>
      <c r="BC1043" s="9"/>
      <c r="BF1043" s="9"/>
      <c r="BI1043" s="9"/>
    </row>
    <row r="1044" spans="1:61">
      <c r="A1044" s="6"/>
      <c r="B1044" s="6"/>
      <c r="C1044" s="6"/>
      <c r="D1044" s="6"/>
      <c r="E1044" s="6"/>
      <c r="F1044" s="6"/>
      <c r="G1044" s="6"/>
      <c r="H1044" s="6"/>
      <c r="I1044" s="6"/>
      <c r="J1044" s="6"/>
      <c r="K1044" s="6"/>
      <c r="L1044" s="6"/>
      <c r="M1044" s="6"/>
      <c r="N1044" s="6"/>
      <c r="O1044" s="6"/>
      <c r="P1044" s="6"/>
      <c r="R1044" s="6"/>
      <c r="S1044" s="6"/>
      <c r="T1044" s="6"/>
      <c r="U1044" s="6"/>
      <c r="V1044" s="6"/>
      <c r="W1044" s="6"/>
      <c r="X1044" s="6"/>
      <c r="Y1044" s="6"/>
      <c r="Z1044" s="6"/>
      <c r="AA1044" s="6"/>
      <c r="AB1044" s="6"/>
      <c r="AD1044" s="6"/>
      <c r="AE1044" s="6"/>
      <c r="AF1044" s="6"/>
      <c r="AG1044" s="6"/>
      <c r="AH1044" s="6"/>
      <c r="AI1044" s="6"/>
      <c r="AK1044" s="6"/>
      <c r="AL1044" s="6"/>
      <c r="AM1044" s="6"/>
      <c r="AN1044" s="6"/>
      <c r="AO1044" s="6"/>
      <c r="AP1044" s="6"/>
      <c r="AQ1044" s="6"/>
      <c r="AR1044" s="6"/>
      <c r="AS1044" s="15"/>
      <c r="AT1044" s="6" t="str">
        <f ca="1">IFERROR(__xludf.DUMMYFUNCTION("""COMPUTED_VALUE"""),"#N/A")</f>
        <v>#N/A</v>
      </c>
      <c r="AU1044" s="6" t="str">
        <f ca="1">IFERROR(__xludf.DUMMYFUNCTION("""COMPUTED_VALUE"""),"FALSE")</f>
        <v>FALSE</v>
      </c>
      <c r="AZ1044" s="9"/>
      <c r="BC1044" s="9"/>
      <c r="BF1044" s="9"/>
      <c r="BI1044" s="9"/>
    </row>
    <row r="1045" spans="1:61">
      <c r="A1045" s="6"/>
      <c r="B1045" s="6"/>
      <c r="C1045" s="6"/>
      <c r="D1045" s="6"/>
      <c r="E1045" s="6"/>
      <c r="F1045" s="6"/>
      <c r="G1045" s="6"/>
      <c r="H1045" s="6"/>
      <c r="I1045" s="6"/>
      <c r="J1045" s="6"/>
      <c r="K1045" s="6"/>
      <c r="L1045" s="6"/>
      <c r="M1045" s="6"/>
      <c r="N1045" s="6"/>
      <c r="O1045" s="6"/>
      <c r="P1045" s="6"/>
      <c r="R1045" s="6"/>
      <c r="S1045" s="6"/>
      <c r="T1045" s="6"/>
      <c r="U1045" s="6"/>
      <c r="V1045" s="6"/>
      <c r="W1045" s="6"/>
      <c r="X1045" s="6"/>
      <c r="Y1045" s="6"/>
      <c r="Z1045" s="6"/>
      <c r="AA1045" s="6"/>
      <c r="AB1045" s="6"/>
      <c r="AD1045" s="6"/>
      <c r="AE1045" s="6"/>
      <c r="AF1045" s="6"/>
      <c r="AG1045" s="6"/>
      <c r="AH1045" s="6"/>
      <c r="AI1045" s="6"/>
      <c r="AK1045" s="6"/>
      <c r="AL1045" s="6"/>
      <c r="AM1045" s="6"/>
      <c r="AN1045" s="6"/>
      <c r="AO1045" s="6"/>
      <c r="AP1045" s="6"/>
      <c r="AQ1045" s="6"/>
      <c r="AR1045" s="6"/>
      <c r="AS1045" s="15"/>
      <c r="AT1045" s="6" t="str">
        <f ca="1">IFERROR(__xludf.DUMMYFUNCTION("""COMPUTED_VALUE"""),"#N/A")</f>
        <v>#N/A</v>
      </c>
      <c r="AU1045" s="6" t="str">
        <f ca="1">IFERROR(__xludf.DUMMYFUNCTION("""COMPUTED_VALUE"""),"FALSE")</f>
        <v>FALSE</v>
      </c>
      <c r="AZ1045" s="9"/>
      <c r="BC1045" s="9"/>
      <c r="BF1045" s="9"/>
      <c r="BI1045" s="9"/>
    </row>
    <row r="1046" spans="1:61">
      <c r="A1046" s="6"/>
      <c r="B1046" s="6"/>
      <c r="C1046" s="6"/>
      <c r="D1046" s="6"/>
      <c r="E1046" s="6"/>
      <c r="F1046" s="6"/>
      <c r="G1046" s="6"/>
      <c r="H1046" s="6"/>
      <c r="I1046" s="6"/>
      <c r="J1046" s="6"/>
      <c r="K1046" s="6"/>
      <c r="L1046" s="6"/>
      <c r="M1046" s="6"/>
      <c r="N1046" s="6"/>
      <c r="O1046" s="6"/>
      <c r="P1046" s="6"/>
      <c r="R1046" s="6"/>
      <c r="S1046" s="6"/>
      <c r="T1046" s="6"/>
      <c r="U1046" s="6"/>
      <c r="V1046" s="6"/>
      <c r="W1046" s="6"/>
      <c r="X1046" s="6"/>
      <c r="Y1046" s="6"/>
      <c r="Z1046" s="6"/>
      <c r="AA1046" s="6"/>
      <c r="AB1046" s="6"/>
      <c r="AD1046" s="6"/>
      <c r="AE1046" s="6"/>
      <c r="AF1046" s="6"/>
      <c r="AG1046" s="6"/>
      <c r="AH1046" s="6"/>
      <c r="AI1046" s="6"/>
      <c r="AK1046" s="6"/>
      <c r="AL1046" s="6"/>
      <c r="AM1046" s="6"/>
      <c r="AN1046" s="6"/>
      <c r="AO1046" s="6"/>
      <c r="AP1046" s="6"/>
      <c r="AQ1046" s="6"/>
      <c r="AR1046" s="6"/>
      <c r="AS1046" s="15"/>
      <c r="AT1046" s="6" t="str">
        <f ca="1">IFERROR(__xludf.DUMMYFUNCTION("""COMPUTED_VALUE"""),"#N/A")</f>
        <v>#N/A</v>
      </c>
      <c r="AU1046" s="6" t="str">
        <f ca="1">IFERROR(__xludf.DUMMYFUNCTION("""COMPUTED_VALUE"""),"FALSE")</f>
        <v>FALSE</v>
      </c>
      <c r="AZ1046" s="9"/>
      <c r="BC1046" s="9"/>
      <c r="BF1046" s="9"/>
      <c r="BI1046" s="9"/>
    </row>
    <row r="1047" spans="1:61">
      <c r="A1047" s="6"/>
      <c r="B1047" s="6"/>
      <c r="C1047" s="6"/>
      <c r="D1047" s="6"/>
      <c r="E1047" s="6"/>
      <c r="F1047" s="6"/>
      <c r="G1047" s="6"/>
      <c r="H1047" s="6"/>
      <c r="I1047" s="6"/>
      <c r="J1047" s="6"/>
      <c r="K1047" s="6"/>
      <c r="L1047" s="6"/>
      <c r="M1047" s="6"/>
      <c r="N1047" s="6"/>
      <c r="O1047" s="6"/>
      <c r="P1047" s="6"/>
      <c r="R1047" s="6"/>
      <c r="S1047" s="6"/>
      <c r="T1047" s="6"/>
      <c r="U1047" s="6"/>
      <c r="V1047" s="6"/>
      <c r="W1047" s="6"/>
      <c r="X1047" s="6"/>
      <c r="Y1047" s="6"/>
      <c r="Z1047" s="6"/>
      <c r="AA1047" s="6"/>
      <c r="AB1047" s="6"/>
      <c r="AD1047" s="6"/>
      <c r="AE1047" s="6"/>
      <c r="AF1047" s="6"/>
      <c r="AG1047" s="6"/>
      <c r="AH1047" s="6"/>
      <c r="AI1047" s="6"/>
      <c r="AK1047" s="6"/>
      <c r="AL1047" s="6"/>
      <c r="AM1047" s="6"/>
      <c r="AN1047" s="6"/>
      <c r="AO1047" s="6"/>
      <c r="AP1047" s="6"/>
      <c r="AQ1047" s="6"/>
      <c r="AR1047" s="6"/>
      <c r="AS1047" s="15"/>
      <c r="AT1047" s="6" t="str">
        <f ca="1">IFERROR(__xludf.DUMMYFUNCTION("""COMPUTED_VALUE"""),"#N/A")</f>
        <v>#N/A</v>
      </c>
      <c r="AU1047" s="6" t="str">
        <f ca="1">IFERROR(__xludf.DUMMYFUNCTION("""COMPUTED_VALUE"""),"FALSE")</f>
        <v>FALSE</v>
      </c>
      <c r="AZ1047" s="9"/>
      <c r="BC1047" s="9"/>
      <c r="BF1047" s="9"/>
      <c r="BI1047" s="9"/>
    </row>
    <row r="1048" spans="1:61">
      <c r="A1048" s="6"/>
      <c r="B1048" s="6"/>
      <c r="C1048" s="6"/>
      <c r="D1048" s="6"/>
      <c r="E1048" s="6"/>
      <c r="F1048" s="6"/>
      <c r="G1048" s="6"/>
      <c r="H1048" s="6"/>
      <c r="I1048" s="6"/>
      <c r="J1048" s="6"/>
      <c r="K1048" s="6"/>
      <c r="L1048" s="6"/>
      <c r="M1048" s="6"/>
      <c r="N1048" s="6"/>
      <c r="O1048" s="6"/>
      <c r="P1048" s="6"/>
      <c r="R1048" s="6"/>
      <c r="S1048" s="6"/>
      <c r="T1048" s="6"/>
      <c r="U1048" s="6"/>
      <c r="V1048" s="6"/>
      <c r="W1048" s="6"/>
      <c r="X1048" s="6"/>
      <c r="Y1048" s="6"/>
      <c r="Z1048" s="6"/>
      <c r="AA1048" s="6"/>
      <c r="AB1048" s="6"/>
      <c r="AD1048" s="6"/>
      <c r="AE1048" s="6"/>
      <c r="AF1048" s="6"/>
      <c r="AG1048" s="6"/>
      <c r="AH1048" s="6"/>
      <c r="AI1048" s="6"/>
      <c r="AK1048" s="6"/>
      <c r="AL1048" s="6"/>
      <c r="AM1048" s="6"/>
      <c r="AN1048" s="6"/>
      <c r="AO1048" s="6"/>
      <c r="AP1048" s="6"/>
      <c r="AQ1048" s="6"/>
      <c r="AR1048" s="6"/>
      <c r="AS1048" s="15"/>
      <c r="AT1048" s="6" t="str">
        <f ca="1">IFERROR(__xludf.DUMMYFUNCTION("""COMPUTED_VALUE"""),"#N/A")</f>
        <v>#N/A</v>
      </c>
      <c r="AU1048" s="6" t="str">
        <f ca="1">IFERROR(__xludf.DUMMYFUNCTION("""COMPUTED_VALUE"""),"FALSE")</f>
        <v>FALSE</v>
      </c>
      <c r="AZ1048" s="9"/>
      <c r="BC1048" s="9"/>
      <c r="BF1048" s="9"/>
      <c r="BI1048" s="9"/>
    </row>
    <row r="1049" spans="1:61">
      <c r="A1049" s="6"/>
      <c r="B1049" s="6"/>
      <c r="C1049" s="6"/>
      <c r="D1049" s="6"/>
      <c r="E1049" s="6"/>
      <c r="F1049" s="6"/>
      <c r="G1049" s="6"/>
      <c r="H1049" s="6"/>
      <c r="I1049" s="6"/>
      <c r="J1049" s="6"/>
      <c r="K1049" s="6"/>
      <c r="L1049" s="6"/>
      <c r="M1049" s="6"/>
      <c r="N1049" s="6"/>
      <c r="O1049" s="6"/>
      <c r="P1049" s="6"/>
      <c r="R1049" s="6"/>
      <c r="S1049" s="6"/>
      <c r="T1049" s="6"/>
      <c r="U1049" s="6"/>
      <c r="V1049" s="6"/>
      <c r="W1049" s="6"/>
      <c r="X1049" s="6"/>
      <c r="Y1049" s="6"/>
      <c r="Z1049" s="6"/>
      <c r="AA1049" s="6"/>
      <c r="AB1049" s="6"/>
      <c r="AD1049" s="6"/>
      <c r="AE1049" s="6"/>
      <c r="AF1049" s="6"/>
      <c r="AG1049" s="6"/>
      <c r="AH1049" s="6"/>
      <c r="AI1049" s="6"/>
      <c r="AK1049" s="6"/>
      <c r="AL1049" s="6"/>
      <c r="AM1049" s="6"/>
      <c r="AN1049" s="6"/>
      <c r="AO1049" s="6"/>
      <c r="AP1049" s="6"/>
      <c r="AQ1049" s="6"/>
      <c r="AR1049" s="6"/>
      <c r="AS1049" s="15"/>
      <c r="AT1049" s="6" t="str">
        <f ca="1">IFERROR(__xludf.DUMMYFUNCTION("""COMPUTED_VALUE"""),"#N/A")</f>
        <v>#N/A</v>
      </c>
      <c r="AU1049" s="6" t="str">
        <f ca="1">IFERROR(__xludf.DUMMYFUNCTION("""COMPUTED_VALUE"""),"FALSE")</f>
        <v>FALSE</v>
      </c>
      <c r="AZ1049" s="9"/>
      <c r="BC1049" s="9"/>
      <c r="BF1049" s="9"/>
      <c r="BI1049" s="9"/>
    </row>
    <row r="1050" spans="1:61">
      <c r="A1050" s="6"/>
      <c r="B1050" s="6"/>
      <c r="C1050" s="6"/>
      <c r="D1050" s="6"/>
      <c r="E1050" s="6"/>
      <c r="F1050" s="6"/>
      <c r="G1050" s="6"/>
      <c r="H1050" s="6"/>
      <c r="I1050" s="6"/>
      <c r="J1050" s="6"/>
      <c r="K1050" s="6"/>
      <c r="L1050" s="6"/>
      <c r="M1050" s="6"/>
      <c r="N1050" s="6"/>
      <c r="O1050" s="6"/>
      <c r="P1050" s="6"/>
      <c r="R1050" s="6"/>
      <c r="S1050" s="6"/>
      <c r="T1050" s="6"/>
      <c r="U1050" s="6"/>
      <c r="V1050" s="6"/>
      <c r="W1050" s="6"/>
      <c r="X1050" s="6"/>
      <c r="Y1050" s="6"/>
      <c r="Z1050" s="6"/>
      <c r="AA1050" s="6"/>
      <c r="AB1050" s="6"/>
      <c r="AD1050" s="6"/>
      <c r="AE1050" s="6"/>
      <c r="AF1050" s="6"/>
      <c r="AG1050" s="6"/>
      <c r="AH1050" s="6"/>
      <c r="AI1050" s="6"/>
      <c r="AK1050" s="6"/>
      <c r="AL1050" s="6"/>
      <c r="AM1050" s="6"/>
      <c r="AN1050" s="6"/>
      <c r="AO1050" s="6"/>
      <c r="AP1050" s="6"/>
      <c r="AQ1050" s="6"/>
      <c r="AR1050" s="6"/>
      <c r="AS1050" s="15"/>
      <c r="AT1050" s="6" t="str">
        <f ca="1">IFERROR(__xludf.DUMMYFUNCTION("""COMPUTED_VALUE"""),"#N/A")</f>
        <v>#N/A</v>
      </c>
      <c r="AU1050" s="6" t="str">
        <f ca="1">IFERROR(__xludf.DUMMYFUNCTION("""COMPUTED_VALUE"""),"FALSE")</f>
        <v>FALSE</v>
      </c>
      <c r="AZ1050" s="9"/>
      <c r="BC1050" s="9"/>
      <c r="BF1050" s="9"/>
      <c r="BI1050" s="9"/>
    </row>
    <row r="1051" spans="1:61">
      <c r="A1051" s="6"/>
      <c r="B1051" s="6"/>
      <c r="C1051" s="6"/>
      <c r="D1051" s="6"/>
      <c r="E1051" s="6"/>
      <c r="F1051" s="6"/>
      <c r="G1051" s="6"/>
      <c r="H1051" s="6"/>
      <c r="I1051" s="6"/>
      <c r="J1051" s="6"/>
      <c r="K1051" s="6"/>
      <c r="L1051" s="6"/>
      <c r="M1051" s="6"/>
      <c r="N1051" s="6"/>
      <c r="O1051" s="6"/>
      <c r="P1051" s="6"/>
      <c r="R1051" s="6"/>
      <c r="S1051" s="6"/>
      <c r="T1051" s="6"/>
      <c r="U1051" s="6"/>
      <c r="V1051" s="6"/>
      <c r="W1051" s="6"/>
      <c r="X1051" s="6"/>
      <c r="Y1051" s="6"/>
      <c r="Z1051" s="6"/>
      <c r="AA1051" s="6"/>
      <c r="AB1051" s="6"/>
      <c r="AD1051" s="6"/>
      <c r="AE1051" s="6"/>
      <c r="AF1051" s="6"/>
      <c r="AG1051" s="6"/>
      <c r="AH1051" s="6"/>
      <c r="AI1051" s="6"/>
      <c r="AK1051" s="6"/>
      <c r="AL1051" s="6"/>
      <c r="AM1051" s="6"/>
      <c r="AN1051" s="6"/>
      <c r="AO1051" s="6"/>
      <c r="AP1051" s="6"/>
      <c r="AQ1051" s="6"/>
      <c r="AR1051" s="6"/>
      <c r="AS1051" s="15"/>
      <c r="AT1051" s="6" t="str">
        <f ca="1">IFERROR(__xludf.DUMMYFUNCTION("""COMPUTED_VALUE"""),"#N/A")</f>
        <v>#N/A</v>
      </c>
      <c r="AU1051" s="6" t="str">
        <f ca="1">IFERROR(__xludf.DUMMYFUNCTION("""COMPUTED_VALUE"""),"FALSE")</f>
        <v>FALSE</v>
      </c>
      <c r="AZ1051" s="9"/>
      <c r="BC1051" s="9"/>
      <c r="BF1051" s="9"/>
      <c r="BI1051" s="9"/>
    </row>
    <row r="1052" spans="1:61">
      <c r="A1052" s="6"/>
      <c r="B1052" s="6"/>
      <c r="C1052" s="6"/>
      <c r="D1052" s="6"/>
      <c r="E1052" s="6"/>
      <c r="F1052" s="6"/>
      <c r="G1052" s="6"/>
      <c r="H1052" s="6"/>
      <c r="I1052" s="6"/>
      <c r="J1052" s="6"/>
      <c r="K1052" s="6"/>
      <c r="L1052" s="6"/>
      <c r="M1052" s="6"/>
      <c r="N1052" s="6"/>
      <c r="O1052" s="6"/>
      <c r="P1052" s="6"/>
      <c r="R1052" s="6"/>
      <c r="S1052" s="6"/>
      <c r="T1052" s="6"/>
      <c r="U1052" s="6"/>
      <c r="V1052" s="6"/>
      <c r="W1052" s="6"/>
      <c r="X1052" s="6"/>
      <c r="Y1052" s="6"/>
      <c r="Z1052" s="6"/>
      <c r="AA1052" s="6"/>
      <c r="AB1052" s="6"/>
      <c r="AD1052" s="6"/>
      <c r="AE1052" s="6"/>
      <c r="AF1052" s="6"/>
      <c r="AG1052" s="6"/>
      <c r="AH1052" s="6"/>
      <c r="AI1052" s="6"/>
      <c r="AK1052" s="6"/>
      <c r="AL1052" s="6"/>
      <c r="AM1052" s="6"/>
      <c r="AN1052" s="6"/>
      <c r="AO1052" s="6"/>
      <c r="AP1052" s="6"/>
      <c r="AQ1052" s="6"/>
      <c r="AR1052" s="6"/>
      <c r="AS1052" s="15"/>
      <c r="AT1052" s="6" t="str">
        <f ca="1">IFERROR(__xludf.DUMMYFUNCTION("""COMPUTED_VALUE"""),"#N/A")</f>
        <v>#N/A</v>
      </c>
      <c r="AU1052" s="6" t="str">
        <f ca="1">IFERROR(__xludf.DUMMYFUNCTION("""COMPUTED_VALUE"""),"FALSE")</f>
        <v>FALSE</v>
      </c>
      <c r="AZ1052" s="9"/>
      <c r="BC1052" s="9"/>
      <c r="BF1052" s="9"/>
      <c r="BI1052" s="9"/>
    </row>
    <row r="1053" spans="1:61">
      <c r="A1053" s="6"/>
      <c r="B1053" s="6"/>
      <c r="C1053" s="6"/>
      <c r="D1053" s="6"/>
      <c r="E1053" s="6"/>
      <c r="F1053" s="6"/>
      <c r="G1053" s="6"/>
      <c r="H1053" s="6"/>
      <c r="I1053" s="6"/>
      <c r="J1053" s="6"/>
      <c r="K1053" s="6"/>
      <c r="L1053" s="6"/>
      <c r="M1053" s="6"/>
      <c r="N1053" s="6"/>
      <c r="O1053" s="6"/>
      <c r="P1053" s="6"/>
      <c r="R1053" s="6"/>
      <c r="S1053" s="6"/>
      <c r="T1053" s="6"/>
      <c r="U1053" s="6"/>
      <c r="V1053" s="6"/>
      <c r="W1053" s="6"/>
      <c r="X1053" s="6"/>
      <c r="Y1053" s="6"/>
      <c r="Z1053" s="6"/>
      <c r="AA1053" s="6"/>
      <c r="AB1053" s="6"/>
      <c r="AD1053" s="6"/>
      <c r="AE1053" s="6"/>
      <c r="AF1053" s="6"/>
      <c r="AG1053" s="6"/>
      <c r="AH1053" s="6"/>
      <c r="AI1053" s="6"/>
      <c r="AK1053" s="6"/>
      <c r="AL1053" s="6"/>
      <c r="AM1053" s="6"/>
      <c r="AN1053" s="6"/>
      <c r="AO1053" s="6"/>
      <c r="AP1053" s="6"/>
      <c r="AQ1053" s="6"/>
      <c r="AR1053" s="6"/>
      <c r="AS1053" s="15"/>
      <c r="AT1053" s="6" t="str">
        <f ca="1">IFERROR(__xludf.DUMMYFUNCTION("""COMPUTED_VALUE"""),"#N/A")</f>
        <v>#N/A</v>
      </c>
      <c r="AU1053" s="6" t="str">
        <f ca="1">IFERROR(__xludf.DUMMYFUNCTION("""COMPUTED_VALUE"""),"FALSE")</f>
        <v>FALSE</v>
      </c>
      <c r="AZ1053" s="9"/>
      <c r="BC1053" s="9"/>
      <c r="BF1053" s="9"/>
      <c r="BI1053" s="9"/>
    </row>
    <row r="1054" spans="1:61">
      <c r="A1054" s="6"/>
      <c r="B1054" s="6"/>
      <c r="C1054" s="6"/>
      <c r="D1054" s="6"/>
      <c r="E1054" s="6"/>
      <c r="F1054" s="6"/>
      <c r="G1054" s="6"/>
      <c r="H1054" s="6"/>
      <c r="I1054" s="6"/>
      <c r="J1054" s="6"/>
      <c r="K1054" s="6"/>
      <c r="L1054" s="6"/>
      <c r="M1054" s="6"/>
      <c r="N1054" s="6"/>
      <c r="O1054" s="6"/>
      <c r="P1054" s="6"/>
      <c r="R1054" s="6"/>
      <c r="S1054" s="6"/>
      <c r="T1054" s="6"/>
      <c r="U1054" s="6"/>
      <c r="V1054" s="6"/>
      <c r="W1054" s="6"/>
      <c r="X1054" s="6"/>
      <c r="Y1054" s="6"/>
      <c r="Z1054" s="6"/>
      <c r="AA1054" s="6"/>
      <c r="AB1054" s="6"/>
      <c r="AD1054" s="6"/>
      <c r="AE1054" s="6"/>
      <c r="AF1054" s="6"/>
      <c r="AG1054" s="6"/>
      <c r="AH1054" s="6"/>
      <c r="AI1054" s="6"/>
      <c r="AK1054" s="6"/>
      <c r="AL1054" s="6"/>
      <c r="AM1054" s="6"/>
      <c r="AN1054" s="6"/>
      <c r="AO1054" s="6"/>
      <c r="AP1054" s="6"/>
      <c r="AQ1054" s="6"/>
      <c r="AR1054" s="6"/>
      <c r="AS1054" s="15"/>
      <c r="AT1054" s="6" t="str">
        <f ca="1">IFERROR(__xludf.DUMMYFUNCTION("""COMPUTED_VALUE"""),"#N/A")</f>
        <v>#N/A</v>
      </c>
      <c r="AU1054" s="6" t="str">
        <f ca="1">IFERROR(__xludf.DUMMYFUNCTION("""COMPUTED_VALUE"""),"FALSE")</f>
        <v>FALSE</v>
      </c>
      <c r="AZ1054" s="9"/>
      <c r="BC1054" s="9"/>
      <c r="BF1054" s="9"/>
      <c r="BI1054" s="9"/>
    </row>
    <row r="1055" spans="1:61">
      <c r="A1055" s="6"/>
      <c r="B1055" s="6"/>
      <c r="C1055" s="6"/>
      <c r="D1055" s="6"/>
      <c r="E1055" s="6"/>
      <c r="F1055" s="6"/>
      <c r="G1055" s="6"/>
      <c r="H1055" s="6"/>
      <c r="I1055" s="6"/>
      <c r="J1055" s="6"/>
      <c r="K1055" s="6"/>
      <c r="L1055" s="6"/>
      <c r="M1055" s="6"/>
      <c r="N1055" s="6"/>
      <c r="O1055" s="6"/>
      <c r="P1055" s="6"/>
      <c r="R1055" s="6"/>
      <c r="S1055" s="6"/>
      <c r="T1055" s="6"/>
      <c r="U1055" s="6"/>
      <c r="V1055" s="6"/>
      <c r="W1055" s="6"/>
      <c r="X1055" s="6"/>
      <c r="Y1055" s="6"/>
      <c r="Z1055" s="6"/>
      <c r="AA1055" s="6"/>
      <c r="AB1055" s="6"/>
      <c r="AD1055" s="6"/>
      <c r="AE1055" s="6"/>
      <c r="AF1055" s="6"/>
      <c r="AG1055" s="6"/>
      <c r="AH1055" s="6"/>
      <c r="AI1055" s="6"/>
      <c r="AK1055" s="6"/>
      <c r="AL1055" s="6"/>
      <c r="AM1055" s="6"/>
      <c r="AN1055" s="6"/>
      <c r="AO1055" s="6"/>
      <c r="AP1055" s="6"/>
      <c r="AQ1055" s="6"/>
      <c r="AR1055" s="6"/>
      <c r="AS1055" s="15"/>
      <c r="AT1055" s="6" t="str">
        <f ca="1">IFERROR(__xludf.DUMMYFUNCTION("""COMPUTED_VALUE"""),"#N/A")</f>
        <v>#N/A</v>
      </c>
      <c r="AU1055" s="6" t="str">
        <f ca="1">IFERROR(__xludf.DUMMYFUNCTION("""COMPUTED_VALUE"""),"FALSE")</f>
        <v>FALSE</v>
      </c>
      <c r="AZ1055" s="9"/>
      <c r="BC1055" s="9"/>
      <c r="BF1055" s="9"/>
      <c r="BI1055" s="9"/>
    </row>
    <row r="1056" spans="1:61">
      <c r="A1056" s="6"/>
      <c r="B1056" s="6"/>
      <c r="C1056" s="6"/>
      <c r="D1056" s="6"/>
      <c r="E1056" s="6"/>
      <c r="F1056" s="6"/>
      <c r="G1056" s="6"/>
      <c r="H1056" s="6"/>
      <c r="I1056" s="6"/>
      <c r="J1056" s="6"/>
      <c r="K1056" s="6"/>
      <c r="L1056" s="6"/>
      <c r="M1056" s="6"/>
      <c r="N1056" s="6"/>
      <c r="O1056" s="6"/>
      <c r="P1056" s="6"/>
      <c r="R1056" s="6"/>
      <c r="S1056" s="6"/>
      <c r="T1056" s="6"/>
      <c r="U1056" s="6"/>
      <c r="V1056" s="6"/>
      <c r="W1056" s="6"/>
      <c r="X1056" s="6"/>
      <c r="Y1056" s="6"/>
      <c r="Z1056" s="6"/>
      <c r="AA1056" s="6"/>
      <c r="AB1056" s="6"/>
      <c r="AD1056" s="6"/>
      <c r="AE1056" s="6"/>
      <c r="AF1056" s="6"/>
      <c r="AG1056" s="6"/>
      <c r="AH1056" s="6"/>
      <c r="AI1056" s="6"/>
      <c r="AK1056" s="6"/>
      <c r="AL1056" s="6"/>
      <c r="AM1056" s="6"/>
      <c r="AN1056" s="6"/>
      <c r="AO1056" s="6"/>
      <c r="AP1056" s="6"/>
      <c r="AQ1056" s="6"/>
      <c r="AR1056" s="6"/>
      <c r="AS1056" s="15"/>
      <c r="AT1056" s="6" t="str">
        <f ca="1">IFERROR(__xludf.DUMMYFUNCTION("""COMPUTED_VALUE"""),"#N/A")</f>
        <v>#N/A</v>
      </c>
      <c r="AU1056" s="6" t="str">
        <f ca="1">IFERROR(__xludf.DUMMYFUNCTION("""COMPUTED_VALUE"""),"FALSE")</f>
        <v>FALSE</v>
      </c>
      <c r="AZ1056" s="9"/>
      <c r="BC1056" s="9"/>
      <c r="BF1056" s="9"/>
      <c r="BI1056" s="9"/>
    </row>
    <row r="1057" spans="1:61">
      <c r="A1057" s="6"/>
      <c r="B1057" s="6"/>
      <c r="C1057" s="6"/>
      <c r="D1057" s="6"/>
      <c r="E1057" s="6"/>
      <c r="F1057" s="6"/>
      <c r="G1057" s="6"/>
      <c r="H1057" s="6"/>
      <c r="I1057" s="6"/>
      <c r="J1057" s="6"/>
      <c r="K1057" s="6"/>
      <c r="L1057" s="6"/>
      <c r="M1057" s="6"/>
      <c r="N1057" s="6"/>
      <c r="O1057" s="6"/>
      <c r="P1057" s="6"/>
      <c r="R1057" s="6"/>
      <c r="S1057" s="6"/>
      <c r="T1057" s="6"/>
      <c r="U1057" s="6"/>
      <c r="V1057" s="6"/>
      <c r="W1057" s="6"/>
      <c r="X1057" s="6"/>
      <c r="Y1057" s="6"/>
      <c r="Z1057" s="6"/>
      <c r="AA1057" s="6"/>
      <c r="AB1057" s="6"/>
      <c r="AD1057" s="6"/>
      <c r="AE1057" s="6"/>
      <c r="AF1057" s="6"/>
      <c r="AG1057" s="6"/>
      <c r="AH1057" s="6"/>
      <c r="AI1057" s="6"/>
      <c r="AK1057" s="6"/>
      <c r="AL1057" s="6"/>
      <c r="AM1057" s="6"/>
      <c r="AN1057" s="6"/>
      <c r="AO1057" s="6"/>
      <c r="AP1057" s="6"/>
      <c r="AQ1057" s="6"/>
      <c r="AR1057" s="6"/>
      <c r="AS1057" s="15"/>
      <c r="AT1057" s="6" t="str">
        <f ca="1">IFERROR(__xludf.DUMMYFUNCTION("""COMPUTED_VALUE"""),"#N/A")</f>
        <v>#N/A</v>
      </c>
      <c r="AU1057" s="6" t="str">
        <f ca="1">IFERROR(__xludf.DUMMYFUNCTION("""COMPUTED_VALUE"""),"FALSE")</f>
        <v>FALSE</v>
      </c>
      <c r="AZ1057" s="9"/>
      <c r="BC1057" s="9"/>
      <c r="BF1057" s="9"/>
      <c r="BI1057" s="9"/>
    </row>
    <row r="1058" spans="1:61">
      <c r="A1058" s="6"/>
      <c r="B1058" s="6"/>
      <c r="C1058" s="6"/>
      <c r="D1058" s="6"/>
      <c r="E1058" s="6"/>
      <c r="F1058" s="6"/>
      <c r="G1058" s="6"/>
      <c r="H1058" s="6"/>
      <c r="I1058" s="6"/>
      <c r="J1058" s="6"/>
      <c r="K1058" s="6"/>
      <c r="L1058" s="6"/>
      <c r="M1058" s="6"/>
      <c r="N1058" s="6"/>
      <c r="O1058" s="6"/>
      <c r="P1058" s="6"/>
      <c r="R1058" s="6"/>
      <c r="S1058" s="6"/>
      <c r="T1058" s="6"/>
      <c r="U1058" s="6"/>
      <c r="V1058" s="6"/>
      <c r="W1058" s="6"/>
      <c r="X1058" s="6"/>
      <c r="Y1058" s="6"/>
      <c r="Z1058" s="6"/>
      <c r="AA1058" s="6"/>
      <c r="AB1058" s="6"/>
      <c r="AD1058" s="6"/>
      <c r="AE1058" s="6"/>
      <c r="AF1058" s="6"/>
      <c r="AG1058" s="6"/>
      <c r="AH1058" s="6"/>
      <c r="AI1058" s="6"/>
      <c r="AK1058" s="6"/>
      <c r="AL1058" s="6"/>
      <c r="AM1058" s="6"/>
      <c r="AN1058" s="6"/>
      <c r="AO1058" s="6"/>
      <c r="AP1058" s="6"/>
      <c r="AQ1058" s="6"/>
      <c r="AR1058" s="6"/>
      <c r="AS1058" s="15"/>
      <c r="AT1058" s="6" t="str">
        <f ca="1">IFERROR(__xludf.DUMMYFUNCTION("""COMPUTED_VALUE"""),"#N/A")</f>
        <v>#N/A</v>
      </c>
      <c r="AU1058" s="6" t="str">
        <f ca="1">IFERROR(__xludf.DUMMYFUNCTION("""COMPUTED_VALUE"""),"FALSE")</f>
        <v>FALSE</v>
      </c>
      <c r="AZ1058" s="9"/>
      <c r="BC1058" s="9"/>
      <c r="BF1058" s="9"/>
      <c r="BI1058" s="9"/>
    </row>
    <row r="1059" spans="1:61">
      <c r="A1059" s="6"/>
      <c r="B1059" s="6"/>
      <c r="C1059" s="6"/>
      <c r="D1059" s="6"/>
      <c r="E1059" s="6"/>
      <c r="F1059" s="6"/>
      <c r="G1059" s="6"/>
      <c r="H1059" s="6"/>
      <c r="I1059" s="6"/>
      <c r="J1059" s="6"/>
      <c r="K1059" s="6"/>
      <c r="L1059" s="6"/>
      <c r="M1059" s="6"/>
      <c r="N1059" s="6"/>
      <c r="O1059" s="6"/>
      <c r="P1059" s="6"/>
      <c r="R1059" s="6"/>
      <c r="S1059" s="6"/>
      <c r="T1059" s="6"/>
      <c r="U1059" s="6"/>
      <c r="V1059" s="6"/>
      <c r="W1059" s="6"/>
      <c r="X1059" s="6"/>
      <c r="Y1059" s="6"/>
      <c r="Z1059" s="6"/>
      <c r="AA1059" s="6"/>
      <c r="AB1059" s="6"/>
      <c r="AD1059" s="6"/>
      <c r="AE1059" s="6"/>
      <c r="AF1059" s="6"/>
      <c r="AG1059" s="6"/>
      <c r="AH1059" s="6"/>
      <c r="AI1059" s="6"/>
      <c r="AK1059" s="6"/>
      <c r="AL1059" s="6"/>
      <c r="AM1059" s="6"/>
      <c r="AN1059" s="6"/>
      <c r="AO1059" s="6"/>
      <c r="AP1059" s="6"/>
      <c r="AQ1059" s="6"/>
      <c r="AR1059" s="6"/>
      <c r="AS1059" s="15"/>
      <c r="AT1059" s="6" t="str">
        <f ca="1">IFERROR(__xludf.DUMMYFUNCTION("""COMPUTED_VALUE"""),"#N/A")</f>
        <v>#N/A</v>
      </c>
      <c r="AU1059" s="6" t="str">
        <f ca="1">IFERROR(__xludf.DUMMYFUNCTION("""COMPUTED_VALUE"""),"FALSE")</f>
        <v>FALSE</v>
      </c>
      <c r="AZ1059" s="9"/>
      <c r="BC1059" s="9"/>
      <c r="BF1059" s="9"/>
      <c r="BI1059" s="9"/>
    </row>
    <row r="1060" spans="1:61">
      <c r="A1060" s="6"/>
      <c r="B1060" s="6"/>
      <c r="C1060" s="6"/>
      <c r="D1060" s="6"/>
      <c r="E1060" s="6"/>
      <c r="F1060" s="6"/>
      <c r="G1060" s="6"/>
      <c r="H1060" s="6"/>
      <c r="I1060" s="6"/>
      <c r="J1060" s="6"/>
      <c r="K1060" s="6"/>
      <c r="L1060" s="6"/>
      <c r="M1060" s="6"/>
      <c r="N1060" s="6"/>
      <c r="O1060" s="6"/>
      <c r="P1060" s="6"/>
      <c r="R1060" s="6"/>
      <c r="S1060" s="6"/>
      <c r="T1060" s="6"/>
      <c r="U1060" s="6"/>
      <c r="V1060" s="6"/>
      <c r="W1060" s="6"/>
      <c r="X1060" s="6"/>
      <c r="Y1060" s="6"/>
      <c r="Z1060" s="6"/>
      <c r="AA1060" s="6"/>
      <c r="AB1060" s="6"/>
      <c r="AD1060" s="6"/>
      <c r="AE1060" s="6"/>
      <c r="AF1060" s="6"/>
      <c r="AG1060" s="6"/>
      <c r="AH1060" s="6"/>
      <c r="AI1060" s="6"/>
      <c r="AK1060" s="6"/>
      <c r="AL1060" s="6"/>
      <c r="AM1060" s="6"/>
      <c r="AN1060" s="6"/>
      <c r="AO1060" s="6"/>
      <c r="AP1060" s="6"/>
      <c r="AQ1060" s="6"/>
      <c r="AR1060" s="6"/>
      <c r="AS1060" s="15"/>
      <c r="AT1060" s="6" t="str">
        <f ca="1">IFERROR(__xludf.DUMMYFUNCTION("""COMPUTED_VALUE"""),"#N/A")</f>
        <v>#N/A</v>
      </c>
      <c r="AU1060" s="6" t="str">
        <f ca="1">IFERROR(__xludf.DUMMYFUNCTION("""COMPUTED_VALUE"""),"FALSE")</f>
        <v>FALSE</v>
      </c>
      <c r="AZ1060" s="9"/>
      <c r="BC1060" s="9"/>
      <c r="BF1060" s="9"/>
      <c r="BI1060" s="9"/>
    </row>
    <row r="1061" spans="1:61">
      <c r="A1061" s="6"/>
      <c r="B1061" s="6"/>
      <c r="C1061" s="6"/>
      <c r="D1061" s="6"/>
      <c r="E1061" s="6"/>
      <c r="F1061" s="6"/>
      <c r="G1061" s="6"/>
      <c r="H1061" s="6"/>
      <c r="I1061" s="6"/>
      <c r="J1061" s="6"/>
      <c r="K1061" s="6"/>
      <c r="L1061" s="6"/>
      <c r="M1061" s="6"/>
      <c r="N1061" s="6"/>
      <c r="O1061" s="6"/>
      <c r="P1061" s="6"/>
      <c r="R1061" s="6"/>
      <c r="S1061" s="6"/>
      <c r="T1061" s="6"/>
      <c r="U1061" s="6"/>
      <c r="V1061" s="6"/>
      <c r="W1061" s="6"/>
      <c r="X1061" s="6"/>
      <c r="Y1061" s="6"/>
      <c r="Z1061" s="6"/>
      <c r="AA1061" s="6"/>
      <c r="AB1061" s="6"/>
      <c r="AD1061" s="6"/>
      <c r="AE1061" s="6"/>
      <c r="AF1061" s="6"/>
      <c r="AG1061" s="6"/>
      <c r="AH1061" s="6"/>
      <c r="AI1061" s="6"/>
      <c r="AK1061" s="6"/>
      <c r="AL1061" s="6"/>
      <c r="AM1061" s="6"/>
      <c r="AN1061" s="6"/>
      <c r="AO1061" s="6"/>
      <c r="AP1061" s="6"/>
      <c r="AQ1061" s="6"/>
      <c r="AR1061" s="6"/>
      <c r="AS1061" s="15"/>
      <c r="AT1061" s="6" t="str">
        <f ca="1">IFERROR(__xludf.DUMMYFUNCTION("""COMPUTED_VALUE"""),"#N/A")</f>
        <v>#N/A</v>
      </c>
      <c r="AU1061" s="6" t="str">
        <f ca="1">IFERROR(__xludf.DUMMYFUNCTION("""COMPUTED_VALUE"""),"FALSE")</f>
        <v>FALSE</v>
      </c>
      <c r="AZ1061" s="9"/>
      <c r="BC1061" s="9"/>
      <c r="BF1061" s="9"/>
      <c r="BI1061" s="9"/>
    </row>
    <row r="1062" spans="1:61">
      <c r="A1062" s="6"/>
      <c r="B1062" s="6"/>
      <c r="C1062" s="6"/>
      <c r="D1062" s="6"/>
      <c r="E1062" s="6"/>
      <c r="F1062" s="6"/>
      <c r="G1062" s="6"/>
      <c r="H1062" s="6"/>
      <c r="I1062" s="6"/>
      <c r="J1062" s="6"/>
      <c r="K1062" s="6"/>
      <c r="L1062" s="6"/>
      <c r="M1062" s="6"/>
      <c r="N1062" s="6"/>
      <c r="O1062" s="6"/>
      <c r="P1062" s="6"/>
      <c r="R1062" s="6"/>
      <c r="S1062" s="6"/>
      <c r="T1062" s="6"/>
      <c r="U1062" s="6"/>
      <c r="V1062" s="6"/>
      <c r="W1062" s="6"/>
      <c r="X1062" s="6"/>
      <c r="Y1062" s="6"/>
      <c r="Z1062" s="6"/>
      <c r="AA1062" s="6"/>
      <c r="AB1062" s="6"/>
      <c r="AD1062" s="6"/>
      <c r="AE1062" s="6"/>
      <c r="AF1062" s="6"/>
      <c r="AG1062" s="6"/>
      <c r="AH1062" s="6"/>
      <c r="AI1062" s="6"/>
      <c r="AK1062" s="6"/>
      <c r="AL1062" s="6"/>
      <c r="AM1062" s="6"/>
      <c r="AN1062" s="6"/>
      <c r="AO1062" s="6"/>
      <c r="AP1062" s="6"/>
      <c r="AQ1062" s="6"/>
      <c r="AR1062" s="6"/>
      <c r="AS1062" s="15"/>
      <c r="AT1062" s="6" t="str">
        <f ca="1">IFERROR(__xludf.DUMMYFUNCTION("""COMPUTED_VALUE"""),"#N/A")</f>
        <v>#N/A</v>
      </c>
      <c r="AU1062" s="6" t="str">
        <f ca="1">IFERROR(__xludf.DUMMYFUNCTION("""COMPUTED_VALUE"""),"FALSE")</f>
        <v>FALSE</v>
      </c>
      <c r="AZ1062" s="9"/>
      <c r="BC1062" s="9"/>
      <c r="BF1062" s="9"/>
      <c r="BI1062" s="9"/>
    </row>
    <row r="1063" spans="1:61">
      <c r="A1063" s="6"/>
      <c r="B1063" s="6"/>
      <c r="C1063" s="6"/>
      <c r="D1063" s="6"/>
      <c r="E1063" s="6"/>
      <c r="F1063" s="6"/>
      <c r="G1063" s="6"/>
      <c r="H1063" s="6"/>
      <c r="I1063" s="6"/>
      <c r="J1063" s="6"/>
      <c r="K1063" s="6"/>
      <c r="L1063" s="6"/>
      <c r="M1063" s="6"/>
      <c r="N1063" s="6"/>
      <c r="O1063" s="6"/>
      <c r="P1063" s="6"/>
      <c r="R1063" s="6"/>
      <c r="S1063" s="6"/>
      <c r="T1063" s="6"/>
      <c r="U1063" s="6"/>
      <c r="V1063" s="6"/>
      <c r="W1063" s="6"/>
      <c r="X1063" s="6"/>
      <c r="Y1063" s="6"/>
      <c r="Z1063" s="6"/>
      <c r="AA1063" s="6"/>
      <c r="AB1063" s="6"/>
      <c r="AD1063" s="6"/>
      <c r="AE1063" s="6"/>
      <c r="AF1063" s="6"/>
      <c r="AG1063" s="6"/>
      <c r="AH1063" s="6"/>
      <c r="AI1063" s="6"/>
      <c r="AK1063" s="6"/>
      <c r="AL1063" s="6"/>
      <c r="AM1063" s="6"/>
      <c r="AN1063" s="6"/>
      <c r="AO1063" s="6"/>
      <c r="AP1063" s="6"/>
      <c r="AQ1063" s="6"/>
      <c r="AR1063" s="6"/>
      <c r="AS1063" s="15"/>
      <c r="AT1063" s="6" t="str">
        <f ca="1">IFERROR(__xludf.DUMMYFUNCTION("""COMPUTED_VALUE"""),"#N/A")</f>
        <v>#N/A</v>
      </c>
      <c r="AU1063" s="6" t="str">
        <f ca="1">IFERROR(__xludf.DUMMYFUNCTION("""COMPUTED_VALUE"""),"FALSE")</f>
        <v>FALSE</v>
      </c>
      <c r="AZ1063" s="9"/>
      <c r="BC1063" s="9"/>
      <c r="BF1063" s="9"/>
      <c r="BI1063" s="9"/>
    </row>
    <row r="1064" spans="1:61">
      <c r="A1064" s="6"/>
      <c r="B1064" s="6"/>
      <c r="C1064" s="6"/>
      <c r="D1064" s="6"/>
      <c r="E1064" s="6"/>
      <c r="F1064" s="6"/>
      <c r="G1064" s="6"/>
      <c r="H1064" s="6"/>
      <c r="I1064" s="6"/>
      <c r="J1064" s="6"/>
      <c r="K1064" s="6"/>
      <c r="L1064" s="6"/>
      <c r="M1064" s="6"/>
      <c r="N1064" s="6"/>
      <c r="O1064" s="6"/>
      <c r="P1064" s="6"/>
      <c r="R1064" s="6"/>
      <c r="S1064" s="6"/>
      <c r="T1064" s="6"/>
      <c r="U1064" s="6"/>
      <c r="V1064" s="6"/>
      <c r="W1064" s="6"/>
      <c r="X1064" s="6"/>
      <c r="Y1064" s="6"/>
      <c r="Z1064" s="6"/>
      <c r="AA1064" s="6"/>
      <c r="AB1064" s="6"/>
      <c r="AD1064" s="6"/>
      <c r="AE1064" s="6"/>
      <c r="AF1064" s="6"/>
      <c r="AG1064" s="6"/>
      <c r="AH1064" s="6"/>
      <c r="AI1064" s="6"/>
      <c r="AK1064" s="6"/>
      <c r="AL1064" s="6"/>
      <c r="AM1064" s="6"/>
      <c r="AN1064" s="6"/>
      <c r="AO1064" s="6"/>
      <c r="AP1064" s="6"/>
      <c r="AQ1064" s="6"/>
      <c r="AR1064" s="6"/>
      <c r="AS1064" s="15"/>
      <c r="AT1064" s="6" t="str">
        <f ca="1">IFERROR(__xludf.DUMMYFUNCTION("""COMPUTED_VALUE"""),"#N/A")</f>
        <v>#N/A</v>
      </c>
      <c r="AU1064" s="6" t="str">
        <f ca="1">IFERROR(__xludf.DUMMYFUNCTION("""COMPUTED_VALUE"""),"FALSE")</f>
        <v>FALSE</v>
      </c>
      <c r="AZ1064" s="9"/>
      <c r="BC1064" s="9"/>
      <c r="BF1064" s="9"/>
      <c r="BI1064" s="9"/>
    </row>
    <row r="1065" spans="1:61">
      <c r="A1065" s="6"/>
      <c r="B1065" s="6"/>
      <c r="C1065" s="6"/>
      <c r="D1065" s="6"/>
      <c r="E1065" s="6"/>
      <c r="F1065" s="6"/>
      <c r="G1065" s="6"/>
      <c r="H1065" s="6"/>
      <c r="I1065" s="6"/>
      <c r="J1065" s="6"/>
      <c r="K1065" s="6"/>
      <c r="L1065" s="6"/>
      <c r="M1065" s="6"/>
      <c r="N1065" s="6"/>
      <c r="O1065" s="6"/>
      <c r="P1065" s="6"/>
      <c r="R1065" s="6"/>
      <c r="S1065" s="6"/>
      <c r="T1065" s="6"/>
      <c r="U1065" s="6"/>
      <c r="V1065" s="6"/>
      <c r="W1065" s="6"/>
      <c r="X1065" s="6"/>
      <c r="Y1065" s="6"/>
      <c r="Z1065" s="6"/>
      <c r="AA1065" s="6"/>
      <c r="AB1065" s="6"/>
      <c r="AD1065" s="6"/>
      <c r="AE1065" s="6"/>
      <c r="AF1065" s="6"/>
      <c r="AG1065" s="6"/>
      <c r="AH1065" s="6"/>
      <c r="AI1065" s="6"/>
      <c r="AK1065" s="6"/>
      <c r="AL1065" s="6"/>
      <c r="AM1065" s="6"/>
      <c r="AN1065" s="6"/>
      <c r="AO1065" s="6"/>
      <c r="AP1065" s="6"/>
      <c r="AQ1065" s="6"/>
      <c r="AR1065" s="6"/>
      <c r="AS1065" s="15"/>
      <c r="AT1065" s="6" t="str">
        <f ca="1">IFERROR(__xludf.DUMMYFUNCTION("""COMPUTED_VALUE"""),"#N/A")</f>
        <v>#N/A</v>
      </c>
      <c r="AU1065" s="6" t="str">
        <f ca="1">IFERROR(__xludf.DUMMYFUNCTION("""COMPUTED_VALUE"""),"FALSE")</f>
        <v>FALSE</v>
      </c>
      <c r="AZ1065" s="9"/>
      <c r="BC1065" s="9"/>
      <c r="BF1065" s="9"/>
      <c r="BI1065" s="9"/>
    </row>
    <row r="1066" spans="1:61">
      <c r="A1066" s="6"/>
      <c r="B1066" s="6"/>
      <c r="C1066" s="6"/>
      <c r="D1066" s="6"/>
      <c r="E1066" s="6"/>
      <c r="F1066" s="6"/>
      <c r="G1066" s="6"/>
      <c r="H1066" s="6"/>
      <c r="I1066" s="6"/>
      <c r="J1066" s="6"/>
      <c r="K1066" s="6"/>
      <c r="L1066" s="6"/>
      <c r="M1066" s="6"/>
      <c r="N1066" s="6"/>
      <c r="O1066" s="6"/>
      <c r="P1066" s="6"/>
      <c r="R1066" s="6"/>
      <c r="S1066" s="6"/>
      <c r="T1066" s="6"/>
      <c r="U1066" s="6"/>
      <c r="V1066" s="6"/>
      <c r="W1066" s="6"/>
      <c r="X1066" s="6"/>
      <c r="Y1066" s="6"/>
      <c r="Z1066" s="6"/>
      <c r="AA1066" s="6"/>
      <c r="AB1066" s="6"/>
      <c r="AD1066" s="6"/>
      <c r="AE1066" s="6"/>
      <c r="AF1066" s="6"/>
      <c r="AG1066" s="6"/>
      <c r="AH1066" s="6"/>
      <c r="AI1066" s="6"/>
      <c r="AK1066" s="6"/>
      <c r="AL1066" s="6"/>
      <c r="AM1066" s="6"/>
      <c r="AN1066" s="6"/>
      <c r="AO1066" s="6"/>
      <c r="AP1066" s="6"/>
      <c r="AQ1066" s="6"/>
      <c r="AR1066" s="6"/>
      <c r="AS1066" s="15"/>
      <c r="AT1066" s="6" t="str">
        <f ca="1">IFERROR(__xludf.DUMMYFUNCTION("""COMPUTED_VALUE"""),"#N/A")</f>
        <v>#N/A</v>
      </c>
      <c r="AU1066" s="6" t="str">
        <f ca="1">IFERROR(__xludf.DUMMYFUNCTION("""COMPUTED_VALUE"""),"FALSE")</f>
        <v>FALSE</v>
      </c>
      <c r="AZ1066" s="9"/>
      <c r="BC1066" s="9"/>
      <c r="BF1066" s="9"/>
      <c r="BI1066" s="9"/>
    </row>
    <row r="1067" spans="1:61">
      <c r="A1067" s="6"/>
      <c r="B1067" s="6"/>
      <c r="C1067" s="6"/>
      <c r="D1067" s="6"/>
      <c r="E1067" s="6"/>
      <c r="F1067" s="6"/>
      <c r="G1067" s="6"/>
      <c r="H1067" s="6"/>
      <c r="I1067" s="6"/>
      <c r="J1067" s="6"/>
      <c r="K1067" s="6"/>
      <c r="L1067" s="6"/>
      <c r="M1067" s="6"/>
      <c r="N1067" s="6"/>
      <c r="O1067" s="6"/>
      <c r="P1067" s="6"/>
      <c r="R1067" s="6"/>
      <c r="S1067" s="6"/>
      <c r="T1067" s="6"/>
      <c r="U1067" s="6"/>
      <c r="V1067" s="6"/>
      <c r="W1067" s="6"/>
      <c r="X1067" s="6"/>
      <c r="Y1067" s="6"/>
      <c r="Z1067" s="6"/>
      <c r="AA1067" s="6"/>
      <c r="AB1067" s="6"/>
      <c r="AD1067" s="6"/>
      <c r="AE1067" s="6"/>
      <c r="AF1067" s="6"/>
      <c r="AG1067" s="6"/>
      <c r="AH1067" s="6"/>
      <c r="AI1067" s="6"/>
      <c r="AK1067" s="6"/>
      <c r="AL1067" s="6"/>
      <c r="AM1067" s="6"/>
      <c r="AN1067" s="6"/>
      <c r="AO1067" s="6"/>
      <c r="AP1067" s="6"/>
      <c r="AQ1067" s="6"/>
      <c r="AR1067" s="6"/>
      <c r="AS1067" s="15"/>
      <c r="AT1067" s="6" t="str">
        <f ca="1">IFERROR(__xludf.DUMMYFUNCTION("""COMPUTED_VALUE"""),"#N/A")</f>
        <v>#N/A</v>
      </c>
      <c r="AU1067" s="6" t="str">
        <f ca="1">IFERROR(__xludf.DUMMYFUNCTION("""COMPUTED_VALUE"""),"FALSE")</f>
        <v>FALSE</v>
      </c>
      <c r="AZ1067" s="9"/>
      <c r="BC1067" s="9"/>
      <c r="BF1067" s="9"/>
      <c r="BI1067" s="9"/>
    </row>
    <row r="1068" spans="1:61">
      <c r="A1068" s="6"/>
      <c r="B1068" s="6"/>
      <c r="C1068" s="6"/>
      <c r="D1068" s="6"/>
      <c r="E1068" s="6"/>
      <c r="F1068" s="6"/>
      <c r="G1068" s="6"/>
      <c r="H1068" s="6"/>
      <c r="I1068" s="6"/>
      <c r="J1068" s="6"/>
      <c r="K1068" s="6"/>
      <c r="L1068" s="6"/>
      <c r="M1068" s="6"/>
      <c r="N1068" s="6"/>
      <c r="O1068" s="6"/>
      <c r="P1068" s="6"/>
      <c r="R1068" s="6"/>
      <c r="S1068" s="6"/>
      <c r="T1068" s="6"/>
      <c r="U1068" s="6"/>
      <c r="V1068" s="6"/>
      <c r="W1068" s="6"/>
      <c r="X1068" s="6"/>
      <c r="Y1068" s="6"/>
      <c r="Z1068" s="6"/>
      <c r="AA1068" s="6"/>
      <c r="AB1068" s="6"/>
      <c r="AD1068" s="6"/>
      <c r="AE1068" s="6"/>
      <c r="AF1068" s="6"/>
      <c r="AG1068" s="6"/>
      <c r="AH1068" s="6"/>
      <c r="AI1068" s="6"/>
      <c r="AK1068" s="6"/>
      <c r="AL1068" s="6"/>
      <c r="AM1068" s="6"/>
      <c r="AN1068" s="6"/>
      <c r="AO1068" s="6"/>
      <c r="AP1068" s="6"/>
      <c r="AQ1068" s="6"/>
      <c r="AR1068" s="6"/>
      <c r="AS1068" s="15"/>
      <c r="AT1068" s="6" t="str">
        <f ca="1">IFERROR(__xludf.DUMMYFUNCTION("""COMPUTED_VALUE"""),"#N/A")</f>
        <v>#N/A</v>
      </c>
      <c r="AU1068" s="6" t="str">
        <f ca="1">IFERROR(__xludf.DUMMYFUNCTION("""COMPUTED_VALUE"""),"FALSE")</f>
        <v>FALSE</v>
      </c>
      <c r="AZ1068" s="9"/>
      <c r="BC1068" s="9"/>
      <c r="BF1068" s="9"/>
      <c r="BI1068" s="9"/>
    </row>
    <row r="1069" spans="1:61">
      <c r="A1069" s="6"/>
      <c r="B1069" s="6"/>
      <c r="C1069" s="6"/>
      <c r="D1069" s="6"/>
      <c r="E1069" s="6"/>
      <c r="F1069" s="6"/>
      <c r="G1069" s="6"/>
      <c r="H1069" s="6"/>
      <c r="I1069" s="6"/>
      <c r="J1069" s="6"/>
      <c r="K1069" s="6"/>
      <c r="L1069" s="6"/>
      <c r="M1069" s="6"/>
      <c r="N1069" s="6"/>
      <c r="O1069" s="6"/>
      <c r="P1069" s="6"/>
      <c r="R1069" s="6"/>
      <c r="S1069" s="6"/>
      <c r="T1069" s="6"/>
      <c r="U1069" s="6"/>
      <c r="V1069" s="6"/>
      <c r="W1069" s="6"/>
      <c r="X1069" s="6"/>
      <c r="Y1069" s="6"/>
      <c r="Z1069" s="6"/>
      <c r="AA1069" s="6"/>
      <c r="AB1069" s="6"/>
      <c r="AD1069" s="6"/>
      <c r="AE1069" s="6"/>
      <c r="AF1069" s="6"/>
      <c r="AG1069" s="6"/>
      <c r="AH1069" s="6"/>
      <c r="AI1069" s="6"/>
      <c r="AK1069" s="6"/>
      <c r="AL1069" s="6"/>
      <c r="AM1069" s="6"/>
      <c r="AN1069" s="6"/>
      <c r="AO1069" s="6"/>
      <c r="AP1069" s="6"/>
      <c r="AQ1069" s="6"/>
      <c r="AR1069" s="6"/>
      <c r="AS1069" s="15"/>
      <c r="AT1069" s="6" t="str">
        <f ca="1">IFERROR(__xludf.DUMMYFUNCTION("""COMPUTED_VALUE"""),"#N/A")</f>
        <v>#N/A</v>
      </c>
      <c r="AU1069" s="6" t="str">
        <f ca="1">IFERROR(__xludf.DUMMYFUNCTION("""COMPUTED_VALUE"""),"FALSE")</f>
        <v>FALSE</v>
      </c>
      <c r="AZ1069" s="9"/>
      <c r="BC1069" s="9"/>
      <c r="BF1069" s="9"/>
      <c r="BI1069" s="9"/>
    </row>
    <row r="1070" spans="1:61">
      <c r="A1070" s="6"/>
      <c r="B1070" s="6"/>
      <c r="C1070" s="6"/>
      <c r="D1070" s="6"/>
      <c r="E1070" s="6"/>
      <c r="F1070" s="6"/>
      <c r="G1070" s="6"/>
      <c r="H1070" s="6"/>
      <c r="I1070" s="6"/>
      <c r="J1070" s="6"/>
      <c r="K1070" s="6"/>
      <c r="L1070" s="6"/>
      <c r="M1070" s="6"/>
      <c r="N1070" s="6"/>
      <c r="O1070" s="6"/>
      <c r="P1070" s="6"/>
      <c r="R1070" s="6"/>
      <c r="S1070" s="6"/>
      <c r="T1070" s="6"/>
      <c r="U1070" s="6"/>
      <c r="V1070" s="6"/>
      <c r="W1070" s="6"/>
      <c r="X1070" s="6"/>
      <c r="Y1070" s="6"/>
      <c r="Z1070" s="6"/>
      <c r="AA1070" s="6"/>
      <c r="AB1070" s="6"/>
      <c r="AD1070" s="6"/>
      <c r="AE1070" s="6"/>
      <c r="AF1070" s="6"/>
      <c r="AG1070" s="6"/>
      <c r="AH1070" s="6"/>
      <c r="AI1070" s="6"/>
      <c r="AK1070" s="6"/>
      <c r="AL1070" s="6"/>
      <c r="AM1070" s="6"/>
      <c r="AN1070" s="6"/>
      <c r="AO1070" s="6"/>
      <c r="AP1070" s="6"/>
      <c r="AQ1070" s="6"/>
      <c r="AR1070" s="6"/>
      <c r="AS1070" s="15"/>
      <c r="AT1070" s="6" t="str">
        <f ca="1">IFERROR(__xludf.DUMMYFUNCTION("""COMPUTED_VALUE"""),"#N/A")</f>
        <v>#N/A</v>
      </c>
      <c r="AU1070" s="6" t="str">
        <f ca="1">IFERROR(__xludf.DUMMYFUNCTION("""COMPUTED_VALUE"""),"FALSE")</f>
        <v>FALSE</v>
      </c>
      <c r="AZ1070" s="9"/>
      <c r="BC1070" s="9"/>
      <c r="BF1070" s="9"/>
      <c r="BI1070" s="9"/>
    </row>
    <row r="1071" spans="1:61">
      <c r="A1071" s="6"/>
      <c r="B1071" s="6"/>
      <c r="C1071" s="6"/>
      <c r="D1071" s="6"/>
      <c r="E1071" s="6"/>
      <c r="F1071" s="6"/>
      <c r="G1071" s="6"/>
      <c r="H1071" s="6"/>
      <c r="I1071" s="6"/>
      <c r="J1071" s="6"/>
      <c r="K1071" s="6"/>
      <c r="L1071" s="6"/>
      <c r="M1071" s="6"/>
      <c r="N1071" s="6"/>
      <c r="O1071" s="6"/>
      <c r="P1071" s="6"/>
      <c r="R1071" s="6"/>
      <c r="S1071" s="6"/>
      <c r="T1071" s="6"/>
      <c r="U1071" s="6"/>
      <c r="V1071" s="6"/>
      <c r="W1071" s="6"/>
      <c r="X1071" s="6"/>
      <c r="Y1071" s="6"/>
      <c r="Z1071" s="6"/>
      <c r="AA1071" s="6"/>
      <c r="AB1071" s="6"/>
      <c r="AD1071" s="6"/>
      <c r="AE1071" s="6"/>
      <c r="AF1071" s="6"/>
      <c r="AG1071" s="6"/>
      <c r="AH1071" s="6"/>
      <c r="AI1071" s="6"/>
      <c r="AK1071" s="6"/>
      <c r="AL1071" s="6"/>
      <c r="AM1071" s="6"/>
      <c r="AN1071" s="6"/>
      <c r="AO1071" s="6"/>
      <c r="AP1071" s="6"/>
      <c r="AQ1071" s="6"/>
      <c r="AR1071" s="6"/>
      <c r="AS1071" s="15"/>
      <c r="AT1071" s="6" t="str">
        <f ca="1">IFERROR(__xludf.DUMMYFUNCTION("""COMPUTED_VALUE"""),"#N/A")</f>
        <v>#N/A</v>
      </c>
      <c r="AU1071" s="6" t="str">
        <f ca="1">IFERROR(__xludf.DUMMYFUNCTION("""COMPUTED_VALUE"""),"FALSE")</f>
        <v>FALSE</v>
      </c>
      <c r="AZ1071" s="9"/>
      <c r="BC1071" s="9"/>
      <c r="BF1071" s="9"/>
      <c r="BI1071" s="9"/>
    </row>
    <row r="1072" spans="1:61">
      <c r="A1072" s="6"/>
      <c r="B1072" s="6"/>
      <c r="C1072" s="6"/>
      <c r="D1072" s="6"/>
      <c r="E1072" s="6"/>
      <c r="F1072" s="6"/>
      <c r="G1072" s="6"/>
      <c r="H1072" s="6"/>
      <c r="I1072" s="6"/>
      <c r="J1072" s="6"/>
      <c r="K1072" s="6"/>
      <c r="L1072" s="6"/>
      <c r="M1072" s="6"/>
      <c r="N1072" s="6"/>
      <c r="O1072" s="6"/>
      <c r="P1072" s="6"/>
      <c r="R1072" s="6"/>
      <c r="S1072" s="6"/>
      <c r="T1072" s="6"/>
      <c r="U1072" s="6"/>
      <c r="V1072" s="6"/>
      <c r="W1072" s="6"/>
      <c r="X1072" s="6"/>
      <c r="Y1072" s="6"/>
      <c r="Z1072" s="6"/>
      <c r="AA1072" s="6"/>
      <c r="AB1072" s="6"/>
      <c r="AD1072" s="6"/>
      <c r="AE1072" s="6"/>
      <c r="AF1072" s="6"/>
      <c r="AG1072" s="6"/>
      <c r="AH1072" s="6"/>
      <c r="AI1072" s="6"/>
      <c r="AK1072" s="6"/>
      <c r="AL1072" s="6"/>
      <c r="AM1072" s="6"/>
      <c r="AN1072" s="6"/>
      <c r="AO1072" s="6"/>
      <c r="AP1072" s="6"/>
      <c r="AQ1072" s="6"/>
      <c r="AR1072" s="6"/>
      <c r="AS1072" s="15"/>
      <c r="AT1072" s="6" t="str">
        <f ca="1">IFERROR(__xludf.DUMMYFUNCTION("""COMPUTED_VALUE"""),"#N/A")</f>
        <v>#N/A</v>
      </c>
      <c r="AU1072" s="6" t="str">
        <f ca="1">IFERROR(__xludf.DUMMYFUNCTION("""COMPUTED_VALUE"""),"FALSE")</f>
        <v>FALSE</v>
      </c>
      <c r="AZ1072" s="9"/>
      <c r="BC1072" s="9"/>
      <c r="BF1072" s="9"/>
      <c r="BI1072" s="9"/>
    </row>
    <row r="1073" spans="1:61">
      <c r="A1073" s="6"/>
      <c r="B1073" s="6"/>
      <c r="C1073" s="6"/>
      <c r="D1073" s="6"/>
      <c r="E1073" s="6"/>
      <c r="F1073" s="6"/>
      <c r="G1073" s="6"/>
      <c r="H1073" s="6"/>
      <c r="I1073" s="6"/>
      <c r="J1073" s="6"/>
      <c r="K1073" s="6"/>
      <c r="L1073" s="6"/>
      <c r="M1073" s="6"/>
      <c r="N1073" s="6"/>
      <c r="O1073" s="6"/>
      <c r="P1073" s="6"/>
      <c r="R1073" s="6"/>
      <c r="S1073" s="6"/>
      <c r="T1073" s="6"/>
      <c r="U1073" s="6"/>
      <c r="V1073" s="6"/>
      <c r="W1073" s="6"/>
      <c r="X1073" s="6"/>
      <c r="Y1073" s="6"/>
      <c r="Z1073" s="6"/>
      <c r="AA1073" s="6"/>
      <c r="AB1073" s="6"/>
      <c r="AD1073" s="6"/>
      <c r="AE1073" s="6"/>
      <c r="AF1073" s="6"/>
      <c r="AG1073" s="6"/>
      <c r="AH1073" s="6"/>
      <c r="AI1073" s="6"/>
      <c r="AK1073" s="6"/>
      <c r="AL1073" s="6"/>
      <c r="AM1073" s="6"/>
      <c r="AN1073" s="6"/>
      <c r="AO1073" s="6"/>
      <c r="AP1073" s="6"/>
      <c r="AQ1073" s="6"/>
      <c r="AR1073" s="6"/>
      <c r="AS1073" s="15"/>
      <c r="AT1073" s="6" t="str">
        <f ca="1">IFERROR(__xludf.DUMMYFUNCTION("""COMPUTED_VALUE"""),"#N/A")</f>
        <v>#N/A</v>
      </c>
      <c r="AU1073" s="6" t="str">
        <f ca="1">IFERROR(__xludf.DUMMYFUNCTION("""COMPUTED_VALUE"""),"FALSE")</f>
        <v>FALSE</v>
      </c>
      <c r="AZ1073" s="9"/>
      <c r="BC1073" s="9"/>
      <c r="BF1073" s="9"/>
      <c r="BI1073" s="9"/>
    </row>
    <row r="1074" spans="1:61">
      <c r="A1074" s="6"/>
      <c r="B1074" s="6"/>
      <c r="C1074" s="6"/>
      <c r="D1074" s="6"/>
      <c r="E1074" s="6"/>
      <c r="F1074" s="6"/>
      <c r="G1074" s="6"/>
      <c r="H1074" s="6"/>
      <c r="I1074" s="6"/>
      <c r="J1074" s="6"/>
      <c r="K1074" s="6"/>
      <c r="L1074" s="6"/>
      <c r="M1074" s="6"/>
      <c r="N1074" s="6"/>
      <c r="O1074" s="6"/>
      <c r="P1074" s="6"/>
      <c r="R1074" s="6"/>
      <c r="S1074" s="6"/>
      <c r="T1074" s="6"/>
      <c r="U1074" s="6"/>
      <c r="V1074" s="6"/>
      <c r="W1074" s="6"/>
      <c r="X1074" s="6"/>
      <c r="Y1074" s="6"/>
      <c r="Z1074" s="6"/>
      <c r="AA1074" s="6"/>
      <c r="AB1074" s="6"/>
      <c r="AD1074" s="6"/>
      <c r="AE1074" s="6"/>
      <c r="AF1074" s="6"/>
      <c r="AG1074" s="6"/>
      <c r="AH1074" s="6"/>
      <c r="AI1074" s="6"/>
      <c r="AK1074" s="6"/>
      <c r="AL1074" s="6"/>
      <c r="AM1074" s="6"/>
      <c r="AN1074" s="6"/>
      <c r="AO1074" s="6"/>
      <c r="AP1074" s="6"/>
      <c r="AQ1074" s="6"/>
      <c r="AR1074" s="6"/>
      <c r="AS1074" s="15"/>
      <c r="AT1074" s="6" t="str">
        <f ca="1">IFERROR(__xludf.DUMMYFUNCTION("""COMPUTED_VALUE"""),"#N/A")</f>
        <v>#N/A</v>
      </c>
      <c r="AU1074" s="6" t="str">
        <f ca="1">IFERROR(__xludf.DUMMYFUNCTION("""COMPUTED_VALUE"""),"FALSE")</f>
        <v>FALSE</v>
      </c>
      <c r="AZ1074" s="9"/>
      <c r="BC1074" s="9"/>
      <c r="BF1074" s="9"/>
      <c r="BI1074" s="9"/>
    </row>
    <row r="1075" spans="1:61">
      <c r="A1075" s="6"/>
      <c r="B1075" s="6"/>
      <c r="C1075" s="6"/>
      <c r="D1075" s="6"/>
      <c r="E1075" s="6"/>
      <c r="F1075" s="6"/>
      <c r="G1075" s="6"/>
      <c r="H1075" s="6"/>
      <c r="I1075" s="6"/>
      <c r="J1075" s="6"/>
      <c r="K1075" s="6"/>
      <c r="L1075" s="6"/>
      <c r="M1075" s="6"/>
      <c r="N1075" s="6"/>
      <c r="O1075" s="6"/>
      <c r="P1075" s="6"/>
      <c r="R1075" s="6"/>
      <c r="S1075" s="6"/>
      <c r="T1075" s="6"/>
      <c r="U1075" s="6"/>
      <c r="V1075" s="6"/>
      <c r="W1075" s="6"/>
      <c r="X1075" s="6"/>
      <c r="Y1075" s="6"/>
      <c r="Z1075" s="6"/>
      <c r="AA1075" s="6"/>
      <c r="AB1075" s="6"/>
      <c r="AD1075" s="6"/>
      <c r="AE1075" s="6"/>
      <c r="AF1075" s="6"/>
      <c r="AG1075" s="6"/>
      <c r="AH1075" s="6"/>
      <c r="AI1075" s="6"/>
      <c r="AK1075" s="6"/>
      <c r="AL1075" s="6"/>
      <c r="AM1075" s="6"/>
      <c r="AN1075" s="6"/>
      <c r="AO1075" s="6"/>
      <c r="AP1075" s="6"/>
      <c r="AQ1075" s="6"/>
      <c r="AR1075" s="6"/>
      <c r="AS1075" s="15"/>
      <c r="AT1075" s="6" t="str">
        <f ca="1">IFERROR(__xludf.DUMMYFUNCTION("""COMPUTED_VALUE"""),"#N/A")</f>
        <v>#N/A</v>
      </c>
      <c r="AU1075" s="6" t="str">
        <f ca="1">IFERROR(__xludf.DUMMYFUNCTION("""COMPUTED_VALUE"""),"FALSE")</f>
        <v>FALSE</v>
      </c>
      <c r="AZ1075" s="9"/>
      <c r="BC1075" s="9"/>
      <c r="BF1075" s="9"/>
      <c r="BI1075" s="9"/>
    </row>
    <row r="1076" spans="1:61">
      <c r="A1076" s="6"/>
      <c r="B1076" s="6"/>
      <c r="C1076" s="6"/>
      <c r="D1076" s="6"/>
      <c r="E1076" s="6"/>
      <c r="F1076" s="6"/>
      <c r="G1076" s="6"/>
      <c r="H1076" s="6"/>
      <c r="I1076" s="6"/>
      <c r="J1076" s="6"/>
      <c r="K1076" s="6"/>
      <c r="L1076" s="6"/>
      <c r="M1076" s="6"/>
      <c r="N1076" s="6"/>
      <c r="O1076" s="6"/>
      <c r="P1076" s="6"/>
      <c r="R1076" s="6"/>
      <c r="S1076" s="6"/>
      <c r="T1076" s="6"/>
      <c r="U1076" s="6"/>
      <c r="V1076" s="6"/>
      <c r="W1076" s="6"/>
      <c r="X1076" s="6"/>
      <c r="Y1076" s="6"/>
      <c r="Z1076" s="6"/>
      <c r="AA1076" s="6"/>
      <c r="AB1076" s="6"/>
      <c r="AD1076" s="6"/>
      <c r="AE1076" s="6"/>
      <c r="AF1076" s="6"/>
      <c r="AG1076" s="6"/>
      <c r="AH1076" s="6"/>
      <c r="AI1076" s="6"/>
      <c r="AK1076" s="6"/>
      <c r="AL1076" s="6"/>
      <c r="AM1076" s="6"/>
      <c r="AN1076" s="6"/>
      <c r="AO1076" s="6"/>
      <c r="AP1076" s="6"/>
      <c r="AQ1076" s="6"/>
      <c r="AR1076" s="6"/>
      <c r="AS1076" s="15"/>
      <c r="AT1076" s="6" t="str">
        <f ca="1">IFERROR(__xludf.DUMMYFUNCTION("""COMPUTED_VALUE"""),"#N/A")</f>
        <v>#N/A</v>
      </c>
      <c r="AU1076" s="6" t="str">
        <f ca="1">IFERROR(__xludf.DUMMYFUNCTION("""COMPUTED_VALUE"""),"FALSE")</f>
        <v>FALSE</v>
      </c>
      <c r="AZ1076" s="9"/>
      <c r="BC1076" s="9"/>
      <c r="BF1076" s="9"/>
      <c r="BI1076" s="9"/>
    </row>
    <row r="1077" spans="1:61">
      <c r="A1077" s="6"/>
      <c r="B1077" s="6"/>
      <c r="C1077" s="6"/>
      <c r="D1077" s="6"/>
      <c r="E1077" s="6"/>
      <c r="F1077" s="6"/>
      <c r="G1077" s="6"/>
      <c r="H1077" s="6"/>
      <c r="I1077" s="6"/>
      <c r="J1077" s="6"/>
      <c r="K1077" s="6"/>
      <c r="L1077" s="6"/>
      <c r="M1077" s="6"/>
      <c r="N1077" s="6"/>
      <c r="O1077" s="6"/>
      <c r="P1077" s="6"/>
      <c r="R1077" s="6"/>
      <c r="S1077" s="6"/>
      <c r="T1077" s="6"/>
      <c r="U1077" s="6"/>
      <c r="V1077" s="6"/>
      <c r="W1077" s="6"/>
      <c r="X1077" s="6"/>
      <c r="Y1077" s="6"/>
      <c r="Z1077" s="6"/>
      <c r="AA1077" s="6"/>
      <c r="AB1077" s="6"/>
      <c r="AD1077" s="6"/>
      <c r="AE1077" s="6"/>
      <c r="AF1077" s="6"/>
      <c r="AG1077" s="6"/>
      <c r="AH1077" s="6"/>
      <c r="AI1077" s="6"/>
      <c r="AK1077" s="6"/>
      <c r="AL1077" s="6"/>
      <c r="AM1077" s="6"/>
      <c r="AN1077" s="6"/>
      <c r="AO1077" s="6"/>
      <c r="AP1077" s="6"/>
      <c r="AQ1077" s="6"/>
      <c r="AR1077" s="6"/>
      <c r="AS1077" s="15"/>
      <c r="AT1077" s="6" t="str">
        <f ca="1">IFERROR(__xludf.DUMMYFUNCTION("""COMPUTED_VALUE"""),"#N/A")</f>
        <v>#N/A</v>
      </c>
      <c r="AU1077" s="6" t="str">
        <f ca="1">IFERROR(__xludf.DUMMYFUNCTION("""COMPUTED_VALUE"""),"FALSE")</f>
        <v>FALSE</v>
      </c>
      <c r="AZ1077" s="9"/>
      <c r="BC1077" s="9"/>
      <c r="BF1077" s="9"/>
      <c r="BI1077" s="9"/>
    </row>
    <row r="1078" spans="1:61">
      <c r="A1078" s="6"/>
      <c r="B1078" s="6"/>
      <c r="C1078" s="6"/>
      <c r="D1078" s="6"/>
      <c r="E1078" s="6"/>
      <c r="F1078" s="6"/>
      <c r="G1078" s="6"/>
      <c r="H1078" s="6"/>
      <c r="I1078" s="6"/>
      <c r="J1078" s="6"/>
      <c r="K1078" s="6"/>
      <c r="L1078" s="6"/>
      <c r="M1078" s="6"/>
      <c r="N1078" s="6"/>
      <c r="O1078" s="6"/>
      <c r="P1078" s="6"/>
      <c r="R1078" s="6"/>
      <c r="S1078" s="6"/>
      <c r="T1078" s="6"/>
      <c r="U1078" s="6"/>
      <c r="V1078" s="6"/>
      <c r="W1078" s="6"/>
      <c r="X1078" s="6"/>
      <c r="Y1078" s="6"/>
      <c r="Z1078" s="6"/>
      <c r="AA1078" s="6"/>
      <c r="AB1078" s="6"/>
      <c r="AD1078" s="6"/>
      <c r="AE1078" s="6"/>
      <c r="AF1078" s="6"/>
      <c r="AG1078" s="6"/>
      <c r="AH1078" s="6"/>
      <c r="AI1078" s="6"/>
      <c r="AK1078" s="6"/>
      <c r="AL1078" s="6"/>
      <c r="AM1078" s="6"/>
      <c r="AN1078" s="6"/>
      <c r="AO1078" s="6"/>
      <c r="AP1078" s="6"/>
      <c r="AQ1078" s="6"/>
      <c r="AR1078" s="6"/>
      <c r="AS1078" s="15"/>
      <c r="AT1078" s="6" t="str">
        <f ca="1">IFERROR(__xludf.DUMMYFUNCTION("""COMPUTED_VALUE"""),"#N/A")</f>
        <v>#N/A</v>
      </c>
      <c r="AU1078" s="6" t="str">
        <f ca="1">IFERROR(__xludf.DUMMYFUNCTION("""COMPUTED_VALUE"""),"FALSE")</f>
        <v>FALSE</v>
      </c>
      <c r="AZ1078" s="9"/>
      <c r="BC1078" s="9"/>
      <c r="BF1078" s="9"/>
      <c r="BI1078" s="9"/>
    </row>
    <row r="1079" spans="1:61">
      <c r="A1079" s="6"/>
      <c r="B1079" s="6"/>
      <c r="C1079" s="6"/>
      <c r="D1079" s="6"/>
      <c r="E1079" s="6"/>
      <c r="F1079" s="6"/>
      <c r="G1079" s="6"/>
      <c r="H1079" s="6"/>
      <c r="I1079" s="6"/>
      <c r="J1079" s="6"/>
      <c r="K1079" s="6"/>
      <c r="L1079" s="6"/>
      <c r="M1079" s="6"/>
      <c r="N1079" s="6"/>
      <c r="O1079" s="6"/>
      <c r="P1079" s="6"/>
      <c r="R1079" s="6"/>
      <c r="S1079" s="6"/>
      <c r="T1079" s="6"/>
      <c r="U1079" s="6"/>
      <c r="V1079" s="6"/>
      <c r="W1079" s="6"/>
      <c r="X1079" s="6"/>
      <c r="Y1079" s="6"/>
      <c r="Z1079" s="6"/>
      <c r="AA1079" s="6"/>
      <c r="AB1079" s="6"/>
      <c r="AD1079" s="6"/>
      <c r="AE1079" s="6"/>
      <c r="AF1079" s="6"/>
      <c r="AG1079" s="6"/>
      <c r="AH1079" s="6"/>
      <c r="AI1079" s="6"/>
      <c r="AK1079" s="6"/>
      <c r="AL1079" s="6"/>
      <c r="AM1079" s="6"/>
      <c r="AN1079" s="6"/>
      <c r="AO1079" s="6"/>
      <c r="AP1079" s="6"/>
      <c r="AQ1079" s="6"/>
      <c r="AR1079" s="6"/>
      <c r="AS1079" s="15"/>
      <c r="AT1079" s="6" t="str">
        <f ca="1">IFERROR(__xludf.DUMMYFUNCTION("""COMPUTED_VALUE"""),"#N/A")</f>
        <v>#N/A</v>
      </c>
      <c r="AU1079" s="6" t="str">
        <f ca="1">IFERROR(__xludf.DUMMYFUNCTION("""COMPUTED_VALUE"""),"FALSE")</f>
        <v>FALSE</v>
      </c>
      <c r="AZ1079" s="9"/>
      <c r="BC1079" s="9"/>
      <c r="BF1079" s="9"/>
      <c r="BI1079" s="9"/>
    </row>
    <row r="1080" spans="1:61">
      <c r="A1080" s="6"/>
      <c r="B1080" s="6"/>
      <c r="C1080" s="6"/>
      <c r="D1080" s="6"/>
      <c r="E1080" s="6"/>
      <c r="F1080" s="6"/>
      <c r="G1080" s="6"/>
      <c r="H1080" s="6"/>
      <c r="I1080" s="6"/>
      <c r="J1080" s="6"/>
      <c r="K1080" s="6"/>
      <c r="L1080" s="6"/>
      <c r="M1080" s="6"/>
      <c r="N1080" s="6"/>
      <c r="O1080" s="6"/>
      <c r="P1080" s="6"/>
      <c r="R1080" s="6"/>
      <c r="S1080" s="6"/>
      <c r="T1080" s="6"/>
      <c r="U1080" s="6"/>
      <c r="V1080" s="6"/>
      <c r="W1080" s="6"/>
      <c r="X1080" s="6"/>
      <c r="Y1080" s="6"/>
      <c r="Z1080" s="6"/>
      <c r="AA1080" s="6"/>
      <c r="AB1080" s="6"/>
      <c r="AD1080" s="6"/>
      <c r="AE1080" s="6"/>
      <c r="AF1080" s="6"/>
      <c r="AG1080" s="6"/>
      <c r="AH1080" s="6"/>
      <c r="AI1080" s="6"/>
      <c r="AK1080" s="6"/>
      <c r="AL1080" s="6"/>
      <c r="AM1080" s="6"/>
      <c r="AN1080" s="6"/>
      <c r="AO1080" s="6"/>
      <c r="AP1080" s="6"/>
      <c r="AQ1080" s="6"/>
      <c r="AR1080" s="6"/>
      <c r="AS1080" s="15"/>
      <c r="AT1080" s="6" t="str">
        <f ca="1">IFERROR(__xludf.DUMMYFUNCTION("""COMPUTED_VALUE"""),"#N/A")</f>
        <v>#N/A</v>
      </c>
      <c r="AU1080" s="6" t="str">
        <f ca="1">IFERROR(__xludf.DUMMYFUNCTION("""COMPUTED_VALUE"""),"FALSE")</f>
        <v>FALSE</v>
      </c>
      <c r="AZ1080" s="9"/>
      <c r="BC1080" s="9"/>
      <c r="BF1080" s="9"/>
      <c r="BI1080" s="9"/>
    </row>
    <row r="1081" spans="1:61">
      <c r="A1081" s="6"/>
      <c r="B1081" s="6"/>
      <c r="C1081" s="6"/>
      <c r="D1081" s="6"/>
      <c r="E1081" s="6"/>
      <c r="F1081" s="6"/>
      <c r="G1081" s="6"/>
      <c r="H1081" s="6"/>
      <c r="I1081" s="6"/>
      <c r="J1081" s="6"/>
      <c r="K1081" s="6"/>
      <c r="L1081" s="6"/>
      <c r="M1081" s="6"/>
      <c r="N1081" s="6"/>
      <c r="O1081" s="6"/>
      <c r="P1081" s="6"/>
      <c r="R1081" s="6"/>
      <c r="S1081" s="6"/>
      <c r="T1081" s="6"/>
      <c r="U1081" s="6"/>
      <c r="V1081" s="6"/>
      <c r="W1081" s="6"/>
      <c r="X1081" s="6"/>
      <c r="Y1081" s="6"/>
      <c r="Z1081" s="6"/>
      <c r="AA1081" s="6"/>
      <c r="AB1081" s="6"/>
      <c r="AD1081" s="6"/>
      <c r="AE1081" s="6"/>
      <c r="AF1081" s="6"/>
      <c r="AG1081" s="6"/>
      <c r="AH1081" s="6"/>
      <c r="AI1081" s="6"/>
      <c r="AK1081" s="6"/>
      <c r="AL1081" s="6"/>
      <c r="AM1081" s="6"/>
      <c r="AN1081" s="6"/>
      <c r="AO1081" s="6"/>
      <c r="AP1081" s="6"/>
      <c r="AQ1081" s="6"/>
      <c r="AR1081" s="6"/>
      <c r="AS1081" s="15"/>
      <c r="AT1081" s="6" t="str">
        <f ca="1">IFERROR(__xludf.DUMMYFUNCTION("""COMPUTED_VALUE"""),"#N/A")</f>
        <v>#N/A</v>
      </c>
      <c r="AU1081" s="6" t="str">
        <f ca="1">IFERROR(__xludf.DUMMYFUNCTION("""COMPUTED_VALUE"""),"FALSE")</f>
        <v>FALSE</v>
      </c>
      <c r="AZ1081" s="9"/>
      <c r="BC1081" s="9"/>
      <c r="BF1081" s="9"/>
      <c r="BI1081" s="9"/>
    </row>
    <row r="1082" spans="1:61">
      <c r="A1082" s="6"/>
      <c r="B1082" s="6"/>
      <c r="C1082" s="6"/>
      <c r="D1082" s="6"/>
      <c r="E1082" s="6"/>
      <c r="F1082" s="6"/>
      <c r="G1082" s="6"/>
      <c r="H1082" s="6"/>
      <c r="I1082" s="6"/>
      <c r="J1082" s="6"/>
      <c r="K1082" s="6"/>
      <c r="L1082" s="6"/>
      <c r="M1082" s="6"/>
      <c r="N1082" s="6"/>
      <c r="O1082" s="6"/>
      <c r="P1082" s="6"/>
      <c r="R1082" s="6"/>
      <c r="S1082" s="6"/>
      <c r="T1082" s="6"/>
      <c r="U1082" s="6"/>
      <c r="V1082" s="6"/>
      <c r="W1082" s="6"/>
      <c r="X1082" s="6"/>
      <c r="Y1082" s="6"/>
      <c r="Z1082" s="6"/>
      <c r="AA1082" s="6"/>
      <c r="AB1082" s="6"/>
      <c r="AD1082" s="6"/>
      <c r="AE1082" s="6"/>
      <c r="AF1082" s="6"/>
      <c r="AG1082" s="6"/>
      <c r="AH1082" s="6"/>
      <c r="AI1082" s="6"/>
      <c r="AK1082" s="6"/>
      <c r="AL1082" s="6"/>
      <c r="AM1082" s="6"/>
      <c r="AN1082" s="6"/>
      <c r="AO1082" s="6"/>
      <c r="AP1082" s="6"/>
      <c r="AQ1082" s="6"/>
      <c r="AR1082" s="6"/>
      <c r="AS1082" s="15"/>
      <c r="AT1082" s="6" t="str">
        <f ca="1">IFERROR(__xludf.DUMMYFUNCTION("""COMPUTED_VALUE"""),"#N/A")</f>
        <v>#N/A</v>
      </c>
      <c r="AU1082" s="6" t="str">
        <f ca="1">IFERROR(__xludf.DUMMYFUNCTION("""COMPUTED_VALUE"""),"FALSE")</f>
        <v>FALSE</v>
      </c>
      <c r="AZ1082" s="9"/>
      <c r="BC1082" s="9"/>
      <c r="BF1082" s="9"/>
      <c r="BI1082" s="9"/>
    </row>
    <row r="1083" spans="1:61">
      <c r="A1083" s="6"/>
      <c r="B1083" s="6"/>
      <c r="C1083" s="6"/>
      <c r="D1083" s="6"/>
      <c r="E1083" s="6"/>
      <c r="F1083" s="6"/>
      <c r="G1083" s="6"/>
      <c r="H1083" s="6"/>
      <c r="I1083" s="6"/>
      <c r="J1083" s="6"/>
      <c r="K1083" s="6"/>
      <c r="L1083" s="6"/>
      <c r="M1083" s="6"/>
      <c r="N1083" s="6"/>
      <c r="O1083" s="6"/>
      <c r="P1083" s="6"/>
      <c r="R1083" s="6"/>
      <c r="S1083" s="6"/>
      <c r="T1083" s="6"/>
      <c r="U1083" s="6"/>
      <c r="V1083" s="6"/>
      <c r="W1083" s="6"/>
      <c r="X1083" s="6"/>
      <c r="Y1083" s="6"/>
      <c r="Z1083" s="6"/>
      <c r="AA1083" s="6"/>
      <c r="AB1083" s="6"/>
      <c r="AD1083" s="6"/>
      <c r="AE1083" s="6"/>
      <c r="AF1083" s="6"/>
      <c r="AG1083" s="6"/>
      <c r="AH1083" s="6"/>
      <c r="AI1083" s="6"/>
      <c r="AK1083" s="6"/>
      <c r="AL1083" s="6"/>
      <c r="AM1083" s="6"/>
      <c r="AN1083" s="6"/>
      <c r="AO1083" s="6"/>
      <c r="AP1083" s="6"/>
      <c r="AQ1083" s="6"/>
      <c r="AR1083" s="6"/>
      <c r="AS1083" s="15"/>
      <c r="AT1083" s="6" t="str">
        <f ca="1">IFERROR(__xludf.DUMMYFUNCTION("""COMPUTED_VALUE"""),"#N/A")</f>
        <v>#N/A</v>
      </c>
      <c r="AU1083" s="6" t="str">
        <f ca="1">IFERROR(__xludf.DUMMYFUNCTION("""COMPUTED_VALUE"""),"FALSE")</f>
        <v>FALSE</v>
      </c>
      <c r="AZ1083" s="9"/>
      <c r="BC1083" s="9"/>
      <c r="BF1083" s="9"/>
      <c r="BI1083" s="9"/>
    </row>
    <row r="1084" spans="1:61">
      <c r="A1084" s="6"/>
      <c r="B1084" s="6"/>
      <c r="C1084" s="6"/>
      <c r="D1084" s="6"/>
      <c r="E1084" s="6"/>
      <c r="F1084" s="6"/>
      <c r="G1084" s="6"/>
      <c r="H1084" s="6"/>
      <c r="I1084" s="6"/>
      <c r="J1084" s="6"/>
      <c r="K1084" s="6"/>
      <c r="L1084" s="6"/>
      <c r="M1084" s="6"/>
      <c r="N1084" s="6"/>
      <c r="O1084" s="6"/>
      <c r="P1084" s="6"/>
      <c r="R1084" s="6"/>
      <c r="S1084" s="6"/>
      <c r="T1084" s="6"/>
      <c r="U1084" s="6"/>
      <c r="V1084" s="6"/>
      <c r="W1084" s="6"/>
      <c r="X1084" s="6"/>
      <c r="Y1084" s="6"/>
      <c r="Z1084" s="6"/>
      <c r="AA1084" s="6"/>
      <c r="AB1084" s="6"/>
      <c r="AD1084" s="6"/>
      <c r="AE1084" s="6"/>
      <c r="AF1084" s="6"/>
      <c r="AG1084" s="6"/>
      <c r="AH1084" s="6"/>
      <c r="AI1084" s="6"/>
      <c r="AK1084" s="6"/>
      <c r="AL1084" s="6"/>
      <c r="AM1084" s="6"/>
      <c r="AN1084" s="6"/>
      <c r="AO1084" s="6"/>
      <c r="AP1084" s="6"/>
      <c r="AQ1084" s="6"/>
      <c r="AR1084" s="6"/>
      <c r="AS1084" s="15"/>
      <c r="AT1084" s="6" t="str">
        <f ca="1">IFERROR(__xludf.DUMMYFUNCTION("""COMPUTED_VALUE"""),"#N/A")</f>
        <v>#N/A</v>
      </c>
      <c r="AU1084" s="6" t="str">
        <f ca="1">IFERROR(__xludf.DUMMYFUNCTION("""COMPUTED_VALUE"""),"FALSE")</f>
        <v>FALSE</v>
      </c>
      <c r="AZ1084" s="9"/>
      <c r="BC1084" s="9"/>
      <c r="BF1084" s="9"/>
      <c r="BI1084" s="9"/>
    </row>
    <row r="1085" spans="1:61">
      <c r="A1085" s="6"/>
      <c r="B1085" s="6"/>
      <c r="C1085" s="6"/>
      <c r="D1085" s="6"/>
      <c r="E1085" s="6"/>
      <c r="F1085" s="6"/>
      <c r="G1085" s="6"/>
      <c r="H1085" s="6"/>
      <c r="I1085" s="6"/>
      <c r="J1085" s="6"/>
      <c r="K1085" s="6"/>
      <c r="L1085" s="6"/>
      <c r="M1085" s="6"/>
      <c r="N1085" s="6"/>
      <c r="O1085" s="6"/>
      <c r="P1085" s="6"/>
      <c r="R1085" s="6"/>
      <c r="S1085" s="6"/>
      <c r="T1085" s="6"/>
      <c r="U1085" s="6"/>
      <c r="V1085" s="6"/>
      <c r="W1085" s="6"/>
      <c r="X1085" s="6"/>
      <c r="Y1085" s="6"/>
      <c r="Z1085" s="6"/>
      <c r="AA1085" s="6"/>
      <c r="AB1085" s="6"/>
      <c r="AD1085" s="6"/>
      <c r="AE1085" s="6"/>
      <c r="AF1085" s="6"/>
      <c r="AG1085" s="6"/>
      <c r="AH1085" s="6"/>
      <c r="AI1085" s="6"/>
      <c r="AK1085" s="6"/>
      <c r="AL1085" s="6"/>
      <c r="AM1085" s="6"/>
      <c r="AN1085" s="6"/>
      <c r="AO1085" s="6"/>
      <c r="AP1085" s="6"/>
      <c r="AQ1085" s="6"/>
      <c r="AR1085" s="6"/>
      <c r="AS1085" s="15"/>
      <c r="AT1085" s="6" t="str">
        <f ca="1">IFERROR(__xludf.DUMMYFUNCTION("""COMPUTED_VALUE"""),"#N/A")</f>
        <v>#N/A</v>
      </c>
      <c r="AU1085" s="6" t="str">
        <f ca="1">IFERROR(__xludf.DUMMYFUNCTION("""COMPUTED_VALUE"""),"FALSE")</f>
        <v>FALSE</v>
      </c>
      <c r="AZ1085" s="9"/>
      <c r="BC1085" s="9"/>
      <c r="BF1085" s="9"/>
      <c r="BI1085" s="9"/>
    </row>
    <row r="1086" spans="1:61">
      <c r="A1086" s="6"/>
      <c r="B1086" s="6"/>
      <c r="C1086" s="6"/>
      <c r="D1086" s="6"/>
      <c r="E1086" s="6"/>
      <c r="F1086" s="6"/>
      <c r="G1086" s="6"/>
      <c r="H1086" s="6"/>
      <c r="I1086" s="6"/>
      <c r="J1086" s="6"/>
      <c r="K1086" s="6"/>
      <c r="L1086" s="6"/>
      <c r="M1086" s="6"/>
      <c r="N1086" s="6"/>
      <c r="O1086" s="6"/>
      <c r="P1086" s="6"/>
      <c r="R1086" s="6"/>
      <c r="S1086" s="6"/>
      <c r="T1086" s="6"/>
      <c r="U1086" s="6"/>
      <c r="V1086" s="6"/>
      <c r="W1086" s="6"/>
      <c r="X1086" s="6"/>
      <c r="Y1086" s="6"/>
      <c r="Z1086" s="6"/>
      <c r="AA1086" s="6"/>
      <c r="AB1086" s="6"/>
      <c r="AD1086" s="6"/>
      <c r="AE1086" s="6"/>
      <c r="AF1086" s="6"/>
      <c r="AG1086" s="6"/>
      <c r="AH1086" s="6"/>
      <c r="AI1086" s="6"/>
      <c r="AK1086" s="6"/>
      <c r="AL1086" s="6"/>
      <c r="AM1086" s="6"/>
      <c r="AN1086" s="6"/>
      <c r="AO1086" s="6"/>
      <c r="AP1086" s="6"/>
      <c r="AQ1086" s="6"/>
      <c r="AR1086" s="6"/>
      <c r="AS1086" s="15"/>
      <c r="AT1086" s="6" t="str">
        <f ca="1">IFERROR(__xludf.DUMMYFUNCTION("""COMPUTED_VALUE"""),"#N/A")</f>
        <v>#N/A</v>
      </c>
      <c r="AU1086" s="6" t="str">
        <f ca="1">IFERROR(__xludf.DUMMYFUNCTION("""COMPUTED_VALUE"""),"FALSE")</f>
        <v>FALSE</v>
      </c>
      <c r="AZ1086" s="9"/>
      <c r="BC1086" s="9"/>
      <c r="BF1086" s="9"/>
      <c r="BI1086" s="9"/>
    </row>
    <row r="1087" spans="1:61">
      <c r="A1087" s="6"/>
      <c r="B1087" s="6"/>
      <c r="C1087" s="6"/>
      <c r="D1087" s="6"/>
      <c r="E1087" s="6"/>
      <c r="F1087" s="6"/>
      <c r="G1087" s="6"/>
      <c r="H1087" s="6"/>
      <c r="I1087" s="6"/>
      <c r="J1087" s="6"/>
      <c r="K1087" s="6"/>
      <c r="L1087" s="6"/>
      <c r="M1087" s="6"/>
      <c r="N1087" s="6"/>
      <c r="O1087" s="6"/>
      <c r="P1087" s="6"/>
      <c r="R1087" s="6"/>
      <c r="S1087" s="6"/>
      <c r="T1087" s="6"/>
      <c r="U1087" s="6"/>
      <c r="V1087" s="6"/>
      <c r="W1087" s="6"/>
      <c r="X1087" s="6"/>
      <c r="Y1087" s="6"/>
      <c r="Z1087" s="6"/>
      <c r="AA1087" s="6"/>
      <c r="AB1087" s="6"/>
      <c r="AD1087" s="6"/>
      <c r="AE1087" s="6"/>
      <c r="AF1087" s="6"/>
      <c r="AG1087" s="6"/>
      <c r="AH1087" s="6"/>
      <c r="AI1087" s="6"/>
      <c r="AK1087" s="6"/>
      <c r="AL1087" s="6"/>
      <c r="AM1087" s="6"/>
      <c r="AN1087" s="6"/>
      <c r="AO1087" s="6"/>
      <c r="AP1087" s="6"/>
      <c r="AQ1087" s="6"/>
      <c r="AR1087" s="6"/>
      <c r="AS1087" s="15"/>
      <c r="AT1087" s="6" t="str">
        <f ca="1">IFERROR(__xludf.DUMMYFUNCTION("""COMPUTED_VALUE"""),"#N/A")</f>
        <v>#N/A</v>
      </c>
      <c r="AU1087" s="6" t="str">
        <f ca="1">IFERROR(__xludf.DUMMYFUNCTION("""COMPUTED_VALUE"""),"FALSE")</f>
        <v>FALSE</v>
      </c>
      <c r="AZ1087" s="9"/>
      <c r="BC1087" s="9"/>
      <c r="BF1087" s="9"/>
      <c r="BI1087" s="9"/>
    </row>
    <row r="1088" spans="1:61">
      <c r="A1088" s="6"/>
      <c r="B1088" s="6"/>
      <c r="C1088" s="6"/>
      <c r="D1088" s="6"/>
      <c r="E1088" s="6"/>
      <c r="F1088" s="6"/>
      <c r="G1088" s="6"/>
      <c r="H1088" s="6"/>
      <c r="I1088" s="6"/>
      <c r="J1088" s="6"/>
      <c r="K1088" s="6"/>
      <c r="L1088" s="6"/>
      <c r="M1088" s="6"/>
      <c r="N1088" s="6"/>
      <c r="O1088" s="6"/>
      <c r="P1088" s="6"/>
      <c r="R1088" s="6"/>
      <c r="S1088" s="6"/>
      <c r="T1088" s="6"/>
      <c r="U1088" s="6"/>
      <c r="V1088" s="6"/>
      <c r="W1088" s="6"/>
      <c r="X1088" s="6"/>
      <c r="Y1088" s="6"/>
      <c r="Z1088" s="6"/>
      <c r="AA1088" s="6"/>
      <c r="AB1088" s="6"/>
      <c r="AD1088" s="6"/>
      <c r="AE1088" s="6"/>
      <c r="AF1088" s="6"/>
      <c r="AG1088" s="6"/>
      <c r="AH1088" s="6"/>
      <c r="AI1088" s="6"/>
      <c r="AK1088" s="6"/>
      <c r="AL1088" s="6"/>
      <c r="AM1088" s="6"/>
      <c r="AN1088" s="6"/>
      <c r="AO1088" s="6"/>
      <c r="AP1088" s="6"/>
      <c r="AQ1088" s="6"/>
      <c r="AR1088" s="6"/>
      <c r="AS1088" s="15"/>
      <c r="AT1088" s="6" t="str">
        <f ca="1">IFERROR(__xludf.DUMMYFUNCTION("""COMPUTED_VALUE"""),"#N/A")</f>
        <v>#N/A</v>
      </c>
      <c r="AU1088" s="6" t="str">
        <f ca="1">IFERROR(__xludf.DUMMYFUNCTION("""COMPUTED_VALUE"""),"FALSE")</f>
        <v>FALSE</v>
      </c>
      <c r="AZ1088" s="9"/>
      <c r="BC1088" s="9"/>
      <c r="BF1088" s="9"/>
      <c r="BI1088" s="9"/>
    </row>
    <row r="1089" spans="1:61">
      <c r="A1089" s="6"/>
      <c r="B1089" s="6"/>
      <c r="C1089" s="6"/>
      <c r="D1089" s="6"/>
      <c r="E1089" s="6"/>
      <c r="F1089" s="6"/>
      <c r="G1089" s="6"/>
      <c r="H1089" s="6"/>
      <c r="I1089" s="6"/>
      <c r="J1089" s="6"/>
      <c r="K1089" s="6"/>
      <c r="L1089" s="6"/>
      <c r="M1089" s="6"/>
      <c r="N1089" s="6"/>
      <c r="O1089" s="6"/>
      <c r="P1089" s="6"/>
      <c r="R1089" s="6"/>
      <c r="S1089" s="6"/>
      <c r="T1089" s="6"/>
      <c r="U1089" s="6"/>
      <c r="V1089" s="6"/>
      <c r="W1089" s="6"/>
      <c r="X1089" s="6"/>
      <c r="Y1089" s="6"/>
      <c r="Z1089" s="6"/>
      <c r="AA1089" s="6"/>
      <c r="AB1089" s="6"/>
      <c r="AD1089" s="6"/>
      <c r="AE1089" s="6"/>
      <c r="AF1089" s="6"/>
      <c r="AG1089" s="6"/>
      <c r="AH1089" s="6"/>
      <c r="AI1089" s="6"/>
      <c r="AK1089" s="6"/>
      <c r="AL1089" s="6"/>
      <c r="AM1089" s="6"/>
      <c r="AN1089" s="6"/>
      <c r="AO1089" s="6"/>
      <c r="AP1089" s="6"/>
      <c r="AQ1089" s="6"/>
      <c r="AR1089" s="6"/>
      <c r="AS1089" s="15"/>
      <c r="AT1089" s="6" t="str">
        <f ca="1">IFERROR(__xludf.DUMMYFUNCTION("""COMPUTED_VALUE"""),"#N/A")</f>
        <v>#N/A</v>
      </c>
      <c r="AU1089" s="6" t="str">
        <f ca="1">IFERROR(__xludf.DUMMYFUNCTION("""COMPUTED_VALUE"""),"FALSE")</f>
        <v>FALSE</v>
      </c>
      <c r="AZ1089" s="9"/>
      <c r="BC1089" s="9"/>
      <c r="BF1089" s="9"/>
      <c r="BI1089" s="9"/>
    </row>
    <row r="1090" spans="1:61">
      <c r="A1090" s="6"/>
      <c r="B1090" s="6"/>
      <c r="C1090" s="6"/>
      <c r="D1090" s="6"/>
      <c r="E1090" s="6"/>
      <c r="F1090" s="6"/>
      <c r="G1090" s="6"/>
      <c r="H1090" s="6"/>
      <c r="I1090" s="6"/>
      <c r="J1090" s="6"/>
      <c r="K1090" s="6"/>
      <c r="L1090" s="6"/>
      <c r="M1090" s="6"/>
      <c r="N1090" s="6"/>
      <c r="O1090" s="6"/>
      <c r="P1090" s="6"/>
      <c r="R1090" s="6"/>
      <c r="S1090" s="6"/>
      <c r="T1090" s="6"/>
      <c r="U1090" s="6"/>
      <c r="V1090" s="6"/>
      <c r="W1090" s="6"/>
      <c r="X1090" s="6"/>
      <c r="Y1090" s="6"/>
      <c r="Z1090" s="6"/>
      <c r="AA1090" s="6"/>
      <c r="AB1090" s="6"/>
      <c r="AD1090" s="6"/>
      <c r="AE1090" s="6"/>
      <c r="AF1090" s="6"/>
      <c r="AG1090" s="6"/>
      <c r="AH1090" s="6"/>
      <c r="AI1090" s="6"/>
      <c r="AK1090" s="6"/>
      <c r="AL1090" s="6"/>
      <c r="AM1090" s="6"/>
      <c r="AN1090" s="6"/>
      <c r="AO1090" s="6"/>
      <c r="AP1090" s="6"/>
      <c r="AQ1090" s="6"/>
      <c r="AR1090" s="6"/>
      <c r="AS1090" s="15"/>
      <c r="AT1090" s="6" t="str">
        <f ca="1">IFERROR(__xludf.DUMMYFUNCTION("""COMPUTED_VALUE"""),"#N/A")</f>
        <v>#N/A</v>
      </c>
      <c r="AU1090" s="6" t="str">
        <f ca="1">IFERROR(__xludf.DUMMYFUNCTION("""COMPUTED_VALUE"""),"FALSE")</f>
        <v>FALSE</v>
      </c>
      <c r="AZ1090" s="9"/>
      <c r="BC1090" s="9"/>
      <c r="BF1090" s="9"/>
      <c r="BI1090" s="9"/>
    </row>
    <row r="1091" spans="1:61">
      <c r="A1091" s="6"/>
      <c r="B1091" s="6"/>
      <c r="C1091" s="6"/>
      <c r="D1091" s="6"/>
      <c r="E1091" s="6"/>
      <c r="F1091" s="6"/>
      <c r="G1091" s="6"/>
      <c r="H1091" s="6"/>
      <c r="I1091" s="6"/>
      <c r="J1091" s="6"/>
      <c r="K1091" s="6"/>
      <c r="L1091" s="6"/>
      <c r="M1091" s="6"/>
      <c r="N1091" s="6"/>
      <c r="O1091" s="6"/>
      <c r="P1091" s="6"/>
      <c r="R1091" s="6"/>
      <c r="S1091" s="6"/>
      <c r="T1091" s="6"/>
      <c r="U1091" s="6"/>
      <c r="V1091" s="6"/>
      <c r="W1091" s="6"/>
      <c r="X1091" s="6"/>
      <c r="Y1091" s="6"/>
      <c r="Z1091" s="6"/>
      <c r="AA1091" s="6"/>
      <c r="AB1091" s="6"/>
      <c r="AD1091" s="6"/>
      <c r="AE1091" s="6"/>
      <c r="AF1091" s="6"/>
      <c r="AG1091" s="6"/>
      <c r="AH1091" s="6"/>
      <c r="AI1091" s="6"/>
      <c r="AK1091" s="6"/>
      <c r="AL1091" s="6"/>
      <c r="AM1091" s="6"/>
      <c r="AN1091" s="6"/>
      <c r="AO1091" s="6"/>
      <c r="AP1091" s="6"/>
      <c r="AQ1091" s="6"/>
      <c r="AR1091" s="6"/>
      <c r="AS1091" s="15"/>
      <c r="AT1091" s="6" t="str">
        <f ca="1">IFERROR(__xludf.DUMMYFUNCTION("""COMPUTED_VALUE"""),"#N/A")</f>
        <v>#N/A</v>
      </c>
      <c r="AU1091" s="6" t="str">
        <f ca="1">IFERROR(__xludf.DUMMYFUNCTION("""COMPUTED_VALUE"""),"FALSE")</f>
        <v>FALSE</v>
      </c>
      <c r="AZ1091" s="9"/>
      <c r="BC1091" s="9"/>
      <c r="BF1091" s="9"/>
      <c r="BI1091" s="9"/>
    </row>
    <row r="1092" spans="1:61">
      <c r="A1092" s="6"/>
      <c r="B1092" s="6"/>
      <c r="C1092" s="6"/>
      <c r="D1092" s="6"/>
      <c r="E1092" s="6"/>
      <c r="F1092" s="6"/>
      <c r="G1092" s="6"/>
      <c r="H1092" s="6"/>
      <c r="I1092" s="6"/>
      <c r="J1092" s="6"/>
      <c r="K1092" s="6"/>
      <c r="L1092" s="6"/>
      <c r="M1092" s="6"/>
      <c r="N1092" s="6"/>
      <c r="O1092" s="6"/>
      <c r="P1092" s="6"/>
      <c r="R1092" s="6"/>
      <c r="S1092" s="6"/>
      <c r="T1092" s="6"/>
      <c r="U1092" s="6"/>
      <c r="V1092" s="6"/>
      <c r="W1092" s="6"/>
      <c r="X1092" s="6"/>
      <c r="Y1092" s="6"/>
      <c r="Z1092" s="6"/>
      <c r="AA1092" s="6"/>
      <c r="AB1092" s="6"/>
      <c r="AD1092" s="6"/>
      <c r="AE1092" s="6"/>
      <c r="AF1092" s="6"/>
      <c r="AG1092" s="6"/>
      <c r="AH1092" s="6"/>
      <c r="AI1092" s="6"/>
      <c r="AK1092" s="6"/>
      <c r="AL1092" s="6"/>
      <c r="AM1092" s="6"/>
      <c r="AN1092" s="6"/>
      <c r="AO1092" s="6"/>
      <c r="AP1092" s="6"/>
      <c r="AQ1092" s="6"/>
      <c r="AR1092" s="6"/>
      <c r="AS1092" s="15"/>
      <c r="AT1092" s="6" t="str">
        <f ca="1">IFERROR(__xludf.DUMMYFUNCTION("""COMPUTED_VALUE"""),"#N/A")</f>
        <v>#N/A</v>
      </c>
      <c r="AU1092" s="6" t="str">
        <f ca="1">IFERROR(__xludf.DUMMYFUNCTION("""COMPUTED_VALUE"""),"FALSE")</f>
        <v>FALSE</v>
      </c>
      <c r="AZ1092" s="9"/>
      <c r="BC1092" s="9"/>
      <c r="BF1092" s="9"/>
      <c r="BI1092" s="9"/>
    </row>
    <row r="1093" spans="1:61">
      <c r="A1093" s="6"/>
      <c r="B1093" s="6"/>
      <c r="C1093" s="6"/>
      <c r="D1093" s="6"/>
      <c r="E1093" s="6"/>
      <c r="F1093" s="6"/>
      <c r="G1093" s="6"/>
      <c r="H1093" s="6"/>
      <c r="I1093" s="6"/>
      <c r="J1093" s="6"/>
      <c r="K1093" s="6"/>
      <c r="L1093" s="6"/>
      <c r="M1093" s="6"/>
      <c r="N1093" s="6"/>
      <c r="O1093" s="6"/>
      <c r="P1093" s="6"/>
      <c r="R1093" s="6"/>
      <c r="S1093" s="6"/>
      <c r="T1093" s="6"/>
      <c r="U1093" s="6"/>
      <c r="V1093" s="6"/>
      <c r="W1093" s="6"/>
      <c r="X1093" s="6"/>
      <c r="Y1093" s="6"/>
      <c r="Z1093" s="6"/>
      <c r="AA1093" s="6"/>
      <c r="AB1093" s="6"/>
      <c r="AD1093" s="6"/>
      <c r="AE1093" s="6"/>
      <c r="AF1093" s="6"/>
      <c r="AG1093" s="6"/>
      <c r="AH1093" s="6"/>
      <c r="AI1093" s="6"/>
      <c r="AK1093" s="6"/>
      <c r="AL1093" s="6"/>
      <c r="AM1093" s="6"/>
      <c r="AN1093" s="6"/>
      <c r="AO1093" s="6"/>
      <c r="AQ1093" s="6"/>
      <c r="AR1093" s="6"/>
      <c r="AS1093" s="15"/>
      <c r="AT1093" s="6" t="str">
        <f ca="1">IFERROR(__xludf.DUMMYFUNCTION("""COMPUTED_VALUE"""),"#N/A")</f>
        <v>#N/A</v>
      </c>
      <c r="AU1093" s="6" t="str">
        <f ca="1">IFERROR(__xludf.DUMMYFUNCTION("""COMPUTED_VALUE"""),"FALSE")</f>
        <v>FALSE</v>
      </c>
      <c r="AZ1093" s="9"/>
      <c r="BC1093" s="9"/>
      <c r="BF1093" s="9"/>
      <c r="BI1093" s="9"/>
    </row>
    <row r="1094" spans="1:61">
      <c r="A1094" s="6"/>
      <c r="B1094" s="6"/>
      <c r="C1094" s="6"/>
      <c r="D1094" s="6"/>
      <c r="E1094" s="6"/>
      <c r="F1094" s="6"/>
      <c r="G1094" s="6"/>
      <c r="H1094" s="6"/>
      <c r="I1094" s="6"/>
      <c r="J1094" s="6"/>
      <c r="K1094" s="6"/>
      <c r="L1094" s="6"/>
      <c r="M1094" s="6"/>
      <c r="N1094" s="6"/>
      <c r="O1094" s="6"/>
      <c r="P1094" s="6"/>
      <c r="R1094" s="6"/>
      <c r="S1094" s="6"/>
      <c r="T1094" s="6"/>
      <c r="U1094" s="6"/>
      <c r="V1094" s="6"/>
      <c r="W1094" s="6"/>
      <c r="X1094" s="6"/>
      <c r="Y1094" s="6"/>
      <c r="Z1094" s="6"/>
      <c r="AA1094" s="6"/>
      <c r="AB1094" s="6"/>
      <c r="AD1094" s="6"/>
      <c r="AE1094" s="6"/>
      <c r="AF1094" s="6"/>
      <c r="AG1094" s="6"/>
      <c r="AH1094" s="6"/>
      <c r="AI1094" s="6"/>
      <c r="AK1094" s="6"/>
      <c r="AL1094" s="6"/>
      <c r="AM1094" s="6"/>
      <c r="AN1094" s="6"/>
      <c r="AO1094" s="6"/>
      <c r="AQ1094" s="6"/>
      <c r="AR1094" s="6"/>
      <c r="AS1094" s="15"/>
      <c r="AT1094" s="6" t="str">
        <f ca="1">IFERROR(__xludf.DUMMYFUNCTION("""COMPUTED_VALUE"""),"#N/A")</f>
        <v>#N/A</v>
      </c>
      <c r="AU1094" s="6" t="str">
        <f ca="1">IFERROR(__xludf.DUMMYFUNCTION("""COMPUTED_VALUE"""),"FALSE")</f>
        <v>FALSE</v>
      </c>
      <c r="AZ1094" s="9"/>
      <c r="BC1094" s="9"/>
      <c r="BF1094" s="9"/>
      <c r="BI1094" s="9"/>
    </row>
    <row r="1095" spans="1:61">
      <c r="A1095" s="6"/>
      <c r="B1095" s="6"/>
      <c r="C1095" s="6"/>
      <c r="D1095" s="6"/>
      <c r="E1095" s="6"/>
      <c r="F1095" s="6"/>
      <c r="G1095" s="6"/>
      <c r="H1095" s="6"/>
      <c r="I1095" s="6"/>
      <c r="J1095" s="6"/>
      <c r="K1095" s="6"/>
      <c r="L1095" s="6"/>
      <c r="M1095" s="6"/>
      <c r="N1095" s="6"/>
      <c r="O1095" s="6"/>
      <c r="P1095" s="6"/>
      <c r="R1095" s="6"/>
      <c r="S1095" s="6"/>
      <c r="T1095" s="6"/>
      <c r="U1095" s="6"/>
      <c r="V1095" s="6"/>
      <c r="W1095" s="6"/>
      <c r="X1095" s="6"/>
      <c r="Y1095" s="6"/>
      <c r="Z1095" s="6"/>
      <c r="AA1095" s="6"/>
      <c r="AB1095" s="6"/>
      <c r="AD1095" s="6"/>
      <c r="AE1095" s="6"/>
      <c r="AF1095" s="6"/>
      <c r="AG1095" s="6"/>
      <c r="AH1095" s="6"/>
      <c r="AI1095" s="6"/>
      <c r="AK1095" s="6"/>
      <c r="AL1095" s="6"/>
      <c r="AM1095" s="6"/>
      <c r="AN1095" s="6"/>
      <c r="AO1095" s="6"/>
      <c r="AQ1095" s="6"/>
      <c r="AR1095" s="6"/>
      <c r="AS1095" s="15"/>
      <c r="AT1095" s="6" t="str">
        <f ca="1">IFERROR(__xludf.DUMMYFUNCTION("""COMPUTED_VALUE"""),"#N/A")</f>
        <v>#N/A</v>
      </c>
      <c r="AU1095" s="6" t="str">
        <f ca="1">IFERROR(__xludf.DUMMYFUNCTION("""COMPUTED_VALUE"""),"FALSE")</f>
        <v>FALSE</v>
      </c>
      <c r="AZ1095" s="9"/>
      <c r="BC1095" s="9"/>
      <c r="BF1095" s="9"/>
      <c r="BI1095" s="9"/>
    </row>
    <row r="1096" spans="1:61">
      <c r="A1096" s="6"/>
      <c r="B1096" s="6"/>
      <c r="C1096" s="6"/>
      <c r="D1096" s="6"/>
      <c r="E1096" s="6"/>
      <c r="F1096" s="6"/>
      <c r="G1096" s="6"/>
      <c r="H1096" s="6"/>
      <c r="I1096" s="6"/>
      <c r="J1096" s="6"/>
      <c r="K1096" s="6"/>
      <c r="L1096" s="6"/>
      <c r="M1096" s="6"/>
      <c r="N1096" s="6"/>
      <c r="O1096" s="6"/>
      <c r="P1096" s="6"/>
      <c r="R1096" s="6"/>
      <c r="S1096" s="6"/>
      <c r="T1096" s="6"/>
      <c r="U1096" s="6"/>
      <c r="V1096" s="6"/>
      <c r="W1096" s="6"/>
      <c r="X1096" s="6"/>
      <c r="Y1096" s="6"/>
      <c r="Z1096" s="6"/>
      <c r="AA1096" s="6"/>
      <c r="AB1096" s="6"/>
      <c r="AD1096" s="6"/>
      <c r="AE1096" s="6"/>
      <c r="AF1096" s="6"/>
      <c r="AG1096" s="6"/>
      <c r="AH1096" s="6"/>
      <c r="AI1096" s="6"/>
      <c r="AK1096" s="6"/>
      <c r="AL1096" s="6"/>
      <c r="AM1096" s="6"/>
      <c r="AN1096" s="6"/>
      <c r="AO1096" s="6"/>
      <c r="AQ1096" s="6"/>
      <c r="AR1096" s="6"/>
      <c r="AS1096" s="15"/>
      <c r="AT1096" s="6" t="str">
        <f ca="1">IFERROR(__xludf.DUMMYFUNCTION("""COMPUTED_VALUE"""),"#N/A")</f>
        <v>#N/A</v>
      </c>
      <c r="AU1096" s="6" t="str">
        <f ca="1">IFERROR(__xludf.DUMMYFUNCTION("""COMPUTED_VALUE"""),"FALSE")</f>
        <v>FALSE</v>
      </c>
      <c r="AZ1096" s="9"/>
      <c r="BC1096" s="9"/>
      <c r="BF1096" s="9"/>
      <c r="BI1096" s="9"/>
    </row>
    <row r="1097" spans="1:61">
      <c r="A1097" s="6"/>
      <c r="B1097" s="6"/>
      <c r="C1097" s="6"/>
      <c r="D1097" s="6"/>
      <c r="E1097" s="6"/>
      <c r="F1097" s="6"/>
      <c r="G1097" s="6"/>
      <c r="H1097" s="6"/>
      <c r="I1097" s="6"/>
      <c r="J1097" s="6"/>
      <c r="K1097" s="6"/>
      <c r="L1097" s="6"/>
      <c r="M1097" s="6"/>
      <c r="N1097" s="6"/>
      <c r="O1097" s="6"/>
      <c r="P1097" s="6"/>
      <c r="R1097" s="6"/>
      <c r="S1097" s="6"/>
      <c r="T1097" s="6"/>
      <c r="U1097" s="6"/>
      <c r="V1097" s="6"/>
      <c r="W1097" s="6"/>
      <c r="X1097" s="6"/>
      <c r="Y1097" s="6"/>
      <c r="Z1097" s="6"/>
      <c r="AA1097" s="6"/>
      <c r="AB1097" s="6"/>
      <c r="AD1097" s="6"/>
      <c r="AE1097" s="6"/>
      <c r="AF1097" s="6"/>
      <c r="AG1097" s="6"/>
      <c r="AH1097" s="6"/>
      <c r="AI1097" s="6"/>
      <c r="AK1097" s="6"/>
      <c r="AL1097" s="6"/>
      <c r="AM1097" s="6"/>
      <c r="AN1097" s="6"/>
      <c r="AO1097" s="6"/>
      <c r="AQ1097" s="6"/>
      <c r="AR1097" s="6"/>
      <c r="AS1097" s="15"/>
      <c r="AT1097" s="6" t="str">
        <f ca="1">IFERROR(__xludf.DUMMYFUNCTION("""COMPUTED_VALUE"""),"#N/A")</f>
        <v>#N/A</v>
      </c>
      <c r="AU1097" s="6" t="str">
        <f ca="1">IFERROR(__xludf.DUMMYFUNCTION("""COMPUTED_VALUE"""),"FALSE")</f>
        <v>FALSE</v>
      </c>
      <c r="AZ1097" s="9"/>
      <c r="BC1097" s="9"/>
      <c r="BF1097" s="9"/>
      <c r="BI1097" s="9"/>
    </row>
    <row r="1098" spans="1:61">
      <c r="A1098" s="6"/>
      <c r="B1098" s="6"/>
      <c r="C1098" s="6"/>
      <c r="D1098" s="6"/>
      <c r="E1098" s="6"/>
      <c r="F1098" s="6"/>
      <c r="G1098" s="6"/>
      <c r="H1098" s="6"/>
      <c r="I1098" s="6"/>
      <c r="J1098" s="6"/>
      <c r="K1098" s="6"/>
      <c r="L1098" s="6"/>
      <c r="M1098" s="6"/>
      <c r="N1098" s="6"/>
      <c r="O1098" s="6"/>
      <c r="P1098" s="6"/>
      <c r="R1098" s="6"/>
      <c r="S1098" s="6"/>
      <c r="T1098" s="6"/>
      <c r="U1098" s="6"/>
      <c r="V1098" s="6"/>
      <c r="W1098" s="6"/>
      <c r="X1098" s="6"/>
      <c r="Y1098" s="6"/>
      <c r="Z1098" s="6"/>
      <c r="AA1098" s="6"/>
      <c r="AB1098" s="6"/>
      <c r="AD1098" s="6"/>
      <c r="AE1098" s="6"/>
      <c r="AF1098" s="6"/>
      <c r="AG1098" s="6"/>
      <c r="AH1098" s="6"/>
      <c r="AI1098" s="6"/>
      <c r="AK1098" s="6"/>
      <c r="AL1098" s="6"/>
      <c r="AM1098" s="6"/>
      <c r="AN1098" s="6"/>
      <c r="AO1098" s="6"/>
      <c r="AQ1098" s="6"/>
      <c r="AR1098" s="6"/>
      <c r="AS1098" s="15"/>
      <c r="AT1098" s="6" t="str">
        <f ca="1">IFERROR(__xludf.DUMMYFUNCTION("""COMPUTED_VALUE"""),"#N/A")</f>
        <v>#N/A</v>
      </c>
      <c r="AU1098" s="6" t="str">
        <f ca="1">IFERROR(__xludf.DUMMYFUNCTION("""COMPUTED_VALUE"""),"FALSE")</f>
        <v>FALSE</v>
      </c>
      <c r="AZ1098" s="9"/>
      <c r="BC1098" s="9"/>
      <c r="BF1098" s="9"/>
      <c r="BI1098" s="9"/>
    </row>
    <row r="1099" spans="1:61">
      <c r="A1099" s="6"/>
      <c r="B1099" s="6"/>
      <c r="C1099" s="6"/>
      <c r="D1099" s="6"/>
      <c r="E1099" s="6"/>
      <c r="F1099" s="6"/>
      <c r="G1099" s="6"/>
      <c r="H1099" s="6"/>
      <c r="I1099" s="6"/>
      <c r="J1099" s="6"/>
      <c r="K1099" s="6"/>
      <c r="L1099" s="6"/>
      <c r="M1099" s="6"/>
      <c r="N1099" s="6"/>
      <c r="O1099" s="6"/>
      <c r="P1099" s="6"/>
      <c r="R1099" s="6"/>
      <c r="S1099" s="6"/>
      <c r="T1099" s="6"/>
      <c r="U1099" s="6"/>
      <c r="V1099" s="6"/>
      <c r="W1099" s="6"/>
      <c r="X1099" s="6"/>
      <c r="Y1099" s="6"/>
      <c r="Z1099" s="6"/>
      <c r="AA1099" s="6"/>
      <c r="AB1099" s="6"/>
      <c r="AD1099" s="6"/>
      <c r="AE1099" s="6"/>
      <c r="AF1099" s="6"/>
      <c r="AG1099" s="6"/>
      <c r="AH1099" s="6"/>
      <c r="AI1099" s="6"/>
      <c r="AK1099" s="6"/>
      <c r="AL1099" s="6"/>
      <c r="AM1099" s="6"/>
      <c r="AN1099" s="6"/>
      <c r="AO1099" s="6"/>
      <c r="AQ1099" s="6"/>
      <c r="AR1099" s="6"/>
      <c r="AS1099" s="15"/>
      <c r="AT1099" s="6" t="str">
        <f ca="1">IFERROR(__xludf.DUMMYFUNCTION("""COMPUTED_VALUE"""),"#N/A")</f>
        <v>#N/A</v>
      </c>
      <c r="AU1099" s="6" t="str">
        <f ca="1">IFERROR(__xludf.DUMMYFUNCTION("""COMPUTED_VALUE"""),"FALSE")</f>
        <v>FALSE</v>
      </c>
      <c r="AZ1099" s="9"/>
      <c r="BC1099" s="9"/>
      <c r="BF1099" s="9"/>
      <c r="BI1099" s="9"/>
    </row>
    <row r="1100" spans="1:61">
      <c r="A1100" s="6"/>
      <c r="B1100" s="6"/>
      <c r="C1100" s="6"/>
      <c r="D1100" s="6"/>
      <c r="E1100" s="6"/>
      <c r="F1100" s="6"/>
      <c r="G1100" s="6"/>
      <c r="H1100" s="6"/>
      <c r="I1100" s="6"/>
      <c r="J1100" s="6"/>
      <c r="K1100" s="6"/>
      <c r="L1100" s="6"/>
      <c r="M1100" s="6"/>
      <c r="N1100" s="6"/>
      <c r="O1100" s="6"/>
      <c r="P1100" s="6"/>
      <c r="R1100" s="6"/>
      <c r="S1100" s="6"/>
      <c r="T1100" s="6"/>
      <c r="U1100" s="6"/>
      <c r="V1100" s="6"/>
      <c r="W1100" s="6"/>
      <c r="X1100" s="6"/>
      <c r="Y1100" s="6"/>
      <c r="Z1100" s="6"/>
      <c r="AA1100" s="6"/>
      <c r="AB1100" s="6"/>
      <c r="AD1100" s="6"/>
      <c r="AE1100" s="6"/>
      <c r="AF1100" s="6"/>
      <c r="AG1100" s="6"/>
      <c r="AH1100" s="6"/>
      <c r="AI1100" s="6"/>
      <c r="AK1100" s="6"/>
      <c r="AL1100" s="6"/>
      <c r="AM1100" s="6"/>
      <c r="AN1100" s="6"/>
      <c r="AO1100" s="6"/>
      <c r="AQ1100" s="6"/>
      <c r="AR1100" s="6"/>
      <c r="AS1100" s="15"/>
      <c r="AT1100" s="6" t="str">
        <f ca="1">IFERROR(__xludf.DUMMYFUNCTION("""COMPUTED_VALUE"""),"#N/A")</f>
        <v>#N/A</v>
      </c>
      <c r="AU1100" s="6" t="str">
        <f ca="1">IFERROR(__xludf.DUMMYFUNCTION("""COMPUTED_VALUE"""),"FALSE")</f>
        <v>FALSE</v>
      </c>
      <c r="AZ1100" s="9"/>
      <c r="BC1100" s="9"/>
      <c r="BF1100" s="9"/>
      <c r="BI1100" s="9"/>
    </row>
    <row r="1101" spans="1:61">
      <c r="A1101" s="6"/>
      <c r="B1101" s="6"/>
      <c r="C1101" s="6"/>
      <c r="D1101" s="6"/>
      <c r="E1101" s="6"/>
      <c r="F1101" s="6"/>
      <c r="G1101" s="6"/>
      <c r="H1101" s="6"/>
      <c r="I1101" s="6"/>
      <c r="J1101" s="6"/>
      <c r="K1101" s="6"/>
      <c r="L1101" s="6"/>
      <c r="M1101" s="6"/>
      <c r="N1101" s="6"/>
      <c r="O1101" s="6"/>
      <c r="P1101" s="6"/>
      <c r="R1101" s="6"/>
      <c r="S1101" s="6"/>
      <c r="T1101" s="6"/>
      <c r="U1101" s="6"/>
      <c r="V1101" s="6"/>
      <c r="W1101" s="6"/>
      <c r="X1101" s="6"/>
      <c r="Y1101" s="6"/>
      <c r="Z1101" s="6"/>
      <c r="AA1101" s="6"/>
      <c r="AB1101" s="6"/>
      <c r="AD1101" s="6"/>
      <c r="AE1101" s="6"/>
      <c r="AF1101" s="6"/>
      <c r="AG1101" s="6"/>
      <c r="AH1101" s="6"/>
      <c r="AI1101" s="6"/>
      <c r="AK1101" s="6"/>
      <c r="AL1101" s="6"/>
      <c r="AM1101" s="6"/>
      <c r="AN1101" s="6"/>
      <c r="AO1101" s="6"/>
      <c r="AQ1101" s="6"/>
      <c r="AR1101" s="6"/>
      <c r="AS1101" s="15"/>
      <c r="AT1101" s="6" t="str">
        <f ca="1">IFERROR(__xludf.DUMMYFUNCTION("""COMPUTED_VALUE"""),"#N/A")</f>
        <v>#N/A</v>
      </c>
      <c r="AU1101" s="6" t="str">
        <f ca="1">IFERROR(__xludf.DUMMYFUNCTION("""COMPUTED_VALUE"""),"FALSE")</f>
        <v>FALSE</v>
      </c>
      <c r="AZ1101" s="9"/>
      <c r="BC1101" s="9"/>
      <c r="BF1101" s="9"/>
      <c r="BI1101" s="9"/>
    </row>
    <row r="1102" spans="1:61">
      <c r="A1102" s="6"/>
      <c r="B1102" s="6"/>
      <c r="C1102" s="6"/>
      <c r="D1102" s="6"/>
      <c r="E1102" s="6"/>
      <c r="F1102" s="6"/>
      <c r="G1102" s="6"/>
      <c r="H1102" s="6"/>
      <c r="I1102" s="6"/>
      <c r="J1102" s="6"/>
      <c r="K1102" s="6"/>
      <c r="L1102" s="6"/>
      <c r="M1102" s="6"/>
      <c r="N1102" s="6"/>
      <c r="O1102" s="6"/>
      <c r="P1102" s="6"/>
      <c r="R1102" s="6"/>
      <c r="S1102" s="6"/>
      <c r="T1102" s="6"/>
      <c r="U1102" s="6"/>
      <c r="V1102" s="6"/>
      <c r="W1102" s="6"/>
      <c r="X1102" s="6"/>
      <c r="Y1102" s="6"/>
      <c r="Z1102" s="6"/>
      <c r="AA1102" s="6"/>
      <c r="AB1102" s="6"/>
      <c r="AD1102" s="6"/>
      <c r="AE1102" s="6"/>
      <c r="AF1102" s="6"/>
      <c r="AG1102" s="6"/>
      <c r="AH1102" s="6"/>
      <c r="AI1102" s="6"/>
      <c r="AK1102" s="6"/>
      <c r="AL1102" s="6"/>
      <c r="AM1102" s="6"/>
      <c r="AN1102" s="6"/>
      <c r="AO1102" s="6"/>
      <c r="AQ1102" s="6"/>
      <c r="AR1102" s="6"/>
      <c r="AS1102" s="15"/>
      <c r="AT1102" s="6" t="str">
        <f ca="1">IFERROR(__xludf.DUMMYFUNCTION("""COMPUTED_VALUE"""),"#N/A")</f>
        <v>#N/A</v>
      </c>
      <c r="AU1102" s="6" t="str">
        <f ca="1">IFERROR(__xludf.DUMMYFUNCTION("""COMPUTED_VALUE"""),"FALSE")</f>
        <v>FALSE</v>
      </c>
      <c r="AZ1102" s="9"/>
      <c r="BC1102" s="9"/>
      <c r="BF1102" s="9"/>
      <c r="BI1102" s="9"/>
    </row>
    <row r="1103" spans="1:61">
      <c r="A1103" s="6"/>
      <c r="B1103" s="6"/>
      <c r="C1103" s="6"/>
      <c r="D1103" s="6"/>
      <c r="E1103" s="6"/>
      <c r="F1103" s="6"/>
      <c r="G1103" s="6"/>
      <c r="H1103" s="6"/>
      <c r="I1103" s="6"/>
      <c r="J1103" s="6"/>
      <c r="K1103" s="6"/>
      <c r="L1103" s="6"/>
      <c r="M1103" s="6"/>
      <c r="N1103" s="6"/>
      <c r="O1103" s="6"/>
      <c r="P1103" s="6"/>
      <c r="R1103" s="6"/>
      <c r="S1103" s="6"/>
      <c r="T1103" s="6"/>
      <c r="U1103" s="6"/>
      <c r="V1103" s="6"/>
      <c r="W1103" s="6"/>
      <c r="X1103" s="6"/>
      <c r="Y1103" s="6"/>
      <c r="Z1103" s="6"/>
      <c r="AA1103" s="6"/>
      <c r="AB1103" s="6"/>
      <c r="AD1103" s="6"/>
      <c r="AE1103" s="6"/>
      <c r="AF1103" s="6"/>
      <c r="AG1103" s="6"/>
      <c r="AH1103" s="6"/>
      <c r="AI1103" s="6"/>
      <c r="AK1103" s="6"/>
      <c r="AL1103" s="6"/>
      <c r="AM1103" s="6"/>
      <c r="AN1103" s="6"/>
      <c r="AO1103" s="6"/>
      <c r="AQ1103" s="6"/>
      <c r="AR1103" s="6"/>
      <c r="AS1103" s="15"/>
      <c r="AT1103" s="6" t="str">
        <f ca="1">IFERROR(__xludf.DUMMYFUNCTION("""COMPUTED_VALUE"""),"#N/A")</f>
        <v>#N/A</v>
      </c>
      <c r="AU1103" s="6" t="str">
        <f ca="1">IFERROR(__xludf.DUMMYFUNCTION("""COMPUTED_VALUE"""),"FALSE")</f>
        <v>FALSE</v>
      </c>
      <c r="AZ1103" s="9"/>
      <c r="BC1103" s="9"/>
      <c r="BF1103" s="9"/>
      <c r="BI1103" s="9"/>
    </row>
    <row r="1104" spans="1:61">
      <c r="R1104" s="6"/>
      <c r="AS1104" s="15"/>
      <c r="AT1104" s="6" t="str">
        <f ca="1">IFERROR(__xludf.DUMMYFUNCTION("""COMPUTED_VALUE"""),"#N/A")</f>
        <v>#N/A</v>
      </c>
      <c r="AU1104" s="6" t="str">
        <f ca="1">IFERROR(__xludf.DUMMYFUNCTION("""COMPUTED_VALUE"""),"FALSE")</f>
        <v>FALSE</v>
      </c>
      <c r="AZ1104" s="9"/>
      <c r="BC1104" s="9"/>
      <c r="BF1104" s="9"/>
      <c r="BI1104" s="9"/>
    </row>
    <row r="1105" spans="18:61">
      <c r="R1105" s="6"/>
      <c r="AS1105" s="15"/>
      <c r="AT1105" s="6" t="str">
        <f ca="1">IFERROR(__xludf.DUMMYFUNCTION("""COMPUTED_VALUE"""),"#N/A")</f>
        <v>#N/A</v>
      </c>
      <c r="AU1105" s="6" t="str">
        <f ca="1">IFERROR(__xludf.DUMMYFUNCTION("""COMPUTED_VALUE"""),"FALSE")</f>
        <v>FALSE</v>
      </c>
      <c r="AZ1105" s="9"/>
      <c r="BC1105" s="9"/>
      <c r="BF1105" s="9"/>
      <c r="BI1105" s="9"/>
    </row>
    <row r="1106" spans="18:61">
      <c r="R1106" s="6"/>
      <c r="AS1106" s="15"/>
      <c r="AT1106" s="6" t="str">
        <f ca="1">IFERROR(__xludf.DUMMYFUNCTION("""COMPUTED_VALUE"""),"#N/A")</f>
        <v>#N/A</v>
      </c>
      <c r="AU1106" s="6" t="str">
        <f ca="1">IFERROR(__xludf.DUMMYFUNCTION("""COMPUTED_VALUE"""),"FALSE")</f>
        <v>FALSE</v>
      </c>
      <c r="AZ1106" s="9"/>
      <c r="BC1106" s="9"/>
      <c r="BF1106" s="9"/>
      <c r="BI1106" s="9"/>
    </row>
    <row r="1107" spans="18:61">
      <c r="R1107" s="6"/>
      <c r="AS1107" s="15"/>
      <c r="AT1107" s="6" t="str">
        <f ca="1">IFERROR(__xludf.DUMMYFUNCTION("""COMPUTED_VALUE"""),"#N/A")</f>
        <v>#N/A</v>
      </c>
      <c r="AU1107" s="6" t="str">
        <f ca="1">IFERROR(__xludf.DUMMYFUNCTION("""COMPUTED_VALUE"""),"FALSE")</f>
        <v>FALSE</v>
      </c>
      <c r="AZ1107" s="9"/>
      <c r="BC1107" s="9"/>
      <c r="BF1107" s="9"/>
      <c r="BI1107" s="9"/>
    </row>
    <row r="1108" spans="18:61">
      <c r="R1108" s="6"/>
      <c r="AS1108" s="15"/>
      <c r="AT1108" s="6" t="str">
        <f ca="1">IFERROR(__xludf.DUMMYFUNCTION("""COMPUTED_VALUE"""),"#N/A")</f>
        <v>#N/A</v>
      </c>
      <c r="AU1108" s="6" t="str">
        <f ca="1">IFERROR(__xludf.DUMMYFUNCTION("""COMPUTED_VALUE"""),"FALSE")</f>
        <v>FALSE</v>
      </c>
      <c r="AZ1108" s="9"/>
      <c r="BC1108" s="9"/>
      <c r="BF1108" s="9"/>
      <c r="BI1108" s="9"/>
    </row>
    <row r="1109" spans="18:61">
      <c r="R1109" s="6"/>
      <c r="AS1109" s="15"/>
      <c r="AT1109" s="6" t="str">
        <f ca="1">IFERROR(__xludf.DUMMYFUNCTION("""COMPUTED_VALUE"""),"#N/A")</f>
        <v>#N/A</v>
      </c>
      <c r="AU1109" s="6" t="str">
        <f ca="1">IFERROR(__xludf.DUMMYFUNCTION("""COMPUTED_VALUE"""),"FALSE")</f>
        <v>FALSE</v>
      </c>
      <c r="AZ1109" s="9"/>
      <c r="BC1109" s="9"/>
      <c r="BF1109" s="9"/>
      <c r="BI1109" s="9"/>
    </row>
    <row r="1110" spans="18:61">
      <c r="R1110" s="6"/>
      <c r="AS1110" s="15"/>
      <c r="AT1110" s="6" t="str">
        <f ca="1">IFERROR(__xludf.DUMMYFUNCTION("""COMPUTED_VALUE"""),"#N/A")</f>
        <v>#N/A</v>
      </c>
      <c r="AU1110" s="6" t="str">
        <f ca="1">IFERROR(__xludf.DUMMYFUNCTION("""COMPUTED_VALUE"""),"FALSE")</f>
        <v>FALSE</v>
      </c>
      <c r="AZ1110" s="9"/>
      <c r="BC1110" s="9"/>
      <c r="BF1110" s="9"/>
      <c r="BI1110" s="9"/>
    </row>
    <row r="1111" spans="18:61">
      <c r="R1111" s="6"/>
      <c r="AS1111" s="15"/>
      <c r="AT1111" s="6" t="str">
        <f ca="1">IFERROR(__xludf.DUMMYFUNCTION("""COMPUTED_VALUE"""),"#N/A")</f>
        <v>#N/A</v>
      </c>
      <c r="AU1111" s="6" t="str">
        <f ca="1">IFERROR(__xludf.DUMMYFUNCTION("""COMPUTED_VALUE"""),"FALSE")</f>
        <v>FALSE</v>
      </c>
      <c r="AZ1111" s="9"/>
      <c r="BC1111" s="9"/>
      <c r="BF1111" s="9"/>
      <c r="BI1111" s="9"/>
    </row>
    <row r="1112" spans="18:61">
      <c r="R1112" s="6"/>
      <c r="AS1112" s="15"/>
      <c r="AT1112" s="6" t="str">
        <f ca="1">IFERROR(__xludf.DUMMYFUNCTION("""COMPUTED_VALUE"""),"#N/A")</f>
        <v>#N/A</v>
      </c>
      <c r="AU1112" s="6" t="str">
        <f ca="1">IFERROR(__xludf.DUMMYFUNCTION("""COMPUTED_VALUE"""),"FALSE")</f>
        <v>FALSE</v>
      </c>
      <c r="AZ1112" s="9"/>
      <c r="BC1112" s="9"/>
      <c r="BF1112" s="9"/>
      <c r="BI1112" s="9"/>
    </row>
    <row r="1113" spans="18:61">
      <c r="R1113" s="6"/>
      <c r="AS1113" s="15"/>
      <c r="AT1113" s="6" t="str">
        <f ca="1">IFERROR(__xludf.DUMMYFUNCTION("""COMPUTED_VALUE"""),"#N/A")</f>
        <v>#N/A</v>
      </c>
      <c r="AU1113" s="6" t="str">
        <f ca="1">IFERROR(__xludf.DUMMYFUNCTION("""COMPUTED_VALUE"""),"FALSE")</f>
        <v>FALSE</v>
      </c>
      <c r="AZ1113" s="9"/>
      <c r="BC1113" s="9"/>
      <c r="BF1113" s="9"/>
      <c r="BI1113" s="9"/>
    </row>
    <row r="1114" spans="18:61">
      <c r="R1114" s="6"/>
      <c r="AS1114" s="15"/>
      <c r="AT1114" s="6" t="str">
        <f ca="1">IFERROR(__xludf.DUMMYFUNCTION("""COMPUTED_VALUE"""),"#N/A")</f>
        <v>#N/A</v>
      </c>
      <c r="AU1114" s="6" t="str">
        <f ca="1">IFERROR(__xludf.DUMMYFUNCTION("""COMPUTED_VALUE"""),"FALSE")</f>
        <v>FALSE</v>
      </c>
      <c r="AZ1114" s="9"/>
      <c r="BC1114" s="9"/>
      <c r="BF1114" s="9"/>
      <c r="BI1114" s="9"/>
    </row>
    <row r="1115" spans="18:61">
      <c r="R1115" s="6"/>
      <c r="AS1115" s="15"/>
      <c r="AT1115" s="6" t="str">
        <f ca="1">IFERROR(__xludf.DUMMYFUNCTION("""COMPUTED_VALUE"""),"#N/A")</f>
        <v>#N/A</v>
      </c>
      <c r="AU1115" s="6" t="str">
        <f ca="1">IFERROR(__xludf.DUMMYFUNCTION("""COMPUTED_VALUE"""),"FALSE")</f>
        <v>FALSE</v>
      </c>
      <c r="AZ1115" s="9"/>
      <c r="BC1115" s="9"/>
      <c r="BF1115" s="9"/>
      <c r="BI1115" s="9"/>
    </row>
    <row r="1116" spans="18:61">
      <c r="R1116" s="6"/>
      <c r="AS1116" s="15"/>
      <c r="AT1116" s="6" t="str">
        <f ca="1">IFERROR(__xludf.DUMMYFUNCTION("""COMPUTED_VALUE"""),"#N/A")</f>
        <v>#N/A</v>
      </c>
      <c r="AU1116" s="6" t="str">
        <f ca="1">IFERROR(__xludf.DUMMYFUNCTION("""COMPUTED_VALUE"""),"FALSE")</f>
        <v>FALSE</v>
      </c>
      <c r="AZ1116" s="9"/>
      <c r="BC1116" s="9"/>
      <c r="BF1116" s="9"/>
      <c r="BI1116" s="9"/>
    </row>
    <row r="1117" spans="18:61">
      <c r="R1117" s="6"/>
      <c r="AS1117" s="15"/>
      <c r="AT1117" s="6" t="str">
        <f ca="1">IFERROR(__xludf.DUMMYFUNCTION("""COMPUTED_VALUE"""),"#N/A")</f>
        <v>#N/A</v>
      </c>
      <c r="AU1117" s="6" t="str">
        <f ca="1">IFERROR(__xludf.DUMMYFUNCTION("""COMPUTED_VALUE"""),"FALSE")</f>
        <v>FALSE</v>
      </c>
      <c r="AZ1117" s="9"/>
      <c r="BC1117" s="9"/>
      <c r="BF1117" s="9"/>
      <c r="BI1117" s="9"/>
    </row>
    <row r="1118" spans="18:61">
      <c r="R1118" s="6"/>
      <c r="AS1118" s="15"/>
      <c r="AT1118" s="6" t="str">
        <f ca="1">IFERROR(__xludf.DUMMYFUNCTION("""COMPUTED_VALUE"""),"#N/A")</f>
        <v>#N/A</v>
      </c>
      <c r="AU1118" s="6" t="str">
        <f ca="1">IFERROR(__xludf.DUMMYFUNCTION("""COMPUTED_VALUE"""),"FALSE")</f>
        <v>FALSE</v>
      </c>
      <c r="AZ1118" s="9"/>
      <c r="BC1118" s="9"/>
      <c r="BF1118" s="9"/>
      <c r="BI1118" s="9"/>
    </row>
    <row r="1119" spans="18:61">
      <c r="R1119" s="6"/>
      <c r="AS1119" s="15"/>
      <c r="AT1119" s="6" t="str">
        <f ca="1">IFERROR(__xludf.DUMMYFUNCTION("""COMPUTED_VALUE"""),"#N/A")</f>
        <v>#N/A</v>
      </c>
      <c r="AU1119" s="6" t="str">
        <f ca="1">IFERROR(__xludf.DUMMYFUNCTION("""COMPUTED_VALUE"""),"FALSE")</f>
        <v>FALSE</v>
      </c>
      <c r="AZ1119" s="9"/>
      <c r="BC1119" s="9"/>
      <c r="BF1119" s="9"/>
      <c r="BI1119" s="9"/>
    </row>
    <row r="1120" spans="18:61">
      <c r="R1120" s="6"/>
      <c r="AS1120" s="15"/>
      <c r="AT1120" s="6" t="str">
        <f ca="1">IFERROR(__xludf.DUMMYFUNCTION("""COMPUTED_VALUE"""),"#N/A")</f>
        <v>#N/A</v>
      </c>
      <c r="AU1120" s="6" t="str">
        <f ca="1">IFERROR(__xludf.DUMMYFUNCTION("""COMPUTED_VALUE"""),"FALSE")</f>
        <v>FALSE</v>
      </c>
      <c r="AZ1120" s="9"/>
      <c r="BC1120" s="9"/>
      <c r="BF1120" s="9"/>
      <c r="BI1120" s="9"/>
    </row>
    <row r="1121" spans="18:61">
      <c r="R1121" s="6"/>
      <c r="AS1121" s="15"/>
      <c r="AT1121" s="6" t="str">
        <f ca="1">IFERROR(__xludf.DUMMYFUNCTION("""COMPUTED_VALUE"""),"#N/A")</f>
        <v>#N/A</v>
      </c>
      <c r="AU1121" s="6" t="str">
        <f ca="1">IFERROR(__xludf.DUMMYFUNCTION("""COMPUTED_VALUE"""),"FALSE")</f>
        <v>FALSE</v>
      </c>
      <c r="AZ1121" s="9"/>
      <c r="BC1121" s="9"/>
      <c r="BF1121" s="9"/>
      <c r="BI1121" s="9"/>
    </row>
    <row r="1122" spans="18:61">
      <c r="R1122" s="6"/>
      <c r="AS1122" s="15"/>
      <c r="AT1122" s="6" t="str">
        <f ca="1">IFERROR(__xludf.DUMMYFUNCTION("""COMPUTED_VALUE"""),"#N/A")</f>
        <v>#N/A</v>
      </c>
      <c r="AU1122" s="6" t="str">
        <f ca="1">IFERROR(__xludf.DUMMYFUNCTION("""COMPUTED_VALUE"""),"FALSE")</f>
        <v>FALSE</v>
      </c>
      <c r="AZ1122" s="9"/>
      <c r="BC1122" s="9"/>
      <c r="BF1122" s="9"/>
      <c r="BI1122" s="9"/>
    </row>
    <row r="1123" spans="18:61">
      <c r="R1123" s="6"/>
      <c r="AS1123" s="15"/>
      <c r="AT1123" s="6" t="str">
        <f ca="1">IFERROR(__xludf.DUMMYFUNCTION("""COMPUTED_VALUE"""),"#N/A")</f>
        <v>#N/A</v>
      </c>
      <c r="AU1123" s="6" t="str">
        <f ca="1">IFERROR(__xludf.DUMMYFUNCTION("""COMPUTED_VALUE"""),"FALSE")</f>
        <v>FALSE</v>
      </c>
      <c r="AZ1123" s="9"/>
      <c r="BC1123" s="9"/>
      <c r="BF1123" s="9"/>
      <c r="BI1123" s="9"/>
    </row>
    <row r="1124" spans="18:61">
      <c r="R1124" s="6"/>
      <c r="AS1124" s="15"/>
      <c r="AT1124" s="6" t="str">
        <f ca="1">IFERROR(__xludf.DUMMYFUNCTION("""COMPUTED_VALUE"""),"#N/A")</f>
        <v>#N/A</v>
      </c>
      <c r="AU1124" s="6" t="str">
        <f ca="1">IFERROR(__xludf.DUMMYFUNCTION("""COMPUTED_VALUE"""),"FALSE")</f>
        <v>FALSE</v>
      </c>
      <c r="AZ1124" s="9"/>
      <c r="BC1124" s="9"/>
      <c r="BF1124" s="9"/>
      <c r="BI1124" s="9"/>
    </row>
    <row r="1125" spans="18:61">
      <c r="R1125" s="6"/>
      <c r="AS1125" s="15"/>
      <c r="AT1125" s="6" t="str">
        <f ca="1">IFERROR(__xludf.DUMMYFUNCTION("""COMPUTED_VALUE"""),"#N/A")</f>
        <v>#N/A</v>
      </c>
      <c r="AU1125" s="6" t="str">
        <f ca="1">IFERROR(__xludf.DUMMYFUNCTION("""COMPUTED_VALUE"""),"FALSE")</f>
        <v>FALSE</v>
      </c>
      <c r="AZ1125" s="9"/>
      <c r="BC1125" s="9"/>
      <c r="BF1125" s="9"/>
      <c r="BI1125" s="9"/>
    </row>
    <row r="1126" spans="18:61">
      <c r="R1126" s="6"/>
      <c r="AS1126" s="15"/>
      <c r="AT1126" s="6" t="str">
        <f ca="1">IFERROR(__xludf.DUMMYFUNCTION("""COMPUTED_VALUE"""),"#N/A")</f>
        <v>#N/A</v>
      </c>
      <c r="AU1126" s="6" t="str">
        <f ca="1">IFERROR(__xludf.DUMMYFUNCTION("""COMPUTED_VALUE"""),"FALSE")</f>
        <v>FALSE</v>
      </c>
      <c r="AZ1126" s="9"/>
      <c r="BC1126" s="9"/>
      <c r="BF1126" s="9"/>
      <c r="BI1126" s="9"/>
    </row>
    <row r="1127" spans="18:61">
      <c r="R1127" s="6"/>
      <c r="AS1127" s="15"/>
      <c r="AT1127" s="6" t="str">
        <f ca="1">IFERROR(__xludf.DUMMYFUNCTION("""COMPUTED_VALUE"""),"#N/A")</f>
        <v>#N/A</v>
      </c>
      <c r="AU1127" s="6" t="str">
        <f ca="1">IFERROR(__xludf.DUMMYFUNCTION("""COMPUTED_VALUE"""),"FALSE")</f>
        <v>FALSE</v>
      </c>
      <c r="AZ1127" s="9"/>
      <c r="BC1127" s="9"/>
      <c r="BF1127" s="9"/>
      <c r="BI1127" s="9"/>
    </row>
    <row r="1128" spans="18:61">
      <c r="R1128" s="6"/>
      <c r="AS1128" s="15"/>
      <c r="AT1128" s="6" t="str">
        <f ca="1">IFERROR(__xludf.DUMMYFUNCTION("""COMPUTED_VALUE"""),"#N/A")</f>
        <v>#N/A</v>
      </c>
      <c r="AU1128" s="6" t="str">
        <f ca="1">IFERROR(__xludf.DUMMYFUNCTION("""COMPUTED_VALUE"""),"FALSE")</f>
        <v>FALSE</v>
      </c>
      <c r="AZ1128" s="9"/>
      <c r="BC1128" s="9"/>
      <c r="BF1128" s="9"/>
      <c r="BI1128" s="9"/>
    </row>
    <row r="1129" spans="18:61">
      <c r="R1129" s="6"/>
      <c r="AS1129" s="15"/>
      <c r="AT1129" s="6" t="str">
        <f ca="1">IFERROR(__xludf.DUMMYFUNCTION("""COMPUTED_VALUE"""),"#N/A")</f>
        <v>#N/A</v>
      </c>
      <c r="AU1129" s="6" t="str">
        <f ca="1">IFERROR(__xludf.DUMMYFUNCTION("""COMPUTED_VALUE"""),"FALSE")</f>
        <v>FALSE</v>
      </c>
      <c r="AZ1129" s="9"/>
      <c r="BC1129" s="9"/>
      <c r="BF1129" s="9"/>
      <c r="BI1129" s="9"/>
    </row>
    <row r="1130" spans="18:61">
      <c r="R1130" s="6"/>
      <c r="AS1130" s="15"/>
      <c r="AT1130" s="6" t="str">
        <f ca="1">IFERROR(__xludf.DUMMYFUNCTION("""COMPUTED_VALUE"""),"#N/A")</f>
        <v>#N/A</v>
      </c>
      <c r="AU1130" s="6" t="str">
        <f ca="1">IFERROR(__xludf.DUMMYFUNCTION("""COMPUTED_VALUE"""),"FALSE")</f>
        <v>FALSE</v>
      </c>
      <c r="AZ1130" s="9"/>
      <c r="BC1130" s="9"/>
      <c r="BF1130" s="9"/>
      <c r="BI1130" s="9"/>
    </row>
    <row r="1131" spans="18:61">
      <c r="R1131" s="6"/>
      <c r="AS1131" s="15"/>
      <c r="AT1131" s="6" t="str">
        <f ca="1">IFERROR(__xludf.DUMMYFUNCTION("""COMPUTED_VALUE"""),"#N/A")</f>
        <v>#N/A</v>
      </c>
      <c r="AU1131" s="6" t="str">
        <f ca="1">IFERROR(__xludf.DUMMYFUNCTION("""COMPUTED_VALUE"""),"FALSE")</f>
        <v>FALSE</v>
      </c>
      <c r="AZ1131" s="9"/>
      <c r="BC1131" s="9"/>
      <c r="BF1131" s="9"/>
      <c r="BI1131" s="9"/>
    </row>
    <row r="1132" spans="18:61">
      <c r="R1132" s="6"/>
      <c r="AS1132" s="15"/>
      <c r="AT1132" s="6" t="str">
        <f ca="1">IFERROR(__xludf.DUMMYFUNCTION("""COMPUTED_VALUE"""),"#N/A")</f>
        <v>#N/A</v>
      </c>
      <c r="AU1132" s="6" t="str">
        <f ca="1">IFERROR(__xludf.DUMMYFUNCTION("""COMPUTED_VALUE"""),"FALSE")</f>
        <v>FALSE</v>
      </c>
      <c r="AZ1132" s="9"/>
      <c r="BC1132" s="9"/>
      <c r="BF1132" s="9"/>
      <c r="BI1132" s="9"/>
    </row>
    <row r="1133" spans="18:61">
      <c r="R1133" s="6"/>
      <c r="AS1133" s="15"/>
      <c r="AT1133" s="6" t="str">
        <f ca="1">IFERROR(__xludf.DUMMYFUNCTION("""COMPUTED_VALUE"""),"#N/A")</f>
        <v>#N/A</v>
      </c>
      <c r="AU1133" s="6" t="str">
        <f ca="1">IFERROR(__xludf.DUMMYFUNCTION("""COMPUTED_VALUE"""),"FALSE")</f>
        <v>FALSE</v>
      </c>
      <c r="AZ1133" s="9"/>
      <c r="BC1133" s="9"/>
      <c r="BF1133" s="9"/>
      <c r="BI1133" s="9"/>
    </row>
    <row r="1134" spans="18:61">
      <c r="R1134" s="6"/>
      <c r="AS1134" s="15"/>
      <c r="AT1134" s="6" t="str">
        <f ca="1">IFERROR(__xludf.DUMMYFUNCTION("""COMPUTED_VALUE"""),"#N/A")</f>
        <v>#N/A</v>
      </c>
      <c r="AU1134" s="6" t="str">
        <f ca="1">IFERROR(__xludf.DUMMYFUNCTION("""COMPUTED_VALUE"""),"FALSE")</f>
        <v>FALSE</v>
      </c>
      <c r="AZ1134" s="9"/>
      <c r="BC1134" s="9"/>
      <c r="BF1134" s="9"/>
      <c r="BI1134" s="9"/>
    </row>
    <row r="1135" spans="18:61">
      <c r="R1135" s="6"/>
      <c r="AS1135" s="15"/>
      <c r="AT1135" s="6" t="str">
        <f ca="1">IFERROR(__xludf.DUMMYFUNCTION("""COMPUTED_VALUE"""),"#N/A")</f>
        <v>#N/A</v>
      </c>
      <c r="AU1135" s="6" t="str">
        <f ca="1">IFERROR(__xludf.DUMMYFUNCTION("""COMPUTED_VALUE"""),"FALSE")</f>
        <v>FALSE</v>
      </c>
      <c r="AZ1135" s="9"/>
      <c r="BC1135" s="9"/>
      <c r="BF1135" s="9"/>
      <c r="BI1135" s="9"/>
    </row>
    <row r="1136" spans="18:61">
      <c r="R1136" s="6"/>
      <c r="AS1136" s="15"/>
      <c r="AT1136" s="6" t="str">
        <f ca="1">IFERROR(__xludf.DUMMYFUNCTION("""COMPUTED_VALUE"""),"#N/A")</f>
        <v>#N/A</v>
      </c>
      <c r="AU1136" s="6" t="str">
        <f ca="1">IFERROR(__xludf.DUMMYFUNCTION("""COMPUTED_VALUE"""),"FALSE")</f>
        <v>FALSE</v>
      </c>
      <c r="AZ1136" s="9"/>
      <c r="BC1136" s="9"/>
      <c r="BF1136" s="9"/>
      <c r="BI1136" s="9"/>
    </row>
    <row r="1137" spans="18:61">
      <c r="R1137" s="6"/>
      <c r="AS1137" s="15"/>
      <c r="AT1137" s="6" t="str">
        <f ca="1">IFERROR(__xludf.DUMMYFUNCTION("""COMPUTED_VALUE"""),"#N/A")</f>
        <v>#N/A</v>
      </c>
      <c r="AU1137" s="6" t="str">
        <f ca="1">IFERROR(__xludf.DUMMYFUNCTION("""COMPUTED_VALUE"""),"FALSE")</f>
        <v>FALSE</v>
      </c>
      <c r="AZ1137" s="9"/>
      <c r="BC1137" s="9"/>
      <c r="BF1137" s="9"/>
      <c r="BI1137" s="9"/>
    </row>
    <row r="1138" spans="18:61">
      <c r="R1138" s="6"/>
      <c r="AS1138" s="15"/>
      <c r="AT1138" s="6" t="str">
        <f ca="1">IFERROR(__xludf.DUMMYFUNCTION("""COMPUTED_VALUE"""),"#N/A")</f>
        <v>#N/A</v>
      </c>
      <c r="AU1138" s="6" t="str">
        <f ca="1">IFERROR(__xludf.DUMMYFUNCTION("""COMPUTED_VALUE"""),"FALSE")</f>
        <v>FALSE</v>
      </c>
      <c r="AZ1138" s="9"/>
      <c r="BC1138" s="9"/>
      <c r="BF1138" s="9"/>
      <c r="BI1138" s="9"/>
    </row>
    <row r="1139" spans="18:61">
      <c r="R1139" s="6"/>
      <c r="AS1139" s="15"/>
      <c r="AT1139" s="6" t="str">
        <f ca="1">IFERROR(__xludf.DUMMYFUNCTION("""COMPUTED_VALUE"""),"#N/A")</f>
        <v>#N/A</v>
      </c>
      <c r="AU1139" s="6" t="str">
        <f ca="1">IFERROR(__xludf.DUMMYFUNCTION("""COMPUTED_VALUE"""),"FALSE")</f>
        <v>FALSE</v>
      </c>
      <c r="AZ1139" s="9"/>
      <c r="BC1139" s="9"/>
      <c r="BF1139" s="9"/>
      <c r="BI1139" s="9"/>
    </row>
    <row r="1140" spans="18:61">
      <c r="R1140" s="6"/>
      <c r="AS1140" s="15"/>
      <c r="AT1140" s="6" t="str">
        <f ca="1">IFERROR(__xludf.DUMMYFUNCTION("""COMPUTED_VALUE"""),"#N/A")</f>
        <v>#N/A</v>
      </c>
      <c r="AU1140" s="6" t="str">
        <f ca="1">IFERROR(__xludf.DUMMYFUNCTION("""COMPUTED_VALUE"""),"FALSE")</f>
        <v>FALSE</v>
      </c>
      <c r="AZ1140" s="9"/>
      <c r="BC1140" s="9"/>
      <c r="BF1140" s="9"/>
      <c r="BI1140" s="9"/>
    </row>
    <row r="1141" spans="18:61">
      <c r="R1141" s="6"/>
      <c r="AS1141" s="15"/>
      <c r="AT1141" s="6" t="str">
        <f ca="1">IFERROR(__xludf.DUMMYFUNCTION("""COMPUTED_VALUE"""),"#N/A")</f>
        <v>#N/A</v>
      </c>
      <c r="AU1141" s="6" t="str">
        <f ca="1">IFERROR(__xludf.DUMMYFUNCTION("""COMPUTED_VALUE"""),"FALSE")</f>
        <v>FALSE</v>
      </c>
      <c r="AZ1141" s="9"/>
      <c r="BC1141" s="9"/>
      <c r="BF1141" s="9"/>
      <c r="BI1141" s="9"/>
    </row>
    <row r="1142" spans="18:61">
      <c r="R1142" s="6"/>
      <c r="AS1142" s="15"/>
      <c r="AT1142" s="6" t="str">
        <f ca="1">IFERROR(__xludf.DUMMYFUNCTION("""COMPUTED_VALUE"""),"#N/A")</f>
        <v>#N/A</v>
      </c>
      <c r="AU1142" s="6" t="str">
        <f ca="1">IFERROR(__xludf.DUMMYFUNCTION("""COMPUTED_VALUE"""),"FALSE")</f>
        <v>FALSE</v>
      </c>
      <c r="AZ1142" s="9"/>
      <c r="BC1142" s="9"/>
      <c r="BF1142" s="9"/>
      <c r="BI1142" s="9"/>
    </row>
    <row r="1143" spans="18:61">
      <c r="R1143" s="6"/>
      <c r="AS1143" s="15"/>
      <c r="AT1143" s="6" t="str">
        <f ca="1">IFERROR(__xludf.DUMMYFUNCTION("""COMPUTED_VALUE"""),"#N/A")</f>
        <v>#N/A</v>
      </c>
      <c r="AU1143" s="6" t="str">
        <f ca="1">IFERROR(__xludf.DUMMYFUNCTION("""COMPUTED_VALUE"""),"FALSE")</f>
        <v>FALSE</v>
      </c>
      <c r="AZ1143" s="9"/>
      <c r="BC1143" s="9"/>
      <c r="BF1143" s="9"/>
      <c r="BI1143" s="9"/>
    </row>
    <row r="1144" spans="18:61">
      <c r="R1144" s="6"/>
      <c r="AS1144" s="15"/>
      <c r="AT1144" s="6" t="str">
        <f ca="1">IFERROR(__xludf.DUMMYFUNCTION("""COMPUTED_VALUE"""),"#N/A")</f>
        <v>#N/A</v>
      </c>
      <c r="AU1144" s="6" t="str">
        <f ca="1">IFERROR(__xludf.DUMMYFUNCTION("""COMPUTED_VALUE"""),"FALSE")</f>
        <v>FALSE</v>
      </c>
      <c r="AZ1144" s="9"/>
      <c r="BC1144" s="9"/>
      <c r="BF1144" s="9"/>
      <c r="BI1144" s="9"/>
    </row>
    <row r="1145" spans="18:61">
      <c r="R1145" s="6"/>
      <c r="AS1145" s="15"/>
      <c r="AT1145" s="6" t="str">
        <f ca="1">IFERROR(__xludf.DUMMYFUNCTION("""COMPUTED_VALUE"""),"#N/A")</f>
        <v>#N/A</v>
      </c>
      <c r="AU1145" s="6" t="str">
        <f ca="1">IFERROR(__xludf.DUMMYFUNCTION("""COMPUTED_VALUE"""),"FALSE")</f>
        <v>FALSE</v>
      </c>
      <c r="AZ1145" s="9"/>
      <c r="BC1145" s="9"/>
      <c r="BF1145" s="9"/>
      <c r="BI1145" s="9"/>
    </row>
    <row r="1146" spans="18:61">
      <c r="R1146" s="6"/>
      <c r="AS1146" s="15"/>
      <c r="AT1146" s="6" t="str">
        <f ca="1">IFERROR(__xludf.DUMMYFUNCTION("""COMPUTED_VALUE"""),"#N/A")</f>
        <v>#N/A</v>
      </c>
      <c r="AU1146" s="6" t="str">
        <f ca="1">IFERROR(__xludf.DUMMYFUNCTION("""COMPUTED_VALUE"""),"FALSE")</f>
        <v>FALSE</v>
      </c>
      <c r="AZ1146" s="9"/>
      <c r="BC1146" s="9"/>
      <c r="BF1146" s="9"/>
      <c r="BI1146" s="9"/>
    </row>
    <row r="1147" spans="18:61">
      <c r="R1147" s="6"/>
      <c r="AS1147" s="15"/>
      <c r="AT1147" s="6" t="str">
        <f ca="1">IFERROR(__xludf.DUMMYFUNCTION("""COMPUTED_VALUE"""),"#N/A")</f>
        <v>#N/A</v>
      </c>
      <c r="AU1147" s="6" t="str">
        <f ca="1">IFERROR(__xludf.DUMMYFUNCTION("""COMPUTED_VALUE"""),"FALSE")</f>
        <v>FALSE</v>
      </c>
      <c r="AZ1147" s="9"/>
      <c r="BC1147" s="9"/>
      <c r="BF1147" s="9"/>
      <c r="BI1147" s="9"/>
    </row>
    <row r="1148" spans="18:61">
      <c r="R1148" s="6"/>
      <c r="AS1148" s="15"/>
      <c r="AT1148" s="6" t="str">
        <f ca="1">IFERROR(__xludf.DUMMYFUNCTION("""COMPUTED_VALUE"""),"#N/A")</f>
        <v>#N/A</v>
      </c>
      <c r="AU1148" s="6" t="str">
        <f ca="1">IFERROR(__xludf.DUMMYFUNCTION("""COMPUTED_VALUE"""),"FALSE")</f>
        <v>FALSE</v>
      </c>
      <c r="AZ1148" s="9"/>
      <c r="BC1148" s="9"/>
      <c r="BF1148" s="9"/>
      <c r="BI1148" s="9"/>
    </row>
    <row r="1149" spans="18:61">
      <c r="R1149" s="6"/>
      <c r="AS1149" s="15"/>
      <c r="AT1149" s="6" t="str">
        <f ca="1">IFERROR(__xludf.DUMMYFUNCTION("""COMPUTED_VALUE"""),"#N/A")</f>
        <v>#N/A</v>
      </c>
      <c r="AU1149" s="6" t="str">
        <f ca="1">IFERROR(__xludf.DUMMYFUNCTION("""COMPUTED_VALUE"""),"FALSE")</f>
        <v>FALSE</v>
      </c>
      <c r="AZ1149" s="9"/>
      <c r="BC1149" s="9"/>
      <c r="BF1149" s="9"/>
      <c r="BI1149" s="9"/>
    </row>
    <row r="1150" spans="18:61">
      <c r="R1150" s="6"/>
      <c r="AS1150" s="15"/>
      <c r="AT1150" s="6" t="str">
        <f ca="1">IFERROR(__xludf.DUMMYFUNCTION("""COMPUTED_VALUE"""),"#N/A")</f>
        <v>#N/A</v>
      </c>
      <c r="AU1150" s="6" t="str">
        <f ca="1">IFERROR(__xludf.DUMMYFUNCTION("""COMPUTED_VALUE"""),"FALSE")</f>
        <v>FALSE</v>
      </c>
      <c r="AZ1150" s="9"/>
      <c r="BC1150" s="9"/>
      <c r="BF1150" s="9"/>
      <c r="BI1150" s="9"/>
    </row>
    <row r="1151" spans="18:61">
      <c r="R1151" s="6"/>
      <c r="AS1151" s="15"/>
      <c r="AT1151" s="6" t="str">
        <f ca="1">IFERROR(__xludf.DUMMYFUNCTION("""COMPUTED_VALUE"""),"#N/A")</f>
        <v>#N/A</v>
      </c>
      <c r="AU1151" s="6" t="str">
        <f ca="1">IFERROR(__xludf.DUMMYFUNCTION("""COMPUTED_VALUE"""),"FALSE")</f>
        <v>FALSE</v>
      </c>
      <c r="AZ1151" s="9"/>
      <c r="BC1151" s="9"/>
      <c r="BF1151" s="9"/>
      <c r="BI1151" s="9"/>
    </row>
    <row r="1152" spans="18:61">
      <c r="R1152" s="6"/>
      <c r="AS1152" s="15"/>
      <c r="AT1152" s="6" t="str">
        <f ca="1">IFERROR(__xludf.DUMMYFUNCTION("""COMPUTED_VALUE"""),"#N/A")</f>
        <v>#N/A</v>
      </c>
      <c r="AU1152" s="6" t="str">
        <f ca="1">IFERROR(__xludf.DUMMYFUNCTION("""COMPUTED_VALUE"""),"FALSE")</f>
        <v>FALSE</v>
      </c>
      <c r="AZ1152" s="9"/>
      <c r="BC1152" s="9"/>
      <c r="BF1152" s="9"/>
      <c r="BI1152" s="9"/>
    </row>
    <row r="1153" spans="18:61">
      <c r="R1153" s="6"/>
      <c r="AS1153" s="15"/>
      <c r="AT1153" s="6" t="str">
        <f ca="1">IFERROR(__xludf.DUMMYFUNCTION("""COMPUTED_VALUE"""),"#N/A")</f>
        <v>#N/A</v>
      </c>
      <c r="AU1153" s="6" t="str">
        <f ca="1">IFERROR(__xludf.DUMMYFUNCTION("""COMPUTED_VALUE"""),"FALSE")</f>
        <v>FALSE</v>
      </c>
      <c r="AZ1153" s="9"/>
      <c r="BC1153" s="9"/>
      <c r="BF1153" s="9"/>
      <c r="BI1153" s="9"/>
    </row>
    <row r="1154" spans="18:61">
      <c r="R1154" s="6"/>
      <c r="AS1154" s="15"/>
      <c r="AT1154" s="6" t="str">
        <f ca="1">IFERROR(__xludf.DUMMYFUNCTION("""COMPUTED_VALUE"""),"#N/A")</f>
        <v>#N/A</v>
      </c>
      <c r="AU1154" s="6" t="str">
        <f ca="1">IFERROR(__xludf.DUMMYFUNCTION("""COMPUTED_VALUE"""),"FALSE")</f>
        <v>FALSE</v>
      </c>
      <c r="AZ1154" s="9"/>
      <c r="BC1154" s="9"/>
      <c r="BF1154" s="9"/>
      <c r="BI1154" s="9"/>
    </row>
    <row r="1155" spans="18:61">
      <c r="R1155" s="6"/>
      <c r="AS1155" s="15"/>
      <c r="AT1155" s="6" t="str">
        <f ca="1">IFERROR(__xludf.DUMMYFUNCTION("""COMPUTED_VALUE"""),"#N/A")</f>
        <v>#N/A</v>
      </c>
      <c r="AU1155" s="6" t="str">
        <f ca="1">IFERROR(__xludf.DUMMYFUNCTION("""COMPUTED_VALUE"""),"FALSE")</f>
        <v>FALSE</v>
      </c>
      <c r="AZ1155" s="9"/>
      <c r="BC1155" s="9"/>
      <c r="BF1155" s="9"/>
      <c r="BI1155" s="9"/>
    </row>
    <row r="1156" spans="18:61">
      <c r="R1156" s="6"/>
      <c r="AS1156" s="15"/>
      <c r="AT1156" s="6" t="str">
        <f ca="1">IFERROR(__xludf.DUMMYFUNCTION("""COMPUTED_VALUE"""),"#N/A")</f>
        <v>#N/A</v>
      </c>
      <c r="AU1156" s="6" t="str">
        <f ca="1">IFERROR(__xludf.DUMMYFUNCTION("""COMPUTED_VALUE"""),"FALSE")</f>
        <v>FALSE</v>
      </c>
      <c r="AZ1156" s="9"/>
      <c r="BC1156" s="9"/>
      <c r="BF1156" s="9"/>
      <c r="BI1156" s="9"/>
    </row>
    <row r="1157" spans="18:61">
      <c r="R1157" s="6"/>
      <c r="AS1157" s="15"/>
      <c r="AT1157" s="6" t="str">
        <f ca="1">IFERROR(__xludf.DUMMYFUNCTION("""COMPUTED_VALUE"""),"#N/A")</f>
        <v>#N/A</v>
      </c>
      <c r="AU1157" s="6" t="str">
        <f ca="1">IFERROR(__xludf.DUMMYFUNCTION("""COMPUTED_VALUE"""),"FALSE")</f>
        <v>FALSE</v>
      </c>
      <c r="AZ1157" s="9"/>
      <c r="BC1157" s="9"/>
      <c r="BF1157" s="9"/>
      <c r="BI1157" s="9"/>
    </row>
    <row r="1158" spans="18:61">
      <c r="R1158" s="6"/>
      <c r="AS1158" s="15"/>
      <c r="AT1158" s="6" t="str">
        <f ca="1">IFERROR(__xludf.DUMMYFUNCTION("""COMPUTED_VALUE"""),"#N/A")</f>
        <v>#N/A</v>
      </c>
      <c r="AU1158" s="6" t="str">
        <f ca="1">IFERROR(__xludf.DUMMYFUNCTION("""COMPUTED_VALUE"""),"FALSE")</f>
        <v>FALSE</v>
      </c>
      <c r="AZ1158" s="9"/>
      <c r="BC1158" s="9"/>
      <c r="BF1158" s="9"/>
      <c r="BI1158" s="9"/>
    </row>
    <row r="1159" spans="18:61">
      <c r="R1159" s="6"/>
      <c r="AS1159" s="15"/>
      <c r="AT1159" s="6" t="str">
        <f ca="1">IFERROR(__xludf.DUMMYFUNCTION("""COMPUTED_VALUE"""),"#N/A")</f>
        <v>#N/A</v>
      </c>
      <c r="AU1159" s="6" t="str">
        <f ca="1">IFERROR(__xludf.DUMMYFUNCTION("""COMPUTED_VALUE"""),"FALSE")</f>
        <v>FALSE</v>
      </c>
      <c r="AZ1159" s="9"/>
      <c r="BC1159" s="9"/>
      <c r="BF1159" s="9"/>
      <c r="BI1159" s="9"/>
    </row>
    <row r="1160" spans="18:61">
      <c r="R1160" s="6"/>
      <c r="AS1160" s="15"/>
      <c r="AT1160" s="6" t="str">
        <f ca="1">IFERROR(__xludf.DUMMYFUNCTION("""COMPUTED_VALUE"""),"#N/A")</f>
        <v>#N/A</v>
      </c>
      <c r="AU1160" s="6" t="str">
        <f ca="1">IFERROR(__xludf.DUMMYFUNCTION("""COMPUTED_VALUE"""),"FALSE")</f>
        <v>FALSE</v>
      </c>
      <c r="AZ1160" s="9"/>
      <c r="BC1160" s="9"/>
      <c r="BF1160" s="9"/>
      <c r="BI1160" s="9"/>
    </row>
    <row r="1161" spans="18:61">
      <c r="R1161" s="6"/>
      <c r="AS1161" s="15"/>
      <c r="AT1161" s="6" t="str">
        <f ca="1">IFERROR(__xludf.DUMMYFUNCTION("""COMPUTED_VALUE"""),"#N/A")</f>
        <v>#N/A</v>
      </c>
      <c r="AU1161" s="6" t="str">
        <f ca="1">IFERROR(__xludf.DUMMYFUNCTION("""COMPUTED_VALUE"""),"FALSE")</f>
        <v>FALSE</v>
      </c>
      <c r="AZ1161" s="9"/>
      <c r="BC1161" s="9"/>
      <c r="BF1161" s="9"/>
      <c r="BI1161" s="9"/>
    </row>
    <row r="1162" spans="18:61">
      <c r="R1162" s="6"/>
      <c r="AS1162" s="15"/>
      <c r="AT1162" s="6" t="str">
        <f ca="1">IFERROR(__xludf.DUMMYFUNCTION("""COMPUTED_VALUE"""),"#N/A")</f>
        <v>#N/A</v>
      </c>
      <c r="AU1162" s="6" t="str">
        <f ca="1">IFERROR(__xludf.DUMMYFUNCTION("""COMPUTED_VALUE"""),"FALSE")</f>
        <v>FALSE</v>
      </c>
      <c r="AZ1162" s="9"/>
      <c r="BC1162" s="9"/>
      <c r="BF1162" s="9"/>
      <c r="BI1162" s="9"/>
    </row>
    <row r="1163" spans="18:61">
      <c r="R1163" s="6"/>
      <c r="AS1163" s="15"/>
      <c r="AT1163" s="6" t="str">
        <f ca="1">IFERROR(__xludf.DUMMYFUNCTION("""COMPUTED_VALUE"""),"#N/A")</f>
        <v>#N/A</v>
      </c>
      <c r="AU1163" s="6" t="str">
        <f ca="1">IFERROR(__xludf.DUMMYFUNCTION("""COMPUTED_VALUE"""),"FALSE")</f>
        <v>FALSE</v>
      </c>
      <c r="AZ1163" s="9"/>
      <c r="BC1163" s="9"/>
      <c r="BF1163" s="9"/>
      <c r="BI1163" s="9"/>
    </row>
    <row r="1164" spans="18:61">
      <c r="R1164" s="6"/>
      <c r="AS1164" s="15"/>
      <c r="AT1164" s="6" t="str">
        <f ca="1">IFERROR(__xludf.DUMMYFUNCTION("""COMPUTED_VALUE"""),"#N/A")</f>
        <v>#N/A</v>
      </c>
      <c r="AU1164" s="6" t="str">
        <f ca="1">IFERROR(__xludf.DUMMYFUNCTION("""COMPUTED_VALUE"""),"FALSE")</f>
        <v>FALSE</v>
      </c>
      <c r="AZ1164" s="9"/>
      <c r="BC1164" s="9"/>
      <c r="BF1164" s="9"/>
      <c r="BI1164" s="9"/>
    </row>
    <row r="1165" spans="18:61">
      <c r="R1165" s="6"/>
      <c r="AS1165" s="15"/>
      <c r="AT1165" s="6" t="str">
        <f ca="1">IFERROR(__xludf.DUMMYFUNCTION("""COMPUTED_VALUE"""),"#N/A")</f>
        <v>#N/A</v>
      </c>
      <c r="AU1165" s="6" t="str">
        <f ca="1">IFERROR(__xludf.DUMMYFUNCTION("""COMPUTED_VALUE"""),"FALSE")</f>
        <v>FALSE</v>
      </c>
      <c r="AZ1165" s="9"/>
      <c r="BC1165" s="9"/>
      <c r="BF1165" s="9"/>
      <c r="BI1165" s="9"/>
    </row>
    <row r="1166" spans="18:61">
      <c r="R1166" s="6"/>
      <c r="AS1166" s="15"/>
      <c r="AT1166" s="6" t="str">
        <f ca="1">IFERROR(__xludf.DUMMYFUNCTION("""COMPUTED_VALUE"""),"#N/A")</f>
        <v>#N/A</v>
      </c>
      <c r="AU1166" s="6" t="str">
        <f ca="1">IFERROR(__xludf.DUMMYFUNCTION("""COMPUTED_VALUE"""),"FALSE")</f>
        <v>FALSE</v>
      </c>
      <c r="AZ1166" s="9"/>
      <c r="BC1166" s="9"/>
      <c r="BF1166" s="9"/>
      <c r="BI1166" s="9"/>
    </row>
    <row r="1167" spans="18:61">
      <c r="R1167" s="6"/>
      <c r="AS1167" s="15"/>
      <c r="AT1167" s="6" t="str">
        <f ca="1">IFERROR(__xludf.DUMMYFUNCTION("""COMPUTED_VALUE"""),"#N/A")</f>
        <v>#N/A</v>
      </c>
      <c r="AU1167" s="6" t="str">
        <f ca="1">IFERROR(__xludf.DUMMYFUNCTION("""COMPUTED_VALUE"""),"FALSE")</f>
        <v>FALSE</v>
      </c>
      <c r="AZ1167" s="9"/>
      <c r="BC1167" s="9"/>
      <c r="BF1167" s="9"/>
      <c r="BI1167" s="9"/>
    </row>
    <row r="1168" spans="18:61">
      <c r="R1168" s="6"/>
      <c r="AS1168" s="15"/>
      <c r="AT1168" s="6" t="str">
        <f ca="1">IFERROR(__xludf.DUMMYFUNCTION("""COMPUTED_VALUE"""),"#N/A")</f>
        <v>#N/A</v>
      </c>
      <c r="AU1168" s="6" t="str">
        <f ca="1">IFERROR(__xludf.DUMMYFUNCTION("""COMPUTED_VALUE"""),"FALSE")</f>
        <v>FALSE</v>
      </c>
      <c r="AZ1168" s="9"/>
      <c r="BC1168" s="9"/>
      <c r="BF1168" s="9"/>
      <c r="BI1168" s="9"/>
    </row>
    <row r="1169" spans="18:61">
      <c r="R1169" s="6"/>
      <c r="AS1169" s="15"/>
      <c r="AT1169" s="6" t="str">
        <f ca="1">IFERROR(__xludf.DUMMYFUNCTION("""COMPUTED_VALUE"""),"#N/A")</f>
        <v>#N/A</v>
      </c>
      <c r="AU1169" s="6" t="str">
        <f ca="1">IFERROR(__xludf.DUMMYFUNCTION("""COMPUTED_VALUE"""),"FALSE")</f>
        <v>FALSE</v>
      </c>
      <c r="AZ1169" s="9"/>
      <c r="BC1169" s="9"/>
      <c r="BF1169" s="9"/>
      <c r="BI1169" s="9"/>
    </row>
    <row r="1170" spans="18:61">
      <c r="R1170" s="6"/>
      <c r="AS1170" s="15"/>
      <c r="AT1170" s="6" t="str">
        <f ca="1">IFERROR(__xludf.DUMMYFUNCTION("""COMPUTED_VALUE"""),"#N/A")</f>
        <v>#N/A</v>
      </c>
      <c r="AU1170" s="6" t="str">
        <f ca="1">IFERROR(__xludf.DUMMYFUNCTION("""COMPUTED_VALUE"""),"FALSE")</f>
        <v>FALSE</v>
      </c>
      <c r="AZ1170" s="9"/>
      <c r="BC1170" s="9"/>
      <c r="BF1170" s="9"/>
      <c r="BI1170" s="9"/>
    </row>
    <row r="1171" spans="18:61">
      <c r="R1171" s="6"/>
      <c r="AS1171" s="15"/>
      <c r="AT1171" s="6" t="str">
        <f ca="1">IFERROR(__xludf.DUMMYFUNCTION("""COMPUTED_VALUE"""),"#N/A")</f>
        <v>#N/A</v>
      </c>
      <c r="AU1171" s="6" t="str">
        <f ca="1">IFERROR(__xludf.DUMMYFUNCTION("""COMPUTED_VALUE"""),"FALSE")</f>
        <v>FALSE</v>
      </c>
      <c r="AZ1171" s="9"/>
      <c r="BC1171" s="9"/>
      <c r="BF1171" s="9"/>
      <c r="BI1171" s="9"/>
    </row>
    <row r="1172" spans="18:61">
      <c r="R1172" s="6"/>
      <c r="AS1172" s="15"/>
      <c r="AT1172" s="6" t="str">
        <f ca="1">IFERROR(__xludf.DUMMYFUNCTION("""COMPUTED_VALUE"""),"#N/A")</f>
        <v>#N/A</v>
      </c>
      <c r="AU1172" s="6" t="str">
        <f ca="1">IFERROR(__xludf.DUMMYFUNCTION("""COMPUTED_VALUE"""),"FALSE")</f>
        <v>FALSE</v>
      </c>
      <c r="AZ1172" s="9"/>
      <c r="BC1172" s="9"/>
      <c r="BF1172" s="9"/>
      <c r="BI1172" s="9"/>
    </row>
    <row r="1173" spans="18:61">
      <c r="R1173" s="6"/>
      <c r="AS1173" s="15"/>
      <c r="AT1173" s="6" t="str">
        <f ca="1">IFERROR(__xludf.DUMMYFUNCTION("""COMPUTED_VALUE"""),"#N/A")</f>
        <v>#N/A</v>
      </c>
      <c r="AU1173" s="6" t="str">
        <f ca="1">IFERROR(__xludf.DUMMYFUNCTION("""COMPUTED_VALUE"""),"FALSE")</f>
        <v>FALSE</v>
      </c>
      <c r="AZ1173" s="9"/>
      <c r="BC1173" s="9"/>
      <c r="BF1173" s="9"/>
      <c r="BI1173" s="9"/>
    </row>
    <row r="1174" spans="18:61">
      <c r="R1174" s="6"/>
      <c r="AS1174" s="15"/>
      <c r="AT1174" s="6" t="str">
        <f ca="1">IFERROR(__xludf.DUMMYFUNCTION("""COMPUTED_VALUE"""),"#N/A")</f>
        <v>#N/A</v>
      </c>
      <c r="AU1174" s="6" t="str">
        <f ca="1">IFERROR(__xludf.DUMMYFUNCTION("""COMPUTED_VALUE"""),"FALSE")</f>
        <v>FALSE</v>
      </c>
      <c r="AZ1174" s="9"/>
      <c r="BC1174" s="9"/>
      <c r="BF1174" s="9"/>
      <c r="BI1174" s="9"/>
    </row>
    <row r="1175" spans="18:61">
      <c r="R1175" s="6"/>
      <c r="AS1175" s="15"/>
      <c r="AT1175" s="6" t="str">
        <f ca="1">IFERROR(__xludf.DUMMYFUNCTION("""COMPUTED_VALUE"""),"#N/A")</f>
        <v>#N/A</v>
      </c>
      <c r="AU1175" s="6" t="str">
        <f ca="1">IFERROR(__xludf.DUMMYFUNCTION("""COMPUTED_VALUE"""),"FALSE")</f>
        <v>FALSE</v>
      </c>
      <c r="AZ1175" s="9"/>
      <c r="BC1175" s="9"/>
      <c r="BF1175" s="9"/>
      <c r="BI1175" s="9"/>
    </row>
    <row r="1176" spans="18:61">
      <c r="R1176" s="6"/>
      <c r="AS1176" s="15"/>
      <c r="AT1176" s="6" t="str">
        <f ca="1">IFERROR(__xludf.DUMMYFUNCTION("""COMPUTED_VALUE"""),"#N/A")</f>
        <v>#N/A</v>
      </c>
      <c r="AU1176" s="6" t="str">
        <f ca="1">IFERROR(__xludf.DUMMYFUNCTION("""COMPUTED_VALUE"""),"FALSE")</f>
        <v>FALSE</v>
      </c>
      <c r="AZ1176" s="9"/>
      <c r="BC1176" s="9"/>
      <c r="BF1176" s="9"/>
      <c r="BI1176" s="9"/>
    </row>
    <row r="1177" spans="18:61">
      <c r="R1177" s="6"/>
      <c r="AS1177" s="15"/>
      <c r="AT1177" s="6" t="str">
        <f ca="1">IFERROR(__xludf.DUMMYFUNCTION("""COMPUTED_VALUE"""),"#N/A")</f>
        <v>#N/A</v>
      </c>
      <c r="AU1177" s="6" t="str">
        <f ca="1">IFERROR(__xludf.DUMMYFUNCTION("""COMPUTED_VALUE"""),"FALSE")</f>
        <v>FALSE</v>
      </c>
      <c r="AZ1177" s="9"/>
      <c r="BC1177" s="9"/>
      <c r="BF1177" s="9"/>
      <c r="BI1177" s="9"/>
    </row>
    <row r="1178" spans="18:61">
      <c r="R1178" s="6"/>
      <c r="AS1178" s="15"/>
      <c r="AT1178" s="6" t="str">
        <f ca="1">IFERROR(__xludf.DUMMYFUNCTION("""COMPUTED_VALUE"""),"#N/A")</f>
        <v>#N/A</v>
      </c>
      <c r="AU1178" s="6" t="str">
        <f ca="1">IFERROR(__xludf.DUMMYFUNCTION("""COMPUTED_VALUE"""),"FALSE")</f>
        <v>FALSE</v>
      </c>
      <c r="AZ1178" s="9"/>
      <c r="BC1178" s="9"/>
      <c r="BF1178" s="9"/>
      <c r="BI1178" s="9"/>
    </row>
    <row r="1179" spans="18:61">
      <c r="R1179" s="6"/>
      <c r="AS1179" s="15"/>
      <c r="AT1179" s="6" t="str">
        <f ca="1">IFERROR(__xludf.DUMMYFUNCTION("""COMPUTED_VALUE"""),"#N/A")</f>
        <v>#N/A</v>
      </c>
      <c r="AU1179" s="6" t="str">
        <f ca="1">IFERROR(__xludf.DUMMYFUNCTION("""COMPUTED_VALUE"""),"FALSE")</f>
        <v>FALSE</v>
      </c>
      <c r="AZ1179" s="9"/>
      <c r="BC1179" s="9"/>
      <c r="BF1179" s="9"/>
      <c r="BI1179" s="9"/>
    </row>
    <row r="1180" spans="18:61">
      <c r="R1180" s="6"/>
      <c r="AS1180" s="15"/>
      <c r="AT1180" s="6" t="str">
        <f ca="1">IFERROR(__xludf.DUMMYFUNCTION("""COMPUTED_VALUE"""),"#N/A")</f>
        <v>#N/A</v>
      </c>
      <c r="AU1180" s="6" t="str">
        <f ca="1">IFERROR(__xludf.DUMMYFUNCTION("""COMPUTED_VALUE"""),"FALSE")</f>
        <v>FALSE</v>
      </c>
      <c r="AZ1180" s="9"/>
      <c r="BC1180" s="9"/>
      <c r="BF1180" s="9"/>
      <c r="BI1180" s="9"/>
    </row>
    <row r="1181" spans="18:61">
      <c r="R1181" s="6"/>
      <c r="AS1181" s="15"/>
      <c r="AT1181" s="6" t="str">
        <f ca="1">IFERROR(__xludf.DUMMYFUNCTION("""COMPUTED_VALUE"""),"#N/A")</f>
        <v>#N/A</v>
      </c>
      <c r="AU1181" s="6" t="str">
        <f ca="1">IFERROR(__xludf.DUMMYFUNCTION("""COMPUTED_VALUE"""),"FALSE")</f>
        <v>FALSE</v>
      </c>
      <c r="AZ1181" s="9"/>
      <c r="BC1181" s="9"/>
      <c r="BF1181" s="9"/>
      <c r="BI1181" s="9"/>
    </row>
    <row r="1182" spans="18:61">
      <c r="R1182" s="6"/>
      <c r="AS1182" s="15"/>
      <c r="AT1182" s="6" t="str">
        <f ca="1">IFERROR(__xludf.DUMMYFUNCTION("""COMPUTED_VALUE"""),"#N/A")</f>
        <v>#N/A</v>
      </c>
      <c r="AU1182" s="6" t="str">
        <f ca="1">IFERROR(__xludf.DUMMYFUNCTION("""COMPUTED_VALUE"""),"FALSE")</f>
        <v>FALSE</v>
      </c>
      <c r="AZ1182" s="9"/>
      <c r="BC1182" s="9"/>
      <c r="BF1182" s="9"/>
      <c r="BI1182" s="9"/>
    </row>
    <row r="1183" spans="18:61">
      <c r="R1183" s="6"/>
      <c r="AS1183" s="15"/>
      <c r="AT1183" s="6" t="str">
        <f ca="1">IFERROR(__xludf.DUMMYFUNCTION("""COMPUTED_VALUE"""),"#N/A")</f>
        <v>#N/A</v>
      </c>
      <c r="AU1183" s="6" t="str">
        <f ca="1">IFERROR(__xludf.DUMMYFUNCTION("""COMPUTED_VALUE"""),"FALSE")</f>
        <v>FALSE</v>
      </c>
      <c r="AZ1183" s="9"/>
      <c r="BC1183" s="9"/>
      <c r="BF1183" s="9"/>
      <c r="BI1183" s="9"/>
    </row>
    <row r="1184" spans="18:61">
      <c r="R1184" s="6"/>
      <c r="AS1184" s="15"/>
      <c r="AT1184" s="6" t="str">
        <f ca="1">IFERROR(__xludf.DUMMYFUNCTION("""COMPUTED_VALUE"""),"#N/A")</f>
        <v>#N/A</v>
      </c>
      <c r="AU1184" s="6" t="str">
        <f ca="1">IFERROR(__xludf.DUMMYFUNCTION("""COMPUTED_VALUE"""),"FALSE")</f>
        <v>FALSE</v>
      </c>
      <c r="AZ1184" s="9"/>
      <c r="BC1184" s="9"/>
      <c r="BF1184" s="9"/>
      <c r="BI1184" s="9"/>
    </row>
    <row r="1185" spans="18:61">
      <c r="R1185" s="6"/>
      <c r="AS1185" s="15"/>
      <c r="AT1185" s="6" t="str">
        <f ca="1">IFERROR(__xludf.DUMMYFUNCTION("""COMPUTED_VALUE"""),"#N/A")</f>
        <v>#N/A</v>
      </c>
      <c r="AU1185" s="6" t="str">
        <f ca="1">IFERROR(__xludf.DUMMYFUNCTION("""COMPUTED_VALUE"""),"FALSE")</f>
        <v>FALSE</v>
      </c>
      <c r="AZ1185" s="9"/>
      <c r="BC1185" s="9"/>
      <c r="BF1185" s="9"/>
      <c r="BI1185" s="9"/>
    </row>
    <row r="1186" spans="18:61">
      <c r="R1186" s="6"/>
      <c r="AS1186" s="15"/>
      <c r="AT1186" s="6" t="str">
        <f ca="1">IFERROR(__xludf.DUMMYFUNCTION("""COMPUTED_VALUE"""),"#N/A")</f>
        <v>#N/A</v>
      </c>
      <c r="AU1186" s="6" t="str">
        <f ca="1">IFERROR(__xludf.DUMMYFUNCTION("""COMPUTED_VALUE"""),"FALSE")</f>
        <v>FALSE</v>
      </c>
      <c r="AZ1186" s="9"/>
      <c r="BC1186" s="9"/>
      <c r="BF1186" s="9"/>
      <c r="BI1186" s="9"/>
    </row>
    <row r="1187" spans="18:61">
      <c r="R1187" s="6"/>
      <c r="AS1187" s="15"/>
      <c r="AT1187" s="6" t="str">
        <f ca="1">IFERROR(__xludf.DUMMYFUNCTION("""COMPUTED_VALUE"""),"#N/A")</f>
        <v>#N/A</v>
      </c>
      <c r="AU1187" s="6" t="str">
        <f ca="1">IFERROR(__xludf.DUMMYFUNCTION("""COMPUTED_VALUE"""),"FALSE")</f>
        <v>FALSE</v>
      </c>
      <c r="AZ1187" s="9"/>
      <c r="BC1187" s="9"/>
      <c r="BF1187" s="9"/>
      <c r="BI1187" s="9"/>
    </row>
    <row r="1188" spans="18:61">
      <c r="R1188" s="6"/>
      <c r="AS1188" s="15"/>
      <c r="AT1188" s="6" t="str">
        <f ca="1">IFERROR(__xludf.DUMMYFUNCTION("""COMPUTED_VALUE"""),"#N/A")</f>
        <v>#N/A</v>
      </c>
      <c r="AU1188" s="6" t="str">
        <f ca="1">IFERROR(__xludf.DUMMYFUNCTION("""COMPUTED_VALUE"""),"FALSE")</f>
        <v>FALSE</v>
      </c>
      <c r="AZ1188" s="9"/>
      <c r="BC1188" s="9"/>
      <c r="BF1188" s="9"/>
      <c r="BI1188" s="9"/>
    </row>
    <row r="1189" spans="18:61">
      <c r="R1189" s="6"/>
      <c r="AS1189" s="15"/>
      <c r="AT1189" s="6" t="str">
        <f ca="1">IFERROR(__xludf.DUMMYFUNCTION("""COMPUTED_VALUE"""),"#N/A")</f>
        <v>#N/A</v>
      </c>
      <c r="AU1189" s="6" t="str">
        <f ca="1">IFERROR(__xludf.DUMMYFUNCTION("""COMPUTED_VALUE"""),"FALSE")</f>
        <v>FALSE</v>
      </c>
      <c r="AZ1189" s="9"/>
      <c r="BC1189" s="9"/>
      <c r="BF1189" s="9"/>
      <c r="BI1189" s="9"/>
    </row>
    <row r="1190" spans="18:61">
      <c r="R1190" s="6"/>
      <c r="AS1190" s="15"/>
      <c r="AT1190" s="6" t="str">
        <f ca="1">IFERROR(__xludf.DUMMYFUNCTION("""COMPUTED_VALUE"""),"#N/A")</f>
        <v>#N/A</v>
      </c>
      <c r="AU1190" s="6" t="str">
        <f ca="1">IFERROR(__xludf.DUMMYFUNCTION("""COMPUTED_VALUE"""),"FALSE")</f>
        <v>FALSE</v>
      </c>
      <c r="AZ1190" s="9"/>
      <c r="BC1190" s="9"/>
      <c r="BF1190" s="9"/>
      <c r="BI1190" s="9"/>
    </row>
    <row r="1191" spans="18:61">
      <c r="R1191" s="6"/>
      <c r="AS1191" s="15"/>
      <c r="AT1191" s="6" t="str">
        <f ca="1">IFERROR(__xludf.DUMMYFUNCTION("""COMPUTED_VALUE"""),"#N/A")</f>
        <v>#N/A</v>
      </c>
      <c r="AU1191" s="6" t="str">
        <f ca="1">IFERROR(__xludf.DUMMYFUNCTION("""COMPUTED_VALUE"""),"FALSE")</f>
        <v>FALSE</v>
      </c>
      <c r="AZ1191" s="9"/>
      <c r="BC1191" s="9"/>
      <c r="BF1191" s="9"/>
      <c r="BI1191" s="9"/>
    </row>
    <row r="1192" spans="18:61">
      <c r="R1192" s="6"/>
      <c r="AS1192" s="15"/>
      <c r="AT1192" s="6" t="str">
        <f ca="1">IFERROR(__xludf.DUMMYFUNCTION("""COMPUTED_VALUE"""),"#N/A")</f>
        <v>#N/A</v>
      </c>
      <c r="AU1192" s="6" t="str">
        <f ca="1">IFERROR(__xludf.DUMMYFUNCTION("""COMPUTED_VALUE"""),"FALSE")</f>
        <v>FALSE</v>
      </c>
      <c r="AZ1192" s="9"/>
      <c r="BC1192" s="9"/>
      <c r="BF1192" s="9"/>
      <c r="BI1192" s="9"/>
    </row>
    <row r="1193" spans="18:61">
      <c r="R1193" s="6"/>
      <c r="AS1193" s="15"/>
      <c r="AT1193" s="6" t="str">
        <f ca="1">IFERROR(__xludf.DUMMYFUNCTION("""COMPUTED_VALUE"""),"#N/A")</f>
        <v>#N/A</v>
      </c>
      <c r="AU1193" s="6" t="str">
        <f ca="1">IFERROR(__xludf.DUMMYFUNCTION("""COMPUTED_VALUE"""),"FALSE")</f>
        <v>FALSE</v>
      </c>
      <c r="AZ1193" s="9"/>
      <c r="BC1193" s="9"/>
      <c r="BF1193" s="9"/>
      <c r="BI1193" s="9"/>
    </row>
    <row r="1194" spans="18:61">
      <c r="R1194" s="6"/>
      <c r="AS1194" s="15"/>
      <c r="AT1194" s="6" t="str">
        <f ca="1">IFERROR(__xludf.DUMMYFUNCTION("""COMPUTED_VALUE"""),"#N/A")</f>
        <v>#N/A</v>
      </c>
      <c r="AU1194" s="6" t="str">
        <f ca="1">IFERROR(__xludf.DUMMYFUNCTION("""COMPUTED_VALUE"""),"FALSE")</f>
        <v>FALSE</v>
      </c>
      <c r="AZ1194" s="9"/>
      <c r="BC1194" s="9"/>
      <c r="BF1194" s="9"/>
      <c r="BI1194" s="9"/>
    </row>
    <row r="1195" spans="18:61">
      <c r="R1195" s="6"/>
      <c r="AS1195" s="15"/>
      <c r="AT1195" s="6" t="str">
        <f ca="1">IFERROR(__xludf.DUMMYFUNCTION("""COMPUTED_VALUE"""),"#N/A")</f>
        <v>#N/A</v>
      </c>
      <c r="AU1195" s="6" t="str">
        <f ca="1">IFERROR(__xludf.DUMMYFUNCTION("""COMPUTED_VALUE"""),"FALSE")</f>
        <v>FALSE</v>
      </c>
      <c r="AZ1195" s="9"/>
      <c r="BC1195" s="9"/>
      <c r="BF1195" s="9"/>
      <c r="BI1195" s="9"/>
    </row>
    <row r="1196" spans="18:61">
      <c r="R1196" s="6"/>
      <c r="AS1196" s="15"/>
      <c r="AT1196" s="6" t="str">
        <f ca="1">IFERROR(__xludf.DUMMYFUNCTION("""COMPUTED_VALUE"""),"#N/A")</f>
        <v>#N/A</v>
      </c>
      <c r="AU1196" s="6" t="str">
        <f ca="1">IFERROR(__xludf.DUMMYFUNCTION("""COMPUTED_VALUE"""),"FALSE")</f>
        <v>FALSE</v>
      </c>
      <c r="AZ1196" s="9"/>
      <c r="BC1196" s="9"/>
      <c r="BF1196" s="9"/>
      <c r="BI1196" s="9"/>
    </row>
    <row r="1197" spans="18:61">
      <c r="R1197" s="6"/>
      <c r="AS1197" s="15"/>
      <c r="AT1197" s="6" t="str">
        <f ca="1">IFERROR(__xludf.DUMMYFUNCTION("""COMPUTED_VALUE"""),"#N/A")</f>
        <v>#N/A</v>
      </c>
      <c r="AU1197" s="6" t="str">
        <f ca="1">IFERROR(__xludf.DUMMYFUNCTION("""COMPUTED_VALUE"""),"FALSE")</f>
        <v>FALSE</v>
      </c>
      <c r="AZ1197" s="9"/>
      <c r="BC1197" s="9"/>
      <c r="BF1197" s="9"/>
      <c r="BI1197" s="9"/>
    </row>
    <row r="1198" spans="18:61">
      <c r="R1198" s="6"/>
      <c r="AS1198" s="15"/>
      <c r="AT1198" s="6" t="str">
        <f ca="1">IFERROR(__xludf.DUMMYFUNCTION("""COMPUTED_VALUE"""),"#N/A")</f>
        <v>#N/A</v>
      </c>
      <c r="AU1198" s="6" t="str">
        <f ca="1">IFERROR(__xludf.DUMMYFUNCTION("""COMPUTED_VALUE"""),"FALSE")</f>
        <v>FALSE</v>
      </c>
      <c r="AZ1198" s="9"/>
      <c r="BC1198" s="9"/>
      <c r="BF1198" s="9"/>
      <c r="BI1198" s="9"/>
    </row>
    <row r="1199" spans="18:61">
      <c r="R1199" s="6"/>
      <c r="AS1199" s="15"/>
      <c r="AT1199" s="6" t="str">
        <f ca="1">IFERROR(__xludf.DUMMYFUNCTION("""COMPUTED_VALUE"""),"#N/A")</f>
        <v>#N/A</v>
      </c>
      <c r="AU1199" s="6" t="str">
        <f ca="1">IFERROR(__xludf.DUMMYFUNCTION("""COMPUTED_VALUE"""),"FALSE")</f>
        <v>FALSE</v>
      </c>
      <c r="AZ1199" s="9"/>
      <c r="BC1199" s="9"/>
      <c r="BF1199" s="9"/>
      <c r="BI1199" s="9"/>
    </row>
    <row r="1200" spans="18:61">
      <c r="R1200" s="6"/>
      <c r="AS1200" s="15"/>
      <c r="AT1200" s="6" t="str">
        <f ca="1">IFERROR(__xludf.DUMMYFUNCTION("""COMPUTED_VALUE"""),"#N/A")</f>
        <v>#N/A</v>
      </c>
      <c r="AU1200" s="6" t="str">
        <f ca="1">IFERROR(__xludf.DUMMYFUNCTION("""COMPUTED_VALUE"""),"FALSE")</f>
        <v>FALSE</v>
      </c>
      <c r="AZ1200" s="9"/>
      <c r="BC1200" s="9"/>
      <c r="BF1200" s="9"/>
      <c r="BI1200" s="9"/>
    </row>
    <row r="1201" spans="18:61">
      <c r="R1201" s="6"/>
      <c r="AS1201" s="15"/>
      <c r="AT1201" s="6" t="str">
        <f ca="1">IFERROR(__xludf.DUMMYFUNCTION("""COMPUTED_VALUE"""),"#N/A")</f>
        <v>#N/A</v>
      </c>
      <c r="AU1201" s="6" t="str">
        <f ca="1">IFERROR(__xludf.DUMMYFUNCTION("""COMPUTED_VALUE"""),"FALSE")</f>
        <v>FALSE</v>
      </c>
      <c r="AZ1201" s="9"/>
      <c r="BC1201" s="9"/>
      <c r="BF1201" s="9"/>
      <c r="BI1201" s="9"/>
    </row>
    <row r="1202" spans="18:61">
      <c r="R1202" s="6"/>
      <c r="AS1202" s="15"/>
      <c r="AT1202" s="6" t="str">
        <f ca="1">IFERROR(__xludf.DUMMYFUNCTION("""COMPUTED_VALUE"""),"#N/A")</f>
        <v>#N/A</v>
      </c>
      <c r="AU1202" s="6" t="str">
        <f ca="1">IFERROR(__xludf.DUMMYFUNCTION("""COMPUTED_VALUE"""),"FALSE")</f>
        <v>FALSE</v>
      </c>
      <c r="AZ1202" s="9"/>
      <c r="BC1202" s="9"/>
      <c r="BF1202" s="9"/>
      <c r="BI1202" s="9"/>
    </row>
    <row r="1203" spans="18:61">
      <c r="R1203" s="6"/>
      <c r="AS1203" s="15"/>
      <c r="AT1203" s="6" t="str">
        <f ca="1">IFERROR(__xludf.DUMMYFUNCTION("""COMPUTED_VALUE"""),"#N/A")</f>
        <v>#N/A</v>
      </c>
      <c r="AU1203" s="6" t="str">
        <f ca="1">IFERROR(__xludf.DUMMYFUNCTION("""COMPUTED_VALUE"""),"FALSE")</f>
        <v>FALSE</v>
      </c>
      <c r="AZ1203" s="9"/>
      <c r="BC1203" s="9"/>
      <c r="BF1203" s="9"/>
      <c r="BI1203" s="9"/>
    </row>
    <row r="1204" spans="18:61">
      <c r="R1204" s="6"/>
      <c r="AS1204" s="15"/>
      <c r="AT1204" s="6" t="str">
        <f ca="1">IFERROR(__xludf.DUMMYFUNCTION("""COMPUTED_VALUE"""),"#N/A")</f>
        <v>#N/A</v>
      </c>
      <c r="AU1204" s="6" t="str">
        <f ca="1">IFERROR(__xludf.DUMMYFUNCTION("""COMPUTED_VALUE"""),"FALSE")</f>
        <v>FALSE</v>
      </c>
      <c r="AZ1204" s="9"/>
      <c r="BC1204" s="9"/>
      <c r="BF1204" s="9"/>
      <c r="BI1204" s="9"/>
    </row>
    <row r="1205" spans="18:61">
      <c r="R1205" s="6"/>
      <c r="AS1205" s="15"/>
      <c r="AT1205" s="6" t="str">
        <f ca="1">IFERROR(__xludf.DUMMYFUNCTION("""COMPUTED_VALUE"""),"#N/A")</f>
        <v>#N/A</v>
      </c>
      <c r="AU1205" s="6" t="str">
        <f ca="1">IFERROR(__xludf.DUMMYFUNCTION("""COMPUTED_VALUE"""),"FALSE")</f>
        <v>FALSE</v>
      </c>
      <c r="AZ1205" s="9"/>
      <c r="BC1205" s="9"/>
      <c r="BF1205" s="9"/>
      <c r="BI1205" s="9"/>
    </row>
    <row r="1206" spans="18:61">
      <c r="R1206" s="6"/>
      <c r="AS1206" s="15"/>
      <c r="AT1206" s="6" t="str">
        <f ca="1">IFERROR(__xludf.DUMMYFUNCTION("""COMPUTED_VALUE"""),"#N/A")</f>
        <v>#N/A</v>
      </c>
      <c r="AU1206" s="6" t="str">
        <f ca="1">IFERROR(__xludf.DUMMYFUNCTION("""COMPUTED_VALUE"""),"FALSE")</f>
        <v>FALSE</v>
      </c>
      <c r="AZ1206" s="9"/>
      <c r="BC1206" s="9"/>
      <c r="BF1206" s="9"/>
      <c r="BI1206" s="9"/>
    </row>
    <row r="1207" spans="18:61">
      <c r="R1207" s="6"/>
      <c r="AS1207" s="15"/>
      <c r="AT1207" s="6" t="str">
        <f ca="1">IFERROR(__xludf.DUMMYFUNCTION("""COMPUTED_VALUE"""),"#N/A")</f>
        <v>#N/A</v>
      </c>
      <c r="AU1207" s="6" t="str">
        <f ca="1">IFERROR(__xludf.DUMMYFUNCTION("""COMPUTED_VALUE"""),"FALSE")</f>
        <v>FALSE</v>
      </c>
      <c r="AZ1207" s="9"/>
      <c r="BC1207" s="9"/>
      <c r="BF1207" s="9"/>
      <c r="BI1207" s="9"/>
    </row>
    <row r="1208" spans="18:61">
      <c r="R1208" s="6"/>
      <c r="AS1208" s="15"/>
      <c r="AT1208" s="6" t="str">
        <f ca="1">IFERROR(__xludf.DUMMYFUNCTION("""COMPUTED_VALUE"""),"#N/A")</f>
        <v>#N/A</v>
      </c>
      <c r="AU1208" s="6" t="str">
        <f ca="1">IFERROR(__xludf.DUMMYFUNCTION("""COMPUTED_VALUE"""),"FALSE")</f>
        <v>FALSE</v>
      </c>
      <c r="AZ1208" s="9"/>
      <c r="BC1208" s="9"/>
      <c r="BF1208" s="9"/>
      <c r="BI1208" s="9"/>
    </row>
    <row r="1209" spans="18:61">
      <c r="R1209" s="6"/>
      <c r="AS1209" s="15"/>
      <c r="AT1209" s="6" t="str">
        <f ca="1">IFERROR(__xludf.DUMMYFUNCTION("""COMPUTED_VALUE"""),"#N/A")</f>
        <v>#N/A</v>
      </c>
      <c r="AU1209" s="6" t="str">
        <f ca="1">IFERROR(__xludf.DUMMYFUNCTION("""COMPUTED_VALUE"""),"FALSE")</f>
        <v>FALSE</v>
      </c>
      <c r="AZ1209" s="9"/>
      <c r="BC1209" s="9"/>
      <c r="BF1209" s="9"/>
      <c r="BI1209" s="9"/>
    </row>
    <row r="1210" spans="18:61">
      <c r="R1210" s="6"/>
      <c r="AS1210" s="15"/>
      <c r="AT1210" s="6" t="str">
        <f ca="1">IFERROR(__xludf.DUMMYFUNCTION("""COMPUTED_VALUE"""),"#N/A")</f>
        <v>#N/A</v>
      </c>
      <c r="AU1210" s="6" t="str">
        <f ca="1">IFERROR(__xludf.DUMMYFUNCTION("""COMPUTED_VALUE"""),"FALSE")</f>
        <v>FALSE</v>
      </c>
      <c r="AZ1210" s="9"/>
      <c r="BC1210" s="9"/>
      <c r="BF1210" s="9"/>
      <c r="BI1210" s="9"/>
    </row>
    <row r="1211" spans="18:61">
      <c r="R1211" s="6"/>
      <c r="AS1211" s="15"/>
      <c r="AT1211" s="6" t="str">
        <f ca="1">IFERROR(__xludf.DUMMYFUNCTION("""COMPUTED_VALUE"""),"#N/A")</f>
        <v>#N/A</v>
      </c>
      <c r="AU1211" s="6" t="str">
        <f ca="1">IFERROR(__xludf.DUMMYFUNCTION("""COMPUTED_VALUE"""),"FALSE")</f>
        <v>FALSE</v>
      </c>
      <c r="AZ1211" s="9"/>
      <c r="BC1211" s="9"/>
      <c r="BF1211" s="9"/>
      <c r="BI1211" s="9"/>
    </row>
    <row r="1212" spans="18:61">
      <c r="R1212" s="6"/>
      <c r="AS1212" s="15"/>
      <c r="AT1212" s="6" t="str">
        <f ca="1">IFERROR(__xludf.DUMMYFUNCTION("""COMPUTED_VALUE"""),"#N/A")</f>
        <v>#N/A</v>
      </c>
      <c r="AU1212" s="6" t="str">
        <f ca="1">IFERROR(__xludf.DUMMYFUNCTION("""COMPUTED_VALUE"""),"FALSE")</f>
        <v>FALSE</v>
      </c>
      <c r="AZ1212" s="9"/>
      <c r="BC1212" s="9"/>
      <c r="BF1212" s="9"/>
      <c r="BI1212" s="9"/>
    </row>
    <row r="1213" spans="18:61">
      <c r="R1213" s="6"/>
      <c r="AS1213" s="15"/>
      <c r="AT1213" s="6" t="str">
        <f ca="1">IFERROR(__xludf.DUMMYFUNCTION("""COMPUTED_VALUE"""),"#N/A")</f>
        <v>#N/A</v>
      </c>
      <c r="AU1213" s="6" t="str">
        <f ca="1">IFERROR(__xludf.DUMMYFUNCTION("""COMPUTED_VALUE"""),"FALSE")</f>
        <v>FALSE</v>
      </c>
      <c r="AZ1213" s="9"/>
      <c r="BC1213" s="9"/>
      <c r="BF1213" s="9"/>
      <c r="BI1213" s="9"/>
    </row>
    <row r="1214" spans="18:61">
      <c r="R1214" s="6"/>
      <c r="AS1214" s="15"/>
      <c r="AT1214" s="6" t="str">
        <f ca="1">IFERROR(__xludf.DUMMYFUNCTION("""COMPUTED_VALUE"""),"#N/A")</f>
        <v>#N/A</v>
      </c>
      <c r="AU1214" s="6" t="str">
        <f ca="1">IFERROR(__xludf.DUMMYFUNCTION("""COMPUTED_VALUE"""),"FALSE")</f>
        <v>FALSE</v>
      </c>
      <c r="AZ1214" s="9"/>
      <c r="BC1214" s="9"/>
      <c r="BF1214" s="9"/>
      <c r="BI1214" s="9"/>
    </row>
    <row r="1215" spans="18:61">
      <c r="R1215" s="6"/>
      <c r="AS1215" s="15"/>
      <c r="AT1215" s="6" t="str">
        <f ca="1">IFERROR(__xludf.DUMMYFUNCTION("""COMPUTED_VALUE"""),"#N/A")</f>
        <v>#N/A</v>
      </c>
      <c r="AU1215" s="6" t="str">
        <f ca="1">IFERROR(__xludf.DUMMYFUNCTION("""COMPUTED_VALUE"""),"FALSE")</f>
        <v>FALSE</v>
      </c>
      <c r="AZ1215" s="9"/>
      <c r="BC1215" s="9"/>
      <c r="BF1215" s="9"/>
      <c r="BI1215" s="9"/>
    </row>
    <row r="1216" spans="18:61">
      <c r="R1216" s="6"/>
      <c r="AS1216" s="15"/>
      <c r="AT1216" s="6" t="str">
        <f ca="1">IFERROR(__xludf.DUMMYFUNCTION("""COMPUTED_VALUE"""),"#N/A")</f>
        <v>#N/A</v>
      </c>
      <c r="AU1216" s="6" t="str">
        <f ca="1">IFERROR(__xludf.DUMMYFUNCTION("""COMPUTED_VALUE"""),"FALSE")</f>
        <v>FALSE</v>
      </c>
      <c r="AZ1216" s="9"/>
      <c r="BC1216" s="9"/>
      <c r="BF1216" s="9"/>
      <c r="BI1216" s="9"/>
    </row>
    <row r="1217" spans="18:61">
      <c r="R1217" s="6"/>
      <c r="AS1217" s="15"/>
      <c r="AT1217" s="6" t="str">
        <f ca="1">IFERROR(__xludf.DUMMYFUNCTION("""COMPUTED_VALUE"""),"#N/A")</f>
        <v>#N/A</v>
      </c>
      <c r="AU1217" s="6" t="str">
        <f ca="1">IFERROR(__xludf.DUMMYFUNCTION("""COMPUTED_VALUE"""),"FALSE")</f>
        <v>FALSE</v>
      </c>
      <c r="AZ1217" s="9"/>
      <c r="BC1217" s="9"/>
      <c r="BF1217" s="9"/>
      <c r="BI1217" s="9"/>
    </row>
    <row r="1218" spans="18:61">
      <c r="R1218" s="6"/>
      <c r="AS1218" s="15"/>
      <c r="AT1218" s="6" t="str">
        <f ca="1">IFERROR(__xludf.DUMMYFUNCTION("""COMPUTED_VALUE"""),"#N/A")</f>
        <v>#N/A</v>
      </c>
      <c r="AU1218" s="6" t="str">
        <f ca="1">IFERROR(__xludf.DUMMYFUNCTION("""COMPUTED_VALUE"""),"FALSE")</f>
        <v>FALSE</v>
      </c>
      <c r="AZ1218" s="9"/>
      <c r="BC1218" s="9"/>
      <c r="BF1218" s="9"/>
      <c r="BI1218" s="9"/>
    </row>
    <row r="1219" spans="18:61">
      <c r="R1219" s="6"/>
      <c r="AS1219" s="15"/>
      <c r="AT1219" s="6" t="str">
        <f ca="1">IFERROR(__xludf.DUMMYFUNCTION("""COMPUTED_VALUE"""),"#N/A")</f>
        <v>#N/A</v>
      </c>
      <c r="AU1219" s="6" t="str">
        <f ca="1">IFERROR(__xludf.DUMMYFUNCTION("""COMPUTED_VALUE"""),"FALSE")</f>
        <v>FALSE</v>
      </c>
      <c r="AZ1219" s="9"/>
      <c r="BC1219" s="9"/>
      <c r="BF1219" s="9"/>
      <c r="BI1219" s="9"/>
    </row>
    <row r="1220" spans="18:61">
      <c r="R1220" s="6"/>
      <c r="AS1220" s="15"/>
      <c r="AT1220" s="6" t="str">
        <f ca="1">IFERROR(__xludf.DUMMYFUNCTION("""COMPUTED_VALUE"""),"#N/A")</f>
        <v>#N/A</v>
      </c>
      <c r="AU1220" s="6" t="str">
        <f ca="1">IFERROR(__xludf.DUMMYFUNCTION("""COMPUTED_VALUE"""),"FALSE")</f>
        <v>FALSE</v>
      </c>
      <c r="AZ1220" s="9"/>
      <c r="BC1220" s="9"/>
      <c r="BF1220" s="9"/>
      <c r="BI1220" s="9"/>
    </row>
    <row r="1221" spans="18:61">
      <c r="R1221" s="6"/>
      <c r="AS1221" s="15"/>
      <c r="AT1221" s="6" t="str">
        <f ca="1">IFERROR(__xludf.DUMMYFUNCTION("""COMPUTED_VALUE"""),"#N/A")</f>
        <v>#N/A</v>
      </c>
      <c r="AU1221" s="6" t="str">
        <f ca="1">IFERROR(__xludf.DUMMYFUNCTION("""COMPUTED_VALUE"""),"FALSE")</f>
        <v>FALSE</v>
      </c>
      <c r="AZ1221" s="9"/>
      <c r="BC1221" s="9"/>
      <c r="BF1221" s="9"/>
      <c r="BI1221" s="9"/>
    </row>
    <row r="1222" spans="18:61">
      <c r="R1222" s="6"/>
      <c r="AS1222" s="15"/>
      <c r="AT1222" s="6" t="str">
        <f ca="1">IFERROR(__xludf.DUMMYFUNCTION("""COMPUTED_VALUE"""),"#N/A")</f>
        <v>#N/A</v>
      </c>
      <c r="AU1222" s="6" t="str">
        <f ca="1">IFERROR(__xludf.DUMMYFUNCTION("""COMPUTED_VALUE"""),"FALSE")</f>
        <v>FALSE</v>
      </c>
      <c r="AZ1222" s="9"/>
      <c r="BC1222" s="9"/>
      <c r="BF1222" s="9"/>
      <c r="BI1222" s="9"/>
    </row>
    <row r="1223" spans="18:61">
      <c r="R1223" s="6"/>
      <c r="AS1223" s="15"/>
      <c r="AT1223" s="6" t="str">
        <f ca="1">IFERROR(__xludf.DUMMYFUNCTION("""COMPUTED_VALUE"""),"#N/A")</f>
        <v>#N/A</v>
      </c>
      <c r="AU1223" s="6" t="str">
        <f ca="1">IFERROR(__xludf.DUMMYFUNCTION("""COMPUTED_VALUE"""),"FALSE")</f>
        <v>FALSE</v>
      </c>
      <c r="AZ1223" s="9"/>
      <c r="BC1223" s="9"/>
      <c r="BF1223" s="9"/>
      <c r="BI1223" s="9"/>
    </row>
    <row r="1224" spans="18:61">
      <c r="R1224" s="6"/>
      <c r="AS1224" s="15"/>
      <c r="AT1224" s="6" t="str">
        <f ca="1">IFERROR(__xludf.DUMMYFUNCTION("""COMPUTED_VALUE"""),"#N/A")</f>
        <v>#N/A</v>
      </c>
      <c r="AU1224" s="6" t="str">
        <f ca="1">IFERROR(__xludf.DUMMYFUNCTION("""COMPUTED_VALUE"""),"FALSE")</f>
        <v>FALSE</v>
      </c>
      <c r="AZ1224" s="9"/>
      <c r="BC1224" s="9"/>
      <c r="BF1224" s="9"/>
      <c r="BI1224" s="9"/>
    </row>
    <row r="1225" spans="18:61">
      <c r="R1225" s="6"/>
      <c r="AS1225" s="15"/>
      <c r="AT1225" s="6" t="str">
        <f ca="1">IFERROR(__xludf.DUMMYFUNCTION("""COMPUTED_VALUE"""),"#N/A")</f>
        <v>#N/A</v>
      </c>
      <c r="AU1225" s="6" t="str">
        <f ca="1">IFERROR(__xludf.DUMMYFUNCTION("""COMPUTED_VALUE"""),"FALSE")</f>
        <v>FALSE</v>
      </c>
      <c r="AZ1225" s="9"/>
      <c r="BC1225" s="9"/>
      <c r="BF1225" s="9"/>
      <c r="BI1225" s="9"/>
    </row>
    <row r="1226" spans="18:61">
      <c r="R1226" s="6"/>
      <c r="AS1226" s="15"/>
      <c r="AT1226" s="6" t="str">
        <f ca="1">IFERROR(__xludf.DUMMYFUNCTION("""COMPUTED_VALUE"""),"#N/A")</f>
        <v>#N/A</v>
      </c>
      <c r="AU1226" s="6" t="str">
        <f ca="1">IFERROR(__xludf.DUMMYFUNCTION("""COMPUTED_VALUE"""),"FALSE")</f>
        <v>FALSE</v>
      </c>
      <c r="AZ1226" s="9"/>
      <c r="BC1226" s="9"/>
      <c r="BF1226" s="9"/>
      <c r="BI1226" s="9"/>
    </row>
    <row r="1227" spans="18:61">
      <c r="R1227" s="6"/>
      <c r="AS1227" s="15"/>
      <c r="AT1227" s="6" t="str">
        <f ca="1">IFERROR(__xludf.DUMMYFUNCTION("""COMPUTED_VALUE"""),"#N/A")</f>
        <v>#N/A</v>
      </c>
      <c r="AU1227" s="6" t="str">
        <f ca="1">IFERROR(__xludf.DUMMYFUNCTION("""COMPUTED_VALUE"""),"FALSE")</f>
        <v>FALSE</v>
      </c>
      <c r="AZ1227" s="9"/>
      <c r="BC1227" s="9"/>
      <c r="BF1227" s="9"/>
      <c r="BI1227" s="9"/>
    </row>
    <row r="1228" spans="18:61">
      <c r="R1228" s="6"/>
      <c r="AS1228" s="15"/>
      <c r="AT1228" s="6" t="str">
        <f ca="1">IFERROR(__xludf.DUMMYFUNCTION("""COMPUTED_VALUE"""),"#N/A")</f>
        <v>#N/A</v>
      </c>
      <c r="AU1228" s="6" t="str">
        <f ca="1">IFERROR(__xludf.DUMMYFUNCTION("""COMPUTED_VALUE"""),"FALSE")</f>
        <v>FALSE</v>
      </c>
      <c r="AZ1228" s="9"/>
      <c r="BC1228" s="9"/>
      <c r="BF1228" s="9"/>
      <c r="BI1228" s="9"/>
    </row>
    <row r="1229" spans="18:61">
      <c r="R1229" s="6"/>
      <c r="AS1229" s="15"/>
      <c r="AT1229" s="6" t="str">
        <f ca="1">IFERROR(__xludf.DUMMYFUNCTION("""COMPUTED_VALUE"""),"#N/A")</f>
        <v>#N/A</v>
      </c>
      <c r="AU1229" s="6" t="str">
        <f ca="1">IFERROR(__xludf.DUMMYFUNCTION("""COMPUTED_VALUE"""),"FALSE")</f>
        <v>FALSE</v>
      </c>
      <c r="AZ1229" s="9"/>
      <c r="BC1229" s="9"/>
      <c r="BF1229" s="9"/>
      <c r="BI1229" s="9"/>
    </row>
    <row r="1230" spans="18:61">
      <c r="R1230" s="6"/>
      <c r="AS1230" s="15"/>
      <c r="AT1230" s="6" t="str">
        <f ca="1">IFERROR(__xludf.DUMMYFUNCTION("""COMPUTED_VALUE"""),"#N/A")</f>
        <v>#N/A</v>
      </c>
      <c r="AU1230" s="6" t="str">
        <f ca="1">IFERROR(__xludf.DUMMYFUNCTION("""COMPUTED_VALUE"""),"FALSE")</f>
        <v>FALSE</v>
      </c>
      <c r="AZ1230" s="9"/>
      <c r="BC1230" s="9"/>
      <c r="BF1230" s="9"/>
      <c r="BI1230" s="9"/>
    </row>
    <row r="1231" spans="18:61">
      <c r="R1231" s="6"/>
      <c r="AS1231" s="15"/>
      <c r="AT1231" s="6" t="str">
        <f ca="1">IFERROR(__xludf.DUMMYFUNCTION("""COMPUTED_VALUE"""),"#N/A")</f>
        <v>#N/A</v>
      </c>
      <c r="AU1231" s="6" t="str">
        <f ca="1">IFERROR(__xludf.DUMMYFUNCTION("""COMPUTED_VALUE"""),"FALSE")</f>
        <v>FALSE</v>
      </c>
      <c r="AZ1231" s="9"/>
      <c r="BC1231" s="9"/>
      <c r="BF1231" s="9"/>
      <c r="BI1231" s="9"/>
    </row>
    <row r="1232" spans="18:61">
      <c r="R1232" s="6"/>
      <c r="AS1232" s="15"/>
      <c r="AT1232" s="6" t="str">
        <f ca="1">IFERROR(__xludf.DUMMYFUNCTION("""COMPUTED_VALUE"""),"#N/A")</f>
        <v>#N/A</v>
      </c>
      <c r="AU1232" s="6" t="str">
        <f ca="1">IFERROR(__xludf.DUMMYFUNCTION("""COMPUTED_VALUE"""),"FALSE")</f>
        <v>FALSE</v>
      </c>
      <c r="AZ1232" s="9"/>
      <c r="BC1232" s="9"/>
      <c r="BF1232" s="9"/>
      <c r="BI1232" s="9"/>
    </row>
    <row r="1233" spans="18:61">
      <c r="R1233" s="6"/>
      <c r="AS1233" s="15"/>
      <c r="AT1233" s="6" t="str">
        <f ca="1">IFERROR(__xludf.DUMMYFUNCTION("""COMPUTED_VALUE"""),"#N/A")</f>
        <v>#N/A</v>
      </c>
      <c r="AU1233" s="6" t="str">
        <f ca="1">IFERROR(__xludf.DUMMYFUNCTION("""COMPUTED_VALUE"""),"FALSE")</f>
        <v>FALSE</v>
      </c>
      <c r="AZ1233" s="9"/>
      <c r="BC1233" s="9"/>
      <c r="BF1233" s="9"/>
      <c r="BI1233" s="9"/>
    </row>
    <row r="1234" spans="18:61">
      <c r="R1234" s="6"/>
      <c r="AS1234" s="15"/>
      <c r="AT1234" s="6" t="str">
        <f ca="1">IFERROR(__xludf.DUMMYFUNCTION("""COMPUTED_VALUE"""),"#N/A")</f>
        <v>#N/A</v>
      </c>
      <c r="AU1234" s="6" t="str">
        <f ca="1">IFERROR(__xludf.DUMMYFUNCTION("""COMPUTED_VALUE"""),"FALSE")</f>
        <v>FALSE</v>
      </c>
      <c r="AZ1234" s="9"/>
      <c r="BC1234" s="9"/>
      <c r="BF1234" s="9"/>
      <c r="BI1234" s="9"/>
    </row>
    <row r="1235" spans="18:61">
      <c r="R1235" s="6"/>
      <c r="AS1235" s="15"/>
      <c r="AT1235" s="6" t="str">
        <f ca="1">IFERROR(__xludf.DUMMYFUNCTION("""COMPUTED_VALUE"""),"#N/A")</f>
        <v>#N/A</v>
      </c>
      <c r="AU1235" s="6" t="str">
        <f ca="1">IFERROR(__xludf.DUMMYFUNCTION("""COMPUTED_VALUE"""),"FALSE")</f>
        <v>FALSE</v>
      </c>
      <c r="AZ1235" s="9"/>
      <c r="BC1235" s="9"/>
      <c r="BF1235" s="9"/>
      <c r="BI1235" s="9"/>
    </row>
    <row r="1236" spans="18:61">
      <c r="R1236" s="6"/>
      <c r="AS1236" s="15"/>
      <c r="AT1236" s="6" t="str">
        <f ca="1">IFERROR(__xludf.DUMMYFUNCTION("""COMPUTED_VALUE"""),"#N/A")</f>
        <v>#N/A</v>
      </c>
      <c r="AU1236" s="6" t="str">
        <f ca="1">IFERROR(__xludf.DUMMYFUNCTION("""COMPUTED_VALUE"""),"FALSE")</f>
        <v>FALSE</v>
      </c>
      <c r="AZ1236" s="9"/>
      <c r="BC1236" s="9"/>
      <c r="BF1236" s="9"/>
      <c r="BI1236" s="9"/>
    </row>
    <row r="1237" spans="18:61">
      <c r="R1237" s="6"/>
      <c r="AS1237" s="15"/>
      <c r="AT1237" s="6" t="str">
        <f ca="1">IFERROR(__xludf.DUMMYFUNCTION("""COMPUTED_VALUE"""),"#N/A")</f>
        <v>#N/A</v>
      </c>
      <c r="AU1237" s="6" t="str">
        <f ca="1">IFERROR(__xludf.DUMMYFUNCTION("""COMPUTED_VALUE"""),"FALSE")</f>
        <v>FALSE</v>
      </c>
      <c r="AZ1237" s="9"/>
      <c r="BC1237" s="9"/>
      <c r="BF1237" s="9"/>
      <c r="BI1237" s="9"/>
    </row>
    <row r="1238" spans="18:61">
      <c r="R1238" s="6"/>
      <c r="AS1238" s="15"/>
      <c r="AT1238" s="6" t="str">
        <f ca="1">IFERROR(__xludf.DUMMYFUNCTION("""COMPUTED_VALUE"""),"#N/A")</f>
        <v>#N/A</v>
      </c>
      <c r="AU1238" s="6" t="str">
        <f ca="1">IFERROR(__xludf.DUMMYFUNCTION("""COMPUTED_VALUE"""),"FALSE")</f>
        <v>FALSE</v>
      </c>
      <c r="AZ1238" s="9"/>
      <c r="BC1238" s="9"/>
      <c r="BF1238" s="9"/>
      <c r="BI1238" s="9"/>
    </row>
    <row r="1239" spans="18:61">
      <c r="R1239" s="6"/>
      <c r="AS1239" s="15"/>
      <c r="AT1239" s="6" t="str">
        <f ca="1">IFERROR(__xludf.DUMMYFUNCTION("""COMPUTED_VALUE"""),"#N/A")</f>
        <v>#N/A</v>
      </c>
      <c r="AU1239" s="6" t="str">
        <f ca="1">IFERROR(__xludf.DUMMYFUNCTION("""COMPUTED_VALUE"""),"FALSE")</f>
        <v>FALSE</v>
      </c>
      <c r="AZ1239" s="9"/>
      <c r="BC1239" s="9"/>
      <c r="BF1239" s="9"/>
      <c r="BI1239" s="9"/>
    </row>
    <row r="1240" spans="18:61">
      <c r="R1240" s="6"/>
      <c r="AS1240" s="15"/>
      <c r="AT1240" s="6" t="str">
        <f ca="1">IFERROR(__xludf.DUMMYFUNCTION("""COMPUTED_VALUE"""),"#N/A")</f>
        <v>#N/A</v>
      </c>
      <c r="AU1240" s="6" t="str">
        <f ca="1">IFERROR(__xludf.DUMMYFUNCTION("""COMPUTED_VALUE"""),"FALSE")</f>
        <v>FALSE</v>
      </c>
      <c r="AZ1240" s="9"/>
      <c r="BC1240" s="9"/>
      <c r="BF1240" s="9"/>
      <c r="BI1240" s="9"/>
    </row>
    <row r="1241" spans="18:61">
      <c r="R1241" s="6"/>
      <c r="AS1241" s="15"/>
      <c r="AT1241" s="6" t="str">
        <f ca="1">IFERROR(__xludf.DUMMYFUNCTION("""COMPUTED_VALUE"""),"#N/A")</f>
        <v>#N/A</v>
      </c>
      <c r="AU1241" s="6" t="str">
        <f ca="1">IFERROR(__xludf.DUMMYFUNCTION("""COMPUTED_VALUE"""),"FALSE")</f>
        <v>FALSE</v>
      </c>
      <c r="AZ1241" s="9"/>
      <c r="BC1241" s="9"/>
      <c r="BF1241" s="9"/>
      <c r="BI1241" s="9"/>
    </row>
    <row r="1242" spans="18:61">
      <c r="R1242" s="6"/>
      <c r="AS1242" s="15"/>
      <c r="AT1242" s="6" t="str">
        <f ca="1">IFERROR(__xludf.DUMMYFUNCTION("""COMPUTED_VALUE"""),"#N/A")</f>
        <v>#N/A</v>
      </c>
      <c r="AU1242" s="6" t="str">
        <f ca="1">IFERROR(__xludf.DUMMYFUNCTION("""COMPUTED_VALUE"""),"FALSE")</f>
        <v>FALSE</v>
      </c>
      <c r="AZ1242" s="9"/>
      <c r="BC1242" s="9"/>
      <c r="BF1242" s="9"/>
      <c r="BI1242" s="9"/>
    </row>
    <row r="1243" spans="18:61">
      <c r="R1243" s="6"/>
      <c r="AS1243" s="15"/>
      <c r="AT1243" s="6" t="str">
        <f ca="1">IFERROR(__xludf.DUMMYFUNCTION("""COMPUTED_VALUE"""),"#N/A")</f>
        <v>#N/A</v>
      </c>
      <c r="AU1243" s="6" t="str">
        <f ca="1">IFERROR(__xludf.DUMMYFUNCTION("""COMPUTED_VALUE"""),"FALSE")</f>
        <v>FALSE</v>
      </c>
      <c r="AZ1243" s="9"/>
      <c r="BC1243" s="9"/>
      <c r="BF1243" s="9"/>
      <c r="BI1243" s="9"/>
    </row>
    <row r="1244" spans="18:61">
      <c r="R1244" s="6"/>
      <c r="AS1244" s="15"/>
      <c r="AT1244" s="6" t="str">
        <f ca="1">IFERROR(__xludf.DUMMYFUNCTION("""COMPUTED_VALUE"""),"#N/A")</f>
        <v>#N/A</v>
      </c>
      <c r="AU1244" s="6" t="str">
        <f ca="1">IFERROR(__xludf.DUMMYFUNCTION("""COMPUTED_VALUE"""),"FALSE")</f>
        <v>FALSE</v>
      </c>
      <c r="AZ1244" s="9"/>
      <c r="BC1244" s="9"/>
      <c r="BF1244" s="9"/>
      <c r="BI1244" s="9"/>
    </row>
    <row r="1245" spans="18:61">
      <c r="R1245" s="6"/>
      <c r="AS1245" s="15"/>
      <c r="AT1245" s="6" t="str">
        <f ca="1">IFERROR(__xludf.DUMMYFUNCTION("""COMPUTED_VALUE"""),"#N/A")</f>
        <v>#N/A</v>
      </c>
      <c r="AU1245" s="6" t="str">
        <f ca="1">IFERROR(__xludf.DUMMYFUNCTION("""COMPUTED_VALUE"""),"FALSE")</f>
        <v>FALSE</v>
      </c>
      <c r="AZ1245" s="9"/>
      <c r="BC1245" s="9"/>
      <c r="BF1245" s="9"/>
      <c r="BI1245" s="9"/>
    </row>
    <row r="1246" spans="18:61">
      <c r="R1246" s="6"/>
      <c r="AS1246" s="15"/>
      <c r="AT1246" s="6" t="str">
        <f ca="1">IFERROR(__xludf.DUMMYFUNCTION("""COMPUTED_VALUE"""),"#N/A")</f>
        <v>#N/A</v>
      </c>
      <c r="AU1246" s="6" t="str">
        <f ca="1">IFERROR(__xludf.DUMMYFUNCTION("""COMPUTED_VALUE"""),"FALSE")</f>
        <v>FALSE</v>
      </c>
      <c r="AZ1246" s="9"/>
      <c r="BC1246" s="9"/>
      <c r="BF1246" s="9"/>
      <c r="BI1246" s="9"/>
    </row>
    <row r="1247" spans="18:61">
      <c r="R1247" s="6"/>
      <c r="AS1247" s="15"/>
      <c r="AT1247" s="6" t="str">
        <f ca="1">IFERROR(__xludf.DUMMYFUNCTION("""COMPUTED_VALUE"""),"#N/A")</f>
        <v>#N/A</v>
      </c>
      <c r="AU1247" s="6" t="str">
        <f ca="1">IFERROR(__xludf.DUMMYFUNCTION("""COMPUTED_VALUE"""),"FALSE")</f>
        <v>FALSE</v>
      </c>
      <c r="AZ1247" s="9"/>
      <c r="BC1247" s="9"/>
      <c r="BF1247" s="9"/>
      <c r="BI1247" s="9"/>
    </row>
    <row r="1248" spans="18:61">
      <c r="R1248" s="6"/>
      <c r="AS1248" s="15"/>
      <c r="AT1248" s="6" t="str">
        <f ca="1">IFERROR(__xludf.DUMMYFUNCTION("""COMPUTED_VALUE"""),"#N/A")</f>
        <v>#N/A</v>
      </c>
      <c r="AU1248" s="6" t="str">
        <f ca="1">IFERROR(__xludf.DUMMYFUNCTION("""COMPUTED_VALUE"""),"FALSE")</f>
        <v>FALSE</v>
      </c>
      <c r="AZ1248" s="9"/>
      <c r="BC1248" s="9"/>
      <c r="BF1248" s="9"/>
      <c r="BI1248" s="9"/>
    </row>
    <row r="1249" spans="18:61">
      <c r="R1249" s="6"/>
      <c r="AS1249" s="15"/>
      <c r="AT1249" s="6" t="str">
        <f ca="1">IFERROR(__xludf.DUMMYFUNCTION("""COMPUTED_VALUE"""),"#N/A")</f>
        <v>#N/A</v>
      </c>
      <c r="AU1249" s="6" t="str">
        <f ca="1">IFERROR(__xludf.DUMMYFUNCTION("""COMPUTED_VALUE"""),"FALSE")</f>
        <v>FALSE</v>
      </c>
      <c r="AZ1249" s="9"/>
      <c r="BC1249" s="9"/>
      <c r="BF1249" s="9"/>
      <c r="BI1249" s="9"/>
    </row>
    <row r="1250" spans="18:61">
      <c r="R1250" s="6"/>
      <c r="AS1250" s="15"/>
      <c r="AT1250" s="6" t="str">
        <f ca="1">IFERROR(__xludf.DUMMYFUNCTION("""COMPUTED_VALUE"""),"#N/A")</f>
        <v>#N/A</v>
      </c>
      <c r="AU1250" s="6" t="str">
        <f ca="1">IFERROR(__xludf.DUMMYFUNCTION("""COMPUTED_VALUE"""),"FALSE")</f>
        <v>FALSE</v>
      </c>
      <c r="AZ1250" s="9"/>
      <c r="BC1250" s="9"/>
      <c r="BF1250" s="9"/>
      <c r="BI1250" s="9"/>
    </row>
    <row r="1251" spans="18:61">
      <c r="R1251" s="6"/>
      <c r="AS1251" s="15"/>
      <c r="AT1251" s="6" t="str">
        <f ca="1">IFERROR(__xludf.DUMMYFUNCTION("""COMPUTED_VALUE"""),"#N/A")</f>
        <v>#N/A</v>
      </c>
      <c r="AU1251" s="6" t="str">
        <f ca="1">IFERROR(__xludf.DUMMYFUNCTION("""COMPUTED_VALUE"""),"FALSE")</f>
        <v>FALSE</v>
      </c>
      <c r="AZ1251" s="9"/>
      <c r="BC1251" s="9"/>
      <c r="BF1251" s="9"/>
      <c r="BI1251" s="9"/>
    </row>
    <row r="1252" spans="18:61">
      <c r="R1252" s="6"/>
      <c r="AS1252" s="15"/>
      <c r="AT1252" s="6" t="str">
        <f ca="1">IFERROR(__xludf.DUMMYFUNCTION("""COMPUTED_VALUE"""),"#N/A")</f>
        <v>#N/A</v>
      </c>
      <c r="AU1252" s="6" t="str">
        <f ca="1">IFERROR(__xludf.DUMMYFUNCTION("""COMPUTED_VALUE"""),"FALSE")</f>
        <v>FALSE</v>
      </c>
      <c r="AZ1252" s="9"/>
      <c r="BC1252" s="9"/>
      <c r="BF1252" s="9"/>
      <c r="BI1252" s="9"/>
    </row>
    <row r="1253" spans="18:61">
      <c r="R1253" s="6"/>
      <c r="AS1253" s="15"/>
      <c r="AT1253" s="6" t="str">
        <f ca="1">IFERROR(__xludf.DUMMYFUNCTION("""COMPUTED_VALUE"""),"#N/A")</f>
        <v>#N/A</v>
      </c>
      <c r="AU1253" s="6" t="str">
        <f ca="1">IFERROR(__xludf.DUMMYFUNCTION("""COMPUTED_VALUE"""),"FALSE")</f>
        <v>FALSE</v>
      </c>
      <c r="AZ1253" s="9"/>
      <c r="BC1253" s="9"/>
      <c r="BF1253" s="9"/>
      <c r="BI1253" s="9"/>
    </row>
    <row r="1254" spans="18:61">
      <c r="R1254" s="6"/>
      <c r="AS1254" s="15"/>
      <c r="AT1254" s="6" t="str">
        <f ca="1">IFERROR(__xludf.DUMMYFUNCTION("""COMPUTED_VALUE"""),"#N/A")</f>
        <v>#N/A</v>
      </c>
      <c r="AU1254" s="6" t="str">
        <f ca="1">IFERROR(__xludf.DUMMYFUNCTION("""COMPUTED_VALUE"""),"FALSE")</f>
        <v>FALSE</v>
      </c>
      <c r="AZ1254" s="9"/>
      <c r="BC1254" s="9"/>
      <c r="BF1254" s="9"/>
      <c r="BI1254" s="9"/>
    </row>
    <row r="1255" spans="18:61">
      <c r="R1255" s="6"/>
      <c r="AS1255" s="15"/>
      <c r="AT1255" s="6" t="str">
        <f ca="1">IFERROR(__xludf.DUMMYFUNCTION("""COMPUTED_VALUE"""),"#N/A")</f>
        <v>#N/A</v>
      </c>
      <c r="AU1255" s="6" t="str">
        <f ca="1">IFERROR(__xludf.DUMMYFUNCTION("""COMPUTED_VALUE"""),"FALSE")</f>
        <v>FALSE</v>
      </c>
      <c r="AZ1255" s="9"/>
      <c r="BC1255" s="9"/>
      <c r="BF1255" s="9"/>
      <c r="BI1255" s="9"/>
    </row>
    <row r="1256" spans="18:61">
      <c r="R1256" s="6"/>
      <c r="AS1256" s="15"/>
      <c r="AT1256" s="6" t="str">
        <f ca="1">IFERROR(__xludf.DUMMYFUNCTION("""COMPUTED_VALUE"""),"#N/A")</f>
        <v>#N/A</v>
      </c>
      <c r="AU1256" s="6" t="str">
        <f ca="1">IFERROR(__xludf.DUMMYFUNCTION("""COMPUTED_VALUE"""),"FALSE")</f>
        <v>FALSE</v>
      </c>
      <c r="AZ1256" s="9"/>
      <c r="BC1256" s="9"/>
      <c r="BF1256" s="9"/>
      <c r="BI1256" s="9"/>
    </row>
    <row r="1257" spans="18:61">
      <c r="R1257" s="6"/>
      <c r="AS1257" s="15"/>
      <c r="AT1257" s="6" t="str">
        <f ca="1">IFERROR(__xludf.DUMMYFUNCTION("""COMPUTED_VALUE"""),"#N/A")</f>
        <v>#N/A</v>
      </c>
      <c r="AU1257" s="6" t="str">
        <f ca="1">IFERROR(__xludf.DUMMYFUNCTION("""COMPUTED_VALUE"""),"FALSE")</f>
        <v>FALSE</v>
      </c>
      <c r="AZ1257" s="9"/>
      <c r="BC1257" s="9"/>
      <c r="BF1257" s="9"/>
      <c r="BI1257" s="9"/>
    </row>
    <row r="1258" spans="18:61">
      <c r="R1258" s="6"/>
      <c r="AS1258" s="15"/>
      <c r="AT1258" s="6" t="str">
        <f ca="1">IFERROR(__xludf.DUMMYFUNCTION("""COMPUTED_VALUE"""),"#N/A")</f>
        <v>#N/A</v>
      </c>
      <c r="AU1258" s="6" t="str">
        <f ca="1">IFERROR(__xludf.DUMMYFUNCTION("""COMPUTED_VALUE"""),"FALSE")</f>
        <v>FALSE</v>
      </c>
      <c r="AZ1258" s="9"/>
      <c r="BC1258" s="9"/>
      <c r="BF1258" s="9"/>
      <c r="BI1258" s="9"/>
    </row>
    <row r="1259" spans="18:61">
      <c r="R1259" s="6"/>
      <c r="AS1259" s="15"/>
      <c r="AT1259" s="6" t="str">
        <f ca="1">IFERROR(__xludf.DUMMYFUNCTION("""COMPUTED_VALUE"""),"#N/A")</f>
        <v>#N/A</v>
      </c>
      <c r="AU1259" s="6" t="str">
        <f ca="1">IFERROR(__xludf.DUMMYFUNCTION("""COMPUTED_VALUE"""),"FALSE")</f>
        <v>FALSE</v>
      </c>
      <c r="AZ1259" s="9"/>
      <c r="BC1259" s="9"/>
      <c r="BF1259" s="9"/>
      <c r="BI1259" s="9"/>
    </row>
    <row r="1260" spans="18:61">
      <c r="R1260" s="6"/>
      <c r="AS1260" s="15"/>
      <c r="AT1260" s="6" t="str">
        <f ca="1">IFERROR(__xludf.DUMMYFUNCTION("""COMPUTED_VALUE"""),"#N/A")</f>
        <v>#N/A</v>
      </c>
      <c r="AU1260" s="6" t="str">
        <f ca="1">IFERROR(__xludf.DUMMYFUNCTION("""COMPUTED_VALUE"""),"FALSE")</f>
        <v>FALSE</v>
      </c>
      <c r="AZ1260" s="9"/>
      <c r="BC1260" s="9"/>
      <c r="BF1260" s="9"/>
      <c r="BI1260" s="9"/>
    </row>
    <row r="1261" spans="18:61">
      <c r="R1261" s="6"/>
      <c r="AS1261" s="15"/>
      <c r="AT1261" s="6" t="str">
        <f ca="1">IFERROR(__xludf.DUMMYFUNCTION("""COMPUTED_VALUE"""),"#N/A")</f>
        <v>#N/A</v>
      </c>
      <c r="AU1261" s="6" t="str">
        <f ca="1">IFERROR(__xludf.DUMMYFUNCTION("""COMPUTED_VALUE"""),"FALSE")</f>
        <v>FALSE</v>
      </c>
      <c r="AZ1261" s="9"/>
      <c r="BC1261" s="9"/>
      <c r="BF1261" s="9"/>
      <c r="BI1261" s="9"/>
    </row>
    <row r="1262" spans="18:61">
      <c r="R1262" s="6"/>
      <c r="AS1262" s="15"/>
      <c r="AT1262" s="6" t="str">
        <f ca="1">IFERROR(__xludf.DUMMYFUNCTION("""COMPUTED_VALUE"""),"#N/A")</f>
        <v>#N/A</v>
      </c>
      <c r="AU1262" s="6" t="str">
        <f ca="1">IFERROR(__xludf.DUMMYFUNCTION("""COMPUTED_VALUE"""),"FALSE")</f>
        <v>FALSE</v>
      </c>
      <c r="AZ1262" s="9"/>
      <c r="BC1262" s="9"/>
      <c r="BF1262" s="9"/>
      <c r="BI1262" s="9"/>
    </row>
    <row r="1263" spans="18:61">
      <c r="R1263" s="6"/>
      <c r="AS1263" s="15"/>
      <c r="AT1263" s="6" t="str">
        <f ca="1">IFERROR(__xludf.DUMMYFUNCTION("""COMPUTED_VALUE"""),"#N/A")</f>
        <v>#N/A</v>
      </c>
      <c r="AU1263" s="6" t="str">
        <f ca="1">IFERROR(__xludf.DUMMYFUNCTION("""COMPUTED_VALUE"""),"FALSE")</f>
        <v>FALSE</v>
      </c>
      <c r="AZ1263" s="9"/>
      <c r="BC1263" s="9"/>
      <c r="BF1263" s="9"/>
      <c r="BI1263" s="9"/>
    </row>
    <row r="1264" spans="18:61">
      <c r="R1264" s="6"/>
      <c r="AS1264" s="15"/>
      <c r="AT1264" s="6" t="str">
        <f ca="1">IFERROR(__xludf.DUMMYFUNCTION("""COMPUTED_VALUE"""),"#N/A")</f>
        <v>#N/A</v>
      </c>
      <c r="AU1264" s="6" t="str">
        <f ca="1">IFERROR(__xludf.DUMMYFUNCTION("""COMPUTED_VALUE"""),"FALSE")</f>
        <v>FALSE</v>
      </c>
      <c r="AZ1264" s="9"/>
      <c r="BC1264" s="9"/>
      <c r="BF1264" s="9"/>
      <c r="BI1264" s="9"/>
    </row>
    <row r="1265" spans="18:61">
      <c r="R1265" s="6"/>
      <c r="AS1265" s="15"/>
      <c r="AT1265" s="6" t="str">
        <f ca="1">IFERROR(__xludf.DUMMYFUNCTION("""COMPUTED_VALUE"""),"#N/A")</f>
        <v>#N/A</v>
      </c>
      <c r="AU1265" s="6" t="str">
        <f ca="1">IFERROR(__xludf.DUMMYFUNCTION("""COMPUTED_VALUE"""),"FALSE")</f>
        <v>FALSE</v>
      </c>
      <c r="AZ1265" s="9"/>
      <c r="BC1265" s="9"/>
      <c r="BF1265" s="9"/>
      <c r="BI1265" s="9"/>
    </row>
    <row r="1266" spans="18:61">
      <c r="R1266" s="6"/>
      <c r="AS1266" s="15"/>
      <c r="AT1266" s="6" t="str">
        <f ca="1">IFERROR(__xludf.DUMMYFUNCTION("""COMPUTED_VALUE"""),"#N/A")</f>
        <v>#N/A</v>
      </c>
      <c r="AU1266" s="6" t="str">
        <f ca="1">IFERROR(__xludf.DUMMYFUNCTION("""COMPUTED_VALUE"""),"FALSE")</f>
        <v>FALSE</v>
      </c>
      <c r="AZ1266" s="9"/>
      <c r="BC1266" s="9"/>
      <c r="BF1266" s="9"/>
      <c r="BI1266" s="9"/>
    </row>
    <row r="1267" spans="18:61">
      <c r="R1267" s="6"/>
      <c r="AS1267" s="15"/>
      <c r="AT1267" s="6" t="str">
        <f ca="1">IFERROR(__xludf.DUMMYFUNCTION("""COMPUTED_VALUE"""),"#N/A")</f>
        <v>#N/A</v>
      </c>
      <c r="AU1267" s="6" t="str">
        <f ca="1">IFERROR(__xludf.DUMMYFUNCTION("""COMPUTED_VALUE"""),"FALSE")</f>
        <v>FALSE</v>
      </c>
      <c r="AZ1267" s="9"/>
      <c r="BC1267" s="9"/>
      <c r="BF1267" s="9"/>
      <c r="BI1267" s="9"/>
    </row>
    <row r="1268" spans="18:61">
      <c r="R1268" s="6"/>
      <c r="AS1268" s="15"/>
      <c r="AT1268" s="6" t="str">
        <f ca="1">IFERROR(__xludf.DUMMYFUNCTION("""COMPUTED_VALUE"""),"#N/A")</f>
        <v>#N/A</v>
      </c>
      <c r="AU1268" s="6" t="str">
        <f ca="1">IFERROR(__xludf.DUMMYFUNCTION("""COMPUTED_VALUE"""),"FALSE")</f>
        <v>FALSE</v>
      </c>
      <c r="AZ1268" s="9"/>
      <c r="BC1268" s="9"/>
      <c r="BF1268" s="9"/>
      <c r="BI1268" s="9"/>
    </row>
    <row r="1269" spans="18:61">
      <c r="R1269" s="6"/>
      <c r="AS1269" s="15"/>
      <c r="AT1269" s="6" t="str">
        <f ca="1">IFERROR(__xludf.DUMMYFUNCTION("""COMPUTED_VALUE"""),"#N/A")</f>
        <v>#N/A</v>
      </c>
      <c r="AU1269" s="6" t="str">
        <f ca="1">IFERROR(__xludf.DUMMYFUNCTION("""COMPUTED_VALUE"""),"FALSE")</f>
        <v>FALSE</v>
      </c>
      <c r="AZ1269" s="9"/>
      <c r="BC1269" s="9"/>
      <c r="BF1269" s="9"/>
      <c r="BI1269" s="9"/>
    </row>
    <row r="1270" spans="18:61">
      <c r="R1270" s="6"/>
      <c r="AS1270" s="15"/>
      <c r="AT1270" s="6" t="str">
        <f ca="1">IFERROR(__xludf.DUMMYFUNCTION("""COMPUTED_VALUE"""),"#N/A")</f>
        <v>#N/A</v>
      </c>
      <c r="AU1270" s="6" t="str">
        <f ca="1">IFERROR(__xludf.DUMMYFUNCTION("""COMPUTED_VALUE"""),"FALSE")</f>
        <v>FALSE</v>
      </c>
      <c r="AZ1270" s="9"/>
      <c r="BC1270" s="9"/>
      <c r="BF1270" s="9"/>
      <c r="BI1270" s="9"/>
    </row>
    <row r="1271" spans="18:61">
      <c r="R1271" s="6"/>
      <c r="AS1271" s="15"/>
      <c r="AT1271" s="6" t="str">
        <f ca="1">IFERROR(__xludf.DUMMYFUNCTION("""COMPUTED_VALUE"""),"#N/A")</f>
        <v>#N/A</v>
      </c>
      <c r="AU1271" s="6" t="str">
        <f ca="1">IFERROR(__xludf.DUMMYFUNCTION("""COMPUTED_VALUE"""),"FALSE")</f>
        <v>FALSE</v>
      </c>
      <c r="AZ1271" s="9"/>
      <c r="BC1271" s="9"/>
      <c r="BF1271" s="9"/>
      <c r="BI1271" s="9"/>
    </row>
    <row r="1272" spans="18:61">
      <c r="R1272" s="6"/>
      <c r="AS1272" s="15"/>
      <c r="AT1272" s="6" t="str">
        <f ca="1">IFERROR(__xludf.DUMMYFUNCTION("""COMPUTED_VALUE"""),"#N/A")</f>
        <v>#N/A</v>
      </c>
      <c r="AU1272" s="6" t="str">
        <f ca="1">IFERROR(__xludf.DUMMYFUNCTION("""COMPUTED_VALUE"""),"FALSE")</f>
        <v>FALSE</v>
      </c>
      <c r="AZ1272" s="9"/>
      <c r="BC1272" s="9"/>
      <c r="BF1272" s="9"/>
      <c r="BI1272" s="9"/>
    </row>
    <row r="1273" spans="18:61">
      <c r="R1273" s="6"/>
      <c r="AS1273" s="15"/>
      <c r="AT1273" s="6" t="str">
        <f ca="1">IFERROR(__xludf.DUMMYFUNCTION("""COMPUTED_VALUE"""),"#N/A")</f>
        <v>#N/A</v>
      </c>
      <c r="AU1273" s="6" t="str">
        <f ca="1">IFERROR(__xludf.DUMMYFUNCTION("""COMPUTED_VALUE"""),"FALSE")</f>
        <v>FALSE</v>
      </c>
      <c r="AZ1273" s="9"/>
      <c r="BC1273" s="9"/>
      <c r="BF1273" s="9"/>
      <c r="BI1273" s="9"/>
    </row>
    <row r="1274" spans="18:61">
      <c r="R1274" s="6"/>
      <c r="AS1274" s="15"/>
      <c r="AT1274" s="6" t="str">
        <f ca="1">IFERROR(__xludf.DUMMYFUNCTION("""COMPUTED_VALUE"""),"#N/A")</f>
        <v>#N/A</v>
      </c>
      <c r="AU1274" s="6" t="str">
        <f ca="1">IFERROR(__xludf.DUMMYFUNCTION("""COMPUTED_VALUE"""),"FALSE")</f>
        <v>FALSE</v>
      </c>
      <c r="AZ1274" s="9"/>
      <c r="BC1274" s="9"/>
      <c r="BF1274" s="9"/>
      <c r="BI1274" s="9"/>
    </row>
    <row r="1275" spans="18:61">
      <c r="R1275" s="6"/>
      <c r="AS1275" s="15"/>
      <c r="AT1275" s="6" t="str">
        <f ca="1">IFERROR(__xludf.DUMMYFUNCTION("""COMPUTED_VALUE"""),"#N/A")</f>
        <v>#N/A</v>
      </c>
      <c r="AU1275" s="6" t="str">
        <f ca="1">IFERROR(__xludf.DUMMYFUNCTION("""COMPUTED_VALUE"""),"FALSE")</f>
        <v>FALSE</v>
      </c>
      <c r="AZ1275" s="9"/>
      <c r="BC1275" s="9"/>
      <c r="BF1275" s="9"/>
      <c r="BI1275" s="9"/>
    </row>
    <row r="1276" spans="18:61">
      <c r="R1276" s="6"/>
      <c r="AS1276" s="15"/>
      <c r="AT1276" s="6" t="str">
        <f ca="1">IFERROR(__xludf.DUMMYFUNCTION("""COMPUTED_VALUE"""),"#N/A")</f>
        <v>#N/A</v>
      </c>
      <c r="AU1276" s="6" t="str">
        <f ca="1">IFERROR(__xludf.DUMMYFUNCTION("""COMPUTED_VALUE"""),"FALSE")</f>
        <v>FALSE</v>
      </c>
      <c r="AZ1276" s="9"/>
      <c r="BC1276" s="9"/>
      <c r="BF1276" s="9"/>
      <c r="BI1276" s="9"/>
    </row>
    <row r="1277" spans="18:61">
      <c r="R1277" s="6"/>
      <c r="AS1277" s="15"/>
      <c r="AT1277" s="6" t="str">
        <f ca="1">IFERROR(__xludf.DUMMYFUNCTION("""COMPUTED_VALUE"""),"#N/A")</f>
        <v>#N/A</v>
      </c>
      <c r="AU1277" s="6" t="str">
        <f ca="1">IFERROR(__xludf.DUMMYFUNCTION("""COMPUTED_VALUE"""),"FALSE")</f>
        <v>FALSE</v>
      </c>
      <c r="AZ1277" s="9"/>
      <c r="BC1277" s="9"/>
      <c r="BF1277" s="9"/>
      <c r="BI1277" s="9"/>
    </row>
    <row r="1278" spans="18:61">
      <c r="R1278" s="6"/>
      <c r="AS1278" s="15"/>
      <c r="AT1278" s="6" t="str">
        <f ca="1">IFERROR(__xludf.DUMMYFUNCTION("""COMPUTED_VALUE"""),"#N/A")</f>
        <v>#N/A</v>
      </c>
      <c r="AU1278" s="6" t="str">
        <f ca="1">IFERROR(__xludf.DUMMYFUNCTION("""COMPUTED_VALUE"""),"FALSE")</f>
        <v>FALSE</v>
      </c>
      <c r="AZ1278" s="9"/>
      <c r="BC1278" s="9"/>
      <c r="BF1278" s="9"/>
      <c r="BI1278" s="9"/>
    </row>
    <row r="1279" spans="18:61">
      <c r="R1279" s="6"/>
      <c r="AS1279" s="15"/>
      <c r="AT1279" s="6" t="str">
        <f ca="1">IFERROR(__xludf.DUMMYFUNCTION("""COMPUTED_VALUE"""),"#N/A")</f>
        <v>#N/A</v>
      </c>
      <c r="AU1279" s="6" t="str">
        <f ca="1">IFERROR(__xludf.DUMMYFUNCTION("""COMPUTED_VALUE"""),"FALSE")</f>
        <v>FALSE</v>
      </c>
      <c r="AZ1279" s="9"/>
      <c r="BC1279" s="9"/>
      <c r="BF1279" s="9"/>
      <c r="BI1279" s="9"/>
    </row>
    <row r="1280" spans="18:61">
      <c r="R1280" s="6"/>
      <c r="AS1280" s="15"/>
      <c r="AT1280" s="6" t="str">
        <f ca="1">IFERROR(__xludf.DUMMYFUNCTION("""COMPUTED_VALUE"""),"#N/A")</f>
        <v>#N/A</v>
      </c>
      <c r="AU1280" s="6" t="str">
        <f ca="1">IFERROR(__xludf.DUMMYFUNCTION("""COMPUTED_VALUE"""),"FALSE")</f>
        <v>FALSE</v>
      </c>
      <c r="AZ1280" s="9"/>
      <c r="BC1280" s="9"/>
      <c r="BF1280" s="9"/>
      <c r="BI1280" s="9"/>
    </row>
    <row r="1281" spans="18:61">
      <c r="R1281" s="6"/>
      <c r="AS1281" s="15"/>
      <c r="AT1281" s="6" t="str">
        <f ca="1">IFERROR(__xludf.DUMMYFUNCTION("""COMPUTED_VALUE"""),"#N/A")</f>
        <v>#N/A</v>
      </c>
      <c r="AU1281" s="6" t="str">
        <f ca="1">IFERROR(__xludf.DUMMYFUNCTION("""COMPUTED_VALUE"""),"FALSE")</f>
        <v>FALSE</v>
      </c>
      <c r="AZ1281" s="9"/>
      <c r="BC1281" s="9"/>
      <c r="BF1281" s="9"/>
      <c r="BI1281" s="9"/>
    </row>
    <row r="1282" spans="18:61">
      <c r="R1282" s="6"/>
      <c r="AS1282" s="15"/>
      <c r="AT1282" s="6" t="str">
        <f ca="1">IFERROR(__xludf.DUMMYFUNCTION("""COMPUTED_VALUE"""),"#N/A")</f>
        <v>#N/A</v>
      </c>
      <c r="AU1282" s="6" t="str">
        <f ca="1">IFERROR(__xludf.DUMMYFUNCTION("""COMPUTED_VALUE"""),"FALSE")</f>
        <v>FALSE</v>
      </c>
      <c r="AZ1282" s="9"/>
      <c r="BC1282" s="9"/>
      <c r="BF1282" s="9"/>
      <c r="BI1282" s="9"/>
    </row>
    <row r="1283" spans="18:61">
      <c r="R1283" s="6"/>
      <c r="AS1283" s="15"/>
      <c r="AT1283" s="6" t="str">
        <f ca="1">IFERROR(__xludf.DUMMYFUNCTION("""COMPUTED_VALUE"""),"#N/A")</f>
        <v>#N/A</v>
      </c>
      <c r="AU1283" s="6" t="str">
        <f ca="1">IFERROR(__xludf.DUMMYFUNCTION("""COMPUTED_VALUE"""),"FALSE")</f>
        <v>FALSE</v>
      </c>
      <c r="AZ1283" s="9"/>
      <c r="BC1283" s="9"/>
      <c r="BF1283" s="9"/>
      <c r="BI1283" s="9"/>
    </row>
    <row r="1284" spans="18:61">
      <c r="R1284" s="6"/>
      <c r="AS1284" s="15"/>
      <c r="AT1284" s="6" t="str">
        <f ca="1">IFERROR(__xludf.DUMMYFUNCTION("""COMPUTED_VALUE"""),"#N/A")</f>
        <v>#N/A</v>
      </c>
      <c r="AU1284" s="6" t="str">
        <f ca="1">IFERROR(__xludf.DUMMYFUNCTION("""COMPUTED_VALUE"""),"FALSE")</f>
        <v>FALSE</v>
      </c>
      <c r="AZ1284" s="9"/>
      <c r="BC1284" s="9"/>
      <c r="BF1284" s="9"/>
      <c r="BI1284" s="9"/>
    </row>
    <row r="1285" spans="18:61">
      <c r="R1285" s="6"/>
      <c r="AS1285" s="15"/>
      <c r="AT1285" s="6" t="str">
        <f ca="1">IFERROR(__xludf.DUMMYFUNCTION("""COMPUTED_VALUE"""),"#N/A")</f>
        <v>#N/A</v>
      </c>
      <c r="AU1285" s="6" t="str">
        <f ca="1">IFERROR(__xludf.DUMMYFUNCTION("""COMPUTED_VALUE"""),"FALSE")</f>
        <v>FALSE</v>
      </c>
      <c r="AZ1285" s="9"/>
      <c r="BC1285" s="9"/>
      <c r="BF1285" s="9"/>
      <c r="BI1285" s="9"/>
    </row>
    <row r="1286" spans="18:61">
      <c r="R1286" s="6"/>
      <c r="AS1286" s="15"/>
      <c r="AT1286" s="6" t="str">
        <f ca="1">IFERROR(__xludf.DUMMYFUNCTION("""COMPUTED_VALUE"""),"#N/A")</f>
        <v>#N/A</v>
      </c>
      <c r="AU1286" s="6" t="str">
        <f ca="1">IFERROR(__xludf.DUMMYFUNCTION("""COMPUTED_VALUE"""),"FALSE")</f>
        <v>FALSE</v>
      </c>
      <c r="AZ1286" s="9"/>
      <c r="BC1286" s="9"/>
      <c r="BF1286" s="9"/>
      <c r="BI1286" s="9"/>
    </row>
    <row r="1287" spans="18:61">
      <c r="R1287" s="6"/>
      <c r="AS1287" s="15"/>
      <c r="AT1287" s="6" t="str">
        <f ca="1">IFERROR(__xludf.DUMMYFUNCTION("""COMPUTED_VALUE"""),"#N/A")</f>
        <v>#N/A</v>
      </c>
      <c r="AU1287" s="6" t="str">
        <f ca="1">IFERROR(__xludf.DUMMYFUNCTION("""COMPUTED_VALUE"""),"FALSE")</f>
        <v>FALSE</v>
      </c>
      <c r="AZ1287" s="9"/>
      <c r="BC1287" s="9"/>
      <c r="BF1287" s="9"/>
      <c r="BI1287" s="9"/>
    </row>
    <row r="1288" spans="18:61">
      <c r="R1288" s="6"/>
      <c r="AS1288" s="15"/>
      <c r="AT1288" s="6" t="str">
        <f ca="1">IFERROR(__xludf.DUMMYFUNCTION("""COMPUTED_VALUE"""),"#N/A")</f>
        <v>#N/A</v>
      </c>
      <c r="AU1288" s="6" t="str">
        <f ca="1">IFERROR(__xludf.DUMMYFUNCTION("""COMPUTED_VALUE"""),"FALSE")</f>
        <v>FALSE</v>
      </c>
      <c r="AZ1288" s="9"/>
      <c r="BC1288" s="9"/>
      <c r="BF1288" s="9"/>
      <c r="BI1288" s="9"/>
    </row>
    <row r="1289" spans="18:61">
      <c r="R1289" s="6"/>
      <c r="AS1289" s="15"/>
      <c r="AT1289" s="6" t="str">
        <f ca="1">IFERROR(__xludf.DUMMYFUNCTION("""COMPUTED_VALUE"""),"#N/A")</f>
        <v>#N/A</v>
      </c>
      <c r="AU1289" s="6" t="str">
        <f ca="1">IFERROR(__xludf.DUMMYFUNCTION("""COMPUTED_VALUE"""),"FALSE")</f>
        <v>FALSE</v>
      </c>
      <c r="AZ1289" s="9"/>
      <c r="BC1289" s="9"/>
      <c r="BF1289" s="9"/>
      <c r="BI1289" s="9"/>
    </row>
    <row r="1290" spans="18:61">
      <c r="R1290" s="6"/>
      <c r="AS1290" s="15"/>
      <c r="AT1290" s="6" t="str">
        <f ca="1">IFERROR(__xludf.DUMMYFUNCTION("""COMPUTED_VALUE"""),"#N/A")</f>
        <v>#N/A</v>
      </c>
      <c r="AU1290" s="6" t="str">
        <f ca="1">IFERROR(__xludf.DUMMYFUNCTION("""COMPUTED_VALUE"""),"FALSE")</f>
        <v>FALSE</v>
      </c>
      <c r="AZ1290" s="9"/>
      <c r="BC1290" s="9"/>
      <c r="BF1290" s="9"/>
      <c r="BI1290" s="9"/>
    </row>
    <row r="1291" spans="18:61">
      <c r="R1291" s="6"/>
      <c r="AS1291" s="15"/>
      <c r="AT1291" s="6" t="str">
        <f ca="1">IFERROR(__xludf.DUMMYFUNCTION("""COMPUTED_VALUE"""),"#N/A")</f>
        <v>#N/A</v>
      </c>
      <c r="AU1291" s="6" t="str">
        <f ca="1">IFERROR(__xludf.DUMMYFUNCTION("""COMPUTED_VALUE"""),"FALSE")</f>
        <v>FALSE</v>
      </c>
      <c r="AZ1291" s="9"/>
      <c r="BC1291" s="9"/>
      <c r="BF1291" s="9"/>
      <c r="BI1291" s="9"/>
    </row>
    <row r="1292" spans="18:61">
      <c r="R1292" s="6"/>
      <c r="AS1292" s="15"/>
      <c r="AT1292" s="6" t="str">
        <f ca="1">IFERROR(__xludf.DUMMYFUNCTION("""COMPUTED_VALUE"""),"#N/A")</f>
        <v>#N/A</v>
      </c>
      <c r="AU1292" s="6" t="str">
        <f ca="1">IFERROR(__xludf.DUMMYFUNCTION("""COMPUTED_VALUE"""),"FALSE")</f>
        <v>FALSE</v>
      </c>
      <c r="AZ1292" s="9"/>
      <c r="BC1292" s="9"/>
      <c r="BF1292" s="9"/>
      <c r="BI1292" s="9"/>
    </row>
    <row r="1293" spans="18:61">
      <c r="R1293" s="6"/>
      <c r="AS1293" s="15"/>
      <c r="AT1293" s="6" t="str">
        <f ca="1">IFERROR(__xludf.DUMMYFUNCTION("""COMPUTED_VALUE"""),"#N/A")</f>
        <v>#N/A</v>
      </c>
      <c r="AU1293" s="6" t="str">
        <f ca="1">IFERROR(__xludf.DUMMYFUNCTION("""COMPUTED_VALUE"""),"FALSE")</f>
        <v>FALSE</v>
      </c>
      <c r="AZ1293" s="9"/>
      <c r="BC1293" s="9"/>
      <c r="BF1293" s="9"/>
      <c r="BI1293" s="9"/>
    </row>
    <row r="1294" spans="18:61">
      <c r="R1294" s="6"/>
      <c r="AS1294" s="15"/>
      <c r="AT1294" s="6" t="str">
        <f ca="1">IFERROR(__xludf.DUMMYFUNCTION("""COMPUTED_VALUE"""),"#N/A")</f>
        <v>#N/A</v>
      </c>
      <c r="AU1294" s="6" t="str">
        <f ca="1">IFERROR(__xludf.DUMMYFUNCTION("""COMPUTED_VALUE"""),"FALSE")</f>
        <v>FALSE</v>
      </c>
      <c r="AZ1294" s="9"/>
      <c r="BC1294" s="9"/>
      <c r="BF1294" s="9"/>
      <c r="BI1294" s="9"/>
    </row>
    <row r="1295" spans="18:61">
      <c r="R1295" s="6"/>
      <c r="AS1295" s="15"/>
      <c r="AT1295" s="6" t="str">
        <f ca="1">IFERROR(__xludf.DUMMYFUNCTION("""COMPUTED_VALUE"""),"#N/A")</f>
        <v>#N/A</v>
      </c>
      <c r="AU1295" s="6" t="str">
        <f ca="1">IFERROR(__xludf.DUMMYFUNCTION("""COMPUTED_VALUE"""),"FALSE")</f>
        <v>FALSE</v>
      </c>
      <c r="AZ1295" s="9"/>
      <c r="BC1295" s="9"/>
      <c r="BF1295" s="9"/>
      <c r="BI1295" s="9"/>
    </row>
    <row r="1296" spans="18:61">
      <c r="R1296" s="6"/>
      <c r="AS1296" s="15"/>
      <c r="AT1296" s="6" t="str">
        <f ca="1">IFERROR(__xludf.DUMMYFUNCTION("""COMPUTED_VALUE"""),"#N/A")</f>
        <v>#N/A</v>
      </c>
      <c r="AU1296" s="6" t="str">
        <f ca="1">IFERROR(__xludf.DUMMYFUNCTION("""COMPUTED_VALUE"""),"FALSE")</f>
        <v>FALSE</v>
      </c>
      <c r="AZ1296" s="9"/>
      <c r="BC1296" s="9"/>
      <c r="BF1296" s="9"/>
      <c r="BI1296" s="9"/>
    </row>
    <row r="1297" spans="18:61">
      <c r="R1297" s="6"/>
      <c r="AS1297" s="15"/>
      <c r="AT1297" s="6" t="str">
        <f ca="1">IFERROR(__xludf.DUMMYFUNCTION("""COMPUTED_VALUE"""),"#N/A")</f>
        <v>#N/A</v>
      </c>
      <c r="AU1297" s="6" t="str">
        <f ca="1">IFERROR(__xludf.DUMMYFUNCTION("""COMPUTED_VALUE"""),"FALSE")</f>
        <v>FALSE</v>
      </c>
      <c r="AZ1297" s="9"/>
      <c r="BC1297" s="9"/>
      <c r="BF1297" s="9"/>
      <c r="BI1297" s="9"/>
    </row>
    <row r="1298" spans="18:61">
      <c r="R1298" s="6"/>
      <c r="AS1298" s="15"/>
      <c r="AT1298" s="6" t="str">
        <f ca="1">IFERROR(__xludf.DUMMYFUNCTION("""COMPUTED_VALUE"""),"#N/A")</f>
        <v>#N/A</v>
      </c>
      <c r="AU1298" s="6" t="str">
        <f ca="1">IFERROR(__xludf.DUMMYFUNCTION("""COMPUTED_VALUE"""),"FALSE")</f>
        <v>FALSE</v>
      </c>
      <c r="AZ1298" s="9"/>
      <c r="BC1298" s="9"/>
      <c r="BF1298" s="9"/>
      <c r="BI1298" s="9"/>
    </row>
    <row r="1299" spans="18:61">
      <c r="R1299" s="6"/>
      <c r="AS1299" s="15"/>
      <c r="AT1299" s="6" t="str">
        <f ca="1">IFERROR(__xludf.DUMMYFUNCTION("""COMPUTED_VALUE"""),"#N/A")</f>
        <v>#N/A</v>
      </c>
      <c r="AU1299" s="6" t="str">
        <f ca="1">IFERROR(__xludf.DUMMYFUNCTION("""COMPUTED_VALUE"""),"FALSE")</f>
        <v>FALSE</v>
      </c>
      <c r="AZ1299" s="9"/>
      <c r="BC1299" s="9"/>
      <c r="BF1299" s="9"/>
      <c r="BI1299" s="9"/>
    </row>
    <row r="1300" spans="18:61">
      <c r="R1300" s="6"/>
      <c r="AS1300" s="15"/>
      <c r="AT1300" s="6" t="str">
        <f ca="1">IFERROR(__xludf.DUMMYFUNCTION("""COMPUTED_VALUE"""),"#N/A")</f>
        <v>#N/A</v>
      </c>
      <c r="AU1300" s="6" t="str">
        <f ca="1">IFERROR(__xludf.DUMMYFUNCTION("""COMPUTED_VALUE"""),"FALSE")</f>
        <v>FALSE</v>
      </c>
      <c r="AZ1300" s="9"/>
      <c r="BC1300" s="9"/>
      <c r="BF1300" s="9"/>
      <c r="BI1300" s="9"/>
    </row>
    <row r="1301" spans="18:61">
      <c r="R1301" s="6"/>
      <c r="AS1301" s="15"/>
      <c r="AT1301" s="6" t="str">
        <f ca="1">IFERROR(__xludf.DUMMYFUNCTION("""COMPUTED_VALUE"""),"#N/A")</f>
        <v>#N/A</v>
      </c>
      <c r="AU1301" s="6" t="str">
        <f ca="1">IFERROR(__xludf.DUMMYFUNCTION("""COMPUTED_VALUE"""),"FALSE")</f>
        <v>FALSE</v>
      </c>
      <c r="AZ1301" s="9"/>
      <c r="BC1301" s="9"/>
      <c r="BF1301" s="9"/>
      <c r="BI1301" s="9"/>
    </row>
    <row r="1302" spans="18:61">
      <c r="R1302" s="6"/>
      <c r="AS1302" s="15"/>
      <c r="AT1302" s="6" t="str">
        <f ca="1">IFERROR(__xludf.DUMMYFUNCTION("""COMPUTED_VALUE"""),"#N/A")</f>
        <v>#N/A</v>
      </c>
      <c r="AU1302" s="6" t="str">
        <f ca="1">IFERROR(__xludf.DUMMYFUNCTION("""COMPUTED_VALUE"""),"FALSE")</f>
        <v>FALSE</v>
      </c>
      <c r="AZ1302" s="9"/>
      <c r="BC1302" s="9"/>
      <c r="BF1302" s="9"/>
      <c r="BI1302" s="9"/>
    </row>
    <row r="1303" spans="18:61">
      <c r="R1303" s="6"/>
      <c r="AS1303" s="15"/>
      <c r="AT1303" s="6" t="str">
        <f ca="1">IFERROR(__xludf.DUMMYFUNCTION("""COMPUTED_VALUE"""),"#N/A")</f>
        <v>#N/A</v>
      </c>
      <c r="AU1303" s="6" t="str">
        <f ca="1">IFERROR(__xludf.DUMMYFUNCTION("""COMPUTED_VALUE"""),"FALSE")</f>
        <v>FALSE</v>
      </c>
      <c r="AZ1303" s="9"/>
      <c r="BC1303" s="9"/>
      <c r="BF1303" s="9"/>
      <c r="BI1303" s="9"/>
    </row>
    <row r="1304" spans="18:61">
      <c r="R1304" s="6"/>
      <c r="AS1304" s="15"/>
      <c r="AT1304" s="6" t="str">
        <f ca="1">IFERROR(__xludf.DUMMYFUNCTION("""COMPUTED_VALUE"""),"#N/A")</f>
        <v>#N/A</v>
      </c>
      <c r="AU1304" s="6" t="str">
        <f ca="1">IFERROR(__xludf.DUMMYFUNCTION("""COMPUTED_VALUE"""),"FALSE")</f>
        <v>FALSE</v>
      </c>
      <c r="AZ1304" s="9"/>
      <c r="BC1304" s="9"/>
      <c r="BF1304" s="9"/>
      <c r="BI1304" s="9"/>
    </row>
    <row r="1305" spans="18:61">
      <c r="R1305" s="6"/>
      <c r="AS1305" s="15"/>
      <c r="AT1305" s="6" t="str">
        <f ca="1">IFERROR(__xludf.DUMMYFUNCTION("""COMPUTED_VALUE"""),"#N/A")</f>
        <v>#N/A</v>
      </c>
      <c r="AU1305" s="6" t="str">
        <f ca="1">IFERROR(__xludf.DUMMYFUNCTION("""COMPUTED_VALUE"""),"FALSE")</f>
        <v>FALSE</v>
      </c>
      <c r="AZ1305" s="9"/>
      <c r="BC1305" s="9"/>
      <c r="BF1305" s="9"/>
      <c r="BI1305" s="9"/>
    </row>
    <row r="1306" spans="18:61">
      <c r="R1306" s="6"/>
      <c r="AS1306" s="15"/>
      <c r="AT1306" s="6" t="str">
        <f ca="1">IFERROR(__xludf.DUMMYFUNCTION("""COMPUTED_VALUE"""),"#N/A")</f>
        <v>#N/A</v>
      </c>
      <c r="AU1306" s="6" t="str">
        <f ca="1">IFERROR(__xludf.DUMMYFUNCTION("""COMPUTED_VALUE"""),"FALSE")</f>
        <v>FALSE</v>
      </c>
      <c r="AZ1306" s="9"/>
      <c r="BC1306" s="9"/>
      <c r="BF1306" s="9"/>
      <c r="BI1306" s="9"/>
    </row>
    <row r="1307" spans="18:61">
      <c r="R1307" s="6"/>
      <c r="AS1307" s="15"/>
      <c r="AT1307" s="6" t="str">
        <f ca="1">IFERROR(__xludf.DUMMYFUNCTION("""COMPUTED_VALUE"""),"#N/A")</f>
        <v>#N/A</v>
      </c>
      <c r="AU1307" s="6" t="str">
        <f ca="1">IFERROR(__xludf.DUMMYFUNCTION("""COMPUTED_VALUE"""),"FALSE")</f>
        <v>FALSE</v>
      </c>
      <c r="AZ1307" s="9"/>
      <c r="BC1307" s="9"/>
      <c r="BF1307" s="9"/>
      <c r="BI1307" s="9"/>
    </row>
    <row r="1308" spans="18:61">
      <c r="R1308" s="6"/>
      <c r="AS1308" s="15"/>
      <c r="AT1308" s="6" t="str">
        <f ca="1">IFERROR(__xludf.DUMMYFUNCTION("""COMPUTED_VALUE"""),"#N/A")</f>
        <v>#N/A</v>
      </c>
      <c r="AU1308" s="6" t="str">
        <f ca="1">IFERROR(__xludf.DUMMYFUNCTION("""COMPUTED_VALUE"""),"FALSE")</f>
        <v>FALSE</v>
      </c>
      <c r="AZ1308" s="9"/>
      <c r="BC1308" s="9"/>
      <c r="BF1308" s="9"/>
      <c r="BI1308" s="9"/>
    </row>
    <row r="1309" spans="18:61">
      <c r="R1309" s="6"/>
      <c r="AS1309" s="15"/>
      <c r="AT1309" s="6" t="str">
        <f ca="1">IFERROR(__xludf.DUMMYFUNCTION("""COMPUTED_VALUE"""),"#N/A")</f>
        <v>#N/A</v>
      </c>
      <c r="AU1309" s="6" t="str">
        <f ca="1">IFERROR(__xludf.DUMMYFUNCTION("""COMPUTED_VALUE"""),"FALSE")</f>
        <v>FALSE</v>
      </c>
      <c r="AZ1309" s="9"/>
      <c r="BC1309" s="9"/>
      <c r="BF1309" s="9"/>
      <c r="BI1309" s="9"/>
    </row>
    <row r="1310" spans="18:61">
      <c r="R1310" s="6"/>
      <c r="AS1310" s="15"/>
      <c r="AT1310" s="6" t="str">
        <f ca="1">IFERROR(__xludf.DUMMYFUNCTION("""COMPUTED_VALUE"""),"#N/A")</f>
        <v>#N/A</v>
      </c>
      <c r="AU1310" s="6" t="str">
        <f ca="1">IFERROR(__xludf.DUMMYFUNCTION("""COMPUTED_VALUE"""),"FALSE")</f>
        <v>FALSE</v>
      </c>
      <c r="AZ1310" s="9"/>
      <c r="BC1310" s="9"/>
      <c r="BF1310" s="9"/>
      <c r="BI1310" s="9"/>
    </row>
    <row r="1311" spans="18:61">
      <c r="R1311" s="6"/>
      <c r="AS1311" s="15"/>
      <c r="AT1311" s="6" t="str">
        <f ca="1">IFERROR(__xludf.DUMMYFUNCTION("""COMPUTED_VALUE"""),"#N/A")</f>
        <v>#N/A</v>
      </c>
      <c r="AU1311" s="6" t="str">
        <f ca="1">IFERROR(__xludf.DUMMYFUNCTION("""COMPUTED_VALUE"""),"FALSE")</f>
        <v>FALSE</v>
      </c>
      <c r="AZ1311" s="9"/>
      <c r="BC1311" s="9"/>
      <c r="BF1311" s="9"/>
      <c r="BI1311" s="9"/>
    </row>
    <row r="1312" spans="18:61">
      <c r="R1312" s="6"/>
      <c r="AS1312" s="15"/>
      <c r="AT1312" s="6" t="str">
        <f ca="1">IFERROR(__xludf.DUMMYFUNCTION("""COMPUTED_VALUE"""),"#N/A")</f>
        <v>#N/A</v>
      </c>
      <c r="AU1312" s="6" t="str">
        <f ca="1">IFERROR(__xludf.DUMMYFUNCTION("""COMPUTED_VALUE"""),"FALSE")</f>
        <v>FALSE</v>
      </c>
      <c r="AZ1312" s="9"/>
      <c r="BC1312" s="9"/>
      <c r="BF1312" s="9"/>
      <c r="BI1312" s="9"/>
    </row>
    <row r="1313" spans="18:61">
      <c r="R1313" s="6"/>
      <c r="AS1313" s="15"/>
      <c r="AT1313" s="6" t="str">
        <f ca="1">IFERROR(__xludf.DUMMYFUNCTION("""COMPUTED_VALUE"""),"#N/A")</f>
        <v>#N/A</v>
      </c>
      <c r="AU1313" s="6" t="str">
        <f ca="1">IFERROR(__xludf.DUMMYFUNCTION("""COMPUTED_VALUE"""),"FALSE")</f>
        <v>FALSE</v>
      </c>
      <c r="AZ1313" s="9"/>
      <c r="BC1313" s="9"/>
      <c r="BF1313" s="9"/>
      <c r="BI1313" s="9"/>
    </row>
    <row r="1314" spans="18:61">
      <c r="R1314" s="6"/>
      <c r="AS1314" s="15"/>
      <c r="AT1314" s="6" t="str">
        <f ca="1">IFERROR(__xludf.DUMMYFUNCTION("""COMPUTED_VALUE"""),"#N/A")</f>
        <v>#N/A</v>
      </c>
      <c r="AU1314" s="6" t="str">
        <f ca="1">IFERROR(__xludf.DUMMYFUNCTION("""COMPUTED_VALUE"""),"FALSE")</f>
        <v>FALSE</v>
      </c>
      <c r="AZ1314" s="9"/>
      <c r="BC1314" s="9"/>
      <c r="BF1314" s="9"/>
      <c r="BI1314" s="9"/>
    </row>
    <row r="1315" spans="18:61">
      <c r="R1315" s="6"/>
      <c r="AS1315" s="15"/>
      <c r="AT1315" s="6" t="str">
        <f ca="1">IFERROR(__xludf.DUMMYFUNCTION("""COMPUTED_VALUE"""),"#N/A")</f>
        <v>#N/A</v>
      </c>
      <c r="AU1315" s="6" t="str">
        <f ca="1">IFERROR(__xludf.DUMMYFUNCTION("""COMPUTED_VALUE"""),"FALSE")</f>
        <v>FALSE</v>
      </c>
      <c r="AZ1315" s="9"/>
      <c r="BC1315" s="9"/>
      <c r="BF1315" s="9"/>
      <c r="BI1315" s="9"/>
    </row>
    <row r="1316" spans="18:61">
      <c r="R1316" s="6"/>
      <c r="AS1316" s="15"/>
      <c r="AT1316" s="6" t="str">
        <f ca="1">IFERROR(__xludf.DUMMYFUNCTION("""COMPUTED_VALUE"""),"#N/A")</f>
        <v>#N/A</v>
      </c>
      <c r="AU1316" s="6" t="str">
        <f ca="1">IFERROR(__xludf.DUMMYFUNCTION("""COMPUTED_VALUE"""),"FALSE")</f>
        <v>FALSE</v>
      </c>
      <c r="AZ1316" s="9"/>
      <c r="BC1316" s="9"/>
      <c r="BF1316" s="9"/>
      <c r="BI1316" s="9"/>
    </row>
    <row r="1317" spans="18:61">
      <c r="R1317" s="6"/>
      <c r="AS1317" s="15"/>
      <c r="AT1317" s="6" t="str">
        <f ca="1">IFERROR(__xludf.DUMMYFUNCTION("""COMPUTED_VALUE"""),"#N/A")</f>
        <v>#N/A</v>
      </c>
      <c r="AU1317" s="6" t="str">
        <f ca="1">IFERROR(__xludf.DUMMYFUNCTION("""COMPUTED_VALUE"""),"FALSE")</f>
        <v>FALSE</v>
      </c>
      <c r="AZ1317" s="9"/>
      <c r="BC1317" s="9"/>
      <c r="BF1317" s="9"/>
      <c r="BI1317" s="9"/>
    </row>
    <row r="1318" spans="18:61">
      <c r="R1318" s="6"/>
      <c r="AS1318" s="15"/>
      <c r="AT1318" s="6" t="str">
        <f ca="1">IFERROR(__xludf.DUMMYFUNCTION("""COMPUTED_VALUE"""),"#N/A")</f>
        <v>#N/A</v>
      </c>
      <c r="AU1318" s="6" t="str">
        <f ca="1">IFERROR(__xludf.DUMMYFUNCTION("""COMPUTED_VALUE"""),"FALSE")</f>
        <v>FALSE</v>
      </c>
      <c r="AZ1318" s="9"/>
      <c r="BC1318" s="9"/>
      <c r="BF1318" s="9"/>
      <c r="BI1318" s="9"/>
    </row>
    <row r="1319" spans="18:61">
      <c r="R1319" s="6"/>
      <c r="AS1319" s="15"/>
      <c r="AT1319" s="6" t="str">
        <f ca="1">IFERROR(__xludf.DUMMYFUNCTION("""COMPUTED_VALUE"""),"#N/A")</f>
        <v>#N/A</v>
      </c>
      <c r="AU1319" s="6" t="str">
        <f ca="1">IFERROR(__xludf.DUMMYFUNCTION("""COMPUTED_VALUE"""),"FALSE")</f>
        <v>FALSE</v>
      </c>
      <c r="AZ1319" s="9"/>
      <c r="BC1319" s="9"/>
      <c r="BF1319" s="9"/>
      <c r="BI1319" s="9"/>
    </row>
    <row r="1320" spans="18:61">
      <c r="R1320" s="6"/>
      <c r="AS1320" s="15"/>
      <c r="AT1320" s="6" t="str">
        <f ca="1">IFERROR(__xludf.DUMMYFUNCTION("""COMPUTED_VALUE"""),"#N/A")</f>
        <v>#N/A</v>
      </c>
      <c r="AU1320" s="6" t="str">
        <f ca="1">IFERROR(__xludf.DUMMYFUNCTION("""COMPUTED_VALUE"""),"FALSE")</f>
        <v>FALSE</v>
      </c>
      <c r="AZ1320" s="9"/>
      <c r="BC1320" s="9"/>
      <c r="BF1320" s="9"/>
      <c r="BI1320" s="9"/>
    </row>
    <row r="1321" spans="18:61">
      <c r="R1321" s="6"/>
      <c r="AS1321" s="15"/>
      <c r="AT1321" s="6" t="str">
        <f ca="1">IFERROR(__xludf.DUMMYFUNCTION("""COMPUTED_VALUE"""),"#N/A")</f>
        <v>#N/A</v>
      </c>
      <c r="AU1321" s="6" t="str">
        <f ca="1">IFERROR(__xludf.DUMMYFUNCTION("""COMPUTED_VALUE"""),"FALSE")</f>
        <v>FALSE</v>
      </c>
      <c r="AZ1321" s="9"/>
      <c r="BC1321" s="9"/>
      <c r="BF1321" s="9"/>
      <c r="BI1321" s="9"/>
    </row>
    <row r="1322" spans="18:61">
      <c r="R1322" s="6"/>
      <c r="AS1322" s="15"/>
      <c r="AT1322" s="6" t="str">
        <f ca="1">IFERROR(__xludf.DUMMYFUNCTION("""COMPUTED_VALUE"""),"#N/A")</f>
        <v>#N/A</v>
      </c>
      <c r="AU1322" s="6" t="str">
        <f ca="1">IFERROR(__xludf.DUMMYFUNCTION("""COMPUTED_VALUE"""),"FALSE")</f>
        <v>FALSE</v>
      </c>
      <c r="AZ1322" s="9"/>
      <c r="BC1322" s="9"/>
      <c r="BF1322" s="9"/>
      <c r="BI1322" s="9"/>
    </row>
    <row r="1323" spans="18:61">
      <c r="R1323" s="6"/>
      <c r="AS1323" s="15"/>
      <c r="AT1323" s="6" t="str">
        <f ca="1">IFERROR(__xludf.DUMMYFUNCTION("""COMPUTED_VALUE"""),"#N/A")</f>
        <v>#N/A</v>
      </c>
      <c r="AU1323" s="6" t="str">
        <f ca="1">IFERROR(__xludf.DUMMYFUNCTION("""COMPUTED_VALUE"""),"FALSE")</f>
        <v>FALSE</v>
      </c>
      <c r="AZ1323" s="9"/>
      <c r="BC1323" s="9"/>
      <c r="BF1323" s="9"/>
      <c r="BI1323" s="9"/>
    </row>
    <row r="1324" spans="18:61">
      <c r="R1324" s="6"/>
      <c r="AS1324" s="15"/>
      <c r="AT1324" s="6" t="str">
        <f ca="1">IFERROR(__xludf.DUMMYFUNCTION("""COMPUTED_VALUE"""),"#N/A")</f>
        <v>#N/A</v>
      </c>
      <c r="AU1324" s="6" t="str">
        <f ca="1">IFERROR(__xludf.DUMMYFUNCTION("""COMPUTED_VALUE"""),"FALSE")</f>
        <v>FALSE</v>
      </c>
      <c r="AZ1324" s="9"/>
      <c r="BC1324" s="9"/>
      <c r="BF1324" s="9"/>
      <c r="BI1324" s="9"/>
    </row>
    <row r="1325" spans="18:61">
      <c r="R1325" s="6"/>
      <c r="AS1325" s="15"/>
      <c r="AT1325" s="6" t="str">
        <f ca="1">IFERROR(__xludf.DUMMYFUNCTION("""COMPUTED_VALUE"""),"#N/A")</f>
        <v>#N/A</v>
      </c>
      <c r="AU1325" s="6" t="str">
        <f ca="1">IFERROR(__xludf.DUMMYFUNCTION("""COMPUTED_VALUE"""),"FALSE")</f>
        <v>FALSE</v>
      </c>
      <c r="AZ1325" s="9"/>
      <c r="BC1325" s="9"/>
      <c r="BF1325" s="9"/>
      <c r="BI1325" s="9"/>
    </row>
    <row r="1326" spans="18:61">
      <c r="R1326" s="6"/>
      <c r="AS1326" s="15"/>
      <c r="AT1326" s="6" t="str">
        <f ca="1">IFERROR(__xludf.DUMMYFUNCTION("""COMPUTED_VALUE"""),"#N/A")</f>
        <v>#N/A</v>
      </c>
      <c r="AU1326" s="6" t="str">
        <f ca="1">IFERROR(__xludf.DUMMYFUNCTION("""COMPUTED_VALUE"""),"FALSE")</f>
        <v>FALSE</v>
      </c>
      <c r="AZ1326" s="9"/>
      <c r="BC1326" s="9"/>
      <c r="BF1326" s="9"/>
      <c r="BI1326" s="9"/>
    </row>
    <row r="1327" spans="18:61">
      <c r="R1327" s="6"/>
      <c r="AS1327" s="15"/>
      <c r="AT1327" s="6" t="str">
        <f ca="1">IFERROR(__xludf.DUMMYFUNCTION("""COMPUTED_VALUE"""),"#N/A")</f>
        <v>#N/A</v>
      </c>
      <c r="AU1327" s="6" t="str">
        <f ca="1">IFERROR(__xludf.DUMMYFUNCTION("""COMPUTED_VALUE"""),"FALSE")</f>
        <v>FALSE</v>
      </c>
      <c r="AZ1327" s="9"/>
      <c r="BC1327" s="9"/>
      <c r="BF1327" s="9"/>
      <c r="BI1327" s="9"/>
    </row>
    <row r="1328" spans="18:61">
      <c r="R1328" s="6"/>
      <c r="AS1328" s="15"/>
      <c r="AT1328" s="6" t="str">
        <f ca="1">IFERROR(__xludf.DUMMYFUNCTION("""COMPUTED_VALUE"""),"#N/A")</f>
        <v>#N/A</v>
      </c>
      <c r="AU1328" s="6" t="str">
        <f ca="1">IFERROR(__xludf.DUMMYFUNCTION("""COMPUTED_VALUE"""),"FALSE")</f>
        <v>FALSE</v>
      </c>
      <c r="AZ1328" s="9"/>
      <c r="BC1328" s="9"/>
      <c r="BF1328" s="9"/>
      <c r="BI1328" s="9"/>
    </row>
    <row r="1329" spans="18:61">
      <c r="R1329" s="6"/>
      <c r="AS1329" s="15"/>
      <c r="AT1329" s="6" t="str">
        <f ca="1">IFERROR(__xludf.DUMMYFUNCTION("""COMPUTED_VALUE"""),"#N/A")</f>
        <v>#N/A</v>
      </c>
      <c r="AU1329" s="6" t="str">
        <f ca="1">IFERROR(__xludf.DUMMYFUNCTION("""COMPUTED_VALUE"""),"FALSE")</f>
        <v>FALSE</v>
      </c>
      <c r="AZ1329" s="9"/>
      <c r="BC1329" s="9"/>
      <c r="BF1329" s="9"/>
      <c r="BI1329" s="9"/>
    </row>
    <row r="1330" spans="18:61">
      <c r="R1330" s="6"/>
      <c r="AS1330" s="15"/>
      <c r="AT1330" s="6" t="str">
        <f ca="1">IFERROR(__xludf.DUMMYFUNCTION("""COMPUTED_VALUE"""),"#N/A")</f>
        <v>#N/A</v>
      </c>
      <c r="AU1330" s="6" t="str">
        <f ca="1">IFERROR(__xludf.DUMMYFUNCTION("""COMPUTED_VALUE"""),"FALSE")</f>
        <v>FALSE</v>
      </c>
      <c r="AZ1330" s="9"/>
      <c r="BC1330" s="9"/>
      <c r="BF1330" s="9"/>
      <c r="BI1330" s="9"/>
    </row>
    <row r="1331" spans="18:61">
      <c r="R1331" s="6"/>
      <c r="AS1331" s="15"/>
      <c r="AT1331" s="6" t="str">
        <f ca="1">IFERROR(__xludf.DUMMYFUNCTION("""COMPUTED_VALUE"""),"#N/A")</f>
        <v>#N/A</v>
      </c>
      <c r="AU1331" s="6" t="str">
        <f ca="1">IFERROR(__xludf.DUMMYFUNCTION("""COMPUTED_VALUE"""),"FALSE")</f>
        <v>FALSE</v>
      </c>
      <c r="AZ1331" s="9"/>
      <c r="BC1331" s="9"/>
      <c r="BF1331" s="9"/>
      <c r="BI1331" s="9"/>
    </row>
    <row r="1332" spans="18:61">
      <c r="R1332" s="6"/>
      <c r="AS1332" s="15"/>
      <c r="AT1332" s="6" t="str">
        <f ca="1">IFERROR(__xludf.DUMMYFUNCTION("""COMPUTED_VALUE"""),"#N/A")</f>
        <v>#N/A</v>
      </c>
      <c r="AU1332" s="6" t="str">
        <f ca="1">IFERROR(__xludf.DUMMYFUNCTION("""COMPUTED_VALUE"""),"FALSE")</f>
        <v>FALSE</v>
      </c>
      <c r="AZ1332" s="9"/>
      <c r="BC1332" s="9"/>
      <c r="BF1332" s="9"/>
      <c r="BI1332" s="9"/>
    </row>
    <row r="1333" spans="18:61">
      <c r="R1333" s="6"/>
      <c r="AS1333" s="15"/>
      <c r="AT1333" s="6" t="str">
        <f ca="1">IFERROR(__xludf.DUMMYFUNCTION("""COMPUTED_VALUE"""),"#N/A")</f>
        <v>#N/A</v>
      </c>
      <c r="AU1333" s="6" t="str">
        <f ca="1">IFERROR(__xludf.DUMMYFUNCTION("""COMPUTED_VALUE"""),"FALSE")</f>
        <v>FALSE</v>
      </c>
      <c r="AZ1333" s="9"/>
      <c r="BC1333" s="9"/>
      <c r="BF1333" s="9"/>
      <c r="BI1333" s="9"/>
    </row>
    <row r="1334" spans="18:61">
      <c r="R1334" s="6"/>
      <c r="AS1334" s="15"/>
      <c r="AT1334" s="6" t="str">
        <f ca="1">IFERROR(__xludf.DUMMYFUNCTION("""COMPUTED_VALUE"""),"#N/A")</f>
        <v>#N/A</v>
      </c>
      <c r="AU1334" s="6" t="str">
        <f ca="1">IFERROR(__xludf.DUMMYFUNCTION("""COMPUTED_VALUE"""),"FALSE")</f>
        <v>FALSE</v>
      </c>
      <c r="AZ1334" s="9"/>
      <c r="BC1334" s="9"/>
      <c r="BF1334" s="9"/>
      <c r="BI1334" s="9"/>
    </row>
    <row r="1335" spans="18:61">
      <c r="R1335" s="6"/>
      <c r="AS1335" s="15"/>
      <c r="AT1335" s="6" t="str">
        <f ca="1">IFERROR(__xludf.DUMMYFUNCTION("""COMPUTED_VALUE"""),"#N/A")</f>
        <v>#N/A</v>
      </c>
      <c r="AU1335" s="6" t="str">
        <f ca="1">IFERROR(__xludf.DUMMYFUNCTION("""COMPUTED_VALUE"""),"FALSE")</f>
        <v>FALSE</v>
      </c>
      <c r="AZ1335" s="9"/>
      <c r="BC1335" s="9"/>
      <c r="BF1335" s="9"/>
      <c r="BI1335" s="9"/>
    </row>
    <row r="1336" spans="18:61">
      <c r="R1336" s="6"/>
      <c r="AS1336" s="15"/>
      <c r="AT1336" s="6" t="str">
        <f ca="1">IFERROR(__xludf.DUMMYFUNCTION("""COMPUTED_VALUE"""),"#N/A")</f>
        <v>#N/A</v>
      </c>
      <c r="AU1336" s="6" t="str">
        <f ca="1">IFERROR(__xludf.DUMMYFUNCTION("""COMPUTED_VALUE"""),"FALSE")</f>
        <v>FALSE</v>
      </c>
      <c r="AZ1336" s="9"/>
      <c r="BC1336" s="9"/>
      <c r="BF1336" s="9"/>
      <c r="BI1336" s="9"/>
    </row>
    <row r="1337" spans="18:61">
      <c r="R1337" s="6"/>
      <c r="AS1337" s="15"/>
      <c r="AT1337" s="6" t="str">
        <f ca="1">IFERROR(__xludf.DUMMYFUNCTION("""COMPUTED_VALUE"""),"#N/A")</f>
        <v>#N/A</v>
      </c>
      <c r="AU1337" s="6" t="str">
        <f ca="1">IFERROR(__xludf.DUMMYFUNCTION("""COMPUTED_VALUE"""),"FALSE")</f>
        <v>FALSE</v>
      </c>
      <c r="AZ1337" s="9"/>
      <c r="BC1337" s="9"/>
      <c r="BF1337" s="9"/>
      <c r="BI1337" s="9"/>
    </row>
    <row r="1338" spans="18:61">
      <c r="R1338" s="6"/>
      <c r="AS1338" s="15"/>
      <c r="AT1338" s="6" t="str">
        <f ca="1">IFERROR(__xludf.DUMMYFUNCTION("""COMPUTED_VALUE"""),"#N/A")</f>
        <v>#N/A</v>
      </c>
      <c r="AU1338" s="6" t="str">
        <f ca="1">IFERROR(__xludf.DUMMYFUNCTION("""COMPUTED_VALUE"""),"FALSE")</f>
        <v>FALSE</v>
      </c>
      <c r="AZ1338" s="9"/>
      <c r="BC1338" s="9"/>
      <c r="BF1338" s="9"/>
      <c r="BI1338" s="9"/>
    </row>
    <row r="1339" spans="18:61">
      <c r="R1339" s="6"/>
      <c r="AS1339" s="15"/>
      <c r="AT1339" s="6" t="str">
        <f ca="1">IFERROR(__xludf.DUMMYFUNCTION("""COMPUTED_VALUE"""),"#N/A")</f>
        <v>#N/A</v>
      </c>
      <c r="AU1339" s="6" t="str">
        <f ca="1">IFERROR(__xludf.DUMMYFUNCTION("""COMPUTED_VALUE"""),"FALSE")</f>
        <v>FALSE</v>
      </c>
      <c r="AZ1339" s="9"/>
      <c r="BC1339" s="9"/>
      <c r="BF1339" s="9"/>
      <c r="BI1339" s="9"/>
    </row>
    <row r="1340" spans="18:61">
      <c r="R1340" s="6"/>
      <c r="AS1340" s="15"/>
      <c r="AT1340" s="6" t="str">
        <f ca="1">IFERROR(__xludf.DUMMYFUNCTION("""COMPUTED_VALUE"""),"#N/A")</f>
        <v>#N/A</v>
      </c>
      <c r="AU1340" s="6" t="str">
        <f ca="1">IFERROR(__xludf.DUMMYFUNCTION("""COMPUTED_VALUE"""),"FALSE")</f>
        <v>FALSE</v>
      </c>
      <c r="AZ1340" s="9"/>
      <c r="BC1340" s="9"/>
      <c r="BF1340" s="9"/>
      <c r="BI1340" s="9"/>
    </row>
    <row r="1341" spans="18:61">
      <c r="R1341" s="6"/>
      <c r="AS1341" s="15"/>
      <c r="AT1341" s="6" t="str">
        <f ca="1">IFERROR(__xludf.DUMMYFUNCTION("""COMPUTED_VALUE"""),"#N/A")</f>
        <v>#N/A</v>
      </c>
      <c r="AU1341" s="6" t="str">
        <f ca="1">IFERROR(__xludf.DUMMYFUNCTION("""COMPUTED_VALUE"""),"FALSE")</f>
        <v>FALSE</v>
      </c>
      <c r="AZ1341" s="9"/>
      <c r="BC1341" s="9"/>
      <c r="BF1341" s="9"/>
      <c r="BI1341" s="9"/>
    </row>
    <row r="1342" spans="18:61">
      <c r="R1342" s="6"/>
      <c r="AS1342" s="15"/>
      <c r="AT1342" s="6" t="str">
        <f ca="1">IFERROR(__xludf.DUMMYFUNCTION("""COMPUTED_VALUE"""),"#N/A")</f>
        <v>#N/A</v>
      </c>
      <c r="AU1342" s="6" t="str">
        <f ca="1">IFERROR(__xludf.DUMMYFUNCTION("""COMPUTED_VALUE"""),"FALSE")</f>
        <v>FALSE</v>
      </c>
      <c r="AZ1342" s="9"/>
      <c r="BC1342" s="9"/>
      <c r="BF1342" s="9"/>
      <c r="BI1342" s="9"/>
    </row>
    <row r="1343" spans="18:61">
      <c r="R1343" s="6"/>
      <c r="AS1343" s="15"/>
      <c r="AT1343" s="6" t="str">
        <f ca="1">IFERROR(__xludf.DUMMYFUNCTION("""COMPUTED_VALUE"""),"#N/A")</f>
        <v>#N/A</v>
      </c>
      <c r="AU1343" s="6" t="str">
        <f ca="1">IFERROR(__xludf.DUMMYFUNCTION("""COMPUTED_VALUE"""),"FALSE")</f>
        <v>FALSE</v>
      </c>
      <c r="AZ1343" s="9"/>
      <c r="BC1343" s="9"/>
      <c r="BF1343" s="9"/>
      <c r="BI1343" s="9"/>
    </row>
    <row r="1344" spans="18:61">
      <c r="R1344" s="6"/>
      <c r="AS1344" s="15"/>
      <c r="AT1344" s="6" t="str">
        <f ca="1">IFERROR(__xludf.DUMMYFUNCTION("""COMPUTED_VALUE"""),"#N/A")</f>
        <v>#N/A</v>
      </c>
      <c r="AU1344" s="6" t="str">
        <f ca="1">IFERROR(__xludf.DUMMYFUNCTION("""COMPUTED_VALUE"""),"FALSE")</f>
        <v>FALSE</v>
      </c>
      <c r="AZ1344" s="9"/>
      <c r="BC1344" s="9"/>
      <c r="BF1344" s="9"/>
      <c r="BI1344" s="9"/>
    </row>
    <row r="1345" spans="18:61">
      <c r="R1345" s="6"/>
      <c r="AS1345" s="15"/>
      <c r="AT1345" s="6" t="str">
        <f ca="1">IFERROR(__xludf.DUMMYFUNCTION("""COMPUTED_VALUE"""),"#N/A")</f>
        <v>#N/A</v>
      </c>
      <c r="AU1345" s="6" t="str">
        <f ca="1">IFERROR(__xludf.DUMMYFUNCTION("""COMPUTED_VALUE"""),"FALSE")</f>
        <v>FALSE</v>
      </c>
      <c r="AZ1345" s="9"/>
      <c r="BC1345" s="9"/>
      <c r="BF1345" s="9"/>
      <c r="BI1345" s="9"/>
    </row>
    <row r="1346" spans="18:61">
      <c r="R1346" s="6"/>
      <c r="AS1346" s="15"/>
      <c r="AT1346" s="6" t="str">
        <f ca="1">IFERROR(__xludf.DUMMYFUNCTION("""COMPUTED_VALUE"""),"#N/A")</f>
        <v>#N/A</v>
      </c>
      <c r="AU1346" s="6" t="str">
        <f ca="1">IFERROR(__xludf.DUMMYFUNCTION("""COMPUTED_VALUE"""),"FALSE")</f>
        <v>FALSE</v>
      </c>
      <c r="AZ1346" s="9"/>
      <c r="BC1346" s="9"/>
      <c r="BF1346" s="9"/>
      <c r="BI1346" s="9"/>
    </row>
    <row r="1347" spans="18:61">
      <c r="R1347" s="6"/>
      <c r="AS1347" s="15"/>
      <c r="AT1347" s="6" t="str">
        <f ca="1">IFERROR(__xludf.DUMMYFUNCTION("""COMPUTED_VALUE"""),"#N/A")</f>
        <v>#N/A</v>
      </c>
      <c r="AU1347" s="6" t="str">
        <f ca="1">IFERROR(__xludf.DUMMYFUNCTION("""COMPUTED_VALUE"""),"FALSE")</f>
        <v>FALSE</v>
      </c>
      <c r="AZ1347" s="9"/>
      <c r="BC1347" s="9"/>
      <c r="BF1347" s="9"/>
      <c r="BI1347" s="9"/>
    </row>
    <row r="1348" spans="18:61">
      <c r="R1348" s="6"/>
      <c r="AS1348" s="15"/>
      <c r="AT1348" s="6" t="str">
        <f ca="1">IFERROR(__xludf.DUMMYFUNCTION("""COMPUTED_VALUE"""),"#N/A")</f>
        <v>#N/A</v>
      </c>
      <c r="AU1348" s="6" t="str">
        <f ca="1">IFERROR(__xludf.DUMMYFUNCTION("""COMPUTED_VALUE"""),"FALSE")</f>
        <v>FALSE</v>
      </c>
      <c r="AZ1348" s="9"/>
      <c r="BC1348" s="9"/>
      <c r="BF1348" s="9"/>
      <c r="BI1348" s="9"/>
    </row>
    <row r="1349" spans="18:61">
      <c r="R1349" s="6"/>
      <c r="AS1349" s="15"/>
      <c r="AT1349" s="6" t="str">
        <f ca="1">IFERROR(__xludf.DUMMYFUNCTION("""COMPUTED_VALUE"""),"#N/A")</f>
        <v>#N/A</v>
      </c>
      <c r="AU1349" s="6" t="str">
        <f ca="1">IFERROR(__xludf.DUMMYFUNCTION("""COMPUTED_VALUE"""),"FALSE")</f>
        <v>FALSE</v>
      </c>
      <c r="AZ1349" s="9"/>
      <c r="BC1349" s="9"/>
      <c r="BF1349" s="9"/>
      <c r="BI1349" s="9"/>
    </row>
    <row r="1350" spans="18:61">
      <c r="R1350" s="6"/>
      <c r="AS1350" s="15"/>
      <c r="AT1350" s="6" t="str">
        <f ca="1">IFERROR(__xludf.DUMMYFUNCTION("""COMPUTED_VALUE"""),"#N/A")</f>
        <v>#N/A</v>
      </c>
      <c r="AU1350" s="6" t="str">
        <f ca="1">IFERROR(__xludf.DUMMYFUNCTION("""COMPUTED_VALUE"""),"FALSE")</f>
        <v>FALSE</v>
      </c>
      <c r="AZ1350" s="9"/>
      <c r="BC1350" s="9"/>
      <c r="BF1350" s="9"/>
      <c r="BI1350" s="9"/>
    </row>
    <row r="1351" spans="18:61">
      <c r="R1351" s="6"/>
      <c r="AS1351" s="15"/>
      <c r="AT1351" s="6" t="str">
        <f ca="1">IFERROR(__xludf.DUMMYFUNCTION("""COMPUTED_VALUE"""),"#N/A")</f>
        <v>#N/A</v>
      </c>
      <c r="AU1351" s="6" t="str">
        <f ca="1">IFERROR(__xludf.DUMMYFUNCTION("""COMPUTED_VALUE"""),"FALSE")</f>
        <v>FALSE</v>
      </c>
      <c r="AZ1351" s="9"/>
      <c r="BC1351" s="9"/>
      <c r="BF1351" s="9"/>
      <c r="BI1351" s="9"/>
    </row>
    <row r="1352" spans="18:61">
      <c r="R1352" s="6"/>
      <c r="AS1352" s="15"/>
      <c r="AT1352" s="6" t="str">
        <f ca="1">IFERROR(__xludf.DUMMYFUNCTION("""COMPUTED_VALUE"""),"#N/A")</f>
        <v>#N/A</v>
      </c>
      <c r="AU1352" s="6" t="str">
        <f ca="1">IFERROR(__xludf.DUMMYFUNCTION("""COMPUTED_VALUE"""),"FALSE")</f>
        <v>FALSE</v>
      </c>
      <c r="AZ1352" s="9"/>
      <c r="BC1352" s="9"/>
      <c r="BF1352" s="9"/>
      <c r="BI1352" s="9"/>
    </row>
    <row r="1353" spans="18:61">
      <c r="R1353" s="6"/>
      <c r="AS1353" s="15"/>
      <c r="AT1353" s="6" t="str">
        <f ca="1">IFERROR(__xludf.DUMMYFUNCTION("""COMPUTED_VALUE"""),"#N/A")</f>
        <v>#N/A</v>
      </c>
      <c r="AU1353" s="6" t="str">
        <f ca="1">IFERROR(__xludf.DUMMYFUNCTION("""COMPUTED_VALUE"""),"FALSE")</f>
        <v>FALSE</v>
      </c>
      <c r="AZ1353" s="9"/>
      <c r="BC1353" s="9"/>
      <c r="BF1353" s="9"/>
      <c r="BI1353" s="9"/>
    </row>
    <row r="1354" spans="18:61">
      <c r="R1354" s="6"/>
      <c r="AS1354" s="15"/>
      <c r="AT1354" s="6" t="str">
        <f ca="1">IFERROR(__xludf.DUMMYFUNCTION("""COMPUTED_VALUE"""),"#N/A")</f>
        <v>#N/A</v>
      </c>
      <c r="AU1354" s="6" t="str">
        <f ca="1">IFERROR(__xludf.DUMMYFUNCTION("""COMPUTED_VALUE"""),"FALSE")</f>
        <v>FALSE</v>
      </c>
      <c r="AZ1354" s="9"/>
      <c r="BC1354" s="9"/>
      <c r="BF1354" s="9"/>
      <c r="BI1354" s="9"/>
    </row>
    <row r="1355" spans="18:61">
      <c r="R1355" s="6"/>
      <c r="AS1355" s="15"/>
      <c r="AT1355" s="6" t="str">
        <f ca="1">IFERROR(__xludf.DUMMYFUNCTION("""COMPUTED_VALUE"""),"#N/A")</f>
        <v>#N/A</v>
      </c>
      <c r="AU1355" s="6" t="str">
        <f ca="1">IFERROR(__xludf.DUMMYFUNCTION("""COMPUTED_VALUE"""),"FALSE")</f>
        <v>FALSE</v>
      </c>
      <c r="AZ1355" s="9"/>
      <c r="BC1355" s="9"/>
      <c r="BF1355" s="9"/>
      <c r="BI1355" s="9"/>
    </row>
    <row r="1356" spans="18:61">
      <c r="R1356" s="6"/>
      <c r="AS1356" s="15"/>
      <c r="AT1356" s="6" t="str">
        <f ca="1">IFERROR(__xludf.DUMMYFUNCTION("""COMPUTED_VALUE"""),"#N/A")</f>
        <v>#N/A</v>
      </c>
      <c r="AU1356" s="6" t="str">
        <f ca="1">IFERROR(__xludf.DUMMYFUNCTION("""COMPUTED_VALUE"""),"FALSE")</f>
        <v>FALSE</v>
      </c>
      <c r="AZ1356" s="9"/>
      <c r="BC1356" s="9"/>
      <c r="BF1356" s="9"/>
      <c r="BI1356" s="9"/>
    </row>
    <row r="1357" spans="18:61">
      <c r="R1357" s="6"/>
      <c r="AS1357" s="15"/>
      <c r="AT1357" s="6" t="str">
        <f ca="1">IFERROR(__xludf.DUMMYFUNCTION("""COMPUTED_VALUE"""),"#N/A")</f>
        <v>#N/A</v>
      </c>
      <c r="AU1357" s="6" t="str">
        <f ca="1">IFERROR(__xludf.DUMMYFUNCTION("""COMPUTED_VALUE"""),"FALSE")</f>
        <v>FALSE</v>
      </c>
      <c r="AZ1357" s="9"/>
      <c r="BC1357" s="9"/>
      <c r="BF1357" s="9"/>
      <c r="BI1357" s="9"/>
    </row>
    <row r="1358" spans="18:61">
      <c r="R1358" s="6"/>
      <c r="AS1358" s="15"/>
      <c r="AT1358" s="6" t="str">
        <f ca="1">IFERROR(__xludf.DUMMYFUNCTION("""COMPUTED_VALUE"""),"#N/A")</f>
        <v>#N/A</v>
      </c>
      <c r="AU1358" s="6" t="str">
        <f ca="1">IFERROR(__xludf.DUMMYFUNCTION("""COMPUTED_VALUE"""),"FALSE")</f>
        <v>FALSE</v>
      </c>
      <c r="AZ1358" s="9"/>
      <c r="BC1358" s="9"/>
      <c r="BF1358" s="9"/>
      <c r="BI1358" s="9"/>
    </row>
    <row r="1359" spans="18:61">
      <c r="R1359" s="6"/>
      <c r="AS1359" s="15"/>
      <c r="AT1359" s="6" t="str">
        <f ca="1">IFERROR(__xludf.DUMMYFUNCTION("""COMPUTED_VALUE"""),"#N/A")</f>
        <v>#N/A</v>
      </c>
      <c r="AU1359" s="6" t="str">
        <f ca="1">IFERROR(__xludf.DUMMYFUNCTION("""COMPUTED_VALUE"""),"FALSE")</f>
        <v>FALSE</v>
      </c>
      <c r="AZ1359" s="9"/>
      <c r="BC1359" s="9"/>
      <c r="BF1359" s="9"/>
      <c r="BI1359" s="9"/>
    </row>
    <row r="1360" spans="18:61">
      <c r="R1360" s="6"/>
      <c r="AS1360" s="15"/>
      <c r="AT1360" s="6" t="str">
        <f ca="1">IFERROR(__xludf.DUMMYFUNCTION("""COMPUTED_VALUE"""),"#N/A")</f>
        <v>#N/A</v>
      </c>
      <c r="AU1360" s="6" t="str">
        <f ca="1">IFERROR(__xludf.DUMMYFUNCTION("""COMPUTED_VALUE"""),"FALSE")</f>
        <v>FALSE</v>
      </c>
      <c r="AZ1360" s="9"/>
      <c r="BC1360" s="9"/>
      <c r="BF1360" s="9"/>
      <c r="BI1360" s="9"/>
    </row>
    <row r="1361" spans="18:61">
      <c r="R1361" s="6"/>
      <c r="AS1361" s="15"/>
      <c r="AT1361" s="6" t="str">
        <f ca="1">IFERROR(__xludf.DUMMYFUNCTION("""COMPUTED_VALUE"""),"#N/A")</f>
        <v>#N/A</v>
      </c>
      <c r="AU1361" s="6" t="str">
        <f ca="1">IFERROR(__xludf.DUMMYFUNCTION("""COMPUTED_VALUE"""),"FALSE")</f>
        <v>FALSE</v>
      </c>
      <c r="AZ1361" s="9"/>
      <c r="BC1361" s="9"/>
      <c r="BF1361" s="9"/>
      <c r="BI1361" s="9"/>
    </row>
    <row r="1362" spans="18:61">
      <c r="R1362" s="6"/>
      <c r="AS1362" s="15"/>
      <c r="AT1362" s="6" t="str">
        <f ca="1">IFERROR(__xludf.DUMMYFUNCTION("""COMPUTED_VALUE"""),"#N/A")</f>
        <v>#N/A</v>
      </c>
      <c r="AU1362" s="6" t="str">
        <f ca="1">IFERROR(__xludf.DUMMYFUNCTION("""COMPUTED_VALUE"""),"FALSE")</f>
        <v>FALSE</v>
      </c>
      <c r="AZ1362" s="9"/>
      <c r="BC1362" s="9"/>
      <c r="BF1362" s="9"/>
      <c r="BI1362" s="9"/>
    </row>
    <row r="1363" spans="18:61">
      <c r="R1363" s="6"/>
      <c r="AS1363" s="15"/>
      <c r="AT1363" s="6" t="str">
        <f ca="1">IFERROR(__xludf.DUMMYFUNCTION("""COMPUTED_VALUE"""),"#N/A")</f>
        <v>#N/A</v>
      </c>
      <c r="AU1363" s="6" t="str">
        <f ca="1">IFERROR(__xludf.DUMMYFUNCTION("""COMPUTED_VALUE"""),"FALSE")</f>
        <v>FALSE</v>
      </c>
      <c r="AZ1363" s="9"/>
      <c r="BC1363" s="9"/>
      <c r="BF1363" s="9"/>
      <c r="BI1363" s="9"/>
    </row>
    <row r="1364" spans="18:61">
      <c r="R1364" s="6"/>
      <c r="AS1364" s="15"/>
      <c r="AT1364" s="6" t="str">
        <f ca="1">IFERROR(__xludf.DUMMYFUNCTION("""COMPUTED_VALUE"""),"#N/A")</f>
        <v>#N/A</v>
      </c>
      <c r="AU1364" s="6" t="str">
        <f ca="1">IFERROR(__xludf.DUMMYFUNCTION("""COMPUTED_VALUE"""),"FALSE")</f>
        <v>FALSE</v>
      </c>
      <c r="AZ1364" s="9"/>
      <c r="BC1364" s="9"/>
      <c r="BF1364" s="9"/>
      <c r="BI1364" s="9"/>
    </row>
    <row r="1365" spans="18:61">
      <c r="R1365" s="6"/>
      <c r="AS1365" s="15"/>
      <c r="AT1365" s="6" t="str">
        <f ca="1">IFERROR(__xludf.DUMMYFUNCTION("""COMPUTED_VALUE"""),"#N/A")</f>
        <v>#N/A</v>
      </c>
      <c r="AU1365" s="6" t="str">
        <f ca="1">IFERROR(__xludf.DUMMYFUNCTION("""COMPUTED_VALUE"""),"FALSE")</f>
        <v>FALSE</v>
      </c>
      <c r="AZ1365" s="9"/>
      <c r="BC1365" s="9"/>
      <c r="BF1365" s="9"/>
      <c r="BI1365" s="9"/>
    </row>
    <row r="1366" spans="18:61">
      <c r="R1366" s="6"/>
      <c r="AS1366" s="15"/>
      <c r="AT1366" s="6" t="str">
        <f ca="1">IFERROR(__xludf.DUMMYFUNCTION("""COMPUTED_VALUE"""),"#N/A")</f>
        <v>#N/A</v>
      </c>
      <c r="AU1366" s="6" t="str">
        <f ca="1">IFERROR(__xludf.DUMMYFUNCTION("""COMPUTED_VALUE"""),"FALSE")</f>
        <v>FALSE</v>
      </c>
      <c r="AZ1366" s="9"/>
      <c r="BC1366" s="9"/>
      <c r="BF1366" s="9"/>
      <c r="BI1366" s="9"/>
    </row>
    <row r="1367" spans="18:61">
      <c r="R1367" s="6"/>
      <c r="AS1367" s="15"/>
      <c r="AT1367" s="6" t="str">
        <f ca="1">IFERROR(__xludf.DUMMYFUNCTION("""COMPUTED_VALUE"""),"#N/A")</f>
        <v>#N/A</v>
      </c>
      <c r="AU1367" s="6" t="str">
        <f ca="1">IFERROR(__xludf.DUMMYFUNCTION("""COMPUTED_VALUE"""),"FALSE")</f>
        <v>FALSE</v>
      </c>
      <c r="AZ1367" s="9"/>
      <c r="BC1367" s="9"/>
      <c r="BF1367" s="9"/>
      <c r="BI1367" s="9"/>
    </row>
    <row r="1368" spans="18:61">
      <c r="R1368" s="6"/>
      <c r="AS1368" s="15"/>
      <c r="AT1368" s="6" t="str">
        <f ca="1">IFERROR(__xludf.DUMMYFUNCTION("""COMPUTED_VALUE"""),"#N/A")</f>
        <v>#N/A</v>
      </c>
      <c r="AU1368" s="6" t="str">
        <f ca="1">IFERROR(__xludf.DUMMYFUNCTION("""COMPUTED_VALUE"""),"FALSE")</f>
        <v>FALSE</v>
      </c>
      <c r="AZ1368" s="9"/>
      <c r="BC1368" s="9"/>
      <c r="BF1368" s="9"/>
      <c r="BI1368" s="9"/>
    </row>
    <row r="1369" spans="18:61">
      <c r="R1369" s="6"/>
      <c r="AS1369" s="15"/>
      <c r="AT1369" s="6" t="str">
        <f ca="1">IFERROR(__xludf.DUMMYFUNCTION("""COMPUTED_VALUE"""),"#N/A")</f>
        <v>#N/A</v>
      </c>
      <c r="AU1369" s="6" t="str">
        <f ca="1">IFERROR(__xludf.DUMMYFUNCTION("""COMPUTED_VALUE"""),"FALSE")</f>
        <v>FALSE</v>
      </c>
      <c r="AZ1369" s="9"/>
      <c r="BC1369" s="9"/>
      <c r="BF1369" s="9"/>
      <c r="BI1369" s="9"/>
    </row>
    <row r="1370" spans="18:61">
      <c r="R1370" s="6"/>
      <c r="AS1370" s="15"/>
      <c r="AT1370" s="6" t="str">
        <f ca="1">IFERROR(__xludf.DUMMYFUNCTION("""COMPUTED_VALUE"""),"#N/A")</f>
        <v>#N/A</v>
      </c>
      <c r="AU1370" s="6" t="str">
        <f ca="1">IFERROR(__xludf.DUMMYFUNCTION("""COMPUTED_VALUE"""),"FALSE")</f>
        <v>FALSE</v>
      </c>
      <c r="AZ1370" s="9"/>
      <c r="BC1370" s="9"/>
      <c r="BF1370" s="9"/>
      <c r="BI1370" s="9"/>
    </row>
    <row r="1371" spans="18:61">
      <c r="R1371" s="6"/>
      <c r="AS1371" s="15"/>
      <c r="AT1371" s="6" t="str">
        <f ca="1">IFERROR(__xludf.DUMMYFUNCTION("""COMPUTED_VALUE"""),"#N/A")</f>
        <v>#N/A</v>
      </c>
      <c r="AU1371" s="6" t="str">
        <f ca="1">IFERROR(__xludf.DUMMYFUNCTION("""COMPUTED_VALUE"""),"FALSE")</f>
        <v>FALSE</v>
      </c>
      <c r="AZ1371" s="9"/>
      <c r="BC1371" s="9"/>
      <c r="BF1371" s="9"/>
      <c r="BI1371" s="9"/>
    </row>
    <row r="1372" spans="18:61">
      <c r="R1372" s="6"/>
      <c r="AS1372" s="15"/>
      <c r="AT1372" s="6" t="str">
        <f ca="1">IFERROR(__xludf.DUMMYFUNCTION("""COMPUTED_VALUE"""),"#N/A")</f>
        <v>#N/A</v>
      </c>
      <c r="AU1372" s="6" t="str">
        <f ca="1">IFERROR(__xludf.DUMMYFUNCTION("""COMPUTED_VALUE"""),"FALSE")</f>
        <v>FALSE</v>
      </c>
      <c r="AZ1372" s="9"/>
      <c r="BC1372" s="9"/>
      <c r="BF1372" s="9"/>
      <c r="BI1372" s="9"/>
    </row>
    <row r="1373" spans="18:61">
      <c r="R1373" s="6"/>
      <c r="AS1373" s="15"/>
      <c r="AT1373" s="6" t="str">
        <f ca="1">IFERROR(__xludf.DUMMYFUNCTION("""COMPUTED_VALUE"""),"#N/A")</f>
        <v>#N/A</v>
      </c>
      <c r="AU1373" s="6" t="str">
        <f ca="1">IFERROR(__xludf.DUMMYFUNCTION("""COMPUTED_VALUE"""),"FALSE")</f>
        <v>FALSE</v>
      </c>
      <c r="AZ1373" s="9"/>
      <c r="BC1373" s="9"/>
      <c r="BF1373" s="9"/>
      <c r="BI1373" s="9"/>
    </row>
    <row r="1374" spans="18:61">
      <c r="R1374" s="6"/>
      <c r="AS1374" s="15"/>
      <c r="AT1374" s="6" t="str">
        <f ca="1">IFERROR(__xludf.DUMMYFUNCTION("""COMPUTED_VALUE"""),"#N/A")</f>
        <v>#N/A</v>
      </c>
      <c r="AU1374" s="6" t="str">
        <f ca="1">IFERROR(__xludf.DUMMYFUNCTION("""COMPUTED_VALUE"""),"FALSE")</f>
        <v>FALSE</v>
      </c>
      <c r="AZ1374" s="9"/>
      <c r="BC1374" s="9"/>
      <c r="BF1374" s="9"/>
      <c r="BI1374" s="9"/>
    </row>
    <row r="1375" spans="18:61">
      <c r="R1375" s="6"/>
      <c r="AS1375" s="15"/>
      <c r="AT1375" s="6" t="str">
        <f ca="1">IFERROR(__xludf.DUMMYFUNCTION("""COMPUTED_VALUE"""),"#N/A")</f>
        <v>#N/A</v>
      </c>
      <c r="AU1375" s="6" t="str">
        <f ca="1">IFERROR(__xludf.DUMMYFUNCTION("""COMPUTED_VALUE"""),"FALSE")</f>
        <v>FALSE</v>
      </c>
      <c r="AZ1375" s="9"/>
      <c r="BC1375" s="9"/>
      <c r="BF1375" s="9"/>
      <c r="BI1375" s="9"/>
    </row>
    <row r="1376" spans="18:61">
      <c r="R1376" s="6"/>
      <c r="AS1376" s="15"/>
      <c r="AT1376" s="6" t="str">
        <f ca="1">IFERROR(__xludf.DUMMYFUNCTION("""COMPUTED_VALUE"""),"#N/A")</f>
        <v>#N/A</v>
      </c>
      <c r="AU1376" s="6" t="str">
        <f ca="1">IFERROR(__xludf.DUMMYFUNCTION("""COMPUTED_VALUE"""),"FALSE")</f>
        <v>FALSE</v>
      </c>
      <c r="AZ1376" s="9"/>
      <c r="BC1376" s="9"/>
      <c r="BF1376" s="9"/>
      <c r="BI1376" s="9"/>
    </row>
    <row r="1377" spans="18:61">
      <c r="R1377" s="6"/>
      <c r="AS1377" s="15"/>
      <c r="AT1377" s="6" t="str">
        <f ca="1">IFERROR(__xludf.DUMMYFUNCTION("""COMPUTED_VALUE"""),"#N/A")</f>
        <v>#N/A</v>
      </c>
      <c r="AU1377" s="6" t="str">
        <f ca="1">IFERROR(__xludf.DUMMYFUNCTION("""COMPUTED_VALUE"""),"FALSE")</f>
        <v>FALSE</v>
      </c>
      <c r="AZ1377" s="9"/>
      <c r="BC1377" s="9"/>
      <c r="BF1377" s="9"/>
      <c r="BI1377" s="9"/>
    </row>
    <row r="1378" spans="18:61">
      <c r="R1378" s="6"/>
      <c r="AS1378" s="15"/>
      <c r="AT1378" s="6" t="str">
        <f ca="1">IFERROR(__xludf.DUMMYFUNCTION("""COMPUTED_VALUE"""),"#N/A")</f>
        <v>#N/A</v>
      </c>
      <c r="AU1378" s="6" t="str">
        <f ca="1">IFERROR(__xludf.DUMMYFUNCTION("""COMPUTED_VALUE"""),"FALSE")</f>
        <v>FALSE</v>
      </c>
      <c r="AZ1378" s="9"/>
      <c r="BC1378" s="9"/>
      <c r="BF1378" s="9"/>
      <c r="BI1378" s="9"/>
    </row>
    <row r="1379" spans="18:61">
      <c r="R1379" s="6"/>
      <c r="AS1379" s="15"/>
      <c r="AT1379" s="6" t="str">
        <f ca="1">IFERROR(__xludf.DUMMYFUNCTION("""COMPUTED_VALUE"""),"#N/A")</f>
        <v>#N/A</v>
      </c>
      <c r="AU1379" s="6" t="str">
        <f ca="1">IFERROR(__xludf.DUMMYFUNCTION("""COMPUTED_VALUE"""),"FALSE")</f>
        <v>FALSE</v>
      </c>
      <c r="AZ1379" s="9"/>
      <c r="BC1379" s="9"/>
      <c r="BF1379" s="9"/>
      <c r="BI1379" s="9"/>
    </row>
    <row r="1380" spans="18:61">
      <c r="R1380" s="6"/>
      <c r="AS1380" s="15"/>
      <c r="AT1380" s="6" t="str">
        <f ca="1">IFERROR(__xludf.DUMMYFUNCTION("""COMPUTED_VALUE"""),"#N/A")</f>
        <v>#N/A</v>
      </c>
      <c r="AU1380" s="6" t="str">
        <f ca="1">IFERROR(__xludf.DUMMYFUNCTION("""COMPUTED_VALUE"""),"FALSE")</f>
        <v>FALSE</v>
      </c>
      <c r="AZ1380" s="9"/>
      <c r="BC1380" s="9"/>
      <c r="BF1380" s="9"/>
      <c r="BI1380" s="9"/>
    </row>
    <row r="1381" spans="18:61">
      <c r="R1381" s="6"/>
      <c r="AS1381" s="15"/>
      <c r="AT1381" s="6" t="str">
        <f ca="1">IFERROR(__xludf.DUMMYFUNCTION("""COMPUTED_VALUE"""),"#N/A")</f>
        <v>#N/A</v>
      </c>
      <c r="AU1381" s="6" t="str">
        <f ca="1">IFERROR(__xludf.DUMMYFUNCTION("""COMPUTED_VALUE"""),"FALSE")</f>
        <v>FALSE</v>
      </c>
      <c r="AZ1381" s="9"/>
      <c r="BC1381" s="9"/>
      <c r="BF1381" s="9"/>
      <c r="BI1381" s="9"/>
    </row>
    <row r="1382" spans="18:61">
      <c r="R1382" s="6"/>
      <c r="AS1382" s="15"/>
      <c r="AT1382" s="6" t="str">
        <f ca="1">IFERROR(__xludf.DUMMYFUNCTION("""COMPUTED_VALUE"""),"#N/A")</f>
        <v>#N/A</v>
      </c>
      <c r="AU1382" s="6" t="str">
        <f ca="1">IFERROR(__xludf.DUMMYFUNCTION("""COMPUTED_VALUE"""),"FALSE")</f>
        <v>FALSE</v>
      </c>
      <c r="AZ1382" s="9"/>
      <c r="BC1382" s="9"/>
      <c r="BF1382" s="9"/>
      <c r="BI1382" s="9"/>
    </row>
    <row r="1383" spans="18:61">
      <c r="R1383" s="6"/>
      <c r="AS1383" s="15"/>
      <c r="AT1383" s="6" t="str">
        <f ca="1">IFERROR(__xludf.DUMMYFUNCTION("""COMPUTED_VALUE"""),"#N/A")</f>
        <v>#N/A</v>
      </c>
      <c r="AU1383" s="6" t="str">
        <f ca="1">IFERROR(__xludf.DUMMYFUNCTION("""COMPUTED_VALUE"""),"FALSE")</f>
        <v>FALSE</v>
      </c>
      <c r="AZ1383" s="9"/>
      <c r="BC1383" s="9"/>
      <c r="BF1383" s="9"/>
      <c r="BI1383" s="9"/>
    </row>
    <row r="1384" spans="18:61">
      <c r="R1384" s="6"/>
      <c r="AS1384" s="15"/>
      <c r="AT1384" s="6" t="str">
        <f ca="1">IFERROR(__xludf.DUMMYFUNCTION("""COMPUTED_VALUE"""),"#N/A")</f>
        <v>#N/A</v>
      </c>
      <c r="AU1384" s="6" t="str">
        <f ca="1">IFERROR(__xludf.DUMMYFUNCTION("""COMPUTED_VALUE"""),"FALSE")</f>
        <v>FALSE</v>
      </c>
      <c r="AZ1384" s="9"/>
      <c r="BC1384" s="9"/>
      <c r="BF1384" s="9"/>
      <c r="BI1384" s="9"/>
    </row>
    <row r="1385" spans="18:61">
      <c r="R1385" s="6"/>
      <c r="AS1385" s="15"/>
      <c r="AT1385" s="6" t="str">
        <f ca="1">IFERROR(__xludf.DUMMYFUNCTION("""COMPUTED_VALUE"""),"#N/A")</f>
        <v>#N/A</v>
      </c>
      <c r="AU1385" s="6" t="str">
        <f ca="1">IFERROR(__xludf.DUMMYFUNCTION("""COMPUTED_VALUE"""),"FALSE")</f>
        <v>FALSE</v>
      </c>
      <c r="AZ1385" s="9"/>
      <c r="BC1385" s="9"/>
      <c r="BF1385" s="9"/>
      <c r="BI1385" s="9"/>
    </row>
    <row r="1386" spans="18:61">
      <c r="R1386" s="6"/>
      <c r="AS1386" s="15"/>
      <c r="AT1386" s="6" t="str">
        <f ca="1">IFERROR(__xludf.DUMMYFUNCTION("""COMPUTED_VALUE"""),"#N/A")</f>
        <v>#N/A</v>
      </c>
      <c r="AU1386" s="6" t="str">
        <f ca="1">IFERROR(__xludf.DUMMYFUNCTION("""COMPUTED_VALUE"""),"FALSE")</f>
        <v>FALSE</v>
      </c>
      <c r="AZ1386" s="9"/>
      <c r="BC1386" s="9"/>
      <c r="BF1386" s="9"/>
      <c r="BI1386" s="9"/>
    </row>
    <row r="1387" spans="18:61">
      <c r="R1387" s="6"/>
      <c r="AS1387" s="15"/>
      <c r="AT1387" s="6" t="str">
        <f ca="1">IFERROR(__xludf.DUMMYFUNCTION("""COMPUTED_VALUE"""),"#N/A")</f>
        <v>#N/A</v>
      </c>
      <c r="AU1387" s="6" t="str">
        <f ca="1">IFERROR(__xludf.DUMMYFUNCTION("""COMPUTED_VALUE"""),"FALSE")</f>
        <v>FALSE</v>
      </c>
      <c r="AZ1387" s="9"/>
      <c r="BC1387" s="9"/>
      <c r="BF1387" s="9"/>
      <c r="BI1387" s="9"/>
    </row>
    <row r="1388" spans="18:61">
      <c r="R1388" s="6"/>
      <c r="AS1388" s="15"/>
      <c r="AT1388" s="6" t="str">
        <f ca="1">IFERROR(__xludf.DUMMYFUNCTION("""COMPUTED_VALUE"""),"#N/A")</f>
        <v>#N/A</v>
      </c>
      <c r="AU1388" s="6" t="str">
        <f ca="1">IFERROR(__xludf.DUMMYFUNCTION("""COMPUTED_VALUE"""),"FALSE")</f>
        <v>FALSE</v>
      </c>
      <c r="AZ1388" s="9"/>
      <c r="BC1388" s="9"/>
      <c r="BF1388" s="9"/>
      <c r="BI1388" s="9"/>
    </row>
    <row r="1389" spans="18:61">
      <c r="R1389" s="6"/>
      <c r="AS1389" s="15"/>
      <c r="AT1389" s="6" t="str">
        <f ca="1">IFERROR(__xludf.DUMMYFUNCTION("""COMPUTED_VALUE"""),"#N/A")</f>
        <v>#N/A</v>
      </c>
      <c r="AU1389" s="6" t="str">
        <f ca="1">IFERROR(__xludf.DUMMYFUNCTION("""COMPUTED_VALUE"""),"FALSE")</f>
        <v>FALSE</v>
      </c>
      <c r="AZ1389" s="9"/>
      <c r="BC1389" s="9"/>
      <c r="BF1389" s="9"/>
      <c r="BI1389" s="9"/>
    </row>
    <row r="1390" spans="18:61">
      <c r="R1390" s="6"/>
      <c r="AS1390" s="15"/>
      <c r="AT1390" s="6" t="str">
        <f ca="1">IFERROR(__xludf.DUMMYFUNCTION("""COMPUTED_VALUE"""),"#N/A")</f>
        <v>#N/A</v>
      </c>
      <c r="AU1390" s="6" t="str">
        <f ca="1">IFERROR(__xludf.DUMMYFUNCTION("""COMPUTED_VALUE"""),"FALSE")</f>
        <v>FALSE</v>
      </c>
      <c r="AZ1390" s="9"/>
      <c r="BC1390" s="9"/>
      <c r="BF1390" s="9"/>
      <c r="BI1390" s="9"/>
    </row>
    <row r="1391" spans="18:61">
      <c r="R1391" s="6"/>
      <c r="AS1391" s="15"/>
      <c r="AT1391" s="6" t="str">
        <f ca="1">IFERROR(__xludf.DUMMYFUNCTION("""COMPUTED_VALUE"""),"#N/A")</f>
        <v>#N/A</v>
      </c>
      <c r="AU1391" s="6" t="str">
        <f ca="1">IFERROR(__xludf.DUMMYFUNCTION("""COMPUTED_VALUE"""),"FALSE")</f>
        <v>FALSE</v>
      </c>
      <c r="AZ1391" s="9"/>
      <c r="BC1391" s="9"/>
      <c r="BF1391" s="9"/>
      <c r="BI1391" s="9"/>
    </row>
    <row r="1392" spans="18:61">
      <c r="R1392" s="6"/>
      <c r="AS1392" s="15"/>
      <c r="AT1392" s="6" t="str">
        <f ca="1">IFERROR(__xludf.DUMMYFUNCTION("""COMPUTED_VALUE"""),"#N/A")</f>
        <v>#N/A</v>
      </c>
      <c r="AU1392" s="6" t="str">
        <f ca="1">IFERROR(__xludf.DUMMYFUNCTION("""COMPUTED_VALUE"""),"FALSE")</f>
        <v>FALSE</v>
      </c>
      <c r="AZ1392" s="9"/>
      <c r="BC1392" s="9"/>
      <c r="BF1392" s="9"/>
      <c r="BI1392" s="9"/>
    </row>
    <row r="1393" spans="18:61">
      <c r="R1393" s="6"/>
      <c r="AS1393" s="15"/>
      <c r="AT1393" s="6" t="str">
        <f ca="1">IFERROR(__xludf.DUMMYFUNCTION("""COMPUTED_VALUE"""),"#N/A")</f>
        <v>#N/A</v>
      </c>
      <c r="AU1393" s="6" t="str">
        <f ca="1">IFERROR(__xludf.DUMMYFUNCTION("""COMPUTED_VALUE"""),"FALSE")</f>
        <v>FALSE</v>
      </c>
      <c r="AZ1393" s="9"/>
      <c r="BC1393" s="9"/>
      <c r="BF1393" s="9"/>
      <c r="BI1393" s="9"/>
    </row>
    <row r="1394" spans="18:61">
      <c r="R1394" s="6"/>
      <c r="AS1394" s="15"/>
      <c r="AT1394" s="6" t="str">
        <f ca="1">IFERROR(__xludf.DUMMYFUNCTION("""COMPUTED_VALUE"""),"#N/A")</f>
        <v>#N/A</v>
      </c>
      <c r="AU1394" s="6" t="str">
        <f ca="1">IFERROR(__xludf.DUMMYFUNCTION("""COMPUTED_VALUE"""),"FALSE")</f>
        <v>FALSE</v>
      </c>
      <c r="AZ1394" s="9"/>
      <c r="BC1394" s="9"/>
      <c r="BF1394" s="9"/>
      <c r="BI1394" s="9"/>
    </row>
    <row r="1395" spans="18:61">
      <c r="R1395" s="6"/>
      <c r="AS1395" s="15"/>
      <c r="AT1395" s="6" t="str">
        <f ca="1">IFERROR(__xludf.DUMMYFUNCTION("""COMPUTED_VALUE"""),"#N/A")</f>
        <v>#N/A</v>
      </c>
      <c r="AU1395" s="6" t="str">
        <f ca="1">IFERROR(__xludf.DUMMYFUNCTION("""COMPUTED_VALUE"""),"FALSE")</f>
        <v>FALSE</v>
      </c>
      <c r="AZ1395" s="9"/>
      <c r="BC1395" s="9"/>
      <c r="BF1395" s="9"/>
      <c r="BI1395" s="9"/>
    </row>
    <row r="1396" spans="18:61">
      <c r="R1396" s="6"/>
      <c r="AS1396" s="15"/>
      <c r="AT1396" s="6" t="str">
        <f ca="1">IFERROR(__xludf.DUMMYFUNCTION("""COMPUTED_VALUE"""),"#N/A")</f>
        <v>#N/A</v>
      </c>
      <c r="AU1396" s="6" t="str">
        <f ca="1">IFERROR(__xludf.DUMMYFUNCTION("""COMPUTED_VALUE"""),"FALSE")</f>
        <v>FALSE</v>
      </c>
      <c r="AZ1396" s="9"/>
      <c r="BC1396" s="9"/>
      <c r="BF1396" s="9"/>
      <c r="BI1396" s="9"/>
    </row>
    <row r="1397" spans="18:61">
      <c r="R1397" s="6"/>
      <c r="AS1397" s="15"/>
      <c r="AT1397" s="6" t="str">
        <f ca="1">IFERROR(__xludf.DUMMYFUNCTION("""COMPUTED_VALUE"""),"#N/A")</f>
        <v>#N/A</v>
      </c>
      <c r="AU1397" s="6" t="str">
        <f ca="1">IFERROR(__xludf.DUMMYFUNCTION("""COMPUTED_VALUE"""),"FALSE")</f>
        <v>FALSE</v>
      </c>
      <c r="AZ1397" s="9"/>
      <c r="BC1397" s="9"/>
      <c r="BF1397" s="9"/>
      <c r="BI1397" s="9"/>
    </row>
    <row r="1398" spans="18:61">
      <c r="R1398" s="6"/>
      <c r="AS1398" s="15"/>
      <c r="AT1398" s="6" t="str">
        <f ca="1">IFERROR(__xludf.DUMMYFUNCTION("""COMPUTED_VALUE"""),"#N/A")</f>
        <v>#N/A</v>
      </c>
      <c r="AU1398" s="6" t="str">
        <f ca="1">IFERROR(__xludf.DUMMYFUNCTION("""COMPUTED_VALUE"""),"FALSE")</f>
        <v>FALSE</v>
      </c>
      <c r="AZ1398" s="9"/>
      <c r="BC1398" s="9"/>
      <c r="BF1398" s="9"/>
      <c r="BI1398" s="9"/>
    </row>
    <row r="1399" spans="18:61">
      <c r="R1399" s="6"/>
      <c r="AS1399" s="15"/>
      <c r="AT1399" s="6" t="str">
        <f ca="1">IFERROR(__xludf.DUMMYFUNCTION("""COMPUTED_VALUE"""),"#N/A")</f>
        <v>#N/A</v>
      </c>
      <c r="AU1399" s="6" t="str">
        <f ca="1">IFERROR(__xludf.DUMMYFUNCTION("""COMPUTED_VALUE"""),"FALSE")</f>
        <v>FALSE</v>
      </c>
      <c r="AZ1399" s="9"/>
      <c r="BC1399" s="9"/>
      <c r="BF1399" s="9"/>
      <c r="BI1399" s="9"/>
    </row>
    <row r="1400" spans="18:61">
      <c r="R1400" s="6"/>
      <c r="AS1400" s="15"/>
      <c r="AT1400" s="6" t="str">
        <f ca="1">IFERROR(__xludf.DUMMYFUNCTION("""COMPUTED_VALUE"""),"#N/A")</f>
        <v>#N/A</v>
      </c>
      <c r="AU1400" s="6" t="str">
        <f ca="1">IFERROR(__xludf.DUMMYFUNCTION("""COMPUTED_VALUE"""),"FALSE")</f>
        <v>FALSE</v>
      </c>
      <c r="AZ1400" s="9"/>
      <c r="BC1400" s="9"/>
      <c r="BF1400" s="9"/>
      <c r="BI1400" s="9"/>
    </row>
    <row r="1401" spans="18:61">
      <c r="R1401" s="6"/>
      <c r="AS1401" s="15"/>
      <c r="AT1401" s="6" t="str">
        <f ca="1">IFERROR(__xludf.DUMMYFUNCTION("""COMPUTED_VALUE"""),"#N/A")</f>
        <v>#N/A</v>
      </c>
      <c r="AU1401" s="6" t="str">
        <f ca="1">IFERROR(__xludf.DUMMYFUNCTION("""COMPUTED_VALUE"""),"FALSE")</f>
        <v>FALSE</v>
      </c>
      <c r="AZ1401" s="9"/>
      <c r="BC1401" s="9"/>
      <c r="BF1401" s="9"/>
      <c r="BI1401" s="9"/>
    </row>
    <row r="1402" spans="18:61">
      <c r="R1402" s="6"/>
      <c r="AS1402" s="15"/>
      <c r="AT1402" s="6" t="str">
        <f ca="1">IFERROR(__xludf.DUMMYFUNCTION("""COMPUTED_VALUE"""),"#N/A")</f>
        <v>#N/A</v>
      </c>
      <c r="AU1402" s="6" t="str">
        <f ca="1">IFERROR(__xludf.DUMMYFUNCTION("""COMPUTED_VALUE"""),"FALSE")</f>
        <v>FALSE</v>
      </c>
      <c r="AZ1402" s="9"/>
      <c r="BC1402" s="9"/>
      <c r="BF1402" s="9"/>
      <c r="BI1402" s="9"/>
    </row>
    <row r="1403" spans="18:61">
      <c r="R1403" s="6"/>
      <c r="AS1403" s="15"/>
      <c r="AT1403" s="6" t="str">
        <f ca="1">IFERROR(__xludf.DUMMYFUNCTION("""COMPUTED_VALUE"""),"#N/A")</f>
        <v>#N/A</v>
      </c>
      <c r="AU1403" s="6" t="str">
        <f ca="1">IFERROR(__xludf.DUMMYFUNCTION("""COMPUTED_VALUE"""),"FALSE")</f>
        <v>FALSE</v>
      </c>
      <c r="AZ1403" s="9"/>
      <c r="BC1403" s="9"/>
      <c r="BF1403" s="9"/>
      <c r="BI1403" s="9"/>
    </row>
    <row r="1404" spans="18:61">
      <c r="R1404" s="6"/>
      <c r="AS1404" s="15"/>
      <c r="AT1404" s="6" t="str">
        <f ca="1">IFERROR(__xludf.DUMMYFUNCTION("""COMPUTED_VALUE"""),"#N/A")</f>
        <v>#N/A</v>
      </c>
      <c r="AU1404" s="6" t="str">
        <f ca="1">IFERROR(__xludf.DUMMYFUNCTION("""COMPUTED_VALUE"""),"FALSE")</f>
        <v>FALSE</v>
      </c>
      <c r="AZ1404" s="9"/>
      <c r="BC1404" s="9"/>
      <c r="BF1404" s="9"/>
      <c r="BI1404" s="9"/>
    </row>
    <row r="1405" spans="18:61">
      <c r="R1405" s="6"/>
      <c r="AS1405" s="15"/>
      <c r="AT1405" s="6" t="str">
        <f ca="1">IFERROR(__xludf.DUMMYFUNCTION("""COMPUTED_VALUE"""),"#N/A")</f>
        <v>#N/A</v>
      </c>
      <c r="AU1405" s="6" t="str">
        <f ca="1">IFERROR(__xludf.DUMMYFUNCTION("""COMPUTED_VALUE"""),"FALSE")</f>
        <v>FALSE</v>
      </c>
      <c r="AZ1405" s="9"/>
      <c r="BC1405" s="9"/>
      <c r="BF1405" s="9"/>
      <c r="BI1405" s="9"/>
    </row>
    <row r="1406" spans="18:61">
      <c r="R1406" s="6"/>
      <c r="AS1406" s="15"/>
      <c r="AT1406" s="6" t="str">
        <f ca="1">IFERROR(__xludf.DUMMYFUNCTION("""COMPUTED_VALUE"""),"#N/A")</f>
        <v>#N/A</v>
      </c>
      <c r="AU1406" s="6" t="str">
        <f ca="1">IFERROR(__xludf.DUMMYFUNCTION("""COMPUTED_VALUE"""),"FALSE")</f>
        <v>FALSE</v>
      </c>
      <c r="AZ1406" s="9"/>
      <c r="BC1406" s="9"/>
      <c r="BF1406" s="9"/>
      <c r="BI1406" s="9"/>
    </row>
    <row r="1407" spans="18:61">
      <c r="R1407" s="6"/>
      <c r="AS1407" s="15"/>
      <c r="AT1407" s="6" t="str">
        <f ca="1">IFERROR(__xludf.DUMMYFUNCTION("""COMPUTED_VALUE"""),"#N/A")</f>
        <v>#N/A</v>
      </c>
      <c r="AU1407" s="6" t="str">
        <f ca="1">IFERROR(__xludf.DUMMYFUNCTION("""COMPUTED_VALUE"""),"FALSE")</f>
        <v>FALSE</v>
      </c>
      <c r="AZ1407" s="9"/>
      <c r="BC1407" s="9"/>
      <c r="BF1407" s="9"/>
      <c r="BI1407" s="9"/>
    </row>
    <row r="1408" spans="18:61">
      <c r="R1408" s="6"/>
      <c r="AS1408" s="15"/>
      <c r="AT1408" s="6" t="str">
        <f ca="1">IFERROR(__xludf.DUMMYFUNCTION("""COMPUTED_VALUE"""),"#N/A")</f>
        <v>#N/A</v>
      </c>
      <c r="AU1408" s="6" t="str">
        <f ca="1">IFERROR(__xludf.DUMMYFUNCTION("""COMPUTED_VALUE"""),"FALSE")</f>
        <v>FALSE</v>
      </c>
      <c r="AZ1408" s="9"/>
      <c r="BC1408" s="9"/>
      <c r="BF1408" s="9"/>
      <c r="BI1408" s="9"/>
    </row>
    <row r="1409" spans="18:61">
      <c r="R1409" s="6"/>
      <c r="AS1409" s="15"/>
      <c r="AT1409" s="6" t="str">
        <f ca="1">IFERROR(__xludf.DUMMYFUNCTION("""COMPUTED_VALUE"""),"#N/A")</f>
        <v>#N/A</v>
      </c>
      <c r="AU1409" s="6" t="str">
        <f ca="1">IFERROR(__xludf.DUMMYFUNCTION("""COMPUTED_VALUE"""),"FALSE")</f>
        <v>FALSE</v>
      </c>
      <c r="AZ1409" s="9"/>
      <c r="BC1409" s="9"/>
      <c r="BF1409" s="9"/>
      <c r="BI1409" s="9"/>
    </row>
    <row r="1410" spans="18:61">
      <c r="R1410" s="6"/>
      <c r="AS1410" s="15"/>
      <c r="AT1410" s="6" t="str">
        <f ca="1">IFERROR(__xludf.DUMMYFUNCTION("""COMPUTED_VALUE"""),"#N/A")</f>
        <v>#N/A</v>
      </c>
      <c r="AU1410" s="6" t="str">
        <f ca="1">IFERROR(__xludf.DUMMYFUNCTION("""COMPUTED_VALUE"""),"FALSE")</f>
        <v>FALSE</v>
      </c>
      <c r="AZ1410" s="9"/>
      <c r="BC1410" s="9"/>
      <c r="BF1410" s="9"/>
      <c r="BI1410" s="9"/>
    </row>
    <row r="1411" spans="18:61">
      <c r="R1411" s="6"/>
      <c r="AS1411" s="15"/>
      <c r="AT1411" s="6" t="str">
        <f ca="1">IFERROR(__xludf.DUMMYFUNCTION("""COMPUTED_VALUE"""),"#N/A")</f>
        <v>#N/A</v>
      </c>
      <c r="AU1411" s="6" t="str">
        <f ca="1">IFERROR(__xludf.DUMMYFUNCTION("""COMPUTED_VALUE"""),"FALSE")</f>
        <v>FALSE</v>
      </c>
      <c r="AZ1411" s="9"/>
      <c r="BC1411" s="9"/>
      <c r="BF1411" s="9"/>
      <c r="BI1411" s="9"/>
    </row>
    <row r="1412" spans="18:61">
      <c r="R1412" s="6"/>
      <c r="AS1412" s="15"/>
      <c r="AT1412" s="6" t="str">
        <f ca="1">IFERROR(__xludf.DUMMYFUNCTION("""COMPUTED_VALUE"""),"#N/A")</f>
        <v>#N/A</v>
      </c>
      <c r="AU1412" s="6" t="str">
        <f ca="1">IFERROR(__xludf.DUMMYFUNCTION("""COMPUTED_VALUE"""),"FALSE")</f>
        <v>FALSE</v>
      </c>
      <c r="AZ1412" s="9"/>
      <c r="BC1412" s="9"/>
      <c r="BF1412" s="9"/>
      <c r="BI1412" s="9"/>
    </row>
    <row r="1413" spans="18:61">
      <c r="R1413" s="6"/>
      <c r="AS1413" s="15"/>
      <c r="AT1413" s="6" t="str">
        <f ca="1">IFERROR(__xludf.DUMMYFUNCTION("""COMPUTED_VALUE"""),"#N/A")</f>
        <v>#N/A</v>
      </c>
      <c r="AU1413" s="6" t="str">
        <f ca="1">IFERROR(__xludf.DUMMYFUNCTION("""COMPUTED_VALUE"""),"FALSE")</f>
        <v>FALSE</v>
      </c>
      <c r="AZ1413" s="9"/>
      <c r="BC1413" s="9"/>
      <c r="BF1413" s="9"/>
      <c r="BI1413" s="9"/>
    </row>
    <row r="1414" spans="18:61">
      <c r="R1414" s="6"/>
      <c r="AS1414" s="15"/>
      <c r="AT1414" s="6" t="str">
        <f ca="1">IFERROR(__xludf.DUMMYFUNCTION("""COMPUTED_VALUE"""),"#N/A")</f>
        <v>#N/A</v>
      </c>
      <c r="AU1414" s="6" t="str">
        <f ca="1">IFERROR(__xludf.DUMMYFUNCTION("""COMPUTED_VALUE"""),"FALSE")</f>
        <v>FALSE</v>
      </c>
      <c r="AZ1414" s="9"/>
      <c r="BC1414" s="9"/>
      <c r="BF1414" s="9"/>
      <c r="BI1414" s="9"/>
    </row>
    <row r="1415" spans="18:61">
      <c r="R1415" s="6"/>
      <c r="AS1415" s="15"/>
      <c r="AT1415" s="6" t="str">
        <f ca="1">IFERROR(__xludf.DUMMYFUNCTION("""COMPUTED_VALUE"""),"#N/A")</f>
        <v>#N/A</v>
      </c>
      <c r="AU1415" s="6" t="str">
        <f ca="1">IFERROR(__xludf.DUMMYFUNCTION("""COMPUTED_VALUE"""),"FALSE")</f>
        <v>FALSE</v>
      </c>
      <c r="AZ1415" s="9"/>
      <c r="BC1415" s="9"/>
      <c r="BF1415" s="9"/>
      <c r="BI1415" s="9"/>
    </row>
    <row r="1416" spans="18:61">
      <c r="R1416" s="6"/>
      <c r="AS1416" s="15"/>
      <c r="AT1416" s="6" t="str">
        <f ca="1">IFERROR(__xludf.DUMMYFUNCTION("""COMPUTED_VALUE"""),"#N/A")</f>
        <v>#N/A</v>
      </c>
      <c r="AU1416" s="6" t="str">
        <f ca="1">IFERROR(__xludf.DUMMYFUNCTION("""COMPUTED_VALUE"""),"FALSE")</f>
        <v>FALSE</v>
      </c>
      <c r="AZ1416" s="9"/>
      <c r="BC1416" s="9"/>
      <c r="BF1416" s="9"/>
      <c r="BI1416" s="9"/>
    </row>
    <row r="1417" spans="18:61">
      <c r="R1417" s="6"/>
      <c r="AS1417" s="15"/>
      <c r="AT1417" s="6" t="str">
        <f ca="1">IFERROR(__xludf.DUMMYFUNCTION("""COMPUTED_VALUE"""),"#N/A")</f>
        <v>#N/A</v>
      </c>
      <c r="AU1417" s="6" t="str">
        <f ca="1">IFERROR(__xludf.DUMMYFUNCTION("""COMPUTED_VALUE"""),"FALSE")</f>
        <v>FALSE</v>
      </c>
      <c r="AZ1417" s="9"/>
      <c r="BC1417" s="9"/>
      <c r="BF1417" s="9"/>
      <c r="BI1417" s="9"/>
    </row>
    <row r="1418" spans="18:61">
      <c r="R1418" s="6"/>
      <c r="AS1418" s="15"/>
      <c r="AT1418" s="6" t="str">
        <f ca="1">IFERROR(__xludf.DUMMYFUNCTION("""COMPUTED_VALUE"""),"#N/A")</f>
        <v>#N/A</v>
      </c>
      <c r="AU1418" s="6" t="str">
        <f ca="1">IFERROR(__xludf.DUMMYFUNCTION("""COMPUTED_VALUE"""),"FALSE")</f>
        <v>FALSE</v>
      </c>
      <c r="AZ1418" s="9"/>
      <c r="BC1418" s="9"/>
      <c r="BF1418" s="9"/>
      <c r="BI1418" s="9"/>
    </row>
    <row r="1419" spans="18:61">
      <c r="R1419" s="6"/>
      <c r="AS1419" s="15"/>
      <c r="AT1419" s="6" t="str">
        <f ca="1">IFERROR(__xludf.DUMMYFUNCTION("""COMPUTED_VALUE"""),"#N/A")</f>
        <v>#N/A</v>
      </c>
      <c r="AU1419" s="6" t="str">
        <f ca="1">IFERROR(__xludf.DUMMYFUNCTION("""COMPUTED_VALUE"""),"FALSE")</f>
        <v>FALSE</v>
      </c>
      <c r="AZ1419" s="9"/>
      <c r="BC1419" s="9"/>
      <c r="BF1419" s="9"/>
      <c r="BI1419" s="9"/>
    </row>
    <row r="1420" spans="18:61">
      <c r="R1420" s="6"/>
      <c r="AS1420" s="15"/>
      <c r="AT1420" s="6" t="str">
        <f ca="1">IFERROR(__xludf.DUMMYFUNCTION("""COMPUTED_VALUE"""),"#N/A")</f>
        <v>#N/A</v>
      </c>
      <c r="AU1420" s="6" t="str">
        <f ca="1">IFERROR(__xludf.DUMMYFUNCTION("""COMPUTED_VALUE"""),"FALSE")</f>
        <v>FALSE</v>
      </c>
      <c r="AZ1420" s="9"/>
      <c r="BC1420" s="9"/>
      <c r="BF1420" s="9"/>
      <c r="BI1420" s="9"/>
    </row>
    <row r="1421" spans="18:61">
      <c r="R1421" s="6"/>
      <c r="AS1421" s="15"/>
      <c r="AT1421" s="6" t="str">
        <f ca="1">IFERROR(__xludf.DUMMYFUNCTION("""COMPUTED_VALUE"""),"#N/A")</f>
        <v>#N/A</v>
      </c>
      <c r="AU1421" s="6" t="str">
        <f ca="1">IFERROR(__xludf.DUMMYFUNCTION("""COMPUTED_VALUE"""),"FALSE")</f>
        <v>FALSE</v>
      </c>
      <c r="AZ1421" s="9"/>
      <c r="BC1421" s="9"/>
      <c r="BF1421" s="9"/>
      <c r="BI1421" s="9"/>
    </row>
    <row r="1422" spans="18:61">
      <c r="R1422" s="6"/>
      <c r="AS1422" s="15"/>
      <c r="AT1422" s="6" t="str">
        <f ca="1">IFERROR(__xludf.DUMMYFUNCTION("""COMPUTED_VALUE"""),"#N/A")</f>
        <v>#N/A</v>
      </c>
      <c r="AU1422" s="6" t="str">
        <f ca="1">IFERROR(__xludf.DUMMYFUNCTION("""COMPUTED_VALUE"""),"FALSE")</f>
        <v>FALSE</v>
      </c>
      <c r="AZ1422" s="9"/>
      <c r="BC1422" s="9"/>
      <c r="BF1422" s="9"/>
      <c r="BI1422" s="9"/>
    </row>
    <row r="1423" spans="18:61">
      <c r="R1423" s="6"/>
      <c r="AS1423" s="15"/>
      <c r="AT1423" s="6" t="str">
        <f ca="1">IFERROR(__xludf.DUMMYFUNCTION("""COMPUTED_VALUE"""),"#N/A")</f>
        <v>#N/A</v>
      </c>
      <c r="AU1423" s="6" t="str">
        <f ca="1">IFERROR(__xludf.DUMMYFUNCTION("""COMPUTED_VALUE"""),"FALSE")</f>
        <v>FALSE</v>
      </c>
      <c r="AZ1423" s="9"/>
      <c r="BC1423" s="9"/>
      <c r="BF1423" s="9"/>
      <c r="BI1423" s="9"/>
    </row>
    <row r="1424" spans="18:61">
      <c r="R1424" s="6"/>
      <c r="AS1424" s="15"/>
      <c r="AT1424" s="6" t="str">
        <f ca="1">IFERROR(__xludf.DUMMYFUNCTION("""COMPUTED_VALUE"""),"#N/A")</f>
        <v>#N/A</v>
      </c>
      <c r="AU1424" s="6" t="str">
        <f ca="1">IFERROR(__xludf.DUMMYFUNCTION("""COMPUTED_VALUE"""),"FALSE")</f>
        <v>FALSE</v>
      </c>
      <c r="AZ1424" s="9"/>
      <c r="BC1424" s="9"/>
      <c r="BF1424" s="9"/>
      <c r="BI1424" s="9"/>
    </row>
    <row r="1425" spans="18:61">
      <c r="R1425" s="6"/>
      <c r="AS1425" s="15"/>
      <c r="AT1425" s="6" t="str">
        <f ca="1">IFERROR(__xludf.DUMMYFUNCTION("""COMPUTED_VALUE"""),"#N/A")</f>
        <v>#N/A</v>
      </c>
      <c r="AU1425" s="6" t="str">
        <f ca="1">IFERROR(__xludf.DUMMYFUNCTION("""COMPUTED_VALUE"""),"FALSE")</f>
        <v>FALSE</v>
      </c>
      <c r="AZ1425" s="9"/>
      <c r="BC1425" s="9"/>
      <c r="BF1425" s="9"/>
      <c r="BI1425" s="9"/>
    </row>
    <row r="1426" spans="18:61">
      <c r="R1426" s="6"/>
      <c r="AS1426" s="15"/>
      <c r="AT1426" s="6" t="str">
        <f ca="1">IFERROR(__xludf.DUMMYFUNCTION("""COMPUTED_VALUE"""),"#N/A")</f>
        <v>#N/A</v>
      </c>
      <c r="AU1426" s="6" t="str">
        <f ca="1">IFERROR(__xludf.DUMMYFUNCTION("""COMPUTED_VALUE"""),"FALSE")</f>
        <v>FALSE</v>
      </c>
      <c r="AZ1426" s="9"/>
      <c r="BC1426" s="9"/>
      <c r="BF1426" s="9"/>
      <c r="BI1426" s="9"/>
    </row>
    <row r="1427" spans="18:61">
      <c r="R1427" s="6"/>
      <c r="AS1427" s="15"/>
      <c r="AT1427" s="6" t="str">
        <f ca="1">IFERROR(__xludf.DUMMYFUNCTION("""COMPUTED_VALUE"""),"#N/A")</f>
        <v>#N/A</v>
      </c>
      <c r="AU1427" s="6" t="str">
        <f ca="1">IFERROR(__xludf.DUMMYFUNCTION("""COMPUTED_VALUE"""),"FALSE")</f>
        <v>FALSE</v>
      </c>
      <c r="AZ1427" s="9"/>
      <c r="BC1427" s="9"/>
      <c r="BF1427" s="9"/>
      <c r="BI1427" s="9"/>
    </row>
    <row r="1428" spans="18:61">
      <c r="R1428" s="6"/>
      <c r="AS1428" s="15"/>
      <c r="AT1428" s="6" t="str">
        <f ca="1">IFERROR(__xludf.DUMMYFUNCTION("""COMPUTED_VALUE"""),"#N/A")</f>
        <v>#N/A</v>
      </c>
      <c r="AU1428" s="6" t="str">
        <f ca="1">IFERROR(__xludf.DUMMYFUNCTION("""COMPUTED_VALUE"""),"FALSE")</f>
        <v>FALSE</v>
      </c>
      <c r="AZ1428" s="9"/>
      <c r="BC1428" s="9"/>
      <c r="BF1428" s="9"/>
      <c r="BI1428" s="9"/>
    </row>
    <row r="1429" spans="18:61">
      <c r="R1429" s="6"/>
      <c r="AS1429" s="15"/>
      <c r="AT1429" s="6" t="str">
        <f ca="1">IFERROR(__xludf.DUMMYFUNCTION("""COMPUTED_VALUE"""),"#N/A")</f>
        <v>#N/A</v>
      </c>
      <c r="AU1429" s="6" t="str">
        <f ca="1">IFERROR(__xludf.DUMMYFUNCTION("""COMPUTED_VALUE"""),"FALSE")</f>
        <v>FALSE</v>
      </c>
      <c r="AZ1429" s="9"/>
      <c r="BC1429" s="9"/>
      <c r="BF1429" s="9"/>
      <c r="BI1429" s="9"/>
    </row>
    <row r="1430" spans="18:61">
      <c r="R1430" s="6"/>
      <c r="AS1430" s="15"/>
      <c r="AT1430" s="6" t="str">
        <f ca="1">IFERROR(__xludf.DUMMYFUNCTION("""COMPUTED_VALUE"""),"#N/A")</f>
        <v>#N/A</v>
      </c>
      <c r="AU1430" s="6" t="str">
        <f ca="1">IFERROR(__xludf.DUMMYFUNCTION("""COMPUTED_VALUE"""),"FALSE")</f>
        <v>FALSE</v>
      </c>
      <c r="AZ1430" s="9"/>
      <c r="BC1430" s="9"/>
      <c r="BF1430" s="9"/>
      <c r="BI1430" s="9"/>
    </row>
    <row r="1431" spans="18:61">
      <c r="R1431" s="6"/>
      <c r="AS1431" s="15"/>
      <c r="AT1431" s="6" t="str">
        <f ca="1">IFERROR(__xludf.DUMMYFUNCTION("""COMPUTED_VALUE"""),"#N/A")</f>
        <v>#N/A</v>
      </c>
      <c r="AU1431" s="6" t="str">
        <f ca="1">IFERROR(__xludf.DUMMYFUNCTION("""COMPUTED_VALUE"""),"FALSE")</f>
        <v>FALSE</v>
      </c>
      <c r="AZ1431" s="9"/>
      <c r="BC1431" s="9"/>
      <c r="BF1431" s="9"/>
      <c r="BI1431" s="9"/>
    </row>
    <row r="1432" spans="18:61">
      <c r="R1432" s="6"/>
      <c r="AS1432" s="15"/>
      <c r="AT1432" s="6" t="str">
        <f ca="1">IFERROR(__xludf.DUMMYFUNCTION("""COMPUTED_VALUE"""),"#N/A")</f>
        <v>#N/A</v>
      </c>
      <c r="AU1432" s="6" t="str">
        <f ca="1">IFERROR(__xludf.DUMMYFUNCTION("""COMPUTED_VALUE"""),"FALSE")</f>
        <v>FALSE</v>
      </c>
      <c r="AZ1432" s="9"/>
      <c r="BC1432" s="9"/>
      <c r="BF1432" s="9"/>
      <c r="BI1432" s="9"/>
    </row>
    <row r="1433" spans="18:61">
      <c r="R1433" s="6"/>
      <c r="AS1433" s="15"/>
      <c r="AT1433" s="6" t="str">
        <f ca="1">IFERROR(__xludf.DUMMYFUNCTION("""COMPUTED_VALUE"""),"#N/A")</f>
        <v>#N/A</v>
      </c>
      <c r="AU1433" s="6" t="str">
        <f ca="1">IFERROR(__xludf.DUMMYFUNCTION("""COMPUTED_VALUE"""),"FALSE")</f>
        <v>FALSE</v>
      </c>
      <c r="AZ1433" s="9"/>
      <c r="BC1433" s="9"/>
      <c r="BF1433" s="9"/>
      <c r="BI1433" s="9"/>
    </row>
    <row r="1434" spans="18:61">
      <c r="R1434" s="6"/>
      <c r="AS1434" s="15"/>
      <c r="AT1434" s="6" t="str">
        <f ca="1">IFERROR(__xludf.DUMMYFUNCTION("""COMPUTED_VALUE"""),"#N/A")</f>
        <v>#N/A</v>
      </c>
      <c r="AU1434" s="6" t="str">
        <f ca="1">IFERROR(__xludf.DUMMYFUNCTION("""COMPUTED_VALUE"""),"FALSE")</f>
        <v>FALSE</v>
      </c>
      <c r="AZ1434" s="9"/>
      <c r="BC1434" s="9"/>
      <c r="BF1434" s="9"/>
      <c r="BI1434" s="9"/>
    </row>
    <row r="1435" spans="18:61">
      <c r="R1435" s="6"/>
      <c r="AS1435" s="15"/>
      <c r="AT1435" s="6" t="str">
        <f ca="1">IFERROR(__xludf.DUMMYFUNCTION("""COMPUTED_VALUE"""),"#N/A")</f>
        <v>#N/A</v>
      </c>
      <c r="AU1435" s="6" t="str">
        <f ca="1">IFERROR(__xludf.DUMMYFUNCTION("""COMPUTED_VALUE"""),"FALSE")</f>
        <v>FALSE</v>
      </c>
      <c r="AZ1435" s="9"/>
      <c r="BC1435" s="9"/>
      <c r="BF1435" s="9"/>
      <c r="BI1435" s="9"/>
    </row>
    <row r="1436" spans="18:61">
      <c r="R1436" s="6"/>
      <c r="AS1436" s="15"/>
      <c r="AT1436" s="6" t="str">
        <f ca="1">IFERROR(__xludf.DUMMYFUNCTION("""COMPUTED_VALUE"""),"#N/A")</f>
        <v>#N/A</v>
      </c>
      <c r="AU1436" s="6" t="str">
        <f ca="1">IFERROR(__xludf.DUMMYFUNCTION("""COMPUTED_VALUE"""),"FALSE")</f>
        <v>FALSE</v>
      </c>
      <c r="AZ1436" s="9"/>
      <c r="BC1436" s="9"/>
      <c r="BF1436" s="9"/>
      <c r="BI1436" s="9"/>
    </row>
    <row r="1437" spans="18:61">
      <c r="R1437" s="6"/>
      <c r="AS1437" s="15"/>
      <c r="AT1437" s="6" t="str">
        <f ca="1">IFERROR(__xludf.DUMMYFUNCTION("""COMPUTED_VALUE"""),"#N/A")</f>
        <v>#N/A</v>
      </c>
      <c r="AU1437" s="6" t="str">
        <f ca="1">IFERROR(__xludf.DUMMYFUNCTION("""COMPUTED_VALUE"""),"FALSE")</f>
        <v>FALSE</v>
      </c>
      <c r="AZ1437" s="9"/>
      <c r="BC1437" s="9"/>
      <c r="BF1437" s="9"/>
      <c r="BI1437" s="9"/>
    </row>
    <row r="1438" spans="18:61">
      <c r="R1438" s="6"/>
      <c r="AS1438" s="15"/>
      <c r="AT1438" s="6" t="str">
        <f ca="1">IFERROR(__xludf.DUMMYFUNCTION("""COMPUTED_VALUE"""),"#N/A")</f>
        <v>#N/A</v>
      </c>
      <c r="AU1438" s="6" t="str">
        <f ca="1">IFERROR(__xludf.DUMMYFUNCTION("""COMPUTED_VALUE"""),"FALSE")</f>
        <v>FALSE</v>
      </c>
      <c r="AZ1438" s="9"/>
      <c r="BC1438" s="9"/>
      <c r="BF1438" s="9"/>
      <c r="BI1438" s="9"/>
    </row>
    <row r="1439" spans="18:61">
      <c r="R1439" s="6"/>
      <c r="AS1439" s="15"/>
      <c r="AT1439" s="6" t="str">
        <f ca="1">IFERROR(__xludf.DUMMYFUNCTION("""COMPUTED_VALUE"""),"#N/A")</f>
        <v>#N/A</v>
      </c>
      <c r="AU1439" s="6" t="str">
        <f ca="1">IFERROR(__xludf.DUMMYFUNCTION("""COMPUTED_VALUE"""),"FALSE")</f>
        <v>FALSE</v>
      </c>
      <c r="AZ1439" s="9"/>
      <c r="BC1439" s="9"/>
      <c r="BF1439" s="9"/>
      <c r="BI1439" s="9"/>
    </row>
    <row r="1440" spans="18:61">
      <c r="R1440" s="6"/>
      <c r="AS1440" s="15"/>
      <c r="AT1440" s="6" t="str">
        <f ca="1">IFERROR(__xludf.DUMMYFUNCTION("""COMPUTED_VALUE"""),"#N/A")</f>
        <v>#N/A</v>
      </c>
      <c r="AU1440" s="6" t="str">
        <f ca="1">IFERROR(__xludf.DUMMYFUNCTION("""COMPUTED_VALUE"""),"FALSE")</f>
        <v>FALSE</v>
      </c>
      <c r="AZ1440" s="9"/>
      <c r="BC1440" s="9"/>
      <c r="BF1440" s="9"/>
      <c r="BI1440" s="9"/>
    </row>
    <row r="1441" spans="18:61">
      <c r="R1441" s="6"/>
      <c r="AS1441" s="15"/>
      <c r="AT1441" s="6" t="str">
        <f ca="1">IFERROR(__xludf.DUMMYFUNCTION("""COMPUTED_VALUE"""),"#N/A")</f>
        <v>#N/A</v>
      </c>
      <c r="AU1441" s="6" t="str">
        <f ca="1">IFERROR(__xludf.DUMMYFUNCTION("""COMPUTED_VALUE"""),"FALSE")</f>
        <v>FALSE</v>
      </c>
      <c r="AZ1441" s="9"/>
      <c r="BC1441" s="9"/>
      <c r="BF1441" s="9"/>
      <c r="BI1441" s="9"/>
    </row>
    <row r="1442" spans="18:61">
      <c r="R1442" s="6"/>
      <c r="AS1442" s="15"/>
      <c r="AT1442" s="6" t="str">
        <f ca="1">IFERROR(__xludf.DUMMYFUNCTION("""COMPUTED_VALUE"""),"#N/A")</f>
        <v>#N/A</v>
      </c>
      <c r="AU1442" s="6" t="str">
        <f ca="1">IFERROR(__xludf.DUMMYFUNCTION("""COMPUTED_VALUE"""),"FALSE")</f>
        <v>FALSE</v>
      </c>
      <c r="AZ1442" s="9"/>
      <c r="BC1442" s="9"/>
      <c r="BF1442" s="9"/>
      <c r="BI1442" s="9"/>
    </row>
    <row r="1443" spans="18:61">
      <c r="R1443" s="6"/>
      <c r="AS1443" s="15"/>
      <c r="AT1443" s="6" t="str">
        <f ca="1">IFERROR(__xludf.DUMMYFUNCTION("""COMPUTED_VALUE"""),"#N/A")</f>
        <v>#N/A</v>
      </c>
      <c r="AU1443" s="6" t="str">
        <f ca="1">IFERROR(__xludf.DUMMYFUNCTION("""COMPUTED_VALUE"""),"FALSE")</f>
        <v>FALSE</v>
      </c>
      <c r="AZ1443" s="9"/>
      <c r="BC1443" s="9"/>
      <c r="BF1443" s="9"/>
      <c r="BI1443" s="9"/>
    </row>
    <row r="1444" spans="18:61">
      <c r="R1444" s="6"/>
      <c r="AS1444" s="15"/>
      <c r="AT1444" s="6" t="str">
        <f ca="1">IFERROR(__xludf.DUMMYFUNCTION("""COMPUTED_VALUE"""),"#N/A")</f>
        <v>#N/A</v>
      </c>
      <c r="AU1444" s="6" t="str">
        <f ca="1">IFERROR(__xludf.DUMMYFUNCTION("""COMPUTED_VALUE"""),"FALSE")</f>
        <v>FALSE</v>
      </c>
      <c r="AZ1444" s="9"/>
      <c r="BC1444" s="9"/>
      <c r="BF1444" s="9"/>
      <c r="BI1444" s="9"/>
    </row>
    <row r="1445" spans="18:61">
      <c r="R1445" s="6"/>
      <c r="AS1445" s="15"/>
      <c r="AT1445" s="6" t="str">
        <f ca="1">IFERROR(__xludf.DUMMYFUNCTION("""COMPUTED_VALUE"""),"#N/A")</f>
        <v>#N/A</v>
      </c>
      <c r="AU1445" s="6" t="str">
        <f ca="1">IFERROR(__xludf.DUMMYFUNCTION("""COMPUTED_VALUE"""),"FALSE")</f>
        <v>FALSE</v>
      </c>
      <c r="AZ1445" s="9"/>
      <c r="BC1445" s="9"/>
      <c r="BF1445" s="9"/>
      <c r="BI1445" s="9"/>
    </row>
    <row r="1446" spans="18:61">
      <c r="R1446" s="6"/>
      <c r="AS1446" s="15"/>
      <c r="AT1446" s="6" t="str">
        <f ca="1">IFERROR(__xludf.DUMMYFUNCTION("""COMPUTED_VALUE"""),"#N/A")</f>
        <v>#N/A</v>
      </c>
      <c r="AU1446" s="6" t="str">
        <f ca="1">IFERROR(__xludf.DUMMYFUNCTION("""COMPUTED_VALUE"""),"FALSE")</f>
        <v>FALSE</v>
      </c>
      <c r="AZ1446" s="9"/>
      <c r="BC1446" s="9"/>
      <c r="BF1446" s="9"/>
      <c r="BI1446" s="9"/>
    </row>
    <row r="1447" spans="18:61">
      <c r="R1447" s="6"/>
      <c r="AS1447" s="15"/>
      <c r="AT1447" s="6" t="str">
        <f ca="1">IFERROR(__xludf.DUMMYFUNCTION("""COMPUTED_VALUE"""),"#N/A")</f>
        <v>#N/A</v>
      </c>
      <c r="AU1447" s="6" t="str">
        <f ca="1">IFERROR(__xludf.DUMMYFUNCTION("""COMPUTED_VALUE"""),"FALSE")</f>
        <v>FALSE</v>
      </c>
      <c r="AZ1447" s="9"/>
      <c r="BC1447" s="9"/>
      <c r="BF1447" s="9"/>
      <c r="BI1447" s="9"/>
    </row>
    <row r="1448" spans="18:61">
      <c r="R1448" s="6"/>
      <c r="AS1448" s="15"/>
      <c r="AT1448" s="6" t="str">
        <f ca="1">IFERROR(__xludf.DUMMYFUNCTION("""COMPUTED_VALUE"""),"#N/A")</f>
        <v>#N/A</v>
      </c>
      <c r="AU1448" s="6" t="str">
        <f ca="1">IFERROR(__xludf.DUMMYFUNCTION("""COMPUTED_VALUE"""),"FALSE")</f>
        <v>FALSE</v>
      </c>
      <c r="AZ1448" s="9"/>
      <c r="BC1448" s="9"/>
      <c r="BF1448" s="9"/>
      <c r="BI1448" s="9"/>
    </row>
    <row r="1449" spans="18:61">
      <c r="R1449" s="6"/>
      <c r="AS1449" s="15"/>
      <c r="AT1449" s="6" t="str">
        <f ca="1">IFERROR(__xludf.DUMMYFUNCTION("""COMPUTED_VALUE"""),"#N/A")</f>
        <v>#N/A</v>
      </c>
      <c r="AU1449" s="6" t="str">
        <f ca="1">IFERROR(__xludf.DUMMYFUNCTION("""COMPUTED_VALUE"""),"FALSE")</f>
        <v>FALSE</v>
      </c>
      <c r="AZ1449" s="9"/>
      <c r="BC1449" s="9"/>
      <c r="BF1449" s="9"/>
      <c r="BI1449" s="9"/>
    </row>
    <row r="1450" spans="18:61">
      <c r="R1450" s="6"/>
      <c r="AS1450" s="15"/>
      <c r="AT1450" s="6" t="str">
        <f ca="1">IFERROR(__xludf.DUMMYFUNCTION("""COMPUTED_VALUE"""),"#N/A")</f>
        <v>#N/A</v>
      </c>
      <c r="AU1450" s="6" t="str">
        <f ca="1">IFERROR(__xludf.DUMMYFUNCTION("""COMPUTED_VALUE"""),"FALSE")</f>
        <v>FALSE</v>
      </c>
      <c r="AZ1450" s="9"/>
      <c r="BC1450" s="9"/>
      <c r="BF1450" s="9"/>
      <c r="BI1450" s="9"/>
    </row>
    <row r="1451" spans="18:61">
      <c r="R1451" s="6"/>
      <c r="AS1451" s="15"/>
      <c r="AT1451" s="6" t="str">
        <f ca="1">IFERROR(__xludf.DUMMYFUNCTION("""COMPUTED_VALUE"""),"#N/A")</f>
        <v>#N/A</v>
      </c>
      <c r="AU1451" s="6" t="str">
        <f ca="1">IFERROR(__xludf.DUMMYFUNCTION("""COMPUTED_VALUE"""),"FALSE")</f>
        <v>FALSE</v>
      </c>
      <c r="AZ1451" s="9"/>
      <c r="BC1451" s="9"/>
      <c r="BF1451" s="9"/>
      <c r="BI1451" s="9"/>
    </row>
    <row r="1452" spans="18:61">
      <c r="R1452" s="6"/>
      <c r="AS1452" s="15"/>
      <c r="AT1452" s="6" t="str">
        <f ca="1">IFERROR(__xludf.DUMMYFUNCTION("""COMPUTED_VALUE"""),"#N/A")</f>
        <v>#N/A</v>
      </c>
      <c r="AU1452" s="6" t="str">
        <f ca="1">IFERROR(__xludf.DUMMYFUNCTION("""COMPUTED_VALUE"""),"FALSE")</f>
        <v>FALSE</v>
      </c>
      <c r="AZ1452" s="9"/>
      <c r="BC1452" s="9"/>
      <c r="BF1452" s="9"/>
      <c r="BI1452" s="9"/>
    </row>
    <row r="1453" spans="18:61">
      <c r="R1453" s="6"/>
      <c r="AS1453" s="15"/>
      <c r="AT1453" s="6" t="str">
        <f ca="1">IFERROR(__xludf.DUMMYFUNCTION("""COMPUTED_VALUE"""),"#N/A")</f>
        <v>#N/A</v>
      </c>
      <c r="AU1453" s="6" t="str">
        <f ca="1">IFERROR(__xludf.DUMMYFUNCTION("""COMPUTED_VALUE"""),"FALSE")</f>
        <v>FALSE</v>
      </c>
      <c r="AZ1453" s="9"/>
      <c r="BC1453" s="9"/>
      <c r="BF1453" s="9"/>
      <c r="BI1453" s="9"/>
    </row>
    <row r="1454" spans="18:61">
      <c r="R1454" s="6"/>
      <c r="AS1454" s="15"/>
      <c r="AT1454" s="6" t="str">
        <f ca="1">IFERROR(__xludf.DUMMYFUNCTION("""COMPUTED_VALUE"""),"#N/A")</f>
        <v>#N/A</v>
      </c>
      <c r="AU1454" s="6" t="str">
        <f ca="1">IFERROR(__xludf.DUMMYFUNCTION("""COMPUTED_VALUE"""),"FALSE")</f>
        <v>FALSE</v>
      </c>
      <c r="AZ1454" s="9"/>
      <c r="BC1454" s="9"/>
      <c r="BF1454" s="9"/>
      <c r="BI1454" s="9"/>
    </row>
    <row r="1455" spans="18:61">
      <c r="R1455" s="6"/>
      <c r="AS1455" s="15"/>
      <c r="AT1455" s="6" t="str">
        <f ca="1">IFERROR(__xludf.DUMMYFUNCTION("""COMPUTED_VALUE"""),"#N/A")</f>
        <v>#N/A</v>
      </c>
      <c r="AU1455" s="6" t="str">
        <f ca="1">IFERROR(__xludf.DUMMYFUNCTION("""COMPUTED_VALUE"""),"FALSE")</f>
        <v>FALSE</v>
      </c>
      <c r="AZ1455" s="9"/>
      <c r="BC1455" s="9"/>
      <c r="BF1455" s="9"/>
      <c r="BI1455" s="9"/>
    </row>
    <row r="1456" spans="18:61">
      <c r="R1456" s="6"/>
      <c r="AS1456" s="15"/>
      <c r="AT1456" s="6" t="str">
        <f ca="1">IFERROR(__xludf.DUMMYFUNCTION("""COMPUTED_VALUE"""),"#N/A")</f>
        <v>#N/A</v>
      </c>
      <c r="AU1456" s="6" t="str">
        <f ca="1">IFERROR(__xludf.DUMMYFUNCTION("""COMPUTED_VALUE"""),"FALSE")</f>
        <v>FALSE</v>
      </c>
      <c r="AZ1456" s="9"/>
      <c r="BC1456" s="9"/>
      <c r="BF1456" s="9"/>
      <c r="BI1456" s="9"/>
    </row>
    <row r="1457" spans="18:61">
      <c r="R1457" s="6"/>
      <c r="AS1457" s="15"/>
      <c r="AT1457" s="6" t="str">
        <f ca="1">IFERROR(__xludf.DUMMYFUNCTION("""COMPUTED_VALUE"""),"#N/A")</f>
        <v>#N/A</v>
      </c>
      <c r="AU1457" s="6" t="str">
        <f ca="1">IFERROR(__xludf.DUMMYFUNCTION("""COMPUTED_VALUE"""),"FALSE")</f>
        <v>FALSE</v>
      </c>
      <c r="AZ1457" s="9"/>
      <c r="BC1457" s="9"/>
      <c r="BF1457" s="9"/>
      <c r="BI1457" s="9"/>
    </row>
    <row r="1458" spans="18:61">
      <c r="R1458" s="6"/>
      <c r="AS1458" s="15"/>
      <c r="AT1458" s="6" t="str">
        <f ca="1">IFERROR(__xludf.DUMMYFUNCTION("""COMPUTED_VALUE"""),"#N/A")</f>
        <v>#N/A</v>
      </c>
      <c r="AU1458" s="6" t="str">
        <f ca="1">IFERROR(__xludf.DUMMYFUNCTION("""COMPUTED_VALUE"""),"FALSE")</f>
        <v>FALSE</v>
      </c>
      <c r="AZ1458" s="9"/>
      <c r="BC1458" s="9"/>
      <c r="BF1458" s="9"/>
      <c r="BI1458" s="9"/>
    </row>
    <row r="1459" spans="18:61">
      <c r="R1459" s="6"/>
      <c r="AS1459" s="15"/>
      <c r="AT1459" s="6" t="str">
        <f ca="1">IFERROR(__xludf.DUMMYFUNCTION("""COMPUTED_VALUE"""),"#N/A")</f>
        <v>#N/A</v>
      </c>
      <c r="AU1459" s="6" t="str">
        <f ca="1">IFERROR(__xludf.DUMMYFUNCTION("""COMPUTED_VALUE"""),"FALSE")</f>
        <v>FALSE</v>
      </c>
      <c r="AZ1459" s="9"/>
      <c r="BC1459" s="9"/>
      <c r="BF1459" s="9"/>
      <c r="BI1459" s="9"/>
    </row>
    <row r="1460" spans="18:61">
      <c r="R1460" s="6"/>
      <c r="AS1460" s="15"/>
      <c r="AT1460" s="6" t="str">
        <f ca="1">IFERROR(__xludf.DUMMYFUNCTION("""COMPUTED_VALUE"""),"#N/A")</f>
        <v>#N/A</v>
      </c>
      <c r="AU1460" s="6" t="str">
        <f ca="1">IFERROR(__xludf.DUMMYFUNCTION("""COMPUTED_VALUE"""),"FALSE")</f>
        <v>FALSE</v>
      </c>
      <c r="AZ1460" s="9"/>
      <c r="BC1460" s="9"/>
      <c r="BF1460" s="9"/>
      <c r="BI1460" s="9"/>
    </row>
    <row r="1461" spans="18:61">
      <c r="R1461" s="6"/>
      <c r="AS1461" s="15"/>
      <c r="AT1461" s="6" t="str">
        <f ca="1">IFERROR(__xludf.DUMMYFUNCTION("""COMPUTED_VALUE"""),"#N/A")</f>
        <v>#N/A</v>
      </c>
      <c r="AU1461" s="6" t="str">
        <f ca="1">IFERROR(__xludf.DUMMYFUNCTION("""COMPUTED_VALUE"""),"FALSE")</f>
        <v>FALSE</v>
      </c>
      <c r="AZ1461" s="9"/>
      <c r="BC1461" s="9"/>
      <c r="BF1461" s="9"/>
      <c r="BI1461" s="9"/>
    </row>
    <row r="1462" spans="18:61">
      <c r="R1462" s="6"/>
      <c r="AS1462" s="15"/>
      <c r="AT1462" s="6" t="str">
        <f ca="1">IFERROR(__xludf.DUMMYFUNCTION("""COMPUTED_VALUE"""),"#N/A")</f>
        <v>#N/A</v>
      </c>
      <c r="AU1462" s="6" t="str">
        <f ca="1">IFERROR(__xludf.DUMMYFUNCTION("""COMPUTED_VALUE"""),"FALSE")</f>
        <v>FALSE</v>
      </c>
      <c r="AZ1462" s="9"/>
      <c r="BC1462" s="9"/>
      <c r="BF1462" s="9"/>
      <c r="BI1462" s="9"/>
    </row>
    <row r="1463" spans="18:61">
      <c r="R1463" s="6"/>
      <c r="AS1463" s="15"/>
      <c r="AT1463" s="6" t="str">
        <f ca="1">IFERROR(__xludf.DUMMYFUNCTION("""COMPUTED_VALUE"""),"#N/A")</f>
        <v>#N/A</v>
      </c>
      <c r="AU1463" s="6" t="str">
        <f ca="1">IFERROR(__xludf.DUMMYFUNCTION("""COMPUTED_VALUE"""),"FALSE")</f>
        <v>FALSE</v>
      </c>
      <c r="AZ1463" s="9"/>
      <c r="BC1463" s="9"/>
      <c r="BF1463" s="9"/>
      <c r="BI1463" s="9"/>
    </row>
    <row r="1464" spans="18:61">
      <c r="R1464" s="6"/>
      <c r="AS1464" s="15"/>
      <c r="AT1464" s="6" t="str">
        <f ca="1">IFERROR(__xludf.DUMMYFUNCTION("""COMPUTED_VALUE"""),"#N/A")</f>
        <v>#N/A</v>
      </c>
      <c r="AU1464" s="6" t="str">
        <f ca="1">IFERROR(__xludf.DUMMYFUNCTION("""COMPUTED_VALUE"""),"FALSE")</f>
        <v>FALSE</v>
      </c>
      <c r="AZ1464" s="9"/>
      <c r="BC1464" s="9"/>
      <c r="BF1464" s="9"/>
      <c r="BI1464" s="9"/>
    </row>
    <row r="1465" spans="18:61">
      <c r="R1465" s="6"/>
      <c r="AS1465" s="15"/>
      <c r="AT1465" s="6" t="str">
        <f ca="1">IFERROR(__xludf.DUMMYFUNCTION("""COMPUTED_VALUE"""),"#N/A")</f>
        <v>#N/A</v>
      </c>
      <c r="AU1465" s="6" t="str">
        <f ca="1">IFERROR(__xludf.DUMMYFUNCTION("""COMPUTED_VALUE"""),"FALSE")</f>
        <v>FALSE</v>
      </c>
      <c r="AZ1465" s="9"/>
      <c r="BC1465" s="9"/>
      <c r="BF1465" s="9"/>
      <c r="BI1465" s="9"/>
    </row>
    <row r="1466" spans="18:61">
      <c r="R1466" s="6"/>
      <c r="AS1466" s="15"/>
      <c r="AT1466" s="6" t="str">
        <f ca="1">IFERROR(__xludf.DUMMYFUNCTION("""COMPUTED_VALUE"""),"#N/A")</f>
        <v>#N/A</v>
      </c>
      <c r="AU1466" s="6" t="str">
        <f ca="1">IFERROR(__xludf.DUMMYFUNCTION("""COMPUTED_VALUE"""),"FALSE")</f>
        <v>FALSE</v>
      </c>
      <c r="AZ1466" s="9"/>
      <c r="BC1466" s="9"/>
      <c r="BF1466" s="9"/>
      <c r="BI1466" s="9"/>
    </row>
    <row r="1467" spans="18:61">
      <c r="R1467" s="6"/>
      <c r="AS1467" s="15"/>
      <c r="AT1467" s="6" t="str">
        <f ca="1">IFERROR(__xludf.DUMMYFUNCTION("""COMPUTED_VALUE"""),"#N/A")</f>
        <v>#N/A</v>
      </c>
      <c r="AU1467" s="6" t="str">
        <f ca="1">IFERROR(__xludf.DUMMYFUNCTION("""COMPUTED_VALUE"""),"FALSE")</f>
        <v>FALSE</v>
      </c>
      <c r="AZ1467" s="9"/>
      <c r="BC1467" s="9"/>
      <c r="BF1467" s="9"/>
      <c r="BI1467" s="9"/>
    </row>
    <row r="1468" spans="18:61">
      <c r="R1468" s="6"/>
      <c r="AS1468" s="15"/>
      <c r="AT1468" s="6" t="str">
        <f ca="1">IFERROR(__xludf.DUMMYFUNCTION("""COMPUTED_VALUE"""),"#N/A")</f>
        <v>#N/A</v>
      </c>
      <c r="AU1468" s="6" t="str">
        <f ca="1">IFERROR(__xludf.DUMMYFUNCTION("""COMPUTED_VALUE"""),"FALSE")</f>
        <v>FALSE</v>
      </c>
      <c r="AZ1468" s="9"/>
      <c r="BC1468" s="9"/>
      <c r="BF1468" s="9"/>
      <c r="BI1468" s="9"/>
    </row>
    <row r="1469" spans="18:61">
      <c r="R1469" s="6"/>
      <c r="AS1469" s="15"/>
      <c r="AT1469" s="6" t="str">
        <f ca="1">IFERROR(__xludf.DUMMYFUNCTION("""COMPUTED_VALUE"""),"#N/A")</f>
        <v>#N/A</v>
      </c>
      <c r="AU1469" s="6" t="str">
        <f ca="1">IFERROR(__xludf.DUMMYFUNCTION("""COMPUTED_VALUE"""),"FALSE")</f>
        <v>FALSE</v>
      </c>
      <c r="AZ1469" s="9"/>
      <c r="BC1469" s="9"/>
      <c r="BF1469" s="9"/>
      <c r="BI1469" s="9"/>
    </row>
    <row r="1470" spans="18:61">
      <c r="R1470" s="6"/>
      <c r="AS1470" s="15"/>
      <c r="AT1470" s="6" t="str">
        <f ca="1">IFERROR(__xludf.DUMMYFUNCTION("""COMPUTED_VALUE"""),"#N/A")</f>
        <v>#N/A</v>
      </c>
      <c r="AU1470" s="6" t="str">
        <f ca="1">IFERROR(__xludf.DUMMYFUNCTION("""COMPUTED_VALUE"""),"FALSE")</f>
        <v>FALSE</v>
      </c>
      <c r="AZ1470" s="9"/>
      <c r="BC1470" s="9"/>
      <c r="BF1470" s="9"/>
      <c r="BI1470" s="9"/>
    </row>
    <row r="1471" spans="18:61">
      <c r="R1471" s="6"/>
      <c r="AS1471" s="15"/>
      <c r="AT1471" s="6" t="str">
        <f ca="1">IFERROR(__xludf.DUMMYFUNCTION("""COMPUTED_VALUE"""),"#N/A")</f>
        <v>#N/A</v>
      </c>
      <c r="AU1471" s="6" t="str">
        <f ca="1">IFERROR(__xludf.DUMMYFUNCTION("""COMPUTED_VALUE"""),"FALSE")</f>
        <v>FALSE</v>
      </c>
      <c r="AZ1471" s="9"/>
      <c r="BC1471" s="9"/>
      <c r="BF1471" s="9"/>
      <c r="BI1471" s="9"/>
    </row>
    <row r="1472" spans="18:61">
      <c r="R1472" s="6"/>
      <c r="AS1472" s="15"/>
      <c r="AT1472" s="6" t="str">
        <f ca="1">IFERROR(__xludf.DUMMYFUNCTION("""COMPUTED_VALUE"""),"#N/A")</f>
        <v>#N/A</v>
      </c>
      <c r="AU1472" s="6" t="str">
        <f ca="1">IFERROR(__xludf.DUMMYFUNCTION("""COMPUTED_VALUE"""),"FALSE")</f>
        <v>FALSE</v>
      </c>
      <c r="AZ1472" s="9"/>
      <c r="BC1472" s="9"/>
      <c r="BF1472" s="9"/>
      <c r="BI1472" s="9"/>
    </row>
    <row r="1473" spans="18:61">
      <c r="R1473" s="6"/>
      <c r="AS1473" s="15"/>
      <c r="AT1473" s="6" t="str">
        <f ca="1">IFERROR(__xludf.DUMMYFUNCTION("""COMPUTED_VALUE"""),"#N/A")</f>
        <v>#N/A</v>
      </c>
      <c r="AU1473" s="6" t="str">
        <f ca="1">IFERROR(__xludf.DUMMYFUNCTION("""COMPUTED_VALUE"""),"FALSE")</f>
        <v>FALSE</v>
      </c>
      <c r="AZ1473" s="9"/>
      <c r="BC1473" s="9"/>
      <c r="BF1473" s="9"/>
      <c r="BI1473" s="9"/>
    </row>
    <row r="1474" spans="18:61">
      <c r="R1474" s="6"/>
      <c r="AS1474" s="15"/>
      <c r="AT1474" s="6" t="str">
        <f ca="1">IFERROR(__xludf.DUMMYFUNCTION("""COMPUTED_VALUE"""),"#N/A")</f>
        <v>#N/A</v>
      </c>
      <c r="AU1474" s="6" t="str">
        <f ca="1">IFERROR(__xludf.DUMMYFUNCTION("""COMPUTED_VALUE"""),"FALSE")</f>
        <v>FALSE</v>
      </c>
      <c r="AZ1474" s="9"/>
      <c r="BC1474" s="9"/>
      <c r="BF1474" s="9"/>
      <c r="BI1474" s="9"/>
    </row>
    <row r="1475" spans="18:61">
      <c r="R1475" s="6"/>
      <c r="AS1475" s="15"/>
      <c r="AT1475" s="6" t="str">
        <f ca="1">IFERROR(__xludf.DUMMYFUNCTION("""COMPUTED_VALUE"""),"#N/A")</f>
        <v>#N/A</v>
      </c>
      <c r="AU1475" s="6" t="str">
        <f ca="1">IFERROR(__xludf.DUMMYFUNCTION("""COMPUTED_VALUE"""),"FALSE")</f>
        <v>FALSE</v>
      </c>
      <c r="AZ1475" s="9"/>
      <c r="BC1475" s="9"/>
      <c r="BF1475" s="9"/>
      <c r="BI1475" s="9"/>
    </row>
    <row r="1476" spans="18:61">
      <c r="R1476" s="6"/>
      <c r="AS1476" s="15"/>
      <c r="AT1476" s="6" t="str">
        <f ca="1">IFERROR(__xludf.DUMMYFUNCTION("""COMPUTED_VALUE"""),"#N/A")</f>
        <v>#N/A</v>
      </c>
      <c r="AU1476" s="6" t="str">
        <f ca="1">IFERROR(__xludf.DUMMYFUNCTION("""COMPUTED_VALUE"""),"FALSE")</f>
        <v>FALSE</v>
      </c>
      <c r="AZ1476" s="9"/>
      <c r="BC1476" s="9"/>
      <c r="BF1476" s="9"/>
      <c r="BI1476" s="9"/>
    </row>
    <row r="1477" spans="18:61">
      <c r="R1477" s="6"/>
      <c r="AS1477" s="15"/>
      <c r="AT1477" s="6" t="str">
        <f ca="1">IFERROR(__xludf.DUMMYFUNCTION("""COMPUTED_VALUE"""),"#N/A")</f>
        <v>#N/A</v>
      </c>
      <c r="AU1477" s="6" t="str">
        <f ca="1">IFERROR(__xludf.DUMMYFUNCTION("""COMPUTED_VALUE"""),"FALSE")</f>
        <v>FALSE</v>
      </c>
      <c r="AZ1477" s="9"/>
      <c r="BC1477" s="9"/>
      <c r="BF1477" s="9"/>
      <c r="BI1477" s="9"/>
    </row>
    <row r="1478" spans="18:61">
      <c r="R1478" s="6"/>
      <c r="AS1478" s="15"/>
      <c r="AT1478" s="6" t="str">
        <f ca="1">IFERROR(__xludf.DUMMYFUNCTION("""COMPUTED_VALUE"""),"#N/A")</f>
        <v>#N/A</v>
      </c>
      <c r="AU1478" s="6" t="str">
        <f ca="1">IFERROR(__xludf.DUMMYFUNCTION("""COMPUTED_VALUE"""),"FALSE")</f>
        <v>FALSE</v>
      </c>
      <c r="AZ1478" s="9"/>
      <c r="BC1478" s="9"/>
      <c r="BF1478" s="9"/>
      <c r="BI1478" s="9"/>
    </row>
    <row r="1479" spans="18:61">
      <c r="R1479" s="6"/>
      <c r="AS1479" s="15"/>
      <c r="AT1479" s="6" t="str">
        <f ca="1">IFERROR(__xludf.DUMMYFUNCTION("""COMPUTED_VALUE"""),"#N/A")</f>
        <v>#N/A</v>
      </c>
      <c r="AU1479" s="6" t="str">
        <f ca="1">IFERROR(__xludf.DUMMYFUNCTION("""COMPUTED_VALUE"""),"FALSE")</f>
        <v>FALSE</v>
      </c>
      <c r="AZ1479" s="9"/>
      <c r="BC1479" s="9"/>
      <c r="BF1479" s="9"/>
      <c r="BI1479" s="9"/>
    </row>
    <row r="1480" spans="18:61">
      <c r="R1480" s="6"/>
      <c r="AS1480" s="15"/>
      <c r="AT1480" s="6" t="str">
        <f ca="1">IFERROR(__xludf.DUMMYFUNCTION("""COMPUTED_VALUE"""),"#N/A")</f>
        <v>#N/A</v>
      </c>
      <c r="AU1480" s="6" t="str">
        <f ca="1">IFERROR(__xludf.DUMMYFUNCTION("""COMPUTED_VALUE"""),"FALSE")</f>
        <v>FALSE</v>
      </c>
      <c r="AZ1480" s="9"/>
      <c r="BC1480" s="9"/>
      <c r="BF1480" s="9"/>
      <c r="BI1480" s="9"/>
    </row>
    <row r="1481" spans="18:61">
      <c r="R1481" s="6"/>
      <c r="AS1481" s="15"/>
      <c r="AT1481" s="6" t="str">
        <f ca="1">IFERROR(__xludf.DUMMYFUNCTION("""COMPUTED_VALUE"""),"#N/A")</f>
        <v>#N/A</v>
      </c>
      <c r="AU1481" s="6" t="str">
        <f ca="1">IFERROR(__xludf.DUMMYFUNCTION("""COMPUTED_VALUE"""),"FALSE")</f>
        <v>FALSE</v>
      </c>
      <c r="AZ1481" s="9"/>
      <c r="BC1481" s="9"/>
      <c r="BF1481" s="9"/>
      <c r="BI1481" s="9"/>
    </row>
    <row r="1482" spans="18:61">
      <c r="R1482" s="6"/>
      <c r="AS1482" s="15"/>
      <c r="AT1482" s="6" t="str">
        <f ca="1">IFERROR(__xludf.DUMMYFUNCTION("""COMPUTED_VALUE"""),"#N/A")</f>
        <v>#N/A</v>
      </c>
      <c r="AU1482" s="6" t="str">
        <f ca="1">IFERROR(__xludf.DUMMYFUNCTION("""COMPUTED_VALUE"""),"FALSE")</f>
        <v>FALSE</v>
      </c>
      <c r="AZ1482" s="9"/>
      <c r="BC1482" s="9"/>
      <c r="BF1482" s="9"/>
      <c r="BI1482" s="9"/>
    </row>
    <row r="1483" spans="18:61">
      <c r="R1483" s="6"/>
      <c r="AS1483" s="15"/>
      <c r="AT1483" s="6" t="str">
        <f ca="1">IFERROR(__xludf.DUMMYFUNCTION("""COMPUTED_VALUE"""),"#N/A")</f>
        <v>#N/A</v>
      </c>
      <c r="AU1483" s="6" t="str">
        <f ca="1">IFERROR(__xludf.DUMMYFUNCTION("""COMPUTED_VALUE"""),"FALSE")</f>
        <v>FALSE</v>
      </c>
      <c r="AZ1483" s="9"/>
      <c r="BC1483" s="9"/>
      <c r="BF1483" s="9"/>
      <c r="BI1483" s="9"/>
    </row>
    <row r="1484" spans="18:61">
      <c r="R1484" s="6"/>
      <c r="AS1484" s="15"/>
      <c r="AT1484" s="6" t="str">
        <f ca="1">IFERROR(__xludf.DUMMYFUNCTION("""COMPUTED_VALUE"""),"#N/A")</f>
        <v>#N/A</v>
      </c>
      <c r="AU1484" s="6" t="str">
        <f ca="1">IFERROR(__xludf.DUMMYFUNCTION("""COMPUTED_VALUE"""),"FALSE")</f>
        <v>FALSE</v>
      </c>
      <c r="AZ1484" s="9"/>
      <c r="BC1484" s="9"/>
      <c r="BF1484" s="9"/>
      <c r="BI1484" s="9"/>
    </row>
    <row r="1485" spans="18:61">
      <c r="R1485" s="6"/>
      <c r="AS1485" s="15"/>
      <c r="AT1485" s="6" t="str">
        <f ca="1">IFERROR(__xludf.DUMMYFUNCTION("""COMPUTED_VALUE"""),"#N/A")</f>
        <v>#N/A</v>
      </c>
      <c r="AU1485" s="6" t="str">
        <f ca="1">IFERROR(__xludf.DUMMYFUNCTION("""COMPUTED_VALUE"""),"FALSE")</f>
        <v>FALSE</v>
      </c>
      <c r="AZ1485" s="9"/>
      <c r="BC1485" s="9"/>
      <c r="BF1485" s="9"/>
      <c r="BI1485" s="9"/>
    </row>
    <row r="1486" spans="18:61">
      <c r="R1486" s="6"/>
      <c r="AS1486" s="15"/>
      <c r="AT1486" s="6" t="str">
        <f ca="1">IFERROR(__xludf.DUMMYFUNCTION("""COMPUTED_VALUE"""),"#N/A")</f>
        <v>#N/A</v>
      </c>
      <c r="AU1486" s="6" t="str">
        <f ca="1">IFERROR(__xludf.DUMMYFUNCTION("""COMPUTED_VALUE"""),"FALSE")</f>
        <v>FALSE</v>
      </c>
      <c r="AZ1486" s="9"/>
      <c r="BC1486" s="9"/>
      <c r="BF1486" s="9"/>
      <c r="BI1486" s="9"/>
    </row>
    <row r="1487" spans="18:61">
      <c r="R1487" s="6"/>
      <c r="AS1487" s="15"/>
      <c r="AT1487" s="6" t="str">
        <f ca="1">IFERROR(__xludf.DUMMYFUNCTION("""COMPUTED_VALUE"""),"#N/A")</f>
        <v>#N/A</v>
      </c>
      <c r="AU1487" s="6" t="str">
        <f ca="1">IFERROR(__xludf.DUMMYFUNCTION("""COMPUTED_VALUE"""),"FALSE")</f>
        <v>FALSE</v>
      </c>
      <c r="AZ1487" s="9"/>
      <c r="BC1487" s="9"/>
      <c r="BF1487" s="9"/>
      <c r="BI1487" s="9"/>
    </row>
    <row r="1488" spans="18:61">
      <c r="R1488" s="6"/>
      <c r="AS1488" s="15"/>
      <c r="AT1488" s="6" t="str">
        <f ca="1">IFERROR(__xludf.DUMMYFUNCTION("""COMPUTED_VALUE"""),"#N/A")</f>
        <v>#N/A</v>
      </c>
      <c r="AU1488" s="6" t="str">
        <f ca="1">IFERROR(__xludf.DUMMYFUNCTION("""COMPUTED_VALUE"""),"FALSE")</f>
        <v>FALSE</v>
      </c>
      <c r="AZ1488" s="9"/>
      <c r="BC1488" s="9"/>
      <c r="BF1488" s="9"/>
      <c r="BI1488" s="9"/>
    </row>
    <row r="1489" spans="18:61">
      <c r="R1489" s="6"/>
      <c r="AS1489" s="15"/>
      <c r="AT1489" s="6" t="str">
        <f ca="1">IFERROR(__xludf.DUMMYFUNCTION("""COMPUTED_VALUE"""),"#N/A")</f>
        <v>#N/A</v>
      </c>
      <c r="AU1489" s="6" t="str">
        <f ca="1">IFERROR(__xludf.DUMMYFUNCTION("""COMPUTED_VALUE"""),"FALSE")</f>
        <v>FALSE</v>
      </c>
      <c r="AZ1489" s="9"/>
      <c r="BC1489" s="9"/>
      <c r="BF1489" s="9"/>
      <c r="BI1489" s="9"/>
    </row>
    <row r="1490" spans="18:61">
      <c r="R1490" s="6"/>
      <c r="AS1490" s="15"/>
      <c r="AT1490" s="6" t="str">
        <f ca="1">IFERROR(__xludf.DUMMYFUNCTION("""COMPUTED_VALUE"""),"#N/A")</f>
        <v>#N/A</v>
      </c>
      <c r="AU1490" s="6" t="str">
        <f ca="1">IFERROR(__xludf.DUMMYFUNCTION("""COMPUTED_VALUE"""),"FALSE")</f>
        <v>FALSE</v>
      </c>
      <c r="AZ1490" s="9"/>
      <c r="BC1490" s="9"/>
      <c r="BF1490" s="9"/>
      <c r="BI1490" s="9"/>
    </row>
    <row r="1491" spans="18:61">
      <c r="R1491" s="6"/>
      <c r="AS1491" s="15"/>
      <c r="AT1491" s="6" t="str">
        <f ca="1">IFERROR(__xludf.DUMMYFUNCTION("""COMPUTED_VALUE"""),"#N/A")</f>
        <v>#N/A</v>
      </c>
      <c r="AU1491" s="6" t="str">
        <f ca="1">IFERROR(__xludf.DUMMYFUNCTION("""COMPUTED_VALUE"""),"FALSE")</f>
        <v>FALSE</v>
      </c>
      <c r="AZ1491" s="9"/>
      <c r="BC1491" s="9"/>
      <c r="BF1491" s="9"/>
      <c r="BI1491" s="9"/>
    </row>
    <row r="1492" spans="18:61">
      <c r="R1492" s="6"/>
      <c r="AS1492" s="15"/>
      <c r="AT1492" s="6" t="str">
        <f ca="1">IFERROR(__xludf.DUMMYFUNCTION("""COMPUTED_VALUE"""),"#N/A")</f>
        <v>#N/A</v>
      </c>
      <c r="AU1492" s="6" t="str">
        <f ca="1">IFERROR(__xludf.DUMMYFUNCTION("""COMPUTED_VALUE"""),"FALSE")</f>
        <v>FALSE</v>
      </c>
      <c r="AZ1492" s="9"/>
      <c r="BC1492" s="9"/>
      <c r="BF1492" s="9"/>
      <c r="BI1492" s="9"/>
    </row>
    <row r="1493" spans="18:61">
      <c r="R1493" s="6"/>
      <c r="AS1493" s="15"/>
      <c r="AT1493" s="6" t="str">
        <f ca="1">IFERROR(__xludf.DUMMYFUNCTION("""COMPUTED_VALUE"""),"#N/A")</f>
        <v>#N/A</v>
      </c>
      <c r="AU1493" s="6" t="str">
        <f ca="1">IFERROR(__xludf.DUMMYFUNCTION("""COMPUTED_VALUE"""),"FALSE")</f>
        <v>FALSE</v>
      </c>
      <c r="AZ1493" s="9"/>
      <c r="BC1493" s="9"/>
      <c r="BF1493" s="9"/>
      <c r="BI1493" s="9"/>
    </row>
    <row r="1494" spans="18:61">
      <c r="R1494" s="6"/>
      <c r="AS1494" s="15"/>
      <c r="AT1494" s="6" t="str">
        <f ca="1">IFERROR(__xludf.DUMMYFUNCTION("""COMPUTED_VALUE"""),"#N/A")</f>
        <v>#N/A</v>
      </c>
      <c r="AU1494" s="6" t="str">
        <f ca="1">IFERROR(__xludf.DUMMYFUNCTION("""COMPUTED_VALUE"""),"FALSE")</f>
        <v>FALSE</v>
      </c>
      <c r="AZ1494" s="9"/>
      <c r="BC1494" s="9"/>
      <c r="BF1494" s="9"/>
      <c r="BI1494" s="9"/>
    </row>
    <row r="1495" spans="18:61">
      <c r="R1495" s="6"/>
      <c r="AS1495" s="15"/>
      <c r="AT1495" s="6" t="str">
        <f ca="1">IFERROR(__xludf.DUMMYFUNCTION("""COMPUTED_VALUE"""),"#N/A")</f>
        <v>#N/A</v>
      </c>
      <c r="AU1495" s="6" t="str">
        <f ca="1">IFERROR(__xludf.DUMMYFUNCTION("""COMPUTED_VALUE"""),"FALSE")</f>
        <v>FALSE</v>
      </c>
      <c r="AZ1495" s="9"/>
      <c r="BC1495" s="9"/>
      <c r="BF1495" s="9"/>
      <c r="BI1495" s="9"/>
    </row>
    <row r="1496" spans="18:61">
      <c r="R1496" s="6"/>
      <c r="AS1496" s="15"/>
      <c r="AT1496" s="6" t="str">
        <f ca="1">IFERROR(__xludf.DUMMYFUNCTION("""COMPUTED_VALUE"""),"#N/A")</f>
        <v>#N/A</v>
      </c>
      <c r="AU1496" s="6" t="str">
        <f ca="1">IFERROR(__xludf.DUMMYFUNCTION("""COMPUTED_VALUE"""),"FALSE")</f>
        <v>FALSE</v>
      </c>
      <c r="AZ1496" s="9"/>
      <c r="BC1496" s="9"/>
      <c r="BF1496" s="9"/>
      <c r="BI1496" s="9"/>
    </row>
    <row r="1497" spans="18:61">
      <c r="R1497" s="6"/>
      <c r="AS1497" s="15"/>
      <c r="AT1497" s="6" t="str">
        <f ca="1">IFERROR(__xludf.DUMMYFUNCTION("""COMPUTED_VALUE"""),"#N/A")</f>
        <v>#N/A</v>
      </c>
      <c r="AU1497" s="6" t="str">
        <f ca="1">IFERROR(__xludf.DUMMYFUNCTION("""COMPUTED_VALUE"""),"FALSE")</f>
        <v>FALSE</v>
      </c>
      <c r="AZ1497" s="9"/>
      <c r="BC1497" s="9"/>
      <c r="BF1497" s="9"/>
      <c r="BI1497" s="9"/>
    </row>
    <row r="1498" spans="18:61">
      <c r="R1498" s="6"/>
      <c r="AS1498" s="15"/>
      <c r="AT1498" s="6" t="str">
        <f ca="1">IFERROR(__xludf.DUMMYFUNCTION("""COMPUTED_VALUE"""),"#N/A")</f>
        <v>#N/A</v>
      </c>
      <c r="AU1498" s="6" t="str">
        <f ca="1">IFERROR(__xludf.DUMMYFUNCTION("""COMPUTED_VALUE"""),"FALSE")</f>
        <v>FALSE</v>
      </c>
      <c r="AZ1498" s="9"/>
      <c r="BC1498" s="9"/>
      <c r="BF1498" s="9"/>
      <c r="BI1498" s="9"/>
    </row>
    <row r="1499" spans="18:61">
      <c r="R1499" s="6"/>
      <c r="AS1499" s="15"/>
      <c r="AT1499" s="6" t="str">
        <f ca="1">IFERROR(__xludf.DUMMYFUNCTION("""COMPUTED_VALUE"""),"#N/A")</f>
        <v>#N/A</v>
      </c>
      <c r="AU1499" s="6" t="str">
        <f ca="1">IFERROR(__xludf.DUMMYFUNCTION("""COMPUTED_VALUE"""),"FALSE")</f>
        <v>FALSE</v>
      </c>
      <c r="AZ1499" s="9"/>
      <c r="BC1499" s="9"/>
      <c r="BF1499" s="9"/>
      <c r="BI1499" s="9"/>
    </row>
    <row r="1500" spans="18:61">
      <c r="R1500" s="6"/>
      <c r="AS1500" s="15"/>
      <c r="AT1500" s="6" t="str">
        <f ca="1">IFERROR(__xludf.DUMMYFUNCTION("""COMPUTED_VALUE"""),"#N/A")</f>
        <v>#N/A</v>
      </c>
      <c r="AU1500" s="6" t="str">
        <f ca="1">IFERROR(__xludf.DUMMYFUNCTION("""COMPUTED_VALUE"""),"FALSE")</f>
        <v>FALSE</v>
      </c>
      <c r="AZ1500" s="9"/>
      <c r="BC1500" s="9"/>
      <c r="BF1500" s="9"/>
      <c r="BI1500" s="9"/>
    </row>
    <row r="1501" spans="18:61">
      <c r="R1501" s="6"/>
      <c r="AS1501" s="15"/>
      <c r="AT1501" s="6" t="str">
        <f ca="1">IFERROR(__xludf.DUMMYFUNCTION("""COMPUTED_VALUE"""),"#N/A")</f>
        <v>#N/A</v>
      </c>
      <c r="AU1501" s="6" t="str">
        <f ca="1">IFERROR(__xludf.DUMMYFUNCTION("""COMPUTED_VALUE"""),"FALSE")</f>
        <v>FALSE</v>
      </c>
      <c r="AZ1501" s="9"/>
      <c r="BC1501" s="9"/>
      <c r="BF1501" s="9"/>
      <c r="BI1501" s="9"/>
    </row>
    <row r="1502" spans="18:61">
      <c r="R1502" s="6"/>
      <c r="AS1502" s="15"/>
      <c r="AT1502" s="6" t="str">
        <f ca="1">IFERROR(__xludf.DUMMYFUNCTION("""COMPUTED_VALUE"""),"#N/A")</f>
        <v>#N/A</v>
      </c>
      <c r="AU1502" s="6" t="str">
        <f ca="1">IFERROR(__xludf.DUMMYFUNCTION("""COMPUTED_VALUE"""),"FALSE")</f>
        <v>FALSE</v>
      </c>
      <c r="AZ1502" s="9"/>
      <c r="BC1502" s="9"/>
      <c r="BF1502" s="9"/>
      <c r="BI1502" s="9"/>
    </row>
    <row r="1503" spans="18:61">
      <c r="R1503" s="6"/>
      <c r="AS1503" s="15"/>
      <c r="AT1503" s="6" t="str">
        <f ca="1">IFERROR(__xludf.DUMMYFUNCTION("""COMPUTED_VALUE"""),"#N/A")</f>
        <v>#N/A</v>
      </c>
      <c r="AU1503" s="6" t="str">
        <f ca="1">IFERROR(__xludf.DUMMYFUNCTION("""COMPUTED_VALUE"""),"FALSE")</f>
        <v>FALSE</v>
      </c>
      <c r="AZ1503" s="9"/>
      <c r="BC1503" s="9"/>
      <c r="BF1503" s="9"/>
      <c r="BI1503" s="9"/>
    </row>
    <row r="1504" spans="18:61">
      <c r="R1504" s="6"/>
      <c r="AS1504" s="15"/>
      <c r="AT1504" s="6" t="str">
        <f ca="1">IFERROR(__xludf.DUMMYFUNCTION("""COMPUTED_VALUE"""),"#N/A")</f>
        <v>#N/A</v>
      </c>
      <c r="AU1504" s="6" t="str">
        <f ca="1">IFERROR(__xludf.DUMMYFUNCTION("""COMPUTED_VALUE"""),"FALSE")</f>
        <v>FALSE</v>
      </c>
      <c r="AZ1504" s="9"/>
      <c r="BC1504" s="9"/>
      <c r="BF1504" s="9"/>
      <c r="BI1504" s="9"/>
    </row>
    <row r="1505" spans="18:61">
      <c r="R1505" s="6"/>
      <c r="AS1505" s="15"/>
      <c r="AT1505" s="6" t="str">
        <f ca="1">IFERROR(__xludf.DUMMYFUNCTION("""COMPUTED_VALUE"""),"#N/A")</f>
        <v>#N/A</v>
      </c>
      <c r="AU1505" s="6" t="str">
        <f ca="1">IFERROR(__xludf.DUMMYFUNCTION("""COMPUTED_VALUE"""),"FALSE")</f>
        <v>FALSE</v>
      </c>
      <c r="AZ1505" s="9"/>
      <c r="BC1505" s="9"/>
      <c r="BF1505" s="9"/>
      <c r="BI1505" s="9"/>
    </row>
    <row r="1506" spans="18:61">
      <c r="R1506" s="6"/>
      <c r="AS1506" s="15"/>
      <c r="AT1506" s="6" t="str">
        <f ca="1">IFERROR(__xludf.DUMMYFUNCTION("""COMPUTED_VALUE"""),"#N/A")</f>
        <v>#N/A</v>
      </c>
      <c r="AU1506" s="6" t="str">
        <f ca="1">IFERROR(__xludf.DUMMYFUNCTION("""COMPUTED_VALUE"""),"FALSE")</f>
        <v>FALSE</v>
      </c>
      <c r="AZ1506" s="9"/>
      <c r="BC1506" s="9"/>
      <c r="BF1506" s="9"/>
      <c r="BI1506" s="9"/>
    </row>
    <row r="1507" spans="18:61">
      <c r="R1507" s="6"/>
      <c r="AS1507" s="15"/>
      <c r="AT1507" s="6" t="str">
        <f ca="1">IFERROR(__xludf.DUMMYFUNCTION("""COMPUTED_VALUE"""),"#N/A")</f>
        <v>#N/A</v>
      </c>
      <c r="AU1507" s="6" t="str">
        <f ca="1">IFERROR(__xludf.DUMMYFUNCTION("""COMPUTED_VALUE"""),"FALSE")</f>
        <v>FALSE</v>
      </c>
      <c r="AZ1507" s="9"/>
      <c r="BC1507" s="9"/>
      <c r="BF1507" s="9"/>
      <c r="BI1507" s="9"/>
    </row>
    <row r="1508" spans="18:61">
      <c r="R1508" s="6"/>
      <c r="AS1508" s="15"/>
      <c r="AT1508" s="6" t="str">
        <f ca="1">IFERROR(__xludf.DUMMYFUNCTION("""COMPUTED_VALUE"""),"#N/A")</f>
        <v>#N/A</v>
      </c>
      <c r="AU1508" s="6" t="str">
        <f ca="1">IFERROR(__xludf.DUMMYFUNCTION("""COMPUTED_VALUE"""),"FALSE")</f>
        <v>FALSE</v>
      </c>
      <c r="AZ1508" s="9"/>
      <c r="BC1508" s="9"/>
      <c r="BF1508" s="9"/>
      <c r="BI1508" s="9"/>
    </row>
    <row r="1509" spans="18:61">
      <c r="R1509" s="6"/>
      <c r="AS1509" s="15"/>
      <c r="AT1509" s="6" t="str">
        <f ca="1">IFERROR(__xludf.DUMMYFUNCTION("""COMPUTED_VALUE"""),"#N/A")</f>
        <v>#N/A</v>
      </c>
      <c r="AU1509" s="6" t="str">
        <f ca="1">IFERROR(__xludf.DUMMYFUNCTION("""COMPUTED_VALUE"""),"FALSE")</f>
        <v>FALSE</v>
      </c>
      <c r="AZ1509" s="9"/>
      <c r="BC1509" s="9"/>
      <c r="BF1509" s="9"/>
      <c r="BI1509" s="9"/>
    </row>
    <row r="1510" spans="18:61">
      <c r="R1510" s="6"/>
      <c r="AS1510" s="15"/>
      <c r="AT1510" s="6" t="str">
        <f ca="1">IFERROR(__xludf.DUMMYFUNCTION("""COMPUTED_VALUE"""),"#N/A")</f>
        <v>#N/A</v>
      </c>
      <c r="AU1510" s="6" t="str">
        <f ca="1">IFERROR(__xludf.DUMMYFUNCTION("""COMPUTED_VALUE"""),"FALSE")</f>
        <v>FALSE</v>
      </c>
      <c r="AZ1510" s="9"/>
      <c r="BC1510" s="9"/>
      <c r="BF1510" s="9"/>
      <c r="BI1510" s="9"/>
    </row>
    <row r="1511" spans="18:61">
      <c r="R1511" s="6"/>
      <c r="AS1511" s="15"/>
      <c r="AT1511" s="6" t="str">
        <f ca="1">IFERROR(__xludf.DUMMYFUNCTION("""COMPUTED_VALUE"""),"#N/A")</f>
        <v>#N/A</v>
      </c>
      <c r="AU1511" s="6" t="str">
        <f ca="1">IFERROR(__xludf.DUMMYFUNCTION("""COMPUTED_VALUE"""),"FALSE")</f>
        <v>FALSE</v>
      </c>
      <c r="AZ1511" s="9"/>
      <c r="BC1511" s="9"/>
      <c r="BF1511" s="9"/>
      <c r="BI1511" s="9"/>
    </row>
    <row r="1512" spans="18:61">
      <c r="R1512" s="6"/>
      <c r="AS1512" s="15"/>
      <c r="AT1512" s="6" t="str">
        <f ca="1">IFERROR(__xludf.DUMMYFUNCTION("""COMPUTED_VALUE"""),"#N/A")</f>
        <v>#N/A</v>
      </c>
      <c r="AU1512" s="6" t="str">
        <f ca="1">IFERROR(__xludf.DUMMYFUNCTION("""COMPUTED_VALUE"""),"FALSE")</f>
        <v>FALSE</v>
      </c>
      <c r="AZ1512" s="9"/>
      <c r="BC1512" s="9"/>
      <c r="BF1512" s="9"/>
      <c r="BI1512" s="9"/>
    </row>
    <row r="1513" spans="18:61">
      <c r="R1513" s="6"/>
      <c r="AS1513" s="15"/>
      <c r="AT1513" s="6" t="str">
        <f ca="1">IFERROR(__xludf.DUMMYFUNCTION("""COMPUTED_VALUE"""),"#N/A")</f>
        <v>#N/A</v>
      </c>
      <c r="AU1513" s="6" t="str">
        <f ca="1">IFERROR(__xludf.DUMMYFUNCTION("""COMPUTED_VALUE"""),"FALSE")</f>
        <v>FALSE</v>
      </c>
      <c r="AZ1513" s="9"/>
      <c r="BC1513" s="9"/>
      <c r="BF1513" s="9"/>
      <c r="BI1513" s="9"/>
    </row>
    <row r="1514" spans="18:61">
      <c r="R1514" s="6"/>
      <c r="AS1514" s="15"/>
      <c r="AT1514" s="6" t="str">
        <f ca="1">IFERROR(__xludf.DUMMYFUNCTION("""COMPUTED_VALUE"""),"#N/A")</f>
        <v>#N/A</v>
      </c>
      <c r="AU1514" s="6" t="str">
        <f ca="1">IFERROR(__xludf.DUMMYFUNCTION("""COMPUTED_VALUE"""),"FALSE")</f>
        <v>FALSE</v>
      </c>
      <c r="AZ1514" s="9"/>
      <c r="BC1514" s="9"/>
      <c r="BF1514" s="9"/>
      <c r="BI1514" s="9"/>
    </row>
    <row r="1515" spans="18:61">
      <c r="R1515" s="6"/>
      <c r="AS1515" s="15"/>
      <c r="AT1515" s="6" t="str">
        <f ca="1">IFERROR(__xludf.DUMMYFUNCTION("""COMPUTED_VALUE"""),"#N/A")</f>
        <v>#N/A</v>
      </c>
      <c r="AU1515" s="6" t="str">
        <f ca="1">IFERROR(__xludf.DUMMYFUNCTION("""COMPUTED_VALUE"""),"FALSE")</f>
        <v>FALSE</v>
      </c>
      <c r="AZ1515" s="9"/>
      <c r="BC1515" s="9"/>
      <c r="BF1515" s="9"/>
      <c r="BI1515" s="9"/>
    </row>
    <row r="1516" spans="18:61">
      <c r="R1516" s="6"/>
      <c r="AS1516" s="15"/>
      <c r="AT1516" s="6" t="str">
        <f ca="1">IFERROR(__xludf.DUMMYFUNCTION("""COMPUTED_VALUE"""),"#N/A")</f>
        <v>#N/A</v>
      </c>
      <c r="AU1516" s="6" t="str">
        <f ca="1">IFERROR(__xludf.DUMMYFUNCTION("""COMPUTED_VALUE"""),"FALSE")</f>
        <v>FALSE</v>
      </c>
      <c r="AZ1516" s="9"/>
      <c r="BC1516" s="9"/>
      <c r="BF1516" s="9"/>
      <c r="BI1516" s="9"/>
    </row>
    <row r="1517" spans="18:61">
      <c r="R1517" s="6"/>
      <c r="AS1517" s="15"/>
      <c r="AT1517" s="6" t="str">
        <f ca="1">IFERROR(__xludf.DUMMYFUNCTION("""COMPUTED_VALUE"""),"#N/A")</f>
        <v>#N/A</v>
      </c>
      <c r="AU1517" s="6" t="str">
        <f ca="1">IFERROR(__xludf.DUMMYFUNCTION("""COMPUTED_VALUE"""),"FALSE")</f>
        <v>FALSE</v>
      </c>
      <c r="AZ1517" s="9"/>
      <c r="BC1517" s="9"/>
      <c r="BF1517" s="9"/>
      <c r="BI1517" s="9"/>
    </row>
    <row r="1518" spans="18:61">
      <c r="R1518" s="6"/>
      <c r="AS1518" s="15"/>
      <c r="AT1518" s="6" t="str">
        <f ca="1">IFERROR(__xludf.DUMMYFUNCTION("""COMPUTED_VALUE"""),"#N/A")</f>
        <v>#N/A</v>
      </c>
      <c r="AU1518" s="6" t="str">
        <f ca="1">IFERROR(__xludf.DUMMYFUNCTION("""COMPUTED_VALUE"""),"FALSE")</f>
        <v>FALSE</v>
      </c>
      <c r="AZ1518" s="9"/>
      <c r="BC1518" s="9"/>
      <c r="BF1518" s="9"/>
      <c r="BI1518" s="9"/>
    </row>
    <row r="1519" spans="18:61">
      <c r="R1519" s="6"/>
      <c r="AS1519" s="15"/>
      <c r="AT1519" s="6" t="str">
        <f ca="1">IFERROR(__xludf.DUMMYFUNCTION("""COMPUTED_VALUE"""),"#N/A")</f>
        <v>#N/A</v>
      </c>
      <c r="AU1519" s="6" t="str">
        <f ca="1">IFERROR(__xludf.DUMMYFUNCTION("""COMPUTED_VALUE"""),"FALSE")</f>
        <v>FALSE</v>
      </c>
      <c r="AZ1519" s="9"/>
      <c r="BC1519" s="9"/>
      <c r="BF1519" s="9"/>
      <c r="BI1519" s="9"/>
    </row>
    <row r="1520" spans="18:61">
      <c r="R1520" s="6"/>
      <c r="AS1520" s="15"/>
      <c r="AT1520" s="6" t="str">
        <f ca="1">IFERROR(__xludf.DUMMYFUNCTION("""COMPUTED_VALUE"""),"#N/A")</f>
        <v>#N/A</v>
      </c>
      <c r="AU1520" s="6" t="str">
        <f ca="1">IFERROR(__xludf.DUMMYFUNCTION("""COMPUTED_VALUE"""),"FALSE")</f>
        <v>FALSE</v>
      </c>
      <c r="AZ1520" s="9"/>
      <c r="BC1520" s="9"/>
      <c r="BF1520" s="9"/>
      <c r="BI1520" s="9"/>
    </row>
    <row r="1521" spans="18:61">
      <c r="R1521" s="6"/>
      <c r="AS1521" s="15"/>
      <c r="AT1521" s="6" t="str">
        <f ca="1">IFERROR(__xludf.DUMMYFUNCTION("""COMPUTED_VALUE"""),"#N/A")</f>
        <v>#N/A</v>
      </c>
      <c r="AU1521" s="6" t="str">
        <f ca="1">IFERROR(__xludf.DUMMYFUNCTION("""COMPUTED_VALUE"""),"FALSE")</f>
        <v>FALSE</v>
      </c>
      <c r="AZ1521" s="9"/>
      <c r="BC1521" s="9"/>
      <c r="BF1521" s="9"/>
      <c r="BI1521" s="9"/>
    </row>
    <row r="1522" spans="18:61">
      <c r="R1522" s="6"/>
      <c r="AS1522" s="15"/>
      <c r="AT1522" s="6" t="str">
        <f ca="1">IFERROR(__xludf.DUMMYFUNCTION("""COMPUTED_VALUE"""),"#N/A")</f>
        <v>#N/A</v>
      </c>
      <c r="AU1522" s="6" t="str">
        <f ca="1">IFERROR(__xludf.DUMMYFUNCTION("""COMPUTED_VALUE"""),"FALSE")</f>
        <v>FALSE</v>
      </c>
      <c r="AZ1522" s="9"/>
      <c r="BC1522" s="9"/>
      <c r="BF1522" s="9"/>
      <c r="BI1522" s="9"/>
    </row>
    <row r="1523" spans="18:61">
      <c r="R1523" s="6"/>
      <c r="AS1523" s="15"/>
      <c r="AT1523" s="6" t="str">
        <f ca="1">IFERROR(__xludf.DUMMYFUNCTION("""COMPUTED_VALUE"""),"#N/A")</f>
        <v>#N/A</v>
      </c>
      <c r="AU1523" s="6" t="str">
        <f ca="1">IFERROR(__xludf.DUMMYFUNCTION("""COMPUTED_VALUE"""),"FALSE")</f>
        <v>FALSE</v>
      </c>
      <c r="AZ1523" s="9"/>
      <c r="BC1523" s="9"/>
      <c r="BF1523" s="9"/>
      <c r="BI1523" s="9"/>
    </row>
    <row r="1524" spans="18:61">
      <c r="R1524" s="6"/>
      <c r="AS1524" s="15"/>
      <c r="AT1524" s="6" t="str">
        <f ca="1">IFERROR(__xludf.DUMMYFUNCTION("""COMPUTED_VALUE"""),"#N/A")</f>
        <v>#N/A</v>
      </c>
      <c r="AU1524" s="6" t="str">
        <f ca="1">IFERROR(__xludf.DUMMYFUNCTION("""COMPUTED_VALUE"""),"FALSE")</f>
        <v>FALSE</v>
      </c>
      <c r="AZ1524" s="9"/>
      <c r="BC1524" s="9"/>
      <c r="BF1524" s="9"/>
      <c r="BI1524" s="9"/>
    </row>
    <row r="1525" spans="18:61">
      <c r="R1525" s="6"/>
      <c r="AS1525" s="15"/>
      <c r="AT1525" s="6" t="str">
        <f ca="1">IFERROR(__xludf.DUMMYFUNCTION("""COMPUTED_VALUE"""),"#N/A")</f>
        <v>#N/A</v>
      </c>
      <c r="AU1525" s="6" t="str">
        <f ca="1">IFERROR(__xludf.DUMMYFUNCTION("""COMPUTED_VALUE"""),"FALSE")</f>
        <v>FALSE</v>
      </c>
      <c r="AZ1525" s="9"/>
      <c r="BC1525" s="9"/>
      <c r="BF1525" s="9"/>
      <c r="BI1525" s="9"/>
    </row>
    <row r="1526" spans="18:61">
      <c r="R1526" s="6"/>
      <c r="AS1526" s="15"/>
      <c r="AT1526" s="6" t="str">
        <f ca="1">IFERROR(__xludf.DUMMYFUNCTION("""COMPUTED_VALUE"""),"#N/A")</f>
        <v>#N/A</v>
      </c>
      <c r="AU1526" s="6" t="str">
        <f ca="1">IFERROR(__xludf.DUMMYFUNCTION("""COMPUTED_VALUE"""),"FALSE")</f>
        <v>FALSE</v>
      </c>
      <c r="AZ1526" s="9"/>
      <c r="BC1526" s="9"/>
      <c r="BF1526" s="9"/>
      <c r="BI1526" s="9"/>
    </row>
    <row r="1527" spans="18:61">
      <c r="R1527" s="6"/>
      <c r="AS1527" s="15"/>
      <c r="AT1527" s="6" t="str">
        <f ca="1">IFERROR(__xludf.DUMMYFUNCTION("""COMPUTED_VALUE"""),"#N/A")</f>
        <v>#N/A</v>
      </c>
      <c r="AU1527" s="6" t="str">
        <f ca="1">IFERROR(__xludf.DUMMYFUNCTION("""COMPUTED_VALUE"""),"FALSE")</f>
        <v>FALSE</v>
      </c>
      <c r="AZ1527" s="9"/>
      <c r="BC1527" s="9"/>
      <c r="BF1527" s="9"/>
      <c r="BI1527" s="9"/>
    </row>
    <row r="1528" spans="18:61">
      <c r="R1528" s="6"/>
      <c r="AS1528" s="15"/>
      <c r="AT1528" s="6" t="str">
        <f ca="1">IFERROR(__xludf.DUMMYFUNCTION("""COMPUTED_VALUE"""),"#N/A")</f>
        <v>#N/A</v>
      </c>
      <c r="AU1528" s="6" t="str">
        <f ca="1">IFERROR(__xludf.DUMMYFUNCTION("""COMPUTED_VALUE"""),"FALSE")</f>
        <v>FALSE</v>
      </c>
      <c r="AZ1528" s="9"/>
      <c r="BC1528" s="9"/>
      <c r="BF1528" s="9"/>
      <c r="BI1528" s="9"/>
    </row>
    <row r="1529" spans="18:61">
      <c r="R1529" s="6"/>
      <c r="AS1529" s="15"/>
      <c r="AT1529" s="6" t="str">
        <f ca="1">IFERROR(__xludf.DUMMYFUNCTION("""COMPUTED_VALUE"""),"#N/A")</f>
        <v>#N/A</v>
      </c>
      <c r="AU1529" s="6" t="str">
        <f ca="1">IFERROR(__xludf.DUMMYFUNCTION("""COMPUTED_VALUE"""),"FALSE")</f>
        <v>FALSE</v>
      </c>
      <c r="AZ1529" s="9"/>
      <c r="BC1529" s="9"/>
      <c r="BF1529" s="9"/>
      <c r="BI1529" s="9"/>
    </row>
    <row r="1530" spans="18:61">
      <c r="R1530" s="6"/>
      <c r="AS1530" s="15"/>
      <c r="AT1530" s="6" t="str">
        <f ca="1">IFERROR(__xludf.DUMMYFUNCTION("""COMPUTED_VALUE"""),"#N/A")</f>
        <v>#N/A</v>
      </c>
      <c r="AU1530" s="6" t="str">
        <f ca="1">IFERROR(__xludf.DUMMYFUNCTION("""COMPUTED_VALUE"""),"FALSE")</f>
        <v>FALSE</v>
      </c>
      <c r="AZ1530" s="9"/>
      <c r="BC1530" s="9"/>
      <c r="BF1530" s="9"/>
      <c r="BI1530" s="9"/>
    </row>
    <row r="1531" spans="18:61">
      <c r="R1531" s="6"/>
      <c r="AS1531" s="15"/>
      <c r="AT1531" s="6" t="str">
        <f ca="1">IFERROR(__xludf.DUMMYFUNCTION("""COMPUTED_VALUE"""),"#N/A")</f>
        <v>#N/A</v>
      </c>
      <c r="AU1531" s="6" t="str">
        <f ca="1">IFERROR(__xludf.DUMMYFUNCTION("""COMPUTED_VALUE"""),"FALSE")</f>
        <v>FALSE</v>
      </c>
      <c r="AZ1531" s="9"/>
      <c r="BC1531" s="9"/>
      <c r="BF1531" s="9"/>
      <c r="BI1531" s="9"/>
    </row>
    <row r="1532" spans="18:61">
      <c r="R1532" s="6"/>
      <c r="AS1532" s="15"/>
      <c r="AT1532" s="6" t="str">
        <f ca="1">IFERROR(__xludf.DUMMYFUNCTION("""COMPUTED_VALUE"""),"#N/A")</f>
        <v>#N/A</v>
      </c>
      <c r="AU1532" s="6" t="str">
        <f ca="1">IFERROR(__xludf.DUMMYFUNCTION("""COMPUTED_VALUE"""),"FALSE")</f>
        <v>FALSE</v>
      </c>
      <c r="AZ1532" s="9"/>
      <c r="BC1532" s="9"/>
      <c r="BF1532" s="9"/>
      <c r="BI1532" s="9"/>
    </row>
    <row r="1533" spans="18:61">
      <c r="R1533" s="6"/>
      <c r="AS1533" s="15"/>
      <c r="AT1533" s="6" t="str">
        <f ca="1">IFERROR(__xludf.DUMMYFUNCTION("""COMPUTED_VALUE"""),"#N/A")</f>
        <v>#N/A</v>
      </c>
      <c r="AU1533" s="6" t="str">
        <f ca="1">IFERROR(__xludf.DUMMYFUNCTION("""COMPUTED_VALUE"""),"FALSE")</f>
        <v>FALSE</v>
      </c>
      <c r="AZ1533" s="9"/>
      <c r="BC1533" s="9"/>
      <c r="BF1533" s="9"/>
      <c r="BI1533" s="9"/>
    </row>
    <row r="1534" spans="18:61">
      <c r="R1534" s="6"/>
      <c r="AS1534" s="15"/>
      <c r="AT1534" s="6" t="str">
        <f ca="1">IFERROR(__xludf.DUMMYFUNCTION("""COMPUTED_VALUE"""),"#N/A")</f>
        <v>#N/A</v>
      </c>
      <c r="AU1534" s="6" t="str">
        <f ca="1">IFERROR(__xludf.DUMMYFUNCTION("""COMPUTED_VALUE"""),"FALSE")</f>
        <v>FALSE</v>
      </c>
      <c r="AZ1534" s="9"/>
      <c r="BC1534" s="9"/>
      <c r="BF1534" s="9"/>
      <c r="BI1534" s="9"/>
    </row>
    <row r="1535" spans="18:61">
      <c r="R1535" s="6"/>
      <c r="AS1535" s="15"/>
      <c r="AT1535" s="6" t="str">
        <f ca="1">IFERROR(__xludf.DUMMYFUNCTION("""COMPUTED_VALUE"""),"#N/A")</f>
        <v>#N/A</v>
      </c>
      <c r="AU1535" s="6" t="str">
        <f ca="1">IFERROR(__xludf.DUMMYFUNCTION("""COMPUTED_VALUE"""),"FALSE")</f>
        <v>FALSE</v>
      </c>
      <c r="AZ1535" s="9"/>
      <c r="BC1535" s="9"/>
      <c r="BF1535" s="9"/>
      <c r="BI1535" s="9"/>
    </row>
    <row r="1536" spans="18:61">
      <c r="R1536" s="6"/>
      <c r="AS1536" s="15"/>
      <c r="AT1536" s="6" t="str">
        <f ca="1">IFERROR(__xludf.DUMMYFUNCTION("""COMPUTED_VALUE"""),"#N/A")</f>
        <v>#N/A</v>
      </c>
      <c r="AU1536" s="6" t="str">
        <f ca="1">IFERROR(__xludf.DUMMYFUNCTION("""COMPUTED_VALUE"""),"FALSE")</f>
        <v>FALSE</v>
      </c>
      <c r="AZ1536" s="9"/>
      <c r="BC1536" s="9"/>
      <c r="BF1536" s="9"/>
      <c r="BI1536" s="9"/>
    </row>
    <row r="1537" spans="18:61">
      <c r="R1537" s="6"/>
      <c r="AS1537" s="15"/>
      <c r="AT1537" s="6" t="str">
        <f ca="1">IFERROR(__xludf.DUMMYFUNCTION("""COMPUTED_VALUE"""),"#N/A")</f>
        <v>#N/A</v>
      </c>
      <c r="AU1537" s="6" t="str">
        <f ca="1">IFERROR(__xludf.DUMMYFUNCTION("""COMPUTED_VALUE"""),"FALSE")</f>
        <v>FALSE</v>
      </c>
      <c r="AZ1537" s="9"/>
      <c r="BC1537" s="9"/>
      <c r="BF1537" s="9"/>
      <c r="BI1537" s="9"/>
    </row>
    <row r="1538" spans="18:61">
      <c r="R1538" s="6"/>
      <c r="AS1538" s="15"/>
      <c r="AT1538" s="6" t="str">
        <f ca="1">IFERROR(__xludf.DUMMYFUNCTION("""COMPUTED_VALUE"""),"#N/A")</f>
        <v>#N/A</v>
      </c>
      <c r="AU1538" s="6" t="str">
        <f ca="1">IFERROR(__xludf.DUMMYFUNCTION("""COMPUTED_VALUE"""),"FALSE")</f>
        <v>FALSE</v>
      </c>
      <c r="AZ1538" s="9"/>
      <c r="BC1538" s="9"/>
      <c r="BF1538" s="9"/>
      <c r="BI1538" s="9"/>
    </row>
    <row r="1539" spans="18:61">
      <c r="R1539" s="6"/>
      <c r="AS1539" s="15"/>
      <c r="AT1539" s="6" t="str">
        <f ca="1">IFERROR(__xludf.DUMMYFUNCTION("""COMPUTED_VALUE"""),"#N/A")</f>
        <v>#N/A</v>
      </c>
      <c r="AU1539" s="6" t="str">
        <f ca="1">IFERROR(__xludf.DUMMYFUNCTION("""COMPUTED_VALUE"""),"FALSE")</f>
        <v>FALSE</v>
      </c>
      <c r="AZ1539" s="9"/>
      <c r="BC1539" s="9"/>
      <c r="BF1539" s="9"/>
      <c r="BI1539" s="9"/>
    </row>
    <row r="1540" spans="18:61">
      <c r="R1540" s="6"/>
      <c r="AS1540" s="15"/>
      <c r="AT1540" s="6" t="str">
        <f ca="1">IFERROR(__xludf.DUMMYFUNCTION("""COMPUTED_VALUE"""),"#N/A")</f>
        <v>#N/A</v>
      </c>
      <c r="AU1540" s="6" t="str">
        <f ca="1">IFERROR(__xludf.DUMMYFUNCTION("""COMPUTED_VALUE"""),"FALSE")</f>
        <v>FALSE</v>
      </c>
      <c r="AZ1540" s="9"/>
      <c r="BC1540" s="9"/>
      <c r="BF1540" s="9"/>
      <c r="BI1540" s="9"/>
    </row>
    <row r="1541" spans="18:61">
      <c r="R1541" s="6"/>
      <c r="AS1541" s="15"/>
      <c r="AT1541" s="6" t="str">
        <f ca="1">IFERROR(__xludf.DUMMYFUNCTION("""COMPUTED_VALUE"""),"#N/A")</f>
        <v>#N/A</v>
      </c>
      <c r="AU1541" s="6" t="str">
        <f ca="1">IFERROR(__xludf.DUMMYFUNCTION("""COMPUTED_VALUE"""),"FALSE")</f>
        <v>FALSE</v>
      </c>
      <c r="AZ1541" s="9"/>
      <c r="BC1541" s="9"/>
      <c r="BF1541" s="9"/>
      <c r="BI1541" s="9"/>
    </row>
    <row r="1542" spans="18:61">
      <c r="R1542" s="6"/>
      <c r="AS1542" s="15"/>
      <c r="AT1542" s="6" t="str">
        <f ca="1">IFERROR(__xludf.DUMMYFUNCTION("""COMPUTED_VALUE"""),"#N/A")</f>
        <v>#N/A</v>
      </c>
      <c r="AU1542" s="6" t="str">
        <f ca="1">IFERROR(__xludf.DUMMYFUNCTION("""COMPUTED_VALUE"""),"FALSE")</f>
        <v>FALSE</v>
      </c>
      <c r="AZ1542" s="9"/>
      <c r="BC1542" s="9"/>
      <c r="BF1542" s="9"/>
      <c r="BI1542" s="9"/>
    </row>
    <row r="1543" spans="18:61">
      <c r="R1543" s="6"/>
      <c r="AS1543" s="15"/>
      <c r="AT1543" s="6" t="str">
        <f ca="1">IFERROR(__xludf.DUMMYFUNCTION("""COMPUTED_VALUE"""),"#N/A")</f>
        <v>#N/A</v>
      </c>
      <c r="AU1543" s="6" t="str">
        <f ca="1">IFERROR(__xludf.DUMMYFUNCTION("""COMPUTED_VALUE"""),"FALSE")</f>
        <v>FALSE</v>
      </c>
      <c r="AZ1543" s="9"/>
      <c r="BC1543" s="9"/>
      <c r="BF1543" s="9"/>
      <c r="BI1543" s="9"/>
    </row>
    <row r="1544" spans="18:61">
      <c r="R1544" s="6"/>
      <c r="AS1544" s="15"/>
      <c r="AT1544" s="6" t="str">
        <f ca="1">IFERROR(__xludf.DUMMYFUNCTION("""COMPUTED_VALUE"""),"#N/A")</f>
        <v>#N/A</v>
      </c>
      <c r="AU1544" s="6" t="str">
        <f ca="1">IFERROR(__xludf.DUMMYFUNCTION("""COMPUTED_VALUE"""),"FALSE")</f>
        <v>FALSE</v>
      </c>
      <c r="AZ1544" s="9"/>
      <c r="BC1544" s="9"/>
      <c r="BF1544" s="9"/>
      <c r="BI1544" s="9"/>
    </row>
    <row r="1545" spans="18:61">
      <c r="R1545" s="6"/>
      <c r="AS1545" s="15"/>
      <c r="AT1545" s="6" t="str">
        <f ca="1">IFERROR(__xludf.DUMMYFUNCTION("""COMPUTED_VALUE"""),"#N/A")</f>
        <v>#N/A</v>
      </c>
      <c r="AU1545" s="6" t="str">
        <f ca="1">IFERROR(__xludf.DUMMYFUNCTION("""COMPUTED_VALUE"""),"FALSE")</f>
        <v>FALSE</v>
      </c>
      <c r="AZ1545" s="9"/>
      <c r="BC1545" s="9"/>
      <c r="BF1545" s="9"/>
      <c r="BI1545" s="9"/>
    </row>
    <row r="1546" spans="18:61">
      <c r="R1546" s="6"/>
      <c r="AS1546" s="15"/>
      <c r="AT1546" s="6" t="str">
        <f ca="1">IFERROR(__xludf.DUMMYFUNCTION("""COMPUTED_VALUE"""),"#N/A")</f>
        <v>#N/A</v>
      </c>
      <c r="AU1546" s="6" t="str">
        <f ca="1">IFERROR(__xludf.DUMMYFUNCTION("""COMPUTED_VALUE"""),"FALSE")</f>
        <v>FALSE</v>
      </c>
      <c r="AZ1546" s="9"/>
      <c r="BC1546" s="9"/>
      <c r="BF1546" s="9"/>
      <c r="BI1546" s="9"/>
    </row>
    <row r="1547" spans="18:61">
      <c r="R1547" s="6"/>
      <c r="AS1547" s="15"/>
      <c r="AT1547" s="6" t="str">
        <f ca="1">IFERROR(__xludf.DUMMYFUNCTION("""COMPUTED_VALUE"""),"#N/A")</f>
        <v>#N/A</v>
      </c>
      <c r="AU1547" s="6" t="str">
        <f ca="1">IFERROR(__xludf.DUMMYFUNCTION("""COMPUTED_VALUE"""),"FALSE")</f>
        <v>FALSE</v>
      </c>
      <c r="AZ1547" s="9"/>
      <c r="BC1547" s="9"/>
      <c r="BF1547" s="9"/>
      <c r="BI1547" s="9"/>
    </row>
    <row r="1548" spans="18:61">
      <c r="R1548" s="6"/>
      <c r="AS1548" s="15"/>
      <c r="AT1548" s="6" t="str">
        <f ca="1">IFERROR(__xludf.DUMMYFUNCTION("""COMPUTED_VALUE"""),"#N/A")</f>
        <v>#N/A</v>
      </c>
      <c r="AU1548" s="6" t="str">
        <f ca="1">IFERROR(__xludf.DUMMYFUNCTION("""COMPUTED_VALUE"""),"FALSE")</f>
        <v>FALSE</v>
      </c>
      <c r="AZ1548" s="9"/>
      <c r="BC1548" s="9"/>
      <c r="BF1548" s="9"/>
      <c r="BI1548" s="9"/>
    </row>
    <row r="1549" spans="18:61">
      <c r="R1549" s="6"/>
      <c r="AS1549" s="15"/>
      <c r="AT1549" s="6" t="str">
        <f ca="1">IFERROR(__xludf.DUMMYFUNCTION("""COMPUTED_VALUE"""),"#N/A")</f>
        <v>#N/A</v>
      </c>
      <c r="AU1549" s="6" t="str">
        <f ca="1">IFERROR(__xludf.DUMMYFUNCTION("""COMPUTED_VALUE"""),"FALSE")</f>
        <v>FALSE</v>
      </c>
      <c r="AZ1549" s="9"/>
      <c r="BC1549" s="9"/>
      <c r="BF1549" s="9"/>
      <c r="BI1549" s="9"/>
    </row>
    <row r="1550" spans="18:61">
      <c r="R1550" s="6"/>
      <c r="AS1550" s="15"/>
      <c r="AT1550" s="6" t="str">
        <f ca="1">IFERROR(__xludf.DUMMYFUNCTION("""COMPUTED_VALUE"""),"#N/A")</f>
        <v>#N/A</v>
      </c>
      <c r="AU1550" s="6" t="str">
        <f ca="1">IFERROR(__xludf.DUMMYFUNCTION("""COMPUTED_VALUE"""),"FALSE")</f>
        <v>FALSE</v>
      </c>
      <c r="AZ1550" s="9"/>
      <c r="BC1550" s="9"/>
      <c r="BF1550" s="9"/>
      <c r="BI1550" s="9"/>
    </row>
    <row r="1551" spans="18:61">
      <c r="R1551" s="6"/>
      <c r="AS1551" s="15"/>
      <c r="AT1551" s="6" t="str">
        <f ca="1">IFERROR(__xludf.DUMMYFUNCTION("""COMPUTED_VALUE"""),"#N/A")</f>
        <v>#N/A</v>
      </c>
      <c r="AU1551" s="6" t="str">
        <f ca="1">IFERROR(__xludf.DUMMYFUNCTION("""COMPUTED_VALUE"""),"FALSE")</f>
        <v>FALSE</v>
      </c>
      <c r="AZ1551" s="9"/>
      <c r="BC1551" s="9"/>
      <c r="BF1551" s="9"/>
      <c r="BI1551" s="9"/>
    </row>
    <row r="1552" spans="18:61">
      <c r="R1552" s="6"/>
      <c r="AS1552" s="15"/>
      <c r="AT1552" s="6" t="str">
        <f ca="1">IFERROR(__xludf.DUMMYFUNCTION("""COMPUTED_VALUE"""),"#N/A")</f>
        <v>#N/A</v>
      </c>
      <c r="AU1552" s="6" t="str">
        <f ca="1">IFERROR(__xludf.DUMMYFUNCTION("""COMPUTED_VALUE"""),"FALSE")</f>
        <v>FALSE</v>
      </c>
      <c r="AZ1552" s="9"/>
      <c r="BC1552" s="9"/>
      <c r="BF1552" s="9"/>
      <c r="BI1552" s="9"/>
    </row>
    <row r="1553" spans="18:61">
      <c r="R1553" s="6"/>
      <c r="AS1553" s="15"/>
      <c r="AT1553" s="6" t="str">
        <f ca="1">IFERROR(__xludf.DUMMYFUNCTION("""COMPUTED_VALUE"""),"#N/A")</f>
        <v>#N/A</v>
      </c>
      <c r="AU1553" s="6" t="str">
        <f ca="1">IFERROR(__xludf.DUMMYFUNCTION("""COMPUTED_VALUE"""),"FALSE")</f>
        <v>FALSE</v>
      </c>
      <c r="AZ1553" s="9"/>
      <c r="BC1553" s="9"/>
      <c r="BF1553" s="9"/>
      <c r="BI1553" s="9"/>
    </row>
    <row r="1554" spans="18:61">
      <c r="R1554" s="6"/>
      <c r="AS1554" s="15"/>
      <c r="AT1554" s="6" t="str">
        <f ca="1">IFERROR(__xludf.DUMMYFUNCTION("""COMPUTED_VALUE"""),"#N/A")</f>
        <v>#N/A</v>
      </c>
      <c r="AU1554" s="6" t="str">
        <f ca="1">IFERROR(__xludf.DUMMYFUNCTION("""COMPUTED_VALUE"""),"FALSE")</f>
        <v>FALSE</v>
      </c>
      <c r="AZ1554" s="9"/>
      <c r="BC1554" s="9"/>
      <c r="BF1554" s="9"/>
      <c r="BI1554" s="9"/>
    </row>
    <row r="1555" spans="18:61">
      <c r="R1555" s="6"/>
      <c r="AS1555" s="15"/>
      <c r="AT1555" s="6" t="str">
        <f ca="1">IFERROR(__xludf.DUMMYFUNCTION("""COMPUTED_VALUE"""),"#N/A")</f>
        <v>#N/A</v>
      </c>
      <c r="AU1555" s="6" t="str">
        <f ca="1">IFERROR(__xludf.DUMMYFUNCTION("""COMPUTED_VALUE"""),"FALSE")</f>
        <v>FALSE</v>
      </c>
      <c r="AZ1555" s="9"/>
      <c r="BC1555" s="9"/>
      <c r="BF1555" s="9"/>
      <c r="BI1555" s="9"/>
    </row>
    <row r="1556" spans="18:61">
      <c r="R1556" s="6"/>
      <c r="AS1556" s="15"/>
      <c r="AT1556" s="6" t="str">
        <f ca="1">IFERROR(__xludf.DUMMYFUNCTION("""COMPUTED_VALUE"""),"#N/A")</f>
        <v>#N/A</v>
      </c>
      <c r="AU1556" s="6" t="str">
        <f ca="1">IFERROR(__xludf.DUMMYFUNCTION("""COMPUTED_VALUE"""),"FALSE")</f>
        <v>FALSE</v>
      </c>
      <c r="AZ1556" s="9"/>
      <c r="BC1556" s="9"/>
      <c r="BF1556" s="9"/>
      <c r="BI1556" s="9"/>
    </row>
    <row r="1557" spans="18:61">
      <c r="R1557" s="6"/>
      <c r="AS1557" s="15"/>
      <c r="AT1557" s="6" t="str">
        <f ca="1">IFERROR(__xludf.DUMMYFUNCTION("""COMPUTED_VALUE"""),"#N/A")</f>
        <v>#N/A</v>
      </c>
      <c r="AU1557" s="6" t="str">
        <f ca="1">IFERROR(__xludf.DUMMYFUNCTION("""COMPUTED_VALUE"""),"FALSE")</f>
        <v>FALSE</v>
      </c>
      <c r="AZ1557" s="9"/>
      <c r="BC1557" s="9"/>
      <c r="BF1557" s="9"/>
      <c r="BI1557" s="9"/>
    </row>
    <row r="1558" spans="18:61">
      <c r="R1558" s="6"/>
      <c r="AS1558" s="15"/>
      <c r="AT1558" s="6" t="str">
        <f ca="1">IFERROR(__xludf.DUMMYFUNCTION("""COMPUTED_VALUE"""),"#N/A")</f>
        <v>#N/A</v>
      </c>
      <c r="AU1558" s="6" t="str">
        <f ca="1">IFERROR(__xludf.DUMMYFUNCTION("""COMPUTED_VALUE"""),"FALSE")</f>
        <v>FALSE</v>
      </c>
      <c r="AZ1558" s="9"/>
      <c r="BC1558" s="9"/>
      <c r="BF1558" s="9"/>
      <c r="BI1558" s="9"/>
    </row>
    <row r="1559" spans="18:61">
      <c r="R1559" s="6"/>
      <c r="AS1559" s="15"/>
      <c r="AT1559" s="6" t="str">
        <f ca="1">IFERROR(__xludf.DUMMYFUNCTION("""COMPUTED_VALUE"""),"#N/A")</f>
        <v>#N/A</v>
      </c>
      <c r="AU1559" s="6" t="str">
        <f ca="1">IFERROR(__xludf.DUMMYFUNCTION("""COMPUTED_VALUE"""),"FALSE")</f>
        <v>FALSE</v>
      </c>
      <c r="AZ1559" s="9"/>
      <c r="BC1559" s="9"/>
      <c r="BF1559" s="9"/>
      <c r="BI1559" s="9"/>
    </row>
    <row r="1560" spans="18:61">
      <c r="R1560" s="6"/>
      <c r="AS1560" s="15"/>
      <c r="AT1560" s="6" t="str">
        <f ca="1">IFERROR(__xludf.DUMMYFUNCTION("""COMPUTED_VALUE"""),"#N/A")</f>
        <v>#N/A</v>
      </c>
      <c r="AU1560" s="6" t="str">
        <f ca="1">IFERROR(__xludf.DUMMYFUNCTION("""COMPUTED_VALUE"""),"FALSE")</f>
        <v>FALSE</v>
      </c>
      <c r="AZ1560" s="9"/>
      <c r="BC1560" s="9"/>
      <c r="BF1560" s="9"/>
      <c r="BI1560" s="9"/>
    </row>
    <row r="1561" spans="18:61">
      <c r="R1561" s="6"/>
      <c r="AS1561" s="15"/>
      <c r="AT1561" s="6" t="str">
        <f ca="1">IFERROR(__xludf.DUMMYFUNCTION("""COMPUTED_VALUE"""),"#N/A")</f>
        <v>#N/A</v>
      </c>
      <c r="AU1561" s="6" t="str">
        <f ca="1">IFERROR(__xludf.DUMMYFUNCTION("""COMPUTED_VALUE"""),"FALSE")</f>
        <v>FALSE</v>
      </c>
      <c r="AZ1561" s="9"/>
      <c r="BC1561" s="9"/>
      <c r="BF1561" s="9"/>
      <c r="BI1561" s="9"/>
    </row>
    <row r="1562" spans="18:61">
      <c r="R1562" s="6"/>
      <c r="AS1562" s="15"/>
      <c r="AT1562" s="6" t="str">
        <f ca="1">IFERROR(__xludf.DUMMYFUNCTION("""COMPUTED_VALUE"""),"#N/A")</f>
        <v>#N/A</v>
      </c>
      <c r="AU1562" s="6" t="str">
        <f ca="1">IFERROR(__xludf.DUMMYFUNCTION("""COMPUTED_VALUE"""),"FALSE")</f>
        <v>FALSE</v>
      </c>
      <c r="AZ1562" s="9"/>
      <c r="BC1562" s="9"/>
      <c r="BF1562" s="9"/>
      <c r="BI1562" s="9"/>
    </row>
    <row r="1563" spans="18:61">
      <c r="R1563" s="6"/>
      <c r="AS1563" s="15"/>
      <c r="AT1563" s="6" t="str">
        <f ca="1">IFERROR(__xludf.DUMMYFUNCTION("""COMPUTED_VALUE"""),"#N/A")</f>
        <v>#N/A</v>
      </c>
      <c r="AU1563" s="6" t="str">
        <f ca="1">IFERROR(__xludf.DUMMYFUNCTION("""COMPUTED_VALUE"""),"FALSE")</f>
        <v>FALSE</v>
      </c>
      <c r="AZ1563" s="9"/>
      <c r="BC1563" s="9"/>
      <c r="BF1563" s="9"/>
      <c r="BI1563" s="9"/>
    </row>
    <row r="1564" spans="18:61">
      <c r="R1564" s="6"/>
      <c r="AS1564" s="15"/>
      <c r="AT1564" s="6" t="str">
        <f ca="1">IFERROR(__xludf.DUMMYFUNCTION("""COMPUTED_VALUE"""),"#N/A")</f>
        <v>#N/A</v>
      </c>
      <c r="AU1564" s="6" t="str">
        <f ca="1">IFERROR(__xludf.DUMMYFUNCTION("""COMPUTED_VALUE"""),"FALSE")</f>
        <v>FALSE</v>
      </c>
      <c r="AZ1564" s="9"/>
      <c r="BC1564" s="9"/>
      <c r="BF1564" s="9"/>
      <c r="BI1564" s="9"/>
    </row>
    <row r="1565" spans="18:61">
      <c r="R1565" s="6"/>
      <c r="AS1565" s="15"/>
      <c r="AT1565" s="6" t="str">
        <f ca="1">IFERROR(__xludf.DUMMYFUNCTION("""COMPUTED_VALUE"""),"#N/A")</f>
        <v>#N/A</v>
      </c>
      <c r="AU1565" s="6" t="str">
        <f ca="1">IFERROR(__xludf.DUMMYFUNCTION("""COMPUTED_VALUE"""),"FALSE")</f>
        <v>FALSE</v>
      </c>
      <c r="AZ1565" s="9"/>
      <c r="BC1565" s="9"/>
      <c r="BF1565" s="9"/>
      <c r="BI1565" s="9"/>
    </row>
    <row r="1566" spans="18:61">
      <c r="R1566" s="6"/>
      <c r="AS1566" s="15"/>
      <c r="AT1566" s="6" t="str">
        <f ca="1">IFERROR(__xludf.DUMMYFUNCTION("""COMPUTED_VALUE"""),"#N/A")</f>
        <v>#N/A</v>
      </c>
      <c r="AU1566" s="6" t="str">
        <f ca="1">IFERROR(__xludf.DUMMYFUNCTION("""COMPUTED_VALUE"""),"FALSE")</f>
        <v>FALSE</v>
      </c>
      <c r="AZ1566" s="9"/>
      <c r="BC1566" s="9"/>
      <c r="BF1566" s="9"/>
      <c r="BI1566" s="9"/>
    </row>
    <row r="1567" spans="18:61">
      <c r="R1567" s="6"/>
      <c r="AS1567" s="15"/>
      <c r="AT1567" s="6" t="str">
        <f ca="1">IFERROR(__xludf.DUMMYFUNCTION("""COMPUTED_VALUE"""),"#N/A")</f>
        <v>#N/A</v>
      </c>
      <c r="AU1567" s="6" t="str">
        <f ca="1">IFERROR(__xludf.DUMMYFUNCTION("""COMPUTED_VALUE"""),"FALSE")</f>
        <v>FALSE</v>
      </c>
      <c r="AZ1567" s="9"/>
      <c r="BC1567" s="9"/>
      <c r="BF1567" s="9"/>
      <c r="BI1567" s="9"/>
    </row>
    <row r="1568" spans="18:61">
      <c r="R1568" s="6"/>
      <c r="AS1568" s="15"/>
      <c r="AT1568" s="6" t="str">
        <f ca="1">IFERROR(__xludf.DUMMYFUNCTION("""COMPUTED_VALUE"""),"#N/A")</f>
        <v>#N/A</v>
      </c>
      <c r="AU1568" s="6" t="str">
        <f ca="1">IFERROR(__xludf.DUMMYFUNCTION("""COMPUTED_VALUE"""),"FALSE")</f>
        <v>FALSE</v>
      </c>
      <c r="AZ1568" s="9"/>
      <c r="BC1568" s="9"/>
      <c r="BF1568" s="9"/>
      <c r="BI1568" s="9"/>
    </row>
    <row r="1569" spans="18:61">
      <c r="R1569" s="6"/>
      <c r="AS1569" s="15"/>
      <c r="AT1569" s="6" t="str">
        <f ca="1">IFERROR(__xludf.DUMMYFUNCTION("""COMPUTED_VALUE"""),"#N/A")</f>
        <v>#N/A</v>
      </c>
      <c r="AU1569" s="6" t="str">
        <f ca="1">IFERROR(__xludf.DUMMYFUNCTION("""COMPUTED_VALUE"""),"FALSE")</f>
        <v>FALSE</v>
      </c>
      <c r="AZ1569" s="9"/>
      <c r="BC1569" s="9"/>
      <c r="BF1569" s="9"/>
      <c r="BI1569" s="9"/>
    </row>
    <row r="1570" spans="18:61">
      <c r="R1570" s="6"/>
      <c r="AS1570" s="15"/>
      <c r="AT1570" s="6" t="str">
        <f ca="1">IFERROR(__xludf.DUMMYFUNCTION("""COMPUTED_VALUE"""),"#N/A")</f>
        <v>#N/A</v>
      </c>
      <c r="AU1570" s="6" t="str">
        <f ca="1">IFERROR(__xludf.DUMMYFUNCTION("""COMPUTED_VALUE"""),"FALSE")</f>
        <v>FALSE</v>
      </c>
      <c r="AZ1570" s="9"/>
      <c r="BC1570" s="9"/>
      <c r="BF1570" s="9"/>
      <c r="BI1570" s="9"/>
    </row>
    <row r="1571" spans="18:61">
      <c r="R1571" s="6"/>
      <c r="AS1571" s="15"/>
      <c r="AT1571" s="6" t="str">
        <f ca="1">IFERROR(__xludf.DUMMYFUNCTION("""COMPUTED_VALUE"""),"#N/A")</f>
        <v>#N/A</v>
      </c>
      <c r="AU1571" s="6" t="str">
        <f ca="1">IFERROR(__xludf.DUMMYFUNCTION("""COMPUTED_VALUE"""),"FALSE")</f>
        <v>FALSE</v>
      </c>
      <c r="AZ1571" s="9"/>
      <c r="BC1571" s="9"/>
      <c r="BF1571" s="9"/>
      <c r="BI1571" s="9"/>
    </row>
    <row r="1572" spans="18:61">
      <c r="R1572" s="6"/>
      <c r="AS1572" s="15"/>
      <c r="AT1572" s="6" t="str">
        <f ca="1">IFERROR(__xludf.DUMMYFUNCTION("""COMPUTED_VALUE"""),"#N/A")</f>
        <v>#N/A</v>
      </c>
      <c r="AU1572" s="6" t="str">
        <f ca="1">IFERROR(__xludf.DUMMYFUNCTION("""COMPUTED_VALUE"""),"FALSE")</f>
        <v>FALSE</v>
      </c>
      <c r="AZ1572" s="9"/>
      <c r="BC1572" s="9"/>
      <c r="BF1572" s="9"/>
      <c r="BI1572" s="9"/>
    </row>
    <row r="1573" spans="18:61">
      <c r="R1573" s="6"/>
      <c r="AS1573" s="15"/>
      <c r="AT1573" s="6" t="str">
        <f ca="1">IFERROR(__xludf.DUMMYFUNCTION("""COMPUTED_VALUE"""),"#N/A")</f>
        <v>#N/A</v>
      </c>
      <c r="AU1573" s="6" t="str">
        <f ca="1">IFERROR(__xludf.DUMMYFUNCTION("""COMPUTED_VALUE"""),"FALSE")</f>
        <v>FALSE</v>
      </c>
      <c r="AZ1573" s="9"/>
      <c r="BC1573" s="9"/>
      <c r="BF1573" s="9"/>
      <c r="BI1573" s="9"/>
    </row>
    <row r="1574" spans="18:61">
      <c r="R1574" s="6"/>
      <c r="AS1574" s="15"/>
      <c r="AT1574" s="6" t="str">
        <f ca="1">IFERROR(__xludf.DUMMYFUNCTION("""COMPUTED_VALUE"""),"#N/A")</f>
        <v>#N/A</v>
      </c>
      <c r="AU1574" s="6" t="str">
        <f ca="1">IFERROR(__xludf.DUMMYFUNCTION("""COMPUTED_VALUE"""),"FALSE")</f>
        <v>FALSE</v>
      </c>
      <c r="AZ1574" s="9"/>
      <c r="BC1574" s="9"/>
      <c r="BF1574" s="9"/>
      <c r="BI1574" s="9"/>
    </row>
    <row r="1575" spans="18:61">
      <c r="R1575" s="6"/>
      <c r="AS1575" s="15"/>
      <c r="AT1575" s="6" t="str">
        <f ca="1">IFERROR(__xludf.DUMMYFUNCTION("""COMPUTED_VALUE"""),"#N/A")</f>
        <v>#N/A</v>
      </c>
      <c r="AU1575" s="6" t="str">
        <f ca="1">IFERROR(__xludf.DUMMYFUNCTION("""COMPUTED_VALUE"""),"FALSE")</f>
        <v>FALSE</v>
      </c>
      <c r="AZ1575" s="9"/>
      <c r="BC1575" s="9"/>
      <c r="BF1575" s="9"/>
      <c r="BI1575" s="9"/>
    </row>
    <row r="1576" spans="18:61">
      <c r="R1576" s="6"/>
      <c r="AS1576" s="15"/>
      <c r="AT1576" s="6" t="str">
        <f ca="1">IFERROR(__xludf.DUMMYFUNCTION("""COMPUTED_VALUE"""),"#N/A")</f>
        <v>#N/A</v>
      </c>
      <c r="AU1576" s="6" t="str">
        <f ca="1">IFERROR(__xludf.DUMMYFUNCTION("""COMPUTED_VALUE"""),"FALSE")</f>
        <v>FALSE</v>
      </c>
      <c r="AZ1576" s="9"/>
      <c r="BC1576" s="9"/>
      <c r="BF1576" s="9"/>
      <c r="BI1576" s="9"/>
    </row>
    <row r="1577" spans="18:61">
      <c r="R1577" s="6"/>
      <c r="AS1577" s="15"/>
      <c r="AT1577" s="6" t="str">
        <f ca="1">IFERROR(__xludf.DUMMYFUNCTION("""COMPUTED_VALUE"""),"#N/A")</f>
        <v>#N/A</v>
      </c>
      <c r="AU1577" s="6" t="str">
        <f ca="1">IFERROR(__xludf.DUMMYFUNCTION("""COMPUTED_VALUE"""),"FALSE")</f>
        <v>FALSE</v>
      </c>
      <c r="AZ1577" s="9"/>
      <c r="BC1577" s="9"/>
      <c r="BF1577" s="9"/>
      <c r="BI1577" s="9"/>
    </row>
    <row r="1578" spans="18:61">
      <c r="R1578" s="6"/>
      <c r="AS1578" s="15"/>
      <c r="AT1578" s="6" t="str">
        <f ca="1">IFERROR(__xludf.DUMMYFUNCTION("""COMPUTED_VALUE"""),"#N/A")</f>
        <v>#N/A</v>
      </c>
      <c r="AU1578" s="6" t="str">
        <f ca="1">IFERROR(__xludf.DUMMYFUNCTION("""COMPUTED_VALUE"""),"FALSE")</f>
        <v>FALSE</v>
      </c>
      <c r="AZ1578" s="9"/>
      <c r="BC1578" s="9"/>
      <c r="BF1578" s="9"/>
      <c r="BI1578" s="9"/>
    </row>
    <row r="1579" spans="18:61">
      <c r="R1579" s="6"/>
      <c r="AS1579" s="15"/>
      <c r="AT1579" s="6" t="str">
        <f ca="1">IFERROR(__xludf.DUMMYFUNCTION("""COMPUTED_VALUE"""),"#N/A")</f>
        <v>#N/A</v>
      </c>
      <c r="AU1579" s="6" t="str">
        <f ca="1">IFERROR(__xludf.DUMMYFUNCTION("""COMPUTED_VALUE"""),"FALSE")</f>
        <v>FALSE</v>
      </c>
      <c r="AZ1579" s="9"/>
      <c r="BC1579" s="9"/>
      <c r="BF1579" s="9"/>
      <c r="BI1579" s="9"/>
    </row>
    <row r="1580" spans="18:61">
      <c r="R1580" s="6"/>
      <c r="AS1580" s="15"/>
      <c r="AT1580" s="6" t="str">
        <f ca="1">IFERROR(__xludf.DUMMYFUNCTION("""COMPUTED_VALUE"""),"#N/A")</f>
        <v>#N/A</v>
      </c>
      <c r="AU1580" s="6" t="str">
        <f ca="1">IFERROR(__xludf.DUMMYFUNCTION("""COMPUTED_VALUE"""),"FALSE")</f>
        <v>FALSE</v>
      </c>
      <c r="AZ1580" s="9"/>
      <c r="BC1580" s="9"/>
      <c r="BF1580" s="9"/>
      <c r="BI1580" s="9"/>
    </row>
    <row r="1581" spans="18:61">
      <c r="R1581" s="6"/>
      <c r="AS1581" s="15"/>
      <c r="AT1581" s="6" t="str">
        <f ca="1">IFERROR(__xludf.DUMMYFUNCTION("""COMPUTED_VALUE"""),"#N/A")</f>
        <v>#N/A</v>
      </c>
      <c r="AU1581" s="6" t="str">
        <f ca="1">IFERROR(__xludf.DUMMYFUNCTION("""COMPUTED_VALUE"""),"FALSE")</f>
        <v>FALSE</v>
      </c>
      <c r="AZ1581" s="9"/>
      <c r="BC1581" s="9"/>
      <c r="BF1581" s="9"/>
      <c r="BI1581" s="9"/>
    </row>
    <row r="1582" spans="18:61">
      <c r="R1582" s="6"/>
      <c r="AS1582" s="15"/>
      <c r="AT1582" s="6" t="str">
        <f ca="1">IFERROR(__xludf.DUMMYFUNCTION("""COMPUTED_VALUE"""),"#N/A")</f>
        <v>#N/A</v>
      </c>
      <c r="AU1582" s="6" t="str">
        <f ca="1">IFERROR(__xludf.DUMMYFUNCTION("""COMPUTED_VALUE"""),"FALSE")</f>
        <v>FALSE</v>
      </c>
      <c r="AZ1582" s="9"/>
      <c r="BC1582" s="9"/>
      <c r="BF1582" s="9"/>
      <c r="BI1582" s="9"/>
    </row>
    <row r="1583" spans="18:61">
      <c r="R1583" s="6"/>
      <c r="AS1583" s="15"/>
      <c r="AT1583" s="6" t="str">
        <f ca="1">IFERROR(__xludf.DUMMYFUNCTION("""COMPUTED_VALUE"""),"#N/A")</f>
        <v>#N/A</v>
      </c>
      <c r="AU1583" s="6" t="str">
        <f ca="1">IFERROR(__xludf.DUMMYFUNCTION("""COMPUTED_VALUE"""),"FALSE")</f>
        <v>FALSE</v>
      </c>
      <c r="AZ1583" s="9"/>
      <c r="BC1583" s="9"/>
      <c r="BF1583" s="9"/>
      <c r="BI1583" s="9"/>
    </row>
    <row r="1584" spans="18:61">
      <c r="R1584" s="6"/>
      <c r="AS1584" s="15"/>
      <c r="AT1584" s="6" t="str">
        <f ca="1">IFERROR(__xludf.DUMMYFUNCTION("""COMPUTED_VALUE"""),"#N/A")</f>
        <v>#N/A</v>
      </c>
      <c r="AU1584" s="6" t="str">
        <f ca="1">IFERROR(__xludf.DUMMYFUNCTION("""COMPUTED_VALUE"""),"FALSE")</f>
        <v>FALSE</v>
      </c>
      <c r="AZ1584" s="9"/>
      <c r="BC1584" s="9"/>
      <c r="BF1584" s="9"/>
      <c r="BI1584" s="9"/>
    </row>
    <row r="1585" spans="18:61">
      <c r="R1585" s="6"/>
      <c r="AS1585" s="15"/>
      <c r="AT1585" s="6" t="str">
        <f ca="1">IFERROR(__xludf.DUMMYFUNCTION("""COMPUTED_VALUE"""),"#N/A")</f>
        <v>#N/A</v>
      </c>
      <c r="AU1585" s="6" t="str">
        <f ca="1">IFERROR(__xludf.DUMMYFUNCTION("""COMPUTED_VALUE"""),"FALSE")</f>
        <v>FALSE</v>
      </c>
      <c r="AZ1585" s="9"/>
      <c r="BC1585" s="9"/>
      <c r="BF1585" s="9"/>
      <c r="BI1585" s="9"/>
    </row>
    <row r="1586" spans="18:61">
      <c r="R1586" s="6"/>
      <c r="AS1586" s="15"/>
      <c r="AT1586" s="6" t="str">
        <f ca="1">IFERROR(__xludf.DUMMYFUNCTION("""COMPUTED_VALUE"""),"#N/A")</f>
        <v>#N/A</v>
      </c>
      <c r="AU1586" s="6" t="str">
        <f ca="1">IFERROR(__xludf.DUMMYFUNCTION("""COMPUTED_VALUE"""),"FALSE")</f>
        <v>FALSE</v>
      </c>
      <c r="AZ1586" s="9"/>
      <c r="BC1586" s="9"/>
      <c r="BF1586" s="9"/>
      <c r="BI1586" s="9"/>
    </row>
    <row r="1587" spans="18:61">
      <c r="R1587" s="6"/>
      <c r="AS1587" s="15"/>
      <c r="AT1587" s="6" t="str">
        <f ca="1">IFERROR(__xludf.DUMMYFUNCTION("""COMPUTED_VALUE"""),"#N/A")</f>
        <v>#N/A</v>
      </c>
      <c r="AU1587" s="6" t="str">
        <f ca="1">IFERROR(__xludf.DUMMYFUNCTION("""COMPUTED_VALUE"""),"FALSE")</f>
        <v>FALSE</v>
      </c>
      <c r="AZ1587" s="9"/>
      <c r="BC1587" s="9"/>
      <c r="BF1587" s="9"/>
      <c r="BI1587" s="9"/>
    </row>
    <row r="1588" spans="18:61">
      <c r="R1588" s="6"/>
      <c r="AS1588" s="15"/>
      <c r="AT1588" s="6" t="str">
        <f ca="1">IFERROR(__xludf.DUMMYFUNCTION("""COMPUTED_VALUE"""),"#N/A")</f>
        <v>#N/A</v>
      </c>
      <c r="AU1588" s="6" t="str">
        <f ca="1">IFERROR(__xludf.DUMMYFUNCTION("""COMPUTED_VALUE"""),"FALSE")</f>
        <v>FALSE</v>
      </c>
      <c r="AZ1588" s="9"/>
      <c r="BC1588" s="9"/>
      <c r="BF1588" s="9"/>
      <c r="BI1588" s="9"/>
    </row>
    <row r="1589" spans="18:61">
      <c r="R1589" s="6"/>
      <c r="AS1589" s="15"/>
      <c r="AT1589" s="6" t="str">
        <f ca="1">IFERROR(__xludf.DUMMYFUNCTION("""COMPUTED_VALUE"""),"#N/A")</f>
        <v>#N/A</v>
      </c>
      <c r="AU1589" s="6" t="str">
        <f ca="1">IFERROR(__xludf.DUMMYFUNCTION("""COMPUTED_VALUE"""),"FALSE")</f>
        <v>FALSE</v>
      </c>
      <c r="AZ1589" s="9"/>
      <c r="BC1589" s="9"/>
      <c r="BF1589" s="9"/>
      <c r="BI1589" s="9"/>
    </row>
    <row r="1590" spans="18:61">
      <c r="R1590" s="6"/>
      <c r="AS1590" s="15"/>
      <c r="AT1590" s="6" t="str">
        <f ca="1">IFERROR(__xludf.DUMMYFUNCTION("""COMPUTED_VALUE"""),"#N/A")</f>
        <v>#N/A</v>
      </c>
      <c r="AU1590" s="6" t="str">
        <f ca="1">IFERROR(__xludf.DUMMYFUNCTION("""COMPUTED_VALUE"""),"FALSE")</f>
        <v>FALSE</v>
      </c>
      <c r="AZ1590" s="9"/>
      <c r="BC1590" s="9"/>
      <c r="BF1590" s="9"/>
      <c r="BI1590" s="9"/>
    </row>
    <row r="1591" spans="18:61">
      <c r="R1591" s="6"/>
      <c r="AS1591" s="15"/>
      <c r="AT1591" s="6" t="str">
        <f ca="1">IFERROR(__xludf.DUMMYFUNCTION("""COMPUTED_VALUE"""),"#N/A")</f>
        <v>#N/A</v>
      </c>
      <c r="AU1591" s="6" t="str">
        <f ca="1">IFERROR(__xludf.DUMMYFUNCTION("""COMPUTED_VALUE"""),"FALSE")</f>
        <v>FALSE</v>
      </c>
      <c r="AZ1591" s="9"/>
      <c r="BC1591" s="9"/>
      <c r="BF1591" s="9"/>
      <c r="BI1591" s="9"/>
    </row>
    <row r="1592" spans="18:61">
      <c r="R1592" s="6"/>
      <c r="AS1592" s="15"/>
      <c r="AT1592" s="6" t="str">
        <f ca="1">IFERROR(__xludf.DUMMYFUNCTION("""COMPUTED_VALUE"""),"#N/A")</f>
        <v>#N/A</v>
      </c>
      <c r="AU1592" s="6" t="str">
        <f ca="1">IFERROR(__xludf.DUMMYFUNCTION("""COMPUTED_VALUE"""),"FALSE")</f>
        <v>FALSE</v>
      </c>
      <c r="AZ1592" s="9"/>
      <c r="BC1592" s="9"/>
      <c r="BF1592" s="9"/>
      <c r="BI1592" s="9"/>
    </row>
    <row r="1593" spans="18:61">
      <c r="R1593" s="6"/>
      <c r="AS1593" s="15"/>
      <c r="AT1593" s="6" t="str">
        <f ca="1">IFERROR(__xludf.DUMMYFUNCTION("""COMPUTED_VALUE"""),"#N/A")</f>
        <v>#N/A</v>
      </c>
      <c r="AU1593" s="6" t="str">
        <f ca="1">IFERROR(__xludf.DUMMYFUNCTION("""COMPUTED_VALUE"""),"FALSE")</f>
        <v>FALSE</v>
      </c>
      <c r="AZ1593" s="9"/>
      <c r="BC1593" s="9"/>
      <c r="BF1593" s="9"/>
      <c r="BI1593" s="9"/>
    </row>
    <row r="1594" spans="18:61">
      <c r="R1594" s="6"/>
      <c r="AS1594" s="15"/>
      <c r="AT1594" s="6" t="str">
        <f ca="1">IFERROR(__xludf.DUMMYFUNCTION("""COMPUTED_VALUE"""),"#N/A")</f>
        <v>#N/A</v>
      </c>
      <c r="AU1594" s="6" t="str">
        <f ca="1">IFERROR(__xludf.DUMMYFUNCTION("""COMPUTED_VALUE"""),"FALSE")</f>
        <v>FALSE</v>
      </c>
      <c r="AZ1594" s="9"/>
      <c r="BC1594" s="9"/>
      <c r="BF1594" s="9"/>
      <c r="BI1594" s="9"/>
    </row>
    <row r="1595" spans="18:61">
      <c r="R1595" s="6"/>
      <c r="AS1595" s="15"/>
      <c r="AT1595" s="6" t="str">
        <f ca="1">IFERROR(__xludf.DUMMYFUNCTION("""COMPUTED_VALUE"""),"#N/A")</f>
        <v>#N/A</v>
      </c>
      <c r="AU1595" s="6" t="str">
        <f ca="1">IFERROR(__xludf.DUMMYFUNCTION("""COMPUTED_VALUE"""),"FALSE")</f>
        <v>FALSE</v>
      </c>
      <c r="AZ1595" s="9"/>
      <c r="BC1595" s="9"/>
      <c r="BF1595" s="9"/>
      <c r="BI1595" s="9"/>
    </row>
    <row r="1596" spans="18:61">
      <c r="R1596" s="6"/>
      <c r="AS1596" s="15"/>
      <c r="AT1596" s="6" t="str">
        <f ca="1">IFERROR(__xludf.DUMMYFUNCTION("""COMPUTED_VALUE"""),"#N/A")</f>
        <v>#N/A</v>
      </c>
      <c r="AU1596" s="6" t="str">
        <f ca="1">IFERROR(__xludf.DUMMYFUNCTION("""COMPUTED_VALUE"""),"FALSE")</f>
        <v>FALSE</v>
      </c>
      <c r="AZ1596" s="9"/>
      <c r="BC1596" s="9"/>
      <c r="BF1596" s="9"/>
      <c r="BI1596" s="9"/>
    </row>
    <row r="1597" spans="18:61">
      <c r="R1597" s="6"/>
      <c r="AS1597" s="15"/>
      <c r="AT1597" s="6" t="str">
        <f ca="1">IFERROR(__xludf.DUMMYFUNCTION("""COMPUTED_VALUE"""),"#N/A")</f>
        <v>#N/A</v>
      </c>
      <c r="AU1597" s="6" t="str">
        <f ca="1">IFERROR(__xludf.DUMMYFUNCTION("""COMPUTED_VALUE"""),"FALSE")</f>
        <v>FALSE</v>
      </c>
      <c r="AZ1597" s="9"/>
      <c r="BC1597" s="9"/>
      <c r="BF1597" s="9"/>
      <c r="BI1597" s="9"/>
    </row>
    <row r="1598" spans="18:61">
      <c r="R1598" s="6"/>
      <c r="AS1598" s="15"/>
      <c r="AT1598" s="6" t="str">
        <f ca="1">IFERROR(__xludf.DUMMYFUNCTION("""COMPUTED_VALUE"""),"#N/A")</f>
        <v>#N/A</v>
      </c>
      <c r="AU1598" s="6" t="str">
        <f ca="1">IFERROR(__xludf.DUMMYFUNCTION("""COMPUTED_VALUE"""),"FALSE")</f>
        <v>FALSE</v>
      </c>
      <c r="AZ1598" s="9"/>
      <c r="BC1598" s="9"/>
      <c r="BF1598" s="9"/>
      <c r="BI1598" s="9"/>
    </row>
    <row r="1599" spans="18:61">
      <c r="R1599" s="6"/>
      <c r="AS1599" s="15"/>
      <c r="AT1599" s="6" t="str">
        <f ca="1">IFERROR(__xludf.DUMMYFUNCTION("""COMPUTED_VALUE"""),"#N/A")</f>
        <v>#N/A</v>
      </c>
      <c r="AU1599" s="6" t="str">
        <f ca="1">IFERROR(__xludf.DUMMYFUNCTION("""COMPUTED_VALUE"""),"FALSE")</f>
        <v>FALSE</v>
      </c>
      <c r="AZ1599" s="9"/>
      <c r="BC1599" s="9"/>
      <c r="BF1599" s="9"/>
      <c r="BI1599" s="9"/>
    </row>
    <row r="1600" spans="18:61">
      <c r="R1600" s="6"/>
      <c r="AS1600" s="15"/>
      <c r="AT1600" s="6" t="str">
        <f ca="1">IFERROR(__xludf.DUMMYFUNCTION("""COMPUTED_VALUE"""),"#N/A")</f>
        <v>#N/A</v>
      </c>
      <c r="AU1600" s="6" t="str">
        <f ca="1">IFERROR(__xludf.DUMMYFUNCTION("""COMPUTED_VALUE"""),"FALSE")</f>
        <v>FALSE</v>
      </c>
      <c r="AZ1600" s="9"/>
      <c r="BC1600" s="9"/>
      <c r="BF1600" s="9"/>
      <c r="BI1600" s="9"/>
    </row>
    <row r="1601" spans="18:61">
      <c r="R1601" s="6"/>
      <c r="AS1601" s="15"/>
      <c r="AT1601" s="6" t="str">
        <f ca="1">IFERROR(__xludf.DUMMYFUNCTION("""COMPUTED_VALUE"""),"#N/A")</f>
        <v>#N/A</v>
      </c>
      <c r="AU1601" s="6" t="str">
        <f ca="1">IFERROR(__xludf.DUMMYFUNCTION("""COMPUTED_VALUE"""),"FALSE")</f>
        <v>FALSE</v>
      </c>
      <c r="AZ1601" s="9"/>
      <c r="BC1601" s="9"/>
      <c r="BF1601" s="9"/>
      <c r="BI1601" s="9"/>
    </row>
    <row r="1602" spans="18:61">
      <c r="R1602" s="6"/>
      <c r="AS1602" s="15"/>
      <c r="AT1602" s="6" t="str">
        <f ca="1">IFERROR(__xludf.DUMMYFUNCTION("""COMPUTED_VALUE"""),"#N/A")</f>
        <v>#N/A</v>
      </c>
      <c r="AU1602" s="6" t="str">
        <f ca="1">IFERROR(__xludf.DUMMYFUNCTION("""COMPUTED_VALUE"""),"FALSE")</f>
        <v>FALSE</v>
      </c>
      <c r="AZ1602" s="9"/>
      <c r="BC1602" s="9"/>
      <c r="BF1602" s="9"/>
      <c r="BI1602" s="9"/>
    </row>
    <row r="1603" spans="18:61">
      <c r="R1603" s="6"/>
      <c r="AS1603" s="15"/>
      <c r="AT1603" s="6" t="str">
        <f ca="1">IFERROR(__xludf.DUMMYFUNCTION("""COMPUTED_VALUE"""),"#N/A")</f>
        <v>#N/A</v>
      </c>
      <c r="AU1603" s="6" t="str">
        <f ca="1">IFERROR(__xludf.DUMMYFUNCTION("""COMPUTED_VALUE"""),"FALSE")</f>
        <v>FALSE</v>
      </c>
      <c r="AZ1603" s="9"/>
      <c r="BC1603" s="9"/>
      <c r="BF1603" s="9"/>
      <c r="BI1603" s="9"/>
    </row>
    <row r="1604" spans="18:61">
      <c r="R1604" s="6"/>
      <c r="AS1604" s="15"/>
      <c r="AT1604" s="6" t="str">
        <f ca="1">IFERROR(__xludf.DUMMYFUNCTION("""COMPUTED_VALUE"""),"#N/A")</f>
        <v>#N/A</v>
      </c>
      <c r="AU1604" s="6" t="str">
        <f ca="1">IFERROR(__xludf.DUMMYFUNCTION("""COMPUTED_VALUE"""),"FALSE")</f>
        <v>FALSE</v>
      </c>
      <c r="AZ1604" s="9"/>
      <c r="BC1604" s="9"/>
      <c r="BF1604" s="9"/>
      <c r="BI1604" s="9"/>
    </row>
    <row r="1605" spans="18:61">
      <c r="R1605" s="6"/>
      <c r="AS1605" s="15"/>
      <c r="AT1605" s="6" t="str">
        <f ca="1">IFERROR(__xludf.DUMMYFUNCTION("""COMPUTED_VALUE"""),"#N/A")</f>
        <v>#N/A</v>
      </c>
      <c r="AU1605" s="6" t="str">
        <f ca="1">IFERROR(__xludf.DUMMYFUNCTION("""COMPUTED_VALUE"""),"FALSE")</f>
        <v>FALSE</v>
      </c>
      <c r="AZ1605" s="9"/>
      <c r="BC1605" s="9"/>
      <c r="BF1605" s="9"/>
      <c r="BI1605" s="9"/>
    </row>
    <row r="1606" spans="18:61">
      <c r="R1606" s="6"/>
      <c r="AS1606" s="15"/>
      <c r="AT1606" s="6" t="str">
        <f ca="1">IFERROR(__xludf.DUMMYFUNCTION("""COMPUTED_VALUE"""),"#N/A")</f>
        <v>#N/A</v>
      </c>
      <c r="AU1606" s="6" t="str">
        <f ca="1">IFERROR(__xludf.DUMMYFUNCTION("""COMPUTED_VALUE"""),"FALSE")</f>
        <v>FALSE</v>
      </c>
      <c r="AZ1606" s="9"/>
      <c r="BC1606" s="9"/>
      <c r="BF1606" s="9"/>
      <c r="BI1606" s="9"/>
    </row>
    <row r="1607" spans="18:61">
      <c r="R1607" s="6"/>
      <c r="AS1607" s="15"/>
      <c r="AT1607" s="6" t="str">
        <f ca="1">IFERROR(__xludf.DUMMYFUNCTION("""COMPUTED_VALUE"""),"#N/A")</f>
        <v>#N/A</v>
      </c>
      <c r="AU1607" s="6" t="str">
        <f ca="1">IFERROR(__xludf.DUMMYFUNCTION("""COMPUTED_VALUE"""),"FALSE")</f>
        <v>FALSE</v>
      </c>
      <c r="AZ1607" s="9"/>
      <c r="BC1607" s="9"/>
      <c r="BF1607" s="9"/>
      <c r="BI1607" s="9"/>
    </row>
    <row r="1608" spans="18:61">
      <c r="R1608" s="6"/>
      <c r="AS1608" s="15"/>
      <c r="AT1608" s="6" t="str">
        <f ca="1">IFERROR(__xludf.DUMMYFUNCTION("""COMPUTED_VALUE"""),"#N/A")</f>
        <v>#N/A</v>
      </c>
      <c r="AU1608" s="6" t="str">
        <f ca="1">IFERROR(__xludf.DUMMYFUNCTION("""COMPUTED_VALUE"""),"FALSE")</f>
        <v>FALSE</v>
      </c>
      <c r="AZ1608" s="9"/>
      <c r="BC1608" s="9"/>
      <c r="BF1608" s="9"/>
      <c r="BI1608" s="9"/>
    </row>
    <row r="1609" spans="18:61">
      <c r="R1609" s="6"/>
      <c r="AS1609" s="15"/>
      <c r="AT1609" s="6" t="str">
        <f ca="1">IFERROR(__xludf.DUMMYFUNCTION("""COMPUTED_VALUE"""),"#N/A")</f>
        <v>#N/A</v>
      </c>
      <c r="AU1609" s="6" t="str">
        <f ca="1">IFERROR(__xludf.DUMMYFUNCTION("""COMPUTED_VALUE"""),"FALSE")</f>
        <v>FALSE</v>
      </c>
      <c r="AZ1609" s="9"/>
      <c r="BC1609" s="9"/>
      <c r="BF1609" s="9"/>
      <c r="BI1609" s="9"/>
    </row>
    <row r="1610" spans="18:61">
      <c r="R1610" s="6"/>
      <c r="AS1610" s="15"/>
      <c r="AT1610" s="6" t="str">
        <f ca="1">IFERROR(__xludf.DUMMYFUNCTION("""COMPUTED_VALUE"""),"#N/A")</f>
        <v>#N/A</v>
      </c>
      <c r="AU1610" s="6" t="str">
        <f ca="1">IFERROR(__xludf.DUMMYFUNCTION("""COMPUTED_VALUE"""),"FALSE")</f>
        <v>FALSE</v>
      </c>
      <c r="AZ1610" s="9"/>
      <c r="BC1610" s="9"/>
      <c r="BF1610" s="9"/>
      <c r="BI1610" s="9"/>
    </row>
    <row r="1611" spans="18:61">
      <c r="R1611" s="6"/>
      <c r="AS1611" s="15"/>
      <c r="AT1611" s="6" t="str">
        <f ca="1">IFERROR(__xludf.DUMMYFUNCTION("""COMPUTED_VALUE"""),"#N/A")</f>
        <v>#N/A</v>
      </c>
      <c r="AU1611" s="6" t="str">
        <f ca="1">IFERROR(__xludf.DUMMYFUNCTION("""COMPUTED_VALUE"""),"FALSE")</f>
        <v>FALSE</v>
      </c>
      <c r="AZ1611" s="9"/>
      <c r="BC1611" s="9"/>
      <c r="BF1611" s="9"/>
      <c r="BI1611" s="9"/>
    </row>
    <row r="1612" spans="18:61">
      <c r="R1612" s="6"/>
      <c r="AS1612" s="15"/>
      <c r="AT1612" s="6" t="str">
        <f ca="1">IFERROR(__xludf.DUMMYFUNCTION("""COMPUTED_VALUE"""),"#N/A")</f>
        <v>#N/A</v>
      </c>
      <c r="AU1612" s="6" t="str">
        <f ca="1">IFERROR(__xludf.DUMMYFUNCTION("""COMPUTED_VALUE"""),"FALSE")</f>
        <v>FALSE</v>
      </c>
      <c r="AZ1612" s="9"/>
      <c r="BC1612" s="9"/>
      <c r="BF1612" s="9"/>
      <c r="BI1612" s="9"/>
    </row>
    <row r="1613" spans="18:61">
      <c r="R1613" s="6"/>
      <c r="AS1613" s="15"/>
      <c r="AT1613" s="6" t="str">
        <f ca="1">IFERROR(__xludf.DUMMYFUNCTION("""COMPUTED_VALUE"""),"#N/A")</f>
        <v>#N/A</v>
      </c>
      <c r="AU1613" s="6" t="str">
        <f ca="1">IFERROR(__xludf.DUMMYFUNCTION("""COMPUTED_VALUE"""),"FALSE")</f>
        <v>FALSE</v>
      </c>
      <c r="AZ1613" s="9"/>
      <c r="BC1613" s="9"/>
      <c r="BF1613" s="9"/>
      <c r="BI1613" s="9"/>
    </row>
    <row r="1614" spans="18:61">
      <c r="R1614" s="6"/>
      <c r="AS1614" s="15"/>
      <c r="AT1614" s="6" t="str">
        <f ca="1">IFERROR(__xludf.DUMMYFUNCTION("""COMPUTED_VALUE"""),"#N/A")</f>
        <v>#N/A</v>
      </c>
      <c r="AU1614" s="6" t="str">
        <f ca="1">IFERROR(__xludf.DUMMYFUNCTION("""COMPUTED_VALUE"""),"FALSE")</f>
        <v>FALSE</v>
      </c>
      <c r="AZ1614" s="9"/>
      <c r="BC1614" s="9"/>
      <c r="BF1614" s="9"/>
      <c r="BI1614" s="9"/>
    </row>
    <row r="1615" spans="18:61">
      <c r="R1615" s="6"/>
      <c r="AS1615" s="15"/>
      <c r="AT1615" s="6" t="str">
        <f ca="1">IFERROR(__xludf.DUMMYFUNCTION("""COMPUTED_VALUE"""),"#N/A")</f>
        <v>#N/A</v>
      </c>
      <c r="AU1615" s="6" t="str">
        <f ca="1">IFERROR(__xludf.DUMMYFUNCTION("""COMPUTED_VALUE"""),"FALSE")</f>
        <v>FALSE</v>
      </c>
      <c r="AZ1615" s="9"/>
      <c r="BC1615" s="9"/>
      <c r="BF1615" s="9"/>
      <c r="BI1615" s="9"/>
    </row>
    <row r="1616" spans="18:61">
      <c r="R1616" s="6"/>
      <c r="AS1616" s="15"/>
      <c r="AT1616" s="6" t="str">
        <f ca="1">IFERROR(__xludf.DUMMYFUNCTION("""COMPUTED_VALUE"""),"#N/A")</f>
        <v>#N/A</v>
      </c>
      <c r="AU1616" s="6" t="str">
        <f ca="1">IFERROR(__xludf.DUMMYFUNCTION("""COMPUTED_VALUE"""),"FALSE")</f>
        <v>FALSE</v>
      </c>
      <c r="AZ1616" s="9"/>
      <c r="BC1616" s="9"/>
      <c r="BF1616" s="9"/>
      <c r="BI1616" s="9"/>
    </row>
    <row r="1617" spans="18:61">
      <c r="R1617" s="6"/>
      <c r="AS1617" s="15"/>
      <c r="AT1617" s="6" t="str">
        <f ca="1">IFERROR(__xludf.DUMMYFUNCTION("""COMPUTED_VALUE"""),"#N/A")</f>
        <v>#N/A</v>
      </c>
      <c r="AU1617" s="6" t="str">
        <f ca="1">IFERROR(__xludf.DUMMYFUNCTION("""COMPUTED_VALUE"""),"FALSE")</f>
        <v>FALSE</v>
      </c>
      <c r="AZ1617" s="9"/>
      <c r="BC1617" s="9"/>
      <c r="BF1617" s="9"/>
      <c r="BI1617" s="9"/>
    </row>
    <row r="1618" spans="18:61">
      <c r="R1618" s="6"/>
      <c r="AS1618" s="15"/>
      <c r="AT1618" s="6" t="str">
        <f ca="1">IFERROR(__xludf.DUMMYFUNCTION("""COMPUTED_VALUE"""),"#N/A")</f>
        <v>#N/A</v>
      </c>
      <c r="AU1618" s="6" t="str">
        <f ca="1">IFERROR(__xludf.DUMMYFUNCTION("""COMPUTED_VALUE"""),"FALSE")</f>
        <v>FALSE</v>
      </c>
      <c r="AZ1618" s="9"/>
      <c r="BC1618" s="9"/>
      <c r="BF1618" s="9"/>
      <c r="BI1618" s="9"/>
    </row>
    <row r="1619" spans="18:61">
      <c r="R1619" s="6"/>
      <c r="AS1619" s="15"/>
      <c r="AT1619" s="6" t="str">
        <f ca="1">IFERROR(__xludf.DUMMYFUNCTION("""COMPUTED_VALUE"""),"#N/A")</f>
        <v>#N/A</v>
      </c>
      <c r="AU1619" s="6" t="str">
        <f ca="1">IFERROR(__xludf.DUMMYFUNCTION("""COMPUTED_VALUE"""),"FALSE")</f>
        <v>FALSE</v>
      </c>
      <c r="AZ1619" s="9"/>
      <c r="BC1619" s="9"/>
      <c r="BF1619" s="9"/>
      <c r="BI1619" s="9"/>
    </row>
    <row r="1620" spans="18:61">
      <c r="R1620" s="6"/>
      <c r="AS1620" s="15"/>
      <c r="AT1620" s="6" t="str">
        <f ca="1">IFERROR(__xludf.DUMMYFUNCTION("""COMPUTED_VALUE"""),"#N/A")</f>
        <v>#N/A</v>
      </c>
      <c r="AU1620" s="6" t="str">
        <f ca="1">IFERROR(__xludf.DUMMYFUNCTION("""COMPUTED_VALUE"""),"FALSE")</f>
        <v>FALSE</v>
      </c>
      <c r="AZ1620" s="9"/>
      <c r="BC1620" s="9"/>
      <c r="BF1620" s="9"/>
      <c r="BI1620" s="9"/>
    </row>
    <row r="1621" spans="18:61">
      <c r="R1621" s="6"/>
      <c r="AS1621" s="15"/>
      <c r="AT1621" s="6" t="str">
        <f ca="1">IFERROR(__xludf.DUMMYFUNCTION("""COMPUTED_VALUE"""),"#N/A")</f>
        <v>#N/A</v>
      </c>
      <c r="AU1621" s="6" t="str">
        <f ca="1">IFERROR(__xludf.DUMMYFUNCTION("""COMPUTED_VALUE"""),"FALSE")</f>
        <v>FALSE</v>
      </c>
      <c r="AZ1621" s="9"/>
      <c r="BC1621" s="9"/>
      <c r="BF1621" s="9"/>
      <c r="BI1621" s="9"/>
    </row>
    <row r="1622" spans="18:61">
      <c r="R1622" s="6"/>
      <c r="AS1622" s="15"/>
      <c r="AT1622" s="6" t="str">
        <f ca="1">IFERROR(__xludf.DUMMYFUNCTION("""COMPUTED_VALUE"""),"#N/A")</f>
        <v>#N/A</v>
      </c>
      <c r="AU1622" s="6" t="str">
        <f ca="1">IFERROR(__xludf.DUMMYFUNCTION("""COMPUTED_VALUE"""),"FALSE")</f>
        <v>FALSE</v>
      </c>
      <c r="AZ1622" s="9"/>
      <c r="BC1622" s="9"/>
      <c r="BF1622" s="9"/>
      <c r="BI1622" s="9"/>
    </row>
    <row r="1623" spans="18:61">
      <c r="R1623" s="6"/>
      <c r="AS1623" s="15"/>
      <c r="AT1623" s="6" t="str">
        <f ca="1">IFERROR(__xludf.DUMMYFUNCTION("""COMPUTED_VALUE"""),"#N/A")</f>
        <v>#N/A</v>
      </c>
      <c r="AU1623" s="6" t="str">
        <f ca="1">IFERROR(__xludf.DUMMYFUNCTION("""COMPUTED_VALUE"""),"FALSE")</f>
        <v>FALSE</v>
      </c>
      <c r="AZ1623" s="9"/>
      <c r="BC1623" s="9"/>
      <c r="BF1623" s="9"/>
      <c r="BI1623" s="9"/>
    </row>
    <row r="1624" spans="18:61">
      <c r="R1624" s="6"/>
      <c r="AS1624" s="15"/>
      <c r="AT1624" s="6" t="str">
        <f ca="1">IFERROR(__xludf.DUMMYFUNCTION("""COMPUTED_VALUE"""),"#N/A")</f>
        <v>#N/A</v>
      </c>
      <c r="AU1624" s="6" t="str">
        <f ca="1">IFERROR(__xludf.DUMMYFUNCTION("""COMPUTED_VALUE"""),"FALSE")</f>
        <v>FALSE</v>
      </c>
      <c r="AZ1624" s="9"/>
      <c r="BC1624" s="9"/>
      <c r="BF1624" s="9"/>
      <c r="BI1624" s="9"/>
    </row>
    <row r="1625" spans="18:61">
      <c r="R1625" s="6"/>
      <c r="AS1625" s="15"/>
      <c r="AT1625" s="6" t="str">
        <f ca="1">IFERROR(__xludf.DUMMYFUNCTION("""COMPUTED_VALUE"""),"#N/A")</f>
        <v>#N/A</v>
      </c>
      <c r="AU1625" s="6" t="str">
        <f ca="1">IFERROR(__xludf.DUMMYFUNCTION("""COMPUTED_VALUE"""),"FALSE")</f>
        <v>FALSE</v>
      </c>
      <c r="AZ1625" s="9"/>
      <c r="BC1625" s="9"/>
      <c r="BF1625" s="9"/>
      <c r="BI1625" s="9"/>
    </row>
    <row r="1626" spans="18:61">
      <c r="R1626" s="6"/>
      <c r="AS1626" s="15"/>
      <c r="AT1626" s="6" t="str">
        <f ca="1">IFERROR(__xludf.DUMMYFUNCTION("""COMPUTED_VALUE"""),"#N/A")</f>
        <v>#N/A</v>
      </c>
      <c r="AU1626" s="6" t="str">
        <f ca="1">IFERROR(__xludf.DUMMYFUNCTION("""COMPUTED_VALUE"""),"FALSE")</f>
        <v>FALSE</v>
      </c>
      <c r="AZ1626" s="9"/>
      <c r="BC1626" s="9"/>
      <c r="BF1626" s="9"/>
      <c r="BI1626" s="9"/>
    </row>
    <row r="1627" spans="18:61">
      <c r="R1627" s="6"/>
      <c r="AS1627" s="15"/>
      <c r="AT1627" s="6" t="str">
        <f ca="1">IFERROR(__xludf.DUMMYFUNCTION("""COMPUTED_VALUE"""),"#N/A")</f>
        <v>#N/A</v>
      </c>
      <c r="AU1627" s="6" t="str">
        <f ca="1">IFERROR(__xludf.DUMMYFUNCTION("""COMPUTED_VALUE"""),"FALSE")</f>
        <v>FALSE</v>
      </c>
      <c r="AZ1627" s="9"/>
      <c r="BC1627" s="9"/>
      <c r="BF1627" s="9"/>
      <c r="BI1627" s="9"/>
    </row>
    <row r="1628" spans="18:61">
      <c r="R1628" s="6"/>
      <c r="AS1628" s="15"/>
      <c r="AT1628" s="6" t="str">
        <f ca="1">IFERROR(__xludf.DUMMYFUNCTION("""COMPUTED_VALUE"""),"#N/A")</f>
        <v>#N/A</v>
      </c>
      <c r="AU1628" s="6" t="str">
        <f ca="1">IFERROR(__xludf.DUMMYFUNCTION("""COMPUTED_VALUE"""),"FALSE")</f>
        <v>FALSE</v>
      </c>
      <c r="AZ1628" s="9"/>
      <c r="BC1628" s="9"/>
      <c r="BF1628" s="9"/>
      <c r="BI1628" s="9"/>
    </row>
    <row r="1629" spans="18:61">
      <c r="R1629" s="6"/>
      <c r="AS1629" s="15"/>
      <c r="AT1629" s="6" t="str">
        <f ca="1">IFERROR(__xludf.DUMMYFUNCTION("""COMPUTED_VALUE"""),"#N/A")</f>
        <v>#N/A</v>
      </c>
      <c r="AU1629" s="6" t="str">
        <f ca="1">IFERROR(__xludf.DUMMYFUNCTION("""COMPUTED_VALUE"""),"FALSE")</f>
        <v>FALSE</v>
      </c>
      <c r="AZ1629" s="9"/>
      <c r="BC1629" s="9"/>
      <c r="BF1629" s="9"/>
      <c r="BI1629" s="9"/>
    </row>
    <row r="1630" spans="18:61">
      <c r="R1630" s="6"/>
      <c r="AS1630" s="15"/>
      <c r="AT1630" s="6" t="str">
        <f ca="1">IFERROR(__xludf.DUMMYFUNCTION("""COMPUTED_VALUE"""),"#N/A")</f>
        <v>#N/A</v>
      </c>
      <c r="AU1630" s="6" t="str">
        <f ca="1">IFERROR(__xludf.DUMMYFUNCTION("""COMPUTED_VALUE"""),"FALSE")</f>
        <v>FALSE</v>
      </c>
      <c r="AZ1630" s="9"/>
      <c r="BC1630" s="9"/>
      <c r="BF1630" s="9"/>
      <c r="BI1630" s="9"/>
    </row>
    <row r="1631" spans="18:61">
      <c r="R1631" s="6"/>
      <c r="AS1631" s="15"/>
      <c r="AT1631" s="6" t="str">
        <f ca="1">IFERROR(__xludf.DUMMYFUNCTION("""COMPUTED_VALUE"""),"#N/A")</f>
        <v>#N/A</v>
      </c>
      <c r="AU1631" s="6" t="str">
        <f ca="1">IFERROR(__xludf.DUMMYFUNCTION("""COMPUTED_VALUE"""),"FALSE")</f>
        <v>FALSE</v>
      </c>
      <c r="AZ1631" s="9"/>
      <c r="BC1631" s="9"/>
      <c r="BF1631" s="9"/>
      <c r="BI1631" s="9"/>
    </row>
    <row r="1632" spans="18:61">
      <c r="R1632" s="6"/>
      <c r="AS1632" s="15"/>
      <c r="AT1632" s="6" t="str">
        <f ca="1">IFERROR(__xludf.DUMMYFUNCTION("""COMPUTED_VALUE"""),"#N/A")</f>
        <v>#N/A</v>
      </c>
      <c r="AU1632" s="6" t="str">
        <f ca="1">IFERROR(__xludf.DUMMYFUNCTION("""COMPUTED_VALUE"""),"FALSE")</f>
        <v>FALSE</v>
      </c>
      <c r="AZ1632" s="9"/>
      <c r="BC1632" s="9"/>
      <c r="BF1632" s="9"/>
      <c r="BI1632" s="9"/>
    </row>
    <row r="1633" spans="18:61">
      <c r="R1633" s="6"/>
      <c r="AS1633" s="15"/>
      <c r="AT1633" s="6" t="str">
        <f ca="1">IFERROR(__xludf.DUMMYFUNCTION("""COMPUTED_VALUE"""),"#N/A")</f>
        <v>#N/A</v>
      </c>
      <c r="AU1633" s="6" t="str">
        <f ca="1">IFERROR(__xludf.DUMMYFUNCTION("""COMPUTED_VALUE"""),"FALSE")</f>
        <v>FALSE</v>
      </c>
      <c r="AZ1633" s="9"/>
      <c r="BC1633" s="9"/>
      <c r="BF1633" s="9"/>
      <c r="BI1633" s="9"/>
    </row>
    <row r="1634" spans="18:61">
      <c r="R1634" s="6"/>
      <c r="AS1634" s="15"/>
      <c r="AT1634" s="6" t="str">
        <f ca="1">IFERROR(__xludf.DUMMYFUNCTION("""COMPUTED_VALUE"""),"#N/A")</f>
        <v>#N/A</v>
      </c>
      <c r="AU1634" s="6" t="str">
        <f ca="1">IFERROR(__xludf.DUMMYFUNCTION("""COMPUTED_VALUE"""),"FALSE")</f>
        <v>FALSE</v>
      </c>
      <c r="AZ1634" s="9"/>
      <c r="BC1634" s="9"/>
      <c r="BF1634" s="9"/>
      <c r="BI1634" s="9"/>
    </row>
    <row r="1635" spans="18:61">
      <c r="R1635" s="6"/>
      <c r="AS1635" s="15"/>
      <c r="AT1635" s="6" t="str">
        <f ca="1">IFERROR(__xludf.DUMMYFUNCTION("""COMPUTED_VALUE"""),"#N/A")</f>
        <v>#N/A</v>
      </c>
      <c r="AU1635" s="6" t="str">
        <f ca="1">IFERROR(__xludf.DUMMYFUNCTION("""COMPUTED_VALUE"""),"FALSE")</f>
        <v>FALSE</v>
      </c>
      <c r="AZ1635" s="9"/>
      <c r="BC1635" s="9"/>
      <c r="BF1635" s="9"/>
      <c r="BI1635" s="9"/>
    </row>
    <row r="1636" spans="18:61">
      <c r="R1636" s="6"/>
      <c r="AS1636" s="15"/>
      <c r="AT1636" s="6" t="str">
        <f ca="1">IFERROR(__xludf.DUMMYFUNCTION("""COMPUTED_VALUE"""),"#N/A")</f>
        <v>#N/A</v>
      </c>
      <c r="AU1636" s="6" t="str">
        <f ca="1">IFERROR(__xludf.DUMMYFUNCTION("""COMPUTED_VALUE"""),"FALSE")</f>
        <v>FALSE</v>
      </c>
      <c r="AZ1636" s="9"/>
      <c r="BC1636" s="9"/>
      <c r="BF1636" s="9"/>
      <c r="BI1636" s="9"/>
    </row>
    <row r="1637" spans="18:61">
      <c r="R1637" s="6"/>
      <c r="AS1637" s="15"/>
      <c r="AT1637" s="6" t="str">
        <f ca="1">IFERROR(__xludf.DUMMYFUNCTION("""COMPUTED_VALUE"""),"#N/A")</f>
        <v>#N/A</v>
      </c>
      <c r="AU1637" s="6" t="str">
        <f ca="1">IFERROR(__xludf.DUMMYFUNCTION("""COMPUTED_VALUE"""),"FALSE")</f>
        <v>FALSE</v>
      </c>
      <c r="AZ1637" s="9"/>
      <c r="BC1637" s="9"/>
      <c r="BF1637" s="9"/>
      <c r="BI1637" s="9"/>
    </row>
    <row r="1638" spans="18:61">
      <c r="R1638" s="6"/>
      <c r="AS1638" s="15"/>
      <c r="AT1638" s="6" t="str">
        <f ca="1">IFERROR(__xludf.DUMMYFUNCTION("""COMPUTED_VALUE"""),"#N/A")</f>
        <v>#N/A</v>
      </c>
      <c r="AU1638" s="6" t="str">
        <f ca="1">IFERROR(__xludf.DUMMYFUNCTION("""COMPUTED_VALUE"""),"FALSE")</f>
        <v>FALSE</v>
      </c>
      <c r="AZ1638" s="9"/>
      <c r="BC1638" s="9"/>
      <c r="BF1638" s="9"/>
      <c r="BI1638" s="9"/>
    </row>
    <row r="1639" spans="18:61">
      <c r="R1639" s="6"/>
      <c r="AS1639" s="15"/>
      <c r="AT1639" s="6" t="str">
        <f ca="1">IFERROR(__xludf.DUMMYFUNCTION("""COMPUTED_VALUE"""),"#N/A")</f>
        <v>#N/A</v>
      </c>
      <c r="AU1639" s="6" t="str">
        <f ca="1">IFERROR(__xludf.DUMMYFUNCTION("""COMPUTED_VALUE"""),"FALSE")</f>
        <v>FALSE</v>
      </c>
      <c r="AZ1639" s="9"/>
      <c r="BC1639" s="9"/>
      <c r="BF1639" s="9"/>
      <c r="BI1639" s="9"/>
    </row>
    <row r="1640" spans="18:61">
      <c r="R1640" s="6"/>
      <c r="AS1640" s="15"/>
      <c r="AT1640" s="6" t="str">
        <f ca="1">IFERROR(__xludf.DUMMYFUNCTION("""COMPUTED_VALUE"""),"#N/A")</f>
        <v>#N/A</v>
      </c>
      <c r="AU1640" s="6" t="str">
        <f ca="1">IFERROR(__xludf.DUMMYFUNCTION("""COMPUTED_VALUE"""),"FALSE")</f>
        <v>FALSE</v>
      </c>
      <c r="AZ1640" s="9"/>
      <c r="BC1640" s="9"/>
      <c r="BF1640" s="9"/>
      <c r="BI1640" s="9"/>
    </row>
    <row r="1641" spans="18:61">
      <c r="R1641" s="6"/>
      <c r="AS1641" s="15"/>
      <c r="AT1641" s="6" t="str">
        <f ca="1">IFERROR(__xludf.DUMMYFUNCTION("""COMPUTED_VALUE"""),"#N/A")</f>
        <v>#N/A</v>
      </c>
      <c r="AU1641" s="6" t="str">
        <f ca="1">IFERROR(__xludf.DUMMYFUNCTION("""COMPUTED_VALUE"""),"FALSE")</f>
        <v>FALSE</v>
      </c>
      <c r="AZ1641" s="9"/>
      <c r="BC1641" s="9"/>
      <c r="BF1641" s="9"/>
      <c r="BI1641" s="9"/>
    </row>
    <row r="1642" spans="18:61">
      <c r="R1642" s="6"/>
      <c r="AS1642" s="15"/>
      <c r="AT1642" s="6" t="str">
        <f ca="1">IFERROR(__xludf.DUMMYFUNCTION("""COMPUTED_VALUE"""),"#N/A")</f>
        <v>#N/A</v>
      </c>
      <c r="AU1642" s="6" t="str">
        <f ca="1">IFERROR(__xludf.DUMMYFUNCTION("""COMPUTED_VALUE"""),"FALSE")</f>
        <v>FALSE</v>
      </c>
      <c r="AZ1642" s="9"/>
      <c r="BC1642" s="9"/>
      <c r="BF1642" s="9"/>
      <c r="BI1642" s="9"/>
    </row>
    <row r="1643" spans="18:61">
      <c r="R1643" s="6"/>
      <c r="AS1643" s="15"/>
      <c r="AT1643" s="6" t="str">
        <f ca="1">IFERROR(__xludf.DUMMYFUNCTION("""COMPUTED_VALUE"""),"#N/A")</f>
        <v>#N/A</v>
      </c>
      <c r="AU1643" s="6" t="str">
        <f ca="1">IFERROR(__xludf.DUMMYFUNCTION("""COMPUTED_VALUE"""),"FALSE")</f>
        <v>FALSE</v>
      </c>
      <c r="AZ1643" s="9"/>
      <c r="BC1643" s="9"/>
      <c r="BF1643" s="9"/>
      <c r="BI1643" s="9"/>
    </row>
    <row r="1644" spans="18:61">
      <c r="R1644" s="6"/>
      <c r="AS1644" s="15"/>
      <c r="AT1644" s="6" t="str">
        <f ca="1">IFERROR(__xludf.DUMMYFUNCTION("""COMPUTED_VALUE"""),"#N/A")</f>
        <v>#N/A</v>
      </c>
      <c r="AU1644" s="6" t="str">
        <f ca="1">IFERROR(__xludf.DUMMYFUNCTION("""COMPUTED_VALUE"""),"FALSE")</f>
        <v>FALSE</v>
      </c>
      <c r="AZ1644" s="9"/>
      <c r="BC1644" s="9"/>
      <c r="BF1644" s="9"/>
      <c r="BI1644" s="9"/>
    </row>
    <row r="1645" spans="18:61">
      <c r="R1645" s="6"/>
      <c r="AS1645" s="15"/>
      <c r="AT1645" s="6" t="str">
        <f ca="1">IFERROR(__xludf.DUMMYFUNCTION("""COMPUTED_VALUE"""),"#N/A")</f>
        <v>#N/A</v>
      </c>
      <c r="AU1645" s="6" t="str">
        <f ca="1">IFERROR(__xludf.DUMMYFUNCTION("""COMPUTED_VALUE"""),"FALSE")</f>
        <v>FALSE</v>
      </c>
      <c r="AZ1645" s="9"/>
      <c r="BC1645" s="9"/>
      <c r="BF1645" s="9"/>
      <c r="BI1645" s="9"/>
    </row>
    <row r="1646" spans="18:61">
      <c r="R1646" s="6"/>
      <c r="AS1646" s="15"/>
      <c r="AT1646" s="6" t="str">
        <f ca="1">IFERROR(__xludf.DUMMYFUNCTION("""COMPUTED_VALUE"""),"#N/A")</f>
        <v>#N/A</v>
      </c>
      <c r="AU1646" s="6" t="str">
        <f ca="1">IFERROR(__xludf.DUMMYFUNCTION("""COMPUTED_VALUE"""),"FALSE")</f>
        <v>FALSE</v>
      </c>
      <c r="AZ1646" s="9"/>
      <c r="BC1646" s="9"/>
      <c r="BF1646" s="9"/>
      <c r="BI1646" s="9"/>
    </row>
    <row r="1647" spans="18:61">
      <c r="R1647" s="6"/>
      <c r="AS1647" s="15"/>
      <c r="AT1647" s="6" t="str">
        <f ca="1">IFERROR(__xludf.DUMMYFUNCTION("""COMPUTED_VALUE"""),"#N/A")</f>
        <v>#N/A</v>
      </c>
      <c r="AU1647" s="6" t="str">
        <f ca="1">IFERROR(__xludf.DUMMYFUNCTION("""COMPUTED_VALUE"""),"FALSE")</f>
        <v>FALSE</v>
      </c>
      <c r="AZ1647" s="9"/>
      <c r="BC1647" s="9"/>
      <c r="BF1647" s="9"/>
      <c r="BI1647" s="9"/>
    </row>
    <row r="1648" spans="18:61">
      <c r="R1648" s="6"/>
      <c r="AS1648" s="15"/>
      <c r="AT1648" s="6" t="str">
        <f ca="1">IFERROR(__xludf.DUMMYFUNCTION("""COMPUTED_VALUE"""),"#N/A")</f>
        <v>#N/A</v>
      </c>
      <c r="AU1648" s="6" t="str">
        <f ca="1">IFERROR(__xludf.DUMMYFUNCTION("""COMPUTED_VALUE"""),"FALSE")</f>
        <v>FALSE</v>
      </c>
      <c r="AZ1648" s="9"/>
      <c r="BC1648" s="9"/>
      <c r="BF1648" s="9"/>
      <c r="BI1648" s="9"/>
    </row>
    <row r="1649" spans="18:61">
      <c r="R1649" s="6"/>
      <c r="AS1649" s="15"/>
      <c r="AT1649" s="6" t="str">
        <f ca="1">IFERROR(__xludf.DUMMYFUNCTION("""COMPUTED_VALUE"""),"#N/A")</f>
        <v>#N/A</v>
      </c>
      <c r="AU1649" s="6" t="str">
        <f ca="1">IFERROR(__xludf.DUMMYFUNCTION("""COMPUTED_VALUE"""),"FALSE")</f>
        <v>FALSE</v>
      </c>
      <c r="AZ1649" s="9"/>
      <c r="BC1649" s="9"/>
      <c r="BF1649" s="9"/>
      <c r="BI1649" s="9"/>
    </row>
    <row r="1650" spans="18:61">
      <c r="R1650" s="6"/>
      <c r="AS1650" s="15"/>
      <c r="AT1650" s="6" t="str">
        <f ca="1">IFERROR(__xludf.DUMMYFUNCTION("""COMPUTED_VALUE"""),"#N/A")</f>
        <v>#N/A</v>
      </c>
      <c r="AU1650" s="6" t="str">
        <f ca="1">IFERROR(__xludf.DUMMYFUNCTION("""COMPUTED_VALUE"""),"FALSE")</f>
        <v>FALSE</v>
      </c>
      <c r="AZ1650" s="9"/>
      <c r="BC1650" s="9"/>
      <c r="BF1650" s="9"/>
      <c r="BI1650" s="9"/>
    </row>
    <row r="1651" spans="18:61">
      <c r="R1651" s="6"/>
      <c r="AS1651" s="15"/>
      <c r="AT1651" s="6" t="str">
        <f ca="1">IFERROR(__xludf.DUMMYFUNCTION("""COMPUTED_VALUE"""),"#N/A")</f>
        <v>#N/A</v>
      </c>
      <c r="AU1651" s="6" t="str">
        <f ca="1">IFERROR(__xludf.DUMMYFUNCTION("""COMPUTED_VALUE"""),"FALSE")</f>
        <v>FALSE</v>
      </c>
      <c r="AZ1651" s="9"/>
      <c r="BC1651" s="9"/>
      <c r="BF1651" s="9"/>
      <c r="BI1651" s="9"/>
    </row>
    <row r="1652" spans="18:61">
      <c r="R1652" s="6"/>
      <c r="AS1652" s="15"/>
      <c r="AT1652" s="6" t="str">
        <f ca="1">IFERROR(__xludf.DUMMYFUNCTION("""COMPUTED_VALUE"""),"#N/A")</f>
        <v>#N/A</v>
      </c>
      <c r="AU1652" s="6" t="str">
        <f ca="1">IFERROR(__xludf.DUMMYFUNCTION("""COMPUTED_VALUE"""),"FALSE")</f>
        <v>FALSE</v>
      </c>
      <c r="AZ1652" s="9"/>
      <c r="BC1652" s="9"/>
      <c r="BF1652" s="9"/>
      <c r="BI1652" s="9"/>
    </row>
    <row r="1653" spans="18:61">
      <c r="R1653" s="6"/>
      <c r="AS1653" s="15"/>
      <c r="AT1653" s="6" t="str">
        <f ca="1">IFERROR(__xludf.DUMMYFUNCTION("""COMPUTED_VALUE"""),"#N/A")</f>
        <v>#N/A</v>
      </c>
      <c r="AU1653" s="6" t="str">
        <f ca="1">IFERROR(__xludf.DUMMYFUNCTION("""COMPUTED_VALUE"""),"FALSE")</f>
        <v>FALSE</v>
      </c>
      <c r="AZ1653" s="9"/>
      <c r="BC1653" s="9"/>
      <c r="BF1653" s="9"/>
      <c r="BI1653" s="9"/>
    </row>
    <row r="1654" spans="18:61">
      <c r="R1654" s="6"/>
      <c r="AS1654" s="15"/>
      <c r="AT1654" s="6" t="str">
        <f ca="1">IFERROR(__xludf.DUMMYFUNCTION("""COMPUTED_VALUE"""),"#N/A")</f>
        <v>#N/A</v>
      </c>
      <c r="AU1654" s="6" t="str">
        <f ca="1">IFERROR(__xludf.DUMMYFUNCTION("""COMPUTED_VALUE"""),"FALSE")</f>
        <v>FALSE</v>
      </c>
      <c r="AZ1654" s="9"/>
      <c r="BC1654" s="9"/>
      <c r="BF1654" s="9"/>
      <c r="BI1654" s="9"/>
    </row>
    <row r="1655" spans="18:61">
      <c r="R1655" s="6"/>
      <c r="AS1655" s="15"/>
      <c r="AT1655" s="6" t="str">
        <f ca="1">IFERROR(__xludf.DUMMYFUNCTION("""COMPUTED_VALUE"""),"#N/A")</f>
        <v>#N/A</v>
      </c>
      <c r="AU1655" s="6" t="str">
        <f ca="1">IFERROR(__xludf.DUMMYFUNCTION("""COMPUTED_VALUE"""),"FALSE")</f>
        <v>FALSE</v>
      </c>
      <c r="AZ1655" s="9"/>
      <c r="BC1655" s="9"/>
      <c r="BF1655" s="9"/>
      <c r="BI1655" s="9"/>
    </row>
    <row r="1656" spans="18:61">
      <c r="R1656" s="6"/>
      <c r="AS1656" s="15"/>
      <c r="AT1656" s="6" t="str">
        <f ca="1">IFERROR(__xludf.DUMMYFUNCTION("""COMPUTED_VALUE"""),"#N/A")</f>
        <v>#N/A</v>
      </c>
      <c r="AU1656" s="6" t="str">
        <f ca="1">IFERROR(__xludf.DUMMYFUNCTION("""COMPUTED_VALUE"""),"FALSE")</f>
        <v>FALSE</v>
      </c>
      <c r="AZ1656" s="9"/>
      <c r="BC1656" s="9"/>
      <c r="BF1656" s="9"/>
      <c r="BI1656" s="9"/>
    </row>
    <row r="1657" spans="18:61">
      <c r="R1657" s="6"/>
      <c r="AS1657" s="15"/>
      <c r="AT1657" s="6" t="str">
        <f ca="1">IFERROR(__xludf.DUMMYFUNCTION("""COMPUTED_VALUE"""),"#N/A")</f>
        <v>#N/A</v>
      </c>
      <c r="AU1657" s="6" t="str">
        <f ca="1">IFERROR(__xludf.DUMMYFUNCTION("""COMPUTED_VALUE"""),"FALSE")</f>
        <v>FALSE</v>
      </c>
      <c r="AZ1657" s="9"/>
      <c r="BC1657" s="9"/>
      <c r="BF1657" s="9"/>
      <c r="BI1657" s="9"/>
    </row>
    <row r="1658" spans="18:61">
      <c r="R1658" s="6"/>
      <c r="AS1658" s="15"/>
      <c r="AT1658" s="6" t="str">
        <f ca="1">IFERROR(__xludf.DUMMYFUNCTION("""COMPUTED_VALUE"""),"#N/A")</f>
        <v>#N/A</v>
      </c>
      <c r="AU1658" s="6" t="str">
        <f ca="1">IFERROR(__xludf.DUMMYFUNCTION("""COMPUTED_VALUE"""),"FALSE")</f>
        <v>FALSE</v>
      </c>
      <c r="AZ1658" s="9"/>
      <c r="BC1658" s="9"/>
      <c r="BF1658" s="9"/>
      <c r="BI1658" s="9"/>
    </row>
    <row r="1659" spans="18:61">
      <c r="R1659" s="6"/>
      <c r="AS1659" s="15"/>
      <c r="AT1659" s="6" t="str">
        <f ca="1">IFERROR(__xludf.DUMMYFUNCTION("""COMPUTED_VALUE"""),"#N/A")</f>
        <v>#N/A</v>
      </c>
      <c r="AU1659" s="6" t="str">
        <f ca="1">IFERROR(__xludf.DUMMYFUNCTION("""COMPUTED_VALUE"""),"FALSE")</f>
        <v>FALSE</v>
      </c>
      <c r="AZ1659" s="9"/>
      <c r="BC1659" s="9"/>
      <c r="BF1659" s="9"/>
      <c r="BI1659" s="9"/>
    </row>
    <row r="1660" spans="18:61">
      <c r="R1660" s="6"/>
      <c r="AS1660" s="15"/>
      <c r="AT1660" s="6" t="str">
        <f ca="1">IFERROR(__xludf.DUMMYFUNCTION("""COMPUTED_VALUE"""),"#N/A")</f>
        <v>#N/A</v>
      </c>
      <c r="AU1660" s="6" t="str">
        <f ca="1">IFERROR(__xludf.DUMMYFUNCTION("""COMPUTED_VALUE"""),"FALSE")</f>
        <v>FALSE</v>
      </c>
      <c r="AZ1660" s="9"/>
      <c r="BC1660" s="9"/>
      <c r="BF1660" s="9"/>
      <c r="BI1660" s="9"/>
    </row>
    <row r="1661" spans="18:61">
      <c r="R1661" s="6"/>
      <c r="AS1661" s="15"/>
      <c r="AT1661" s="6" t="str">
        <f ca="1">IFERROR(__xludf.DUMMYFUNCTION("""COMPUTED_VALUE"""),"#N/A")</f>
        <v>#N/A</v>
      </c>
      <c r="AU1661" s="6" t="str">
        <f ca="1">IFERROR(__xludf.DUMMYFUNCTION("""COMPUTED_VALUE"""),"FALSE")</f>
        <v>FALSE</v>
      </c>
      <c r="AZ1661" s="9"/>
      <c r="BC1661" s="9"/>
      <c r="BF1661" s="9"/>
      <c r="BI1661" s="9"/>
    </row>
    <row r="1662" spans="18:61">
      <c r="R1662" s="6"/>
      <c r="AS1662" s="15"/>
      <c r="AT1662" s="6" t="str">
        <f ca="1">IFERROR(__xludf.DUMMYFUNCTION("""COMPUTED_VALUE"""),"#N/A")</f>
        <v>#N/A</v>
      </c>
      <c r="AU1662" s="6" t="str">
        <f ca="1">IFERROR(__xludf.DUMMYFUNCTION("""COMPUTED_VALUE"""),"FALSE")</f>
        <v>FALSE</v>
      </c>
      <c r="AZ1662" s="9"/>
      <c r="BC1662" s="9"/>
      <c r="BF1662" s="9"/>
      <c r="BI1662" s="9"/>
    </row>
    <row r="1663" spans="18:61">
      <c r="R1663" s="6"/>
      <c r="AS1663" s="15"/>
      <c r="AT1663" s="6" t="str">
        <f ca="1">IFERROR(__xludf.DUMMYFUNCTION("""COMPUTED_VALUE"""),"#N/A")</f>
        <v>#N/A</v>
      </c>
      <c r="AU1663" s="6" t="str">
        <f ca="1">IFERROR(__xludf.DUMMYFUNCTION("""COMPUTED_VALUE"""),"FALSE")</f>
        <v>FALSE</v>
      </c>
      <c r="AZ1663" s="9"/>
      <c r="BC1663" s="9"/>
      <c r="BF1663" s="9"/>
      <c r="BI1663" s="9"/>
    </row>
    <row r="1664" spans="18:61">
      <c r="R1664" s="6"/>
      <c r="AS1664" s="15"/>
      <c r="AT1664" s="6" t="str">
        <f ca="1">IFERROR(__xludf.DUMMYFUNCTION("""COMPUTED_VALUE"""),"#N/A")</f>
        <v>#N/A</v>
      </c>
      <c r="AU1664" s="6" t="str">
        <f ca="1">IFERROR(__xludf.DUMMYFUNCTION("""COMPUTED_VALUE"""),"FALSE")</f>
        <v>FALSE</v>
      </c>
      <c r="AZ1664" s="9"/>
      <c r="BC1664" s="9"/>
      <c r="BF1664" s="9"/>
      <c r="BI1664" s="9"/>
    </row>
    <row r="1665" spans="18:61">
      <c r="R1665" s="6"/>
      <c r="AS1665" s="15"/>
      <c r="AT1665" s="6" t="str">
        <f ca="1">IFERROR(__xludf.DUMMYFUNCTION("""COMPUTED_VALUE"""),"#N/A")</f>
        <v>#N/A</v>
      </c>
      <c r="AU1665" s="6" t="str">
        <f ca="1">IFERROR(__xludf.DUMMYFUNCTION("""COMPUTED_VALUE"""),"FALSE")</f>
        <v>FALSE</v>
      </c>
      <c r="AZ1665" s="9"/>
      <c r="BC1665" s="9"/>
      <c r="BF1665" s="9"/>
      <c r="BI1665" s="9"/>
    </row>
    <row r="1666" spans="18:61">
      <c r="R1666" s="6"/>
      <c r="AS1666" s="15"/>
      <c r="AT1666" s="6" t="str">
        <f ca="1">IFERROR(__xludf.DUMMYFUNCTION("""COMPUTED_VALUE"""),"#N/A")</f>
        <v>#N/A</v>
      </c>
      <c r="AU1666" s="6" t="str">
        <f ca="1">IFERROR(__xludf.DUMMYFUNCTION("""COMPUTED_VALUE"""),"FALSE")</f>
        <v>FALSE</v>
      </c>
      <c r="AZ1666" s="9"/>
      <c r="BC1666" s="9"/>
      <c r="BF1666" s="9"/>
      <c r="BI1666" s="9"/>
    </row>
    <row r="1667" spans="18:61">
      <c r="R1667" s="6"/>
      <c r="AS1667" s="15"/>
      <c r="AT1667" s="6" t="str">
        <f ca="1">IFERROR(__xludf.DUMMYFUNCTION("""COMPUTED_VALUE"""),"#N/A")</f>
        <v>#N/A</v>
      </c>
      <c r="AU1667" s="6" t="str">
        <f ca="1">IFERROR(__xludf.DUMMYFUNCTION("""COMPUTED_VALUE"""),"FALSE")</f>
        <v>FALSE</v>
      </c>
      <c r="AZ1667" s="9"/>
      <c r="BC1667" s="9"/>
      <c r="BF1667" s="9"/>
      <c r="BI1667" s="9"/>
    </row>
    <row r="1668" spans="18:61">
      <c r="R1668" s="6"/>
      <c r="AS1668" s="15"/>
      <c r="AT1668" s="6" t="str">
        <f ca="1">IFERROR(__xludf.DUMMYFUNCTION("""COMPUTED_VALUE"""),"#N/A")</f>
        <v>#N/A</v>
      </c>
      <c r="AU1668" s="6" t="str">
        <f ca="1">IFERROR(__xludf.DUMMYFUNCTION("""COMPUTED_VALUE"""),"FALSE")</f>
        <v>FALSE</v>
      </c>
      <c r="AZ1668" s="9"/>
      <c r="BC1668" s="9"/>
      <c r="BF1668" s="9"/>
      <c r="BI1668" s="9"/>
    </row>
    <row r="1669" spans="18:61">
      <c r="R1669" s="6"/>
      <c r="AS1669" s="15"/>
      <c r="AT1669" s="6" t="str">
        <f ca="1">IFERROR(__xludf.DUMMYFUNCTION("""COMPUTED_VALUE"""),"#N/A")</f>
        <v>#N/A</v>
      </c>
      <c r="AU1669" s="6" t="str">
        <f ca="1">IFERROR(__xludf.DUMMYFUNCTION("""COMPUTED_VALUE"""),"FALSE")</f>
        <v>FALSE</v>
      </c>
      <c r="AZ1669" s="9"/>
      <c r="BC1669" s="9"/>
      <c r="BF1669" s="9"/>
      <c r="BI1669" s="9"/>
    </row>
    <row r="1670" spans="18:61">
      <c r="R1670" s="6"/>
      <c r="AS1670" s="15"/>
      <c r="AT1670" s="6" t="str">
        <f ca="1">IFERROR(__xludf.DUMMYFUNCTION("""COMPUTED_VALUE"""),"#N/A")</f>
        <v>#N/A</v>
      </c>
      <c r="AU1670" s="6" t="str">
        <f ca="1">IFERROR(__xludf.DUMMYFUNCTION("""COMPUTED_VALUE"""),"FALSE")</f>
        <v>FALSE</v>
      </c>
      <c r="AZ1670" s="9"/>
      <c r="BC1670" s="9"/>
      <c r="BF1670" s="9"/>
      <c r="BI1670" s="9"/>
    </row>
    <row r="1671" spans="18:61">
      <c r="R1671" s="6"/>
      <c r="AS1671" s="15"/>
      <c r="AT1671" s="6" t="str">
        <f ca="1">IFERROR(__xludf.DUMMYFUNCTION("""COMPUTED_VALUE"""),"#N/A")</f>
        <v>#N/A</v>
      </c>
      <c r="AU1671" s="6" t="str">
        <f ca="1">IFERROR(__xludf.DUMMYFUNCTION("""COMPUTED_VALUE"""),"FALSE")</f>
        <v>FALSE</v>
      </c>
      <c r="AZ1671" s="9"/>
      <c r="BC1671" s="9"/>
      <c r="BF1671" s="9"/>
      <c r="BI1671" s="9"/>
    </row>
    <row r="1672" spans="18:61">
      <c r="R1672" s="6"/>
      <c r="AS1672" s="15"/>
      <c r="AT1672" s="6" t="str">
        <f ca="1">IFERROR(__xludf.DUMMYFUNCTION("""COMPUTED_VALUE"""),"#N/A")</f>
        <v>#N/A</v>
      </c>
      <c r="AU1672" s="6" t="str">
        <f ca="1">IFERROR(__xludf.DUMMYFUNCTION("""COMPUTED_VALUE"""),"FALSE")</f>
        <v>FALSE</v>
      </c>
      <c r="AZ1672" s="9"/>
      <c r="BC1672" s="9"/>
      <c r="BF1672" s="9"/>
      <c r="BI1672" s="9"/>
    </row>
    <row r="1673" spans="18:61">
      <c r="R1673" s="6"/>
      <c r="AS1673" s="15"/>
      <c r="AT1673" s="6" t="str">
        <f ca="1">IFERROR(__xludf.DUMMYFUNCTION("""COMPUTED_VALUE"""),"#N/A")</f>
        <v>#N/A</v>
      </c>
      <c r="AU1673" s="6" t="str">
        <f ca="1">IFERROR(__xludf.DUMMYFUNCTION("""COMPUTED_VALUE"""),"FALSE")</f>
        <v>FALSE</v>
      </c>
      <c r="AZ1673" s="9"/>
      <c r="BC1673" s="9"/>
      <c r="BF1673" s="9"/>
      <c r="BI1673" s="9"/>
    </row>
    <row r="1674" spans="18:61">
      <c r="R1674" s="6"/>
      <c r="AS1674" s="15"/>
      <c r="AT1674" s="6" t="str">
        <f ca="1">IFERROR(__xludf.DUMMYFUNCTION("""COMPUTED_VALUE"""),"#N/A")</f>
        <v>#N/A</v>
      </c>
      <c r="AU1674" s="6" t="str">
        <f ca="1">IFERROR(__xludf.DUMMYFUNCTION("""COMPUTED_VALUE"""),"FALSE")</f>
        <v>FALSE</v>
      </c>
      <c r="AZ1674" s="9"/>
      <c r="BC1674" s="9"/>
      <c r="BF1674" s="9"/>
      <c r="BI1674" s="9"/>
    </row>
    <row r="1675" spans="18:61">
      <c r="R1675" s="6"/>
      <c r="AS1675" s="15"/>
      <c r="AT1675" s="6" t="str">
        <f ca="1">IFERROR(__xludf.DUMMYFUNCTION("""COMPUTED_VALUE"""),"#N/A")</f>
        <v>#N/A</v>
      </c>
      <c r="AU1675" s="6" t="str">
        <f ca="1">IFERROR(__xludf.DUMMYFUNCTION("""COMPUTED_VALUE"""),"FALSE")</f>
        <v>FALSE</v>
      </c>
      <c r="AZ1675" s="9"/>
      <c r="BC1675" s="9"/>
      <c r="BF1675" s="9"/>
      <c r="BI1675" s="9"/>
    </row>
    <row r="1676" spans="18:61">
      <c r="R1676" s="6"/>
      <c r="AS1676" s="15"/>
      <c r="AT1676" s="6" t="str">
        <f ca="1">IFERROR(__xludf.DUMMYFUNCTION("""COMPUTED_VALUE"""),"#N/A")</f>
        <v>#N/A</v>
      </c>
      <c r="AU1676" s="6" t="str">
        <f ca="1">IFERROR(__xludf.DUMMYFUNCTION("""COMPUTED_VALUE"""),"FALSE")</f>
        <v>FALSE</v>
      </c>
      <c r="AZ1676" s="9"/>
      <c r="BC1676" s="9"/>
      <c r="BF1676" s="9"/>
      <c r="BI1676" s="9"/>
    </row>
    <row r="1677" spans="18:61">
      <c r="R1677" s="6"/>
      <c r="AS1677" s="15"/>
      <c r="AT1677" s="6" t="str">
        <f ca="1">IFERROR(__xludf.DUMMYFUNCTION("""COMPUTED_VALUE"""),"#N/A")</f>
        <v>#N/A</v>
      </c>
      <c r="AU1677" s="6" t="str">
        <f ca="1">IFERROR(__xludf.DUMMYFUNCTION("""COMPUTED_VALUE"""),"FALSE")</f>
        <v>FALSE</v>
      </c>
      <c r="AZ1677" s="9"/>
      <c r="BC1677" s="9"/>
      <c r="BF1677" s="9"/>
      <c r="BI1677" s="9"/>
    </row>
    <row r="1678" spans="18:61">
      <c r="R1678" s="6"/>
      <c r="AS1678" s="15"/>
      <c r="AT1678" s="6" t="str">
        <f ca="1">IFERROR(__xludf.DUMMYFUNCTION("""COMPUTED_VALUE"""),"#N/A")</f>
        <v>#N/A</v>
      </c>
      <c r="AU1678" s="6" t="str">
        <f ca="1">IFERROR(__xludf.DUMMYFUNCTION("""COMPUTED_VALUE"""),"FALSE")</f>
        <v>FALSE</v>
      </c>
      <c r="AZ1678" s="9"/>
      <c r="BC1678" s="9"/>
      <c r="BF1678" s="9"/>
      <c r="BI1678" s="9"/>
    </row>
    <row r="1679" spans="18:61">
      <c r="R1679" s="6"/>
      <c r="AS1679" s="15"/>
      <c r="AT1679" s="6" t="str">
        <f ca="1">IFERROR(__xludf.DUMMYFUNCTION("""COMPUTED_VALUE"""),"#N/A")</f>
        <v>#N/A</v>
      </c>
      <c r="AU1679" s="6" t="str">
        <f ca="1">IFERROR(__xludf.DUMMYFUNCTION("""COMPUTED_VALUE"""),"FALSE")</f>
        <v>FALSE</v>
      </c>
      <c r="AZ1679" s="9"/>
      <c r="BC1679" s="9"/>
      <c r="BF1679" s="9"/>
      <c r="BI1679" s="9"/>
    </row>
    <row r="1680" spans="18:61">
      <c r="R1680" s="6"/>
      <c r="AS1680" s="15"/>
      <c r="AT1680" s="6" t="str">
        <f ca="1">IFERROR(__xludf.DUMMYFUNCTION("""COMPUTED_VALUE"""),"#N/A")</f>
        <v>#N/A</v>
      </c>
      <c r="AU1680" s="6" t="str">
        <f ca="1">IFERROR(__xludf.DUMMYFUNCTION("""COMPUTED_VALUE"""),"FALSE")</f>
        <v>FALSE</v>
      </c>
      <c r="AZ1680" s="9"/>
      <c r="BC1680" s="9"/>
      <c r="BF1680" s="9"/>
      <c r="BI1680" s="9"/>
    </row>
    <row r="1681" spans="18:61">
      <c r="R1681" s="6"/>
      <c r="AS1681" s="15"/>
      <c r="AT1681" s="6" t="str">
        <f ca="1">IFERROR(__xludf.DUMMYFUNCTION("""COMPUTED_VALUE"""),"#N/A")</f>
        <v>#N/A</v>
      </c>
      <c r="AU1681" s="6" t="str">
        <f ca="1">IFERROR(__xludf.DUMMYFUNCTION("""COMPUTED_VALUE"""),"FALSE")</f>
        <v>FALSE</v>
      </c>
      <c r="AZ1681" s="9"/>
      <c r="BC1681" s="9"/>
      <c r="BF1681" s="9"/>
      <c r="BI1681" s="9"/>
    </row>
    <row r="1682" spans="18:61">
      <c r="R1682" s="6"/>
      <c r="AS1682" s="15"/>
      <c r="AT1682" s="6" t="str">
        <f ca="1">IFERROR(__xludf.DUMMYFUNCTION("""COMPUTED_VALUE"""),"#N/A")</f>
        <v>#N/A</v>
      </c>
      <c r="AU1682" s="6" t="str">
        <f ca="1">IFERROR(__xludf.DUMMYFUNCTION("""COMPUTED_VALUE"""),"FALSE")</f>
        <v>FALSE</v>
      </c>
      <c r="AZ1682" s="9"/>
      <c r="BC1682" s="9"/>
      <c r="BF1682" s="9"/>
      <c r="BI1682" s="9"/>
    </row>
    <row r="1683" spans="18:61">
      <c r="R1683" s="6"/>
      <c r="AS1683" s="15"/>
      <c r="AT1683" s="6" t="str">
        <f ca="1">IFERROR(__xludf.DUMMYFUNCTION("""COMPUTED_VALUE"""),"#N/A")</f>
        <v>#N/A</v>
      </c>
      <c r="AU1683" s="6" t="str">
        <f ca="1">IFERROR(__xludf.DUMMYFUNCTION("""COMPUTED_VALUE"""),"FALSE")</f>
        <v>FALSE</v>
      </c>
      <c r="AZ1683" s="9"/>
      <c r="BC1683" s="9"/>
      <c r="BF1683" s="9"/>
      <c r="BI1683" s="9"/>
    </row>
    <row r="1684" spans="18:61">
      <c r="R1684" s="6"/>
      <c r="AS1684" s="15"/>
      <c r="AT1684" s="6" t="str">
        <f ca="1">IFERROR(__xludf.DUMMYFUNCTION("""COMPUTED_VALUE"""),"#N/A")</f>
        <v>#N/A</v>
      </c>
      <c r="AU1684" s="6" t="str">
        <f ca="1">IFERROR(__xludf.DUMMYFUNCTION("""COMPUTED_VALUE"""),"FALSE")</f>
        <v>FALSE</v>
      </c>
      <c r="AZ1684" s="9"/>
      <c r="BC1684" s="9"/>
      <c r="BF1684" s="9"/>
      <c r="BI1684" s="9"/>
    </row>
    <row r="1685" spans="18:61">
      <c r="R1685" s="6"/>
      <c r="AS1685" s="15"/>
      <c r="AT1685" s="6" t="str">
        <f ca="1">IFERROR(__xludf.DUMMYFUNCTION("""COMPUTED_VALUE"""),"#N/A")</f>
        <v>#N/A</v>
      </c>
      <c r="AU1685" s="6" t="str">
        <f ca="1">IFERROR(__xludf.DUMMYFUNCTION("""COMPUTED_VALUE"""),"FALSE")</f>
        <v>FALSE</v>
      </c>
      <c r="AZ1685" s="9"/>
      <c r="BC1685" s="9"/>
      <c r="BF1685" s="9"/>
      <c r="BI1685" s="9"/>
    </row>
    <row r="1686" spans="18:61">
      <c r="R1686" s="6"/>
      <c r="AS1686" s="15"/>
      <c r="AT1686" s="6" t="str">
        <f ca="1">IFERROR(__xludf.DUMMYFUNCTION("""COMPUTED_VALUE"""),"#N/A")</f>
        <v>#N/A</v>
      </c>
      <c r="AU1686" s="6" t="str">
        <f ca="1">IFERROR(__xludf.DUMMYFUNCTION("""COMPUTED_VALUE"""),"FALSE")</f>
        <v>FALSE</v>
      </c>
      <c r="AZ1686" s="9"/>
      <c r="BC1686" s="9"/>
      <c r="BF1686" s="9"/>
      <c r="BI1686" s="9"/>
    </row>
    <row r="1687" spans="18:61">
      <c r="R1687" s="6"/>
      <c r="AS1687" s="15"/>
      <c r="AT1687" s="6" t="str">
        <f ca="1">IFERROR(__xludf.DUMMYFUNCTION("""COMPUTED_VALUE"""),"#N/A")</f>
        <v>#N/A</v>
      </c>
      <c r="AU1687" s="6" t="str">
        <f ca="1">IFERROR(__xludf.DUMMYFUNCTION("""COMPUTED_VALUE"""),"FALSE")</f>
        <v>FALSE</v>
      </c>
      <c r="AZ1687" s="9"/>
      <c r="BC1687" s="9"/>
      <c r="BF1687" s="9"/>
      <c r="BI1687" s="9"/>
    </row>
    <row r="1688" spans="18:61">
      <c r="R1688" s="6"/>
      <c r="AS1688" s="15"/>
      <c r="AT1688" s="6" t="str">
        <f ca="1">IFERROR(__xludf.DUMMYFUNCTION("""COMPUTED_VALUE"""),"#N/A")</f>
        <v>#N/A</v>
      </c>
      <c r="AU1688" s="6" t="str">
        <f ca="1">IFERROR(__xludf.DUMMYFUNCTION("""COMPUTED_VALUE"""),"FALSE")</f>
        <v>FALSE</v>
      </c>
      <c r="AZ1688" s="9"/>
      <c r="BC1688" s="9"/>
      <c r="BF1688" s="9"/>
      <c r="BI1688" s="9"/>
    </row>
    <row r="1689" spans="18:61">
      <c r="R1689" s="6"/>
      <c r="AS1689" s="15"/>
      <c r="AT1689" s="6" t="str">
        <f ca="1">IFERROR(__xludf.DUMMYFUNCTION("""COMPUTED_VALUE"""),"#N/A")</f>
        <v>#N/A</v>
      </c>
      <c r="AU1689" s="6" t="str">
        <f ca="1">IFERROR(__xludf.DUMMYFUNCTION("""COMPUTED_VALUE"""),"FALSE")</f>
        <v>FALSE</v>
      </c>
      <c r="AZ1689" s="9"/>
      <c r="BC1689" s="9"/>
      <c r="BF1689" s="9"/>
      <c r="BI1689" s="9"/>
    </row>
    <row r="1690" spans="18:61">
      <c r="R1690" s="6"/>
      <c r="AS1690" s="15"/>
      <c r="AT1690" s="6" t="str">
        <f ca="1">IFERROR(__xludf.DUMMYFUNCTION("""COMPUTED_VALUE"""),"#N/A")</f>
        <v>#N/A</v>
      </c>
      <c r="AU1690" s="6" t="str">
        <f ca="1">IFERROR(__xludf.DUMMYFUNCTION("""COMPUTED_VALUE"""),"FALSE")</f>
        <v>FALSE</v>
      </c>
      <c r="AZ1690" s="9"/>
      <c r="BC1690" s="9"/>
      <c r="BF1690" s="9"/>
      <c r="BI1690" s="9"/>
    </row>
    <row r="1691" spans="18:61">
      <c r="R1691" s="6"/>
      <c r="AS1691" s="15"/>
      <c r="AT1691" s="6" t="str">
        <f ca="1">IFERROR(__xludf.DUMMYFUNCTION("""COMPUTED_VALUE"""),"#N/A")</f>
        <v>#N/A</v>
      </c>
      <c r="AU1691" s="6" t="str">
        <f ca="1">IFERROR(__xludf.DUMMYFUNCTION("""COMPUTED_VALUE"""),"FALSE")</f>
        <v>FALSE</v>
      </c>
      <c r="AZ1691" s="9"/>
      <c r="BC1691" s="9"/>
      <c r="BF1691" s="9"/>
      <c r="BI1691" s="9"/>
    </row>
    <row r="1692" spans="18:61">
      <c r="R1692" s="6"/>
      <c r="AS1692" s="15"/>
      <c r="AT1692" s="6" t="str">
        <f ca="1">IFERROR(__xludf.DUMMYFUNCTION("""COMPUTED_VALUE"""),"#N/A")</f>
        <v>#N/A</v>
      </c>
      <c r="AU1692" s="6" t="str">
        <f ca="1">IFERROR(__xludf.DUMMYFUNCTION("""COMPUTED_VALUE"""),"FALSE")</f>
        <v>FALSE</v>
      </c>
      <c r="AZ1692" s="9"/>
      <c r="BC1692" s="9"/>
      <c r="BF1692" s="9"/>
      <c r="BI1692" s="9"/>
    </row>
    <row r="1693" spans="18:61">
      <c r="R1693" s="6"/>
      <c r="AS1693" s="15"/>
      <c r="AT1693" s="6" t="str">
        <f ca="1">IFERROR(__xludf.DUMMYFUNCTION("""COMPUTED_VALUE"""),"#N/A")</f>
        <v>#N/A</v>
      </c>
      <c r="AU1693" s="6" t="str">
        <f ca="1">IFERROR(__xludf.DUMMYFUNCTION("""COMPUTED_VALUE"""),"FALSE")</f>
        <v>FALSE</v>
      </c>
      <c r="AZ1693" s="9"/>
      <c r="BC1693" s="9"/>
      <c r="BF1693" s="9"/>
      <c r="BI1693" s="9"/>
    </row>
    <row r="1694" spans="18:61">
      <c r="R1694" s="6"/>
      <c r="AS1694" s="15"/>
      <c r="AT1694" s="6" t="str">
        <f ca="1">IFERROR(__xludf.DUMMYFUNCTION("""COMPUTED_VALUE"""),"#N/A")</f>
        <v>#N/A</v>
      </c>
      <c r="AU1694" s="6" t="str">
        <f ca="1">IFERROR(__xludf.DUMMYFUNCTION("""COMPUTED_VALUE"""),"FALSE")</f>
        <v>FALSE</v>
      </c>
      <c r="AZ1694" s="9"/>
      <c r="BC1694" s="9"/>
      <c r="BF1694" s="9"/>
      <c r="BI1694" s="9"/>
    </row>
    <row r="1695" spans="18:61">
      <c r="R1695" s="6"/>
      <c r="AS1695" s="15"/>
      <c r="AT1695" s="6" t="str">
        <f ca="1">IFERROR(__xludf.DUMMYFUNCTION("""COMPUTED_VALUE"""),"#N/A")</f>
        <v>#N/A</v>
      </c>
      <c r="AU1695" s="6" t="str">
        <f ca="1">IFERROR(__xludf.DUMMYFUNCTION("""COMPUTED_VALUE"""),"FALSE")</f>
        <v>FALSE</v>
      </c>
      <c r="AZ1695" s="9"/>
      <c r="BC1695" s="9"/>
      <c r="BF1695" s="9"/>
      <c r="BI1695" s="9"/>
    </row>
    <row r="1696" spans="18:61">
      <c r="R1696" s="6"/>
      <c r="AS1696" s="15"/>
      <c r="AT1696" s="6" t="str">
        <f ca="1">IFERROR(__xludf.DUMMYFUNCTION("""COMPUTED_VALUE"""),"#N/A")</f>
        <v>#N/A</v>
      </c>
      <c r="AU1696" s="6" t="str">
        <f ca="1">IFERROR(__xludf.DUMMYFUNCTION("""COMPUTED_VALUE"""),"FALSE")</f>
        <v>FALSE</v>
      </c>
      <c r="AZ1696" s="9"/>
      <c r="BC1696" s="9"/>
      <c r="BF1696" s="9"/>
      <c r="BI1696" s="9"/>
    </row>
    <row r="1697" spans="18:61">
      <c r="R1697" s="6"/>
      <c r="AS1697" s="15"/>
      <c r="AT1697" s="6" t="str">
        <f ca="1">IFERROR(__xludf.DUMMYFUNCTION("""COMPUTED_VALUE"""),"#N/A")</f>
        <v>#N/A</v>
      </c>
      <c r="AU1697" s="6" t="str">
        <f ca="1">IFERROR(__xludf.DUMMYFUNCTION("""COMPUTED_VALUE"""),"FALSE")</f>
        <v>FALSE</v>
      </c>
      <c r="AZ1697" s="9"/>
      <c r="BC1697" s="9"/>
      <c r="BF1697" s="9"/>
      <c r="BI1697" s="9"/>
    </row>
    <row r="1698" spans="18:61">
      <c r="R1698" s="6"/>
      <c r="AS1698" s="15"/>
      <c r="AT1698" s="6" t="str">
        <f ca="1">IFERROR(__xludf.DUMMYFUNCTION("""COMPUTED_VALUE"""),"#N/A")</f>
        <v>#N/A</v>
      </c>
      <c r="AU1698" s="6" t="str">
        <f ca="1">IFERROR(__xludf.DUMMYFUNCTION("""COMPUTED_VALUE"""),"FALSE")</f>
        <v>FALSE</v>
      </c>
      <c r="AZ1698" s="9"/>
      <c r="BC1698" s="9"/>
      <c r="BF1698" s="9"/>
      <c r="BI1698" s="9"/>
    </row>
    <row r="1699" spans="18:61">
      <c r="R1699" s="6"/>
      <c r="AS1699" s="15"/>
      <c r="AT1699" s="6" t="str">
        <f ca="1">IFERROR(__xludf.DUMMYFUNCTION("""COMPUTED_VALUE"""),"#N/A")</f>
        <v>#N/A</v>
      </c>
      <c r="AU1699" s="6" t="str">
        <f ca="1">IFERROR(__xludf.DUMMYFUNCTION("""COMPUTED_VALUE"""),"FALSE")</f>
        <v>FALSE</v>
      </c>
      <c r="AZ1699" s="9"/>
      <c r="BC1699" s="9"/>
      <c r="BF1699" s="9"/>
      <c r="BI1699" s="9"/>
    </row>
    <row r="1700" spans="18:61">
      <c r="R1700" s="6"/>
      <c r="AS1700" s="15"/>
      <c r="AT1700" s="6" t="str">
        <f ca="1">IFERROR(__xludf.DUMMYFUNCTION("""COMPUTED_VALUE"""),"#N/A")</f>
        <v>#N/A</v>
      </c>
      <c r="AU1700" s="6" t="str">
        <f ca="1">IFERROR(__xludf.DUMMYFUNCTION("""COMPUTED_VALUE"""),"FALSE")</f>
        <v>FALSE</v>
      </c>
      <c r="AZ1700" s="9"/>
      <c r="BC1700" s="9"/>
      <c r="BF1700" s="9"/>
      <c r="BI1700" s="9"/>
    </row>
    <row r="1701" spans="18:61">
      <c r="R1701" s="6"/>
      <c r="AS1701" s="15"/>
      <c r="AT1701" s="6" t="str">
        <f ca="1">IFERROR(__xludf.DUMMYFUNCTION("""COMPUTED_VALUE"""),"#N/A")</f>
        <v>#N/A</v>
      </c>
      <c r="AU1701" s="6" t="str">
        <f ca="1">IFERROR(__xludf.DUMMYFUNCTION("""COMPUTED_VALUE"""),"FALSE")</f>
        <v>FALSE</v>
      </c>
      <c r="AZ1701" s="9"/>
      <c r="BC1701" s="9"/>
      <c r="BF1701" s="9"/>
      <c r="BI1701" s="9"/>
    </row>
    <row r="1702" spans="18:61">
      <c r="R1702" s="6"/>
      <c r="AS1702" s="15"/>
      <c r="AT1702" s="6" t="str">
        <f ca="1">IFERROR(__xludf.DUMMYFUNCTION("""COMPUTED_VALUE"""),"#N/A")</f>
        <v>#N/A</v>
      </c>
      <c r="AU1702" s="6" t="str">
        <f ca="1">IFERROR(__xludf.DUMMYFUNCTION("""COMPUTED_VALUE"""),"FALSE")</f>
        <v>FALSE</v>
      </c>
      <c r="AZ1702" s="9"/>
      <c r="BC1702" s="9"/>
      <c r="BF1702" s="9"/>
      <c r="BI1702" s="9"/>
    </row>
    <row r="1703" spans="18:61">
      <c r="R1703" s="6"/>
      <c r="AS1703" s="15"/>
      <c r="AT1703" s="6" t="str">
        <f ca="1">IFERROR(__xludf.DUMMYFUNCTION("""COMPUTED_VALUE"""),"#N/A")</f>
        <v>#N/A</v>
      </c>
      <c r="AU1703" s="6" t="str">
        <f ca="1">IFERROR(__xludf.DUMMYFUNCTION("""COMPUTED_VALUE"""),"FALSE")</f>
        <v>FALSE</v>
      </c>
      <c r="AZ1703" s="9"/>
      <c r="BC1703" s="9"/>
      <c r="BF1703" s="9"/>
      <c r="BI1703" s="9"/>
    </row>
    <row r="1704" spans="18:61">
      <c r="R1704" s="6"/>
      <c r="AS1704" s="15"/>
      <c r="AT1704" s="6" t="str">
        <f ca="1">IFERROR(__xludf.DUMMYFUNCTION("""COMPUTED_VALUE"""),"#N/A")</f>
        <v>#N/A</v>
      </c>
      <c r="AU1704" s="6" t="str">
        <f ca="1">IFERROR(__xludf.DUMMYFUNCTION("""COMPUTED_VALUE"""),"FALSE")</f>
        <v>FALSE</v>
      </c>
      <c r="AZ1704" s="9"/>
      <c r="BC1704" s="9"/>
      <c r="BF1704" s="9"/>
      <c r="BI1704" s="9"/>
    </row>
    <row r="1705" spans="18:61">
      <c r="R1705" s="6"/>
      <c r="AS1705" s="15"/>
      <c r="AT1705" s="6" t="str">
        <f ca="1">IFERROR(__xludf.DUMMYFUNCTION("""COMPUTED_VALUE"""),"#N/A")</f>
        <v>#N/A</v>
      </c>
      <c r="AU1705" s="6" t="str">
        <f ca="1">IFERROR(__xludf.DUMMYFUNCTION("""COMPUTED_VALUE"""),"FALSE")</f>
        <v>FALSE</v>
      </c>
      <c r="AZ1705" s="9"/>
      <c r="BC1705" s="9"/>
      <c r="BF1705" s="9"/>
      <c r="BI1705" s="9"/>
    </row>
    <row r="1706" spans="18:61">
      <c r="R1706" s="6"/>
      <c r="AS1706" s="15"/>
      <c r="AT1706" s="6" t="str">
        <f ca="1">IFERROR(__xludf.DUMMYFUNCTION("""COMPUTED_VALUE"""),"#N/A")</f>
        <v>#N/A</v>
      </c>
      <c r="AU1706" s="6" t="str">
        <f ca="1">IFERROR(__xludf.DUMMYFUNCTION("""COMPUTED_VALUE"""),"FALSE")</f>
        <v>FALSE</v>
      </c>
      <c r="AZ1706" s="9"/>
      <c r="BC1706" s="9"/>
      <c r="BF1706" s="9"/>
      <c r="BI1706" s="9"/>
    </row>
    <row r="1707" spans="18:61">
      <c r="R1707" s="6"/>
      <c r="AS1707" s="15"/>
      <c r="AT1707" s="6" t="str">
        <f ca="1">IFERROR(__xludf.DUMMYFUNCTION("""COMPUTED_VALUE"""),"#N/A")</f>
        <v>#N/A</v>
      </c>
      <c r="AU1707" s="6" t="str">
        <f ca="1">IFERROR(__xludf.DUMMYFUNCTION("""COMPUTED_VALUE"""),"FALSE")</f>
        <v>FALSE</v>
      </c>
      <c r="AZ1707" s="9"/>
      <c r="BC1707" s="9"/>
      <c r="BF1707" s="9"/>
      <c r="BI1707" s="9"/>
    </row>
    <row r="1708" spans="18:61">
      <c r="R1708" s="6"/>
      <c r="AS1708" s="15"/>
      <c r="AT1708" s="6" t="str">
        <f ca="1">IFERROR(__xludf.DUMMYFUNCTION("""COMPUTED_VALUE"""),"#N/A")</f>
        <v>#N/A</v>
      </c>
      <c r="AU1708" s="6" t="str">
        <f ca="1">IFERROR(__xludf.DUMMYFUNCTION("""COMPUTED_VALUE"""),"FALSE")</f>
        <v>FALSE</v>
      </c>
      <c r="AZ1708" s="9"/>
      <c r="BC1708" s="9"/>
      <c r="BF1708" s="9"/>
      <c r="BI1708" s="9"/>
    </row>
    <row r="1709" spans="18:61">
      <c r="R1709" s="6"/>
      <c r="AS1709" s="15"/>
      <c r="AT1709" s="6" t="str">
        <f ca="1">IFERROR(__xludf.DUMMYFUNCTION("""COMPUTED_VALUE"""),"#N/A")</f>
        <v>#N/A</v>
      </c>
      <c r="AU1709" s="6" t="str">
        <f ca="1">IFERROR(__xludf.DUMMYFUNCTION("""COMPUTED_VALUE"""),"FALSE")</f>
        <v>FALSE</v>
      </c>
      <c r="AZ1709" s="9"/>
      <c r="BC1709" s="9"/>
      <c r="BF1709" s="9"/>
      <c r="BI1709" s="9"/>
    </row>
    <row r="1710" spans="18:61">
      <c r="R1710" s="6"/>
      <c r="AS1710" s="15"/>
      <c r="AT1710" s="6" t="str">
        <f ca="1">IFERROR(__xludf.DUMMYFUNCTION("""COMPUTED_VALUE"""),"#N/A")</f>
        <v>#N/A</v>
      </c>
      <c r="AU1710" s="6" t="str">
        <f ca="1">IFERROR(__xludf.DUMMYFUNCTION("""COMPUTED_VALUE"""),"FALSE")</f>
        <v>FALSE</v>
      </c>
      <c r="AZ1710" s="9"/>
      <c r="BC1710" s="9"/>
      <c r="BF1710" s="9"/>
      <c r="BI1710" s="9"/>
    </row>
    <row r="1711" spans="18:61">
      <c r="R1711" s="6"/>
      <c r="AS1711" s="15"/>
      <c r="AT1711" s="6" t="str">
        <f ca="1">IFERROR(__xludf.DUMMYFUNCTION("""COMPUTED_VALUE"""),"#N/A")</f>
        <v>#N/A</v>
      </c>
      <c r="AU1711" s="6" t="str">
        <f ca="1">IFERROR(__xludf.DUMMYFUNCTION("""COMPUTED_VALUE"""),"FALSE")</f>
        <v>FALSE</v>
      </c>
      <c r="AZ1711" s="9"/>
      <c r="BC1711" s="9"/>
      <c r="BF1711" s="9"/>
      <c r="BI1711" s="9"/>
    </row>
    <row r="1712" spans="18:61">
      <c r="R1712" s="6"/>
      <c r="AS1712" s="15"/>
      <c r="AT1712" s="6" t="str">
        <f ca="1">IFERROR(__xludf.DUMMYFUNCTION("""COMPUTED_VALUE"""),"#N/A")</f>
        <v>#N/A</v>
      </c>
      <c r="AU1712" s="6" t="str">
        <f ca="1">IFERROR(__xludf.DUMMYFUNCTION("""COMPUTED_VALUE"""),"FALSE")</f>
        <v>FALSE</v>
      </c>
      <c r="AZ1712" s="9"/>
      <c r="BC1712" s="9"/>
      <c r="BF1712" s="9"/>
      <c r="BI1712" s="9"/>
    </row>
    <row r="1713" spans="18:61">
      <c r="R1713" s="6"/>
      <c r="AS1713" s="15"/>
      <c r="AT1713" s="6" t="str">
        <f ca="1">IFERROR(__xludf.DUMMYFUNCTION("""COMPUTED_VALUE"""),"#N/A")</f>
        <v>#N/A</v>
      </c>
      <c r="AU1713" s="6" t="str">
        <f ca="1">IFERROR(__xludf.DUMMYFUNCTION("""COMPUTED_VALUE"""),"FALSE")</f>
        <v>FALSE</v>
      </c>
      <c r="AZ1713" s="9"/>
      <c r="BC1713" s="9"/>
      <c r="BF1713" s="9"/>
      <c r="BI1713" s="9"/>
    </row>
    <row r="1714" spans="18:61">
      <c r="R1714" s="6"/>
      <c r="AS1714" s="15"/>
      <c r="AT1714" s="6" t="str">
        <f ca="1">IFERROR(__xludf.DUMMYFUNCTION("""COMPUTED_VALUE"""),"#N/A")</f>
        <v>#N/A</v>
      </c>
      <c r="AU1714" s="6" t="str">
        <f ca="1">IFERROR(__xludf.DUMMYFUNCTION("""COMPUTED_VALUE"""),"FALSE")</f>
        <v>FALSE</v>
      </c>
      <c r="AZ1714" s="9"/>
      <c r="BC1714" s="9"/>
      <c r="BF1714" s="9"/>
      <c r="BI1714" s="9"/>
    </row>
    <row r="1715" spans="18:61">
      <c r="R1715" s="6"/>
      <c r="AS1715" s="15"/>
      <c r="AT1715" s="6" t="str">
        <f ca="1">IFERROR(__xludf.DUMMYFUNCTION("""COMPUTED_VALUE"""),"#N/A")</f>
        <v>#N/A</v>
      </c>
      <c r="AU1715" s="6" t="str">
        <f ca="1">IFERROR(__xludf.DUMMYFUNCTION("""COMPUTED_VALUE"""),"FALSE")</f>
        <v>FALSE</v>
      </c>
      <c r="AZ1715" s="9"/>
      <c r="BC1715" s="9"/>
      <c r="BF1715" s="9"/>
      <c r="BI1715" s="9"/>
    </row>
    <row r="1716" spans="18:61">
      <c r="R1716" s="6"/>
      <c r="AS1716" s="15"/>
      <c r="AT1716" s="6" t="str">
        <f ca="1">IFERROR(__xludf.DUMMYFUNCTION("""COMPUTED_VALUE"""),"#N/A")</f>
        <v>#N/A</v>
      </c>
      <c r="AU1716" s="6" t="str">
        <f ca="1">IFERROR(__xludf.DUMMYFUNCTION("""COMPUTED_VALUE"""),"FALSE")</f>
        <v>FALSE</v>
      </c>
      <c r="AZ1716" s="9"/>
      <c r="BC1716" s="9"/>
      <c r="BF1716" s="9"/>
      <c r="BI1716" s="9"/>
    </row>
    <row r="1717" spans="18:61">
      <c r="R1717" s="6"/>
      <c r="AS1717" s="15"/>
      <c r="AT1717" s="6" t="str">
        <f ca="1">IFERROR(__xludf.DUMMYFUNCTION("""COMPUTED_VALUE"""),"#N/A")</f>
        <v>#N/A</v>
      </c>
      <c r="AU1717" s="6" t="str">
        <f ca="1">IFERROR(__xludf.DUMMYFUNCTION("""COMPUTED_VALUE"""),"FALSE")</f>
        <v>FALSE</v>
      </c>
      <c r="AZ1717" s="9"/>
      <c r="BC1717" s="9"/>
      <c r="BF1717" s="9"/>
      <c r="BI1717" s="9"/>
    </row>
    <row r="1718" spans="18:61">
      <c r="R1718" s="6"/>
      <c r="AS1718" s="15"/>
      <c r="AT1718" s="6" t="str">
        <f ca="1">IFERROR(__xludf.DUMMYFUNCTION("""COMPUTED_VALUE"""),"#N/A")</f>
        <v>#N/A</v>
      </c>
      <c r="AU1718" s="6" t="str">
        <f ca="1">IFERROR(__xludf.DUMMYFUNCTION("""COMPUTED_VALUE"""),"FALSE")</f>
        <v>FALSE</v>
      </c>
      <c r="AZ1718" s="9"/>
      <c r="BC1718" s="9"/>
      <c r="BF1718" s="9"/>
      <c r="BI1718" s="9"/>
    </row>
    <row r="1719" spans="18:61">
      <c r="R1719" s="6"/>
      <c r="AS1719" s="15"/>
      <c r="AT1719" s="6" t="str">
        <f ca="1">IFERROR(__xludf.DUMMYFUNCTION("""COMPUTED_VALUE"""),"#N/A")</f>
        <v>#N/A</v>
      </c>
      <c r="AU1719" s="6" t="str">
        <f ca="1">IFERROR(__xludf.DUMMYFUNCTION("""COMPUTED_VALUE"""),"FALSE")</f>
        <v>FALSE</v>
      </c>
      <c r="AZ1719" s="9"/>
      <c r="BC1719" s="9"/>
      <c r="BF1719" s="9"/>
      <c r="BI1719" s="9"/>
    </row>
    <row r="1720" spans="18:61">
      <c r="R1720" s="6"/>
      <c r="AS1720" s="15"/>
      <c r="AT1720" s="6" t="str">
        <f ca="1">IFERROR(__xludf.DUMMYFUNCTION("""COMPUTED_VALUE"""),"#N/A")</f>
        <v>#N/A</v>
      </c>
      <c r="AU1720" s="6" t="str">
        <f ca="1">IFERROR(__xludf.DUMMYFUNCTION("""COMPUTED_VALUE"""),"FALSE")</f>
        <v>FALSE</v>
      </c>
      <c r="AZ1720" s="9"/>
      <c r="BC1720" s="9"/>
      <c r="BF1720" s="9"/>
      <c r="BI1720" s="9"/>
    </row>
    <row r="1721" spans="18:61">
      <c r="R1721" s="6"/>
      <c r="AS1721" s="15"/>
      <c r="AT1721" s="6" t="str">
        <f ca="1">IFERROR(__xludf.DUMMYFUNCTION("""COMPUTED_VALUE"""),"#N/A")</f>
        <v>#N/A</v>
      </c>
      <c r="AU1721" s="6" t="str">
        <f ca="1">IFERROR(__xludf.DUMMYFUNCTION("""COMPUTED_VALUE"""),"FALSE")</f>
        <v>FALSE</v>
      </c>
      <c r="AZ1721" s="9"/>
      <c r="BC1721" s="9"/>
      <c r="BF1721" s="9"/>
      <c r="BI1721" s="9"/>
    </row>
    <row r="1722" spans="18:61">
      <c r="R1722" s="6"/>
      <c r="AS1722" s="15"/>
      <c r="AT1722" s="6" t="str">
        <f ca="1">IFERROR(__xludf.DUMMYFUNCTION("""COMPUTED_VALUE"""),"#N/A")</f>
        <v>#N/A</v>
      </c>
      <c r="AU1722" s="6" t="str">
        <f ca="1">IFERROR(__xludf.DUMMYFUNCTION("""COMPUTED_VALUE"""),"FALSE")</f>
        <v>FALSE</v>
      </c>
      <c r="AZ1722" s="9"/>
      <c r="BC1722" s="9"/>
      <c r="BF1722" s="9"/>
      <c r="BI1722" s="9"/>
    </row>
    <row r="1723" spans="18:61">
      <c r="R1723" s="6"/>
      <c r="AS1723" s="15"/>
      <c r="AT1723" s="6" t="str">
        <f ca="1">IFERROR(__xludf.DUMMYFUNCTION("""COMPUTED_VALUE"""),"#N/A")</f>
        <v>#N/A</v>
      </c>
      <c r="AU1723" s="6" t="str">
        <f ca="1">IFERROR(__xludf.DUMMYFUNCTION("""COMPUTED_VALUE"""),"FALSE")</f>
        <v>FALSE</v>
      </c>
      <c r="AZ1723" s="9"/>
      <c r="BC1723" s="9"/>
      <c r="BF1723" s="9"/>
      <c r="BI1723" s="9"/>
    </row>
    <row r="1724" spans="18:61">
      <c r="R1724" s="6"/>
      <c r="AS1724" s="15"/>
      <c r="AT1724" s="6" t="str">
        <f ca="1">IFERROR(__xludf.DUMMYFUNCTION("""COMPUTED_VALUE"""),"#N/A")</f>
        <v>#N/A</v>
      </c>
      <c r="AU1724" s="6" t="str">
        <f ca="1">IFERROR(__xludf.DUMMYFUNCTION("""COMPUTED_VALUE"""),"FALSE")</f>
        <v>FALSE</v>
      </c>
      <c r="AZ1724" s="9"/>
      <c r="BC1724" s="9"/>
      <c r="BF1724" s="9"/>
      <c r="BI1724" s="9"/>
    </row>
    <row r="1725" spans="18:61">
      <c r="R1725" s="6"/>
      <c r="AS1725" s="15"/>
      <c r="AT1725" s="6" t="str">
        <f ca="1">IFERROR(__xludf.DUMMYFUNCTION("""COMPUTED_VALUE"""),"#N/A")</f>
        <v>#N/A</v>
      </c>
      <c r="AU1725" s="6" t="str">
        <f ca="1">IFERROR(__xludf.DUMMYFUNCTION("""COMPUTED_VALUE"""),"FALSE")</f>
        <v>FALSE</v>
      </c>
      <c r="AZ1725" s="9"/>
      <c r="BC1725" s="9"/>
      <c r="BF1725" s="9"/>
      <c r="BI1725" s="9"/>
    </row>
    <row r="1726" spans="18:61">
      <c r="R1726" s="6"/>
      <c r="AS1726" s="15"/>
      <c r="AT1726" s="6" t="str">
        <f ca="1">IFERROR(__xludf.DUMMYFUNCTION("""COMPUTED_VALUE"""),"#N/A")</f>
        <v>#N/A</v>
      </c>
      <c r="AU1726" s="6" t="str">
        <f ca="1">IFERROR(__xludf.DUMMYFUNCTION("""COMPUTED_VALUE"""),"FALSE")</f>
        <v>FALSE</v>
      </c>
      <c r="AZ1726" s="9"/>
      <c r="BC1726" s="9"/>
      <c r="BF1726" s="9"/>
      <c r="BI1726" s="9"/>
    </row>
    <row r="1727" spans="18:61">
      <c r="R1727" s="6"/>
      <c r="AS1727" s="15"/>
      <c r="AT1727" s="6" t="str">
        <f ca="1">IFERROR(__xludf.DUMMYFUNCTION("""COMPUTED_VALUE"""),"#N/A")</f>
        <v>#N/A</v>
      </c>
      <c r="AU1727" s="6" t="str">
        <f ca="1">IFERROR(__xludf.DUMMYFUNCTION("""COMPUTED_VALUE"""),"FALSE")</f>
        <v>FALSE</v>
      </c>
      <c r="AZ1727" s="9"/>
      <c r="BC1727" s="9"/>
      <c r="BF1727" s="9"/>
      <c r="BI1727" s="9"/>
    </row>
    <row r="1728" spans="18:61">
      <c r="R1728" s="6"/>
      <c r="AS1728" s="15"/>
      <c r="AT1728" s="6" t="str">
        <f ca="1">IFERROR(__xludf.DUMMYFUNCTION("""COMPUTED_VALUE"""),"#N/A")</f>
        <v>#N/A</v>
      </c>
      <c r="AU1728" s="6" t="str">
        <f ca="1">IFERROR(__xludf.DUMMYFUNCTION("""COMPUTED_VALUE"""),"FALSE")</f>
        <v>FALSE</v>
      </c>
      <c r="AZ1728" s="9"/>
      <c r="BC1728" s="9"/>
      <c r="BF1728" s="9"/>
      <c r="BI1728" s="9"/>
    </row>
    <row r="1729" spans="18:61">
      <c r="R1729" s="6"/>
      <c r="AS1729" s="15"/>
      <c r="AT1729" s="6" t="str">
        <f ca="1">IFERROR(__xludf.DUMMYFUNCTION("""COMPUTED_VALUE"""),"#N/A")</f>
        <v>#N/A</v>
      </c>
      <c r="AU1729" s="6" t="str">
        <f ca="1">IFERROR(__xludf.DUMMYFUNCTION("""COMPUTED_VALUE"""),"FALSE")</f>
        <v>FALSE</v>
      </c>
      <c r="AZ1729" s="9"/>
      <c r="BC1729" s="9"/>
      <c r="BF1729" s="9"/>
      <c r="BI1729" s="9"/>
    </row>
    <row r="1730" spans="18:61">
      <c r="R1730" s="6"/>
      <c r="AS1730" s="15"/>
      <c r="AT1730" s="6" t="str">
        <f ca="1">IFERROR(__xludf.DUMMYFUNCTION("""COMPUTED_VALUE"""),"#N/A")</f>
        <v>#N/A</v>
      </c>
      <c r="AU1730" s="6" t="str">
        <f ca="1">IFERROR(__xludf.DUMMYFUNCTION("""COMPUTED_VALUE"""),"FALSE")</f>
        <v>FALSE</v>
      </c>
      <c r="AZ1730" s="9"/>
      <c r="BC1730" s="9"/>
      <c r="BF1730" s="9"/>
      <c r="BI1730" s="9"/>
    </row>
    <row r="1731" spans="18:61">
      <c r="R1731" s="6"/>
      <c r="AS1731" s="15"/>
      <c r="AT1731" s="6" t="str">
        <f ca="1">IFERROR(__xludf.DUMMYFUNCTION("""COMPUTED_VALUE"""),"#N/A")</f>
        <v>#N/A</v>
      </c>
      <c r="AU1731" s="6" t="str">
        <f ca="1">IFERROR(__xludf.DUMMYFUNCTION("""COMPUTED_VALUE"""),"FALSE")</f>
        <v>FALSE</v>
      </c>
      <c r="AZ1731" s="9"/>
      <c r="BC1731" s="9"/>
      <c r="BF1731" s="9"/>
      <c r="BI1731" s="9"/>
    </row>
    <row r="1732" spans="18:61">
      <c r="R1732" s="6"/>
      <c r="AS1732" s="15"/>
      <c r="AT1732" s="6" t="str">
        <f ca="1">IFERROR(__xludf.DUMMYFUNCTION("""COMPUTED_VALUE"""),"#N/A")</f>
        <v>#N/A</v>
      </c>
      <c r="AU1732" s="6" t="str">
        <f ca="1">IFERROR(__xludf.DUMMYFUNCTION("""COMPUTED_VALUE"""),"FALSE")</f>
        <v>FALSE</v>
      </c>
      <c r="AZ1732" s="9"/>
      <c r="BC1732" s="9"/>
      <c r="BF1732" s="9"/>
      <c r="BI1732" s="9"/>
    </row>
    <row r="1733" spans="18:61">
      <c r="R1733" s="6"/>
      <c r="AS1733" s="15"/>
      <c r="AT1733" s="6" t="str">
        <f ca="1">IFERROR(__xludf.DUMMYFUNCTION("""COMPUTED_VALUE"""),"#N/A")</f>
        <v>#N/A</v>
      </c>
      <c r="AU1733" s="6" t="str">
        <f ca="1">IFERROR(__xludf.DUMMYFUNCTION("""COMPUTED_VALUE"""),"FALSE")</f>
        <v>FALSE</v>
      </c>
      <c r="AZ1733" s="9"/>
      <c r="BC1733" s="9"/>
      <c r="BF1733" s="9"/>
      <c r="BI1733" s="9"/>
    </row>
    <row r="1734" spans="18:61">
      <c r="R1734" s="6"/>
      <c r="AS1734" s="15"/>
      <c r="AT1734" s="6" t="str">
        <f ca="1">IFERROR(__xludf.DUMMYFUNCTION("""COMPUTED_VALUE"""),"#N/A")</f>
        <v>#N/A</v>
      </c>
      <c r="AU1734" s="6" t="str">
        <f ca="1">IFERROR(__xludf.DUMMYFUNCTION("""COMPUTED_VALUE"""),"FALSE")</f>
        <v>FALSE</v>
      </c>
      <c r="AZ1734" s="9"/>
      <c r="BC1734" s="9"/>
      <c r="BF1734" s="9"/>
      <c r="BI1734" s="9"/>
    </row>
    <row r="1735" spans="18:61">
      <c r="R1735" s="6"/>
      <c r="AS1735" s="15"/>
      <c r="AT1735" s="6" t="str">
        <f ca="1">IFERROR(__xludf.DUMMYFUNCTION("""COMPUTED_VALUE"""),"#N/A")</f>
        <v>#N/A</v>
      </c>
      <c r="AU1735" s="6" t="str">
        <f ca="1">IFERROR(__xludf.DUMMYFUNCTION("""COMPUTED_VALUE"""),"FALSE")</f>
        <v>FALSE</v>
      </c>
      <c r="AZ1735" s="9"/>
      <c r="BC1735" s="9"/>
      <c r="BF1735" s="9"/>
      <c r="BI1735" s="9"/>
    </row>
    <row r="1736" spans="18:61">
      <c r="R1736" s="6"/>
      <c r="AS1736" s="15"/>
      <c r="AT1736" s="6" t="str">
        <f ca="1">IFERROR(__xludf.DUMMYFUNCTION("""COMPUTED_VALUE"""),"#N/A")</f>
        <v>#N/A</v>
      </c>
      <c r="AU1736" s="6" t="str">
        <f ca="1">IFERROR(__xludf.DUMMYFUNCTION("""COMPUTED_VALUE"""),"FALSE")</f>
        <v>FALSE</v>
      </c>
      <c r="AZ1736" s="9"/>
      <c r="BC1736" s="9"/>
      <c r="BF1736" s="9"/>
      <c r="BI1736" s="9"/>
    </row>
    <row r="1737" spans="18:61">
      <c r="R1737" s="6"/>
      <c r="AS1737" s="15"/>
      <c r="AT1737" s="6" t="str">
        <f ca="1">IFERROR(__xludf.DUMMYFUNCTION("""COMPUTED_VALUE"""),"#N/A")</f>
        <v>#N/A</v>
      </c>
      <c r="AU1737" s="6" t="str">
        <f ca="1">IFERROR(__xludf.DUMMYFUNCTION("""COMPUTED_VALUE"""),"FALSE")</f>
        <v>FALSE</v>
      </c>
      <c r="AZ1737" s="9"/>
      <c r="BC1737" s="9"/>
      <c r="BF1737" s="9"/>
      <c r="BI1737" s="9"/>
    </row>
    <row r="1738" spans="18:61">
      <c r="R1738" s="6"/>
      <c r="AS1738" s="15"/>
      <c r="AT1738" s="6" t="str">
        <f ca="1">IFERROR(__xludf.DUMMYFUNCTION("""COMPUTED_VALUE"""),"#N/A")</f>
        <v>#N/A</v>
      </c>
      <c r="AU1738" s="6" t="str">
        <f ca="1">IFERROR(__xludf.DUMMYFUNCTION("""COMPUTED_VALUE"""),"FALSE")</f>
        <v>FALSE</v>
      </c>
      <c r="AZ1738" s="9"/>
      <c r="BC1738" s="9"/>
      <c r="BF1738" s="9"/>
      <c r="BI1738" s="9"/>
    </row>
    <row r="1739" spans="18:61">
      <c r="R1739" s="6"/>
      <c r="AS1739" s="15"/>
      <c r="AT1739" s="6" t="str">
        <f ca="1">IFERROR(__xludf.DUMMYFUNCTION("""COMPUTED_VALUE"""),"#N/A")</f>
        <v>#N/A</v>
      </c>
      <c r="AU1739" s="6" t="str">
        <f ca="1">IFERROR(__xludf.DUMMYFUNCTION("""COMPUTED_VALUE"""),"FALSE")</f>
        <v>FALSE</v>
      </c>
      <c r="AZ1739" s="9"/>
      <c r="BC1739" s="9"/>
      <c r="BF1739" s="9"/>
      <c r="BI1739" s="9"/>
    </row>
    <row r="1740" spans="18:61">
      <c r="R1740" s="6"/>
      <c r="AS1740" s="15"/>
      <c r="AT1740" s="6" t="str">
        <f ca="1">IFERROR(__xludf.DUMMYFUNCTION("""COMPUTED_VALUE"""),"#N/A")</f>
        <v>#N/A</v>
      </c>
      <c r="AU1740" s="6" t="str">
        <f ca="1">IFERROR(__xludf.DUMMYFUNCTION("""COMPUTED_VALUE"""),"FALSE")</f>
        <v>FALSE</v>
      </c>
      <c r="AZ1740" s="9"/>
      <c r="BC1740" s="9"/>
      <c r="BF1740" s="9"/>
      <c r="BI1740" s="9"/>
    </row>
    <row r="1741" spans="18:61">
      <c r="R1741" s="6"/>
      <c r="AS1741" s="15"/>
      <c r="AT1741" s="6" t="str">
        <f ca="1">IFERROR(__xludf.DUMMYFUNCTION("""COMPUTED_VALUE"""),"#N/A")</f>
        <v>#N/A</v>
      </c>
      <c r="AU1741" s="6" t="str">
        <f ca="1">IFERROR(__xludf.DUMMYFUNCTION("""COMPUTED_VALUE"""),"FALSE")</f>
        <v>FALSE</v>
      </c>
      <c r="AZ1741" s="9"/>
      <c r="BC1741" s="9"/>
      <c r="BF1741" s="9"/>
      <c r="BI1741" s="9"/>
    </row>
    <row r="1742" spans="18:61">
      <c r="R1742" s="6"/>
      <c r="AS1742" s="15"/>
      <c r="AT1742" s="6" t="str">
        <f ca="1">IFERROR(__xludf.DUMMYFUNCTION("""COMPUTED_VALUE"""),"#N/A")</f>
        <v>#N/A</v>
      </c>
      <c r="AU1742" s="6" t="str">
        <f ca="1">IFERROR(__xludf.DUMMYFUNCTION("""COMPUTED_VALUE"""),"FALSE")</f>
        <v>FALSE</v>
      </c>
      <c r="AZ1742" s="9"/>
      <c r="BC1742" s="9"/>
      <c r="BF1742" s="9"/>
      <c r="BI1742" s="9"/>
    </row>
    <row r="1743" spans="18:61">
      <c r="R1743" s="6"/>
      <c r="AS1743" s="15"/>
      <c r="AT1743" s="6" t="str">
        <f ca="1">IFERROR(__xludf.DUMMYFUNCTION("""COMPUTED_VALUE"""),"#N/A")</f>
        <v>#N/A</v>
      </c>
      <c r="AU1743" s="6" t="str">
        <f ca="1">IFERROR(__xludf.DUMMYFUNCTION("""COMPUTED_VALUE"""),"FALSE")</f>
        <v>FALSE</v>
      </c>
      <c r="AZ1743" s="9"/>
      <c r="BC1743" s="9"/>
      <c r="BF1743" s="9"/>
      <c r="BI1743" s="9"/>
    </row>
    <row r="1744" spans="18:61">
      <c r="R1744" s="6"/>
      <c r="AS1744" s="15"/>
      <c r="AT1744" s="6" t="str">
        <f ca="1">IFERROR(__xludf.DUMMYFUNCTION("""COMPUTED_VALUE"""),"#N/A")</f>
        <v>#N/A</v>
      </c>
      <c r="AU1744" s="6" t="str">
        <f ca="1">IFERROR(__xludf.DUMMYFUNCTION("""COMPUTED_VALUE"""),"FALSE")</f>
        <v>FALSE</v>
      </c>
      <c r="AZ1744" s="9"/>
      <c r="BC1744" s="9"/>
      <c r="BF1744" s="9"/>
      <c r="BI1744" s="9"/>
    </row>
    <row r="1745" spans="18:61">
      <c r="R1745" s="6"/>
      <c r="AS1745" s="15"/>
      <c r="AT1745" s="6" t="str">
        <f ca="1">IFERROR(__xludf.DUMMYFUNCTION("""COMPUTED_VALUE"""),"#N/A")</f>
        <v>#N/A</v>
      </c>
      <c r="AU1745" s="6" t="str">
        <f ca="1">IFERROR(__xludf.DUMMYFUNCTION("""COMPUTED_VALUE"""),"FALSE")</f>
        <v>FALSE</v>
      </c>
      <c r="AZ1745" s="9"/>
      <c r="BC1745" s="9"/>
      <c r="BF1745" s="9"/>
      <c r="BI1745" s="9"/>
    </row>
    <row r="1746" spans="18:61">
      <c r="R1746" s="6"/>
      <c r="AS1746" s="15"/>
      <c r="AT1746" s="6" t="str">
        <f ca="1">IFERROR(__xludf.DUMMYFUNCTION("""COMPUTED_VALUE"""),"#N/A")</f>
        <v>#N/A</v>
      </c>
      <c r="AU1746" s="6" t="str">
        <f ca="1">IFERROR(__xludf.DUMMYFUNCTION("""COMPUTED_VALUE"""),"FALSE")</f>
        <v>FALSE</v>
      </c>
      <c r="AZ1746" s="9"/>
      <c r="BC1746" s="9"/>
      <c r="BF1746" s="9"/>
      <c r="BI1746" s="9"/>
    </row>
    <row r="1747" spans="18:61">
      <c r="R1747" s="6"/>
      <c r="AS1747" s="15"/>
      <c r="AT1747" s="6" t="str">
        <f ca="1">IFERROR(__xludf.DUMMYFUNCTION("""COMPUTED_VALUE"""),"#N/A")</f>
        <v>#N/A</v>
      </c>
      <c r="AU1747" s="6" t="str">
        <f ca="1">IFERROR(__xludf.DUMMYFUNCTION("""COMPUTED_VALUE"""),"FALSE")</f>
        <v>FALSE</v>
      </c>
      <c r="AZ1747" s="9"/>
      <c r="BC1747" s="9"/>
      <c r="BF1747" s="9"/>
      <c r="BI1747" s="9"/>
    </row>
    <row r="1748" spans="18:61">
      <c r="R1748" s="6"/>
      <c r="AS1748" s="15"/>
      <c r="AT1748" s="6" t="str">
        <f ca="1">IFERROR(__xludf.DUMMYFUNCTION("""COMPUTED_VALUE"""),"#N/A")</f>
        <v>#N/A</v>
      </c>
      <c r="AU1748" s="6" t="str">
        <f ca="1">IFERROR(__xludf.DUMMYFUNCTION("""COMPUTED_VALUE"""),"FALSE")</f>
        <v>FALSE</v>
      </c>
      <c r="AZ1748" s="9"/>
      <c r="BC1748" s="9"/>
      <c r="BF1748" s="9"/>
      <c r="BI1748" s="9"/>
    </row>
    <row r="1749" spans="18:61">
      <c r="R1749" s="6"/>
      <c r="AS1749" s="15"/>
      <c r="AT1749" s="6" t="str">
        <f ca="1">IFERROR(__xludf.DUMMYFUNCTION("""COMPUTED_VALUE"""),"#N/A")</f>
        <v>#N/A</v>
      </c>
      <c r="AU1749" s="6" t="str">
        <f ca="1">IFERROR(__xludf.DUMMYFUNCTION("""COMPUTED_VALUE"""),"FALSE")</f>
        <v>FALSE</v>
      </c>
      <c r="AZ1749" s="9"/>
      <c r="BC1749" s="9"/>
      <c r="BF1749" s="9"/>
      <c r="BI1749" s="9"/>
    </row>
    <row r="1750" spans="18:61">
      <c r="R1750" s="6"/>
      <c r="AS1750" s="15"/>
      <c r="AT1750" s="6" t="str">
        <f ca="1">IFERROR(__xludf.DUMMYFUNCTION("""COMPUTED_VALUE"""),"#N/A")</f>
        <v>#N/A</v>
      </c>
      <c r="AU1750" s="6" t="str">
        <f ca="1">IFERROR(__xludf.DUMMYFUNCTION("""COMPUTED_VALUE"""),"FALSE")</f>
        <v>FALSE</v>
      </c>
      <c r="AZ1750" s="9"/>
      <c r="BC1750" s="9"/>
      <c r="BF1750" s="9"/>
      <c r="BI1750" s="9"/>
    </row>
    <row r="1751" spans="18:61">
      <c r="R1751" s="6"/>
      <c r="AS1751" s="15"/>
      <c r="AT1751" s="6" t="str">
        <f ca="1">IFERROR(__xludf.DUMMYFUNCTION("""COMPUTED_VALUE"""),"#N/A")</f>
        <v>#N/A</v>
      </c>
      <c r="AU1751" s="6" t="str">
        <f ca="1">IFERROR(__xludf.DUMMYFUNCTION("""COMPUTED_VALUE"""),"FALSE")</f>
        <v>FALSE</v>
      </c>
      <c r="AZ1751" s="9"/>
      <c r="BC1751" s="9"/>
      <c r="BF1751" s="9"/>
      <c r="BI1751" s="9"/>
    </row>
    <row r="1752" spans="18:61">
      <c r="R1752" s="6"/>
      <c r="AS1752" s="15"/>
      <c r="AT1752" s="6" t="str">
        <f ca="1">IFERROR(__xludf.DUMMYFUNCTION("""COMPUTED_VALUE"""),"#N/A")</f>
        <v>#N/A</v>
      </c>
      <c r="AU1752" s="6" t="str">
        <f ca="1">IFERROR(__xludf.DUMMYFUNCTION("""COMPUTED_VALUE"""),"FALSE")</f>
        <v>FALSE</v>
      </c>
      <c r="AZ1752" s="9"/>
      <c r="BC1752" s="9"/>
      <c r="BF1752" s="9"/>
      <c r="BI1752" s="9"/>
    </row>
    <row r="1753" spans="18:61">
      <c r="R1753" s="6"/>
      <c r="AS1753" s="15"/>
      <c r="AT1753" s="6" t="str">
        <f ca="1">IFERROR(__xludf.DUMMYFUNCTION("""COMPUTED_VALUE"""),"#N/A")</f>
        <v>#N/A</v>
      </c>
      <c r="AU1753" s="6" t="str">
        <f ca="1">IFERROR(__xludf.DUMMYFUNCTION("""COMPUTED_VALUE"""),"FALSE")</f>
        <v>FALSE</v>
      </c>
      <c r="AZ1753" s="9"/>
      <c r="BC1753" s="9"/>
      <c r="BF1753" s="9"/>
      <c r="BI1753" s="9"/>
    </row>
    <row r="1754" spans="18:61">
      <c r="R1754" s="6"/>
      <c r="AS1754" s="15"/>
      <c r="AT1754" s="6" t="str">
        <f ca="1">IFERROR(__xludf.DUMMYFUNCTION("""COMPUTED_VALUE"""),"#N/A")</f>
        <v>#N/A</v>
      </c>
      <c r="AU1754" s="6" t="str">
        <f ca="1">IFERROR(__xludf.DUMMYFUNCTION("""COMPUTED_VALUE"""),"FALSE")</f>
        <v>FALSE</v>
      </c>
      <c r="AZ1754" s="9"/>
      <c r="BC1754" s="9"/>
      <c r="BF1754" s="9"/>
      <c r="BI1754" s="9"/>
    </row>
    <row r="1755" spans="18:61">
      <c r="R1755" s="6"/>
      <c r="AS1755" s="15"/>
      <c r="AT1755" s="6" t="str">
        <f ca="1">IFERROR(__xludf.DUMMYFUNCTION("""COMPUTED_VALUE"""),"#N/A")</f>
        <v>#N/A</v>
      </c>
      <c r="AU1755" s="6" t="str">
        <f ca="1">IFERROR(__xludf.DUMMYFUNCTION("""COMPUTED_VALUE"""),"FALSE")</f>
        <v>FALSE</v>
      </c>
      <c r="AZ1755" s="9"/>
      <c r="BC1755" s="9"/>
      <c r="BF1755" s="9"/>
      <c r="BI1755" s="9"/>
    </row>
    <row r="1756" spans="18:61">
      <c r="R1756" s="6"/>
      <c r="AS1756" s="15"/>
      <c r="AT1756" s="6" t="str">
        <f ca="1">IFERROR(__xludf.DUMMYFUNCTION("""COMPUTED_VALUE"""),"#N/A")</f>
        <v>#N/A</v>
      </c>
      <c r="AU1756" s="6" t="str">
        <f ca="1">IFERROR(__xludf.DUMMYFUNCTION("""COMPUTED_VALUE"""),"FALSE")</f>
        <v>FALSE</v>
      </c>
      <c r="AZ1756" s="9"/>
      <c r="BC1756" s="9"/>
      <c r="BF1756" s="9"/>
      <c r="BI1756" s="9"/>
    </row>
    <row r="1757" spans="18:61">
      <c r="R1757" s="6"/>
      <c r="AS1757" s="15"/>
      <c r="AT1757" s="6" t="str">
        <f ca="1">IFERROR(__xludf.DUMMYFUNCTION("""COMPUTED_VALUE"""),"#N/A")</f>
        <v>#N/A</v>
      </c>
      <c r="AU1757" s="6" t="str">
        <f ca="1">IFERROR(__xludf.DUMMYFUNCTION("""COMPUTED_VALUE"""),"FALSE")</f>
        <v>FALSE</v>
      </c>
      <c r="AZ1757" s="9"/>
      <c r="BC1757" s="9"/>
      <c r="BF1757" s="9"/>
      <c r="BI1757" s="9"/>
    </row>
    <row r="1758" spans="18:61">
      <c r="R1758" s="6"/>
      <c r="AS1758" s="15"/>
      <c r="AT1758" s="6" t="str">
        <f ca="1">IFERROR(__xludf.DUMMYFUNCTION("""COMPUTED_VALUE"""),"#N/A")</f>
        <v>#N/A</v>
      </c>
      <c r="AU1758" s="6" t="str">
        <f ca="1">IFERROR(__xludf.DUMMYFUNCTION("""COMPUTED_VALUE"""),"FALSE")</f>
        <v>FALSE</v>
      </c>
      <c r="AZ1758" s="9"/>
      <c r="BC1758" s="9"/>
      <c r="BF1758" s="9"/>
      <c r="BI1758" s="9"/>
    </row>
    <row r="1759" spans="18:61">
      <c r="R1759" s="6"/>
      <c r="AS1759" s="15"/>
      <c r="AT1759" s="6" t="str">
        <f ca="1">IFERROR(__xludf.DUMMYFUNCTION("""COMPUTED_VALUE"""),"#N/A")</f>
        <v>#N/A</v>
      </c>
      <c r="AU1759" s="6" t="str">
        <f ca="1">IFERROR(__xludf.DUMMYFUNCTION("""COMPUTED_VALUE"""),"FALSE")</f>
        <v>FALSE</v>
      </c>
      <c r="AZ1759" s="9"/>
      <c r="BC1759" s="9"/>
      <c r="BF1759" s="9"/>
      <c r="BI1759" s="9"/>
    </row>
    <row r="1760" spans="18:61">
      <c r="R1760" s="6"/>
      <c r="AS1760" s="15"/>
      <c r="AT1760" s="6" t="str">
        <f ca="1">IFERROR(__xludf.DUMMYFUNCTION("""COMPUTED_VALUE"""),"#N/A")</f>
        <v>#N/A</v>
      </c>
      <c r="AU1760" s="6" t="str">
        <f ca="1">IFERROR(__xludf.DUMMYFUNCTION("""COMPUTED_VALUE"""),"FALSE")</f>
        <v>FALSE</v>
      </c>
      <c r="AZ1760" s="9"/>
      <c r="BC1760" s="9"/>
      <c r="BF1760" s="9"/>
      <c r="BI1760" s="9"/>
    </row>
    <row r="1761" spans="18:61">
      <c r="R1761" s="6"/>
      <c r="AS1761" s="15"/>
      <c r="AT1761" s="6" t="str">
        <f ca="1">IFERROR(__xludf.DUMMYFUNCTION("""COMPUTED_VALUE"""),"#N/A")</f>
        <v>#N/A</v>
      </c>
      <c r="AU1761" s="6" t="str">
        <f ca="1">IFERROR(__xludf.DUMMYFUNCTION("""COMPUTED_VALUE"""),"FALSE")</f>
        <v>FALSE</v>
      </c>
      <c r="AZ1761" s="9"/>
      <c r="BC1761" s="9"/>
      <c r="BF1761" s="9"/>
      <c r="BI1761" s="9"/>
    </row>
    <row r="1762" spans="18:61">
      <c r="R1762" s="6"/>
      <c r="AS1762" s="15"/>
      <c r="AT1762" s="6" t="str">
        <f ca="1">IFERROR(__xludf.DUMMYFUNCTION("""COMPUTED_VALUE"""),"#N/A")</f>
        <v>#N/A</v>
      </c>
      <c r="AU1762" s="6" t="str">
        <f ca="1">IFERROR(__xludf.DUMMYFUNCTION("""COMPUTED_VALUE"""),"FALSE")</f>
        <v>FALSE</v>
      </c>
      <c r="AZ1762" s="9"/>
      <c r="BC1762" s="9"/>
      <c r="BF1762" s="9"/>
      <c r="BI1762" s="9"/>
    </row>
    <row r="1763" spans="18:61">
      <c r="R1763" s="6"/>
      <c r="AS1763" s="15"/>
      <c r="AT1763" s="6" t="str">
        <f ca="1">IFERROR(__xludf.DUMMYFUNCTION("""COMPUTED_VALUE"""),"#N/A")</f>
        <v>#N/A</v>
      </c>
      <c r="AU1763" s="6" t="str">
        <f ca="1">IFERROR(__xludf.DUMMYFUNCTION("""COMPUTED_VALUE"""),"FALSE")</f>
        <v>FALSE</v>
      </c>
      <c r="AZ1763" s="9"/>
      <c r="BC1763" s="9"/>
      <c r="BF1763" s="9"/>
      <c r="BI1763" s="9"/>
    </row>
    <row r="1764" spans="18:61">
      <c r="R1764" s="6"/>
      <c r="AS1764" s="15"/>
      <c r="AT1764" s="6" t="str">
        <f ca="1">IFERROR(__xludf.DUMMYFUNCTION("""COMPUTED_VALUE"""),"#N/A")</f>
        <v>#N/A</v>
      </c>
      <c r="AU1764" s="6" t="str">
        <f ca="1">IFERROR(__xludf.DUMMYFUNCTION("""COMPUTED_VALUE"""),"FALSE")</f>
        <v>FALSE</v>
      </c>
      <c r="AZ1764" s="9"/>
      <c r="BC1764" s="9"/>
      <c r="BF1764" s="9"/>
      <c r="BI1764" s="9"/>
    </row>
    <row r="1765" spans="18:61">
      <c r="R1765" s="6"/>
      <c r="AS1765" s="15"/>
      <c r="AT1765" s="6" t="str">
        <f ca="1">IFERROR(__xludf.DUMMYFUNCTION("""COMPUTED_VALUE"""),"#N/A")</f>
        <v>#N/A</v>
      </c>
      <c r="AU1765" s="6" t="str">
        <f ca="1">IFERROR(__xludf.DUMMYFUNCTION("""COMPUTED_VALUE"""),"FALSE")</f>
        <v>FALSE</v>
      </c>
      <c r="AZ1765" s="9"/>
      <c r="BC1765" s="9"/>
      <c r="BF1765" s="9"/>
      <c r="BI1765" s="9"/>
    </row>
    <row r="1766" spans="18:61">
      <c r="R1766" s="6"/>
      <c r="AS1766" s="15"/>
      <c r="AT1766" s="6" t="str">
        <f ca="1">IFERROR(__xludf.DUMMYFUNCTION("""COMPUTED_VALUE"""),"#N/A")</f>
        <v>#N/A</v>
      </c>
      <c r="AU1766" s="6" t="str">
        <f ca="1">IFERROR(__xludf.DUMMYFUNCTION("""COMPUTED_VALUE"""),"FALSE")</f>
        <v>FALSE</v>
      </c>
      <c r="AZ1766" s="9"/>
      <c r="BC1766" s="9"/>
      <c r="BF1766" s="9"/>
      <c r="BI1766" s="9"/>
    </row>
    <row r="1767" spans="18:61">
      <c r="R1767" s="6"/>
      <c r="AS1767" s="15"/>
      <c r="AT1767" s="6" t="str">
        <f ca="1">IFERROR(__xludf.DUMMYFUNCTION("""COMPUTED_VALUE"""),"#N/A")</f>
        <v>#N/A</v>
      </c>
      <c r="AU1767" s="6" t="str">
        <f ca="1">IFERROR(__xludf.DUMMYFUNCTION("""COMPUTED_VALUE"""),"FALSE")</f>
        <v>FALSE</v>
      </c>
      <c r="AZ1767" s="9"/>
      <c r="BC1767" s="9"/>
      <c r="BF1767" s="9"/>
      <c r="BI1767" s="9"/>
    </row>
    <row r="1768" spans="18:61">
      <c r="R1768" s="6"/>
      <c r="AS1768" s="15"/>
      <c r="AT1768" s="6" t="str">
        <f ca="1">IFERROR(__xludf.DUMMYFUNCTION("""COMPUTED_VALUE"""),"#N/A")</f>
        <v>#N/A</v>
      </c>
      <c r="AU1768" s="6" t="str">
        <f ca="1">IFERROR(__xludf.DUMMYFUNCTION("""COMPUTED_VALUE"""),"FALSE")</f>
        <v>FALSE</v>
      </c>
      <c r="AZ1768" s="9"/>
      <c r="BC1768" s="9"/>
      <c r="BF1768" s="9"/>
      <c r="BI1768" s="9"/>
    </row>
    <row r="1769" spans="18:61">
      <c r="R1769" s="6"/>
      <c r="AS1769" s="15"/>
      <c r="AT1769" s="6" t="str">
        <f ca="1">IFERROR(__xludf.DUMMYFUNCTION("""COMPUTED_VALUE"""),"#N/A")</f>
        <v>#N/A</v>
      </c>
      <c r="AU1769" s="6" t="str">
        <f ca="1">IFERROR(__xludf.DUMMYFUNCTION("""COMPUTED_VALUE"""),"FALSE")</f>
        <v>FALSE</v>
      </c>
      <c r="AZ1769" s="9"/>
      <c r="BC1769" s="9"/>
      <c r="BF1769" s="9"/>
      <c r="BI1769" s="9"/>
    </row>
    <row r="1770" spans="18:61">
      <c r="R1770" s="6"/>
      <c r="AS1770" s="15"/>
      <c r="AT1770" s="6" t="str">
        <f ca="1">IFERROR(__xludf.DUMMYFUNCTION("""COMPUTED_VALUE"""),"#N/A")</f>
        <v>#N/A</v>
      </c>
      <c r="AU1770" s="6" t="str">
        <f ca="1">IFERROR(__xludf.DUMMYFUNCTION("""COMPUTED_VALUE"""),"FALSE")</f>
        <v>FALSE</v>
      </c>
      <c r="AZ1770" s="9"/>
      <c r="BC1770" s="9"/>
      <c r="BF1770" s="9"/>
      <c r="BI1770" s="9"/>
    </row>
    <row r="1771" spans="18:61">
      <c r="R1771" s="6"/>
      <c r="AS1771" s="15"/>
      <c r="AT1771" s="6" t="str">
        <f ca="1">IFERROR(__xludf.DUMMYFUNCTION("""COMPUTED_VALUE"""),"#N/A")</f>
        <v>#N/A</v>
      </c>
      <c r="AU1771" s="6" t="str">
        <f ca="1">IFERROR(__xludf.DUMMYFUNCTION("""COMPUTED_VALUE"""),"FALSE")</f>
        <v>FALSE</v>
      </c>
      <c r="AZ1771" s="9"/>
      <c r="BC1771" s="9"/>
      <c r="BF1771" s="9"/>
      <c r="BI1771" s="9"/>
    </row>
    <row r="1772" spans="18:61">
      <c r="R1772" s="6"/>
      <c r="AS1772" s="15"/>
      <c r="AT1772" s="6" t="str">
        <f ca="1">IFERROR(__xludf.DUMMYFUNCTION("""COMPUTED_VALUE"""),"#N/A")</f>
        <v>#N/A</v>
      </c>
      <c r="AU1772" s="6" t="str">
        <f ca="1">IFERROR(__xludf.DUMMYFUNCTION("""COMPUTED_VALUE"""),"FALSE")</f>
        <v>FALSE</v>
      </c>
      <c r="AZ1772" s="9"/>
      <c r="BC1772" s="9"/>
      <c r="BF1772" s="9"/>
      <c r="BI1772" s="9"/>
    </row>
    <row r="1773" spans="18:61">
      <c r="R1773" s="6"/>
      <c r="AS1773" s="15"/>
      <c r="AT1773" s="6" t="str">
        <f ca="1">IFERROR(__xludf.DUMMYFUNCTION("""COMPUTED_VALUE"""),"#N/A")</f>
        <v>#N/A</v>
      </c>
      <c r="AU1773" s="6" t="str">
        <f ca="1">IFERROR(__xludf.DUMMYFUNCTION("""COMPUTED_VALUE"""),"FALSE")</f>
        <v>FALSE</v>
      </c>
      <c r="AZ1773" s="9"/>
      <c r="BC1773" s="9"/>
      <c r="BF1773" s="9"/>
      <c r="BI1773" s="9"/>
    </row>
    <row r="1774" spans="18:61">
      <c r="R1774" s="6"/>
      <c r="AS1774" s="15"/>
      <c r="AT1774" s="6" t="str">
        <f ca="1">IFERROR(__xludf.DUMMYFUNCTION("""COMPUTED_VALUE"""),"#N/A")</f>
        <v>#N/A</v>
      </c>
      <c r="AU1774" s="6" t="str">
        <f ca="1">IFERROR(__xludf.DUMMYFUNCTION("""COMPUTED_VALUE"""),"FALSE")</f>
        <v>FALSE</v>
      </c>
      <c r="AZ1774" s="9"/>
      <c r="BC1774" s="9"/>
      <c r="BF1774" s="9"/>
      <c r="BI1774" s="9"/>
    </row>
    <row r="1775" spans="18:61">
      <c r="R1775" s="6"/>
      <c r="AS1775" s="15"/>
      <c r="AT1775" s="6" t="str">
        <f ca="1">IFERROR(__xludf.DUMMYFUNCTION("""COMPUTED_VALUE"""),"#N/A")</f>
        <v>#N/A</v>
      </c>
      <c r="AU1775" s="6" t="str">
        <f ca="1">IFERROR(__xludf.DUMMYFUNCTION("""COMPUTED_VALUE"""),"FALSE")</f>
        <v>FALSE</v>
      </c>
      <c r="AZ1775" s="9"/>
      <c r="BC1775" s="9"/>
      <c r="BF1775" s="9"/>
      <c r="BI1775" s="9"/>
    </row>
    <row r="1776" spans="18:61">
      <c r="R1776" s="6"/>
      <c r="AS1776" s="15"/>
      <c r="AT1776" s="6" t="str">
        <f ca="1">IFERROR(__xludf.DUMMYFUNCTION("""COMPUTED_VALUE"""),"#N/A")</f>
        <v>#N/A</v>
      </c>
      <c r="AU1776" s="6" t="str">
        <f ca="1">IFERROR(__xludf.DUMMYFUNCTION("""COMPUTED_VALUE"""),"FALSE")</f>
        <v>FALSE</v>
      </c>
      <c r="AZ1776" s="9"/>
      <c r="BC1776" s="9"/>
      <c r="BF1776" s="9"/>
      <c r="BI1776" s="9"/>
    </row>
    <row r="1777" spans="18:61">
      <c r="R1777" s="6"/>
      <c r="AS1777" s="15"/>
      <c r="AT1777" s="6" t="str">
        <f ca="1">IFERROR(__xludf.DUMMYFUNCTION("""COMPUTED_VALUE"""),"#N/A")</f>
        <v>#N/A</v>
      </c>
      <c r="AU1777" s="6" t="str">
        <f ca="1">IFERROR(__xludf.DUMMYFUNCTION("""COMPUTED_VALUE"""),"FALSE")</f>
        <v>FALSE</v>
      </c>
      <c r="AZ1777" s="9"/>
      <c r="BC1777" s="9"/>
      <c r="BF1777" s="9"/>
      <c r="BI1777" s="9"/>
    </row>
    <row r="1778" spans="18:61">
      <c r="R1778" s="6"/>
      <c r="AS1778" s="15"/>
      <c r="AT1778" s="6" t="str">
        <f ca="1">IFERROR(__xludf.DUMMYFUNCTION("""COMPUTED_VALUE"""),"#N/A")</f>
        <v>#N/A</v>
      </c>
      <c r="AU1778" s="6" t="str">
        <f ca="1">IFERROR(__xludf.DUMMYFUNCTION("""COMPUTED_VALUE"""),"FALSE")</f>
        <v>FALSE</v>
      </c>
      <c r="AZ1778" s="9"/>
      <c r="BC1778" s="9"/>
      <c r="BF1778" s="9"/>
      <c r="BI1778" s="9"/>
    </row>
    <row r="1779" spans="18:61">
      <c r="R1779" s="6"/>
      <c r="AS1779" s="15"/>
      <c r="AT1779" s="6" t="str">
        <f ca="1">IFERROR(__xludf.DUMMYFUNCTION("""COMPUTED_VALUE"""),"#N/A")</f>
        <v>#N/A</v>
      </c>
      <c r="AU1779" s="6" t="str">
        <f ca="1">IFERROR(__xludf.DUMMYFUNCTION("""COMPUTED_VALUE"""),"FALSE")</f>
        <v>FALSE</v>
      </c>
      <c r="AZ1779" s="9"/>
      <c r="BC1779" s="9"/>
      <c r="BF1779" s="9"/>
      <c r="BI1779" s="9"/>
    </row>
    <row r="1780" spans="18:61">
      <c r="R1780" s="6"/>
      <c r="AS1780" s="15"/>
      <c r="AT1780" s="6" t="str">
        <f ca="1">IFERROR(__xludf.DUMMYFUNCTION("""COMPUTED_VALUE"""),"#N/A")</f>
        <v>#N/A</v>
      </c>
      <c r="AU1780" s="6" t="str">
        <f ca="1">IFERROR(__xludf.DUMMYFUNCTION("""COMPUTED_VALUE"""),"FALSE")</f>
        <v>FALSE</v>
      </c>
      <c r="AZ1780" s="9"/>
      <c r="BC1780" s="9"/>
      <c r="BF1780" s="9"/>
      <c r="BI1780" s="9"/>
    </row>
    <row r="1781" spans="18:61">
      <c r="R1781" s="6"/>
      <c r="AS1781" s="15"/>
      <c r="AT1781" s="6" t="str">
        <f ca="1">IFERROR(__xludf.DUMMYFUNCTION("""COMPUTED_VALUE"""),"#N/A")</f>
        <v>#N/A</v>
      </c>
      <c r="AU1781" s="6" t="str">
        <f ca="1">IFERROR(__xludf.DUMMYFUNCTION("""COMPUTED_VALUE"""),"FALSE")</f>
        <v>FALSE</v>
      </c>
      <c r="AZ1781" s="9"/>
      <c r="BC1781" s="9"/>
      <c r="BF1781" s="9"/>
      <c r="BI1781" s="9"/>
    </row>
    <row r="1782" spans="18:61">
      <c r="R1782" s="6"/>
      <c r="AS1782" s="15"/>
      <c r="AT1782" s="6" t="str">
        <f ca="1">IFERROR(__xludf.DUMMYFUNCTION("""COMPUTED_VALUE"""),"#N/A")</f>
        <v>#N/A</v>
      </c>
      <c r="AU1782" s="6" t="str">
        <f ca="1">IFERROR(__xludf.DUMMYFUNCTION("""COMPUTED_VALUE"""),"FALSE")</f>
        <v>FALSE</v>
      </c>
      <c r="AZ1782" s="9"/>
      <c r="BC1782" s="9"/>
      <c r="BF1782" s="9"/>
      <c r="BI1782" s="9"/>
    </row>
    <row r="1783" spans="18:61">
      <c r="R1783" s="6"/>
      <c r="AS1783" s="15"/>
      <c r="AT1783" s="6" t="str">
        <f ca="1">IFERROR(__xludf.DUMMYFUNCTION("""COMPUTED_VALUE"""),"#N/A")</f>
        <v>#N/A</v>
      </c>
      <c r="AU1783" s="6" t="str">
        <f ca="1">IFERROR(__xludf.DUMMYFUNCTION("""COMPUTED_VALUE"""),"FALSE")</f>
        <v>FALSE</v>
      </c>
      <c r="AZ1783" s="9"/>
      <c r="BC1783" s="9"/>
      <c r="BF1783" s="9"/>
      <c r="BI1783" s="9"/>
    </row>
    <row r="1784" spans="18:61">
      <c r="R1784" s="6"/>
      <c r="AS1784" s="15"/>
      <c r="AT1784" s="6" t="str">
        <f ca="1">IFERROR(__xludf.DUMMYFUNCTION("""COMPUTED_VALUE"""),"#N/A")</f>
        <v>#N/A</v>
      </c>
      <c r="AU1784" s="6" t="str">
        <f ca="1">IFERROR(__xludf.DUMMYFUNCTION("""COMPUTED_VALUE"""),"FALSE")</f>
        <v>FALSE</v>
      </c>
      <c r="AZ1784" s="9"/>
      <c r="BC1784" s="9"/>
      <c r="BF1784" s="9"/>
      <c r="BI1784" s="9"/>
    </row>
    <row r="1785" spans="18:61">
      <c r="R1785" s="6"/>
      <c r="AS1785" s="15"/>
      <c r="AT1785" s="6" t="str">
        <f ca="1">IFERROR(__xludf.DUMMYFUNCTION("""COMPUTED_VALUE"""),"#N/A")</f>
        <v>#N/A</v>
      </c>
      <c r="AU1785" s="6" t="str">
        <f ca="1">IFERROR(__xludf.DUMMYFUNCTION("""COMPUTED_VALUE"""),"FALSE")</f>
        <v>FALSE</v>
      </c>
      <c r="AZ1785" s="9"/>
      <c r="BC1785" s="9"/>
      <c r="BF1785" s="9"/>
      <c r="BI1785" s="9"/>
    </row>
    <row r="1786" spans="18:61">
      <c r="R1786" s="6"/>
      <c r="AS1786" s="15"/>
      <c r="AT1786" s="6" t="str">
        <f ca="1">IFERROR(__xludf.DUMMYFUNCTION("""COMPUTED_VALUE"""),"#N/A")</f>
        <v>#N/A</v>
      </c>
      <c r="AU1786" s="6" t="str">
        <f ca="1">IFERROR(__xludf.DUMMYFUNCTION("""COMPUTED_VALUE"""),"FALSE")</f>
        <v>FALSE</v>
      </c>
      <c r="AZ1786" s="9"/>
      <c r="BC1786" s="9"/>
      <c r="BF1786" s="9"/>
      <c r="BI1786" s="9"/>
    </row>
    <row r="1787" spans="18:61">
      <c r="R1787" s="6"/>
      <c r="AS1787" s="15"/>
      <c r="AT1787" s="6" t="str">
        <f ca="1">IFERROR(__xludf.DUMMYFUNCTION("""COMPUTED_VALUE"""),"#N/A")</f>
        <v>#N/A</v>
      </c>
      <c r="AU1787" s="6" t="str">
        <f ca="1">IFERROR(__xludf.DUMMYFUNCTION("""COMPUTED_VALUE"""),"FALSE")</f>
        <v>FALSE</v>
      </c>
      <c r="AZ1787" s="9"/>
      <c r="BC1787" s="9"/>
      <c r="BF1787" s="9"/>
      <c r="BI1787" s="9"/>
    </row>
    <row r="1788" spans="18:61">
      <c r="R1788" s="6"/>
      <c r="AS1788" s="15"/>
      <c r="AT1788" s="6" t="str">
        <f ca="1">IFERROR(__xludf.DUMMYFUNCTION("""COMPUTED_VALUE"""),"#N/A")</f>
        <v>#N/A</v>
      </c>
      <c r="AU1788" s="6" t="str">
        <f ca="1">IFERROR(__xludf.DUMMYFUNCTION("""COMPUTED_VALUE"""),"FALSE")</f>
        <v>FALSE</v>
      </c>
      <c r="AZ1788" s="9"/>
      <c r="BC1788" s="9"/>
      <c r="BF1788" s="9"/>
      <c r="BI1788" s="9"/>
    </row>
    <row r="1789" spans="18:61">
      <c r="R1789" s="6"/>
      <c r="AS1789" s="15"/>
      <c r="AT1789" s="6" t="str">
        <f ca="1">IFERROR(__xludf.DUMMYFUNCTION("""COMPUTED_VALUE"""),"#N/A")</f>
        <v>#N/A</v>
      </c>
      <c r="AU1789" s="6" t="str">
        <f ca="1">IFERROR(__xludf.DUMMYFUNCTION("""COMPUTED_VALUE"""),"FALSE")</f>
        <v>FALSE</v>
      </c>
      <c r="AZ1789" s="9"/>
      <c r="BC1789" s="9"/>
      <c r="BF1789" s="9"/>
      <c r="BI1789" s="9"/>
    </row>
    <row r="1790" spans="18:61">
      <c r="R1790" s="6"/>
      <c r="AS1790" s="15"/>
      <c r="AT1790" s="6" t="str">
        <f ca="1">IFERROR(__xludf.DUMMYFUNCTION("""COMPUTED_VALUE"""),"#N/A")</f>
        <v>#N/A</v>
      </c>
      <c r="AU1790" s="6" t="str">
        <f ca="1">IFERROR(__xludf.DUMMYFUNCTION("""COMPUTED_VALUE"""),"FALSE")</f>
        <v>FALSE</v>
      </c>
      <c r="AZ1790" s="9"/>
      <c r="BC1790" s="9"/>
      <c r="BF1790" s="9"/>
      <c r="BI1790" s="9"/>
    </row>
    <row r="1791" spans="18:61">
      <c r="R1791" s="6"/>
      <c r="AS1791" s="15"/>
      <c r="AT1791" s="6" t="str">
        <f ca="1">IFERROR(__xludf.DUMMYFUNCTION("""COMPUTED_VALUE"""),"#N/A")</f>
        <v>#N/A</v>
      </c>
      <c r="AU1791" s="6" t="str">
        <f ca="1">IFERROR(__xludf.DUMMYFUNCTION("""COMPUTED_VALUE"""),"FALSE")</f>
        <v>FALSE</v>
      </c>
      <c r="AZ1791" s="9"/>
      <c r="BC1791" s="9"/>
      <c r="BF1791" s="9"/>
      <c r="BI1791" s="9"/>
    </row>
    <row r="1792" spans="18:61">
      <c r="R1792" s="6"/>
      <c r="AS1792" s="15"/>
      <c r="AT1792" s="6" t="str">
        <f ca="1">IFERROR(__xludf.DUMMYFUNCTION("""COMPUTED_VALUE"""),"#N/A")</f>
        <v>#N/A</v>
      </c>
      <c r="AU1792" s="6" t="str">
        <f ca="1">IFERROR(__xludf.DUMMYFUNCTION("""COMPUTED_VALUE"""),"FALSE")</f>
        <v>FALSE</v>
      </c>
      <c r="AZ1792" s="9"/>
      <c r="BC1792" s="9"/>
      <c r="BF1792" s="9"/>
      <c r="BI1792" s="9"/>
    </row>
    <row r="1793" spans="18:61">
      <c r="R1793" s="6"/>
      <c r="AS1793" s="15"/>
      <c r="AT1793" s="6" t="str">
        <f ca="1">IFERROR(__xludf.DUMMYFUNCTION("""COMPUTED_VALUE"""),"#N/A")</f>
        <v>#N/A</v>
      </c>
      <c r="AU1793" s="6" t="str">
        <f ca="1">IFERROR(__xludf.DUMMYFUNCTION("""COMPUTED_VALUE"""),"FALSE")</f>
        <v>FALSE</v>
      </c>
      <c r="AZ1793" s="9"/>
      <c r="BC1793" s="9"/>
      <c r="BF1793" s="9"/>
      <c r="BI1793" s="9"/>
    </row>
    <row r="1794" spans="18:61">
      <c r="R1794" s="6"/>
      <c r="AS1794" s="15"/>
      <c r="AT1794" s="6" t="str">
        <f ca="1">IFERROR(__xludf.DUMMYFUNCTION("""COMPUTED_VALUE"""),"#N/A")</f>
        <v>#N/A</v>
      </c>
      <c r="AU1794" s="6" t="str">
        <f ca="1">IFERROR(__xludf.DUMMYFUNCTION("""COMPUTED_VALUE"""),"FALSE")</f>
        <v>FALSE</v>
      </c>
      <c r="AZ1794" s="9"/>
      <c r="BC1794" s="9"/>
      <c r="BF1794" s="9"/>
      <c r="BI1794" s="9"/>
    </row>
    <row r="1795" spans="18:61">
      <c r="R1795" s="6"/>
      <c r="AS1795" s="15"/>
      <c r="AT1795" s="6" t="str">
        <f ca="1">IFERROR(__xludf.DUMMYFUNCTION("""COMPUTED_VALUE"""),"#N/A")</f>
        <v>#N/A</v>
      </c>
      <c r="AU1795" s="6" t="str">
        <f ca="1">IFERROR(__xludf.DUMMYFUNCTION("""COMPUTED_VALUE"""),"FALSE")</f>
        <v>FALSE</v>
      </c>
      <c r="AZ1795" s="9"/>
      <c r="BC1795" s="9"/>
      <c r="BF1795" s="9"/>
      <c r="BI1795" s="9"/>
    </row>
    <row r="1796" spans="18:61">
      <c r="R1796" s="6"/>
      <c r="AS1796" s="15"/>
      <c r="AT1796" s="6" t="str">
        <f ca="1">IFERROR(__xludf.DUMMYFUNCTION("""COMPUTED_VALUE"""),"#N/A")</f>
        <v>#N/A</v>
      </c>
      <c r="AU1796" s="6" t="str">
        <f ca="1">IFERROR(__xludf.DUMMYFUNCTION("""COMPUTED_VALUE"""),"FALSE")</f>
        <v>FALSE</v>
      </c>
      <c r="AZ1796" s="9"/>
      <c r="BC1796" s="9"/>
      <c r="BF1796" s="9"/>
      <c r="BI1796" s="9"/>
    </row>
    <row r="1797" spans="18:61">
      <c r="R1797" s="6"/>
      <c r="AS1797" s="15"/>
      <c r="AT1797" s="6" t="str">
        <f ca="1">IFERROR(__xludf.DUMMYFUNCTION("""COMPUTED_VALUE"""),"#N/A")</f>
        <v>#N/A</v>
      </c>
      <c r="AU1797" s="6" t="str">
        <f ca="1">IFERROR(__xludf.DUMMYFUNCTION("""COMPUTED_VALUE"""),"FALSE")</f>
        <v>FALSE</v>
      </c>
      <c r="AZ1797" s="9"/>
      <c r="BC1797" s="9"/>
      <c r="BF1797" s="9"/>
      <c r="BI1797" s="9"/>
    </row>
    <row r="1798" spans="18:61">
      <c r="R1798" s="6"/>
      <c r="AS1798" s="15"/>
      <c r="AT1798" s="6" t="str">
        <f ca="1">IFERROR(__xludf.DUMMYFUNCTION("""COMPUTED_VALUE"""),"#N/A")</f>
        <v>#N/A</v>
      </c>
      <c r="AU1798" s="6" t="str">
        <f ca="1">IFERROR(__xludf.DUMMYFUNCTION("""COMPUTED_VALUE"""),"FALSE")</f>
        <v>FALSE</v>
      </c>
      <c r="AZ1798" s="9"/>
      <c r="BC1798" s="9"/>
      <c r="BF1798" s="9"/>
      <c r="BI1798" s="9"/>
    </row>
    <row r="1799" spans="18:61">
      <c r="R1799" s="6"/>
      <c r="AS1799" s="15"/>
      <c r="AT1799" s="6" t="str">
        <f ca="1">IFERROR(__xludf.DUMMYFUNCTION("""COMPUTED_VALUE"""),"#N/A")</f>
        <v>#N/A</v>
      </c>
      <c r="AU1799" s="6" t="str">
        <f ca="1">IFERROR(__xludf.DUMMYFUNCTION("""COMPUTED_VALUE"""),"FALSE")</f>
        <v>FALSE</v>
      </c>
      <c r="AZ1799" s="9"/>
      <c r="BC1799" s="9"/>
      <c r="BF1799" s="9"/>
      <c r="BI1799" s="9"/>
    </row>
    <row r="1800" spans="18:61">
      <c r="R1800" s="6"/>
      <c r="AS1800" s="15"/>
      <c r="AT1800" s="6" t="str">
        <f ca="1">IFERROR(__xludf.DUMMYFUNCTION("""COMPUTED_VALUE"""),"#N/A")</f>
        <v>#N/A</v>
      </c>
      <c r="AU1800" s="6" t="str">
        <f ca="1">IFERROR(__xludf.DUMMYFUNCTION("""COMPUTED_VALUE"""),"FALSE")</f>
        <v>FALSE</v>
      </c>
      <c r="AZ1800" s="9"/>
      <c r="BC1800" s="9"/>
      <c r="BF1800" s="9"/>
      <c r="BI1800" s="9"/>
    </row>
    <row r="1801" spans="18:61">
      <c r="R1801" s="6"/>
      <c r="AS1801" s="15"/>
      <c r="AT1801" s="6" t="str">
        <f ca="1">IFERROR(__xludf.DUMMYFUNCTION("""COMPUTED_VALUE"""),"#N/A")</f>
        <v>#N/A</v>
      </c>
      <c r="AU1801" s="6" t="str">
        <f ca="1">IFERROR(__xludf.DUMMYFUNCTION("""COMPUTED_VALUE"""),"FALSE")</f>
        <v>FALSE</v>
      </c>
      <c r="AZ1801" s="9"/>
      <c r="BC1801" s="9"/>
      <c r="BF1801" s="9"/>
      <c r="BI1801" s="9"/>
    </row>
    <row r="1802" spans="18:61">
      <c r="R1802" s="6"/>
      <c r="AS1802" s="15"/>
      <c r="AT1802" s="6" t="str">
        <f ca="1">IFERROR(__xludf.DUMMYFUNCTION("""COMPUTED_VALUE"""),"#N/A")</f>
        <v>#N/A</v>
      </c>
      <c r="AU1802" s="6" t="str">
        <f ca="1">IFERROR(__xludf.DUMMYFUNCTION("""COMPUTED_VALUE"""),"FALSE")</f>
        <v>FALSE</v>
      </c>
      <c r="AZ1802" s="9"/>
      <c r="BC1802" s="9"/>
      <c r="BF1802" s="9"/>
      <c r="BI1802" s="9"/>
    </row>
    <row r="1803" spans="18:61">
      <c r="R1803" s="6"/>
      <c r="AS1803" s="15"/>
      <c r="AT1803" s="6" t="str">
        <f ca="1">IFERROR(__xludf.DUMMYFUNCTION("""COMPUTED_VALUE"""),"#N/A")</f>
        <v>#N/A</v>
      </c>
      <c r="AU1803" s="6" t="str">
        <f ca="1">IFERROR(__xludf.DUMMYFUNCTION("""COMPUTED_VALUE"""),"FALSE")</f>
        <v>FALSE</v>
      </c>
      <c r="AZ1803" s="9"/>
      <c r="BC1803" s="9"/>
      <c r="BF1803" s="9"/>
      <c r="BI1803" s="9"/>
    </row>
    <row r="1804" spans="18:61">
      <c r="R1804" s="6"/>
      <c r="AS1804" s="15"/>
      <c r="AT1804" s="6" t="str">
        <f ca="1">IFERROR(__xludf.DUMMYFUNCTION("""COMPUTED_VALUE"""),"#N/A")</f>
        <v>#N/A</v>
      </c>
      <c r="AU1804" s="6" t="str">
        <f ca="1">IFERROR(__xludf.DUMMYFUNCTION("""COMPUTED_VALUE"""),"FALSE")</f>
        <v>FALSE</v>
      </c>
      <c r="AZ1804" s="9"/>
      <c r="BC1804" s="9"/>
      <c r="BF1804" s="9"/>
      <c r="BI1804" s="9"/>
    </row>
    <row r="1805" spans="18:61">
      <c r="R1805" s="6"/>
      <c r="AS1805" s="15"/>
      <c r="AT1805" s="6" t="str">
        <f ca="1">IFERROR(__xludf.DUMMYFUNCTION("""COMPUTED_VALUE"""),"#N/A")</f>
        <v>#N/A</v>
      </c>
      <c r="AU1805" s="6" t="str">
        <f ca="1">IFERROR(__xludf.DUMMYFUNCTION("""COMPUTED_VALUE"""),"FALSE")</f>
        <v>FALSE</v>
      </c>
      <c r="AZ1805" s="9"/>
      <c r="BC1805" s="9"/>
      <c r="BF1805" s="9"/>
      <c r="BI1805" s="9"/>
    </row>
    <row r="1806" spans="18:61">
      <c r="R1806" s="6"/>
      <c r="AS1806" s="15"/>
      <c r="AT1806" s="6" t="str">
        <f ca="1">IFERROR(__xludf.DUMMYFUNCTION("""COMPUTED_VALUE"""),"#N/A")</f>
        <v>#N/A</v>
      </c>
      <c r="AU1806" s="6" t="str">
        <f ca="1">IFERROR(__xludf.DUMMYFUNCTION("""COMPUTED_VALUE"""),"FALSE")</f>
        <v>FALSE</v>
      </c>
      <c r="AZ1806" s="9"/>
      <c r="BC1806" s="9"/>
      <c r="BF1806" s="9"/>
      <c r="BI1806" s="9"/>
    </row>
    <row r="1807" spans="18:61">
      <c r="R1807" s="6"/>
      <c r="AS1807" s="15"/>
      <c r="AT1807" s="6" t="str">
        <f ca="1">IFERROR(__xludf.DUMMYFUNCTION("""COMPUTED_VALUE"""),"#N/A")</f>
        <v>#N/A</v>
      </c>
      <c r="AU1807" s="6" t="str">
        <f ca="1">IFERROR(__xludf.DUMMYFUNCTION("""COMPUTED_VALUE"""),"FALSE")</f>
        <v>FALSE</v>
      </c>
      <c r="AZ1807" s="9"/>
      <c r="BC1807" s="9"/>
      <c r="BF1807" s="9"/>
      <c r="BI1807" s="9"/>
    </row>
    <row r="1808" spans="18:61">
      <c r="R1808" s="6"/>
      <c r="AS1808" s="15"/>
      <c r="AT1808" s="6" t="str">
        <f ca="1">IFERROR(__xludf.DUMMYFUNCTION("""COMPUTED_VALUE"""),"#N/A")</f>
        <v>#N/A</v>
      </c>
      <c r="AU1808" s="6" t="str">
        <f ca="1">IFERROR(__xludf.DUMMYFUNCTION("""COMPUTED_VALUE"""),"FALSE")</f>
        <v>FALSE</v>
      </c>
      <c r="AZ1808" s="9"/>
      <c r="BC1808" s="9"/>
      <c r="BF1808" s="9"/>
      <c r="BI1808" s="9"/>
    </row>
    <row r="1809" spans="18:61">
      <c r="R1809" s="6"/>
      <c r="AS1809" s="15"/>
      <c r="AT1809" s="6" t="str">
        <f ca="1">IFERROR(__xludf.DUMMYFUNCTION("""COMPUTED_VALUE"""),"#N/A")</f>
        <v>#N/A</v>
      </c>
      <c r="AU1809" s="6" t="str">
        <f ca="1">IFERROR(__xludf.DUMMYFUNCTION("""COMPUTED_VALUE"""),"FALSE")</f>
        <v>FALSE</v>
      </c>
      <c r="AZ1809" s="9"/>
      <c r="BC1809" s="9"/>
      <c r="BF1809" s="9"/>
      <c r="BI1809" s="9"/>
    </row>
    <row r="1810" spans="18:61">
      <c r="R1810" s="6"/>
      <c r="AS1810" s="15"/>
      <c r="AT1810" s="6" t="str">
        <f ca="1">IFERROR(__xludf.DUMMYFUNCTION("""COMPUTED_VALUE"""),"#N/A")</f>
        <v>#N/A</v>
      </c>
      <c r="AU1810" s="6" t="str">
        <f ca="1">IFERROR(__xludf.DUMMYFUNCTION("""COMPUTED_VALUE"""),"FALSE")</f>
        <v>FALSE</v>
      </c>
      <c r="AZ1810" s="9"/>
      <c r="BC1810" s="9"/>
      <c r="BF1810" s="9"/>
      <c r="BI1810" s="9"/>
    </row>
    <row r="1811" spans="18:61">
      <c r="R1811" s="6"/>
      <c r="AS1811" s="15"/>
      <c r="AT1811" s="6" t="str">
        <f ca="1">IFERROR(__xludf.DUMMYFUNCTION("""COMPUTED_VALUE"""),"#N/A")</f>
        <v>#N/A</v>
      </c>
      <c r="AU1811" s="6" t="str">
        <f ca="1">IFERROR(__xludf.DUMMYFUNCTION("""COMPUTED_VALUE"""),"FALSE")</f>
        <v>FALSE</v>
      </c>
      <c r="AZ1811" s="9"/>
      <c r="BC1811" s="9"/>
      <c r="BF1811" s="9"/>
      <c r="BI1811" s="9"/>
    </row>
    <row r="1812" spans="18:61">
      <c r="R1812" s="6"/>
      <c r="AS1812" s="15"/>
      <c r="AT1812" s="6" t="str">
        <f ca="1">IFERROR(__xludf.DUMMYFUNCTION("""COMPUTED_VALUE"""),"#N/A")</f>
        <v>#N/A</v>
      </c>
      <c r="AU1812" s="6" t="str">
        <f ca="1">IFERROR(__xludf.DUMMYFUNCTION("""COMPUTED_VALUE"""),"FALSE")</f>
        <v>FALSE</v>
      </c>
      <c r="AZ1812" s="9"/>
      <c r="BC1812" s="9"/>
      <c r="BF1812" s="9"/>
      <c r="BI1812" s="9"/>
    </row>
    <row r="1813" spans="18:61">
      <c r="R1813" s="6"/>
      <c r="AS1813" s="15"/>
      <c r="AT1813" s="6" t="str">
        <f ca="1">IFERROR(__xludf.DUMMYFUNCTION("""COMPUTED_VALUE"""),"#N/A")</f>
        <v>#N/A</v>
      </c>
      <c r="AU1813" s="6" t="str">
        <f ca="1">IFERROR(__xludf.DUMMYFUNCTION("""COMPUTED_VALUE"""),"FALSE")</f>
        <v>FALSE</v>
      </c>
      <c r="AZ1813" s="9"/>
      <c r="BC1813" s="9"/>
      <c r="BF1813" s="9"/>
      <c r="BI1813" s="9"/>
    </row>
    <row r="1814" spans="18:61">
      <c r="R1814" s="6"/>
      <c r="AS1814" s="15"/>
      <c r="AT1814" s="6" t="str">
        <f ca="1">IFERROR(__xludf.DUMMYFUNCTION("""COMPUTED_VALUE"""),"#N/A")</f>
        <v>#N/A</v>
      </c>
      <c r="AU1814" s="6" t="str">
        <f ca="1">IFERROR(__xludf.DUMMYFUNCTION("""COMPUTED_VALUE"""),"FALSE")</f>
        <v>FALSE</v>
      </c>
      <c r="AZ1814" s="9"/>
      <c r="BC1814" s="9"/>
      <c r="BF1814" s="9"/>
      <c r="BI1814" s="9"/>
    </row>
    <row r="1815" spans="18:61">
      <c r="R1815" s="6"/>
      <c r="AS1815" s="15"/>
      <c r="AT1815" s="6" t="str">
        <f ca="1">IFERROR(__xludf.DUMMYFUNCTION("""COMPUTED_VALUE"""),"#N/A")</f>
        <v>#N/A</v>
      </c>
      <c r="AU1815" s="6" t="str">
        <f ca="1">IFERROR(__xludf.DUMMYFUNCTION("""COMPUTED_VALUE"""),"FALSE")</f>
        <v>FALSE</v>
      </c>
      <c r="AZ1815" s="9"/>
      <c r="BC1815" s="9"/>
      <c r="BF1815" s="9"/>
      <c r="BI1815" s="9"/>
    </row>
    <row r="1816" spans="18:61">
      <c r="R1816" s="6"/>
      <c r="AS1816" s="15"/>
      <c r="AT1816" s="6" t="str">
        <f ca="1">IFERROR(__xludf.DUMMYFUNCTION("""COMPUTED_VALUE"""),"#N/A")</f>
        <v>#N/A</v>
      </c>
      <c r="AU1816" s="6" t="str">
        <f ca="1">IFERROR(__xludf.DUMMYFUNCTION("""COMPUTED_VALUE"""),"FALSE")</f>
        <v>FALSE</v>
      </c>
      <c r="AZ1816" s="9"/>
      <c r="BC1816" s="9"/>
      <c r="BF1816" s="9"/>
      <c r="BI1816" s="9"/>
    </row>
    <row r="1817" spans="18:61">
      <c r="R1817" s="6"/>
      <c r="AS1817" s="15"/>
      <c r="AT1817" s="6" t="str">
        <f ca="1">IFERROR(__xludf.DUMMYFUNCTION("""COMPUTED_VALUE"""),"#N/A")</f>
        <v>#N/A</v>
      </c>
      <c r="AU1817" s="6" t="str">
        <f ca="1">IFERROR(__xludf.DUMMYFUNCTION("""COMPUTED_VALUE"""),"FALSE")</f>
        <v>FALSE</v>
      </c>
      <c r="AZ1817" s="9"/>
      <c r="BC1817" s="9"/>
      <c r="BF1817" s="9"/>
      <c r="BI1817" s="9"/>
    </row>
    <row r="1818" spans="18:61">
      <c r="R1818" s="6"/>
      <c r="AS1818" s="15"/>
      <c r="AT1818" s="6" t="str">
        <f ca="1">IFERROR(__xludf.DUMMYFUNCTION("""COMPUTED_VALUE"""),"#N/A")</f>
        <v>#N/A</v>
      </c>
      <c r="AU1818" s="6" t="str">
        <f ca="1">IFERROR(__xludf.DUMMYFUNCTION("""COMPUTED_VALUE"""),"FALSE")</f>
        <v>FALSE</v>
      </c>
      <c r="AZ1818" s="9"/>
      <c r="BC1818" s="9"/>
      <c r="BF1818" s="9"/>
      <c r="BI1818" s="9"/>
    </row>
    <row r="1819" spans="18:61">
      <c r="R1819" s="6"/>
      <c r="AS1819" s="15"/>
      <c r="AT1819" s="6" t="str">
        <f ca="1">IFERROR(__xludf.DUMMYFUNCTION("""COMPUTED_VALUE"""),"#N/A")</f>
        <v>#N/A</v>
      </c>
      <c r="AU1819" s="6" t="str">
        <f ca="1">IFERROR(__xludf.DUMMYFUNCTION("""COMPUTED_VALUE"""),"FALSE")</f>
        <v>FALSE</v>
      </c>
      <c r="AZ1819" s="9"/>
      <c r="BC1819" s="9"/>
      <c r="BF1819" s="9"/>
      <c r="BI1819" s="9"/>
    </row>
    <row r="1820" spans="18:61">
      <c r="R1820" s="6"/>
      <c r="AS1820" s="15"/>
      <c r="AT1820" s="6" t="str">
        <f ca="1">IFERROR(__xludf.DUMMYFUNCTION("""COMPUTED_VALUE"""),"#N/A")</f>
        <v>#N/A</v>
      </c>
      <c r="AU1820" s="6" t="str">
        <f ca="1">IFERROR(__xludf.DUMMYFUNCTION("""COMPUTED_VALUE"""),"FALSE")</f>
        <v>FALSE</v>
      </c>
      <c r="AZ1820" s="9"/>
      <c r="BC1820" s="9"/>
      <c r="BF1820" s="9"/>
      <c r="BI1820" s="9"/>
    </row>
    <row r="1821" spans="18:61">
      <c r="R1821" s="6"/>
      <c r="AS1821" s="15"/>
      <c r="AT1821" s="6" t="str">
        <f ca="1">IFERROR(__xludf.DUMMYFUNCTION("""COMPUTED_VALUE"""),"#N/A")</f>
        <v>#N/A</v>
      </c>
      <c r="AU1821" s="6" t="str">
        <f ca="1">IFERROR(__xludf.DUMMYFUNCTION("""COMPUTED_VALUE"""),"FALSE")</f>
        <v>FALSE</v>
      </c>
      <c r="AZ1821" s="9"/>
      <c r="BC1821" s="9"/>
      <c r="BF1821" s="9"/>
      <c r="BI1821" s="9"/>
    </row>
    <row r="1822" spans="18:61">
      <c r="R1822" s="6"/>
      <c r="AS1822" s="15"/>
      <c r="AT1822" s="6" t="str">
        <f ca="1">IFERROR(__xludf.DUMMYFUNCTION("""COMPUTED_VALUE"""),"#N/A")</f>
        <v>#N/A</v>
      </c>
      <c r="AU1822" s="6" t="str">
        <f ca="1">IFERROR(__xludf.DUMMYFUNCTION("""COMPUTED_VALUE"""),"FALSE")</f>
        <v>FALSE</v>
      </c>
      <c r="AZ1822" s="9"/>
      <c r="BC1822" s="9"/>
      <c r="BF1822" s="9"/>
      <c r="BI1822" s="9"/>
    </row>
    <row r="1823" spans="18:61">
      <c r="R1823" s="6"/>
      <c r="AS1823" s="15"/>
      <c r="AT1823" s="6" t="str">
        <f ca="1">IFERROR(__xludf.DUMMYFUNCTION("""COMPUTED_VALUE"""),"#N/A")</f>
        <v>#N/A</v>
      </c>
      <c r="AU1823" s="6" t="str">
        <f ca="1">IFERROR(__xludf.DUMMYFUNCTION("""COMPUTED_VALUE"""),"FALSE")</f>
        <v>FALSE</v>
      </c>
      <c r="AZ1823" s="9"/>
      <c r="BC1823" s="9"/>
      <c r="BF1823" s="9"/>
      <c r="BI1823" s="9"/>
    </row>
    <row r="1824" spans="18:61">
      <c r="R1824" s="6"/>
      <c r="AS1824" s="15"/>
      <c r="AT1824" s="6" t="str">
        <f ca="1">IFERROR(__xludf.DUMMYFUNCTION("""COMPUTED_VALUE"""),"#N/A")</f>
        <v>#N/A</v>
      </c>
      <c r="AU1824" s="6" t="str">
        <f ca="1">IFERROR(__xludf.DUMMYFUNCTION("""COMPUTED_VALUE"""),"FALSE")</f>
        <v>FALSE</v>
      </c>
      <c r="AZ1824" s="9"/>
      <c r="BC1824" s="9"/>
      <c r="BF1824" s="9"/>
      <c r="BI1824" s="9"/>
    </row>
    <row r="1825" spans="18:61">
      <c r="R1825" s="6"/>
      <c r="AS1825" s="15"/>
      <c r="AT1825" s="6" t="str">
        <f ca="1">IFERROR(__xludf.DUMMYFUNCTION("""COMPUTED_VALUE"""),"#N/A")</f>
        <v>#N/A</v>
      </c>
      <c r="AU1825" s="6" t="str">
        <f ca="1">IFERROR(__xludf.DUMMYFUNCTION("""COMPUTED_VALUE"""),"FALSE")</f>
        <v>FALSE</v>
      </c>
      <c r="AZ1825" s="9"/>
      <c r="BC1825" s="9"/>
      <c r="BF1825" s="9"/>
      <c r="BI1825" s="9"/>
    </row>
    <row r="1826" spans="18:61">
      <c r="R1826" s="6"/>
      <c r="AS1826" s="15"/>
      <c r="AT1826" s="6" t="str">
        <f ca="1">IFERROR(__xludf.DUMMYFUNCTION("""COMPUTED_VALUE"""),"#N/A")</f>
        <v>#N/A</v>
      </c>
      <c r="AU1826" s="6" t="str">
        <f ca="1">IFERROR(__xludf.DUMMYFUNCTION("""COMPUTED_VALUE"""),"FALSE")</f>
        <v>FALSE</v>
      </c>
      <c r="AZ1826" s="9"/>
      <c r="BC1826" s="9"/>
      <c r="BF1826" s="9"/>
      <c r="BI1826" s="9"/>
    </row>
    <row r="1827" spans="18:61">
      <c r="R1827" s="6"/>
      <c r="AS1827" s="15"/>
      <c r="AT1827" s="6" t="str">
        <f ca="1">IFERROR(__xludf.DUMMYFUNCTION("""COMPUTED_VALUE"""),"#N/A")</f>
        <v>#N/A</v>
      </c>
      <c r="AU1827" s="6" t="str">
        <f ca="1">IFERROR(__xludf.DUMMYFUNCTION("""COMPUTED_VALUE"""),"FALSE")</f>
        <v>FALSE</v>
      </c>
      <c r="AZ1827" s="9"/>
      <c r="BC1827" s="9"/>
      <c r="BF1827" s="9"/>
      <c r="BI1827" s="9"/>
    </row>
    <row r="1828" spans="18:61">
      <c r="R1828" s="6"/>
      <c r="AS1828" s="15"/>
      <c r="AT1828" s="6" t="str">
        <f ca="1">IFERROR(__xludf.DUMMYFUNCTION("""COMPUTED_VALUE"""),"#N/A")</f>
        <v>#N/A</v>
      </c>
      <c r="AU1828" s="6" t="str">
        <f ca="1">IFERROR(__xludf.DUMMYFUNCTION("""COMPUTED_VALUE"""),"FALSE")</f>
        <v>FALSE</v>
      </c>
      <c r="AZ1828" s="9"/>
      <c r="BC1828" s="9"/>
      <c r="BF1828" s="9"/>
      <c r="BI1828" s="9"/>
    </row>
    <row r="1829" spans="18:61">
      <c r="R1829" s="6"/>
      <c r="AS1829" s="15"/>
      <c r="AT1829" s="6" t="str">
        <f ca="1">IFERROR(__xludf.DUMMYFUNCTION("""COMPUTED_VALUE"""),"#N/A")</f>
        <v>#N/A</v>
      </c>
      <c r="AU1829" s="6" t="str">
        <f ca="1">IFERROR(__xludf.DUMMYFUNCTION("""COMPUTED_VALUE"""),"FALSE")</f>
        <v>FALSE</v>
      </c>
      <c r="AZ1829" s="9"/>
      <c r="BC1829" s="9"/>
      <c r="BF1829" s="9"/>
      <c r="BI1829" s="9"/>
    </row>
    <row r="1830" spans="18:61">
      <c r="R1830" s="6"/>
      <c r="AS1830" s="15"/>
      <c r="AT1830" s="6" t="str">
        <f ca="1">IFERROR(__xludf.DUMMYFUNCTION("""COMPUTED_VALUE"""),"#N/A")</f>
        <v>#N/A</v>
      </c>
      <c r="AU1830" s="6" t="str">
        <f ca="1">IFERROR(__xludf.DUMMYFUNCTION("""COMPUTED_VALUE"""),"FALSE")</f>
        <v>FALSE</v>
      </c>
      <c r="AZ1830" s="9"/>
      <c r="BC1830" s="9"/>
      <c r="BF1830" s="9"/>
      <c r="BI1830" s="9"/>
    </row>
    <row r="1831" spans="18:61">
      <c r="R1831" s="6"/>
      <c r="AS1831" s="15"/>
      <c r="AT1831" s="6" t="str">
        <f ca="1">IFERROR(__xludf.DUMMYFUNCTION("""COMPUTED_VALUE"""),"#N/A")</f>
        <v>#N/A</v>
      </c>
      <c r="AU1831" s="6" t="str">
        <f ca="1">IFERROR(__xludf.DUMMYFUNCTION("""COMPUTED_VALUE"""),"FALSE")</f>
        <v>FALSE</v>
      </c>
      <c r="AZ1831" s="9"/>
      <c r="BC1831" s="9"/>
      <c r="BF1831" s="9"/>
      <c r="BI1831" s="9"/>
    </row>
    <row r="1832" spans="18:61">
      <c r="R1832" s="6"/>
      <c r="AS1832" s="15"/>
      <c r="AT1832" s="6" t="str">
        <f ca="1">IFERROR(__xludf.DUMMYFUNCTION("""COMPUTED_VALUE"""),"#N/A")</f>
        <v>#N/A</v>
      </c>
      <c r="AU1832" s="6" t="str">
        <f ca="1">IFERROR(__xludf.DUMMYFUNCTION("""COMPUTED_VALUE"""),"FALSE")</f>
        <v>FALSE</v>
      </c>
      <c r="AZ1832" s="9"/>
      <c r="BC1832" s="9"/>
      <c r="BF1832" s="9"/>
      <c r="BI1832" s="9"/>
    </row>
    <row r="1833" spans="18:61">
      <c r="R1833" s="6"/>
      <c r="AS1833" s="15"/>
      <c r="AT1833" s="6" t="str">
        <f ca="1">IFERROR(__xludf.DUMMYFUNCTION("""COMPUTED_VALUE"""),"#N/A")</f>
        <v>#N/A</v>
      </c>
      <c r="AU1833" s="6" t="str">
        <f ca="1">IFERROR(__xludf.DUMMYFUNCTION("""COMPUTED_VALUE"""),"FALSE")</f>
        <v>FALSE</v>
      </c>
      <c r="AZ1833" s="9"/>
      <c r="BC1833" s="9"/>
      <c r="BF1833" s="9"/>
      <c r="BI1833" s="9"/>
    </row>
    <row r="1834" spans="18:61">
      <c r="R1834" s="6"/>
      <c r="AS1834" s="15"/>
      <c r="AT1834" s="6" t="str">
        <f ca="1">IFERROR(__xludf.DUMMYFUNCTION("""COMPUTED_VALUE"""),"#N/A")</f>
        <v>#N/A</v>
      </c>
      <c r="AU1834" s="6" t="str">
        <f ca="1">IFERROR(__xludf.DUMMYFUNCTION("""COMPUTED_VALUE"""),"FALSE")</f>
        <v>FALSE</v>
      </c>
      <c r="AZ1834" s="9"/>
      <c r="BC1834" s="9"/>
      <c r="BF1834" s="9"/>
      <c r="BI1834" s="9"/>
    </row>
    <row r="1835" spans="18:61">
      <c r="R1835" s="6"/>
      <c r="AS1835" s="15"/>
      <c r="AT1835" s="6" t="str">
        <f ca="1">IFERROR(__xludf.DUMMYFUNCTION("""COMPUTED_VALUE"""),"#N/A")</f>
        <v>#N/A</v>
      </c>
      <c r="AU1835" s="6" t="str">
        <f ca="1">IFERROR(__xludf.DUMMYFUNCTION("""COMPUTED_VALUE"""),"FALSE")</f>
        <v>FALSE</v>
      </c>
      <c r="AZ1835" s="9"/>
      <c r="BC1835" s="9"/>
      <c r="BF1835" s="9"/>
      <c r="BI1835" s="9"/>
    </row>
    <row r="1836" spans="18:61">
      <c r="R1836" s="6"/>
      <c r="AS1836" s="15"/>
      <c r="AT1836" s="6" t="str">
        <f ca="1">IFERROR(__xludf.DUMMYFUNCTION("""COMPUTED_VALUE"""),"#N/A")</f>
        <v>#N/A</v>
      </c>
      <c r="AU1836" s="6" t="str">
        <f ca="1">IFERROR(__xludf.DUMMYFUNCTION("""COMPUTED_VALUE"""),"FALSE")</f>
        <v>FALSE</v>
      </c>
      <c r="AZ1836" s="9"/>
      <c r="BC1836" s="9"/>
      <c r="BF1836" s="9"/>
      <c r="BI1836" s="9"/>
    </row>
    <row r="1837" spans="18:61">
      <c r="R1837" s="6"/>
      <c r="AS1837" s="15"/>
      <c r="AT1837" s="6" t="str">
        <f ca="1">IFERROR(__xludf.DUMMYFUNCTION("""COMPUTED_VALUE"""),"#N/A")</f>
        <v>#N/A</v>
      </c>
      <c r="AU1837" s="6" t="str">
        <f ca="1">IFERROR(__xludf.DUMMYFUNCTION("""COMPUTED_VALUE"""),"FALSE")</f>
        <v>FALSE</v>
      </c>
      <c r="AZ1837" s="9"/>
      <c r="BC1837" s="9"/>
      <c r="BF1837" s="9"/>
      <c r="BI1837" s="9"/>
    </row>
    <row r="1838" spans="18:61">
      <c r="R1838" s="6"/>
      <c r="AS1838" s="15"/>
      <c r="AT1838" s="6" t="str">
        <f ca="1">IFERROR(__xludf.DUMMYFUNCTION("""COMPUTED_VALUE"""),"#N/A")</f>
        <v>#N/A</v>
      </c>
      <c r="AU1838" s="6" t="str">
        <f ca="1">IFERROR(__xludf.DUMMYFUNCTION("""COMPUTED_VALUE"""),"FALSE")</f>
        <v>FALSE</v>
      </c>
      <c r="AZ1838" s="9"/>
      <c r="BC1838" s="9"/>
      <c r="BF1838" s="9"/>
      <c r="BI1838" s="9"/>
    </row>
    <row r="1839" spans="18:61">
      <c r="R1839" s="6"/>
      <c r="AS1839" s="15"/>
      <c r="AT1839" s="6" t="str">
        <f ca="1">IFERROR(__xludf.DUMMYFUNCTION("""COMPUTED_VALUE"""),"#N/A")</f>
        <v>#N/A</v>
      </c>
      <c r="AU1839" s="6" t="str">
        <f ca="1">IFERROR(__xludf.DUMMYFUNCTION("""COMPUTED_VALUE"""),"FALSE")</f>
        <v>FALSE</v>
      </c>
      <c r="AZ1839" s="9"/>
      <c r="BC1839" s="9"/>
      <c r="BF1839" s="9"/>
      <c r="BI1839" s="9"/>
    </row>
    <row r="1840" spans="18:61">
      <c r="R1840" s="6"/>
      <c r="AS1840" s="15"/>
      <c r="AT1840" s="6" t="str">
        <f ca="1">IFERROR(__xludf.DUMMYFUNCTION("""COMPUTED_VALUE"""),"#N/A")</f>
        <v>#N/A</v>
      </c>
      <c r="AU1840" s="6" t="str">
        <f ca="1">IFERROR(__xludf.DUMMYFUNCTION("""COMPUTED_VALUE"""),"FALSE")</f>
        <v>FALSE</v>
      </c>
      <c r="AZ1840" s="9"/>
      <c r="BC1840" s="9"/>
      <c r="BF1840" s="9"/>
      <c r="BI1840" s="9"/>
    </row>
    <row r="1841" spans="18:61">
      <c r="R1841" s="6"/>
      <c r="AS1841" s="15"/>
      <c r="AT1841" s="6" t="str">
        <f ca="1">IFERROR(__xludf.DUMMYFUNCTION("""COMPUTED_VALUE"""),"#N/A")</f>
        <v>#N/A</v>
      </c>
      <c r="AU1841" s="6" t="str">
        <f ca="1">IFERROR(__xludf.DUMMYFUNCTION("""COMPUTED_VALUE"""),"FALSE")</f>
        <v>FALSE</v>
      </c>
      <c r="AZ1841" s="9"/>
      <c r="BC1841" s="9"/>
      <c r="BF1841" s="9"/>
      <c r="BI1841" s="9"/>
    </row>
    <row r="1842" spans="18:61">
      <c r="R1842" s="6"/>
      <c r="AS1842" s="15"/>
      <c r="AT1842" s="6" t="str">
        <f ca="1">IFERROR(__xludf.DUMMYFUNCTION("""COMPUTED_VALUE"""),"#N/A")</f>
        <v>#N/A</v>
      </c>
      <c r="AU1842" s="6" t="str">
        <f ca="1">IFERROR(__xludf.DUMMYFUNCTION("""COMPUTED_VALUE"""),"FALSE")</f>
        <v>FALSE</v>
      </c>
      <c r="AZ1842" s="9"/>
      <c r="BC1842" s="9"/>
      <c r="BF1842" s="9"/>
      <c r="BI1842" s="9"/>
    </row>
    <row r="1843" spans="18:61">
      <c r="R1843" s="6"/>
      <c r="AS1843" s="15"/>
      <c r="AT1843" s="6" t="str">
        <f ca="1">IFERROR(__xludf.DUMMYFUNCTION("""COMPUTED_VALUE"""),"#N/A")</f>
        <v>#N/A</v>
      </c>
      <c r="AU1843" s="6" t="str">
        <f ca="1">IFERROR(__xludf.DUMMYFUNCTION("""COMPUTED_VALUE"""),"FALSE")</f>
        <v>FALSE</v>
      </c>
      <c r="AZ1843" s="9"/>
      <c r="BC1843" s="9"/>
      <c r="BF1843" s="9"/>
      <c r="BI1843" s="9"/>
    </row>
    <row r="1844" spans="18:61">
      <c r="R1844" s="6"/>
      <c r="AS1844" s="15"/>
      <c r="AT1844" s="6" t="str">
        <f ca="1">IFERROR(__xludf.DUMMYFUNCTION("""COMPUTED_VALUE"""),"#N/A")</f>
        <v>#N/A</v>
      </c>
      <c r="AU1844" s="6" t="str">
        <f ca="1">IFERROR(__xludf.DUMMYFUNCTION("""COMPUTED_VALUE"""),"FALSE")</f>
        <v>FALSE</v>
      </c>
      <c r="AZ1844" s="9"/>
      <c r="BC1844" s="9"/>
      <c r="BF1844" s="9"/>
      <c r="BI1844" s="9"/>
    </row>
    <row r="1845" spans="18:61">
      <c r="R1845" s="6"/>
      <c r="AS1845" s="15"/>
      <c r="AT1845" s="6" t="str">
        <f ca="1">IFERROR(__xludf.DUMMYFUNCTION("""COMPUTED_VALUE"""),"#N/A")</f>
        <v>#N/A</v>
      </c>
      <c r="AU1845" s="6" t="str">
        <f ca="1">IFERROR(__xludf.DUMMYFUNCTION("""COMPUTED_VALUE"""),"FALSE")</f>
        <v>FALSE</v>
      </c>
      <c r="AZ1845" s="9"/>
      <c r="BC1845" s="9"/>
      <c r="BF1845" s="9"/>
      <c r="BI1845" s="9"/>
    </row>
    <row r="1846" spans="18:61">
      <c r="R1846" s="6"/>
      <c r="AS1846" s="15"/>
      <c r="AT1846" s="6" t="str">
        <f ca="1">IFERROR(__xludf.DUMMYFUNCTION("""COMPUTED_VALUE"""),"#N/A")</f>
        <v>#N/A</v>
      </c>
      <c r="AU1846" s="6" t="str">
        <f ca="1">IFERROR(__xludf.DUMMYFUNCTION("""COMPUTED_VALUE"""),"FALSE")</f>
        <v>FALSE</v>
      </c>
      <c r="AZ1846" s="9"/>
      <c r="BC1846" s="9"/>
      <c r="BF1846" s="9"/>
      <c r="BI1846" s="9"/>
    </row>
    <row r="1847" spans="18:61">
      <c r="R1847" s="6"/>
      <c r="AS1847" s="15"/>
      <c r="AT1847" s="6" t="str">
        <f ca="1">IFERROR(__xludf.DUMMYFUNCTION("""COMPUTED_VALUE"""),"#N/A")</f>
        <v>#N/A</v>
      </c>
      <c r="AU1847" s="6" t="str">
        <f ca="1">IFERROR(__xludf.DUMMYFUNCTION("""COMPUTED_VALUE"""),"FALSE")</f>
        <v>FALSE</v>
      </c>
      <c r="AZ1847" s="9"/>
      <c r="BC1847" s="9"/>
      <c r="BF1847" s="9"/>
      <c r="BI1847" s="9"/>
    </row>
    <row r="1848" spans="18:61">
      <c r="R1848" s="6"/>
      <c r="AS1848" s="15"/>
      <c r="AT1848" s="6" t="str">
        <f ca="1">IFERROR(__xludf.DUMMYFUNCTION("""COMPUTED_VALUE"""),"#N/A")</f>
        <v>#N/A</v>
      </c>
      <c r="AU1848" s="6" t="str">
        <f ca="1">IFERROR(__xludf.DUMMYFUNCTION("""COMPUTED_VALUE"""),"FALSE")</f>
        <v>FALSE</v>
      </c>
      <c r="AZ1848" s="9"/>
      <c r="BC1848" s="9"/>
      <c r="BF1848" s="9"/>
      <c r="BI1848" s="9"/>
    </row>
    <row r="1849" spans="18:61">
      <c r="R1849" s="6"/>
      <c r="AS1849" s="15"/>
      <c r="AT1849" s="6" t="str">
        <f ca="1">IFERROR(__xludf.DUMMYFUNCTION("""COMPUTED_VALUE"""),"#N/A")</f>
        <v>#N/A</v>
      </c>
      <c r="AU1849" s="6" t="str">
        <f ca="1">IFERROR(__xludf.DUMMYFUNCTION("""COMPUTED_VALUE"""),"FALSE")</f>
        <v>FALSE</v>
      </c>
      <c r="AZ1849" s="9"/>
      <c r="BC1849" s="9"/>
      <c r="BF1849" s="9"/>
      <c r="BI1849" s="9"/>
    </row>
    <row r="1850" spans="18:61">
      <c r="R1850" s="6"/>
      <c r="AS1850" s="15"/>
      <c r="AT1850" s="6" t="str">
        <f ca="1">IFERROR(__xludf.DUMMYFUNCTION("""COMPUTED_VALUE"""),"#N/A")</f>
        <v>#N/A</v>
      </c>
      <c r="AU1850" s="6" t="str">
        <f ca="1">IFERROR(__xludf.DUMMYFUNCTION("""COMPUTED_VALUE"""),"FALSE")</f>
        <v>FALSE</v>
      </c>
      <c r="AZ1850" s="9"/>
      <c r="BC1850" s="9"/>
      <c r="BF1850" s="9"/>
      <c r="BI1850" s="9"/>
    </row>
    <row r="1851" spans="18:61">
      <c r="R1851" s="6"/>
      <c r="AS1851" s="15"/>
      <c r="AT1851" s="6" t="str">
        <f ca="1">IFERROR(__xludf.DUMMYFUNCTION("""COMPUTED_VALUE"""),"#N/A")</f>
        <v>#N/A</v>
      </c>
      <c r="AU1851" s="6" t="str">
        <f ca="1">IFERROR(__xludf.DUMMYFUNCTION("""COMPUTED_VALUE"""),"FALSE")</f>
        <v>FALSE</v>
      </c>
      <c r="AZ1851" s="9"/>
      <c r="BC1851" s="9"/>
      <c r="BF1851" s="9"/>
      <c r="BI1851" s="9"/>
    </row>
    <row r="1852" spans="18:61">
      <c r="R1852" s="6"/>
      <c r="AS1852" s="15"/>
      <c r="AT1852" s="6" t="str">
        <f ca="1">IFERROR(__xludf.DUMMYFUNCTION("""COMPUTED_VALUE"""),"#N/A")</f>
        <v>#N/A</v>
      </c>
      <c r="AU1852" s="6" t="str">
        <f ca="1">IFERROR(__xludf.DUMMYFUNCTION("""COMPUTED_VALUE"""),"FALSE")</f>
        <v>FALSE</v>
      </c>
      <c r="AZ1852" s="9"/>
      <c r="BC1852" s="9"/>
      <c r="BF1852" s="9"/>
      <c r="BI1852" s="9"/>
    </row>
    <row r="1853" spans="18:61">
      <c r="R1853" s="6"/>
      <c r="AS1853" s="15"/>
      <c r="AT1853" s="6" t="str">
        <f ca="1">IFERROR(__xludf.DUMMYFUNCTION("""COMPUTED_VALUE"""),"#N/A")</f>
        <v>#N/A</v>
      </c>
      <c r="AU1853" s="6" t="str">
        <f ca="1">IFERROR(__xludf.DUMMYFUNCTION("""COMPUTED_VALUE"""),"FALSE")</f>
        <v>FALSE</v>
      </c>
      <c r="AZ1853" s="9"/>
      <c r="BC1853" s="9"/>
      <c r="BF1853" s="9"/>
      <c r="BI1853" s="9"/>
    </row>
    <row r="1854" spans="18:61">
      <c r="R1854" s="6"/>
      <c r="AS1854" s="15"/>
      <c r="AT1854" s="6" t="str">
        <f ca="1">IFERROR(__xludf.DUMMYFUNCTION("""COMPUTED_VALUE"""),"#N/A")</f>
        <v>#N/A</v>
      </c>
      <c r="AU1854" s="6" t="str">
        <f ca="1">IFERROR(__xludf.DUMMYFUNCTION("""COMPUTED_VALUE"""),"FALSE")</f>
        <v>FALSE</v>
      </c>
      <c r="AZ1854" s="9"/>
      <c r="BC1854" s="9"/>
      <c r="BF1854" s="9"/>
      <c r="BI1854" s="9"/>
    </row>
    <row r="1855" spans="18:61">
      <c r="R1855" s="6"/>
      <c r="AS1855" s="15"/>
      <c r="AT1855" s="6" t="str">
        <f ca="1">IFERROR(__xludf.DUMMYFUNCTION("""COMPUTED_VALUE"""),"#N/A")</f>
        <v>#N/A</v>
      </c>
      <c r="AU1855" s="6" t="str">
        <f ca="1">IFERROR(__xludf.DUMMYFUNCTION("""COMPUTED_VALUE"""),"FALSE")</f>
        <v>FALSE</v>
      </c>
      <c r="AZ1855" s="9"/>
      <c r="BC1855" s="9"/>
      <c r="BF1855" s="9"/>
      <c r="BI1855" s="9"/>
    </row>
    <row r="1856" spans="18:61">
      <c r="R1856" s="6"/>
      <c r="AS1856" s="15"/>
      <c r="AT1856" s="6" t="str">
        <f ca="1">IFERROR(__xludf.DUMMYFUNCTION("""COMPUTED_VALUE"""),"#N/A")</f>
        <v>#N/A</v>
      </c>
      <c r="AU1856" s="6" t="str">
        <f ca="1">IFERROR(__xludf.DUMMYFUNCTION("""COMPUTED_VALUE"""),"FALSE")</f>
        <v>FALSE</v>
      </c>
      <c r="AZ1856" s="9"/>
      <c r="BC1856" s="9"/>
      <c r="BF1856" s="9"/>
      <c r="BI1856" s="9"/>
    </row>
    <row r="1857" spans="18:61">
      <c r="R1857" s="6"/>
      <c r="AS1857" s="15"/>
      <c r="AT1857" s="6" t="str">
        <f ca="1">IFERROR(__xludf.DUMMYFUNCTION("""COMPUTED_VALUE"""),"#N/A")</f>
        <v>#N/A</v>
      </c>
      <c r="AU1857" s="6" t="str">
        <f ca="1">IFERROR(__xludf.DUMMYFUNCTION("""COMPUTED_VALUE"""),"FALSE")</f>
        <v>FALSE</v>
      </c>
      <c r="AZ1857" s="9"/>
      <c r="BC1857" s="9"/>
      <c r="BF1857" s="9"/>
      <c r="BI1857" s="9"/>
    </row>
    <row r="1858" spans="18:61">
      <c r="R1858" s="6"/>
      <c r="AS1858" s="15"/>
      <c r="AT1858" s="6" t="str">
        <f ca="1">IFERROR(__xludf.DUMMYFUNCTION("""COMPUTED_VALUE"""),"#N/A")</f>
        <v>#N/A</v>
      </c>
      <c r="AU1858" s="6" t="str">
        <f ca="1">IFERROR(__xludf.DUMMYFUNCTION("""COMPUTED_VALUE"""),"FALSE")</f>
        <v>FALSE</v>
      </c>
      <c r="AZ1858" s="9"/>
      <c r="BC1858" s="9"/>
      <c r="BF1858" s="9"/>
      <c r="BI1858" s="9"/>
    </row>
    <row r="1859" spans="18:61">
      <c r="R1859" s="6"/>
      <c r="AS1859" s="15"/>
      <c r="AT1859" s="6" t="str">
        <f ca="1">IFERROR(__xludf.DUMMYFUNCTION("""COMPUTED_VALUE"""),"#N/A")</f>
        <v>#N/A</v>
      </c>
      <c r="AU1859" s="6" t="str">
        <f ca="1">IFERROR(__xludf.DUMMYFUNCTION("""COMPUTED_VALUE"""),"FALSE")</f>
        <v>FALSE</v>
      </c>
      <c r="AZ1859" s="9"/>
      <c r="BC1859" s="9"/>
      <c r="BF1859" s="9"/>
      <c r="BI1859" s="9"/>
    </row>
    <row r="1860" spans="18:61">
      <c r="R1860" s="6"/>
      <c r="AS1860" s="15"/>
      <c r="AT1860" s="6" t="str">
        <f ca="1">IFERROR(__xludf.DUMMYFUNCTION("""COMPUTED_VALUE"""),"#N/A")</f>
        <v>#N/A</v>
      </c>
      <c r="AU1860" s="6" t="str">
        <f ca="1">IFERROR(__xludf.DUMMYFUNCTION("""COMPUTED_VALUE"""),"FALSE")</f>
        <v>FALSE</v>
      </c>
      <c r="AZ1860" s="9"/>
      <c r="BC1860" s="9"/>
      <c r="BF1860" s="9"/>
      <c r="BI1860" s="9"/>
    </row>
    <row r="1861" spans="18:61">
      <c r="R1861" s="6"/>
      <c r="AS1861" s="15"/>
      <c r="AT1861" s="6" t="str">
        <f ca="1">IFERROR(__xludf.DUMMYFUNCTION("""COMPUTED_VALUE"""),"#N/A")</f>
        <v>#N/A</v>
      </c>
      <c r="AU1861" s="6" t="str">
        <f ca="1">IFERROR(__xludf.DUMMYFUNCTION("""COMPUTED_VALUE"""),"FALSE")</f>
        <v>FALSE</v>
      </c>
      <c r="AZ1861" s="9"/>
      <c r="BC1861" s="9"/>
      <c r="BF1861" s="9"/>
      <c r="BI1861" s="9"/>
    </row>
    <row r="1862" spans="18:61">
      <c r="R1862" s="6"/>
      <c r="AS1862" s="15"/>
      <c r="AT1862" s="6" t="str">
        <f ca="1">IFERROR(__xludf.DUMMYFUNCTION("""COMPUTED_VALUE"""),"#N/A")</f>
        <v>#N/A</v>
      </c>
      <c r="AU1862" s="6" t="str">
        <f ca="1">IFERROR(__xludf.DUMMYFUNCTION("""COMPUTED_VALUE"""),"FALSE")</f>
        <v>FALSE</v>
      </c>
      <c r="AZ1862" s="9"/>
      <c r="BC1862" s="9"/>
      <c r="BF1862" s="9"/>
      <c r="BI1862" s="9"/>
    </row>
    <row r="1863" spans="18:61">
      <c r="R1863" s="6"/>
      <c r="AS1863" s="15"/>
      <c r="AT1863" s="6" t="str">
        <f ca="1">IFERROR(__xludf.DUMMYFUNCTION("""COMPUTED_VALUE"""),"#N/A")</f>
        <v>#N/A</v>
      </c>
      <c r="AU1863" s="6" t="str">
        <f ca="1">IFERROR(__xludf.DUMMYFUNCTION("""COMPUTED_VALUE"""),"FALSE")</f>
        <v>FALSE</v>
      </c>
      <c r="AZ1863" s="9"/>
      <c r="BC1863" s="9"/>
      <c r="BF1863" s="9"/>
      <c r="BI1863" s="9"/>
    </row>
    <row r="1864" spans="18:61">
      <c r="R1864" s="6"/>
      <c r="AS1864" s="15"/>
      <c r="AT1864" s="6" t="str">
        <f ca="1">IFERROR(__xludf.DUMMYFUNCTION("""COMPUTED_VALUE"""),"#N/A")</f>
        <v>#N/A</v>
      </c>
      <c r="AU1864" s="6" t="str">
        <f ca="1">IFERROR(__xludf.DUMMYFUNCTION("""COMPUTED_VALUE"""),"FALSE")</f>
        <v>FALSE</v>
      </c>
      <c r="AZ1864" s="9"/>
      <c r="BC1864" s="9"/>
      <c r="BF1864" s="9"/>
      <c r="BI1864" s="9"/>
    </row>
    <row r="1865" spans="18:61">
      <c r="R1865" s="6"/>
      <c r="AS1865" s="15"/>
      <c r="AT1865" s="6" t="str">
        <f ca="1">IFERROR(__xludf.DUMMYFUNCTION("""COMPUTED_VALUE"""),"#N/A")</f>
        <v>#N/A</v>
      </c>
      <c r="AU1865" s="6" t="str">
        <f ca="1">IFERROR(__xludf.DUMMYFUNCTION("""COMPUTED_VALUE"""),"FALSE")</f>
        <v>FALSE</v>
      </c>
      <c r="AZ1865" s="9"/>
      <c r="BC1865" s="9"/>
      <c r="BF1865" s="9"/>
      <c r="BI1865" s="9"/>
    </row>
    <row r="1866" spans="18:61">
      <c r="R1866" s="6"/>
      <c r="AS1866" s="15"/>
      <c r="AT1866" s="6" t="str">
        <f ca="1">IFERROR(__xludf.DUMMYFUNCTION("""COMPUTED_VALUE"""),"#N/A")</f>
        <v>#N/A</v>
      </c>
      <c r="AU1866" s="6" t="str">
        <f ca="1">IFERROR(__xludf.DUMMYFUNCTION("""COMPUTED_VALUE"""),"FALSE")</f>
        <v>FALSE</v>
      </c>
      <c r="AZ1866" s="9"/>
      <c r="BC1866" s="9"/>
      <c r="BF1866" s="9"/>
      <c r="BI1866" s="9"/>
    </row>
    <row r="1867" spans="18:61">
      <c r="R1867" s="6"/>
      <c r="AS1867" s="15"/>
      <c r="AT1867" s="6" t="str">
        <f ca="1">IFERROR(__xludf.DUMMYFUNCTION("""COMPUTED_VALUE"""),"#N/A")</f>
        <v>#N/A</v>
      </c>
      <c r="AU1867" s="6" t="str">
        <f ca="1">IFERROR(__xludf.DUMMYFUNCTION("""COMPUTED_VALUE"""),"FALSE")</f>
        <v>FALSE</v>
      </c>
      <c r="AZ1867" s="9"/>
      <c r="BC1867" s="9"/>
      <c r="BF1867" s="9"/>
      <c r="BI1867" s="9"/>
    </row>
    <row r="1868" spans="18:61">
      <c r="R1868" s="6"/>
      <c r="AS1868" s="15"/>
      <c r="AT1868" s="6" t="str">
        <f ca="1">IFERROR(__xludf.DUMMYFUNCTION("""COMPUTED_VALUE"""),"#N/A")</f>
        <v>#N/A</v>
      </c>
      <c r="AU1868" s="6" t="str">
        <f ca="1">IFERROR(__xludf.DUMMYFUNCTION("""COMPUTED_VALUE"""),"FALSE")</f>
        <v>FALSE</v>
      </c>
      <c r="AZ1868" s="9"/>
      <c r="BC1868" s="9"/>
      <c r="BF1868" s="9"/>
      <c r="BI1868" s="9"/>
    </row>
    <row r="1869" spans="18:61">
      <c r="R1869" s="6"/>
      <c r="AS1869" s="15"/>
      <c r="AT1869" s="6" t="str">
        <f ca="1">IFERROR(__xludf.DUMMYFUNCTION("""COMPUTED_VALUE"""),"#N/A")</f>
        <v>#N/A</v>
      </c>
      <c r="AU1869" s="6" t="str">
        <f ca="1">IFERROR(__xludf.DUMMYFUNCTION("""COMPUTED_VALUE"""),"FALSE")</f>
        <v>FALSE</v>
      </c>
      <c r="AZ1869" s="9"/>
      <c r="BC1869" s="9"/>
      <c r="BF1869" s="9"/>
      <c r="BI1869" s="9"/>
    </row>
    <row r="1870" spans="18:61">
      <c r="R1870" s="6"/>
      <c r="AS1870" s="15"/>
      <c r="AT1870" s="6" t="str">
        <f ca="1">IFERROR(__xludf.DUMMYFUNCTION("""COMPUTED_VALUE"""),"#N/A")</f>
        <v>#N/A</v>
      </c>
      <c r="AU1870" s="6" t="str">
        <f ca="1">IFERROR(__xludf.DUMMYFUNCTION("""COMPUTED_VALUE"""),"FALSE")</f>
        <v>FALSE</v>
      </c>
      <c r="AZ1870" s="9"/>
      <c r="BC1870" s="9"/>
      <c r="BF1870" s="9"/>
      <c r="BI1870" s="9"/>
    </row>
    <row r="1871" spans="18:61">
      <c r="R1871" s="6"/>
      <c r="AS1871" s="15"/>
      <c r="AT1871" s="6" t="str">
        <f ca="1">IFERROR(__xludf.DUMMYFUNCTION("""COMPUTED_VALUE"""),"#N/A")</f>
        <v>#N/A</v>
      </c>
      <c r="AU1871" s="6" t="str">
        <f ca="1">IFERROR(__xludf.DUMMYFUNCTION("""COMPUTED_VALUE"""),"FALSE")</f>
        <v>FALSE</v>
      </c>
      <c r="AZ1871" s="9"/>
      <c r="BC1871" s="9"/>
      <c r="BF1871" s="9"/>
      <c r="BI1871" s="9"/>
    </row>
    <row r="1872" spans="18:61">
      <c r="R1872" s="6"/>
      <c r="AS1872" s="15"/>
      <c r="AT1872" s="6" t="str">
        <f ca="1">IFERROR(__xludf.DUMMYFUNCTION("""COMPUTED_VALUE"""),"#N/A")</f>
        <v>#N/A</v>
      </c>
      <c r="AU1872" s="6" t="str">
        <f ca="1">IFERROR(__xludf.DUMMYFUNCTION("""COMPUTED_VALUE"""),"FALSE")</f>
        <v>FALSE</v>
      </c>
      <c r="AZ1872" s="9"/>
      <c r="BC1872" s="9"/>
      <c r="BF1872" s="9"/>
      <c r="BI1872" s="9"/>
    </row>
    <row r="1873" spans="18:61">
      <c r="R1873" s="6"/>
      <c r="AS1873" s="15"/>
      <c r="AT1873" s="6" t="str">
        <f ca="1">IFERROR(__xludf.DUMMYFUNCTION("""COMPUTED_VALUE"""),"#N/A")</f>
        <v>#N/A</v>
      </c>
      <c r="AU1873" s="6" t="str">
        <f ca="1">IFERROR(__xludf.DUMMYFUNCTION("""COMPUTED_VALUE"""),"FALSE")</f>
        <v>FALSE</v>
      </c>
      <c r="AZ1873" s="9"/>
      <c r="BC1873" s="9"/>
      <c r="BF1873" s="9"/>
      <c r="BI1873" s="9"/>
    </row>
    <row r="1874" spans="18:61">
      <c r="R1874" s="6"/>
      <c r="AS1874" s="15"/>
      <c r="AT1874" s="6" t="str">
        <f ca="1">IFERROR(__xludf.DUMMYFUNCTION("""COMPUTED_VALUE"""),"#N/A")</f>
        <v>#N/A</v>
      </c>
      <c r="AU1874" s="6" t="str">
        <f ca="1">IFERROR(__xludf.DUMMYFUNCTION("""COMPUTED_VALUE"""),"FALSE")</f>
        <v>FALSE</v>
      </c>
      <c r="AZ1874" s="9"/>
      <c r="BC1874" s="9"/>
      <c r="BF1874" s="9"/>
      <c r="BI1874" s="9"/>
    </row>
    <row r="1875" spans="18:61">
      <c r="R1875" s="6"/>
      <c r="AS1875" s="15"/>
      <c r="AT1875" s="6" t="str">
        <f ca="1">IFERROR(__xludf.DUMMYFUNCTION("""COMPUTED_VALUE"""),"#N/A")</f>
        <v>#N/A</v>
      </c>
      <c r="AU1875" s="6" t="str">
        <f ca="1">IFERROR(__xludf.DUMMYFUNCTION("""COMPUTED_VALUE"""),"FALSE")</f>
        <v>FALSE</v>
      </c>
      <c r="AZ1875" s="9"/>
      <c r="BC1875" s="9"/>
      <c r="BF1875" s="9"/>
      <c r="BI1875" s="9"/>
    </row>
    <row r="1876" spans="18:61">
      <c r="R1876" s="6"/>
      <c r="AS1876" s="15"/>
      <c r="AT1876" s="6" t="str">
        <f ca="1">IFERROR(__xludf.DUMMYFUNCTION("""COMPUTED_VALUE"""),"#N/A")</f>
        <v>#N/A</v>
      </c>
      <c r="AU1876" s="6" t="str">
        <f ca="1">IFERROR(__xludf.DUMMYFUNCTION("""COMPUTED_VALUE"""),"FALSE")</f>
        <v>FALSE</v>
      </c>
      <c r="AZ1876" s="9"/>
      <c r="BC1876" s="9"/>
      <c r="BF1876" s="9"/>
      <c r="BI1876" s="9"/>
    </row>
    <row r="1877" spans="18:61">
      <c r="R1877" s="6"/>
      <c r="AS1877" s="15"/>
      <c r="AT1877" s="6" t="str">
        <f ca="1">IFERROR(__xludf.DUMMYFUNCTION("""COMPUTED_VALUE"""),"#N/A")</f>
        <v>#N/A</v>
      </c>
      <c r="AU1877" s="6" t="str">
        <f ca="1">IFERROR(__xludf.DUMMYFUNCTION("""COMPUTED_VALUE"""),"FALSE")</f>
        <v>FALSE</v>
      </c>
      <c r="AZ1877" s="9"/>
      <c r="BC1877" s="9"/>
      <c r="BF1877" s="9"/>
      <c r="BI1877" s="9"/>
    </row>
    <row r="1878" spans="18:61">
      <c r="R1878" s="6"/>
      <c r="AS1878" s="15"/>
      <c r="AT1878" s="6" t="str">
        <f ca="1">IFERROR(__xludf.DUMMYFUNCTION("""COMPUTED_VALUE"""),"#N/A")</f>
        <v>#N/A</v>
      </c>
      <c r="AU1878" s="6" t="str">
        <f ca="1">IFERROR(__xludf.DUMMYFUNCTION("""COMPUTED_VALUE"""),"FALSE")</f>
        <v>FALSE</v>
      </c>
      <c r="AZ1878" s="9"/>
      <c r="BC1878" s="9"/>
      <c r="BF1878" s="9"/>
      <c r="BI1878" s="9"/>
    </row>
    <row r="1879" spans="18:61">
      <c r="R1879" s="6"/>
      <c r="AS1879" s="15"/>
      <c r="AT1879" s="6" t="str">
        <f ca="1">IFERROR(__xludf.DUMMYFUNCTION("""COMPUTED_VALUE"""),"#N/A")</f>
        <v>#N/A</v>
      </c>
      <c r="AU1879" s="6" t="str">
        <f ca="1">IFERROR(__xludf.DUMMYFUNCTION("""COMPUTED_VALUE"""),"FALSE")</f>
        <v>FALSE</v>
      </c>
      <c r="AZ1879" s="9"/>
      <c r="BC1879" s="9"/>
      <c r="BF1879" s="9"/>
      <c r="BI1879" s="9"/>
    </row>
    <row r="1880" spans="18:61">
      <c r="R1880" s="6"/>
      <c r="AS1880" s="15"/>
      <c r="AT1880" s="6" t="str">
        <f ca="1">IFERROR(__xludf.DUMMYFUNCTION("""COMPUTED_VALUE"""),"#N/A")</f>
        <v>#N/A</v>
      </c>
      <c r="AU1880" s="6" t="str">
        <f ca="1">IFERROR(__xludf.DUMMYFUNCTION("""COMPUTED_VALUE"""),"FALSE")</f>
        <v>FALSE</v>
      </c>
      <c r="AZ1880" s="9"/>
      <c r="BC1880" s="9"/>
      <c r="BF1880" s="9"/>
      <c r="BI1880" s="9"/>
    </row>
    <row r="1881" spans="18:61">
      <c r="R1881" s="6"/>
      <c r="AS1881" s="15"/>
      <c r="AT1881" s="6" t="str">
        <f ca="1">IFERROR(__xludf.DUMMYFUNCTION("""COMPUTED_VALUE"""),"#N/A")</f>
        <v>#N/A</v>
      </c>
      <c r="AU1881" s="6" t="str">
        <f ca="1">IFERROR(__xludf.DUMMYFUNCTION("""COMPUTED_VALUE"""),"FALSE")</f>
        <v>FALSE</v>
      </c>
      <c r="AZ1881" s="9"/>
      <c r="BC1881" s="9"/>
      <c r="BF1881" s="9"/>
      <c r="BI1881" s="9"/>
    </row>
    <row r="1882" spans="18:61">
      <c r="R1882" s="6"/>
      <c r="AS1882" s="15"/>
      <c r="AT1882" s="6" t="str">
        <f ca="1">IFERROR(__xludf.DUMMYFUNCTION("""COMPUTED_VALUE"""),"#N/A")</f>
        <v>#N/A</v>
      </c>
      <c r="AU1882" s="6" t="str">
        <f ca="1">IFERROR(__xludf.DUMMYFUNCTION("""COMPUTED_VALUE"""),"FALSE")</f>
        <v>FALSE</v>
      </c>
      <c r="AZ1882" s="9"/>
      <c r="BC1882" s="9"/>
      <c r="BF1882" s="9"/>
      <c r="BI1882" s="9"/>
    </row>
    <row r="1883" spans="18:61">
      <c r="R1883" s="6"/>
      <c r="AS1883" s="15"/>
      <c r="AT1883" s="6" t="str">
        <f ca="1">IFERROR(__xludf.DUMMYFUNCTION("""COMPUTED_VALUE"""),"#N/A")</f>
        <v>#N/A</v>
      </c>
      <c r="AU1883" s="6" t="str">
        <f ca="1">IFERROR(__xludf.DUMMYFUNCTION("""COMPUTED_VALUE"""),"FALSE")</f>
        <v>FALSE</v>
      </c>
      <c r="AZ1883" s="9"/>
      <c r="BC1883" s="9"/>
      <c r="BF1883" s="9"/>
      <c r="BI1883" s="9"/>
    </row>
    <row r="1884" spans="18:61">
      <c r="R1884" s="6"/>
      <c r="AS1884" s="15"/>
      <c r="AT1884" s="6" t="str">
        <f ca="1">IFERROR(__xludf.DUMMYFUNCTION("""COMPUTED_VALUE"""),"#N/A")</f>
        <v>#N/A</v>
      </c>
      <c r="AU1884" s="6" t="str">
        <f ca="1">IFERROR(__xludf.DUMMYFUNCTION("""COMPUTED_VALUE"""),"FALSE")</f>
        <v>FALSE</v>
      </c>
      <c r="AZ1884" s="9"/>
      <c r="BC1884" s="9"/>
      <c r="BF1884" s="9"/>
      <c r="BI1884" s="9"/>
    </row>
    <row r="1885" spans="18:61">
      <c r="R1885" s="6"/>
      <c r="AS1885" s="15"/>
      <c r="AT1885" s="6" t="str">
        <f ca="1">IFERROR(__xludf.DUMMYFUNCTION("""COMPUTED_VALUE"""),"#N/A")</f>
        <v>#N/A</v>
      </c>
      <c r="AU1885" s="6" t="str">
        <f ca="1">IFERROR(__xludf.DUMMYFUNCTION("""COMPUTED_VALUE"""),"FALSE")</f>
        <v>FALSE</v>
      </c>
      <c r="AZ1885" s="9"/>
      <c r="BC1885" s="9"/>
      <c r="BF1885" s="9"/>
      <c r="BI1885" s="9"/>
    </row>
    <row r="1886" spans="18:61">
      <c r="R1886" s="6"/>
      <c r="AS1886" s="15"/>
      <c r="AT1886" s="6" t="str">
        <f ca="1">IFERROR(__xludf.DUMMYFUNCTION("""COMPUTED_VALUE"""),"#N/A")</f>
        <v>#N/A</v>
      </c>
      <c r="AU1886" s="6" t="str">
        <f ca="1">IFERROR(__xludf.DUMMYFUNCTION("""COMPUTED_VALUE"""),"FALSE")</f>
        <v>FALSE</v>
      </c>
      <c r="AZ1886" s="9"/>
      <c r="BC1886" s="9"/>
      <c r="BF1886" s="9"/>
      <c r="BI1886" s="9"/>
    </row>
    <row r="1887" spans="18:61">
      <c r="R1887" s="6"/>
      <c r="AS1887" s="15"/>
      <c r="AT1887" s="6" t="str">
        <f ca="1">IFERROR(__xludf.DUMMYFUNCTION("""COMPUTED_VALUE"""),"#N/A")</f>
        <v>#N/A</v>
      </c>
      <c r="AU1887" s="6" t="str">
        <f ca="1">IFERROR(__xludf.DUMMYFUNCTION("""COMPUTED_VALUE"""),"FALSE")</f>
        <v>FALSE</v>
      </c>
      <c r="AZ1887" s="9"/>
      <c r="BC1887" s="9"/>
      <c r="BF1887" s="9"/>
      <c r="BI1887" s="9"/>
    </row>
    <row r="1888" spans="18:61">
      <c r="R1888" s="6"/>
      <c r="AS1888" s="15"/>
      <c r="AT1888" s="6" t="str">
        <f ca="1">IFERROR(__xludf.DUMMYFUNCTION("""COMPUTED_VALUE"""),"#N/A")</f>
        <v>#N/A</v>
      </c>
      <c r="AU1888" s="6" t="str">
        <f ca="1">IFERROR(__xludf.DUMMYFUNCTION("""COMPUTED_VALUE"""),"FALSE")</f>
        <v>FALSE</v>
      </c>
      <c r="AZ1888" s="9"/>
      <c r="BC1888" s="9"/>
      <c r="BF1888" s="9"/>
      <c r="BI1888" s="9"/>
    </row>
    <row r="1889" spans="18:61">
      <c r="R1889" s="6"/>
      <c r="AS1889" s="15"/>
      <c r="AT1889" s="6" t="str">
        <f ca="1">IFERROR(__xludf.DUMMYFUNCTION("""COMPUTED_VALUE"""),"#N/A")</f>
        <v>#N/A</v>
      </c>
      <c r="AU1889" s="6" t="str">
        <f ca="1">IFERROR(__xludf.DUMMYFUNCTION("""COMPUTED_VALUE"""),"FALSE")</f>
        <v>FALSE</v>
      </c>
      <c r="AZ1889" s="9"/>
      <c r="BC1889" s="9"/>
      <c r="BF1889" s="9"/>
      <c r="BI1889" s="9"/>
    </row>
    <row r="1890" spans="18:61">
      <c r="R1890" s="6"/>
      <c r="AS1890" s="15"/>
      <c r="AT1890" s="6" t="str">
        <f ca="1">IFERROR(__xludf.DUMMYFUNCTION("""COMPUTED_VALUE"""),"#N/A")</f>
        <v>#N/A</v>
      </c>
      <c r="AU1890" s="6" t="str">
        <f ca="1">IFERROR(__xludf.DUMMYFUNCTION("""COMPUTED_VALUE"""),"FALSE")</f>
        <v>FALSE</v>
      </c>
      <c r="AZ1890" s="9"/>
      <c r="BC1890" s="9"/>
      <c r="BF1890" s="9"/>
      <c r="BI1890" s="9"/>
    </row>
    <row r="1891" spans="18:61">
      <c r="R1891" s="6"/>
      <c r="AS1891" s="15"/>
      <c r="AT1891" s="6" t="str">
        <f ca="1">IFERROR(__xludf.DUMMYFUNCTION("""COMPUTED_VALUE"""),"#N/A")</f>
        <v>#N/A</v>
      </c>
      <c r="AU1891" s="6" t="str">
        <f ca="1">IFERROR(__xludf.DUMMYFUNCTION("""COMPUTED_VALUE"""),"FALSE")</f>
        <v>FALSE</v>
      </c>
      <c r="AZ1891" s="9"/>
      <c r="BC1891" s="9"/>
      <c r="BF1891" s="9"/>
      <c r="BI1891" s="9"/>
    </row>
    <row r="1892" spans="18:61">
      <c r="R1892" s="6"/>
      <c r="AS1892" s="15"/>
      <c r="AT1892" s="6" t="str">
        <f ca="1">IFERROR(__xludf.DUMMYFUNCTION("""COMPUTED_VALUE"""),"#N/A")</f>
        <v>#N/A</v>
      </c>
      <c r="AU1892" s="6" t="str">
        <f ca="1">IFERROR(__xludf.DUMMYFUNCTION("""COMPUTED_VALUE"""),"FALSE")</f>
        <v>FALSE</v>
      </c>
      <c r="AZ1892" s="9"/>
      <c r="BC1892" s="9"/>
      <c r="BF1892" s="9"/>
      <c r="BI1892" s="9"/>
    </row>
    <row r="1893" spans="18:61">
      <c r="R1893" s="6"/>
      <c r="AS1893" s="15"/>
      <c r="AT1893" s="6" t="str">
        <f ca="1">IFERROR(__xludf.DUMMYFUNCTION("""COMPUTED_VALUE"""),"#N/A")</f>
        <v>#N/A</v>
      </c>
      <c r="AU1893" s="6" t="str">
        <f ca="1">IFERROR(__xludf.DUMMYFUNCTION("""COMPUTED_VALUE"""),"FALSE")</f>
        <v>FALSE</v>
      </c>
      <c r="AZ1893" s="9"/>
      <c r="BC1893" s="9"/>
      <c r="BF1893" s="9"/>
      <c r="BI1893" s="9"/>
    </row>
    <row r="1894" spans="18:61">
      <c r="R1894" s="6"/>
      <c r="AS1894" s="15"/>
      <c r="AT1894" s="6" t="str">
        <f ca="1">IFERROR(__xludf.DUMMYFUNCTION("""COMPUTED_VALUE"""),"#N/A")</f>
        <v>#N/A</v>
      </c>
      <c r="AU1894" s="6" t="str">
        <f ca="1">IFERROR(__xludf.DUMMYFUNCTION("""COMPUTED_VALUE"""),"FALSE")</f>
        <v>FALSE</v>
      </c>
      <c r="AZ1894" s="9"/>
      <c r="BC1894" s="9"/>
      <c r="BF1894" s="9"/>
      <c r="BI1894" s="9"/>
    </row>
    <row r="1895" spans="18:61">
      <c r="R1895" s="6"/>
      <c r="AS1895" s="15"/>
      <c r="AT1895" s="6" t="str">
        <f ca="1">IFERROR(__xludf.DUMMYFUNCTION("""COMPUTED_VALUE"""),"#N/A")</f>
        <v>#N/A</v>
      </c>
      <c r="AU1895" s="6" t="str">
        <f ca="1">IFERROR(__xludf.DUMMYFUNCTION("""COMPUTED_VALUE"""),"FALSE")</f>
        <v>FALSE</v>
      </c>
      <c r="AZ1895" s="9"/>
      <c r="BC1895" s="9"/>
      <c r="BF1895" s="9"/>
      <c r="BI1895" s="9"/>
    </row>
    <row r="1896" spans="18:61">
      <c r="R1896" s="6"/>
      <c r="AS1896" s="15"/>
      <c r="AT1896" s="6" t="str">
        <f ca="1">IFERROR(__xludf.DUMMYFUNCTION("""COMPUTED_VALUE"""),"#N/A")</f>
        <v>#N/A</v>
      </c>
      <c r="AU1896" s="6" t="str">
        <f ca="1">IFERROR(__xludf.DUMMYFUNCTION("""COMPUTED_VALUE"""),"FALSE")</f>
        <v>FALSE</v>
      </c>
      <c r="AZ1896" s="9"/>
      <c r="BC1896" s="9"/>
      <c r="BF1896" s="9"/>
      <c r="BI1896" s="9"/>
    </row>
    <row r="1897" spans="18:61">
      <c r="R1897" s="6"/>
      <c r="AS1897" s="15"/>
      <c r="AT1897" s="6" t="str">
        <f ca="1">IFERROR(__xludf.DUMMYFUNCTION("""COMPUTED_VALUE"""),"#N/A")</f>
        <v>#N/A</v>
      </c>
      <c r="AU1897" s="6" t="str">
        <f ca="1">IFERROR(__xludf.DUMMYFUNCTION("""COMPUTED_VALUE"""),"FALSE")</f>
        <v>FALSE</v>
      </c>
      <c r="AZ1897" s="9"/>
      <c r="BC1897" s="9"/>
      <c r="BF1897" s="9"/>
      <c r="BI1897" s="9"/>
    </row>
    <row r="1898" spans="18:61">
      <c r="R1898" s="6"/>
      <c r="AS1898" s="15"/>
      <c r="AT1898" s="6" t="str">
        <f ca="1">IFERROR(__xludf.DUMMYFUNCTION("""COMPUTED_VALUE"""),"#N/A")</f>
        <v>#N/A</v>
      </c>
      <c r="AU1898" s="6" t="str">
        <f ca="1">IFERROR(__xludf.DUMMYFUNCTION("""COMPUTED_VALUE"""),"FALSE")</f>
        <v>FALSE</v>
      </c>
      <c r="AZ1898" s="9"/>
      <c r="BC1898" s="9"/>
      <c r="BF1898" s="9"/>
      <c r="BI1898" s="9"/>
    </row>
    <row r="1899" spans="18:61">
      <c r="R1899" s="6"/>
      <c r="AS1899" s="15"/>
      <c r="AT1899" s="6" t="str">
        <f ca="1">IFERROR(__xludf.DUMMYFUNCTION("""COMPUTED_VALUE"""),"#N/A")</f>
        <v>#N/A</v>
      </c>
      <c r="AU1899" s="6" t="str">
        <f ca="1">IFERROR(__xludf.DUMMYFUNCTION("""COMPUTED_VALUE"""),"FALSE")</f>
        <v>FALSE</v>
      </c>
      <c r="AZ1899" s="9"/>
      <c r="BC1899" s="9"/>
      <c r="BF1899" s="9"/>
      <c r="BI1899" s="9"/>
    </row>
    <row r="1900" spans="18:61">
      <c r="R1900" s="6"/>
      <c r="AS1900" s="15"/>
      <c r="AT1900" s="6" t="str">
        <f ca="1">IFERROR(__xludf.DUMMYFUNCTION("""COMPUTED_VALUE"""),"#N/A")</f>
        <v>#N/A</v>
      </c>
      <c r="AU1900" s="6" t="str">
        <f ca="1">IFERROR(__xludf.DUMMYFUNCTION("""COMPUTED_VALUE"""),"FALSE")</f>
        <v>FALSE</v>
      </c>
      <c r="AZ1900" s="9"/>
      <c r="BC1900" s="9"/>
      <c r="BF1900" s="9"/>
      <c r="BI1900" s="9"/>
    </row>
    <row r="1901" spans="18:61">
      <c r="R1901" s="6"/>
      <c r="AS1901" s="15"/>
      <c r="AT1901" s="6" t="str">
        <f ca="1">IFERROR(__xludf.DUMMYFUNCTION("""COMPUTED_VALUE"""),"#N/A")</f>
        <v>#N/A</v>
      </c>
      <c r="AU1901" s="6" t="str">
        <f ca="1">IFERROR(__xludf.DUMMYFUNCTION("""COMPUTED_VALUE"""),"FALSE")</f>
        <v>FALSE</v>
      </c>
      <c r="AZ1901" s="9"/>
      <c r="BC1901" s="9"/>
      <c r="BF1901" s="9"/>
      <c r="BI1901" s="9"/>
    </row>
    <row r="1902" spans="18:61">
      <c r="R1902" s="6"/>
      <c r="AS1902" s="15"/>
      <c r="AT1902" s="6" t="str">
        <f ca="1">IFERROR(__xludf.DUMMYFUNCTION("""COMPUTED_VALUE"""),"#N/A")</f>
        <v>#N/A</v>
      </c>
      <c r="AU1902" s="6" t="str">
        <f ca="1">IFERROR(__xludf.DUMMYFUNCTION("""COMPUTED_VALUE"""),"FALSE")</f>
        <v>FALSE</v>
      </c>
      <c r="AZ1902" s="9"/>
      <c r="BC1902" s="9"/>
      <c r="BF1902" s="9"/>
      <c r="BI1902" s="9"/>
    </row>
    <row r="1903" spans="18:61">
      <c r="R1903" s="6"/>
      <c r="AS1903" s="15"/>
      <c r="AT1903" s="6" t="str">
        <f ca="1">IFERROR(__xludf.DUMMYFUNCTION("""COMPUTED_VALUE"""),"#N/A")</f>
        <v>#N/A</v>
      </c>
      <c r="AU1903" s="6" t="str">
        <f ca="1">IFERROR(__xludf.DUMMYFUNCTION("""COMPUTED_VALUE"""),"FALSE")</f>
        <v>FALSE</v>
      </c>
      <c r="AZ1903" s="9"/>
      <c r="BC1903" s="9"/>
      <c r="BF1903" s="9"/>
      <c r="BI1903" s="9"/>
    </row>
    <row r="1904" spans="18:61">
      <c r="R1904" s="6"/>
      <c r="AS1904" s="15"/>
      <c r="AT1904" s="6" t="str">
        <f ca="1">IFERROR(__xludf.DUMMYFUNCTION("""COMPUTED_VALUE"""),"#N/A")</f>
        <v>#N/A</v>
      </c>
      <c r="AU1904" s="6" t="str">
        <f ca="1">IFERROR(__xludf.DUMMYFUNCTION("""COMPUTED_VALUE"""),"FALSE")</f>
        <v>FALSE</v>
      </c>
      <c r="AZ1904" s="9"/>
      <c r="BC1904" s="9"/>
      <c r="BF1904" s="9"/>
      <c r="BI1904" s="9"/>
    </row>
    <row r="1905" spans="18:61">
      <c r="R1905" s="6"/>
      <c r="AS1905" s="15"/>
      <c r="AT1905" s="6" t="str">
        <f ca="1">IFERROR(__xludf.DUMMYFUNCTION("""COMPUTED_VALUE"""),"#N/A")</f>
        <v>#N/A</v>
      </c>
      <c r="AU1905" s="6" t="str">
        <f ca="1">IFERROR(__xludf.DUMMYFUNCTION("""COMPUTED_VALUE"""),"FALSE")</f>
        <v>FALSE</v>
      </c>
      <c r="AZ1905" s="9"/>
      <c r="BC1905" s="9"/>
      <c r="BF1905" s="9"/>
      <c r="BI1905" s="9"/>
    </row>
    <row r="1906" spans="18:61">
      <c r="R1906" s="6"/>
      <c r="AS1906" s="15"/>
      <c r="AT1906" s="6" t="str">
        <f ca="1">IFERROR(__xludf.DUMMYFUNCTION("""COMPUTED_VALUE"""),"#N/A")</f>
        <v>#N/A</v>
      </c>
      <c r="AU1906" s="6" t="str">
        <f ca="1">IFERROR(__xludf.DUMMYFUNCTION("""COMPUTED_VALUE"""),"FALSE")</f>
        <v>FALSE</v>
      </c>
      <c r="AZ1906" s="9"/>
      <c r="BC1906" s="9"/>
      <c r="BF1906" s="9"/>
      <c r="BI1906" s="9"/>
    </row>
    <row r="1907" spans="18:61">
      <c r="R1907" s="6"/>
      <c r="AS1907" s="15"/>
      <c r="AT1907" s="6" t="str">
        <f ca="1">IFERROR(__xludf.DUMMYFUNCTION("""COMPUTED_VALUE"""),"#N/A")</f>
        <v>#N/A</v>
      </c>
      <c r="AU1907" s="6" t="str">
        <f ca="1">IFERROR(__xludf.DUMMYFUNCTION("""COMPUTED_VALUE"""),"FALSE")</f>
        <v>FALSE</v>
      </c>
      <c r="AZ1907" s="9"/>
      <c r="BC1907" s="9"/>
      <c r="BF1907" s="9"/>
      <c r="BI1907" s="9"/>
    </row>
    <row r="1908" spans="18:61">
      <c r="R1908" s="6"/>
      <c r="AS1908" s="15"/>
      <c r="AT1908" s="6" t="str">
        <f ca="1">IFERROR(__xludf.DUMMYFUNCTION("""COMPUTED_VALUE"""),"#N/A")</f>
        <v>#N/A</v>
      </c>
      <c r="AU1908" s="6" t="str">
        <f ca="1">IFERROR(__xludf.DUMMYFUNCTION("""COMPUTED_VALUE"""),"FALSE")</f>
        <v>FALSE</v>
      </c>
      <c r="AZ1908" s="9"/>
      <c r="BC1908" s="9"/>
      <c r="BF1908" s="9"/>
      <c r="BI1908" s="9"/>
    </row>
    <row r="1909" spans="18:61">
      <c r="R1909" s="6"/>
      <c r="AS1909" s="15"/>
      <c r="AT1909" s="6" t="str">
        <f ca="1">IFERROR(__xludf.DUMMYFUNCTION("""COMPUTED_VALUE"""),"#N/A")</f>
        <v>#N/A</v>
      </c>
      <c r="AU1909" s="6" t="str">
        <f ca="1">IFERROR(__xludf.DUMMYFUNCTION("""COMPUTED_VALUE"""),"FALSE")</f>
        <v>FALSE</v>
      </c>
      <c r="AZ1909" s="9"/>
      <c r="BC1909" s="9"/>
      <c r="BF1909" s="9"/>
      <c r="BI1909" s="9"/>
    </row>
    <row r="1910" spans="18:61">
      <c r="R1910" s="6"/>
      <c r="AS1910" s="15"/>
      <c r="AT1910" s="6" t="str">
        <f ca="1">IFERROR(__xludf.DUMMYFUNCTION("""COMPUTED_VALUE"""),"#N/A")</f>
        <v>#N/A</v>
      </c>
      <c r="AU1910" s="6" t="str">
        <f ca="1">IFERROR(__xludf.DUMMYFUNCTION("""COMPUTED_VALUE"""),"FALSE")</f>
        <v>FALSE</v>
      </c>
      <c r="AZ1910" s="9"/>
      <c r="BC1910" s="9"/>
      <c r="BF1910" s="9"/>
      <c r="BI1910" s="9"/>
    </row>
    <row r="1911" spans="18:61">
      <c r="R1911" s="6"/>
      <c r="AS1911" s="15"/>
      <c r="AT1911" s="6" t="str">
        <f ca="1">IFERROR(__xludf.DUMMYFUNCTION("""COMPUTED_VALUE"""),"#N/A")</f>
        <v>#N/A</v>
      </c>
      <c r="AU1911" s="6" t="str">
        <f ca="1">IFERROR(__xludf.DUMMYFUNCTION("""COMPUTED_VALUE"""),"FALSE")</f>
        <v>FALSE</v>
      </c>
      <c r="AZ1911" s="9"/>
      <c r="BC1911" s="9"/>
      <c r="BF1911" s="9"/>
      <c r="BI1911" s="9"/>
    </row>
    <row r="1912" spans="18:61">
      <c r="R1912" s="6"/>
      <c r="AS1912" s="15"/>
      <c r="AT1912" s="6" t="str">
        <f ca="1">IFERROR(__xludf.DUMMYFUNCTION("""COMPUTED_VALUE"""),"#N/A")</f>
        <v>#N/A</v>
      </c>
      <c r="AU1912" s="6" t="str">
        <f ca="1">IFERROR(__xludf.DUMMYFUNCTION("""COMPUTED_VALUE"""),"FALSE")</f>
        <v>FALSE</v>
      </c>
      <c r="AZ1912" s="9"/>
      <c r="BC1912" s="9"/>
      <c r="BF1912" s="9"/>
      <c r="BI1912" s="9"/>
    </row>
    <row r="1913" spans="18:61">
      <c r="R1913" s="6"/>
      <c r="AS1913" s="15"/>
      <c r="AT1913" s="6" t="str">
        <f ca="1">IFERROR(__xludf.DUMMYFUNCTION("""COMPUTED_VALUE"""),"#N/A")</f>
        <v>#N/A</v>
      </c>
      <c r="AU1913" s="6" t="str">
        <f ca="1">IFERROR(__xludf.DUMMYFUNCTION("""COMPUTED_VALUE"""),"FALSE")</f>
        <v>FALSE</v>
      </c>
      <c r="AZ1913" s="9"/>
      <c r="BC1913" s="9"/>
      <c r="BF1913" s="9"/>
      <c r="BI1913" s="9"/>
    </row>
    <row r="1914" spans="18:61">
      <c r="R1914" s="6"/>
      <c r="AS1914" s="15"/>
      <c r="AT1914" s="6" t="str">
        <f ca="1">IFERROR(__xludf.DUMMYFUNCTION("""COMPUTED_VALUE"""),"#N/A")</f>
        <v>#N/A</v>
      </c>
      <c r="AU1914" s="6" t="str">
        <f ca="1">IFERROR(__xludf.DUMMYFUNCTION("""COMPUTED_VALUE"""),"FALSE")</f>
        <v>FALSE</v>
      </c>
      <c r="AZ1914" s="9"/>
      <c r="BC1914" s="9"/>
      <c r="BF1914" s="9"/>
      <c r="BI1914" s="9"/>
    </row>
    <row r="1915" spans="18:61">
      <c r="R1915" s="6"/>
      <c r="AS1915" s="15"/>
      <c r="AT1915" s="6" t="str">
        <f ca="1">IFERROR(__xludf.DUMMYFUNCTION("""COMPUTED_VALUE"""),"#N/A")</f>
        <v>#N/A</v>
      </c>
      <c r="AU1915" s="6" t="str">
        <f ca="1">IFERROR(__xludf.DUMMYFUNCTION("""COMPUTED_VALUE"""),"FALSE")</f>
        <v>FALSE</v>
      </c>
      <c r="AZ1915" s="9"/>
      <c r="BC1915" s="9"/>
      <c r="BF1915" s="9"/>
      <c r="BI1915" s="9"/>
    </row>
    <row r="1916" spans="18:61">
      <c r="R1916" s="6"/>
      <c r="AS1916" s="15"/>
      <c r="AT1916" s="6" t="str">
        <f ca="1">IFERROR(__xludf.DUMMYFUNCTION("""COMPUTED_VALUE"""),"#N/A")</f>
        <v>#N/A</v>
      </c>
      <c r="AU1916" s="6" t="str">
        <f ca="1">IFERROR(__xludf.DUMMYFUNCTION("""COMPUTED_VALUE"""),"FALSE")</f>
        <v>FALSE</v>
      </c>
      <c r="AZ1916" s="9"/>
      <c r="BC1916" s="9"/>
      <c r="BF1916" s="9"/>
      <c r="BI1916" s="9"/>
    </row>
    <row r="1917" spans="18:61">
      <c r="R1917" s="6"/>
      <c r="AS1917" s="15"/>
      <c r="AT1917" s="6" t="str">
        <f ca="1">IFERROR(__xludf.DUMMYFUNCTION("""COMPUTED_VALUE"""),"#N/A")</f>
        <v>#N/A</v>
      </c>
      <c r="AU1917" s="6" t="str">
        <f ca="1">IFERROR(__xludf.DUMMYFUNCTION("""COMPUTED_VALUE"""),"FALSE")</f>
        <v>FALSE</v>
      </c>
      <c r="AZ1917" s="9"/>
      <c r="BC1917" s="9"/>
      <c r="BF1917" s="9"/>
      <c r="BI1917" s="9"/>
    </row>
    <row r="1918" spans="18:61">
      <c r="R1918" s="6"/>
      <c r="AS1918" s="15"/>
      <c r="AT1918" s="6" t="str">
        <f ca="1">IFERROR(__xludf.DUMMYFUNCTION("""COMPUTED_VALUE"""),"#N/A")</f>
        <v>#N/A</v>
      </c>
      <c r="AU1918" s="6" t="str">
        <f ca="1">IFERROR(__xludf.DUMMYFUNCTION("""COMPUTED_VALUE"""),"FALSE")</f>
        <v>FALSE</v>
      </c>
      <c r="AZ1918" s="9"/>
      <c r="BC1918" s="9"/>
      <c r="BF1918" s="9"/>
      <c r="BI1918" s="9"/>
    </row>
    <row r="1919" spans="18:61">
      <c r="R1919" s="6"/>
      <c r="AS1919" s="15"/>
      <c r="AT1919" s="6" t="str">
        <f ca="1">IFERROR(__xludf.DUMMYFUNCTION("""COMPUTED_VALUE"""),"#N/A")</f>
        <v>#N/A</v>
      </c>
      <c r="AU1919" s="6" t="str">
        <f ca="1">IFERROR(__xludf.DUMMYFUNCTION("""COMPUTED_VALUE"""),"FALSE")</f>
        <v>FALSE</v>
      </c>
      <c r="AZ1919" s="9"/>
      <c r="BC1919" s="9"/>
      <c r="BF1919" s="9"/>
      <c r="BI1919" s="9"/>
    </row>
    <row r="1920" spans="18:61">
      <c r="R1920" s="6"/>
      <c r="AS1920" s="15"/>
      <c r="AT1920" s="6" t="str">
        <f ca="1">IFERROR(__xludf.DUMMYFUNCTION("""COMPUTED_VALUE"""),"#N/A")</f>
        <v>#N/A</v>
      </c>
      <c r="AU1920" s="6" t="str">
        <f ca="1">IFERROR(__xludf.DUMMYFUNCTION("""COMPUTED_VALUE"""),"FALSE")</f>
        <v>FALSE</v>
      </c>
      <c r="AZ1920" s="9"/>
      <c r="BC1920" s="9"/>
      <c r="BF1920" s="9"/>
      <c r="BI1920" s="9"/>
    </row>
    <row r="1921" spans="18:61">
      <c r="R1921" s="6"/>
      <c r="AS1921" s="15"/>
      <c r="AT1921" s="6" t="str">
        <f ca="1">IFERROR(__xludf.DUMMYFUNCTION("""COMPUTED_VALUE"""),"#N/A")</f>
        <v>#N/A</v>
      </c>
      <c r="AU1921" s="6" t="str">
        <f ca="1">IFERROR(__xludf.DUMMYFUNCTION("""COMPUTED_VALUE"""),"FALSE")</f>
        <v>FALSE</v>
      </c>
      <c r="AZ1921" s="9"/>
      <c r="BC1921" s="9"/>
      <c r="BF1921" s="9"/>
      <c r="BI1921" s="9"/>
    </row>
    <row r="1922" spans="18:61">
      <c r="R1922" s="6"/>
      <c r="AS1922" s="15"/>
      <c r="AT1922" s="6" t="str">
        <f ca="1">IFERROR(__xludf.DUMMYFUNCTION("""COMPUTED_VALUE"""),"#N/A")</f>
        <v>#N/A</v>
      </c>
      <c r="AU1922" s="6" t="str">
        <f ca="1">IFERROR(__xludf.DUMMYFUNCTION("""COMPUTED_VALUE"""),"FALSE")</f>
        <v>FALSE</v>
      </c>
      <c r="AZ1922" s="9"/>
      <c r="BC1922" s="9"/>
      <c r="BF1922" s="9"/>
      <c r="BI1922" s="9"/>
    </row>
    <row r="1923" spans="18:61">
      <c r="R1923" s="6"/>
      <c r="AS1923" s="15"/>
      <c r="AT1923" s="6" t="str">
        <f ca="1">IFERROR(__xludf.DUMMYFUNCTION("""COMPUTED_VALUE"""),"#N/A")</f>
        <v>#N/A</v>
      </c>
      <c r="AU1923" s="6" t="str">
        <f ca="1">IFERROR(__xludf.DUMMYFUNCTION("""COMPUTED_VALUE"""),"FALSE")</f>
        <v>FALSE</v>
      </c>
      <c r="AZ1923" s="9"/>
      <c r="BC1923" s="9"/>
      <c r="BF1923" s="9"/>
      <c r="BI1923" s="9"/>
    </row>
    <row r="1924" spans="18:61">
      <c r="R1924" s="6"/>
      <c r="AS1924" s="15"/>
      <c r="AT1924" s="6" t="str">
        <f ca="1">IFERROR(__xludf.DUMMYFUNCTION("""COMPUTED_VALUE"""),"#N/A")</f>
        <v>#N/A</v>
      </c>
      <c r="AU1924" s="6" t="str">
        <f ca="1">IFERROR(__xludf.DUMMYFUNCTION("""COMPUTED_VALUE"""),"FALSE")</f>
        <v>FALSE</v>
      </c>
      <c r="AZ1924" s="9"/>
      <c r="BC1924" s="9"/>
      <c r="BF1924" s="9"/>
      <c r="BI1924" s="9"/>
    </row>
    <row r="1925" spans="18:61">
      <c r="R1925" s="6"/>
      <c r="AS1925" s="15"/>
      <c r="AT1925" s="6" t="str">
        <f ca="1">IFERROR(__xludf.DUMMYFUNCTION("""COMPUTED_VALUE"""),"#N/A")</f>
        <v>#N/A</v>
      </c>
      <c r="AU1925" s="6" t="str">
        <f ca="1">IFERROR(__xludf.DUMMYFUNCTION("""COMPUTED_VALUE"""),"FALSE")</f>
        <v>FALSE</v>
      </c>
      <c r="AZ1925" s="9"/>
      <c r="BC1925" s="9"/>
      <c r="BF1925" s="9"/>
      <c r="BI1925" s="9"/>
    </row>
    <row r="1926" spans="18:61">
      <c r="R1926" s="6"/>
      <c r="AS1926" s="15"/>
      <c r="AT1926" s="6" t="str">
        <f ca="1">IFERROR(__xludf.DUMMYFUNCTION("""COMPUTED_VALUE"""),"#N/A")</f>
        <v>#N/A</v>
      </c>
      <c r="AU1926" s="6" t="str">
        <f ca="1">IFERROR(__xludf.DUMMYFUNCTION("""COMPUTED_VALUE"""),"FALSE")</f>
        <v>FALSE</v>
      </c>
      <c r="AZ1926" s="9"/>
      <c r="BC1926" s="9"/>
      <c r="BF1926" s="9"/>
      <c r="BI1926" s="9"/>
    </row>
    <row r="1927" spans="18:61">
      <c r="R1927" s="6"/>
      <c r="AS1927" s="15"/>
      <c r="AT1927" s="6" t="str">
        <f ca="1">IFERROR(__xludf.DUMMYFUNCTION("""COMPUTED_VALUE"""),"#N/A")</f>
        <v>#N/A</v>
      </c>
      <c r="AU1927" s="6" t="str">
        <f ca="1">IFERROR(__xludf.DUMMYFUNCTION("""COMPUTED_VALUE"""),"FALSE")</f>
        <v>FALSE</v>
      </c>
      <c r="AZ1927" s="9"/>
      <c r="BC1927" s="9"/>
      <c r="BF1927" s="9"/>
      <c r="BI1927" s="9"/>
    </row>
    <row r="1928" spans="18:61">
      <c r="R1928" s="6"/>
      <c r="AS1928" s="15"/>
      <c r="AT1928" s="6" t="str">
        <f ca="1">IFERROR(__xludf.DUMMYFUNCTION("""COMPUTED_VALUE"""),"#N/A")</f>
        <v>#N/A</v>
      </c>
      <c r="AU1928" s="6" t="str">
        <f ca="1">IFERROR(__xludf.DUMMYFUNCTION("""COMPUTED_VALUE"""),"FALSE")</f>
        <v>FALSE</v>
      </c>
      <c r="AZ1928" s="9"/>
      <c r="BC1928" s="9"/>
      <c r="BF1928" s="9"/>
      <c r="BI1928" s="9"/>
    </row>
    <row r="1929" spans="18:61">
      <c r="R1929" s="6"/>
      <c r="AS1929" s="15"/>
      <c r="AT1929" s="6" t="str">
        <f ca="1">IFERROR(__xludf.DUMMYFUNCTION("""COMPUTED_VALUE"""),"#N/A")</f>
        <v>#N/A</v>
      </c>
      <c r="AU1929" s="6" t="str">
        <f ca="1">IFERROR(__xludf.DUMMYFUNCTION("""COMPUTED_VALUE"""),"FALSE")</f>
        <v>FALSE</v>
      </c>
      <c r="AZ1929" s="9"/>
      <c r="BC1929" s="9"/>
      <c r="BF1929" s="9"/>
      <c r="BI1929" s="9"/>
    </row>
    <row r="1930" spans="18:61">
      <c r="R1930" s="6"/>
      <c r="AS1930" s="15"/>
      <c r="AT1930" s="6" t="str">
        <f ca="1">IFERROR(__xludf.DUMMYFUNCTION("""COMPUTED_VALUE"""),"#N/A")</f>
        <v>#N/A</v>
      </c>
      <c r="AU1930" s="6" t="str">
        <f ca="1">IFERROR(__xludf.DUMMYFUNCTION("""COMPUTED_VALUE"""),"FALSE")</f>
        <v>FALSE</v>
      </c>
      <c r="AZ1930" s="9"/>
      <c r="BC1930" s="9"/>
      <c r="BF1930" s="9"/>
      <c r="BI1930" s="9"/>
    </row>
    <row r="1931" spans="18:61">
      <c r="R1931" s="6"/>
      <c r="AS1931" s="15"/>
      <c r="AT1931" s="6" t="str">
        <f ca="1">IFERROR(__xludf.DUMMYFUNCTION("""COMPUTED_VALUE"""),"#N/A")</f>
        <v>#N/A</v>
      </c>
      <c r="AU1931" s="6" t="str">
        <f ca="1">IFERROR(__xludf.DUMMYFUNCTION("""COMPUTED_VALUE"""),"FALSE")</f>
        <v>FALSE</v>
      </c>
      <c r="AZ1931" s="9"/>
      <c r="BC1931" s="9"/>
      <c r="BF1931" s="9"/>
      <c r="BI1931" s="9"/>
    </row>
    <row r="1932" spans="18:61">
      <c r="R1932" s="6"/>
      <c r="AS1932" s="15"/>
      <c r="AT1932" s="6" t="str">
        <f ca="1">IFERROR(__xludf.DUMMYFUNCTION("""COMPUTED_VALUE"""),"#N/A")</f>
        <v>#N/A</v>
      </c>
      <c r="AU1932" s="6" t="str">
        <f ca="1">IFERROR(__xludf.DUMMYFUNCTION("""COMPUTED_VALUE"""),"FALSE")</f>
        <v>FALSE</v>
      </c>
      <c r="AZ1932" s="9"/>
      <c r="BC1932" s="9"/>
      <c r="BF1932" s="9"/>
      <c r="BI1932" s="9"/>
    </row>
    <row r="1933" spans="18:61">
      <c r="R1933" s="6"/>
      <c r="AS1933" s="15"/>
      <c r="AT1933" s="6" t="str">
        <f ca="1">IFERROR(__xludf.DUMMYFUNCTION("""COMPUTED_VALUE"""),"#N/A")</f>
        <v>#N/A</v>
      </c>
      <c r="AU1933" s="6" t="str">
        <f ca="1">IFERROR(__xludf.DUMMYFUNCTION("""COMPUTED_VALUE"""),"FALSE")</f>
        <v>FALSE</v>
      </c>
      <c r="AZ1933" s="9"/>
      <c r="BC1933" s="9"/>
      <c r="BF1933" s="9"/>
      <c r="BI1933" s="9"/>
    </row>
    <row r="1934" spans="18:61">
      <c r="R1934" s="6"/>
      <c r="AS1934" s="15"/>
      <c r="AT1934" s="6" t="str">
        <f ca="1">IFERROR(__xludf.DUMMYFUNCTION("""COMPUTED_VALUE"""),"#N/A")</f>
        <v>#N/A</v>
      </c>
      <c r="AU1934" s="6" t="str">
        <f ca="1">IFERROR(__xludf.DUMMYFUNCTION("""COMPUTED_VALUE"""),"FALSE")</f>
        <v>FALSE</v>
      </c>
      <c r="AZ1934" s="9"/>
      <c r="BC1934" s="9"/>
      <c r="BF1934" s="9"/>
      <c r="BI1934" s="9"/>
    </row>
    <row r="1935" spans="18:61">
      <c r="R1935" s="6"/>
      <c r="AS1935" s="15"/>
      <c r="AT1935" s="6" t="str">
        <f ca="1">IFERROR(__xludf.DUMMYFUNCTION("""COMPUTED_VALUE"""),"#N/A")</f>
        <v>#N/A</v>
      </c>
      <c r="AU1935" s="6" t="str">
        <f ca="1">IFERROR(__xludf.DUMMYFUNCTION("""COMPUTED_VALUE"""),"FALSE")</f>
        <v>FALSE</v>
      </c>
      <c r="AZ1935" s="9"/>
      <c r="BC1935" s="9"/>
      <c r="BF1935" s="9"/>
      <c r="BI1935" s="9"/>
    </row>
    <row r="1936" spans="18:61">
      <c r="R1936" s="6"/>
      <c r="AS1936" s="15"/>
      <c r="AT1936" s="6" t="str">
        <f ca="1">IFERROR(__xludf.DUMMYFUNCTION("""COMPUTED_VALUE"""),"#N/A")</f>
        <v>#N/A</v>
      </c>
      <c r="AU1936" s="6" t="str">
        <f ca="1">IFERROR(__xludf.DUMMYFUNCTION("""COMPUTED_VALUE"""),"FALSE")</f>
        <v>FALSE</v>
      </c>
      <c r="AZ1936" s="9"/>
      <c r="BC1936" s="9"/>
      <c r="BF1936" s="9"/>
      <c r="BI1936" s="9"/>
    </row>
    <row r="1937" spans="18:61">
      <c r="R1937" s="6"/>
      <c r="AS1937" s="15"/>
      <c r="AT1937" s="6" t="str">
        <f ca="1">IFERROR(__xludf.DUMMYFUNCTION("""COMPUTED_VALUE"""),"#N/A")</f>
        <v>#N/A</v>
      </c>
      <c r="AU1937" s="6" t="str">
        <f ca="1">IFERROR(__xludf.DUMMYFUNCTION("""COMPUTED_VALUE"""),"FALSE")</f>
        <v>FALSE</v>
      </c>
      <c r="AZ1937" s="9"/>
      <c r="BC1937" s="9"/>
      <c r="BF1937" s="9"/>
      <c r="BI1937" s="9"/>
    </row>
    <row r="1938" spans="18:61">
      <c r="R1938" s="6"/>
      <c r="AS1938" s="15"/>
      <c r="AT1938" s="6" t="str">
        <f ca="1">IFERROR(__xludf.DUMMYFUNCTION("""COMPUTED_VALUE"""),"#N/A")</f>
        <v>#N/A</v>
      </c>
      <c r="AU1938" s="6" t="str">
        <f ca="1">IFERROR(__xludf.DUMMYFUNCTION("""COMPUTED_VALUE"""),"FALSE")</f>
        <v>FALSE</v>
      </c>
      <c r="AZ1938" s="9"/>
      <c r="BC1938" s="9"/>
      <c r="BF1938" s="9"/>
      <c r="BI1938" s="9"/>
    </row>
    <row r="1939" spans="18:61">
      <c r="R1939" s="6"/>
      <c r="AS1939" s="15"/>
      <c r="AT1939" s="6" t="str">
        <f ca="1">IFERROR(__xludf.DUMMYFUNCTION("""COMPUTED_VALUE"""),"#N/A")</f>
        <v>#N/A</v>
      </c>
      <c r="AU1939" s="6" t="str">
        <f ca="1">IFERROR(__xludf.DUMMYFUNCTION("""COMPUTED_VALUE"""),"FALSE")</f>
        <v>FALSE</v>
      </c>
      <c r="AZ1939" s="9"/>
      <c r="BC1939" s="9"/>
      <c r="BF1939" s="9"/>
      <c r="BI1939" s="9"/>
    </row>
    <row r="1940" spans="18:61">
      <c r="R1940" s="6"/>
      <c r="AS1940" s="15"/>
      <c r="AT1940" s="6" t="str">
        <f ca="1">IFERROR(__xludf.DUMMYFUNCTION("""COMPUTED_VALUE"""),"#N/A")</f>
        <v>#N/A</v>
      </c>
      <c r="AU1940" s="6" t="str">
        <f ca="1">IFERROR(__xludf.DUMMYFUNCTION("""COMPUTED_VALUE"""),"FALSE")</f>
        <v>FALSE</v>
      </c>
      <c r="AZ1940" s="9"/>
      <c r="BC1940" s="9"/>
      <c r="BF1940" s="9"/>
      <c r="BI1940" s="9"/>
    </row>
    <row r="1941" spans="18:61">
      <c r="R1941" s="6"/>
      <c r="AS1941" s="15"/>
      <c r="AT1941" s="6" t="str">
        <f ca="1">IFERROR(__xludf.DUMMYFUNCTION("""COMPUTED_VALUE"""),"#N/A")</f>
        <v>#N/A</v>
      </c>
      <c r="AU1941" s="6" t="str">
        <f ca="1">IFERROR(__xludf.DUMMYFUNCTION("""COMPUTED_VALUE"""),"FALSE")</f>
        <v>FALSE</v>
      </c>
      <c r="AZ1941" s="9"/>
      <c r="BC1941" s="9"/>
      <c r="BF1941" s="9"/>
      <c r="BI1941" s="9"/>
    </row>
    <row r="1942" spans="18:61">
      <c r="R1942" s="6"/>
      <c r="AS1942" s="15"/>
      <c r="AT1942" s="6" t="str">
        <f ca="1">IFERROR(__xludf.DUMMYFUNCTION("""COMPUTED_VALUE"""),"#N/A")</f>
        <v>#N/A</v>
      </c>
      <c r="AU1942" s="6" t="str">
        <f ca="1">IFERROR(__xludf.DUMMYFUNCTION("""COMPUTED_VALUE"""),"FALSE")</f>
        <v>FALSE</v>
      </c>
      <c r="AZ1942" s="9"/>
      <c r="BC1942" s="9"/>
      <c r="BF1942" s="9"/>
      <c r="BI1942" s="9"/>
    </row>
    <row r="1943" spans="18:61">
      <c r="R1943" s="6"/>
      <c r="AS1943" s="15"/>
      <c r="AT1943" s="6" t="str">
        <f ca="1">IFERROR(__xludf.DUMMYFUNCTION("""COMPUTED_VALUE"""),"#N/A")</f>
        <v>#N/A</v>
      </c>
      <c r="AU1943" s="6" t="str">
        <f ca="1">IFERROR(__xludf.DUMMYFUNCTION("""COMPUTED_VALUE"""),"FALSE")</f>
        <v>FALSE</v>
      </c>
      <c r="AZ1943" s="9"/>
      <c r="BC1943" s="9"/>
      <c r="BF1943" s="9"/>
      <c r="BI1943" s="9"/>
    </row>
    <row r="1944" spans="18:61">
      <c r="R1944" s="6"/>
      <c r="AS1944" s="15"/>
      <c r="AT1944" s="6" t="str">
        <f ca="1">IFERROR(__xludf.DUMMYFUNCTION("""COMPUTED_VALUE"""),"#N/A")</f>
        <v>#N/A</v>
      </c>
      <c r="AU1944" s="6" t="str">
        <f ca="1">IFERROR(__xludf.DUMMYFUNCTION("""COMPUTED_VALUE"""),"FALSE")</f>
        <v>FALSE</v>
      </c>
      <c r="AZ1944" s="9"/>
      <c r="BC1944" s="9"/>
      <c r="BF1944" s="9"/>
      <c r="BI1944" s="9"/>
    </row>
    <row r="1945" spans="18:61">
      <c r="R1945" s="6"/>
      <c r="AS1945" s="15"/>
      <c r="AT1945" s="6" t="str">
        <f ca="1">IFERROR(__xludf.DUMMYFUNCTION("""COMPUTED_VALUE"""),"#N/A")</f>
        <v>#N/A</v>
      </c>
      <c r="AU1945" s="6" t="str">
        <f ca="1">IFERROR(__xludf.DUMMYFUNCTION("""COMPUTED_VALUE"""),"FALSE")</f>
        <v>FALSE</v>
      </c>
      <c r="AZ1945" s="9"/>
      <c r="BC1945" s="9"/>
      <c r="BF1945" s="9"/>
      <c r="BI1945" s="9"/>
    </row>
    <row r="1946" spans="18:61">
      <c r="R1946" s="6"/>
      <c r="AS1946" s="15"/>
      <c r="AT1946" s="6" t="str">
        <f ca="1">IFERROR(__xludf.DUMMYFUNCTION("""COMPUTED_VALUE"""),"#N/A")</f>
        <v>#N/A</v>
      </c>
      <c r="AU1946" s="6" t="str">
        <f ca="1">IFERROR(__xludf.DUMMYFUNCTION("""COMPUTED_VALUE"""),"FALSE")</f>
        <v>FALSE</v>
      </c>
      <c r="AZ1946" s="9"/>
      <c r="BC1946" s="9"/>
      <c r="BF1946" s="9"/>
      <c r="BI1946" s="9"/>
    </row>
    <row r="1947" spans="18:61">
      <c r="R1947" s="6"/>
      <c r="AS1947" s="15"/>
      <c r="AT1947" s="6" t="str">
        <f ca="1">IFERROR(__xludf.DUMMYFUNCTION("""COMPUTED_VALUE"""),"#N/A")</f>
        <v>#N/A</v>
      </c>
      <c r="AU1947" s="6" t="str">
        <f ca="1">IFERROR(__xludf.DUMMYFUNCTION("""COMPUTED_VALUE"""),"FALSE")</f>
        <v>FALSE</v>
      </c>
      <c r="AZ1947" s="9"/>
      <c r="BC1947" s="9"/>
      <c r="BF1947" s="9"/>
      <c r="BI1947" s="9"/>
    </row>
    <row r="1948" spans="18:61">
      <c r="R1948" s="6"/>
      <c r="AS1948" s="15"/>
      <c r="AT1948" s="6" t="str">
        <f ca="1">IFERROR(__xludf.DUMMYFUNCTION("""COMPUTED_VALUE"""),"#N/A")</f>
        <v>#N/A</v>
      </c>
      <c r="AU1948" s="6" t="str">
        <f ca="1">IFERROR(__xludf.DUMMYFUNCTION("""COMPUTED_VALUE"""),"FALSE")</f>
        <v>FALSE</v>
      </c>
      <c r="AZ1948" s="9"/>
      <c r="BC1948" s="9"/>
      <c r="BF1948" s="9"/>
      <c r="BI1948" s="9"/>
    </row>
    <row r="1949" spans="18:61">
      <c r="R1949" s="6"/>
      <c r="AS1949" s="15"/>
      <c r="AT1949" s="6" t="str">
        <f ca="1">IFERROR(__xludf.DUMMYFUNCTION("""COMPUTED_VALUE"""),"#N/A")</f>
        <v>#N/A</v>
      </c>
      <c r="AU1949" s="6" t="str">
        <f ca="1">IFERROR(__xludf.DUMMYFUNCTION("""COMPUTED_VALUE"""),"FALSE")</f>
        <v>FALSE</v>
      </c>
      <c r="AZ1949" s="9"/>
      <c r="BC1949" s="9"/>
      <c r="BF1949" s="9"/>
      <c r="BI1949" s="9"/>
    </row>
    <row r="1950" spans="18:61">
      <c r="R1950" s="6"/>
      <c r="AS1950" s="15"/>
      <c r="AT1950" s="6" t="str">
        <f ca="1">IFERROR(__xludf.DUMMYFUNCTION("""COMPUTED_VALUE"""),"#N/A")</f>
        <v>#N/A</v>
      </c>
      <c r="AU1950" s="6" t="str">
        <f ca="1">IFERROR(__xludf.DUMMYFUNCTION("""COMPUTED_VALUE"""),"FALSE")</f>
        <v>FALSE</v>
      </c>
      <c r="AZ1950" s="9"/>
      <c r="BC1950" s="9"/>
      <c r="BF1950" s="9"/>
      <c r="BI1950" s="9"/>
    </row>
    <row r="1951" spans="18:61">
      <c r="R1951" s="6"/>
      <c r="AS1951" s="15"/>
      <c r="AT1951" s="6" t="str">
        <f ca="1">IFERROR(__xludf.DUMMYFUNCTION("""COMPUTED_VALUE"""),"#N/A")</f>
        <v>#N/A</v>
      </c>
      <c r="AU1951" s="6" t="str">
        <f ca="1">IFERROR(__xludf.DUMMYFUNCTION("""COMPUTED_VALUE"""),"FALSE")</f>
        <v>FALSE</v>
      </c>
      <c r="AZ1951" s="9"/>
      <c r="BC1951" s="9"/>
      <c r="BF1951" s="9"/>
      <c r="BI1951" s="9"/>
    </row>
    <row r="1952" spans="18:61">
      <c r="R1952" s="6"/>
      <c r="AS1952" s="15"/>
      <c r="AT1952" s="6" t="str">
        <f ca="1">IFERROR(__xludf.DUMMYFUNCTION("""COMPUTED_VALUE"""),"#N/A")</f>
        <v>#N/A</v>
      </c>
      <c r="AU1952" s="6" t="str">
        <f ca="1">IFERROR(__xludf.DUMMYFUNCTION("""COMPUTED_VALUE"""),"FALSE")</f>
        <v>FALSE</v>
      </c>
      <c r="AZ1952" s="9"/>
      <c r="BC1952" s="9"/>
      <c r="BF1952" s="9"/>
      <c r="BI1952" s="9"/>
    </row>
    <row r="1953" spans="18:61">
      <c r="R1953" s="6"/>
      <c r="AS1953" s="15"/>
      <c r="AT1953" s="6" t="str">
        <f ca="1">IFERROR(__xludf.DUMMYFUNCTION("""COMPUTED_VALUE"""),"#N/A")</f>
        <v>#N/A</v>
      </c>
      <c r="AU1953" s="6" t="str">
        <f ca="1">IFERROR(__xludf.DUMMYFUNCTION("""COMPUTED_VALUE"""),"FALSE")</f>
        <v>FALSE</v>
      </c>
      <c r="AZ1953" s="9"/>
      <c r="BC1953" s="9"/>
      <c r="BF1953" s="9"/>
      <c r="BI1953" s="9"/>
    </row>
    <row r="1954" spans="18:61">
      <c r="R1954" s="6"/>
      <c r="AS1954" s="15"/>
      <c r="AT1954" s="6" t="str">
        <f ca="1">IFERROR(__xludf.DUMMYFUNCTION("""COMPUTED_VALUE"""),"#N/A")</f>
        <v>#N/A</v>
      </c>
      <c r="AU1954" s="6" t="str">
        <f ca="1">IFERROR(__xludf.DUMMYFUNCTION("""COMPUTED_VALUE"""),"FALSE")</f>
        <v>FALSE</v>
      </c>
      <c r="AZ1954" s="9"/>
      <c r="BC1954" s="9"/>
      <c r="BF1954" s="9"/>
      <c r="BI1954" s="9"/>
    </row>
    <row r="1955" spans="18:61">
      <c r="R1955" s="6"/>
      <c r="AS1955" s="15"/>
      <c r="AT1955" s="6" t="str">
        <f ca="1">IFERROR(__xludf.DUMMYFUNCTION("""COMPUTED_VALUE"""),"#N/A")</f>
        <v>#N/A</v>
      </c>
      <c r="AU1955" s="6" t="str">
        <f ca="1">IFERROR(__xludf.DUMMYFUNCTION("""COMPUTED_VALUE"""),"FALSE")</f>
        <v>FALSE</v>
      </c>
      <c r="AZ1955" s="9"/>
      <c r="BC1955" s="9"/>
      <c r="BF1955" s="9"/>
      <c r="BI1955" s="9"/>
    </row>
    <row r="1956" spans="18:61">
      <c r="R1956" s="6"/>
      <c r="AS1956" s="15"/>
      <c r="AT1956" s="6" t="str">
        <f ca="1">IFERROR(__xludf.DUMMYFUNCTION("""COMPUTED_VALUE"""),"#N/A")</f>
        <v>#N/A</v>
      </c>
      <c r="AU1956" s="6" t="str">
        <f ca="1">IFERROR(__xludf.DUMMYFUNCTION("""COMPUTED_VALUE"""),"FALSE")</f>
        <v>FALSE</v>
      </c>
      <c r="AZ1956" s="9"/>
      <c r="BC1956" s="9"/>
      <c r="BF1956" s="9"/>
      <c r="BI1956" s="9"/>
    </row>
    <row r="1957" spans="18:61">
      <c r="R1957" s="6"/>
      <c r="AS1957" s="15"/>
      <c r="AT1957" s="6" t="str">
        <f ca="1">IFERROR(__xludf.DUMMYFUNCTION("""COMPUTED_VALUE"""),"#N/A")</f>
        <v>#N/A</v>
      </c>
      <c r="AU1957" s="6" t="str">
        <f ca="1">IFERROR(__xludf.DUMMYFUNCTION("""COMPUTED_VALUE"""),"FALSE")</f>
        <v>FALSE</v>
      </c>
      <c r="AZ1957" s="9"/>
      <c r="BC1957" s="9"/>
      <c r="BF1957" s="9"/>
      <c r="BI1957" s="9"/>
    </row>
    <row r="1958" spans="18:61">
      <c r="R1958" s="6"/>
      <c r="AS1958" s="15"/>
      <c r="AT1958" s="6" t="str">
        <f ca="1">IFERROR(__xludf.DUMMYFUNCTION("""COMPUTED_VALUE"""),"#N/A")</f>
        <v>#N/A</v>
      </c>
      <c r="AU1958" s="6" t="str">
        <f ca="1">IFERROR(__xludf.DUMMYFUNCTION("""COMPUTED_VALUE"""),"FALSE")</f>
        <v>FALSE</v>
      </c>
      <c r="AZ1958" s="9"/>
      <c r="BC1958" s="9"/>
      <c r="BF1958" s="9"/>
      <c r="BI1958" s="9"/>
    </row>
    <row r="1959" spans="18:61">
      <c r="R1959" s="6"/>
      <c r="AS1959" s="15"/>
      <c r="AT1959" s="6" t="str">
        <f ca="1">IFERROR(__xludf.DUMMYFUNCTION("""COMPUTED_VALUE"""),"#N/A")</f>
        <v>#N/A</v>
      </c>
      <c r="AU1959" s="6" t="str">
        <f ca="1">IFERROR(__xludf.DUMMYFUNCTION("""COMPUTED_VALUE"""),"FALSE")</f>
        <v>FALSE</v>
      </c>
      <c r="AZ1959" s="9"/>
      <c r="BC1959" s="9"/>
      <c r="BF1959" s="9"/>
      <c r="BI1959" s="9"/>
    </row>
    <row r="1960" spans="18:61">
      <c r="R1960" s="6"/>
      <c r="AS1960" s="15"/>
      <c r="AT1960" s="6" t="str">
        <f ca="1">IFERROR(__xludf.DUMMYFUNCTION("""COMPUTED_VALUE"""),"#N/A")</f>
        <v>#N/A</v>
      </c>
      <c r="AU1960" s="6" t="str">
        <f ca="1">IFERROR(__xludf.DUMMYFUNCTION("""COMPUTED_VALUE"""),"FALSE")</f>
        <v>FALSE</v>
      </c>
      <c r="AZ1960" s="9"/>
      <c r="BC1960" s="9"/>
      <c r="BF1960" s="9"/>
      <c r="BI1960" s="9"/>
    </row>
    <row r="1961" spans="18:61">
      <c r="R1961" s="6"/>
      <c r="AS1961" s="15"/>
      <c r="AT1961" s="6" t="str">
        <f ca="1">IFERROR(__xludf.DUMMYFUNCTION("""COMPUTED_VALUE"""),"#N/A")</f>
        <v>#N/A</v>
      </c>
      <c r="AU1961" s="6" t="str">
        <f ca="1">IFERROR(__xludf.DUMMYFUNCTION("""COMPUTED_VALUE"""),"FALSE")</f>
        <v>FALSE</v>
      </c>
      <c r="AZ1961" s="9"/>
      <c r="BC1961" s="9"/>
      <c r="BF1961" s="9"/>
      <c r="BI1961" s="9"/>
    </row>
    <row r="1962" spans="18:61">
      <c r="R1962" s="6"/>
      <c r="AS1962" s="15"/>
      <c r="AT1962" s="6" t="str">
        <f ca="1">IFERROR(__xludf.DUMMYFUNCTION("""COMPUTED_VALUE"""),"#N/A")</f>
        <v>#N/A</v>
      </c>
      <c r="AU1962" s="6" t="str">
        <f ca="1">IFERROR(__xludf.DUMMYFUNCTION("""COMPUTED_VALUE"""),"FALSE")</f>
        <v>FALSE</v>
      </c>
      <c r="AZ1962" s="9"/>
      <c r="BC1962" s="9"/>
      <c r="BF1962" s="9"/>
      <c r="BI1962" s="9"/>
    </row>
    <row r="1963" spans="18:61">
      <c r="R1963" s="6"/>
      <c r="AS1963" s="15"/>
      <c r="AT1963" s="6" t="str">
        <f ca="1">IFERROR(__xludf.DUMMYFUNCTION("""COMPUTED_VALUE"""),"#N/A")</f>
        <v>#N/A</v>
      </c>
      <c r="AU1963" s="6" t="str">
        <f ca="1">IFERROR(__xludf.DUMMYFUNCTION("""COMPUTED_VALUE"""),"FALSE")</f>
        <v>FALSE</v>
      </c>
      <c r="AZ1963" s="9"/>
      <c r="BC1963" s="9"/>
      <c r="BF1963" s="9"/>
      <c r="BI1963" s="9"/>
    </row>
    <row r="1964" spans="18:61">
      <c r="R1964" s="6"/>
      <c r="AS1964" s="15"/>
      <c r="AT1964" s="6" t="str">
        <f ca="1">IFERROR(__xludf.DUMMYFUNCTION("""COMPUTED_VALUE"""),"#N/A")</f>
        <v>#N/A</v>
      </c>
      <c r="AU1964" s="6" t="str">
        <f ca="1">IFERROR(__xludf.DUMMYFUNCTION("""COMPUTED_VALUE"""),"FALSE")</f>
        <v>FALSE</v>
      </c>
      <c r="AZ1964" s="9"/>
      <c r="BC1964" s="9"/>
      <c r="BF1964" s="9"/>
      <c r="BI1964" s="9"/>
    </row>
    <row r="1965" spans="18:61">
      <c r="R1965" s="6"/>
      <c r="AS1965" s="15"/>
      <c r="AT1965" s="6" t="str">
        <f ca="1">IFERROR(__xludf.DUMMYFUNCTION("""COMPUTED_VALUE"""),"#N/A")</f>
        <v>#N/A</v>
      </c>
      <c r="AU1965" s="6" t="str">
        <f ca="1">IFERROR(__xludf.DUMMYFUNCTION("""COMPUTED_VALUE"""),"FALSE")</f>
        <v>FALSE</v>
      </c>
      <c r="AZ1965" s="9"/>
      <c r="BC1965" s="9"/>
      <c r="BF1965" s="9"/>
      <c r="BI1965" s="9"/>
    </row>
    <row r="1966" spans="18:61">
      <c r="R1966" s="6"/>
      <c r="AS1966" s="15"/>
      <c r="AT1966" s="6" t="str">
        <f ca="1">IFERROR(__xludf.DUMMYFUNCTION("""COMPUTED_VALUE"""),"#N/A")</f>
        <v>#N/A</v>
      </c>
      <c r="AU1966" s="6" t="str">
        <f ca="1">IFERROR(__xludf.DUMMYFUNCTION("""COMPUTED_VALUE"""),"FALSE")</f>
        <v>FALSE</v>
      </c>
      <c r="AZ1966" s="9"/>
      <c r="BC1966" s="9"/>
      <c r="BF1966" s="9"/>
      <c r="BI1966" s="9"/>
    </row>
    <row r="1967" spans="18:61">
      <c r="R1967" s="6"/>
      <c r="AS1967" s="15"/>
      <c r="AT1967" s="6" t="str">
        <f ca="1">IFERROR(__xludf.DUMMYFUNCTION("""COMPUTED_VALUE"""),"#N/A")</f>
        <v>#N/A</v>
      </c>
      <c r="AU1967" s="6" t="str">
        <f ca="1">IFERROR(__xludf.DUMMYFUNCTION("""COMPUTED_VALUE"""),"FALSE")</f>
        <v>FALSE</v>
      </c>
      <c r="AZ1967" s="9"/>
      <c r="BC1967" s="9"/>
      <c r="BF1967" s="9"/>
      <c r="BI1967" s="9"/>
    </row>
    <row r="1968" spans="18:61">
      <c r="R1968" s="6"/>
      <c r="AS1968" s="15"/>
      <c r="AT1968" s="6" t="str">
        <f ca="1">IFERROR(__xludf.DUMMYFUNCTION("""COMPUTED_VALUE"""),"#N/A")</f>
        <v>#N/A</v>
      </c>
      <c r="AU1968" s="6" t="str">
        <f ca="1">IFERROR(__xludf.DUMMYFUNCTION("""COMPUTED_VALUE"""),"FALSE")</f>
        <v>FALSE</v>
      </c>
      <c r="AZ1968" s="9"/>
      <c r="BC1968" s="9"/>
      <c r="BF1968" s="9"/>
      <c r="BI1968" s="9"/>
    </row>
    <row r="1969" spans="18:61">
      <c r="R1969" s="6"/>
      <c r="AS1969" s="15"/>
      <c r="AT1969" s="6" t="str">
        <f ca="1">IFERROR(__xludf.DUMMYFUNCTION("""COMPUTED_VALUE"""),"#N/A")</f>
        <v>#N/A</v>
      </c>
      <c r="AU1969" s="6" t="str">
        <f ca="1">IFERROR(__xludf.DUMMYFUNCTION("""COMPUTED_VALUE"""),"FALSE")</f>
        <v>FALSE</v>
      </c>
      <c r="AZ1969" s="9"/>
      <c r="BC1969" s="9"/>
      <c r="BF1969" s="9"/>
      <c r="BI1969" s="9"/>
    </row>
    <row r="1970" spans="18:61">
      <c r="R1970" s="6"/>
      <c r="AS1970" s="15"/>
      <c r="AT1970" s="6" t="str">
        <f ca="1">IFERROR(__xludf.DUMMYFUNCTION("""COMPUTED_VALUE"""),"#N/A")</f>
        <v>#N/A</v>
      </c>
      <c r="AU1970" s="6" t="str">
        <f ca="1">IFERROR(__xludf.DUMMYFUNCTION("""COMPUTED_VALUE"""),"FALSE")</f>
        <v>FALSE</v>
      </c>
      <c r="AZ1970" s="9"/>
      <c r="BC1970" s="9"/>
      <c r="BF1970" s="9"/>
      <c r="BI1970" s="9"/>
    </row>
    <row r="1971" spans="18:61">
      <c r="R1971" s="6"/>
      <c r="AS1971" s="15"/>
      <c r="AT1971" s="6" t="str">
        <f ca="1">IFERROR(__xludf.DUMMYFUNCTION("""COMPUTED_VALUE"""),"#N/A")</f>
        <v>#N/A</v>
      </c>
      <c r="AU1971" s="6" t="str">
        <f ca="1">IFERROR(__xludf.DUMMYFUNCTION("""COMPUTED_VALUE"""),"FALSE")</f>
        <v>FALSE</v>
      </c>
      <c r="AZ1971" s="9"/>
      <c r="BC1971" s="9"/>
      <c r="BF1971" s="9"/>
      <c r="BI1971" s="9"/>
    </row>
    <row r="1972" spans="18:61">
      <c r="R1972" s="6"/>
      <c r="AS1972" s="15"/>
      <c r="AT1972" s="6" t="str">
        <f ca="1">IFERROR(__xludf.DUMMYFUNCTION("""COMPUTED_VALUE"""),"#N/A")</f>
        <v>#N/A</v>
      </c>
      <c r="AU1972" s="6" t="str">
        <f ca="1">IFERROR(__xludf.DUMMYFUNCTION("""COMPUTED_VALUE"""),"FALSE")</f>
        <v>FALSE</v>
      </c>
      <c r="AZ1972" s="9"/>
      <c r="BC1972" s="9"/>
      <c r="BF1972" s="9"/>
      <c r="BI1972" s="9"/>
    </row>
    <row r="1973" spans="18:61">
      <c r="R1973" s="6"/>
      <c r="AS1973" s="15"/>
      <c r="AT1973" s="6" t="str">
        <f ca="1">IFERROR(__xludf.DUMMYFUNCTION("""COMPUTED_VALUE"""),"#N/A")</f>
        <v>#N/A</v>
      </c>
      <c r="AU1973" s="6" t="str">
        <f ca="1">IFERROR(__xludf.DUMMYFUNCTION("""COMPUTED_VALUE"""),"FALSE")</f>
        <v>FALSE</v>
      </c>
      <c r="AZ1973" s="9"/>
      <c r="BC1973" s="9"/>
      <c r="BF1973" s="9"/>
      <c r="BI1973" s="9"/>
    </row>
    <row r="1974" spans="18:61">
      <c r="R1974" s="6"/>
      <c r="AS1974" s="15"/>
      <c r="AT1974" s="6" t="str">
        <f ca="1">IFERROR(__xludf.DUMMYFUNCTION("""COMPUTED_VALUE"""),"#N/A")</f>
        <v>#N/A</v>
      </c>
      <c r="AU1974" s="6" t="str">
        <f ca="1">IFERROR(__xludf.DUMMYFUNCTION("""COMPUTED_VALUE"""),"FALSE")</f>
        <v>FALSE</v>
      </c>
      <c r="AZ1974" s="9"/>
      <c r="BC1974" s="9"/>
      <c r="BF1974" s="9"/>
      <c r="BI1974" s="9"/>
    </row>
    <row r="1975" spans="18:61">
      <c r="R1975" s="6"/>
      <c r="AS1975" s="15"/>
      <c r="AT1975" s="6" t="str">
        <f ca="1">IFERROR(__xludf.DUMMYFUNCTION("""COMPUTED_VALUE"""),"#N/A")</f>
        <v>#N/A</v>
      </c>
      <c r="AU1975" s="6" t="str">
        <f ca="1">IFERROR(__xludf.DUMMYFUNCTION("""COMPUTED_VALUE"""),"FALSE")</f>
        <v>FALSE</v>
      </c>
      <c r="AZ1975" s="9"/>
      <c r="BC1975" s="9"/>
      <c r="BF1975" s="9"/>
      <c r="BI1975" s="9"/>
    </row>
    <row r="1976" spans="18:61">
      <c r="R1976" s="6"/>
      <c r="AS1976" s="15"/>
      <c r="AT1976" s="6" t="str">
        <f ca="1">IFERROR(__xludf.DUMMYFUNCTION("""COMPUTED_VALUE"""),"#N/A")</f>
        <v>#N/A</v>
      </c>
      <c r="AU1976" s="6" t="str">
        <f ca="1">IFERROR(__xludf.DUMMYFUNCTION("""COMPUTED_VALUE"""),"FALSE")</f>
        <v>FALSE</v>
      </c>
      <c r="AZ1976" s="9"/>
      <c r="BC1976" s="9"/>
      <c r="BF1976" s="9"/>
      <c r="BI1976" s="9"/>
    </row>
    <row r="1977" spans="18:61">
      <c r="R1977" s="6"/>
      <c r="AS1977" s="15"/>
      <c r="AT1977" s="6" t="str">
        <f ca="1">IFERROR(__xludf.DUMMYFUNCTION("""COMPUTED_VALUE"""),"#N/A")</f>
        <v>#N/A</v>
      </c>
      <c r="AU1977" s="6" t="str">
        <f ca="1">IFERROR(__xludf.DUMMYFUNCTION("""COMPUTED_VALUE"""),"FALSE")</f>
        <v>FALSE</v>
      </c>
      <c r="AZ1977" s="9"/>
      <c r="BC1977" s="9"/>
      <c r="BF1977" s="9"/>
      <c r="BI1977" s="9"/>
    </row>
    <row r="1978" spans="18:61">
      <c r="R1978" s="6"/>
      <c r="AS1978" s="15"/>
      <c r="AT1978" s="6" t="str">
        <f ca="1">IFERROR(__xludf.DUMMYFUNCTION("""COMPUTED_VALUE"""),"#N/A")</f>
        <v>#N/A</v>
      </c>
      <c r="AU1978" s="6" t="str">
        <f ca="1">IFERROR(__xludf.DUMMYFUNCTION("""COMPUTED_VALUE"""),"FALSE")</f>
        <v>FALSE</v>
      </c>
      <c r="AZ1978" s="9"/>
      <c r="BC1978" s="9"/>
      <c r="BF1978" s="9"/>
      <c r="BI1978" s="9"/>
    </row>
    <row r="1979" spans="18:61">
      <c r="R1979" s="6"/>
      <c r="AS1979" s="15"/>
      <c r="AT1979" s="6" t="str">
        <f ca="1">IFERROR(__xludf.DUMMYFUNCTION("""COMPUTED_VALUE"""),"#N/A")</f>
        <v>#N/A</v>
      </c>
      <c r="AU1979" s="6" t="str">
        <f ca="1">IFERROR(__xludf.DUMMYFUNCTION("""COMPUTED_VALUE"""),"FALSE")</f>
        <v>FALSE</v>
      </c>
      <c r="AZ1979" s="9"/>
      <c r="BC1979" s="9"/>
      <c r="BF1979" s="9"/>
      <c r="BI1979" s="9"/>
    </row>
    <row r="1980" spans="18:61">
      <c r="R1980" s="6"/>
      <c r="AS1980" s="15"/>
      <c r="AT1980" s="6" t="str">
        <f ca="1">IFERROR(__xludf.DUMMYFUNCTION("""COMPUTED_VALUE"""),"#N/A")</f>
        <v>#N/A</v>
      </c>
      <c r="AU1980" s="6" t="str">
        <f ca="1">IFERROR(__xludf.DUMMYFUNCTION("""COMPUTED_VALUE"""),"FALSE")</f>
        <v>FALSE</v>
      </c>
      <c r="AZ1980" s="9"/>
      <c r="BC1980" s="9"/>
      <c r="BF1980" s="9"/>
      <c r="BI1980" s="9"/>
    </row>
    <row r="1981" spans="18:61">
      <c r="R1981" s="6"/>
      <c r="AS1981" s="15"/>
      <c r="AT1981" s="6" t="str">
        <f ca="1">IFERROR(__xludf.DUMMYFUNCTION("""COMPUTED_VALUE"""),"#N/A")</f>
        <v>#N/A</v>
      </c>
      <c r="AU1981" s="6" t="str">
        <f ca="1">IFERROR(__xludf.DUMMYFUNCTION("""COMPUTED_VALUE"""),"FALSE")</f>
        <v>FALSE</v>
      </c>
      <c r="AZ1981" s="9"/>
      <c r="BC1981" s="9"/>
      <c r="BF1981" s="9"/>
      <c r="BI1981" s="9"/>
    </row>
    <row r="1982" spans="18:61">
      <c r="R1982" s="6"/>
      <c r="AS1982" s="15"/>
      <c r="AT1982" s="6" t="str">
        <f ca="1">IFERROR(__xludf.DUMMYFUNCTION("""COMPUTED_VALUE"""),"#N/A")</f>
        <v>#N/A</v>
      </c>
      <c r="AU1982" s="6" t="str">
        <f ca="1">IFERROR(__xludf.DUMMYFUNCTION("""COMPUTED_VALUE"""),"FALSE")</f>
        <v>FALSE</v>
      </c>
      <c r="AZ1982" s="9"/>
      <c r="BC1982" s="9"/>
      <c r="BF1982" s="9"/>
      <c r="BI1982" s="9"/>
    </row>
    <row r="1983" spans="18:61">
      <c r="R1983" s="6"/>
      <c r="AS1983" s="15"/>
      <c r="AT1983" s="6" t="str">
        <f ca="1">IFERROR(__xludf.DUMMYFUNCTION("""COMPUTED_VALUE"""),"#N/A")</f>
        <v>#N/A</v>
      </c>
      <c r="AU1983" s="6" t="str">
        <f ca="1">IFERROR(__xludf.DUMMYFUNCTION("""COMPUTED_VALUE"""),"FALSE")</f>
        <v>FALSE</v>
      </c>
      <c r="AZ1983" s="9"/>
      <c r="BC1983" s="9"/>
      <c r="BF1983" s="9"/>
      <c r="BI1983" s="9"/>
    </row>
    <row r="1984" spans="18:61">
      <c r="R1984" s="6"/>
      <c r="AS1984" s="15"/>
      <c r="AT1984" s="6" t="str">
        <f ca="1">IFERROR(__xludf.DUMMYFUNCTION("""COMPUTED_VALUE"""),"#N/A")</f>
        <v>#N/A</v>
      </c>
      <c r="AU1984" s="6" t="str">
        <f ca="1">IFERROR(__xludf.DUMMYFUNCTION("""COMPUTED_VALUE"""),"FALSE")</f>
        <v>FALSE</v>
      </c>
      <c r="AZ1984" s="9"/>
      <c r="BC1984" s="9"/>
      <c r="BF1984" s="9"/>
      <c r="BI1984" s="9"/>
    </row>
    <row r="1985" spans="18:61">
      <c r="R1985" s="6"/>
      <c r="AS1985" s="15"/>
      <c r="AT1985" s="6" t="str">
        <f ca="1">IFERROR(__xludf.DUMMYFUNCTION("""COMPUTED_VALUE"""),"#N/A")</f>
        <v>#N/A</v>
      </c>
      <c r="AU1985" s="6" t="str">
        <f ca="1">IFERROR(__xludf.DUMMYFUNCTION("""COMPUTED_VALUE"""),"FALSE")</f>
        <v>FALSE</v>
      </c>
      <c r="AZ1985" s="9"/>
      <c r="BC1985" s="9"/>
      <c r="BF1985" s="9"/>
      <c r="BI1985" s="9"/>
    </row>
    <row r="1986" spans="18:61">
      <c r="R1986" s="6"/>
      <c r="AS1986" s="15"/>
      <c r="AT1986" s="6" t="str">
        <f ca="1">IFERROR(__xludf.DUMMYFUNCTION("""COMPUTED_VALUE"""),"#N/A")</f>
        <v>#N/A</v>
      </c>
      <c r="AU1986" s="6" t="str">
        <f ca="1">IFERROR(__xludf.DUMMYFUNCTION("""COMPUTED_VALUE"""),"FALSE")</f>
        <v>FALSE</v>
      </c>
      <c r="AZ1986" s="9"/>
      <c r="BC1986" s="9"/>
      <c r="BF1986" s="9"/>
      <c r="BI1986" s="9"/>
    </row>
    <row r="1987" spans="18:61">
      <c r="R1987" s="6"/>
      <c r="AS1987" s="15"/>
      <c r="AT1987" s="6" t="str">
        <f ca="1">IFERROR(__xludf.DUMMYFUNCTION("""COMPUTED_VALUE"""),"#N/A")</f>
        <v>#N/A</v>
      </c>
      <c r="AU1987" s="6" t="str">
        <f ca="1">IFERROR(__xludf.DUMMYFUNCTION("""COMPUTED_VALUE"""),"FALSE")</f>
        <v>FALSE</v>
      </c>
      <c r="AZ1987" s="9"/>
      <c r="BC1987" s="9"/>
      <c r="BF1987" s="9"/>
      <c r="BI1987" s="9"/>
    </row>
    <row r="1988" spans="18:61">
      <c r="R1988" s="6"/>
      <c r="AS1988" s="15"/>
      <c r="AT1988" s="6" t="str">
        <f ca="1">IFERROR(__xludf.DUMMYFUNCTION("""COMPUTED_VALUE"""),"#N/A")</f>
        <v>#N/A</v>
      </c>
      <c r="AU1988" s="6" t="str">
        <f ca="1">IFERROR(__xludf.DUMMYFUNCTION("""COMPUTED_VALUE"""),"FALSE")</f>
        <v>FALSE</v>
      </c>
      <c r="AZ1988" s="9"/>
      <c r="BC1988" s="9"/>
      <c r="BF1988" s="9"/>
      <c r="BI1988" s="9"/>
    </row>
    <row r="1989" spans="18:61">
      <c r="R1989" s="6"/>
      <c r="AS1989" s="15"/>
      <c r="AT1989" s="6" t="str">
        <f ca="1">IFERROR(__xludf.DUMMYFUNCTION("""COMPUTED_VALUE"""),"#N/A")</f>
        <v>#N/A</v>
      </c>
      <c r="AU1989" s="6" t="str">
        <f ca="1">IFERROR(__xludf.DUMMYFUNCTION("""COMPUTED_VALUE"""),"FALSE")</f>
        <v>FALSE</v>
      </c>
      <c r="AZ1989" s="9"/>
      <c r="BC1989" s="9"/>
      <c r="BF1989" s="9"/>
      <c r="BI1989" s="9"/>
    </row>
    <row r="1990" spans="18:61">
      <c r="R1990" s="6"/>
      <c r="AS1990" s="15"/>
      <c r="AT1990" s="6" t="str">
        <f ca="1">IFERROR(__xludf.DUMMYFUNCTION("""COMPUTED_VALUE"""),"#N/A")</f>
        <v>#N/A</v>
      </c>
      <c r="AU1990" s="6" t="str">
        <f ca="1">IFERROR(__xludf.DUMMYFUNCTION("""COMPUTED_VALUE"""),"FALSE")</f>
        <v>FALSE</v>
      </c>
      <c r="AZ1990" s="9"/>
      <c r="BC1990" s="9"/>
      <c r="BF1990" s="9"/>
      <c r="BI1990" s="9"/>
    </row>
    <row r="1991" spans="18:61">
      <c r="R1991" s="6"/>
      <c r="AS1991" s="15"/>
      <c r="AT1991" s="6" t="str">
        <f ca="1">IFERROR(__xludf.DUMMYFUNCTION("""COMPUTED_VALUE"""),"#N/A")</f>
        <v>#N/A</v>
      </c>
      <c r="AU1991" s="6" t="str">
        <f ca="1">IFERROR(__xludf.DUMMYFUNCTION("""COMPUTED_VALUE"""),"FALSE")</f>
        <v>FALSE</v>
      </c>
      <c r="AZ1991" s="9"/>
      <c r="BC1991" s="9"/>
      <c r="BF1991" s="9"/>
      <c r="BI1991" s="9"/>
    </row>
    <row r="1992" spans="18:61">
      <c r="R1992" s="6"/>
      <c r="AS1992" s="15"/>
      <c r="AT1992" s="6" t="str">
        <f ca="1">IFERROR(__xludf.DUMMYFUNCTION("""COMPUTED_VALUE"""),"#N/A")</f>
        <v>#N/A</v>
      </c>
      <c r="AU1992" s="6" t="str">
        <f ca="1">IFERROR(__xludf.DUMMYFUNCTION("""COMPUTED_VALUE"""),"FALSE")</f>
        <v>FALSE</v>
      </c>
      <c r="AZ1992" s="9"/>
      <c r="BC1992" s="9"/>
      <c r="BF1992" s="9"/>
      <c r="BI1992" s="9"/>
    </row>
    <row r="1993" spans="18:61">
      <c r="R1993" s="6"/>
      <c r="AS1993" s="15"/>
      <c r="AT1993" s="6" t="str">
        <f ca="1">IFERROR(__xludf.DUMMYFUNCTION("""COMPUTED_VALUE"""),"#N/A")</f>
        <v>#N/A</v>
      </c>
      <c r="AU1993" s="6" t="str">
        <f ca="1">IFERROR(__xludf.DUMMYFUNCTION("""COMPUTED_VALUE"""),"FALSE")</f>
        <v>FALSE</v>
      </c>
      <c r="AZ1993" s="9"/>
      <c r="BC1993" s="9"/>
      <c r="BF1993" s="9"/>
      <c r="BI1993" s="9"/>
    </row>
    <row r="1994" spans="18:61">
      <c r="R1994" s="6"/>
      <c r="AS1994" s="15"/>
      <c r="AT1994" s="6" t="str">
        <f ca="1">IFERROR(__xludf.DUMMYFUNCTION("""COMPUTED_VALUE"""),"#N/A")</f>
        <v>#N/A</v>
      </c>
      <c r="AU1994" s="6" t="str">
        <f ca="1">IFERROR(__xludf.DUMMYFUNCTION("""COMPUTED_VALUE"""),"FALSE")</f>
        <v>FALSE</v>
      </c>
      <c r="AZ1994" s="9"/>
      <c r="BC1994" s="9"/>
      <c r="BF1994" s="9"/>
      <c r="BI1994" s="9"/>
    </row>
    <row r="1995" spans="18:61">
      <c r="R1995" s="6"/>
      <c r="AS1995" s="15"/>
      <c r="AT1995" s="6" t="str">
        <f ca="1">IFERROR(__xludf.DUMMYFUNCTION("""COMPUTED_VALUE"""),"#N/A")</f>
        <v>#N/A</v>
      </c>
      <c r="AU1995" s="6" t="str">
        <f ca="1">IFERROR(__xludf.DUMMYFUNCTION("""COMPUTED_VALUE"""),"FALSE")</f>
        <v>FALSE</v>
      </c>
      <c r="AZ1995" s="9"/>
      <c r="BC1995" s="9"/>
      <c r="BF1995" s="9"/>
      <c r="BI1995" s="9"/>
    </row>
    <row r="1996" spans="18:61">
      <c r="R1996" s="6"/>
      <c r="AS1996" s="15"/>
      <c r="AT1996" s="6" t="str">
        <f ca="1">IFERROR(__xludf.DUMMYFUNCTION("""COMPUTED_VALUE"""),"#N/A")</f>
        <v>#N/A</v>
      </c>
      <c r="AU1996" s="6" t="str">
        <f ca="1">IFERROR(__xludf.DUMMYFUNCTION("""COMPUTED_VALUE"""),"FALSE")</f>
        <v>FALSE</v>
      </c>
      <c r="AZ1996" s="9"/>
      <c r="BC1996" s="9"/>
      <c r="BF1996" s="9"/>
      <c r="BI1996" s="9"/>
    </row>
    <row r="1997" spans="18:61">
      <c r="R1997" s="6"/>
      <c r="AS1997" s="15"/>
      <c r="AT1997" s="6" t="str">
        <f ca="1">IFERROR(__xludf.DUMMYFUNCTION("""COMPUTED_VALUE"""),"#N/A")</f>
        <v>#N/A</v>
      </c>
      <c r="AU1997" s="6" t="str">
        <f ca="1">IFERROR(__xludf.DUMMYFUNCTION("""COMPUTED_VALUE"""),"FALSE")</f>
        <v>FALSE</v>
      </c>
      <c r="AZ1997" s="9"/>
      <c r="BC1997" s="9"/>
      <c r="BF1997" s="9"/>
      <c r="BI1997" s="9"/>
    </row>
    <row r="1998" spans="18:61">
      <c r="R1998" s="6"/>
      <c r="AS1998" s="15"/>
      <c r="AT1998" s="6" t="str">
        <f ca="1">IFERROR(__xludf.DUMMYFUNCTION("""COMPUTED_VALUE"""),"#N/A")</f>
        <v>#N/A</v>
      </c>
      <c r="AU1998" s="6" t="str">
        <f ca="1">IFERROR(__xludf.DUMMYFUNCTION("""COMPUTED_VALUE"""),"FALSE")</f>
        <v>FALSE</v>
      </c>
      <c r="AZ1998" s="9"/>
      <c r="BC1998" s="9"/>
      <c r="BF1998" s="9"/>
      <c r="BI1998" s="9"/>
    </row>
    <row r="1999" spans="18:61">
      <c r="R1999" s="6"/>
      <c r="AS1999" s="15"/>
      <c r="AT1999" s="6" t="str">
        <f ca="1">IFERROR(__xludf.DUMMYFUNCTION("""COMPUTED_VALUE"""),"#N/A")</f>
        <v>#N/A</v>
      </c>
      <c r="AU1999" s="6" t="str">
        <f ca="1">IFERROR(__xludf.DUMMYFUNCTION("""COMPUTED_VALUE"""),"FALSE")</f>
        <v>FALSE</v>
      </c>
      <c r="AZ1999" s="9"/>
      <c r="BC1999" s="9"/>
      <c r="BF1999" s="9"/>
      <c r="BI1999" s="9"/>
    </row>
    <row r="2000" spans="18:61">
      <c r="R2000" s="6"/>
      <c r="AS2000" s="15"/>
      <c r="AT2000" s="6" t="str">
        <f ca="1">IFERROR(__xludf.DUMMYFUNCTION("""COMPUTED_VALUE"""),"#N/A")</f>
        <v>#N/A</v>
      </c>
      <c r="AU2000" s="6" t="str">
        <f ca="1">IFERROR(__xludf.DUMMYFUNCTION("""COMPUTED_VALUE"""),"FALSE")</f>
        <v>FALSE</v>
      </c>
      <c r="AZ2000" s="9"/>
      <c r="BC2000" s="9"/>
      <c r="BF2000" s="9"/>
      <c r="BI2000" s="9"/>
    </row>
    <row r="2001" spans="18:61">
      <c r="R2001" s="6"/>
      <c r="AS2001" s="15"/>
      <c r="AT2001" s="6" t="str">
        <f ca="1">IFERROR(__xludf.DUMMYFUNCTION("""COMPUTED_VALUE"""),"#N/A")</f>
        <v>#N/A</v>
      </c>
      <c r="AU2001" s="6" t="str">
        <f ca="1">IFERROR(__xludf.DUMMYFUNCTION("""COMPUTED_VALUE"""),"FALSE")</f>
        <v>FALSE</v>
      </c>
      <c r="AZ2001" s="9"/>
      <c r="BC2001" s="9"/>
      <c r="BF2001" s="9"/>
      <c r="BI2001" s="9"/>
    </row>
    <row r="2002" spans="18:61">
      <c r="R2002" s="6"/>
      <c r="AS2002" s="15"/>
      <c r="AT2002" s="6" t="str">
        <f ca="1">IFERROR(__xludf.DUMMYFUNCTION("""COMPUTED_VALUE"""),"#N/A")</f>
        <v>#N/A</v>
      </c>
      <c r="AU2002" s="6" t="str">
        <f ca="1">IFERROR(__xludf.DUMMYFUNCTION("""COMPUTED_VALUE"""),"FALSE")</f>
        <v>FALSE</v>
      </c>
      <c r="AZ2002" s="9"/>
      <c r="BC2002" s="9"/>
      <c r="BF2002" s="9"/>
      <c r="BI2002" s="9"/>
    </row>
    <row r="2003" spans="18:61">
      <c r="R2003" s="6"/>
      <c r="AS2003" s="15"/>
      <c r="AT2003" s="6" t="str">
        <f ca="1">IFERROR(__xludf.DUMMYFUNCTION("""COMPUTED_VALUE"""),"#N/A")</f>
        <v>#N/A</v>
      </c>
      <c r="AU2003" s="6" t="str">
        <f ca="1">IFERROR(__xludf.DUMMYFUNCTION("""COMPUTED_VALUE"""),"FALSE")</f>
        <v>FALSE</v>
      </c>
      <c r="AZ2003" s="9"/>
      <c r="BC2003" s="9"/>
      <c r="BF2003" s="9"/>
      <c r="BI2003" s="9"/>
    </row>
    <row r="2004" spans="18:61">
      <c r="R2004" s="6"/>
      <c r="AS2004" s="15"/>
      <c r="AT2004" s="6" t="str">
        <f ca="1">IFERROR(__xludf.DUMMYFUNCTION("""COMPUTED_VALUE"""),"#N/A")</f>
        <v>#N/A</v>
      </c>
      <c r="AU2004" s="6" t="str">
        <f ca="1">IFERROR(__xludf.DUMMYFUNCTION("""COMPUTED_VALUE"""),"FALSE")</f>
        <v>FALSE</v>
      </c>
      <c r="AZ2004" s="9"/>
      <c r="BC2004" s="9"/>
      <c r="BF2004" s="9"/>
      <c r="BI2004" s="9"/>
    </row>
    <row r="2005" spans="18:61">
      <c r="R2005" s="6"/>
      <c r="AS2005" s="15"/>
      <c r="AT2005" s="6" t="str">
        <f ca="1">IFERROR(__xludf.DUMMYFUNCTION("""COMPUTED_VALUE"""),"#N/A")</f>
        <v>#N/A</v>
      </c>
      <c r="AU2005" s="6" t="str">
        <f ca="1">IFERROR(__xludf.DUMMYFUNCTION("""COMPUTED_VALUE"""),"FALSE")</f>
        <v>FALSE</v>
      </c>
      <c r="AZ2005" s="9"/>
      <c r="BC2005" s="9"/>
      <c r="BF2005" s="9"/>
      <c r="BI2005" s="9"/>
    </row>
    <row r="2006" spans="18:61">
      <c r="R2006" s="6"/>
      <c r="AS2006" s="15"/>
      <c r="AT2006" s="6" t="str">
        <f ca="1">IFERROR(__xludf.DUMMYFUNCTION("""COMPUTED_VALUE"""),"#N/A")</f>
        <v>#N/A</v>
      </c>
      <c r="AU2006" s="6" t="str">
        <f ca="1">IFERROR(__xludf.DUMMYFUNCTION("""COMPUTED_VALUE"""),"FALSE")</f>
        <v>FALSE</v>
      </c>
      <c r="AZ2006" s="9"/>
      <c r="BC2006" s="9"/>
      <c r="BF2006" s="9"/>
      <c r="BI2006" s="9"/>
    </row>
    <row r="2007" spans="18:61">
      <c r="R2007" s="6"/>
      <c r="AS2007" s="15"/>
      <c r="AT2007" s="6" t="str">
        <f ca="1">IFERROR(__xludf.DUMMYFUNCTION("""COMPUTED_VALUE"""),"#N/A")</f>
        <v>#N/A</v>
      </c>
      <c r="AU2007" s="6" t="str">
        <f ca="1">IFERROR(__xludf.DUMMYFUNCTION("""COMPUTED_VALUE"""),"FALSE")</f>
        <v>FALSE</v>
      </c>
      <c r="AZ2007" s="9"/>
      <c r="BC2007" s="9"/>
      <c r="BF2007" s="9"/>
      <c r="BI2007" s="9"/>
    </row>
    <row r="2008" spans="18:61">
      <c r="R2008" s="6"/>
      <c r="AS2008" s="15"/>
      <c r="AT2008" s="6" t="str">
        <f ca="1">IFERROR(__xludf.DUMMYFUNCTION("""COMPUTED_VALUE"""),"#N/A")</f>
        <v>#N/A</v>
      </c>
      <c r="AU2008" s="6" t="str">
        <f ca="1">IFERROR(__xludf.DUMMYFUNCTION("""COMPUTED_VALUE"""),"FALSE")</f>
        <v>FALSE</v>
      </c>
      <c r="AZ2008" s="9"/>
      <c r="BC2008" s="9"/>
      <c r="BF2008" s="9"/>
      <c r="BI2008" s="9"/>
    </row>
    <row r="2009" spans="18:61">
      <c r="R2009" s="6"/>
      <c r="AS2009" s="15"/>
      <c r="AT2009" s="6" t="str">
        <f ca="1">IFERROR(__xludf.DUMMYFUNCTION("""COMPUTED_VALUE"""),"#N/A")</f>
        <v>#N/A</v>
      </c>
      <c r="AU2009" s="6" t="str">
        <f ca="1">IFERROR(__xludf.DUMMYFUNCTION("""COMPUTED_VALUE"""),"FALSE")</f>
        <v>FALSE</v>
      </c>
      <c r="AZ2009" s="9"/>
      <c r="BC2009" s="9"/>
      <c r="BF2009" s="9"/>
      <c r="BI2009" s="9"/>
    </row>
    <row r="2010" spans="18:61">
      <c r="R2010" s="6"/>
      <c r="AS2010" s="15"/>
      <c r="AT2010" s="6" t="str">
        <f ca="1">IFERROR(__xludf.DUMMYFUNCTION("""COMPUTED_VALUE"""),"#N/A")</f>
        <v>#N/A</v>
      </c>
      <c r="AU2010" s="6" t="str">
        <f ca="1">IFERROR(__xludf.DUMMYFUNCTION("""COMPUTED_VALUE"""),"FALSE")</f>
        <v>FALSE</v>
      </c>
      <c r="AZ2010" s="9"/>
      <c r="BC2010" s="9"/>
      <c r="BF2010" s="9"/>
      <c r="BI2010" s="9"/>
    </row>
    <row r="2011" spans="18:61">
      <c r="R2011" s="6"/>
      <c r="AS2011" s="15"/>
      <c r="AT2011" s="6" t="str">
        <f ca="1">IFERROR(__xludf.DUMMYFUNCTION("""COMPUTED_VALUE"""),"#N/A")</f>
        <v>#N/A</v>
      </c>
      <c r="AU2011" s="6" t="str">
        <f ca="1">IFERROR(__xludf.DUMMYFUNCTION("""COMPUTED_VALUE"""),"FALSE")</f>
        <v>FALSE</v>
      </c>
      <c r="AZ2011" s="9"/>
      <c r="BC2011" s="9"/>
      <c r="BF2011" s="9"/>
      <c r="BI2011" s="9"/>
    </row>
    <row r="2012" spans="18:61">
      <c r="R2012" s="6"/>
      <c r="AS2012" s="15"/>
      <c r="AT2012" s="6" t="str">
        <f ca="1">IFERROR(__xludf.DUMMYFUNCTION("""COMPUTED_VALUE"""),"#N/A")</f>
        <v>#N/A</v>
      </c>
      <c r="AU2012" s="6" t="str">
        <f ca="1">IFERROR(__xludf.DUMMYFUNCTION("""COMPUTED_VALUE"""),"FALSE")</f>
        <v>FALSE</v>
      </c>
      <c r="AZ2012" s="9"/>
      <c r="BC2012" s="9"/>
      <c r="BF2012" s="9"/>
      <c r="BI2012" s="9"/>
    </row>
    <row r="2013" spans="18:61">
      <c r="R2013" s="6"/>
      <c r="AS2013" s="15"/>
      <c r="AT2013" s="6" t="str">
        <f ca="1">IFERROR(__xludf.DUMMYFUNCTION("""COMPUTED_VALUE"""),"#N/A")</f>
        <v>#N/A</v>
      </c>
      <c r="AU2013" s="6" t="str">
        <f ca="1">IFERROR(__xludf.DUMMYFUNCTION("""COMPUTED_VALUE"""),"FALSE")</f>
        <v>FALSE</v>
      </c>
      <c r="AZ2013" s="9"/>
      <c r="BC2013" s="9"/>
      <c r="BF2013" s="9"/>
      <c r="BI2013" s="9"/>
    </row>
    <row r="2014" spans="18:61">
      <c r="R2014" s="6"/>
      <c r="AS2014" s="15"/>
      <c r="AT2014" s="6" t="str">
        <f ca="1">IFERROR(__xludf.DUMMYFUNCTION("""COMPUTED_VALUE"""),"#N/A")</f>
        <v>#N/A</v>
      </c>
      <c r="AU2014" s="6" t="str">
        <f ca="1">IFERROR(__xludf.DUMMYFUNCTION("""COMPUTED_VALUE"""),"FALSE")</f>
        <v>FALSE</v>
      </c>
      <c r="AZ2014" s="9"/>
      <c r="BC2014" s="9"/>
      <c r="BF2014" s="9"/>
      <c r="BI2014" s="9"/>
    </row>
    <row r="2015" spans="18:61">
      <c r="R2015" s="6"/>
      <c r="AS2015" s="15"/>
      <c r="AT2015" s="6" t="str">
        <f ca="1">IFERROR(__xludf.DUMMYFUNCTION("""COMPUTED_VALUE"""),"#N/A")</f>
        <v>#N/A</v>
      </c>
      <c r="AU2015" s="6" t="str">
        <f ca="1">IFERROR(__xludf.DUMMYFUNCTION("""COMPUTED_VALUE"""),"FALSE")</f>
        <v>FALSE</v>
      </c>
      <c r="AZ2015" s="9"/>
      <c r="BC2015" s="9"/>
      <c r="BF2015" s="9"/>
      <c r="BI2015" s="9"/>
    </row>
    <row r="2016" spans="18:61">
      <c r="R2016" s="6"/>
      <c r="AS2016" s="15"/>
      <c r="AT2016" s="6" t="str">
        <f ca="1">IFERROR(__xludf.DUMMYFUNCTION("""COMPUTED_VALUE"""),"#N/A")</f>
        <v>#N/A</v>
      </c>
      <c r="AU2016" s="6" t="str">
        <f ca="1">IFERROR(__xludf.DUMMYFUNCTION("""COMPUTED_VALUE"""),"FALSE")</f>
        <v>FALSE</v>
      </c>
      <c r="AZ2016" s="9"/>
      <c r="BC2016" s="9"/>
      <c r="BF2016" s="9"/>
      <c r="BI2016" s="9"/>
    </row>
    <row r="2017" spans="18:61">
      <c r="R2017" s="6"/>
      <c r="AS2017" s="15"/>
      <c r="AT2017" s="6" t="str">
        <f ca="1">IFERROR(__xludf.DUMMYFUNCTION("""COMPUTED_VALUE"""),"#N/A")</f>
        <v>#N/A</v>
      </c>
      <c r="AU2017" s="6" t="str">
        <f ca="1">IFERROR(__xludf.DUMMYFUNCTION("""COMPUTED_VALUE"""),"FALSE")</f>
        <v>FALSE</v>
      </c>
      <c r="AZ2017" s="9"/>
      <c r="BC2017" s="9"/>
      <c r="BF2017" s="9"/>
      <c r="BI2017" s="9"/>
    </row>
    <row r="2018" spans="18:61">
      <c r="R2018" s="6"/>
      <c r="AS2018" s="15"/>
      <c r="AT2018" s="6" t="str">
        <f ca="1">IFERROR(__xludf.DUMMYFUNCTION("""COMPUTED_VALUE"""),"#N/A")</f>
        <v>#N/A</v>
      </c>
      <c r="AU2018" s="6" t="str">
        <f ca="1">IFERROR(__xludf.DUMMYFUNCTION("""COMPUTED_VALUE"""),"FALSE")</f>
        <v>FALSE</v>
      </c>
      <c r="AZ2018" s="9"/>
      <c r="BC2018" s="9"/>
      <c r="BF2018" s="9"/>
      <c r="BI2018" s="9"/>
    </row>
    <row r="2019" spans="18:61">
      <c r="R2019" s="6"/>
      <c r="AS2019" s="15"/>
      <c r="AT2019" s="6" t="str">
        <f ca="1">IFERROR(__xludf.DUMMYFUNCTION("""COMPUTED_VALUE"""),"#N/A")</f>
        <v>#N/A</v>
      </c>
      <c r="AU2019" s="6" t="str">
        <f ca="1">IFERROR(__xludf.DUMMYFUNCTION("""COMPUTED_VALUE"""),"FALSE")</f>
        <v>FALSE</v>
      </c>
      <c r="AZ2019" s="9"/>
      <c r="BC2019" s="9"/>
      <c r="BF2019" s="9"/>
      <c r="BI2019" s="9"/>
    </row>
    <row r="2020" spans="18:61">
      <c r="R2020" s="6"/>
      <c r="AS2020" s="15"/>
      <c r="AT2020" s="6" t="str">
        <f ca="1">IFERROR(__xludf.DUMMYFUNCTION("""COMPUTED_VALUE"""),"#N/A")</f>
        <v>#N/A</v>
      </c>
      <c r="AU2020" s="6" t="str">
        <f ca="1">IFERROR(__xludf.DUMMYFUNCTION("""COMPUTED_VALUE"""),"FALSE")</f>
        <v>FALSE</v>
      </c>
      <c r="AZ2020" s="9"/>
      <c r="BC2020" s="9"/>
      <c r="BF2020" s="9"/>
      <c r="BI2020" s="9"/>
    </row>
    <row r="2021" spans="18:61">
      <c r="R2021" s="6"/>
      <c r="AS2021" s="15"/>
      <c r="AT2021" s="6" t="str">
        <f ca="1">IFERROR(__xludf.DUMMYFUNCTION("""COMPUTED_VALUE"""),"#N/A")</f>
        <v>#N/A</v>
      </c>
      <c r="AU2021" s="6" t="str">
        <f ca="1">IFERROR(__xludf.DUMMYFUNCTION("""COMPUTED_VALUE"""),"FALSE")</f>
        <v>FALSE</v>
      </c>
      <c r="AZ2021" s="9"/>
      <c r="BC2021" s="9"/>
      <c r="BF2021" s="9"/>
      <c r="BI2021" s="9"/>
    </row>
    <row r="2022" spans="18:61">
      <c r="R2022" s="6"/>
      <c r="AS2022" s="15"/>
      <c r="AT2022" s="6" t="str">
        <f ca="1">IFERROR(__xludf.DUMMYFUNCTION("""COMPUTED_VALUE"""),"#N/A")</f>
        <v>#N/A</v>
      </c>
      <c r="AU2022" s="6" t="str">
        <f ca="1">IFERROR(__xludf.DUMMYFUNCTION("""COMPUTED_VALUE"""),"FALSE")</f>
        <v>FALSE</v>
      </c>
      <c r="AZ2022" s="9"/>
      <c r="BC2022" s="9"/>
      <c r="BF2022" s="9"/>
      <c r="BI2022" s="9"/>
    </row>
    <row r="2023" spans="18:61">
      <c r="R2023" s="6"/>
      <c r="AS2023" s="15"/>
      <c r="AT2023" s="6" t="str">
        <f ca="1">IFERROR(__xludf.DUMMYFUNCTION("""COMPUTED_VALUE"""),"#N/A")</f>
        <v>#N/A</v>
      </c>
      <c r="AU2023" s="6" t="str">
        <f ca="1">IFERROR(__xludf.DUMMYFUNCTION("""COMPUTED_VALUE"""),"FALSE")</f>
        <v>FALSE</v>
      </c>
      <c r="AZ2023" s="9"/>
      <c r="BC2023" s="9"/>
      <c r="BF2023" s="9"/>
      <c r="BI2023" s="9"/>
    </row>
    <row r="2024" spans="18:61">
      <c r="R2024" s="6"/>
      <c r="AS2024" s="15"/>
      <c r="AT2024" s="6" t="str">
        <f ca="1">IFERROR(__xludf.DUMMYFUNCTION("""COMPUTED_VALUE"""),"#N/A")</f>
        <v>#N/A</v>
      </c>
      <c r="AU2024" s="6" t="str">
        <f ca="1">IFERROR(__xludf.DUMMYFUNCTION("""COMPUTED_VALUE"""),"FALSE")</f>
        <v>FALSE</v>
      </c>
      <c r="AZ2024" s="9"/>
      <c r="BC2024" s="9"/>
      <c r="BF2024" s="9"/>
      <c r="BI2024" s="9"/>
    </row>
    <row r="2025" spans="18:61">
      <c r="R2025" s="6"/>
      <c r="AS2025" s="15"/>
      <c r="AT2025" s="6" t="str">
        <f ca="1">IFERROR(__xludf.DUMMYFUNCTION("""COMPUTED_VALUE"""),"#N/A")</f>
        <v>#N/A</v>
      </c>
      <c r="AU2025" s="6" t="str">
        <f ca="1">IFERROR(__xludf.DUMMYFUNCTION("""COMPUTED_VALUE"""),"FALSE")</f>
        <v>FALSE</v>
      </c>
      <c r="AZ2025" s="9"/>
      <c r="BC2025" s="9"/>
      <c r="BF2025" s="9"/>
      <c r="BI2025" s="9"/>
    </row>
    <row r="2026" spans="18:61">
      <c r="R2026" s="6"/>
      <c r="AS2026" s="15"/>
      <c r="AT2026" s="6" t="str">
        <f ca="1">IFERROR(__xludf.DUMMYFUNCTION("""COMPUTED_VALUE"""),"#N/A")</f>
        <v>#N/A</v>
      </c>
      <c r="AU2026" s="6" t="str">
        <f ca="1">IFERROR(__xludf.DUMMYFUNCTION("""COMPUTED_VALUE"""),"FALSE")</f>
        <v>FALSE</v>
      </c>
      <c r="AZ2026" s="9"/>
      <c r="BC2026" s="9"/>
      <c r="BF2026" s="9"/>
      <c r="BI2026" s="9"/>
    </row>
    <row r="2027" spans="18:61">
      <c r="R2027" s="6"/>
      <c r="AS2027" s="15"/>
      <c r="AT2027" s="6" t="str">
        <f ca="1">IFERROR(__xludf.DUMMYFUNCTION("""COMPUTED_VALUE"""),"#N/A")</f>
        <v>#N/A</v>
      </c>
      <c r="AU2027" s="6" t="str">
        <f ca="1">IFERROR(__xludf.DUMMYFUNCTION("""COMPUTED_VALUE"""),"FALSE")</f>
        <v>FALSE</v>
      </c>
      <c r="AZ2027" s="9"/>
      <c r="BC2027" s="9"/>
      <c r="BF2027" s="9"/>
      <c r="BI2027" s="9"/>
    </row>
    <row r="2028" spans="18:61">
      <c r="R2028" s="6"/>
      <c r="AS2028" s="15"/>
      <c r="AT2028" s="6" t="str">
        <f ca="1">IFERROR(__xludf.DUMMYFUNCTION("""COMPUTED_VALUE"""),"#N/A")</f>
        <v>#N/A</v>
      </c>
      <c r="AU2028" s="6" t="str">
        <f ca="1">IFERROR(__xludf.DUMMYFUNCTION("""COMPUTED_VALUE"""),"FALSE")</f>
        <v>FALSE</v>
      </c>
      <c r="AZ2028" s="9"/>
      <c r="BC2028" s="9"/>
      <c r="BF2028" s="9"/>
      <c r="BI2028" s="9"/>
    </row>
    <row r="2029" spans="18:61">
      <c r="R2029" s="6"/>
      <c r="AS2029" s="15"/>
      <c r="AT2029" s="6" t="str">
        <f ca="1">IFERROR(__xludf.DUMMYFUNCTION("""COMPUTED_VALUE"""),"#N/A")</f>
        <v>#N/A</v>
      </c>
      <c r="AU2029" s="6" t="str">
        <f ca="1">IFERROR(__xludf.DUMMYFUNCTION("""COMPUTED_VALUE"""),"FALSE")</f>
        <v>FALSE</v>
      </c>
      <c r="AZ2029" s="9"/>
      <c r="BC2029" s="9"/>
      <c r="BF2029" s="9"/>
      <c r="BI2029" s="9"/>
    </row>
    <row r="2030" spans="18:61">
      <c r="R2030" s="6"/>
      <c r="AS2030" s="15"/>
      <c r="AT2030" s="6" t="str">
        <f ca="1">IFERROR(__xludf.DUMMYFUNCTION("""COMPUTED_VALUE"""),"#N/A")</f>
        <v>#N/A</v>
      </c>
      <c r="AU2030" s="6" t="str">
        <f ca="1">IFERROR(__xludf.DUMMYFUNCTION("""COMPUTED_VALUE"""),"FALSE")</f>
        <v>FALSE</v>
      </c>
      <c r="AZ2030" s="9"/>
      <c r="BC2030" s="9"/>
      <c r="BF2030" s="9"/>
      <c r="BI2030" s="9"/>
    </row>
    <row r="2031" spans="18:61">
      <c r="R2031" s="6"/>
      <c r="AS2031" s="15"/>
      <c r="AT2031" s="6" t="str">
        <f ca="1">IFERROR(__xludf.DUMMYFUNCTION("""COMPUTED_VALUE"""),"#N/A")</f>
        <v>#N/A</v>
      </c>
      <c r="AU2031" s="6" t="str">
        <f ca="1">IFERROR(__xludf.DUMMYFUNCTION("""COMPUTED_VALUE"""),"FALSE")</f>
        <v>FALSE</v>
      </c>
      <c r="AZ2031" s="9"/>
      <c r="BC2031" s="9"/>
      <c r="BF2031" s="9"/>
      <c r="BI2031" s="9"/>
    </row>
    <row r="2032" spans="18:61">
      <c r="R2032" s="6"/>
      <c r="AS2032" s="15"/>
      <c r="AT2032" s="6" t="str">
        <f ca="1">IFERROR(__xludf.DUMMYFUNCTION("""COMPUTED_VALUE"""),"#N/A")</f>
        <v>#N/A</v>
      </c>
      <c r="AU2032" s="6" t="str">
        <f ca="1">IFERROR(__xludf.DUMMYFUNCTION("""COMPUTED_VALUE"""),"FALSE")</f>
        <v>FALSE</v>
      </c>
      <c r="AZ2032" s="9"/>
      <c r="BC2032" s="9"/>
      <c r="BF2032" s="9"/>
      <c r="BI2032" s="9"/>
    </row>
    <row r="2033" spans="18:61">
      <c r="R2033" s="6"/>
      <c r="AS2033" s="15"/>
      <c r="AT2033" s="6" t="str">
        <f ca="1">IFERROR(__xludf.DUMMYFUNCTION("""COMPUTED_VALUE"""),"#N/A")</f>
        <v>#N/A</v>
      </c>
      <c r="AU2033" s="6" t="str">
        <f ca="1">IFERROR(__xludf.DUMMYFUNCTION("""COMPUTED_VALUE"""),"FALSE")</f>
        <v>FALSE</v>
      </c>
      <c r="AZ2033" s="9"/>
      <c r="BC2033" s="9"/>
      <c r="BF2033" s="9"/>
      <c r="BI2033" s="9"/>
    </row>
    <row r="2034" spans="18:61">
      <c r="R2034" s="6"/>
      <c r="AS2034" s="15"/>
      <c r="AT2034" s="6" t="str">
        <f ca="1">IFERROR(__xludf.DUMMYFUNCTION("""COMPUTED_VALUE"""),"#N/A")</f>
        <v>#N/A</v>
      </c>
      <c r="AU2034" s="6" t="str">
        <f ca="1">IFERROR(__xludf.DUMMYFUNCTION("""COMPUTED_VALUE"""),"FALSE")</f>
        <v>FALSE</v>
      </c>
      <c r="AZ2034" s="9"/>
      <c r="BC2034" s="9"/>
      <c r="BF2034" s="9"/>
      <c r="BI2034" s="9"/>
    </row>
    <row r="2035" spans="18:61">
      <c r="R2035" s="6"/>
      <c r="AS2035" s="15"/>
      <c r="AT2035" s="6" t="str">
        <f ca="1">IFERROR(__xludf.DUMMYFUNCTION("""COMPUTED_VALUE"""),"#N/A")</f>
        <v>#N/A</v>
      </c>
      <c r="AU2035" s="6" t="str">
        <f ca="1">IFERROR(__xludf.DUMMYFUNCTION("""COMPUTED_VALUE"""),"FALSE")</f>
        <v>FALSE</v>
      </c>
      <c r="AZ2035" s="9"/>
      <c r="BC2035" s="9"/>
      <c r="BF2035" s="9"/>
      <c r="BI2035" s="9"/>
    </row>
    <row r="2036" spans="18:61">
      <c r="R2036" s="6"/>
      <c r="AS2036" s="15"/>
      <c r="AT2036" s="6" t="str">
        <f ca="1">IFERROR(__xludf.DUMMYFUNCTION("""COMPUTED_VALUE"""),"#N/A")</f>
        <v>#N/A</v>
      </c>
      <c r="AU2036" s="6" t="str">
        <f ca="1">IFERROR(__xludf.DUMMYFUNCTION("""COMPUTED_VALUE"""),"FALSE")</f>
        <v>FALSE</v>
      </c>
      <c r="AZ2036" s="9"/>
      <c r="BC2036" s="9"/>
      <c r="BF2036" s="9"/>
      <c r="BI2036" s="9"/>
    </row>
    <row r="2037" spans="18:61">
      <c r="R2037" s="6"/>
      <c r="AS2037" s="15"/>
      <c r="AT2037" s="6" t="str">
        <f ca="1">IFERROR(__xludf.DUMMYFUNCTION("""COMPUTED_VALUE"""),"#N/A")</f>
        <v>#N/A</v>
      </c>
      <c r="AU2037" s="6" t="str">
        <f ca="1">IFERROR(__xludf.DUMMYFUNCTION("""COMPUTED_VALUE"""),"FALSE")</f>
        <v>FALSE</v>
      </c>
      <c r="AZ2037" s="9"/>
      <c r="BC2037" s="9"/>
      <c r="BF2037" s="9"/>
      <c r="BI2037" s="9"/>
    </row>
    <row r="2038" spans="18:61">
      <c r="R2038" s="6"/>
      <c r="AS2038" s="15"/>
      <c r="AT2038" s="6" t="str">
        <f ca="1">IFERROR(__xludf.DUMMYFUNCTION("""COMPUTED_VALUE"""),"#N/A")</f>
        <v>#N/A</v>
      </c>
      <c r="AU2038" s="6" t="str">
        <f ca="1">IFERROR(__xludf.DUMMYFUNCTION("""COMPUTED_VALUE"""),"FALSE")</f>
        <v>FALSE</v>
      </c>
      <c r="AZ2038" s="9"/>
      <c r="BC2038" s="9"/>
      <c r="BF2038" s="9"/>
      <c r="BI2038" s="9"/>
    </row>
    <row r="2039" spans="18:61">
      <c r="R2039" s="6"/>
      <c r="AS2039" s="15"/>
      <c r="AT2039" s="6" t="str">
        <f ca="1">IFERROR(__xludf.DUMMYFUNCTION("""COMPUTED_VALUE"""),"#N/A")</f>
        <v>#N/A</v>
      </c>
      <c r="AU2039" s="6" t="str">
        <f ca="1">IFERROR(__xludf.DUMMYFUNCTION("""COMPUTED_VALUE"""),"FALSE")</f>
        <v>FALSE</v>
      </c>
      <c r="AZ2039" s="9"/>
      <c r="BC2039" s="9"/>
      <c r="BF2039" s="9"/>
      <c r="BI2039" s="9"/>
    </row>
    <row r="2040" spans="18:61">
      <c r="R2040" s="6"/>
      <c r="AS2040" s="15"/>
      <c r="AT2040" s="6" t="str">
        <f ca="1">IFERROR(__xludf.DUMMYFUNCTION("""COMPUTED_VALUE"""),"#N/A")</f>
        <v>#N/A</v>
      </c>
      <c r="AU2040" s="6" t="str">
        <f ca="1">IFERROR(__xludf.DUMMYFUNCTION("""COMPUTED_VALUE"""),"FALSE")</f>
        <v>FALSE</v>
      </c>
      <c r="AZ2040" s="9"/>
      <c r="BC2040" s="9"/>
      <c r="BF2040" s="9"/>
      <c r="BI2040" s="9"/>
    </row>
    <row r="2041" spans="18:61">
      <c r="R2041" s="6"/>
      <c r="AS2041" s="15"/>
      <c r="AT2041" s="6" t="str">
        <f ca="1">IFERROR(__xludf.DUMMYFUNCTION("""COMPUTED_VALUE"""),"#N/A")</f>
        <v>#N/A</v>
      </c>
      <c r="AU2041" s="6" t="str">
        <f ca="1">IFERROR(__xludf.DUMMYFUNCTION("""COMPUTED_VALUE"""),"FALSE")</f>
        <v>FALSE</v>
      </c>
      <c r="AZ2041" s="9"/>
      <c r="BC2041" s="9"/>
      <c r="BF2041" s="9"/>
      <c r="BI2041" s="9"/>
    </row>
    <row r="2042" spans="18:61">
      <c r="R2042" s="6"/>
      <c r="AS2042" s="15"/>
      <c r="AT2042" s="6" t="str">
        <f ca="1">IFERROR(__xludf.DUMMYFUNCTION("""COMPUTED_VALUE"""),"#N/A")</f>
        <v>#N/A</v>
      </c>
      <c r="AU2042" s="6" t="str">
        <f ca="1">IFERROR(__xludf.DUMMYFUNCTION("""COMPUTED_VALUE"""),"FALSE")</f>
        <v>FALSE</v>
      </c>
      <c r="AZ2042" s="9"/>
      <c r="BC2042" s="9"/>
      <c r="BF2042" s="9"/>
      <c r="BI2042" s="9"/>
    </row>
    <row r="2043" spans="18:61">
      <c r="R2043" s="6"/>
      <c r="AS2043" s="15"/>
      <c r="AT2043" s="6" t="str">
        <f ca="1">IFERROR(__xludf.DUMMYFUNCTION("""COMPUTED_VALUE"""),"#N/A")</f>
        <v>#N/A</v>
      </c>
      <c r="AU2043" s="6" t="str">
        <f ca="1">IFERROR(__xludf.DUMMYFUNCTION("""COMPUTED_VALUE"""),"FALSE")</f>
        <v>FALSE</v>
      </c>
      <c r="AZ2043" s="9"/>
      <c r="BC2043" s="9"/>
      <c r="BF2043" s="9"/>
      <c r="BI2043" s="9"/>
    </row>
    <row r="2044" spans="18:61">
      <c r="R2044" s="6"/>
      <c r="AS2044" s="15"/>
      <c r="AT2044" s="6" t="str">
        <f ca="1">IFERROR(__xludf.DUMMYFUNCTION("""COMPUTED_VALUE"""),"#N/A")</f>
        <v>#N/A</v>
      </c>
      <c r="AU2044" s="6" t="str">
        <f ca="1">IFERROR(__xludf.DUMMYFUNCTION("""COMPUTED_VALUE"""),"FALSE")</f>
        <v>FALSE</v>
      </c>
      <c r="AZ2044" s="9"/>
      <c r="BC2044" s="9"/>
      <c r="BF2044" s="9"/>
      <c r="BI2044" s="9"/>
    </row>
    <row r="2045" spans="18:61">
      <c r="R2045" s="6"/>
      <c r="AS2045" s="15"/>
      <c r="AT2045" s="6" t="str">
        <f ca="1">IFERROR(__xludf.DUMMYFUNCTION("""COMPUTED_VALUE"""),"#N/A")</f>
        <v>#N/A</v>
      </c>
      <c r="AU2045" s="6" t="str">
        <f ca="1">IFERROR(__xludf.DUMMYFUNCTION("""COMPUTED_VALUE"""),"FALSE")</f>
        <v>FALSE</v>
      </c>
      <c r="AZ2045" s="9"/>
      <c r="BC2045" s="9"/>
      <c r="BF2045" s="9"/>
      <c r="BI2045" s="9"/>
    </row>
    <row r="2046" spans="18:61">
      <c r="R2046" s="6"/>
      <c r="AS2046" s="15"/>
      <c r="AT2046" s="6" t="str">
        <f ca="1">IFERROR(__xludf.DUMMYFUNCTION("""COMPUTED_VALUE"""),"#N/A")</f>
        <v>#N/A</v>
      </c>
      <c r="AU2046" s="6" t="str">
        <f ca="1">IFERROR(__xludf.DUMMYFUNCTION("""COMPUTED_VALUE"""),"FALSE")</f>
        <v>FALSE</v>
      </c>
      <c r="AZ2046" s="9"/>
      <c r="BC2046" s="9"/>
      <c r="BF2046" s="9"/>
      <c r="BI2046" s="9"/>
    </row>
    <row r="2047" spans="18:61">
      <c r="R2047" s="6"/>
      <c r="AS2047" s="15"/>
      <c r="AT2047" s="6" t="str">
        <f ca="1">IFERROR(__xludf.DUMMYFUNCTION("""COMPUTED_VALUE"""),"#N/A")</f>
        <v>#N/A</v>
      </c>
      <c r="AU2047" s="6" t="str">
        <f ca="1">IFERROR(__xludf.DUMMYFUNCTION("""COMPUTED_VALUE"""),"FALSE")</f>
        <v>FALSE</v>
      </c>
      <c r="AZ2047" s="9"/>
      <c r="BC2047" s="9"/>
      <c r="BF2047" s="9"/>
      <c r="BI2047" s="9"/>
    </row>
    <row r="2048" spans="18:61">
      <c r="R2048" s="6"/>
      <c r="AS2048" s="15"/>
      <c r="AT2048" s="6" t="str">
        <f ca="1">IFERROR(__xludf.DUMMYFUNCTION("""COMPUTED_VALUE"""),"#N/A")</f>
        <v>#N/A</v>
      </c>
      <c r="AU2048" s="6" t="str">
        <f ca="1">IFERROR(__xludf.DUMMYFUNCTION("""COMPUTED_VALUE"""),"FALSE")</f>
        <v>FALSE</v>
      </c>
      <c r="AZ2048" s="9"/>
      <c r="BC2048" s="9"/>
      <c r="BF2048" s="9"/>
      <c r="BI2048" s="9"/>
    </row>
    <row r="2049" spans="18:61">
      <c r="R2049" s="6"/>
      <c r="AS2049" s="15"/>
      <c r="AT2049" s="6" t="str">
        <f ca="1">IFERROR(__xludf.DUMMYFUNCTION("""COMPUTED_VALUE"""),"#N/A")</f>
        <v>#N/A</v>
      </c>
      <c r="AU2049" s="6" t="str">
        <f ca="1">IFERROR(__xludf.DUMMYFUNCTION("""COMPUTED_VALUE"""),"FALSE")</f>
        <v>FALSE</v>
      </c>
      <c r="AZ2049" s="9"/>
      <c r="BC2049" s="9"/>
      <c r="BF2049" s="9"/>
      <c r="BI2049" s="9"/>
    </row>
    <row r="2050" spans="18:61">
      <c r="R2050" s="6"/>
      <c r="AS2050" s="15"/>
      <c r="AT2050" s="6" t="str">
        <f ca="1">IFERROR(__xludf.DUMMYFUNCTION("""COMPUTED_VALUE"""),"#N/A")</f>
        <v>#N/A</v>
      </c>
      <c r="AU2050" s="6" t="str">
        <f ca="1">IFERROR(__xludf.DUMMYFUNCTION("""COMPUTED_VALUE"""),"FALSE")</f>
        <v>FALSE</v>
      </c>
      <c r="AZ2050" s="9"/>
      <c r="BC2050" s="9"/>
      <c r="BF2050" s="9"/>
      <c r="BI2050" s="9"/>
    </row>
    <row r="2051" spans="18:61">
      <c r="R2051" s="6"/>
      <c r="AS2051" s="15"/>
      <c r="AT2051" s="6" t="str">
        <f ca="1">IFERROR(__xludf.DUMMYFUNCTION("""COMPUTED_VALUE"""),"#N/A")</f>
        <v>#N/A</v>
      </c>
      <c r="AU2051" s="6" t="str">
        <f ca="1">IFERROR(__xludf.DUMMYFUNCTION("""COMPUTED_VALUE"""),"FALSE")</f>
        <v>FALSE</v>
      </c>
      <c r="AZ2051" s="9"/>
      <c r="BC2051" s="9"/>
      <c r="BF2051" s="9"/>
      <c r="BI2051" s="9"/>
    </row>
    <row r="2052" spans="18:61">
      <c r="R2052" s="6"/>
      <c r="AS2052" s="15"/>
      <c r="AT2052" s="6" t="str">
        <f ca="1">IFERROR(__xludf.DUMMYFUNCTION("""COMPUTED_VALUE"""),"#N/A")</f>
        <v>#N/A</v>
      </c>
      <c r="AU2052" s="6" t="str">
        <f ca="1">IFERROR(__xludf.DUMMYFUNCTION("""COMPUTED_VALUE"""),"FALSE")</f>
        <v>FALSE</v>
      </c>
      <c r="AZ2052" s="9"/>
      <c r="BC2052" s="9"/>
      <c r="BF2052" s="9"/>
      <c r="BI2052" s="9"/>
    </row>
    <row r="2053" spans="18:61">
      <c r="R2053" s="6"/>
      <c r="AS2053" s="15"/>
      <c r="AT2053" s="6" t="str">
        <f ca="1">IFERROR(__xludf.DUMMYFUNCTION("""COMPUTED_VALUE"""),"#N/A")</f>
        <v>#N/A</v>
      </c>
      <c r="AU2053" s="6" t="str">
        <f ca="1">IFERROR(__xludf.DUMMYFUNCTION("""COMPUTED_VALUE"""),"FALSE")</f>
        <v>FALSE</v>
      </c>
      <c r="AZ2053" s="9"/>
      <c r="BC2053" s="9"/>
      <c r="BF2053" s="9"/>
      <c r="BI2053" s="9"/>
    </row>
    <row r="2054" spans="18:61">
      <c r="R2054" s="6"/>
      <c r="AS2054" s="15"/>
      <c r="AT2054" s="6" t="str">
        <f ca="1">IFERROR(__xludf.DUMMYFUNCTION("""COMPUTED_VALUE"""),"#N/A")</f>
        <v>#N/A</v>
      </c>
      <c r="AU2054" s="6" t="str">
        <f ca="1">IFERROR(__xludf.DUMMYFUNCTION("""COMPUTED_VALUE"""),"FALSE")</f>
        <v>FALSE</v>
      </c>
      <c r="AZ2054" s="9"/>
      <c r="BC2054" s="9"/>
      <c r="BF2054" s="9"/>
      <c r="BI2054" s="9"/>
    </row>
    <row r="2055" spans="18:61">
      <c r="R2055" s="6"/>
      <c r="AS2055" s="15"/>
      <c r="AT2055" s="6" t="str">
        <f ca="1">IFERROR(__xludf.DUMMYFUNCTION("""COMPUTED_VALUE"""),"#N/A")</f>
        <v>#N/A</v>
      </c>
      <c r="AU2055" s="6" t="str">
        <f ca="1">IFERROR(__xludf.DUMMYFUNCTION("""COMPUTED_VALUE"""),"FALSE")</f>
        <v>FALSE</v>
      </c>
      <c r="AZ2055" s="9"/>
      <c r="BC2055" s="9"/>
      <c r="BF2055" s="9"/>
      <c r="BI2055" s="9"/>
    </row>
    <row r="2056" spans="18:61">
      <c r="R2056" s="6"/>
      <c r="AS2056" s="15"/>
      <c r="AT2056" s="6" t="str">
        <f ca="1">IFERROR(__xludf.DUMMYFUNCTION("""COMPUTED_VALUE"""),"#N/A")</f>
        <v>#N/A</v>
      </c>
      <c r="AU2056" s="6" t="str">
        <f ca="1">IFERROR(__xludf.DUMMYFUNCTION("""COMPUTED_VALUE"""),"FALSE")</f>
        <v>FALSE</v>
      </c>
      <c r="AZ2056" s="9"/>
      <c r="BC2056" s="9"/>
      <c r="BF2056" s="9"/>
      <c r="BI2056" s="9"/>
    </row>
    <row r="2057" spans="18:61">
      <c r="R2057" s="6"/>
      <c r="AS2057" s="15"/>
      <c r="AT2057" s="6" t="str">
        <f ca="1">IFERROR(__xludf.DUMMYFUNCTION("""COMPUTED_VALUE"""),"#N/A")</f>
        <v>#N/A</v>
      </c>
      <c r="AU2057" s="6" t="str">
        <f ca="1">IFERROR(__xludf.DUMMYFUNCTION("""COMPUTED_VALUE"""),"FALSE")</f>
        <v>FALSE</v>
      </c>
      <c r="AZ2057" s="9"/>
      <c r="BC2057" s="9"/>
      <c r="BF2057" s="9"/>
      <c r="BI2057" s="9"/>
    </row>
    <row r="2058" spans="18:61">
      <c r="R2058" s="6"/>
      <c r="AS2058" s="15"/>
      <c r="AT2058" s="6" t="str">
        <f ca="1">IFERROR(__xludf.DUMMYFUNCTION("""COMPUTED_VALUE"""),"#N/A")</f>
        <v>#N/A</v>
      </c>
      <c r="AU2058" s="6" t="str">
        <f ca="1">IFERROR(__xludf.DUMMYFUNCTION("""COMPUTED_VALUE"""),"FALSE")</f>
        <v>FALSE</v>
      </c>
      <c r="AZ2058" s="9"/>
      <c r="BC2058" s="9"/>
      <c r="BF2058" s="9"/>
      <c r="BI2058" s="9"/>
    </row>
    <row r="2059" spans="18:61">
      <c r="R2059" s="6"/>
      <c r="AS2059" s="15"/>
      <c r="AT2059" s="6" t="str">
        <f ca="1">IFERROR(__xludf.DUMMYFUNCTION("""COMPUTED_VALUE"""),"#N/A")</f>
        <v>#N/A</v>
      </c>
      <c r="AU2059" s="6" t="str">
        <f ca="1">IFERROR(__xludf.DUMMYFUNCTION("""COMPUTED_VALUE"""),"FALSE")</f>
        <v>FALSE</v>
      </c>
      <c r="AZ2059" s="9"/>
      <c r="BC2059" s="9"/>
      <c r="BF2059" s="9"/>
      <c r="BI2059" s="9"/>
    </row>
    <row r="2060" spans="18:61">
      <c r="R2060" s="6"/>
      <c r="AS2060" s="15"/>
      <c r="AT2060" s="6" t="str">
        <f ca="1">IFERROR(__xludf.DUMMYFUNCTION("""COMPUTED_VALUE"""),"#N/A")</f>
        <v>#N/A</v>
      </c>
      <c r="AU2060" s="6" t="str">
        <f ca="1">IFERROR(__xludf.DUMMYFUNCTION("""COMPUTED_VALUE"""),"FALSE")</f>
        <v>FALSE</v>
      </c>
      <c r="AZ2060" s="9"/>
      <c r="BC2060" s="9"/>
      <c r="BF2060" s="9"/>
      <c r="BI2060" s="9"/>
    </row>
    <row r="2061" spans="18:61">
      <c r="R2061" s="6"/>
      <c r="AS2061" s="15"/>
      <c r="AT2061" s="6" t="str">
        <f ca="1">IFERROR(__xludf.DUMMYFUNCTION("""COMPUTED_VALUE"""),"#N/A")</f>
        <v>#N/A</v>
      </c>
      <c r="AU2061" s="6" t="str">
        <f ca="1">IFERROR(__xludf.DUMMYFUNCTION("""COMPUTED_VALUE"""),"FALSE")</f>
        <v>FALSE</v>
      </c>
      <c r="AZ2061" s="9"/>
      <c r="BC2061" s="9"/>
      <c r="BF2061" s="9"/>
      <c r="BI2061" s="9"/>
    </row>
    <row r="2062" spans="18:61">
      <c r="R2062" s="6"/>
      <c r="AS2062" s="15"/>
      <c r="AT2062" s="6" t="str">
        <f ca="1">IFERROR(__xludf.DUMMYFUNCTION("""COMPUTED_VALUE"""),"#N/A")</f>
        <v>#N/A</v>
      </c>
      <c r="AU2062" s="6" t="str">
        <f ca="1">IFERROR(__xludf.DUMMYFUNCTION("""COMPUTED_VALUE"""),"FALSE")</f>
        <v>FALSE</v>
      </c>
      <c r="AZ2062" s="9"/>
      <c r="BC2062" s="9"/>
      <c r="BF2062" s="9"/>
      <c r="BI2062" s="9"/>
    </row>
    <row r="2063" spans="18:61">
      <c r="R2063" s="6"/>
      <c r="AS2063" s="15"/>
      <c r="AT2063" s="6" t="str">
        <f ca="1">IFERROR(__xludf.DUMMYFUNCTION("""COMPUTED_VALUE"""),"#N/A")</f>
        <v>#N/A</v>
      </c>
      <c r="AU2063" s="6" t="str">
        <f ca="1">IFERROR(__xludf.DUMMYFUNCTION("""COMPUTED_VALUE"""),"FALSE")</f>
        <v>FALSE</v>
      </c>
      <c r="AZ2063" s="9"/>
      <c r="BC2063" s="9"/>
      <c r="BF2063" s="9"/>
      <c r="BI2063" s="9"/>
    </row>
    <row r="2064" spans="18:61">
      <c r="R2064" s="6"/>
      <c r="AS2064" s="15"/>
      <c r="AT2064" s="6" t="str">
        <f ca="1">IFERROR(__xludf.DUMMYFUNCTION("""COMPUTED_VALUE"""),"#N/A")</f>
        <v>#N/A</v>
      </c>
      <c r="AU2064" s="6" t="str">
        <f ca="1">IFERROR(__xludf.DUMMYFUNCTION("""COMPUTED_VALUE"""),"FALSE")</f>
        <v>FALSE</v>
      </c>
      <c r="AZ2064" s="9"/>
      <c r="BC2064" s="9"/>
      <c r="BF2064" s="9"/>
      <c r="BI2064" s="9"/>
    </row>
    <row r="2065" spans="18:61">
      <c r="R2065" s="6"/>
      <c r="AS2065" s="15"/>
      <c r="AT2065" s="6" t="str">
        <f ca="1">IFERROR(__xludf.DUMMYFUNCTION("""COMPUTED_VALUE"""),"#N/A")</f>
        <v>#N/A</v>
      </c>
      <c r="AU2065" s="6" t="str">
        <f ca="1">IFERROR(__xludf.DUMMYFUNCTION("""COMPUTED_VALUE"""),"FALSE")</f>
        <v>FALSE</v>
      </c>
      <c r="AZ2065" s="9"/>
      <c r="BC2065" s="9"/>
      <c r="BF2065" s="9"/>
      <c r="BI2065" s="9"/>
    </row>
    <row r="2066" spans="18:61">
      <c r="R2066" s="6"/>
      <c r="AS2066" s="15"/>
      <c r="AT2066" s="6" t="str">
        <f ca="1">IFERROR(__xludf.DUMMYFUNCTION("""COMPUTED_VALUE"""),"#N/A")</f>
        <v>#N/A</v>
      </c>
      <c r="AU2066" s="6" t="str">
        <f ca="1">IFERROR(__xludf.DUMMYFUNCTION("""COMPUTED_VALUE"""),"FALSE")</f>
        <v>FALSE</v>
      </c>
      <c r="AZ2066" s="9"/>
      <c r="BC2066" s="9"/>
      <c r="BF2066" s="9"/>
      <c r="BI2066" s="9"/>
    </row>
    <row r="2067" spans="18:61">
      <c r="R2067" s="6"/>
      <c r="AS2067" s="15"/>
      <c r="AT2067" s="6" t="str">
        <f ca="1">IFERROR(__xludf.DUMMYFUNCTION("""COMPUTED_VALUE"""),"#N/A")</f>
        <v>#N/A</v>
      </c>
      <c r="AU2067" s="6" t="str">
        <f ca="1">IFERROR(__xludf.DUMMYFUNCTION("""COMPUTED_VALUE"""),"FALSE")</f>
        <v>FALSE</v>
      </c>
      <c r="AZ2067" s="9"/>
      <c r="BC2067" s="9"/>
      <c r="BF2067" s="9"/>
      <c r="BI2067" s="9"/>
    </row>
    <row r="2068" spans="18:61">
      <c r="R2068" s="6"/>
      <c r="AS2068" s="15"/>
      <c r="AT2068" s="6" t="str">
        <f ca="1">IFERROR(__xludf.DUMMYFUNCTION("""COMPUTED_VALUE"""),"#N/A")</f>
        <v>#N/A</v>
      </c>
      <c r="AU2068" s="6" t="str">
        <f ca="1">IFERROR(__xludf.DUMMYFUNCTION("""COMPUTED_VALUE"""),"FALSE")</f>
        <v>FALSE</v>
      </c>
      <c r="AZ2068" s="9"/>
      <c r="BC2068" s="9"/>
      <c r="BF2068" s="9"/>
      <c r="BI2068" s="9"/>
    </row>
    <row r="2069" spans="18:61">
      <c r="R2069" s="6"/>
      <c r="AS2069" s="15"/>
      <c r="AT2069" s="6" t="str">
        <f ca="1">IFERROR(__xludf.DUMMYFUNCTION("""COMPUTED_VALUE"""),"#N/A")</f>
        <v>#N/A</v>
      </c>
      <c r="AU2069" s="6" t="str">
        <f ca="1">IFERROR(__xludf.DUMMYFUNCTION("""COMPUTED_VALUE"""),"FALSE")</f>
        <v>FALSE</v>
      </c>
      <c r="AZ2069" s="9"/>
      <c r="BC2069" s="9"/>
      <c r="BF2069" s="9"/>
      <c r="BI2069" s="9"/>
    </row>
    <row r="2070" spans="18:61">
      <c r="R2070" s="6"/>
      <c r="AS2070" s="15"/>
      <c r="AT2070" s="6" t="str">
        <f ca="1">IFERROR(__xludf.DUMMYFUNCTION("""COMPUTED_VALUE"""),"#N/A")</f>
        <v>#N/A</v>
      </c>
      <c r="AU2070" s="6" t="str">
        <f ca="1">IFERROR(__xludf.DUMMYFUNCTION("""COMPUTED_VALUE"""),"FALSE")</f>
        <v>FALSE</v>
      </c>
      <c r="AZ2070" s="9"/>
      <c r="BC2070" s="9"/>
      <c r="BF2070" s="9"/>
      <c r="BI2070" s="9"/>
    </row>
    <row r="2071" spans="18:61">
      <c r="R2071" s="6"/>
      <c r="AS2071" s="15"/>
      <c r="AT2071" s="6" t="str">
        <f ca="1">IFERROR(__xludf.DUMMYFUNCTION("""COMPUTED_VALUE"""),"#N/A")</f>
        <v>#N/A</v>
      </c>
      <c r="AU2071" s="6" t="str">
        <f ca="1">IFERROR(__xludf.DUMMYFUNCTION("""COMPUTED_VALUE"""),"FALSE")</f>
        <v>FALSE</v>
      </c>
      <c r="AZ2071" s="9"/>
      <c r="BC2071" s="9"/>
      <c r="BF2071" s="9"/>
      <c r="BI2071" s="9"/>
    </row>
    <row r="2072" spans="18:61">
      <c r="R2072" s="6"/>
      <c r="AS2072" s="15"/>
      <c r="AT2072" s="6" t="str">
        <f ca="1">IFERROR(__xludf.DUMMYFUNCTION("""COMPUTED_VALUE"""),"#N/A")</f>
        <v>#N/A</v>
      </c>
      <c r="AU2072" s="6" t="str">
        <f ca="1">IFERROR(__xludf.DUMMYFUNCTION("""COMPUTED_VALUE"""),"FALSE")</f>
        <v>FALSE</v>
      </c>
      <c r="AZ2072" s="9"/>
      <c r="BC2072" s="9"/>
      <c r="BF2072" s="9"/>
      <c r="BI2072" s="9"/>
    </row>
    <row r="2073" spans="18:61">
      <c r="R2073" s="6"/>
      <c r="AS2073" s="15"/>
      <c r="AT2073" s="6" t="str">
        <f ca="1">IFERROR(__xludf.DUMMYFUNCTION("""COMPUTED_VALUE"""),"#N/A")</f>
        <v>#N/A</v>
      </c>
      <c r="AU2073" s="6" t="str">
        <f ca="1">IFERROR(__xludf.DUMMYFUNCTION("""COMPUTED_VALUE"""),"FALSE")</f>
        <v>FALSE</v>
      </c>
      <c r="AZ2073" s="9"/>
      <c r="BC2073" s="9"/>
      <c r="BF2073" s="9"/>
      <c r="BI2073" s="9"/>
    </row>
    <row r="2074" spans="18:61">
      <c r="R2074" s="6"/>
      <c r="AS2074" s="15"/>
      <c r="AT2074" s="6" t="str">
        <f ca="1">IFERROR(__xludf.DUMMYFUNCTION("""COMPUTED_VALUE"""),"#N/A")</f>
        <v>#N/A</v>
      </c>
      <c r="AU2074" s="6" t="str">
        <f ca="1">IFERROR(__xludf.DUMMYFUNCTION("""COMPUTED_VALUE"""),"FALSE")</f>
        <v>FALSE</v>
      </c>
      <c r="AZ2074" s="9"/>
      <c r="BC2074" s="9"/>
      <c r="BF2074" s="9"/>
      <c r="BI2074" s="9"/>
    </row>
    <row r="2075" spans="18:61">
      <c r="R2075" s="6"/>
      <c r="AS2075" s="15"/>
      <c r="AT2075" s="6" t="str">
        <f ca="1">IFERROR(__xludf.DUMMYFUNCTION("""COMPUTED_VALUE"""),"#N/A")</f>
        <v>#N/A</v>
      </c>
      <c r="AU2075" s="6" t="str">
        <f ca="1">IFERROR(__xludf.DUMMYFUNCTION("""COMPUTED_VALUE"""),"FALSE")</f>
        <v>FALSE</v>
      </c>
      <c r="AZ2075" s="9"/>
      <c r="BC2075" s="9"/>
      <c r="BF2075" s="9"/>
      <c r="BI2075" s="9"/>
    </row>
    <row r="2076" spans="18:61">
      <c r="R2076" s="6"/>
      <c r="AS2076" s="15"/>
      <c r="AT2076" s="6" t="str">
        <f ca="1">IFERROR(__xludf.DUMMYFUNCTION("""COMPUTED_VALUE"""),"#N/A")</f>
        <v>#N/A</v>
      </c>
      <c r="AU2076" s="6" t="str">
        <f ca="1">IFERROR(__xludf.DUMMYFUNCTION("""COMPUTED_VALUE"""),"FALSE")</f>
        <v>FALSE</v>
      </c>
      <c r="AZ2076" s="9"/>
      <c r="BC2076" s="9"/>
      <c r="BF2076" s="9"/>
      <c r="BI2076" s="9"/>
    </row>
    <row r="2077" spans="18:61">
      <c r="R2077" s="6"/>
      <c r="AS2077" s="15"/>
      <c r="AT2077" s="6" t="str">
        <f ca="1">IFERROR(__xludf.DUMMYFUNCTION("""COMPUTED_VALUE"""),"#N/A")</f>
        <v>#N/A</v>
      </c>
      <c r="AU2077" s="6" t="str">
        <f ca="1">IFERROR(__xludf.DUMMYFUNCTION("""COMPUTED_VALUE"""),"FALSE")</f>
        <v>FALSE</v>
      </c>
      <c r="AZ2077" s="9"/>
      <c r="BC2077" s="9"/>
      <c r="BF2077" s="9"/>
      <c r="BI2077" s="9"/>
    </row>
    <row r="2078" spans="18:61">
      <c r="R2078" s="6"/>
      <c r="AS2078" s="15"/>
      <c r="AT2078" s="6" t="str">
        <f ca="1">IFERROR(__xludf.DUMMYFUNCTION("""COMPUTED_VALUE"""),"#N/A")</f>
        <v>#N/A</v>
      </c>
      <c r="AU2078" s="6" t="str">
        <f ca="1">IFERROR(__xludf.DUMMYFUNCTION("""COMPUTED_VALUE"""),"FALSE")</f>
        <v>FALSE</v>
      </c>
      <c r="AZ2078" s="9"/>
      <c r="BC2078" s="9"/>
      <c r="BF2078" s="9"/>
      <c r="BI2078" s="9"/>
    </row>
    <row r="2079" spans="18:61">
      <c r="R2079" s="6"/>
      <c r="AS2079" s="15"/>
      <c r="AT2079" s="6" t="str">
        <f ca="1">IFERROR(__xludf.DUMMYFUNCTION("""COMPUTED_VALUE"""),"#N/A")</f>
        <v>#N/A</v>
      </c>
      <c r="AU2079" s="6" t="str">
        <f ca="1">IFERROR(__xludf.DUMMYFUNCTION("""COMPUTED_VALUE"""),"FALSE")</f>
        <v>FALSE</v>
      </c>
      <c r="AZ2079" s="9"/>
      <c r="BC2079" s="9"/>
      <c r="BF2079" s="9"/>
      <c r="BI2079" s="9"/>
    </row>
    <row r="2080" spans="18:61">
      <c r="R2080" s="6"/>
      <c r="AS2080" s="15"/>
      <c r="AT2080" s="6" t="str">
        <f ca="1">IFERROR(__xludf.DUMMYFUNCTION("""COMPUTED_VALUE"""),"#N/A")</f>
        <v>#N/A</v>
      </c>
      <c r="AU2080" s="6" t="str">
        <f ca="1">IFERROR(__xludf.DUMMYFUNCTION("""COMPUTED_VALUE"""),"FALSE")</f>
        <v>FALSE</v>
      </c>
      <c r="AZ2080" s="9"/>
      <c r="BC2080" s="9"/>
      <c r="BF2080" s="9"/>
      <c r="BI2080" s="9"/>
    </row>
    <row r="2081" spans="18:61">
      <c r="R2081" s="6"/>
      <c r="AS2081" s="15"/>
      <c r="AT2081" s="6" t="str">
        <f ca="1">IFERROR(__xludf.DUMMYFUNCTION("""COMPUTED_VALUE"""),"#N/A")</f>
        <v>#N/A</v>
      </c>
      <c r="AU2081" s="6" t="str">
        <f ca="1">IFERROR(__xludf.DUMMYFUNCTION("""COMPUTED_VALUE"""),"FALSE")</f>
        <v>FALSE</v>
      </c>
      <c r="AZ2081" s="9"/>
      <c r="BC2081" s="9"/>
      <c r="BF2081" s="9"/>
      <c r="BI2081" s="9"/>
    </row>
    <row r="2082" spans="18:61">
      <c r="R2082" s="6"/>
      <c r="AS2082" s="15"/>
      <c r="AT2082" s="6" t="str">
        <f ca="1">IFERROR(__xludf.DUMMYFUNCTION("""COMPUTED_VALUE"""),"#N/A")</f>
        <v>#N/A</v>
      </c>
      <c r="AU2082" s="6" t="str">
        <f ca="1">IFERROR(__xludf.DUMMYFUNCTION("""COMPUTED_VALUE"""),"FALSE")</f>
        <v>FALSE</v>
      </c>
      <c r="AZ2082" s="9"/>
      <c r="BC2082" s="9"/>
      <c r="BF2082" s="9"/>
      <c r="BI2082" s="9"/>
    </row>
    <row r="2083" spans="18:61">
      <c r="R2083" s="6"/>
      <c r="AS2083" s="15"/>
      <c r="AT2083" s="6" t="str">
        <f ca="1">IFERROR(__xludf.DUMMYFUNCTION("""COMPUTED_VALUE"""),"#N/A")</f>
        <v>#N/A</v>
      </c>
      <c r="AU2083" s="6" t="str">
        <f ca="1">IFERROR(__xludf.DUMMYFUNCTION("""COMPUTED_VALUE"""),"FALSE")</f>
        <v>FALSE</v>
      </c>
      <c r="AZ2083" s="9"/>
      <c r="BC2083" s="9"/>
      <c r="BF2083" s="9"/>
      <c r="BI2083" s="9"/>
    </row>
    <row r="2084" spans="18:61">
      <c r="R2084" s="6"/>
      <c r="AS2084" s="15"/>
      <c r="AT2084" s="6" t="str">
        <f ca="1">IFERROR(__xludf.DUMMYFUNCTION("""COMPUTED_VALUE"""),"#N/A")</f>
        <v>#N/A</v>
      </c>
      <c r="AU2084" s="6" t="str">
        <f ca="1">IFERROR(__xludf.DUMMYFUNCTION("""COMPUTED_VALUE"""),"FALSE")</f>
        <v>FALSE</v>
      </c>
      <c r="AZ2084" s="9"/>
      <c r="BC2084" s="9"/>
      <c r="BF2084" s="9"/>
      <c r="BI2084" s="9"/>
    </row>
    <row r="2085" spans="18:61">
      <c r="R2085" s="6"/>
      <c r="AS2085" s="15"/>
      <c r="AT2085" s="6" t="str">
        <f ca="1">IFERROR(__xludf.DUMMYFUNCTION("""COMPUTED_VALUE"""),"#N/A")</f>
        <v>#N/A</v>
      </c>
      <c r="AU2085" s="6" t="str">
        <f ca="1">IFERROR(__xludf.DUMMYFUNCTION("""COMPUTED_VALUE"""),"FALSE")</f>
        <v>FALSE</v>
      </c>
      <c r="AZ2085" s="9"/>
      <c r="BC2085" s="9"/>
      <c r="BF2085" s="9"/>
      <c r="BI2085" s="9"/>
    </row>
    <row r="2086" spans="18:61">
      <c r="R2086" s="6"/>
      <c r="AS2086" s="15"/>
      <c r="AT2086" s="6" t="str">
        <f ca="1">IFERROR(__xludf.DUMMYFUNCTION("""COMPUTED_VALUE"""),"#N/A")</f>
        <v>#N/A</v>
      </c>
      <c r="AU2086" s="6" t="str">
        <f ca="1">IFERROR(__xludf.DUMMYFUNCTION("""COMPUTED_VALUE"""),"FALSE")</f>
        <v>FALSE</v>
      </c>
      <c r="AZ2086" s="9"/>
      <c r="BC2086" s="9"/>
      <c r="BF2086" s="9"/>
      <c r="BI2086" s="9"/>
    </row>
    <row r="2087" spans="18:61">
      <c r="R2087" s="6"/>
      <c r="AS2087" s="15"/>
      <c r="AT2087" s="6" t="str">
        <f ca="1">IFERROR(__xludf.DUMMYFUNCTION("""COMPUTED_VALUE"""),"#N/A")</f>
        <v>#N/A</v>
      </c>
      <c r="AU2087" s="6" t="str">
        <f ca="1">IFERROR(__xludf.DUMMYFUNCTION("""COMPUTED_VALUE"""),"FALSE")</f>
        <v>FALSE</v>
      </c>
      <c r="AZ2087" s="9"/>
      <c r="BC2087" s="9"/>
      <c r="BF2087" s="9"/>
      <c r="BI2087" s="9"/>
    </row>
    <row r="2088" spans="18:61">
      <c r="R2088" s="6"/>
      <c r="AS2088" s="15"/>
      <c r="AT2088" s="6" t="str">
        <f ca="1">IFERROR(__xludf.DUMMYFUNCTION("""COMPUTED_VALUE"""),"#N/A")</f>
        <v>#N/A</v>
      </c>
      <c r="AU2088" s="6" t="str">
        <f ca="1">IFERROR(__xludf.DUMMYFUNCTION("""COMPUTED_VALUE"""),"FALSE")</f>
        <v>FALSE</v>
      </c>
      <c r="AZ2088" s="9"/>
      <c r="BC2088" s="9"/>
      <c r="BF2088" s="9"/>
      <c r="BI2088" s="9"/>
    </row>
    <row r="2089" spans="18:61">
      <c r="R2089" s="6"/>
      <c r="AS2089" s="15"/>
      <c r="AT2089" s="6" t="str">
        <f ca="1">IFERROR(__xludf.DUMMYFUNCTION("""COMPUTED_VALUE"""),"#N/A")</f>
        <v>#N/A</v>
      </c>
      <c r="AU2089" s="6" t="str">
        <f ca="1">IFERROR(__xludf.DUMMYFUNCTION("""COMPUTED_VALUE"""),"FALSE")</f>
        <v>FALSE</v>
      </c>
      <c r="AZ2089" s="9"/>
      <c r="BC2089" s="9"/>
      <c r="BF2089" s="9"/>
      <c r="BI2089" s="9"/>
    </row>
    <row r="2090" spans="18:61">
      <c r="R2090" s="6"/>
      <c r="AS2090" s="15"/>
      <c r="AT2090" s="6" t="str">
        <f ca="1">IFERROR(__xludf.DUMMYFUNCTION("""COMPUTED_VALUE"""),"#N/A")</f>
        <v>#N/A</v>
      </c>
      <c r="AU2090" s="6" t="str">
        <f ca="1">IFERROR(__xludf.DUMMYFUNCTION("""COMPUTED_VALUE"""),"FALSE")</f>
        <v>FALSE</v>
      </c>
      <c r="AZ2090" s="9"/>
      <c r="BC2090" s="9"/>
      <c r="BF2090" s="9"/>
      <c r="BI2090" s="9"/>
    </row>
    <row r="2091" spans="18:61">
      <c r="R2091" s="6"/>
      <c r="AS2091" s="15"/>
      <c r="AT2091" s="6" t="str">
        <f ca="1">IFERROR(__xludf.DUMMYFUNCTION("""COMPUTED_VALUE"""),"#N/A")</f>
        <v>#N/A</v>
      </c>
      <c r="AU2091" s="6" t="str">
        <f ca="1">IFERROR(__xludf.DUMMYFUNCTION("""COMPUTED_VALUE"""),"FALSE")</f>
        <v>FALSE</v>
      </c>
      <c r="AZ2091" s="9"/>
      <c r="BC2091" s="9"/>
      <c r="BF2091" s="9"/>
      <c r="BI2091" s="9"/>
    </row>
    <row r="2092" spans="18:61">
      <c r="R2092" s="6"/>
      <c r="AS2092" s="15"/>
      <c r="AT2092" s="6" t="str">
        <f ca="1">IFERROR(__xludf.DUMMYFUNCTION("""COMPUTED_VALUE"""),"#N/A")</f>
        <v>#N/A</v>
      </c>
      <c r="AU2092" s="6" t="str">
        <f ca="1">IFERROR(__xludf.DUMMYFUNCTION("""COMPUTED_VALUE"""),"FALSE")</f>
        <v>FALSE</v>
      </c>
      <c r="AZ2092" s="9"/>
      <c r="BC2092" s="9"/>
      <c r="BF2092" s="9"/>
      <c r="BI2092" s="9"/>
    </row>
    <row r="2093" spans="18:61">
      <c r="R2093" s="6"/>
      <c r="AS2093" s="15"/>
      <c r="AT2093" s="6" t="str">
        <f ca="1">IFERROR(__xludf.DUMMYFUNCTION("""COMPUTED_VALUE"""),"#N/A")</f>
        <v>#N/A</v>
      </c>
      <c r="AU2093" s="6" t="str">
        <f ca="1">IFERROR(__xludf.DUMMYFUNCTION("""COMPUTED_VALUE"""),"FALSE")</f>
        <v>FALSE</v>
      </c>
      <c r="AZ2093" s="9"/>
      <c r="BC2093" s="9"/>
      <c r="BF2093" s="9"/>
      <c r="BI2093" s="9"/>
    </row>
    <row r="2094" spans="18:61">
      <c r="R2094" s="6"/>
      <c r="AS2094" s="15"/>
      <c r="AT2094" s="6" t="str">
        <f ca="1">IFERROR(__xludf.DUMMYFUNCTION("""COMPUTED_VALUE"""),"#N/A")</f>
        <v>#N/A</v>
      </c>
      <c r="AU2094" s="6" t="str">
        <f ca="1">IFERROR(__xludf.DUMMYFUNCTION("""COMPUTED_VALUE"""),"FALSE")</f>
        <v>FALSE</v>
      </c>
      <c r="AZ2094" s="9"/>
      <c r="BC2094" s="9"/>
      <c r="BF2094" s="9"/>
      <c r="BI2094" s="9"/>
    </row>
    <row r="2095" spans="18:61">
      <c r="R2095" s="6"/>
      <c r="AS2095" s="15"/>
      <c r="AT2095" s="6" t="str">
        <f ca="1">IFERROR(__xludf.DUMMYFUNCTION("""COMPUTED_VALUE"""),"#N/A")</f>
        <v>#N/A</v>
      </c>
      <c r="AU2095" s="6" t="str">
        <f ca="1">IFERROR(__xludf.DUMMYFUNCTION("""COMPUTED_VALUE"""),"FALSE")</f>
        <v>FALSE</v>
      </c>
      <c r="AZ2095" s="9"/>
      <c r="BC2095" s="9"/>
      <c r="BF2095" s="9"/>
      <c r="BI2095" s="9"/>
    </row>
    <row r="2096" spans="18:61">
      <c r="R2096" s="6"/>
      <c r="AS2096" s="15"/>
      <c r="AT2096" s="6" t="str">
        <f ca="1">IFERROR(__xludf.DUMMYFUNCTION("""COMPUTED_VALUE"""),"#N/A")</f>
        <v>#N/A</v>
      </c>
      <c r="AU2096" s="6" t="str">
        <f ca="1">IFERROR(__xludf.DUMMYFUNCTION("""COMPUTED_VALUE"""),"FALSE")</f>
        <v>FALSE</v>
      </c>
      <c r="AZ2096" s="9"/>
      <c r="BC2096" s="9"/>
      <c r="BF2096" s="9"/>
      <c r="BI2096" s="9"/>
    </row>
    <row r="2097" spans="18:61">
      <c r="R2097" s="6"/>
      <c r="AS2097" s="15"/>
      <c r="AT2097" s="6" t="str">
        <f ca="1">IFERROR(__xludf.DUMMYFUNCTION("""COMPUTED_VALUE"""),"#N/A")</f>
        <v>#N/A</v>
      </c>
      <c r="AU2097" s="6" t="str">
        <f ca="1">IFERROR(__xludf.DUMMYFUNCTION("""COMPUTED_VALUE"""),"FALSE")</f>
        <v>FALSE</v>
      </c>
      <c r="AZ2097" s="9"/>
      <c r="BC2097" s="9"/>
      <c r="BF2097" s="9"/>
      <c r="BI2097" s="9"/>
    </row>
    <row r="2098" spans="18:61">
      <c r="R2098" s="6"/>
      <c r="AS2098" s="15"/>
      <c r="AT2098" s="6" t="str">
        <f ca="1">IFERROR(__xludf.DUMMYFUNCTION("""COMPUTED_VALUE"""),"#N/A")</f>
        <v>#N/A</v>
      </c>
      <c r="AU2098" s="6" t="str">
        <f ca="1">IFERROR(__xludf.DUMMYFUNCTION("""COMPUTED_VALUE"""),"FALSE")</f>
        <v>FALSE</v>
      </c>
      <c r="AZ2098" s="9"/>
      <c r="BC2098" s="9"/>
      <c r="BF2098" s="9"/>
      <c r="BI2098" s="9"/>
    </row>
    <row r="2099" spans="18:61">
      <c r="R2099" s="6"/>
      <c r="AS2099" s="15"/>
      <c r="AT2099" s="6" t="str">
        <f ca="1">IFERROR(__xludf.DUMMYFUNCTION("""COMPUTED_VALUE"""),"#N/A")</f>
        <v>#N/A</v>
      </c>
      <c r="AU2099" s="6" t="str">
        <f ca="1">IFERROR(__xludf.DUMMYFUNCTION("""COMPUTED_VALUE"""),"FALSE")</f>
        <v>FALSE</v>
      </c>
      <c r="AZ2099" s="9"/>
      <c r="BC2099" s="9"/>
      <c r="BF2099" s="9"/>
      <c r="BI2099" s="9"/>
    </row>
    <row r="2100" spans="18:61">
      <c r="R2100" s="6"/>
      <c r="AS2100" s="15"/>
      <c r="AT2100" s="6" t="str">
        <f ca="1">IFERROR(__xludf.DUMMYFUNCTION("""COMPUTED_VALUE"""),"#N/A")</f>
        <v>#N/A</v>
      </c>
      <c r="AU2100" s="6" t="str">
        <f ca="1">IFERROR(__xludf.DUMMYFUNCTION("""COMPUTED_VALUE"""),"FALSE")</f>
        <v>FALSE</v>
      </c>
      <c r="AZ2100" s="9"/>
      <c r="BC2100" s="9"/>
      <c r="BF2100" s="9"/>
      <c r="BI2100" s="9"/>
    </row>
    <row r="2101" spans="18:61">
      <c r="R2101" s="6"/>
      <c r="AS2101" s="15"/>
      <c r="AT2101" s="6" t="str">
        <f ca="1">IFERROR(__xludf.DUMMYFUNCTION("""COMPUTED_VALUE"""),"#N/A")</f>
        <v>#N/A</v>
      </c>
      <c r="AU2101" s="6" t="str">
        <f ca="1">IFERROR(__xludf.DUMMYFUNCTION("""COMPUTED_VALUE"""),"FALSE")</f>
        <v>FALSE</v>
      </c>
      <c r="AZ2101" s="9"/>
      <c r="BC2101" s="9"/>
      <c r="BF2101" s="9"/>
      <c r="BI2101" s="9"/>
    </row>
    <row r="2102" spans="18:61">
      <c r="R2102" s="6"/>
      <c r="AS2102" s="15"/>
      <c r="AT2102" s="6" t="str">
        <f ca="1">IFERROR(__xludf.DUMMYFUNCTION("""COMPUTED_VALUE"""),"#N/A")</f>
        <v>#N/A</v>
      </c>
      <c r="AU2102" s="6" t="str">
        <f ca="1">IFERROR(__xludf.DUMMYFUNCTION("""COMPUTED_VALUE"""),"FALSE")</f>
        <v>FALSE</v>
      </c>
      <c r="AZ2102" s="9"/>
      <c r="BC2102" s="9"/>
      <c r="BF2102" s="9"/>
      <c r="BI2102" s="9"/>
    </row>
    <row r="2103" spans="18:61">
      <c r="R2103" s="6"/>
      <c r="AS2103" s="15"/>
      <c r="AT2103" s="6" t="str">
        <f ca="1">IFERROR(__xludf.DUMMYFUNCTION("""COMPUTED_VALUE"""),"#N/A")</f>
        <v>#N/A</v>
      </c>
      <c r="AU2103" s="6" t="str">
        <f ca="1">IFERROR(__xludf.DUMMYFUNCTION("""COMPUTED_VALUE"""),"FALSE")</f>
        <v>FALSE</v>
      </c>
      <c r="AZ2103" s="9"/>
      <c r="BC2103" s="9"/>
      <c r="BF2103" s="9"/>
      <c r="BI2103" s="9"/>
    </row>
    <row r="2104" spans="18:61">
      <c r="R2104" s="6"/>
      <c r="AS2104" s="15"/>
      <c r="AT2104" s="6" t="str">
        <f ca="1">IFERROR(__xludf.DUMMYFUNCTION("""COMPUTED_VALUE"""),"#N/A")</f>
        <v>#N/A</v>
      </c>
      <c r="AU2104" s="6" t="str">
        <f ca="1">IFERROR(__xludf.DUMMYFUNCTION("""COMPUTED_VALUE"""),"FALSE")</f>
        <v>FALSE</v>
      </c>
      <c r="AZ2104" s="9"/>
      <c r="BC2104" s="9"/>
      <c r="BF2104" s="9"/>
      <c r="BI2104" s="9"/>
    </row>
    <row r="2105" spans="18:61">
      <c r="R2105" s="6"/>
      <c r="AS2105" s="15"/>
      <c r="AT2105" s="6" t="str">
        <f ca="1">IFERROR(__xludf.DUMMYFUNCTION("""COMPUTED_VALUE"""),"#N/A")</f>
        <v>#N/A</v>
      </c>
      <c r="AU2105" s="6" t="str">
        <f ca="1">IFERROR(__xludf.DUMMYFUNCTION("""COMPUTED_VALUE"""),"FALSE")</f>
        <v>FALSE</v>
      </c>
      <c r="AZ2105" s="9"/>
      <c r="BC2105" s="9"/>
      <c r="BF2105" s="9"/>
      <c r="BI2105" s="9"/>
    </row>
    <row r="2106" spans="18:61">
      <c r="R2106" s="6"/>
      <c r="AS2106" s="15"/>
      <c r="AT2106" s="6" t="str">
        <f ca="1">IFERROR(__xludf.DUMMYFUNCTION("""COMPUTED_VALUE"""),"#N/A")</f>
        <v>#N/A</v>
      </c>
      <c r="AU2106" s="6" t="str">
        <f ca="1">IFERROR(__xludf.DUMMYFUNCTION("""COMPUTED_VALUE"""),"FALSE")</f>
        <v>FALSE</v>
      </c>
      <c r="AZ2106" s="9"/>
      <c r="BC2106" s="9"/>
      <c r="BF2106" s="9"/>
      <c r="BI2106" s="9"/>
    </row>
    <row r="2107" spans="18:61">
      <c r="R2107" s="6"/>
      <c r="AS2107" s="15"/>
      <c r="AT2107" s="6" t="str">
        <f ca="1">IFERROR(__xludf.DUMMYFUNCTION("""COMPUTED_VALUE"""),"#N/A")</f>
        <v>#N/A</v>
      </c>
      <c r="AU2107" s="6" t="str">
        <f ca="1">IFERROR(__xludf.DUMMYFUNCTION("""COMPUTED_VALUE"""),"FALSE")</f>
        <v>FALSE</v>
      </c>
      <c r="AZ2107" s="9"/>
      <c r="BC2107" s="9"/>
      <c r="BF2107" s="9"/>
      <c r="BI2107" s="9"/>
    </row>
    <row r="2108" spans="18:61">
      <c r="R2108" s="6"/>
      <c r="AS2108" s="15"/>
      <c r="AT2108" s="6" t="str">
        <f ca="1">IFERROR(__xludf.DUMMYFUNCTION("""COMPUTED_VALUE"""),"#N/A")</f>
        <v>#N/A</v>
      </c>
      <c r="AU2108" s="6" t="str">
        <f ca="1">IFERROR(__xludf.DUMMYFUNCTION("""COMPUTED_VALUE"""),"FALSE")</f>
        <v>FALSE</v>
      </c>
      <c r="AZ2108" s="9"/>
      <c r="BC2108" s="9"/>
      <c r="BF2108" s="9"/>
      <c r="BI2108" s="9"/>
    </row>
    <row r="2109" spans="18:61">
      <c r="R2109" s="6"/>
      <c r="AS2109" s="15"/>
      <c r="AT2109" s="6" t="str">
        <f ca="1">IFERROR(__xludf.DUMMYFUNCTION("""COMPUTED_VALUE"""),"#N/A")</f>
        <v>#N/A</v>
      </c>
      <c r="AU2109" s="6" t="str">
        <f ca="1">IFERROR(__xludf.DUMMYFUNCTION("""COMPUTED_VALUE"""),"FALSE")</f>
        <v>FALSE</v>
      </c>
      <c r="AZ2109" s="9"/>
      <c r="BC2109" s="9"/>
      <c r="BF2109" s="9"/>
      <c r="BI2109" s="9"/>
    </row>
    <row r="2110" spans="18:61">
      <c r="R2110" s="6"/>
      <c r="AS2110" s="15"/>
      <c r="AT2110" s="6" t="str">
        <f ca="1">IFERROR(__xludf.DUMMYFUNCTION("""COMPUTED_VALUE"""),"#N/A")</f>
        <v>#N/A</v>
      </c>
      <c r="AU2110" s="6" t="str">
        <f ca="1">IFERROR(__xludf.DUMMYFUNCTION("""COMPUTED_VALUE"""),"FALSE")</f>
        <v>FALSE</v>
      </c>
      <c r="AZ2110" s="9"/>
      <c r="BC2110" s="9"/>
      <c r="BF2110" s="9"/>
      <c r="BI2110" s="9"/>
    </row>
    <row r="2111" spans="18:61">
      <c r="R2111" s="6"/>
      <c r="AS2111" s="15"/>
      <c r="AT2111" s="6" t="str">
        <f ca="1">IFERROR(__xludf.DUMMYFUNCTION("""COMPUTED_VALUE"""),"#N/A")</f>
        <v>#N/A</v>
      </c>
      <c r="AU2111" s="6" t="str">
        <f ca="1">IFERROR(__xludf.DUMMYFUNCTION("""COMPUTED_VALUE"""),"FALSE")</f>
        <v>FALSE</v>
      </c>
      <c r="AZ2111" s="9"/>
      <c r="BC2111" s="9"/>
      <c r="BF2111" s="9"/>
      <c r="BI2111" s="9"/>
    </row>
    <row r="2112" spans="18:61">
      <c r="R2112" s="6"/>
      <c r="AS2112" s="15"/>
      <c r="AT2112" s="6" t="str">
        <f ca="1">IFERROR(__xludf.DUMMYFUNCTION("""COMPUTED_VALUE"""),"#N/A")</f>
        <v>#N/A</v>
      </c>
      <c r="AU2112" s="6" t="str">
        <f ca="1">IFERROR(__xludf.DUMMYFUNCTION("""COMPUTED_VALUE"""),"FALSE")</f>
        <v>FALSE</v>
      </c>
      <c r="AZ2112" s="9"/>
      <c r="BC2112" s="9"/>
      <c r="BF2112" s="9"/>
      <c r="BI2112" s="9"/>
    </row>
    <row r="2113" spans="18:61">
      <c r="R2113" s="6"/>
      <c r="AS2113" s="15"/>
      <c r="AT2113" s="6" t="str">
        <f ca="1">IFERROR(__xludf.DUMMYFUNCTION("""COMPUTED_VALUE"""),"#N/A")</f>
        <v>#N/A</v>
      </c>
      <c r="AU2113" s="6" t="str">
        <f ca="1">IFERROR(__xludf.DUMMYFUNCTION("""COMPUTED_VALUE"""),"FALSE")</f>
        <v>FALSE</v>
      </c>
      <c r="AZ2113" s="9"/>
      <c r="BC2113" s="9"/>
      <c r="BF2113" s="9"/>
      <c r="BI2113" s="9"/>
    </row>
    <row r="2114" spans="18:61">
      <c r="R2114" s="6"/>
      <c r="AS2114" s="15"/>
      <c r="AT2114" s="6" t="str">
        <f ca="1">IFERROR(__xludf.DUMMYFUNCTION("""COMPUTED_VALUE"""),"#N/A")</f>
        <v>#N/A</v>
      </c>
      <c r="AU2114" s="6" t="str">
        <f ca="1">IFERROR(__xludf.DUMMYFUNCTION("""COMPUTED_VALUE"""),"FALSE")</f>
        <v>FALSE</v>
      </c>
      <c r="AZ2114" s="9"/>
      <c r="BC2114" s="9"/>
      <c r="BF2114" s="9"/>
      <c r="BI2114" s="9"/>
    </row>
    <row r="2115" spans="18:61">
      <c r="R2115" s="6"/>
      <c r="AS2115" s="15"/>
      <c r="AT2115" s="6" t="str">
        <f ca="1">IFERROR(__xludf.DUMMYFUNCTION("""COMPUTED_VALUE"""),"#N/A")</f>
        <v>#N/A</v>
      </c>
      <c r="AU2115" s="6" t="str">
        <f ca="1">IFERROR(__xludf.DUMMYFUNCTION("""COMPUTED_VALUE"""),"FALSE")</f>
        <v>FALSE</v>
      </c>
      <c r="AZ2115" s="9"/>
      <c r="BC2115" s="9"/>
      <c r="BF2115" s="9"/>
      <c r="BI2115" s="9"/>
    </row>
    <row r="2116" spans="18:61">
      <c r="R2116" s="6"/>
      <c r="AS2116" s="15"/>
      <c r="AT2116" s="6" t="str">
        <f ca="1">IFERROR(__xludf.DUMMYFUNCTION("""COMPUTED_VALUE"""),"#N/A")</f>
        <v>#N/A</v>
      </c>
      <c r="AU2116" s="6" t="str">
        <f ca="1">IFERROR(__xludf.DUMMYFUNCTION("""COMPUTED_VALUE"""),"FALSE")</f>
        <v>FALSE</v>
      </c>
      <c r="AZ2116" s="9"/>
      <c r="BC2116" s="9"/>
      <c r="BF2116" s="9"/>
      <c r="BI2116" s="9"/>
    </row>
    <row r="2117" spans="18:61">
      <c r="R2117" s="6"/>
      <c r="AS2117" s="15"/>
      <c r="AT2117" s="6" t="str">
        <f ca="1">IFERROR(__xludf.DUMMYFUNCTION("""COMPUTED_VALUE"""),"#N/A")</f>
        <v>#N/A</v>
      </c>
      <c r="AU2117" s="6" t="str">
        <f ca="1">IFERROR(__xludf.DUMMYFUNCTION("""COMPUTED_VALUE"""),"FALSE")</f>
        <v>FALSE</v>
      </c>
      <c r="AZ2117" s="9"/>
      <c r="BC2117" s="9"/>
      <c r="BF2117" s="9"/>
      <c r="BI2117" s="9"/>
    </row>
    <row r="2118" spans="18:61">
      <c r="R2118" s="6"/>
      <c r="AS2118" s="15"/>
      <c r="AT2118" s="6" t="str">
        <f ca="1">IFERROR(__xludf.DUMMYFUNCTION("""COMPUTED_VALUE"""),"#N/A")</f>
        <v>#N/A</v>
      </c>
      <c r="AU2118" s="6" t="str">
        <f ca="1">IFERROR(__xludf.DUMMYFUNCTION("""COMPUTED_VALUE"""),"FALSE")</f>
        <v>FALSE</v>
      </c>
      <c r="AZ2118" s="9"/>
      <c r="BC2118" s="9"/>
      <c r="BF2118" s="9"/>
      <c r="BI2118" s="9"/>
    </row>
    <row r="2119" spans="18:61">
      <c r="R2119" s="6"/>
      <c r="AS2119" s="15"/>
      <c r="AT2119" s="6" t="str">
        <f ca="1">IFERROR(__xludf.DUMMYFUNCTION("""COMPUTED_VALUE"""),"#N/A")</f>
        <v>#N/A</v>
      </c>
      <c r="AU2119" s="6" t="str">
        <f ca="1">IFERROR(__xludf.DUMMYFUNCTION("""COMPUTED_VALUE"""),"FALSE")</f>
        <v>FALSE</v>
      </c>
      <c r="AZ2119" s="9"/>
      <c r="BC2119" s="9"/>
      <c r="BF2119" s="9"/>
      <c r="BI2119" s="9"/>
    </row>
    <row r="2120" spans="18:61">
      <c r="R2120" s="6"/>
      <c r="AS2120" s="15"/>
      <c r="AT2120" s="6" t="str">
        <f ca="1">IFERROR(__xludf.DUMMYFUNCTION("""COMPUTED_VALUE"""),"#N/A")</f>
        <v>#N/A</v>
      </c>
      <c r="AU2120" s="6" t="str">
        <f ca="1">IFERROR(__xludf.DUMMYFUNCTION("""COMPUTED_VALUE"""),"FALSE")</f>
        <v>FALSE</v>
      </c>
      <c r="AZ2120" s="9"/>
      <c r="BC2120" s="9"/>
      <c r="BF2120" s="9"/>
      <c r="BI2120" s="9"/>
    </row>
    <row r="2121" spans="18:61">
      <c r="R2121" s="6"/>
      <c r="AS2121" s="15"/>
      <c r="AT2121" s="6" t="str">
        <f ca="1">IFERROR(__xludf.DUMMYFUNCTION("""COMPUTED_VALUE"""),"#N/A")</f>
        <v>#N/A</v>
      </c>
      <c r="AU2121" s="6" t="str">
        <f ca="1">IFERROR(__xludf.DUMMYFUNCTION("""COMPUTED_VALUE"""),"FALSE")</f>
        <v>FALSE</v>
      </c>
      <c r="AZ2121" s="9"/>
      <c r="BC2121" s="9"/>
      <c r="BF2121" s="9"/>
      <c r="BI2121" s="9"/>
    </row>
    <row r="2122" spans="18:61">
      <c r="R2122" s="6"/>
      <c r="AS2122" s="15"/>
      <c r="AT2122" s="6" t="str">
        <f ca="1">IFERROR(__xludf.DUMMYFUNCTION("""COMPUTED_VALUE"""),"#N/A")</f>
        <v>#N/A</v>
      </c>
      <c r="AU2122" s="6" t="str">
        <f ca="1">IFERROR(__xludf.DUMMYFUNCTION("""COMPUTED_VALUE"""),"FALSE")</f>
        <v>FALSE</v>
      </c>
      <c r="AZ2122" s="9"/>
      <c r="BC2122" s="9"/>
      <c r="BF2122" s="9"/>
      <c r="BI2122" s="9"/>
    </row>
    <row r="2123" spans="18:61">
      <c r="R2123" s="6"/>
      <c r="AS2123" s="15"/>
      <c r="AT2123" s="6" t="str">
        <f ca="1">IFERROR(__xludf.DUMMYFUNCTION("""COMPUTED_VALUE"""),"#N/A")</f>
        <v>#N/A</v>
      </c>
      <c r="AU2123" s="6" t="str">
        <f ca="1">IFERROR(__xludf.DUMMYFUNCTION("""COMPUTED_VALUE"""),"FALSE")</f>
        <v>FALSE</v>
      </c>
      <c r="AZ2123" s="9"/>
      <c r="BC2123" s="9"/>
      <c r="BF2123" s="9"/>
      <c r="BI2123" s="9"/>
    </row>
    <row r="2124" spans="18:61">
      <c r="R2124" s="6"/>
      <c r="AS2124" s="15"/>
      <c r="AT2124" s="6" t="str">
        <f ca="1">IFERROR(__xludf.DUMMYFUNCTION("""COMPUTED_VALUE"""),"#N/A")</f>
        <v>#N/A</v>
      </c>
      <c r="AU2124" s="6" t="str">
        <f ca="1">IFERROR(__xludf.DUMMYFUNCTION("""COMPUTED_VALUE"""),"FALSE")</f>
        <v>FALSE</v>
      </c>
      <c r="AZ2124" s="9"/>
      <c r="BC2124" s="9"/>
      <c r="BF2124" s="9"/>
      <c r="BI2124" s="9"/>
    </row>
    <row r="2125" spans="18:61">
      <c r="R2125" s="6"/>
      <c r="AS2125" s="15"/>
      <c r="AT2125" s="6" t="str">
        <f ca="1">IFERROR(__xludf.DUMMYFUNCTION("""COMPUTED_VALUE"""),"#N/A")</f>
        <v>#N/A</v>
      </c>
      <c r="AU2125" s="6" t="str">
        <f ca="1">IFERROR(__xludf.DUMMYFUNCTION("""COMPUTED_VALUE"""),"FALSE")</f>
        <v>FALSE</v>
      </c>
      <c r="AZ2125" s="9"/>
      <c r="BC2125" s="9"/>
      <c r="BF2125" s="9"/>
      <c r="BI2125" s="9"/>
    </row>
    <row r="2126" spans="18:61">
      <c r="R2126" s="6"/>
      <c r="AS2126" s="15"/>
      <c r="AT2126" s="6" t="str">
        <f ca="1">IFERROR(__xludf.DUMMYFUNCTION("""COMPUTED_VALUE"""),"#N/A")</f>
        <v>#N/A</v>
      </c>
      <c r="AU2126" s="6" t="str">
        <f ca="1">IFERROR(__xludf.DUMMYFUNCTION("""COMPUTED_VALUE"""),"FALSE")</f>
        <v>FALSE</v>
      </c>
      <c r="AZ2126" s="9"/>
      <c r="BC2126" s="9"/>
      <c r="BF2126" s="9"/>
      <c r="BI2126" s="9"/>
    </row>
    <row r="2127" spans="18:61">
      <c r="R2127" s="6"/>
      <c r="AS2127" s="15"/>
      <c r="AT2127" s="6" t="str">
        <f ca="1">IFERROR(__xludf.DUMMYFUNCTION("""COMPUTED_VALUE"""),"#N/A")</f>
        <v>#N/A</v>
      </c>
      <c r="AU2127" s="6" t="str">
        <f ca="1">IFERROR(__xludf.DUMMYFUNCTION("""COMPUTED_VALUE"""),"FALSE")</f>
        <v>FALSE</v>
      </c>
      <c r="AZ2127" s="9"/>
      <c r="BC2127" s="9"/>
      <c r="BF2127" s="9"/>
      <c r="BI2127" s="9"/>
    </row>
    <row r="2128" spans="18:61">
      <c r="R2128" s="6"/>
      <c r="AS2128" s="15"/>
      <c r="AT2128" s="6" t="str">
        <f ca="1">IFERROR(__xludf.DUMMYFUNCTION("""COMPUTED_VALUE"""),"#N/A")</f>
        <v>#N/A</v>
      </c>
      <c r="AU2128" s="6" t="str">
        <f ca="1">IFERROR(__xludf.DUMMYFUNCTION("""COMPUTED_VALUE"""),"FALSE")</f>
        <v>FALSE</v>
      </c>
      <c r="AZ2128" s="9"/>
      <c r="BC2128" s="9"/>
      <c r="BF2128" s="9"/>
      <c r="BI2128" s="9"/>
    </row>
    <row r="2129" spans="18:61">
      <c r="R2129" s="6"/>
      <c r="AS2129" s="15"/>
      <c r="AT2129" s="6" t="str">
        <f ca="1">IFERROR(__xludf.DUMMYFUNCTION("""COMPUTED_VALUE"""),"#N/A")</f>
        <v>#N/A</v>
      </c>
      <c r="AU2129" s="6" t="str">
        <f ca="1">IFERROR(__xludf.DUMMYFUNCTION("""COMPUTED_VALUE"""),"FALSE")</f>
        <v>FALSE</v>
      </c>
      <c r="AZ2129" s="9"/>
      <c r="BC2129" s="9"/>
      <c r="BF2129" s="9"/>
      <c r="BI2129" s="9"/>
    </row>
    <row r="2130" spans="18:61">
      <c r="R2130" s="6"/>
      <c r="AS2130" s="15"/>
      <c r="AT2130" s="6" t="str">
        <f ca="1">IFERROR(__xludf.DUMMYFUNCTION("""COMPUTED_VALUE"""),"#N/A")</f>
        <v>#N/A</v>
      </c>
      <c r="AU2130" s="6" t="str">
        <f ca="1">IFERROR(__xludf.DUMMYFUNCTION("""COMPUTED_VALUE"""),"FALSE")</f>
        <v>FALSE</v>
      </c>
      <c r="AZ2130" s="9"/>
      <c r="BC2130" s="9"/>
      <c r="BF2130" s="9"/>
      <c r="BI2130" s="9"/>
    </row>
    <row r="2131" spans="18:61">
      <c r="R2131" s="6"/>
      <c r="AS2131" s="15"/>
      <c r="AT2131" s="6" t="str">
        <f ca="1">IFERROR(__xludf.DUMMYFUNCTION("""COMPUTED_VALUE"""),"#N/A")</f>
        <v>#N/A</v>
      </c>
      <c r="AU2131" s="6" t="str">
        <f ca="1">IFERROR(__xludf.DUMMYFUNCTION("""COMPUTED_VALUE"""),"FALSE")</f>
        <v>FALSE</v>
      </c>
      <c r="AZ2131" s="9"/>
      <c r="BC2131" s="9"/>
      <c r="BF2131" s="9"/>
      <c r="BI2131" s="9"/>
    </row>
    <row r="2132" spans="18:61">
      <c r="R2132" s="6"/>
      <c r="AS2132" s="15"/>
      <c r="AT2132" s="6" t="str">
        <f ca="1">IFERROR(__xludf.DUMMYFUNCTION("""COMPUTED_VALUE"""),"#N/A")</f>
        <v>#N/A</v>
      </c>
      <c r="AU2132" s="6" t="str">
        <f ca="1">IFERROR(__xludf.DUMMYFUNCTION("""COMPUTED_VALUE"""),"FALSE")</f>
        <v>FALSE</v>
      </c>
      <c r="AZ2132" s="9"/>
      <c r="BC2132" s="9"/>
      <c r="BF2132" s="9"/>
      <c r="BI2132" s="9"/>
    </row>
    <row r="2133" spans="18:61">
      <c r="R2133" s="6"/>
      <c r="AS2133" s="15"/>
      <c r="AT2133" s="6" t="str">
        <f ca="1">IFERROR(__xludf.DUMMYFUNCTION("""COMPUTED_VALUE"""),"#N/A")</f>
        <v>#N/A</v>
      </c>
      <c r="AU2133" s="6" t="str">
        <f ca="1">IFERROR(__xludf.DUMMYFUNCTION("""COMPUTED_VALUE"""),"FALSE")</f>
        <v>FALSE</v>
      </c>
      <c r="AZ2133" s="9"/>
      <c r="BC2133" s="9"/>
      <c r="BF2133" s="9"/>
      <c r="BI2133" s="9"/>
    </row>
    <row r="2134" spans="18:61">
      <c r="R2134" s="6"/>
      <c r="AS2134" s="15"/>
      <c r="AT2134" s="6" t="str">
        <f ca="1">IFERROR(__xludf.DUMMYFUNCTION("""COMPUTED_VALUE"""),"#N/A")</f>
        <v>#N/A</v>
      </c>
      <c r="AU2134" s="6" t="str">
        <f ca="1">IFERROR(__xludf.DUMMYFUNCTION("""COMPUTED_VALUE"""),"FALSE")</f>
        <v>FALSE</v>
      </c>
      <c r="AZ2134" s="9"/>
      <c r="BC2134" s="9"/>
      <c r="BF2134" s="9"/>
      <c r="BI2134" s="9"/>
    </row>
    <row r="2135" spans="18:61">
      <c r="R2135" s="6"/>
      <c r="AS2135" s="15"/>
      <c r="AT2135" s="6" t="str">
        <f ca="1">IFERROR(__xludf.DUMMYFUNCTION("""COMPUTED_VALUE"""),"#N/A")</f>
        <v>#N/A</v>
      </c>
      <c r="AU2135" s="6" t="str">
        <f ca="1">IFERROR(__xludf.DUMMYFUNCTION("""COMPUTED_VALUE"""),"FALSE")</f>
        <v>FALSE</v>
      </c>
      <c r="AZ2135" s="9"/>
      <c r="BC2135" s="9"/>
      <c r="BF2135" s="9"/>
      <c r="BI2135" s="9"/>
    </row>
    <row r="2136" spans="18:61">
      <c r="R2136" s="6"/>
      <c r="AS2136" s="15"/>
      <c r="AT2136" s="6" t="str">
        <f ca="1">IFERROR(__xludf.DUMMYFUNCTION("""COMPUTED_VALUE"""),"#N/A")</f>
        <v>#N/A</v>
      </c>
      <c r="AU2136" s="6" t="str">
        <f ca="1">IFERROR(__xludf.DUMMYFUNCTION("""COMPUTED_VALUE"""),"FALSE")</f>
        <v>FALSE</v>
      </c>
      <c r="AZ2136" s="9"/>
      <c r="BC2136" s="9"/>
      <c r="BF2136" s="9"/>
      <c r="BI2136" s="9"/>
    </row>
    <row r="2137" spans="18:61">
      <c r="R2137" s="6"/>
      <c r="AS2137" s="15"/>
      <c r="AT2137" s="6" t="str">
        <f ca="1">IFERROR(__xludf.DUMMYFUNCTION("""COMPUTED_VALUE"""),"#N/A")</f>
        <v>#N/A</v>
      </c>
      <c r="AU2137" s="6" t="str">
        <f ca="1">IFERROR(__xludf.DUMMYFUNCTION("""COMPUTED_VALUE"""),"FALSE")</f>
        <v>FALSE</v>
      </c>
      <c r="AZ2137" s="9"/>
      <c r="BC2137" s="9"/>
      <c r="BF2137" s="9"/>
      <c r="BI2137" s="9"/>
    </row>
    <row r="2138" spans="18:61">
      <c r="R2138" s="6"/>
      <c r="AS2138" s="15"/>
      <c r="AT2138" s="6" t="str">
        <f ca="1">IFERROR(__xludf.DUMMYFUNCTION("""COMPUTED_VALUE"""),"#N/A")</f>
        <v>#N/A</v>
      </c>
      <c r="AU2138" s="6" t="str">
        <f ca="1">IFERROR(__xludf.DUMMYFUNCTION("""COMPUTED_VALUE"""),"FALSE")</f>
        <v>FALSE</v>
      </c>
      <c r="AZ2138" s="9"/>
      <c r="BC2138" s="9"/>
      <c r="BF2138" s="9"/>
      <c r="BI2138" s="9"/>
    </row>
    <row r="2139" spans="18:61">
      <c r="R2139" s="6"/>
      <c r="AS2139" s="15"/>
      <c r="AT2139" s="6" t="str">
        <f ca="1">IFERROR(__xludf.DUMMYFUNCTION("""COMPUTED_VALUE"""),"#N/A")</f>
        <v>#N/A</v>
      </c>
      <c r="AU2139" s="6" t="str">
        <f ca="1">IFERROR(__xludf.DUMMYFUNCTION("""COMPUTED_VALUE"""),"FALSE")</f>
        <v>FALSE</v>
      </c>
      <c r="AZ2139" s="9"/>
      <c r="BC2139" s="9"/>
      <c r="BF2139" s="9"/>
      <c r="BI2139" s="9"/>
    </row>
    <row r="2140" spans="18:61">
      <c r="R2140" s="6"/>
      <c r="AS2140" s="15"/>
      <c r="AT2140" s="6" t="str">
        <f ca="1">IFERROR(__xludf.DUMMYFUNCTION("""COMPUTED_VALUE"""),"#N/A")</f>
        <v>#N/A</v>
      </c>
      <c r="AU2140" s="6" t="str">
        <f ca="1">IFERROR(__xludf.DUMMYFUNCTION("""COMPUTED_VALUE"""),"FALSE")</f>
        <v>FALSE</v>
      </c>
      <c r="AZ2140" s="9"/>
      <c r="BC2140" s="9"/>
      <c r="BF2140" s="9"/>
      <c r="BI2140" s="9"/>
    </row>
    <row r="2141" spans="18:61">
      <c r="R2141" s="6"/>
      <c r="AS2141" s="15"/>
      <c r="AT2141" s="6" t="str">
        <f ca="1">IFERROR(__xludf.DUMMYFUNCTION("""COMPUTED_VALUE"""),"#N/A")</f>
        <v>#N/A</v>
      </c>
      <c r="AU2141" s="6" t="str">
        <f ca="1">IFERROR(__xludf.DUMMYFUNCTION("""COMPUTED_VALUE"""),"FALSE")</f>
        <v>FALSE</v>
      </c>
      <c r="AZ2141" s="9"/>
      <c r="BC2141" s="9"/>
      <c r="BF2141" s="9"/>
      <c r="BI2141" s="9"/>
    </row>
    <row r="2142" spans="18:61">
      <c r="R2142" s="6"/>
      <c r="AS2142" s="15"/>
      <c r="AT2142" s="6" t="str">
        <f ca="1">IFERROR(__xludf.DUMMYFUNCTION("""COMPUTED_VALUE"""),"#N/A")</f>
        <v>#N/A</v>
      </c>
      <c r="AU2142" s="6" t="str">
        <f ca="1">IFERROR(__xludf.DUMMYFUNCTION("""COMPUTED_VALUE"""),"FALSE")</f>
        <v>FALSE</v>
      </c>
      <c r="AZ2142" s="9"/>
      <c r="BC2142" s="9"/>
      <c r="BF2142" s="9"/>
      <c r="BI2142" s="9"/>
    </row>
    <row r="2143" spans="18:61">
      <c r="R2143" s="6"/>
      <c r="AS2143" s="15"/>
      <c r="AT2143" s="6" t="str">
        <f ca="1">IFERROR(__xludf.DUMMYFUNCTION("""COMPUTED_VALUE"""),"#N/A")</f>
        <v>#N/A</v>
      </c>
      <c r="AU2143" s="6" t="str">
        <f ca="1">IFERROR(__xludf.DUMMYFUNCTION("""COMPUTED_VALUE"""),"FALSE")</f>
        <v>FALSE</v>
      </c>
      <c r="AZ2143" s="9"/>
      <c r="BC2143" s="9"/>
      <c r="BF2143" s="9"/>
      <c r="BI2143" s="9"/>
    </row>
    <row r="2144" spans="18:61">
      <c r="R2144" s="6"/>
      <c r="AS2144" s="15"/>
      <c r="AT2144" s="6" t="str">
        <f ca="1">IFERROR(__xludf.DUMMYFUNCTION("""COMPUTED_VALUE"""),"#N/A")</f>
        <v>#N/A</v>
      </c>
      <c r="AU2144" s="6" t="str">
        <f ca="1">IFERROR(__xludf.DUMMYFUNCTION("""COMPUTED_VALUE"""),"FALSE")</f>
        <v>FALSE</v>
      </c>
      <c r="AZ2144" s="9"/>
      <c r="BC2144" s="9"/>
      <c r="BF2144" s="9"/>
      <c r="BI2144" s="9"/>
    </row>
    <row r="2145" spans="18:61">
      <c r="R2145" s="6"/>
      <c r="AS2145" s="15"/>
      <c r="AT2145" s="6" t="str">
        <f ca="1">IFERROR(__xludf.DUMMYFUNCTION("""COMPUTED_VALUE"""),"#N/A")</f>
        <v>#N/A</v>
      </c>
      <c r="AU2145" s="6" t="str">
        <f ca="1">IFERROR(__xludf.DUMMYFUNCTION("""COMPUTED_VALUE"""),"FALSE")</f>
        <v>FALSE</v>
      </c>
      <c r="AZ2145" s="9"/>
      <c r="BC2145" s="9"/>
      <c r="BF2145" s="9"/>
      <c r="BI2145" s="9"/>
    </row>
    <row r="2146" spans="18:61">
      <c r="R2146" s="6"/>
      <c r="AS2146" s="15"/>
      <c r="AT2146" s="6" t="str">
        <f ca="1">IFERROR(__xludf.DUMMYFUNCTION("""COMPUTED_VALUE"""),"#N/A")</f>
        <v>#N/A</v>
      </c>
      <c r="AU2146" s="6" t="str">
        <f ca="1">IFERROR(__xludf.DUMMYFUNCTION("""COMPUTED_VALUE"""),"FALSE")</f>
        <v>FALSE</v>
      </c>
      <c r="AZ2146" s="9"/>
      <c r="BC2146" s="9"/>
      <c r="BF2146" s="9"/>
      <c r="BI2146" s="9"/>
    </row>
    <row r="2147" spans="18:61">
      <c r="R2147" s="6"/>
      <c r="AS2147" s="15"/>
      <c r="AT2147" s="6" t="str">
        <f ca="1">IFERROR(__xludf.DUMMYFUNCTION("""COMPUTED_VALUE"""),"#N/A")</f>
        <v>#N/A</v>
      </c>
      <c r="AU2147" s="6" t="str">
        <f ca="1">IFERROR(__xludf.DUMMYFUNCTION("""COMPUTED_VALUE"""),"FALSE")</f>
        <v>FALSE</v>
      </c>
      <c r="AZ2147" s="9"/>
      <c r="BC2147" s="9"/>
      <c r="BF2147" s="9"/>
      <c r="BI2147" s="9"/>
    </row>
    <row r="2148" spans="18:61">
      <c r="R2148" s="6"/>
      <c r="AS2148" s="15"/>
      <c r="AT2148" s="6" t="str">
        <f ca="1">IFERROR(__xludf.DUMMYFUNCTION("""COMPUTED_VALUE"""),"#N/A")</f>
        <v>#N/A</v>
      </c>
      <c r="AU2148" s="6" t="str">
        <f ca="1">IFERROR(__xludf.DUMMYFUNCTION("""COMPUTED_VALUE"""),"FALSE")</f>
        <v>FALSE</v>
      </c>
      <c r="AZ2148" s="9"/>
      <c r="BC2148" s="9"/>
      <c r="BF2148" s="9"/>
      <c r="BI2148" s="9"/>
    </row>
    <row r="2149" spans="18:61">
      <c r="R2149" s="6"/>
      <c r="AS2149" s="15"/>
      <c r="AT2149" s="6" t="str">
        <f ca="1">IFERROR(__xludf.DUMMYFUNCTION("""COMPUTED_VALUE"""),"#N/A")</f>
        <v>#N/A</v>
      </c>
      <c r="AU2149" s="6" t="str">
        <f ca="1">IFERROR(__xludf.DUMMYFUNCTION("""COMPUTED_VALUE"""),"FALSE")</f>
        <v>FALSE</v>
      </c>
      <c r="AZ2149" s="9"/>
      <c r="BC2149" s="9"/>
      <c r="BF2149" s="9"/>
      <c r="BI2149" s="9"/>
    </row>
    <row r="2150" spans="18:61">
      <c r="R2150" s="6"/>
      <c r="AS2150" s="15"/>
      <c r="AT2150" s="6" t="str">
        <f ca="1">IFERROR(__xludf.DUMMYFUNCTION("""COMPUTED_VALUE"""),"#N/A")</f>
        <v>#N/A</v>
      </c>
      <c r="AU2150" s="6" t="str">
        <f ca="1">IFERROR(__xludf.DUMMYFUNCTION("""COMPUTED_VALUE"""),"FALSE")</f>
        <v>FALSE</v>
      </c>
      <c r="AZ2150" s="9"/>
      <c r="BC2150" s="9"/>
      <c r="BF2150" s="9"/>
      <c r="BI2150" s="9"/>
    </row>
    <row r="2151" spans="18:61">
      <c r="R2151" s="6"/>
      <c r="AS2151" s="15"/>
      <c r="AT2151" s="6" t="str">
        <f ca="1">IFERROR(__xludf.DUMMYFUNCTION("""COMPUTED_VALUE"""),"#N/A")</f>
        <v>#N/A</v>
      </c>
      <c r="AU2151" s="6" t="str">
        <f ca="1">IFERROR(__xludf.DUMMYFUNCTION("""COMPUTED_VALUE"""),"FALSE")</f>
        <v>FALSE</v>
      </c>
      <c r="AZ2151" s="9"/>
      <c r="BC2151" s="9"/>
      <c r="BF2151" s="9"/>
      <c r="BI2151" s="9"/>
    </row>
    <row r="2152" spans="18:61">
      <c r="R2152" s="6"/>
      <c r="AS2152" s="15"/>
      <c r="AT2152" s="6" t="str">
        <f ca="1">IFERROR(__xludf.DUMMYFUNCTION("""COMPUTED_VALUE"""),"#N/A")</f>
        <v>#N/A</v>
      </c>
      <c r="AU2152" s="6" t="str">
        <f ca="1">IFERROR(__xludf.DUMMYFUNCTION("""COMPUTED_VALUE"""),"FALSE")</f>
        <v>FALSE</v>
      </c>
      <c r="AZ2152" s="9"/>
      <c r="BC2152" s="9"/>
      <c r="BF2152" s="9"/>
      <c r="BI2152" s="9"/>
    </row>
    <row r="2153" spans="18:61">
      <c r="R2153" s="6"/>
      <c r="AS2153" s="15"/>
      <c r="AT2153" s="6" t="str">
        <f ca="1">IFERROR(__xludf.DUMMYFUNCTION("""COMPUTED_VALUE"""),"#N/A")</f>
        <v>#N/A</v>
      </c>
      <c r="AU2153" s="6" t="str">
        <f ca="1">IFERROR(__xludf.DUMMYFUNCTION("""COMPUTED_VALUE"""),"FALSE")</f>
        <v>FALSE</v>
      </c>
      <c r="AZ2153" s="9"/>
      <c r="BC2153" s="9"/>
      <c r="BF2153" s="9"/>
      <c r="BI2153" s="9"/>
    </row>
    <row r="2154" spans="18:61">
      <c r="R2154" s="6"/>
      <c r="AS2154" s="15"/>
      <c r="AT2154" s="6" t="str">
        <f ca="1">IFERROR(__xludf.DUMMYFUNCTION("""COMPUTED_VALUE"""),"#N/A")</f>
        <v>#N/A</v>
      </c>
      <c r="AU2154" s="6" t="str">
        <f ca="1">IFERROR(__xludf.DUMMYFUNCTION("""COMPUTED_VALUE"""),"FALSE")</f>
        <v>FALSE</v>
      </c>
      <c r="AZ2154" s="9"/>
      <c r="BC2154" s="9"/>
      <c r="BF2154" s="9"/>
      <c r="BI2154" s="9"/>
    </row>
    <row r="2155" spans="18:61">
      <c r="R2155" s="6"/>
      <c r="AS2155" s="15"/>
      <c r="AT2155" s="6" t="str">
        <f ca="1">IFERROR(__xludf.DUMMYFUNCTION("""COMPUTED_VALUE"""),"#N/A")</f>
        <v>#N/A</v>
      </c>
      <c r="AU2155" s="6" t="str">
        <f ca="1">IFERROR(__xludf.DUMMYFUNCTION("""COMPUTED_VALUE"""),"FALSE")</f>
        <v>FALSE</v>
      </c>
      <c r="AZ2155" s="9"/>
      <c r="BC2155" s="9"/>
      <c r="BF2155" s="9"/>
      <c r="BI2155" s="9"/>
    </row>
    <row r="2156" spans="18:61">
      <c r="R2156" s="6"/>
      <c r="AS2156" s="15"/>
      <c r="AT2156" s="6" t="str">
        <f ca="1">IFERROR(__xludf.DUMMYFUNCTION("""COMPUTED_VALUE"""),"#N/A")</f>
        <v>#N/A</v>
      </c>
      <c r="AU2156" s="6" t="str">
        <f ca="1">IFERROR(__xludf.DUMMYFUNCTION("""COMPUTED_VALUE"""),"FALSE")</f>
        <v>FALSE</v>
      </c>
      <c r="AZ2156" s="9"/>
      <c r="BC2156" s="9"/>
      <c r="BF2156" s="9"/>
      <c r="BI2156" s="9"/>
    </row>
    <row r="2157" spans="18:61">
      <c r="R2157" s="6"/>
      <c r="AS2157" s="15"/>
      <c r="AT2157" s="6" t="str">
        <f ca="1">IFERROR(__xludf.DUMMYFUNCTION("""COMPUTED_VALUE"""),"#N/A")</f>
        <v>#N/A</v>
      </c>
      <c r="AU2157" s="6" t="str">
        <f ca="1">IFERROR(__xludf.DUMMYFUNCTION("""COMPUTED_VALUE"""),"FALSE")</f>
        <v>FALSE</v>
      </c>
      <c r="AZ2157" s="9"/>
      <c r="BC2157" s="9"/>
      <c r="BF2157" s="9"/>
      <c r="BI2157" s="9"/>
    </row>
    <row r="2158" spans="18:61">
      <c r="R2158" s="6"/>
      <c r="AS2158" s="15"/>
      <c r="AT2158" s="6" t="str">
        <f ca="1">IFERROR(__xludf.DUMMYFUNCTION("""COMPUTED_VALUE"""),"#N/A")</f>
        <v>#N/A</v>
      </c>
      <c r="AU2158" s="6" t="str">
        <f ca="1">IFERROR(__xludf.DUMMYFUNCTION("""COMPUTED_VALUE"""),"FALSE")</f>
        <v>FALSE</v>
      </c>
      <c r="AZ2158" s="9"/>
      <c r="BC2158" s="9"/>
      <c r="BF2158" s="9"/>
      <c r="BI2158" s="9"/>
    </row>
    <row r="2159" spans="18:61">
      <c r="R2159" s="6"/>
      <c r="AS2159" s="15"/>
      <c r="AT2159" s="6" t="str">
        <f ca="1">IFERROR(__xludf.DUMMYFUNCTION("""COMPUTED_VALUE"""),"#N/A")</f>
        <v>#N/A</v>
      </c>
      <c r="AU2159" s="6" t="str">
        <f ca="1">IFERROR(__xludf.DUMMYFUNCTION("""COMPUTED_VALUE"""),"FALSE")</f>
        <v>FALSE</v>
      </c>
      <c r="AZ2159" s="9"/>
      <c r="BC2159" s="9"/>
      <c r="BF2159" s="9"/>
      <c r="BI2159" s="9"/>
    </row>
    <row r="2160" spans="18:61">
      <c r="R2160" s="6"/>
      <c r="AS2160" s="15"/>
      <c r="AT2160" s="6" t="str">
        <f ca="1">IFERROR(__xludf.DUMMYFUNCTION("""COMPUTED_VALUE"""),"#N/A")</f>
        <v>#N/A</v>
      </c>
      <c r="AU2160" s="6" t="str">
        <f ca="1">IFERROR(__xludf.DUMMYFUNCTION("""COMPUTED_VALUE"""),"FALSE")</f>
        <v>FALSE</v>
      </c>
      <c r="AZ2160" s="9"/>
      <c r="BC2160" s="9"/>
      <c r="BF2160" s="9"/>
      <c r="BI2160" s="9"/>
    </row>
    <row r="2161" spans="18:61">
      <c r="R2161" s="6"/>
      <c r="AS2161" s="15"/>
      <c r="AT2161" s="6" t="str">
        <f ca="1">IFERROR(__xludf.DUMMYFUNCTION("""COMPUTED_VALUE"""),"#N/A")</f>
        <v>#N/A</v>
      </c>
      <c r="AU2161" s="6" t="str">
        <f ca="1">IFERROR(__xludf.DUMMYFUNCTION("""COMPUTED_VALUE"""),"FALSE")</f>
        <v>FALSE</v>
      </c>
      <c r="AZ2161" s="9"/>
      <c r="BC2161" s="9"/>
      <c r="BF2161" s="9"/>
      <c r="BI2161" s="9"/>
    </row>
    <row r="2162" spans="18:61">
      <c r="R2162" s="6"/>
      <c r="AS2162" s="15"/>
      <c r="AT2162" s="6" t="str">
        <f ca="1">IFERROR(__xludf.DUMMYFUNCTION("""COMPUTED_VALUE"""),"#N/A")</f>
        <v>#N/A</v>
      </c>
      <c r="AU2162" s="6" t="str">
        <f ca="1">IFERROR(__xludf.DUMMYFUNCTION("""COMPUTED_VALUE"""),"FALSE")</f>
        <v>FALSE</v>
      </c>
      <c r="AZ2162" s="9"/>
      <c r="BC2162" s="9"/>
      <c r="BF2162" s="9"/>
      <c r="BI2162" s="9"/>
    </row>
    <row r="2163" spans="18:61">
      <c r="R2163" s="6"/>
      <c r="AS2163" s="15"/>
      <c r="AT2163" s="6" t="str">
        <f ca="1">IFERROR(__xludf.DUMMYFUNCTION("""COMPUTED_VALUE"""),"#N/A")</f>
        <v>#N/A</v>
      </c>
      <c r="AU2163" s="6" t="str">
        <f ca="1">IFERROR(__xludf.DUMMYFUNCTION("""COMPUTED_VALUE"""),"FALSE")</f>
        <v>FALSE</v>
      </c>
      <c r="AZ2163" s="9"/>
      <c r="BC2163" s="9"/>
      <c r="BF2163" s="9"/>
      <c r="BI2163" s="9"/>
    </row>
    <row r="2164" spans="18:61">
      <c r="R2164" s="6"/>
      <c r="AS2164" s="15"/>
      <c r="AT2164" s="6" t="str">
        <f ca="1">IFERROR(__xludf.DUMMYFUNCTION("""COMPUTED_VALUE"""),"#N/A")</f>
        <v>#N/A</v>
      </c>
      <c r="AU2164" s="6" t="str">
        <f ca="1">IFERROR(__xludf.DUMMYFUNCTION("""COMPUTED_VALUE"""),"FALSE")</f>
        <v>FALSE</v>
      </c>
      <c r="AZ2164" s="9"/>
      <c r="BC2164" s="9"/>
      <c r="BF2164" s="9"/>
      <c r="BI2164" s="9"/>
    </row>
    <row r="2165" spans="18:61">
      <c r="R2165" s="6"/>
      <c r="AS2165" s="15"/>
      <c r="AT2165" s="6" t="str">
        <f ca="1">IFERROR(__xludf.DUMMYFUNCTION("""COMPUTED_VALUE"""),"#N/A")</f>
        <v>#N/A</v>
      </c>
      <c r="AU2165" s="6" t="str">
        <f ca="1">IFERROR(__xludf.DUMMYFUNCTION("""COMPUTED_VALUE"""),"FALSE")</f>
        <v>FALSE</v>
      </c>
      <c r="AZ2165" s="9"/>
      <c r="BC2165" s="9"/>
      <c r="BF2165" s="9"/>
      <c r="BI2165" s="9"/>
    </row>
    <row r="2166" spans="18:61">
      <c r="R2166" s="6"/>
      <c r="AS2166" s="15"/>
      <c r="AT2166" s="6" t="str">
        <f ca="1">IFERROR(__xludf.DUMMYFUNCTION("""COMPUTED_VALUE"""),"#N/A")</f>
        <v>#N/A</v>
      </c>
      <c r="AU2166" s="6" t="str">
        <f ca="1">IFERROR(__xludf.DUMMYFUNCTION("""COMPUTED_VALUE"""),"FALSE")</f>
        <v>FALSE</v>
      </c>
      <c r="AZ2166" s="9"/>
      <c r="BC2166" s="9"/>
      <c r="BF2166" s="9"/>
      <c r="BI2166" s="9"/>
    </row>
    <row r="2167" spans="18:61">
      <c r="R2167" s="6"/>
      <c r="AS2167" s="15"/>
      <c r="AT2167" s="6" t="str">
        <f ca="1">IFERROR(__xludf.DUMMYFUNCTION("""COMPUTED_VALUE"""),"#N/A")</f>
        <v>#N/A</v>
      </c>
      <c r="AU2167" s="6" t="str">
        <f ca="1">IFERROR(__xludf.DUMMYFUNCTION("""COMPUTED_VALUE"""),"FALSE")</f>
        <v>FALSE</v>
      </c>
      <c r="AZ2167" s="9"/>
      <c r="BC2167" s="9"/>
      <c r="BF2167" s="9"/>
      <c r="BI2167" s="9"/>
    </row>
    <row r="2168" spans="18:61">
      <c r="R2168" s="6"/>
      <c r="AS2168" s="15"/>
      <c r="AT2168" s="6" t="str">
        <f ca="1">IFERROR(__xludf.DUMMYFUNCTION("""COMPUTED_VALUE"""),"#N/A")</f>
        <v>#N/A</v>
      </c>
      <c r="AU2168" s="6" t="str">
        <f ca="1">IFERROR(__xludf.DUMMYFUNCTION("""COMPUTED_VALUE"""),"FALSE")</f>
        <v>FALSE</v>
      </c>
      <c r="AZ2168" s="9"/>
      <c r="BC2168" s="9"/>
      <c r="BF2168" s="9"/>
      <c r="BI2168" s="9"/>
    </row>
    <row r="2169" spans="18:61">
      <c r="R2169" s="6"/>
      <c r="AS2169" s="15"/>
      <c r="AT2169" s="6" t="str">
        <f ca="1">IFERROR(__xludf.DUMMYFUNCTION("""COMPUTED_VALUE"""),"#N/A")</f>
        <v>#N/A</v>
      </c>
      <c r="AU2169" s="6" t="str">
        <f ca="1">IFERROR(__xludf.DUMMYFUNCTION("""COMPUTED_VALUE"""),"FALSE")</f>
        <v>FALSE</v>
      </c>
      <c r="AZ2169" s="9"/>
      <c r="BC2169" s="9"/>
      <c r="BF2169" s="9"/>
      <c r="BI2169" s="9"/>
    </row>
    <row r="2170" spans="18:61">
      <c r="R2170" s="6"/>
      <c r="AS2170" s="15"/>
      <c r="AT2170" s="6" t="str">
        <f ca="1">IFERROR(__xludf.DUMMYFUNCTION("""COMPUTED_VALUE"""),"#N/A")</f>
        <v>#N/A</v>
      </c>
      <c r="AU2170" s="6" t="str">
        <f ca="1">IFERROR(__xludf.DUMMYFUNCTION("""COMPUTED_VALUE"""),"FALSE")</f>
        <v>FALSE</v>
      </c>
      <c r="AZ2170" s="9"/>
      <c r="BC2170" s="9"/>
      <c r="BF2170" s="9"/>
      <c r="BI2170" s="9"/>
    </row>
    <row r="2171" spans="18:61">
      <c r="R2171" s="6"/>
      <c r="AS2171" s="15"/>
      <c r="AT2171" s="6" t="str">
        <f ca="1">IFERROR(__xludf.DUMMYFUNCTION("""COMPUTED_VALUE"""),"#N/A")</f>
        <v>#N/A</v>
      </c>
      <c r="AU2171" s="6" t="str">
        <f ca="1">IFERROR(__xludf.DUMMYFUNCTION("""COMPUTED_VALUE"""),"FALSE")</f>
        <v>FALSE</v>
      </c>
      <c r="AZ2171" s="9"/>
      <c r="BC2171" s="9"/>
      <c r="BF2171" s="9"/>
      <c r="BI2171" s="9"/>
    </row>
    <row r="2172" spans="18:61">
      <c r="R2172" s="6"/>
      <c r="AS2172" s="15"/>
      <c r="AT2172" s="6" t="str">
        <f ca="1">IFERROR(__xludf.DUMMYFUNCTION("""COMPUTED_VALUE"""),"#N/A")</f>
        <v>#N/A</v>
      </c>
      <c r="AU2172" s="6" t="str">
        <f ca="1">IFERROR(__xludf.DUMMYFUNCTION("""COMPUTED_VALUE"""),"FALSE")</f>
        <v>FALSE</v>
      </c>
      <c r="AZ2172" s="9"/>
      <c r="BC2172" s="9"/>
      <c r="BF2172" s="9"/>
      <c r="BI2172" s="9"/>
    </row>
    <row r="2173" spans="18:61">
      <c r="R2173" s="6"/>
      <c r="AS2173" s="15"/>
      <c r="AT2173" s="6" t="str">
        <f ca="1">IFERROR(__xludf.DUMMYFUNCTION("""COMPUTED_VALUE"""),"#N/A")</f>
        <v>#N/A</v>
      </c>
      <c r="AU2173" s="6" t="str">
        <f ca="1">IFERROR(__xludf.DUMMYFUNCTION("""COMPUTED_VALUE"""),"FALSE")</f>
        <v>FALSE</v>
      </c>
      <c r="AZ2173" s="9"/>
      <c r="BC2173" s="9"/>
      <c r="BF2173" s="9"/>
      <c r="BI2173" s="9"/>
    </row>
    <row r="2174" spans="18:61">
      <c r="R2174" s="6"/>
      <c r="AS2174" s="15"/>
      <c r="AT2174" s="6" t="str">
        <f ca="1">IFERROR(__xludf.DUMMYFUNCTION("""COMPUTED_VALUE"""),"#N/A")</f>
        <v>#N/A</v>
      </c>
      <c r="AU2174" s="6" t="str">
        <f ca="1">IFERROR(__xludf.DUMMYFUNCTION("""COMPUTED_VALUE"""),"FALSE")</f>
        <v>FALSE</v>
      </c>
      <c r="AZ2174" s="9"/>
      <c r="BC2174" s="9"/>
      <c r="BF2174" s="9"/>
      <c r="BI2174" s="9"/>
    </row>
    <row r="2175" spans="18:61">
      <c r="R2175" s="6"/>
      <c r="AS2175" s="15"/>
      <c r="AT2175" s="6" t="str">
        <f ca="1">IFERROR(__xludf.DUMMYFUNCTION("""COMPUTED_VALUE"""),"#N/A")</f>
        <v>#N/A</v>
      </c>
      <c r="AU2175" s="6" t="str">
        <f ca="1">IFERROR(__xludf.DUMMYFUNCTION("""COMPUTED_VALUE"""),"FALSE")</f>
        <v>FALSE</v>
      </c>
      <c r="AZ2175" s="9"/>
      <c r="BC2175" s="9"/>
      <c r="BF2175" s="9"/>
      <c r="BI2175" s="9"/>
    </row>
    <row r="2176" spans="18:61">
      <c r="R2176" s="6"/>
      <c r="AS2176" s="15"/>
      <c r="AT2176" s="6" t="str">
        <f ca="1">IFERROR(__xludf.DUMMYFUNCTION("""COMPUTED_VALUE"""),"#N/A")</f>
        <v>#N/A</v>
      </c>
      <c r="AU2176" s="6" t="str">
        <f ca="1">IFERROR(__xludf.DUMMYFUNCTION("""COMPUTED_VALUE"""),"FALSE")</f>
        <v>FALSE</v>
      </c>
      <c r="AZ2176" s="9"/>
      <c r="BC2176" s="9"/>
      <c r="BF2176" s="9"/>
      <c r="BI2176" s="9"/>
    </row>
    <row r="2177" spans="18:61">
      <c r="R2177" s="6"/>
      <c r="AS2177" s="15"/>
      <c r="AT2177" s="6" t="str">
        <f ca="1">IFERROR(__xludf.DUMMYFUNCTION("""COMPUTED_VALUE"""),"#N/A")</f>
        <v>#N/A</v>
      </c>
      <c r="AU2177" s="6" t="str">
        <f ca="1">IFERROR(__xludf.DUMMYFUNCTION("""COMPUTED_VALUE"""),"FALSE")</f>
        <v>FALSE</v>
      </c>
      <c r="AZ2177" s="9"/>
      <c r="BC2177" s="9"/>
      <c r="BF2177" s="9"/>
      <c r="BI2177" s="9"/>
    </row>
    <row r="2178" spans="18:61">
      <c r="R2178" s="6"/>
      <c r="AS2178" s="15"/>
      <c r="AT2178" s="6" t="str">
        <f ca="1">IFERROR(__xludf.DUMMYFUNCTION("""COMPUTED_VALUE"""),"#N/A")</f>
        <v>#N/A</v>
      </c>
      <c r="AU2178" s="6" t="str">
        <f ca="1">IFERROR(__xludf.DUMMYFUNCTION("""COMPUTED_VALUE"""),"FALSE")</f>
        <v>FALSE</v>
      </c>
      <c r="AZ2178" s="9"/>
      <c r="BC2178" s="9"/>
      <c r="BF2178" s="9"/>
      <c r="BI2178" s="9"/>
    </row>
    <row r="2179" spans="18:61">
      <c r="R2179" s="6"/>
      <c r="AS2179" s="15"/>
      <c r="AT2179" s="6" t="str">
        <f ca="1">IFERROR(__xludf.DUMMYFUNCTION("""COMPUTED_VALUE"""),"#N/A")</f>
        <v>#N/A</v>
      </c>
      <c r="AU2179" s="6" t="str">
        <f ca="1">IFERROR(__xludf.DUMMYFUNCTION("""COMPUTED_VALUE"""),"FALSE")</f>
        <v>FALSE</v>
      </c>
      <c r="AZ2179" s="9"/>
      <c r="BC2179" s="9"/>
      <c r="BF2179" s="9"/>
      <c r="BI2179" s="9"/>
    </row>
    <row r="2180" spans="18:61">
      <c r="R2180" s="6"/>
      <c r="AS2180" s="15"/>
      <c r="AT2180" s="6" t="str">
        <f ca="1">IFERROR(__xludf.DUMMYFUNCTION("""COMPUTED_VALUE"""),"#N/A")</f>
        <v>#N/A</v>
      </c>
      <c r="AU2180" s="6" t="str">
        <f ca="1">IFERROR(__xludf.DUMMYFUNCTION("""COMPUTED_VALUE"""),"FALSE")</f>
        <v>FALSE</v>
      </c>
      <c r="AZ2180" s="9"/>
      <c r="BC2180" s="9"/>
      <c r="BF2180" s="9"/>
      <c r="BI2180" s="9"/>
    </row>
    <row r="2181" spans="18:61">
      <c r="R2181" s="6"/>
      <c r="AS2181" s="15"/>
      <c r="AT2181" s="6" t="str">
        <f ca="1">IFERROR(__xludf.DUMMYFUNCTION("""COMPUTED_VALUE"""),"#N/A")</f>
        <v>#N/A</v>
      </c>
      <c r="AU2181" s="6" t="str">
        <f ca="1">IFERROR(__xludf.DUMMYFUNCTION("""COMPUTED_VALUE"""),"FALSE")</f>
        <v>FALSE</v>
      </c>
      <c r="AZ2181" s="9"/>
      <c r="BC2181" s="9"/>
      <c r="BF2181" s="9"/>
      <c r="BI2181" s="9"/>
    </row>
    <row r="2182" spans="18:61">
      <c r="R2182" s="6"/>
      <c r="AS2182" s="15"/>
      <c r="AT2182" s="6" t="str">
        <f ca="1">IFERROR(__xludf.DUMMYFUNCTION("""COMPUTED_VALUE"""),"#N/A")</f>
        <v>#N/A</v>
      </c>
      <c r="AU2182" s="6" t="str">
        <f ca="1">IFERROR(__xludf.DUMMYFUNCTION("""COMPUTED_VALUE"""),"FALSE")</f>
        <v>FALSE</v>
      </c>
      <c r="AZ2182" s="9"/>
      <c r="BC2182" s="9"/>
      <c r="BF2182" s="9"/>
      <c r="BI2182" s="9"/>
    </row>
    <row r="2183" spans="18:61">
      <c r="R2183" s="6"/>
      <c r="AS2183" s="15"/>
      <c r="AT2183" s="6" t="str">
        <f ca="1">IFERROR(__xludf.DUMMYFUNCTION("""COMPUTED_VALUE"""),"#N/A")</f>
        <v>#N/A</v>
      </c>
      <c r="AU2183" s="6" t="str">
        <f ca="1">IFERROR(__xludf.DUMMYFUNCTION("""COMPUTED_VALUE"""),"FALSE")</f>
        <v>FALSE</v>
      </c>
      <c r="AZ2183" s="9"/>
      <c r="BC2183" s="9"/>
      <c r="BF2183" s="9"/>
      <c r="BI2183" s="9"/>
    </row>
    <row r="2184" spans="18:61">
      <c r="R2184" s="6"/>
      <c r="AS2184" s="15"/>
      <c r="AT2184" s="6" t="str">
        <f ca="1">IFERROR(__xludf.DUMMYFUNCTION("""COMPUTED_VALUE"""),"#N/A")</f>
        <v>#N/A</v>
      </c>
      <c r="AU2184" s="6" t="str">
        <f ca="1">IFERROR(__xludf.DUMMYFUNCTION("""COMPUTED_VALUE"""),"FALSE")</f>
        <v>FALSE</v>
      </c>
      <c r="AZ2184" s="9"/>
      <c r="BC2184" s="9"/>
      <c r="BF2184" s="9"/>
      <c r="BI2184" s="9"/>
    </row>
    <row r="2185" spans="18:61">
      <c r="R2185" s="6"/>
      <c r="AS2185" s="15"/>
      <c r="AT2185" s="6" t="str">
        <f ca="1">IFERROR(__xludf.DUMMYFUNCTION("""COMPUTED_VALUE"""),"#N/A")</f>
        <v>#N/A</v>
      </c>
      <c r="AU2185" s="6" t="str">
        <f ca="1">IFERROR(__xludf.DUMMYFUNCTION("""COMPUTED_VALUE"""),"FALSE")</f>
        <v>FALSE</v>
      </c>
      <c r="AZ2185" s="9"/>
      <c r="BC2185" s="9"/>
      <c r="BF2185" s="9"/>
      <c r="BI2185" s="9"/>
    </row>
    <row r="2186" spans="18:61">
      <c r="R2186" s="6"/>
      <c r="AS2186" s="15"/>
      <c r="AT2186" s="6" t="str">
        <f ca="1">IFERROR(__xludf.DUMMYFUNCTION("""COMPUTED_VALUE"""),"#N/A")</f>
        <v>#N/A</v>
      </c>
      <c r="AU2186" s="6" t="str">
        <f ca="1">IFERROR(__xludf.DUMMYFUNCTION("""COMPUTED_VALUE"""),"FALSE")</f>
        <v>FALSE</v>
      </c>
      <c r="AZ2186" s="9"/>
      <c r="BC2186" s="9"/>
      <c r="BF2186" s="9"/>
      <c r="BI2186" s="9"/>
    </row>
    <row r="2187" spans="18:61">
      <c r="R2187" s="6"/>
      <c r="AS2187" s="15"/>
      <c r="AT2187" s="6" t="str">
        <f ca="1">IFERROR(__xludf.DUMMYFUNCTION("""COMPUTED_VALUE"""),"#N/A")</f>
        <v>#N/A</v>
      </c>
      <c r="AU2187" s="6" t="str">
        <f ca="1">IFERROR(__xludf.DUMMYFUNCTION("""COMPUTED_VALUE"""),"FALSE")</f>
        <v>FALSE</v>
      </c>
      <c r="AZ2187" s="9"/>
      <c r="BC2187" s="9"/>
      <c r="BF2187" s="9"/>
      <c r="BI2187" s="9"/>
    </row>
    <row r="2188" spans="18:61">
      <c r="R2188" s="6"/>
      <c r="AS2188" s="15"/>
      <c r="AT2188" s="6" t="str">
        <f ca="1">IFERROR(__xludf.DUMMYFUNCTION("""COMPUTED_VALUE"""),"#N/A")</f>
        <v>#N/A</v>
      </c>
      <c r="AU2188" s="6" t="str">
        <f ca="1">IFERROR(__xludf.DUMMYFUNCTION("""COMPUTED_VALUE"""),"FALSE")</f>
        <v>FALSE</v>
      </c>
      <c r="AZ2188" s="9"/>
      <c r="BC2188" s="9"/>
      <c r="BF2188" s="9"/>
      <c r="BI2188" s="9"/>
    </row>
    <row r="2189" spans="18:61">
      <c r="R2189" s="6"/>
      <c r="AS2189" s="15"/>
      <c r="AT2189" s="6" t="str">
        <f ca="1">IFERROR(__xludf.DUMMYFUNCTION("""COMPUTED_VALUE"""),"#N/A")</f>
        <v>#N/A</v>
      </c>
      <c r="AU2189" s="6" t="str">
        <f ca="1">IFERROR(__xludf.DUMMYFUNCTION("""COMPUTED_VALUE"""),"FALSE")</f>
        <v>FALSE</v>
      </c>
      <c r="AZ2189" s="9"/>
      <c r="BC2189" s="9"/>
      <c r="BF2189" s="9"/>
      <c r="BI2189" s="9"/>
    </row>
    <row r="2190" spans="18:61">
      <c r="R2190" s="6"/>
      <c r="AS2190" s="15"/>
      <c r="AT2190" s="6" t="str">
        <f ca="1">IFERROR(__xludf.DUMMYFUNCTION("""COMPUTED_VALUE"""),"#N/A")</f>
        <v>#N/A</v>
      </c>
      <c r="AU2190" s="6" t="str">
        <f ca="1">IFERROR(__xludf.DUMMYFUNCTION("""COMPUTED_VALUE"""),"FALSE")</f>
        <v>FALSE</v>
      </c>
      <c r="AZ2190" s="9"/>
      <c r="BC2190" s="9"/>
      <c r="BF2190" s="9"/>
      <c r="BI2190" s="9"/>
    </row>
    <row r="2191" spans="18:61">
      <c r="R2191" s="6"/>
      <c r="AS2191" s="15"/>
      <c r="AT2191" s="6" t="str">
        <f ca="1">IFERROR(__xludf.DUMMYFUNCTION("""COMPUTED_VALUE"""),"#N/A")</f>
        <v>#N/A</v>
      </c>
      <c r="AU2191" s="6" t="str">
        <f ca="1">IFERROR(__xludf.DUMMYFUNCTION("""COMPUTED_VALUE"""),"FALSE")</f>
        <v>FALSE</v>
      </c>
      <c r="AZ2191" s="9"/>
      <c r="BC2191" s="9"/>
      <c r="BF2191" s="9"/>
      <c r="BI2191" s="9"/>
    </row>
    <row r="2192" spans="18:61">
      <c r="R2192" s="6"/>
      <c r="AS2192" s="15"/>
      <c r="AT2192" s="6" t="str">
        <f ca="1">IFERROR(__xludf.DUMMYFUNCTION("""COMPUTED_VALUE"""),"#N/A")</f>
        <v>#N/A</v>
      </c>
      <c r="AU2192" s="6" t="str">
        <f ca="1">IFERROR(__xludf.DUMMYFUNCTION("""COMPUTED_VALUE"""),"FALSE")</f>
        <v>FALSE</v>
      </c>
      <c r="AZ2192" s="9"/>
      <c r="BC2192" s="9"/>
      <c r="BF2192" s="9"/>
      <c r="BI2192" s="9"/>
    </row>
    <row r="2193" spans="18:61">
      <c r="R2193" s="6"/>
      <c r="AS2193" s="15"/>
      <c r="AT2193" s="6" t="str">
        <f ca="1">IFERROR(__xludf.DUMMYFUNCTION("""COMPUTED_VALUE"""),"#N/A")</f>
        <v>#N/A</v>
      </c>
      <c r="AU2193" s="6" t="str">
        <f ca="1">IFERROR(__xludf.DUMMYFUNCTION("""COMPUTED_VALUE"""),"FALSE")</f>
        <v>FALSE</v>
      </c>
      <c r="AZ2193" s="9"/>
      <c r="BC2193" s="9"/>
      <c r="BF2193" s="9"/>
      <c r="BI2193" s="9"/>
    </row>
    <row r="2194" spans="18:61">
      <c r="R2194" s="6"/>
      <c r="AS2194" s="15"/>
      <c r="AT2194" s="6" t="str">
        <f ca="1">IFERROR(__xludf.DUMMYFUNCTION("""COMPUTED_VALUE"""),"#N/A")</f>
        <v>#N/A</v>
      </c>
      <c r="AU2194" s="6" t="str">
        <f ca="1">IFERROR(__xludf.DUMMYFUNCTION("""COMPUTED_VALUE"""),"FALSE")</f>
        <v>FALSE</v>
      </c>
      <c r="AZ2194" s="9"/>
      <c r="BC2194" s="9"/>
      <c r="BF2194" s="9"/>
      <c r="BI2194" s="9"/>
    </row>
    <row r="2195" spans="18:61">
      <c r="R2195" s="6"/>
      <c r="AS2195" s="15"/>
      <c r="AT2195" s="6" t="str">
        <f ca="1">IFERROR(__xludf.DUMMYFUNCTION("""COMPUTED_VALUE"""),"#N/A")</f>
        <v>#N/A</v>
      </c>
      <c r="AU2195" s="6" t="str">
        <f ca="1">IFERROR(__xludf.DUMMYFUNCTION("""COMPUTED_VALUE"""),"FALSE")</f>
        <v>FALSE</v>
      </c>
      <c r="AZ2195" s="9"/>
      <c r="BC2195" s="9"/>
      <c r="BF2195" s="9"/>
      <c r="BI2195" s="9"/>
    </row>
    <row r="2196" spans="18:61">
      <c r="R2196" s="6"/>
      <c r="AS2196" s="15"/>
      <c r="AT2196" s="6" t="str">
        <f ca="1">IFERROR(__xludf.DUMMYFUNCTION("""COMPUTED_VALUE"""),"#N/A")</f>
        <v>#N/A</v>
      </c>
      <c r="AU2196" s="6" t="str">
        <f ca="1">IFERROR(__xludf.DUMMYFUNCTION("""COMPUTED_VALUE"""),"FALSE")</f>
        <v>FALSE</v>
      </c>
      <c r="AZ2196" s="9"/>
      <c r="BC2196" s="9"/>
      <c r="BF2196" s="9"/>
      <c r="BI2196" s="9"/>
    </row>
    <row r="2197" spans="18:61">
      <c r="R2197" s="6"/>
      <c r="AS2197" s="15"/>
      <c r="AT2197" s="6" t="str">
        <f ca="1">IFERROR(__xludf.DUMMYFUNCTION("""COMPUTED_VALUE"""),"#N/A")</f>
        <v>#N/A</v>
      </c>
      <c r="AU2197" s="6" t="str">
        <f ca="1">IFERROR(__xludf.DUMMYFUNCTION("""COMPUTED_VALUE"""),"FALSE")</f>
        <v>FALSE</v>
      </c>
      <c r="AZ2197" s="9"/>
      <c r="BC2197" s="9"/>
      <c r="BF2197" s="9"/>
      <c r="BI2197" s="9"/>
    </row>
    <row r="2198" spans="18:61">
      <c r="R2198" s="6"/>
      <c r="AS2198" s="15"/>
      <c r="AT2198" s="6" t="str">
        <f ca="1">IFERROR(__xludf.DUMMYFUNCTION("""COMPUTED_VALUE"""),"#N/A")</f>
        <v>#N/A</v>
      </c>
      <c r="AU2198" s="6" t="str">
        <f ca="1">IFERROR(__xludf.DUMMYFUNCTION("""COMPUTED_VALUE"""),"FALSE")</f>
        <v>FALSE</v>
      </c>
      <c r="AZ2198" s="9"/>
      <c r="BC2198" s="9"/>
      <c r="BF2198" s="9"/>
      <c r="BI2198" s="9"/>
    </row>
    <row r="2199" spans="18:61">
      <c r="R2199" s="6"/>
      <c r="AS2199" s="15"/>
      <c r="AT2199" s="6" t="str">
        <f ca="1">IFERROR(__xludf.DUMMYFUNCTION("""COMPUTED_VALUE"""),"#N/A")</f>
        <v>#N/A</v>
      </c>
      <c r="AU2199" s="6" t="str">
        <f ca="1">IFERROR(__xludf.DUMMYFUNCTION("""COMPUTED_VALUE"""),"FALSE")</f>
        <v>FALSE</v>
      </c>
      <c r="AZ2199" s="9"/>
      <c r="BC2199" s="9"/>
      <c r="BF2199" s="9"/>
      <c r="BI2199" s="9"/>
    </row>
    <row r="2200" spans="18:61">
      <c r="R2200" s="6"/>
      <c r="AS2200" s="15"/>
      <c r="AT2200" s="6" t="str">
        <f ca="1">IFERROR(__xludf.DUMMYFUNCTION("""COMPUTED_VALUE"""),"#N/A")</f>
        <v>#N/A</v>
      </c>
      <c r="AU2200" s="6" t="str">
        <f ca="1">IFERROR(__xludf.DUMMYFUNCTION("""COMPUTED_VALUE"""),"FALSE")</f>
        <v>FALSE</v>
      </c>
      <c r="AZ2200" s="9"/>
      <c r="BC2200" s="9"/>
      <c r="BF2200" s="9"/>
      <c r="BI2200" s="9"/>
    </row>
    <row r="2201" spans="18:61">
      <c r="R2201" s="6"/>
      <c r="AS2201" s="15"/>
      <c r="AT2201" s="6" t="str">
        <f ca="1">IFERROR(__xludf.DUMMYFUNCTION("""COMPUTED_VALUE"""),"#N/A")</f>
        <v>#N/A</v>
      </c>
      <c r="AU2201" s="6" t="str">
        <f ca="1">IFERROR(__xludf.DUMMYFUNCTION("""COMPUTED_VALUE"""),"FALSE")</f>
        <v>FALSE</v>
      </c>
      <c r="AZ2201" s="9"/>
      <c r="BC2201" s="9"/>
      <c r="BF2201" s="9"/>
      <c r="BI2201" s="9"/>
    </row>
    <row r="2202" spans="18:61">
      <c r="R2202" s="6"/>
      <c r="AS2202" s="15"/>
      <c r="AT2202" s="6" t="str">
        <f ca="1">IFERROR(__xludf.DUMMYFUNCTION("""COMPUTED_VALUE"""),"#N/A")</f>
        <v>#N/A</v>
      </c>
      <c r="AU2202" s="6" t="str">
        <f ca="1">IFERROR(__xludf.DUMMYFUNCTION("""COMPUTED_VALUE"""),"FALSE")</f>
        <v>FALSE</v>
      </c>
      <c r="AZ2202" s="9"/>
      <c r="BC2202" s="9"/>
      <c r="BF2202" s="9"/>
      <c r="BI2202" s="9"/>
    </row>
    <row r="2203" spans="18:61">
      <c r="R2203" s="6"/>
      <c r="AS2203" s="15"/>
      <c r="AT2203" s="6" t="str">
        <f ca="1">IFERROR(__xludf.DUMMYFUNCTION("""COMPUTED_VALUE"""),"#N/A")</f>
        <v>#N/A</v>
      </c>
      <c r="AU2203" s="6" t="str">
        <f ca="1">IFERROR(__xludf.DUMMYFUNCTION("""COMPUTED_VALUE"""),"FALSE")</f>
        <v>FALSE</v>
      </c>
      <c r="AZ2203" s="9"/>
      <c r="BC2203" s="9"/>
      <c r="BF2203" s="9"/>
      <c r="BI2203" s="9"/>
    </row>
    <row r="2204" spans="18:61">
      <c r="R2204" s="6"/>
      <c r="AS2204" s="15"/>
      <c r="AT2204" s="6" t="str">
        <f ca="1">IFERROR(__xludf.DUMMYFUNCTION("""COMPUTED_VALUE"""),"#N/A")</f>
        <v>#N/A</v>
      </c>
      <c r="AU2204" s="6" t="str">
        <f ca="1">IFERROR(__xludf.DUMMYFUNCTION("""COMPUTED_VALUE"""),"FALSE")</f>
        <v>FALSE</v>
      </c>
      <c r="AZ2204" s="9"/>
      <c r="BC2204" s="9"/>
      <c r="BF2204" s="9"/>
      <c r="BI2204" s="9"/>
    </row>
    <row r="2205" spans="18:61">
      <c r="R2205" s="6"/>
      <c r="AS2205" s="15"/>
      <c r="AT2205" s="6" t="str">
        <f ca="1">IFERROR(__xludf.DUMMYFUNCTION("""COMPUTED_VALUE"""),"#N/A")</f>
        <v>#N/A</v>
      </c>
      <c r="AU2205" s="6" t="str">
        <f ca="1">IFERROR(__xludf.DUMMYFUNCTION("""COMPUTED_VALUE"""),"FALSE")</f>
        <v>FALSE</v>
      </c>
      <c r="AZ2205" s="9"/>
      <c r="BC2205" s="9"/>
      <c r="BF2205" s="9"/>
      <c r="BI2205" s="9"/>
    </row>
    <row r="2206" spans="18:61">
      <c r="R2206" s="6"/>
      <c r="AS2206" s="15"/>
      <c r="AT2206" s="6" t="str">
        <f ca="1">IFERROR(__xludf.DUMMYFUNCTION("""COMPUTED_VALUE"""),"#N/A")</f>
        <v>#N/A</v>
      </c>
      <c r="AU2206" s="6" t="str">
        <f ca="1">IFERROR(__xludf.DUMMYFUNCTION("""COMPUTED_VALUE"""),"FALSE")</f>
        <v>FALSE</v>
      </c>
      <c r="AZ2206" s="9"/>
      <c r="BC2206" s="9"/>
      <c r="BF2206" s="9"/>
      <c r="BI2206" s="9"/>
    </row>
    <row r="2207" spans="18:61">
      <c r="R2207" s="6"/>
      <c r="AS2207" s="15"/>
      <c r="AT2207" s="6" t="str">
        <f ca="1">IFERROR(__xludf.DUMMYFUNCTION("""COMPUTED_VALUE"""),"#N/A")</f>
        <v>#N/A</v>
      </c>
      <c r="AU2207" s="6" t="str">
        <f ca="1">IFERROR(__xludf.DUMMYFUNCTION("""COMPUTED_VALUE"""),"FALSE")</f>
        <v>FALSE</v>
      </c>
      <c r="AZ2207" s="9"/>
      <c r="BC2207" s="9"/>
      <c r="BF2207" s="9"/>
      <c r="BI2207" s="9"/>
    </row>
    <row r="2208" spans="18:61">
      <c r="R2208" s="6"/>
      <c r="AS2208" s="15"/>
      <c r="AT2208" s="6" t="str">
        <f ca="1">IFERROR(__xludf.DUMMYFUNCTION("""COMPUTED_VALUE"""),"#N/A")</f>
        <v>#N/A</v>
      </c>
      <c r="AU2208" s="6" t="str">
        <f ca="1">IFERROR(__xludf.DUMMYFUNCTION("""COMPUTED_VALUE"""),"FALSE")</f>
        <v>FALSE</v>
      </c>
      <c r="AZ2208" s="9"/>
      <c r="BC2208" s="9"/>
      <c r="BF2208" s="9"/>
      <c r="BI2208" s="9"/>
    </row>
    <row r="2209" spans="18:61">
      <c r="R2209" s="6"/>
      <c r="AS2209" s="15"/>
      <c r="AT2209" s="6" t="str">
        <f ca="1">IFERROR(__xludf.DUMMYFUNCTION("""COMPUTED_VALUE"""),"#N/A")</f>
        <v>#N/A</v>
      </c>
      <c r="AU2209" s="6" t="str">
        <f ca="1">IFERROR(__xludf.DUMMYFUNCTION("""COMPUTED_VALUE"""),"FALSE")</f>
        <v>FALSE</v>
      </c>
      <c r="AZ2209" s="9"/>
      <c r="BC2209" s="9"/>
      <c r="BF2209" s="9"/>
      <c r="BI2209" s="9"/>
    </row>
    <row r="2210" spans="18:61">
      <c r="R2210" s="6"/>
      <c r="AS2210" s="15"/>
      <c r="AT2210" s="6" t="str">
        <f ca="1">IFERROR(__xludf.DUMMYFUNCTION("""COMPUTED_VALUE"""),"#N/A")</f>
        <v>#N/A</v>
      </c>
      <c r="AU2210" s="6" t="str">
        <f ca="1">IFERROR(__xludf.DUMMYFUNCTION("""COMPUTED_VALUE"""),"FALSE")</f>
        <v>FALSE</v>
      </c>
      <c r="AZ2210" s="9"/>
      <c r="BC2210" s="9"/>
      <c r="BF2210" s="9"/>
      <c r="BI2210" s="9"/>
    </row>
    <row r="2211" spans="18:61">
      <c r="R2211" s="6"/>
      <c r="AS2211" s="15"/>
      <c r="AT2211" s="6" t="str">
        <f ca="1">IFERROR(__xludf.DUMMYFUNCTION("""COMPUTED_VALUE"""),"#N/A")</f>
        <v>#N/A</v>
      </c>
      <c r="AU2211" s="6" t="str">
        <f ca="1">IFERROR(__xludf.DUMMYFUNCTION("""COMPUTED_VALUE"""),"FALSE")</f>
        <v>FALSE</v>
      </c>
      <c r="AZ2211" s="9"/>
      <c r="BC2211" s="9"/>
      <c r="BF2211" s="9"/>
      <c r="BI2211" s="9"/>
    </row>
    <row r="2212" spans="18:61">
      <c r="R2212" s="6"/>
      <c r="AS2212" s="15"/>
      <c r="AT2212" s="6" t="str">
        <f ca="1">IFERROR(__xludf.DUMMYFUNCTION("""COMPUTED_VALUE"""),"#N/A")</f>
        <v>#N/A</v>
      </c>
      <c r="AU2212" s="6" t="str">
        <f ca="1">IFERROR(__xludf.DUMMYFUNCTION("""COMPUTED_VALUE"""),"FALSE")</f>
        <v>FALSE</v>
      </c>
      <c r="AZ2212" s="9"/>
      <c r="BC2212" s="9"/>
      <c r="BF2212" s="9"/>
      <c r="BI2212" s="9"/>
    </row>
    <row r="2213" spans="18:61">
      <c r="R2213" s="6"/>
      <c r="AS2213" s="15"/>
      <c r="AT2213" s="6" t="str">
        <f ca="1">IFERROR(__xludf.DUMMYFUNCTION("""COMPUTED_VALUE"""),"#N/A")</f>
        <v>#N/A</v>
      </c>
      <c r="AU2213" s="6" t="str">
        <f ca="1">IFERROR(__xludf.DUMMYFUNCTION("""COMPUTED_VALUE"""),"FALSE")</f>
        <v>FALSE</v>
      </c>
      <c r="AZ2213" s="9"/>
      <c r="BC2213" s="9"/>
      <c r="BF2213" s="9"/>
      <c r="BI2213" s="9"/>
    </row>
    <row r="2214" spans="18:61">
      <c r="R2214" s="6"/>
      <c r="AS2214" s="15"/>
      <c r="AT2214" s="6" t="str">
        <f ca="1">IFERROR(__xludf.DUMMYFUNCTION("""COMPUTED_VALUE"""),"#N/A")</f>
        <v>#N/A</v>
      </c>
      <c r="AU2214" s="6" t="str">
        <f ca="1">IFERROR(__xludf.DUMMYFUNCTION("""COMPUTED_VALUE"""),"FALSE")</f>
        <v>FALSE</v>
      </c>
      <c r="AZ2214" s="9"/>
      <c r="BC2214" s="9"/>
      <c r="BF2214" s="9"/>
      <c r="BI2214" s="9"/>
    </row>
    <row r="2215" spans="18:61">
      <c r="R2215" s="6"/>
      <c r="AS2215" s="15"/>
      <c r="AT2215" s="6" t="str">
        <f ca="1">IFERROR(__xludf.DUMMYFUNCTION("""COMPUTED_VALUE"""),"#N/A")</f>
        <v>#N/A</v>
      </c>
      <c r="AU2215" s="6" t="str">
        <f ca="1">IFERROR(__xludf.DUMMYFUNCTION("""COMPUTED_VALUE"""),"FALSE")</f>
        <v>FALSE</v>
      </c>
      <c r="AZ2215" s="9"/>
      <c r="BC2215" s="9"/>
      <c r="BF2215" s="9"/>
      <c r="BI2215" s="9"/>
    </row>
    <row r="2216" spans="18:61">
      <c r="R2216" s="6"/>
      <c r="AS2216" s="15"/>
      <c r="AT2216" s="6" t="str">
        <f ca="1">IFERROR(__xludf.DUMMYFUNCTION("""COMPUTED_VALUE"""),"#N/A")</f>
        <v>#N/A</v>
      </c>
      <c r="AU2216" s="6" t="str">
        <f ca="1">IFERROR(__xludf.DUMMYFUNCTION("""COMPUTED_VALUE"""),"FALSE")</f>
        <v>FALSE</v>
      </c>
      <c r="AZ2216" s="9"/>
      <c r="BC2216" s="9"/>
      <c r="BF2216" s="9"/>
      <c r="BI2216" s="9"/>
    </row>
    <row r="2217" spans="18:61">
      <c r="R2217" s="6"/>
      <c r="AS2217" s="15"/>
      <c r="AT2217" s="6" t="str">
        <f ca="1">IFERROR(__xludf.DUMMYFUNCTION("""COMPUTED_VALUE"""),"#N/A")</f>
        <v>#N/A</v>
      </c>
      <c r="AU2217" s="6" t="str">
        <f ca="1">IFERROR(__xludf.DUMMYFUNCTION("""COMPUTED_VALUE"""),"FALSE")</f>
        <v>FALSE</v>
      </c>
      <c r="AZ2217" s="9"/>
      <c r="BC2217" s="9"/>
      <c r="BF2217" s="9"/>
      <c r="BI2217" s="9"/>
    </row>
    <row r="2218" spans="18:61">
      <c r="R2218" s="6"/>
      <c r="AS2218" s="15"/>
      <c r="AT2218" s="6" t="str">
        <f ca="1">IFERROR(__xludf.DUMMYFUNCTION("""COMPUTED_VALUE"""),"#N/A")</f>
        <v>#N/A</v>
      </c>
      <c r="AU2218" s="6" t="str">
        <f ca="1">IFERROR(__xludf.DUMMYFUNCTION("""COMPUTED_VALUE"""),"FALSE")</f>
        <v>FALSE</v>
      </c>
      <c r="AZ2218" s="9"/>
      <c r="BC2218" s="9"/>
      <c r="BF2218" s="9"/>
      <c r="BI2218" s="9"/>
    </row>
    <row r="2219" spans="18:61">
      <c r="R2219" s="6"/>
      <c r="AS2219" s="15"/>
      <c r="AT2219" s="6" t="str">
        <f ca="1">IFERROR(__xludf.DUMMYFUNCTION("""COMPUTED_VALUE"""),"#N/A")</f>
        <v>#N/A</v>
      </c>
      <c r="AU2219" s="6" t="str">
        <f ca="1">IFERROR(__xludf.DUMMYFUNCTION("""COMPUTED_VALUE"""),"FALSE")</f>
        <v>FALSE</v>
      </c>
      <c r="AZ2219" s="9"/>
      <c r="BC2219" s="9"/>
      <c r="BF2219" s="9"/>
      <c r="BI2219" s="9"/>
    </row>
    <row r="2220" spans="18:61">
      <c r="R2220" s="6"/>
      <c r="AS2220" s="15"/>
      <c r="AT2220" s="6" t="str">
        <f ca="1">IFERROR(__xludf.DUMMYFUNCTION("""COMPUTED_VALUE"""),"#N/A")</f>
        <v>#N/A</v>
      </c>
      <c r="AU2220" s="6" t="str">
        <f ca="1">IFERROR(__xludf.DUMMYFUNCTION("""COMPUTED_VALUE"""),"FALSE")</f>
        <v>FALSE</v>
      </c>
      <c r="AZ2220" s="9"/>
      <c r="BC2220" s="9"/>
      <c r="BF2220" s="9"/>
      <c r="BI2220" s="9"/>
    </row>
    <row r="2221" spans="18:61">
      <c r="R2221" s="6"/>
      <c r="AS2221" s="15"/>
      <c r="AT2221" s="6" t="str">
        <f ca="1">IFERROR(__xludf.DUMMYFUNCTION("""COMPUTED_VALUE"""),"#N/A")</f>
        <v>#N/A</v>
      </c>
      <c r="AU2221" s="6" t="str">
        <f ca="1">IFERROR(__xludf.DUMMYFUNCTION("""COMPUTED_VALUE"""),"FALSE")</f>
        <v>FALSE</v>
      </c>
      <c r="AZ2221" s="9"/>
      <c r="BC2221" s="9"/>
      <c r="BF2221" s="9"/>
      <c r="BI2221" s="9"/>
    </row>
    <row r="2222" spans="18:61">
      <c r="R2222" s="6"/>
      <c r="AS2222" s="15"/>
      <c r="AT2222" s="6" t="str">
        <f ca="1">IFERROR(__xludf.DUMMYFUNCTION("""COMPUTED_VALUE"""),"#N/A")</f>
        <v>#N/A</v>
      </c>
      <c r="AU2222" s="6" t="str">
        <f ca="1">IFERROR(__xludf.DUMMYFUNCTION("""COMPUTED_VALUE"""),"FALSE")</f>
        <v>FALSE</v>
      </c>
      <c r="AZ2222" s="9"/>
      <c r="BC2222" s="9"/>
      <c r="BF2222" s="9"/>
      <c r="BI2222" s="9"/>
    </row>
    <row r="2223" spans="18:61">
      <c r="R2223" s="6"/>
      <c r="AS2223" s="15"/>
      <c r="AT2223" s="6" t="str">
        <f ca="1">IFERROR(__xludf.DUMMYFUNCTION("""COMPUTED_VALUE"""),"#N/A")</f>
        <v>#N/A</v>
      </c>
      <c r="AU2223" s="6" t="str">
        <f ca="1">IFERROR(__xludf.DUMMYFUNCTION("""COMPUTED_VALUE"""),"FALSE")</f>
        <v>FALSE</v>
      </c>
      <c r="AZ2223" s="9"/>
      <c r="BC2223" s="9"/>
      <c r="BF2223" s="9"/>
      <c r="BI2223" s="9"/>
    </row>
    <row r="2224" spans="18:61">
      <c r="R2224" s="6"/>
      <c r="AS2224" s="15"/>
      <c r="AT2224" s="6" t="str">
        <f ca="1">IFERROR(__xludf.DUMMYFUNCTION("""COMPUTED_VALUE"""),"#N/A")</f>
        <v>#N/A</v>
      </c>
      <c r="AU2224" s="6" t="str">
        <f ca="1">IFERROR(__xludf.DUMMYFUNCTION("""COMPUTED_VALUE"""),"FALSE")</f>
        <v>FALSE</v>
      </c>
      <c r="AZ2224" s="9"/>
      <c r="BC2224" s="9"/>
      <c r="BF2224" s="9"/>
      <c r="BI2224" s="9"/>
    </row>
    <row r="2225" spans="18:61">
      <c r="R2225" s="6"/>
      <c r="AS2225" s="15"/>
      <c r="AT2225" s="6" t="str">
        <f ca="1">IFERROR(__xludf.DUMMYFUNCTION("""COMPUTED_VALUE"""),"#N/A")</f>
        <v>#N/A</v>
      </c>
      <c r="AU2225" s="6" t="str">
        <f ca="1">IFERROR(__xludf.DUMMYFUNCTION("""COMPUTED_VALUE"""),"FALSE")</f>
        <v>FALSE</v>
      </c>
      <c r="AZ2225" s="9"/>
      <c r="BC2225" s="9"/>
      <c r="BF2225" s="9"/>
      <c r="BI2225" s="9"/>
    </row>
    <row r="2226" spans="18:61">
      <c r="R2226" s="6"/>
      <c r="AS2226" s="15"/>
      <c r="AT2226" s="6" t="str">
        <f ca="1">IFERROR(__xludf.DUMMYFUNCTION("""COMPUTED_VALUE"""),"#N/A")</f>
        <v>#N/A</v>
      </c>
      <c r="AU2226" s="6" t="str">
        <f ca="1">IFERROR(__xludf.DUMMYFUNCTION("""COMPUTED_VALUE"""),"FALSE")</f>
        <v>FALSE</v>
      </c>
      <c r="AZ2226" s="9"/>
      <c r="BC2226" s="9"/>
      <c r="BF2226" s="9"/>
      <c r="BI2226" s="9"/>
    </row>
    <row r="2227" spans="18:61">
      <c r="R2227" s="6"/>
      <c r="AS2227" s="15"/>
      <c r="AT2227" s="6" t="str">
        <f ca="1">IFERROR(__xludf.DUMMYFUNCTION("""COMPUTED_VALUE"""),"#N/A")</f>
        <v>#N/A</v>
      </c>
      <c r="AU2227" s="6" t="str">
        <f ca="1">IFERROR(__xludf.DUMMYFUNCTION("""COMPUTED_VALUE"""),"FALSE")</f>
        <v>FALSE</v>
      </c>
      <c r="AZ2227" s="9"/>
      <c r="BC2227" s="9"/>
      <c r="BF2227" s="9"/>
      <c r="BI2227" s="9"/>
    </row>
    <row r="2228" spans="18:61">
      <c r="R2228" s="6"/>
      <c r="AS2228" s="15"/>
      <c r="AT2228" s="6" t="str">
        <f ca="1">IFERROR(__xludf.DUMMYFUNCTION("""COMPUTED_VALUE"""),"#N/A")</f>
        <v>#N/A</v>
      </c>
      <c r="AU2228" s="6" t="str">
        <f ca="1">IFERROR(__xludf.DUMMYFUNCTION("""COMPUTED_VALUE"""),"FALSE")</f>
        <v>FALSE</v>
      </c>
      <c r="AZ2228" s="9"/>
      <c r="BC2228" s="9"/>
      <c r="BF2228" s="9"/>
      <c r="BI2228" s="9"/>
    </row>
    <row r="2229" spans="18:61">
      <c r="R2229" s="6"/>
      <c r="AS2229" s="15"/>
      <c r="AT2229" s="6" t="str">
        <f ca="1">IFERROR(__xludf.DUMMYFUNCTION("""COMPUTED_VALUE"""),"#N/A")</f>
        <v>#N/A</v>
      </c>
      <c r="AU2229" s="6" t="str">
        <f ca="1">IFERROR(__xludf.DUMMYFUNCTION("""COMPUTED_VALUE"""),"FALSE")</f>
        <v>FALSE</v>
      </c>
      <c r="AZ2229" s="9"/>
      <c r="BC2229" s="9"/>
      <c r="BF2229" s="9"/>
      <c r="BI2229" s="9"/>
    </row>
    <row r="2230" spans="18:61">
      <c r="R2230" s="6"/>
      <c r="AS2230" s="15"/>
      <c r="AT2230" s="6" t="str">
        <f ca="1">IFERROR(__xludf.DUMMYFUNCTION("""COMPUTED_VALUE"""),"#N/A")</f>
        <v>#N/A</v>
      </c>
      <c r="AU2230" s="6" t="str">
        <f ca="1">IFERROR(__xludf.DUMMYFUNCTION("""COMPUTED_VALUE"""),"FALSE")</f>
        <v>FALSE</v>
      </c>
      <c r="AZ2230" s="9"/>
      <c r="BC2230" s="9"/>
      <c r="BF2230" s="9"/>
      <c r="BI2230" s="9"/>
    </row>
    <row r="2231" spans="18:61">
      <c r="R2231" s="6"/>
      <c r="AS2231" s="15"/>
      <c r="AT2231" s="6" t="str">
        <f ca="1">IFERROR(__xludf.DUMMYFUNCTION("""COMPUTED_VALUE"""),"#N/A")</f>
        <v>#N/A</v>
      </c>
      <c r="AU2231" s="6" t="str">
        <f ca="1">IFERROR(__xludf.DUMMYFUNCTION("""COMPUTED_VALUE"""),"FALSE")</f>
        <v>FALSE</v>
      </c>
      <c r="AZ2231" s="9"/>
      <c r="BC2231" s="9"/>
      <c r="BF2231" s="9"/>
      <c r="BI2231" s="9"/>
    </row>
    <row r="2232" spans="18:61">
      <c r="R2232" s="6"/>
      <c r="AS2232" s="15"/>
      <c r="AT2232" s="6" t="str">
        <f ca="1">IFERROR(__xludf.DUMMYFUNCTION("""COMPUTED_VALUE"""),"#N/A")</f>
        <v>#N/A</v>
      </c>
      <c r="AU2232" s="6" t="str">
        <f ca="1">IFERROR(__xludf.DUMMYFUNCTION("""COMPUTED_VALUE"""),"FALSE")</f>
        <v>FALSE</v>
      </c>
      <c r="AZ2232" s="9"/>
      <c r="BC2232" s="9"/>
      <c r="BF2232" s="9"/>
      <c r="BI2232" s="9"/>
    </row>
    <row r="2233" spans="18:61">
      <c r="R2233" s="6"/>
      <c r="AS2233" s="15"/>
      <c r="AT2233" s="6" t="str">
        <f ca="1">IFERROR(__xludf.DUMMYFUNCTION("""COMPUTED_VALUE"""),"#N/A")</f>
        <v>#N/A</v>
      </c>
      <c r="AU2233" s="6" t="str">
        <f ca="1">IFERROR(__xludf.DUMMYFUNCTION("""COMPUTED_VALUE"""),"FALSE")</f>
        <v>FALSE</v>
      </c>
      <c r="AZ2233" s="9"/>
      <c r="BC2233" s="9"/>
      <c r="BF2233" s="9"/>
      <c r="BI2233" s="9"/>
    </row>
    <row r="2234" spans="18:61">
      <c r="R2234" s="6"/>
      <c r="AS2234" s="15"/>
      <c r="AT2234" s="6" t="str">
        <f ca="1">IFERROR(__xludf.DUMMYFUNCTION("""COMPUTED_VALUE"""),"#N/A")</f>
        <v>#N/A</v>
      </c>
      <c r="AU2234" s="6" t="str">
        <f ca="1">IFERROR(__xludf.DUMMYFUNCTION("""COMPUTED_VALUE"""),"FALSE")</f>
        <v>FALSE</v>
      </c>
      <c r="AZ2234" s="9"/>
      <c r="BC2234" s="9"/>
      <c r="BF2234" s="9"/>
      <c r="BI2234" s="9"/>
    </row>
    <row r="2235" spans="18:61">
      <c r="R2235" s="6"/>
      <c r="AS2235" s="15"/>
      <c r="AT2235" s="6" t="str">
        <f ca="1">IFERROR(__xludf.DUMMYFUNCTION("""COMPUTED_VALUE"""),"#N/A")</f>
        <v>#N/A</v>
      </c>
      <c r="AU2235" s="6" t="str">
        <f ca="1">IFERROR(__xludf.DUMMYFUNCTION("""COMPUTED_VALUE"""),"FALSE")</f>
        <v>FALSE</v>
      </c>
      <c r="AZ2235" s="9"/>
      <c r="BC2235" s="9"/>
      <c r="BF2235" s="9"/>
      <c r="BI2235" s="9"/>
    </row>
    <row r="2236" spans="18:61">
      <c r="R2236" s="6"/>
      <c r="AS2236" s="15"/>
      <c r="AT2236" s="6" t="str">
        <f ca="1">IFERROR(__xludf.DUMMYFUNCTION("""COMPUTED_VALUE"""),"#N/A")</f>
        <v>#N/A</v>
      </c>
      <c r="AU2236" s="6" t="str">
        <f ca="1">IFERROR(__xludf.DUMMYFUNCTION("""COMPUTED_VALUE"""),"FALSE")</f>
        <v>FALSE</v>
      </c>
      <c r="AZ2236" s="9"/>
      <c r="BC2236" s="9"/>
      <c r="BF2236" s="9"/>
      <c r="BI2236" s="9"/>
    </row>
    <row r="2237" spans="18:61">
      <c r="R2237" s="6"/>
      <c r="AS2237" s="15"/>
      <c r="AT2237" s="6" t="str">
        <f ca="1">IFERROR(__xludf.DUMMYFUNCTION("""COMPUTED_VALUE"""),"#N/A")</f>
        <v>#N/A</v>
      </c>
      <c r="AU2237" s="6" t="str">
        <f ca="1">IFERROR(__xludf.DUMMYFUNCTION("""COMPUTED_VALUE"""),"FALSE")</f>
        <v>FALSE</v>
      </c>
      <c r="AZ2237" s="9"/>
      <c r="BC2237" s="9"/>
      <c r="BF2237" s="9"/>
      <c r="BI2237" s="9"/>
    </row>
    <row r="2238" spans="18:61">
      <c r="R2238" s="6"/>
      <c r="AS2238" s="15"/>
      <c r="AT2238" s="6" t="str">
        <f ca="1">IFERROR(__xludf.DUMMYFUNCTION("""COMPUTED_VALUE"""),"#N/A")</f>
        <v>#N/A</v>
      </c>
      <c r="AU2238" s="6" t="str">
        <f ca="1">IFERROR(__xludf.DUMMYFUNCTION("""COMPUTED_VALUE"""),"FALSE")</f>
        <v>FALSE</v>
      </c>
      <c r="AZ2238" s="9"/>
      <c r="BC2238" s="9"/>
      <c r="BF2238" s="9"/>
      <c r="BI2238" s="9"/>
    </row>
    <row r="2239" spans="18:61">
      <c r="R2239" s="6"/>
      <c r="AS2239" s="15"/>
      <c r="AT2239" s="6" t="str">
        <f ca="1">IFERROR(__xludf.DUMMYFUNCTION("""COMPUTED_VALUE"""),"#N/A")</f>
        <v>#N/A</v>
      </c>
      <c r="AU2239" s="6" t="str">
        <f ca="1">IFERROR(__xludf.DUMMYFUNCTION("""COMPUTED_VALUE"""),"FALSE")</f>
        <v>FALSE</v>
      </c>
      <c r="AZ2239" s="9"/>
      <c r="BC2239" s="9"/>
      <c r="BF2239" s="9"/>
      <c r="BI2239" s="9"/>
    </row>
    <row r="2240" spans="18:61">
      <c r="R2240" s="6"/>
      <c r="AS2240" s="15"/>
      <c r="AT2240" s="6" t="str">
        <f ca="1">IFERROR(__xludf.DUMMYFUNCTION("""COMPUTED_VALUE"""),"#N/A")</f>
        <v>#N/A</v>
      </c>
      <c r="AU2240" s="6" t="str">
        <f ca="1">IFERROR(__xludf.DUMMYFUNCTION("""COMPUTED_VALUE"""),"FALSE")</f>
        <v>FALSE</v>
      </c>
      <c r="AZ2240" s="9"/>
      <c r="BC2240" s="9"/>
      <c r="BF2240" s="9"/>
      <c r="BI2240" s="9"/>
    </row>
    <row r="2241" spans="18:61">
      <c r="R2241" s="6"/>
      <c r="AS2241" s="15"/>
      <c r="AT2241" s="6" t="str">
        <f ca="1">IFERROR(__xludf.DUMMYFUNCTION("""COMPUTED_VALUE"""),"#N/A")</f>
        <v>#N/A</v>
      </c>
      <c r="AU2241" s="6" t="str">
        <f ca="1">IFERROR(__xludf.DUMMYFUNCTION("""COMPUTED_VALUE"""),"FALSE")</f>
        <v>FALSE</v>
      </c>
      <c r="AZ2241" s="9"/>
      <c r="BC2241" s="9"/>
      <c r="BF2241" s="9"/>
      <c r="BI2241" s="9"/>
    </row>
    <row r="2242" spans="18:61">
      <c r="R2242" s="6"/>
      <c r="AS2242" s="15"/>
      <c r="AT2242" s="6" t="str">
        <f ca="1">IFERROR(__xludf.DUMMYFUNCTION("""COMPUTED_VALUE"""),"#N/A")</f>
        <v>#N/A</v>
      </c>
      <c r="AU2242" s="6" t="str">
        <f ca="1">IFERROR(__xludf.DUMMYFUNCTION("""COMPUTED_VALUE"""),"FALSE")</f>
        <v>FALSE</v>
      </c>
      <c r="AZ2242" s="9"/>
      <c r="BC2242" s="9"/>
      <c r="BF2242" s="9"/>
      <c r="BI2242" s="9"/>
    </row>
    <row r="2243" spans="18:61">
      <c r="R2243" s="6"/>
      <c r="AS2243" s="15"/>
      <c r="AT2243" s="6" t="str">
        <f ca="1">IFERROR(__xludf.DUMMYFUNCTION("""COMPUTED_VALUE"""),"#N/A")</f>
        <v>#N/A</v>
      </c>
      <c r="AU2243" s="6" t="str">
        <f ca="1">IFERROR(__xludf.DUMMYFUNCTION("""COMPUTED_VALUE"""),"FALSE")</f>
        <v>FALSE</v>
      </c>
      <c r="AZ2243" s="9"/>
      <c r="BC2243" s="9"/>
      <c r="BF2243" s="9"/>
      <c r="BI2243" s="9"/>
    </row>
    <row r="2244" spans="18:61">
      <c r="R2244" s="6"/>
      <c r="AS2244" s="15"/>
      <c r="AT2244" s="6" t="str">
        <f ca="1">IFERROR(__xludf.DUMMYFUNCTION("""COMPUTED_VALUE"""),"#N/A")</f>
        <v>#N/A</v>
      </c>
      <c r="AU2244" s="6" t="str">
        <f ca="1">IFERROR(__xludf.DUMMYFUNCTION("""COMPUTED_VALUE"""),"FALSE")</f>
        <v>FALSE</v>
      </c>
      <c r="AZ2244" s="9"/>
      <c r="BC2244" s="9"/>
      <c r="BF2244" s="9"/>
      <c r="BI2244" s="9"/>
    </row>
    <row r="2245" spans="18:61">
      <c r="R2245" s="6"/>
      <c r="AS2245" s="15"/>
      <c r="AT2245" s="6" t="str">
        <f ca="1">IFERROR(__xludf.DUMMYFUNCTION("""COMPUTED_VALUE"""),"#N/A")</f>
        <v>#N/A</v>
      </c>
      <c r="AU2245" s="6" t="str">
        <f ca="1">IFERROR(__xludf.DUMMYFUNCTION("""COMPUTED_VALUE"""),"FALSE")</f>
        <v>FALSE</v>
      </c>
      <c r="AZ2245" s="9"/>
      <c r="BC2245" s="9"/>
      <c r="BF2245" s="9"/>
      <c r="BI2245" s="9"/>
    </row>
    <row r="2246" spans="18:61">
      <c r="R2246" s="6"/>
      <c r="AS2246" s="15"/>
      <c r="AT2246" s="6" t="str">
        <f ca="1">IFERROR(__xludf.DUMMYFUNCTION("""COMPUTED_VALUE"""),"#N/A")</f>
        <v>#N/A</v>
      </c>
      <c r="AU2246" s="6" t="str">
        <f ca="1">IFERROR(__xludf.DUMMYFUNCTION("""COMPUTED_VALUE"""),"FALSE")</f>
        <v>FALSE</v>
      </c>
      <c r="AZ2246" s="9"/>
      <c r="BC2246" s="9"/>
      <c r="BF2246" s="9"/>
      <c r="BI2246" s="9"/>
    </row>
    <row r="2247" spans="18:61">
      <c r="R2247" s="6"/>
      <c r="AS2247" s="15"/>
      <c r="AT2247" s="6" t="str">
        <f ca="1">IFERROR(__xludf.DUMMYFUNCTION("""COMPUTED_VALUE"""),"#N/A")</f>
        <v>#N/A</v>
      </c>
      <c r="AU2247" s="6" t="str">
        <f ca="1">IFERROR(__xludf.DUMMYFUNCTION("""COMPUTED_VALUE"""),"FALSE")</f>
        <v>FALSE</v>
      </c>
      <c r="AZ2247" s="9"/>
      <c r="BC2247" s="9"/>
      <c r="BF2247" s="9"/>
      <c r="BI2247" s="9"/>
    </row>
    <row r="2248" spans="18:61">
      <c r="R2248" s="6"/>
      <c r="AS2248" s="15"/>
      <c r="AT2248" s="6" t="str">
        <f ca="1">IFERROR(__xludf.DUMMYFUNCTION("""COMPUTED_VALUE"""),"#N/A")</f>
        <v>#N/A</v>
      </c>
      <c r="AU2248" s="6" t="str">
        <f ca="1">IFERROR(__xludf.DUMMYFUNCTION("""COMPUTED_VALUE"""),"FALSE")</f>
        <v>FALSE</v>
      </c>
      <c r="AZ2248" s="9"/>
      <c r="BC2248" s="9"/>
      <c r="BF2248" s="9"/>
      <c r="BI2248" s="9"/>
    </row>
    <row r="2249" spans="18:61">
      <c r="R2249" s="6"/>
      <c r="AS2249" s="15"/>
      <c r="AT2249" s="6" t="str">
        <f ca="1">IFERROR(__xludf.DUMMYFUNCTION("""COMPUTED_VALUE"""),"#N/A")</f>
        <v>#N/A</v>
      </c>
      <c r="AU2249" s="6" t="str">
        <f ca="1">IFERROR(__xludf.DUMMYFUNCTION("""COMPUTED_VALUE"""),"FALSE")</f>
        <v>FALSE</v>
      </c>
      <c r="AZ2249" s="9"/>
      <c r="BC2249" s="9"/>
      <c r="BF2249" s="9"/>
      <c r="BI2249" s="9"/>
    </row>
    <row r="2250" spans="18:61">
      <c r="R2250" s="6"/>
      <c r="AS2250" s="15"/>
      <c r="AT2250" s="6" t="str">
        <f ca="1">IFERROR(__xludf.DUMMYFUNCTION("""COMPUTED_VALUE"""),"#N/A")</f>
        <v>#N/A</v>
      </c>
      <c r="AU2250" s="6" t="str">
        <f ca="1">IFERROR(__xludf.DUMMYFUNCTION("""COMPUTED_VALUE"""),"FALSE")</f>
        <v>FALSE</v>
      </c>
      <c r="AZ2250" s="9"/>
      <c r="BC2250" s="9"/>
      <c r="BF2250" s="9"/>
      <c r="BI2250" s="9"/>
    </row>
    <row r="2251" spans="18:61">
      <c r="R2251" s="6"/>
      <c r="AS2251" s="15"/>
      <c r="AT2251" s="6" t="str">
        <f ca="1">IFERROR(__xludf.DUMMYFUNCTION("""COMPUTED_VALUE"""),"#N/A")</f>
        <v>#N/A</v>
      </c>
      <c r="AU2251" s="6" t="str">
        <f ca="1">IFERROR(__xludf.DUMMYFUNCTION("""COMPUTED_VALUE"""),"FALSE")</f>
        <v>FALSE</v>
      </c>
      <c r="AZ2251" s="9"/>
      <c r="BC2251" s="9"/>
      <c r="BF2251" s="9"/>
      <c r="BI2251" s="9"/>
    </row>
    <row r="2252" spans="18:61">
      <c r="R2252" s="6"/>
      <c r="AS2252" s="15"/>
      <c r="AT2252" s="6" t="str">
        <f ca="1">IFERROR(__xludf.DUMMYFUNCTION("""COMPUTED_VALUE"""),"#N/A")</f>
        <v>#N/A</v>
      </c>
      <c r="AU2252" s="6" t="str">
        <f ca="1">IFERROR(__xludf.DUMMYFUNCTION("""COMPUTED_VALUE"""),"FALSE")</f>
        <v>FALSE</v>
      </c>
      <c r="AZ2252" s="9"/>
      <c r="BC2252" s="9"/>
      <c r="BF2252" s="9"/>
      <c r="BI2252" s="9"/>
    </row>
    <row r="2253" spans="18:61">
      <c r="R2253" s="6"/>
      <c r="AS2253" s="15"/>
      <c r="AT2253" s="6" t="str">
        <f ca="1">IFERROR(__xludf.DUMMYFUNCTION("""COMPUTED_VALUE"""),"#N/A")</f>
        <v>#N/A</v>
      </c>
      <c r="AU2253" s="6" t="str">
        <f ca="1">IFERROR(__xludf.DUMMYFUNCTION("""COMPUTED_VALUE"""),"FALSE")</f>
        <v>FALSE</v>
      </c>
      <c r="AZ2253" s="9"/>
      <c r="BC2253" s="9"/>
      <c r="BF2253" s="9"/>
      <c r="BI2253" s="9"/>
    </row>
    <row r="2254" spans="18:61">
      <c r="R2254" s="6"/>
      <c r="AS2254" s="15"/>
      <c r="AT2254" s="6" t="str">
        <f ca="1">IFERROR(__xludf.DUMMYFUNCTION("""COMPUTED_VALUE"""),"#N/A")</f>
        <v>#N/A</v>
      </c>
      <c r="AU2254" s="6" t="str">
        <f ca="1">IFERROR(__xludf.DUMMYFUNCTION("""COMPUTED_VALUE"""),"FALSE")</f>
        <v>FALSE</v>
      </c>
      <c r="AZ2254" s="9"/>
      <c r="BC2254" s="9"/>
      <c r="BF2254" s="9"/>
      <c r="BI2254" s="9"/>
    </row>
    <row r="2255" spans="18:61">
      <c r="R2255" s="6"/>
      <c r="AS2255" s="15"/>
      <c r="AT2255" s="6" t="str">
        <f ca="1">IFERROR(__xludf.DUMMYFUNCTION("""COMPUTED_VALUE"""),"#N/A")</f>
        <v>#N/A</v>
      </c>
      <c r="AU2255" s="6" t="str">
        <f ca="1">IFERROR(__xludf.DUMMYFUNCTION("""COMPUTED_VALUE"""),"FALSE")</f>
        <v>FALSE</v>
      </c>
      <c r="AZ2255" s="9"/>
      <c r="BC2255" s="9"/>
      <c r="BF2255" s="9"/>
      <c r="BI2255" s="9"/>
    </row>
    <row r="2256" spans="18:61">
      <c r="R2256" s="6"/>
      <c r="AS2256" s="15"/>
      <c r="AT2256" s="6" t="str">
        <f ca="1">IFERROR(__xludf.DUMMYFUNCTION("""COMPUTED_VALUE"""),"#N/A")</f>
        <v>#N/A</v>
      </c>
      <c r="AU2256" s="6" t="str">
        <f ca="1">IFERROR(__xludf.DUMMYFUNCTION("""COMPUTED_VALUE"""),"FALSE")</f>
        <v>FALSE</v>
      </c>
      <c r="AZ2256" s="9"/>
      <c r="BC2256" s="9"/>
      <c r="BF2256" s="9"/>
      <c r="BI2256" s="9"/>
    </row>
    <row r="2257" spans="18:61">
      <c r="R2257" s="6"/>
      <c r="AS2257" s="15"/>
      <c r="AT2257" s="6" t="str">
        <f ca="1">IFERROR(__xludf.DUMMYFUNCTION("""COMPUTED_VALUE"""),"#N/A")</f>
        <v>#N/A</v>
      </c>
      <c r="AU2257" s="6" t="str">
        <f ca="1">IFERROR(__xludf.DUMMYFUNCTION("""COMPUTED_VALUE"""),"FALSE")</f>
        <v>FALSE</v>
      </c>
      <c r="AZ2257" s="9"/>
      <c r="BC2257" s="9"/>
      <c r="BF2257" s="9"/>
      <c r="BI2257" s="9"/>
    </row>
    <row r="2258" spans="18:61">
      <c r="R2258" s="6"/>
      <c r="AS2258" s="15"/>
      <c r="AT2258" s="6" t="str">
        <f ca="1">IFERROR(__xludf.DUMMYFUNCTION("""COMPUTED_VALUE"""),"#N/A")</f>
        <v>#N/A</v>
      </c>
      <c r="AU2258" s="6" t="str">
        <f ca="1">IFERROR(__xludf.DUMMYFUNCTION("""COMPUTED_VALUE"""),"FALSE")</f>
        <v>FALSE</v>
      </c>
      <c r="AZ2258" s="9"/>
      <c r="BC2258" s="9"/>
      <c r="BF2258" s="9"/>
      <c r="BI2258" s="9"/>
    </row>
    <row r="2259" spans="18:61">
      <c r="R2259" s="6"/>
      <c r="AS2259" s="15"/>
      <c r="AT2259" s="6" t="str">
        <f ca="1">IFERROR(__xludf.DUMMYFUNCTION("""COMPUTED_VALUE"""),"#N/A")</f>
        <v>#N/A</v>
      </c>
      <c r="AU2259" s="6" t="str">
        <f ca="1">IFERROR(__xludf.DUMMYFUNCTION("""COMPUTED_VALUE"""),"FALSE")</f>
        <v>FALSE</v>
      </c>
      <c r="AZ2259" s="9"/>
      <c r="BC2259" s="9"/>
      <c r="BF2259" s="9"/>
      <c r="BI2259" s="9"/>
    </row>
    <row r="2260" spans="18:61">
      <c r="R2260" s="6"/>
      <c r="AS2260" s="15"/>
      <c r="AT2260" s="6" t="str">
        <f ca="1">IFERROR(__xludf.DUMMYFUNCTION("""COMPUTED_VALUE"""),"#N/A")</f>
        <v>#N/A</v>
      </c>
      <c r="AU2260" s="6" t="str">
        <f ca="1">IFERROR(__xludf.DUMMYFUNCTION("""COMPUTED_VALUE"""),"FALSE")</f>
        <v>FALSE</v>
      </c>
      <c r="AZ2260" s="9"/>
      <c r="BC2260" s="9"/>
      <c r="BF2260" s="9"/>
      <c r="BI2260" s="9"/>
    </row>
    <row r="2261" spans="18:61">
      <c r="R2261" s="6"/>
      <c r="AS2261" s="15"/>
      <c r="AT2261" s="6" t="str">
        <f ca="1">IFERROR(__xludf.DUMMYFUNCTION("""COMPUTED_VALUE"""),"#N/A")</f>
        <v>#N/A</v>
      </c>
      <c r="AU2261" s="6" t="str">
        <f ca="1">IFERROR(__xludf.DUMMYFUNCTION("""COMPUTED_VALUE"""),"FALSE")</f>
        <v>FALSE</v>
      </c>
      <c r="AZ2261" s="9"/>
      <c r="BC2261" s="9"/>
      <c r="BF2261" s="9"/>
      <c r="BI2261" s="9"/>
    </row>
    <row r="2262" spans="18:61">
      <c r="R2262" s="6"/>
      <c r="AS2262" s="15"/>
      <c r="AT2262" s="6" t="str">
        <f ca="1">IFERROR(__xludf.DUMMYFUNCTION("""COMPUTED_VALUE"""),"#N/A")</f>
        <v>#N/A</v>
      </c>
      <c r="AU2262" s="6" t="str">
        <f ca="1">IFERROR(__xludf.DUMMYFUNCTION("""COMPUTED_VALUE"""),"FALSE")</f>
        <v>FALSE</v>
      </c>
      <c r="AZ2262" s="9"/>
      <c r="BC2262" s="9"/>
      <c r="BF2262" s="9"/>
      <c r="BI2262" s="9"/>
    </row>
    <row r="2263" spans="18:61">
      <c r="R2263" s="6"/>
      <c r="AS2263" s="15"/>
      <c r="AT2263" s="6" t="str">
        <f ca="1">IFERROR(__xludf.DUMMYFUNCTION("""COMPUTED_VALUE"""),"#N/A")</f>
        <v>#N/A</v>
      </c>
      <c r="AU2263" s="6" t="str">
        <f ca="1">IFERROR(__xludf.DUMMYFUNCTION("""COMPUTED_VALUE"""),"FALSE")</f>
        <v>FALSE</v>
      </c>
      <c r="AZ2263" s="9"/>
      <c r="BC2263" s="9"/>
      <c r="BF2263" s="9"/>
      <c r="BI2263" s="9"/>
    </row>
    <row r="2264" spans="18:61">
      <c r="R2264" s="6"/>
      <c r="AS2264" s="15"/>
      <c r="AT2264" s="6" t="str">
        <f ca="1">IFERROR(__xludf.DUMMYFUNCTION("""COMPUTED_VALUE"""),"#N/A")</f>
        <v>#N/A</v>
      </c>
      <c r="AU2264" s="6" t="str">
        <f ca="1">IFERROR(__xludf.DUMMYFUNCTION("""COMPUTED_VALUE"""),"FALSE")</f>
        <v>FALSE</v>
      </c>
      <c r="AZ2264" s="9"/>
      <c r="BC2264" s="9"/>
      <c r="BF2264" s="9"/>
      <c r="BI2264" s="9"/>
    </row>
    <row r="2265" spans="18:61">
      <c r="R2265" s="6"/>
      <c r="AS2265" s="15"/>
      <c r="AT2265" s="6" t="str">
        <f ca="1">IFERROR(__xludf.DUMMYFUNCTION("""COMPUTED_VALUE"""),"#N/A")</f>
        <v>#N/A</v>
      </c>
      <c r="AU2265" s="6" t="str">
        <f ca="1">IFERROR(__xludf.DUMMYFUNCTION("""COMPUTED_VALUE"""),"FALSE")</f>
        <v>FALSE</v>
      </c>
      <c r="AZ2265" s="9"/>
      <c r="BC2265" s="9"/>
      <c r="BF2265" s="9"/>
      <c r="BI2265" s="9"/>
    </row>
    <row r="2266" spans="18:61">
      <c r="R2266" s="6"/>
      <c r="AS2266" s="15"/>
      <c r="AT2266" s="6" t="str">
        <f ca="1">IFERROR(__xludf.DUMMYFUNCTION("""COMPUTED_VALUE"""),"#N/A")</f>
        <v>#N/A</v>
      </c>
      <c r="AU2266" s="6" t="str">
        <f ca="1">IFERROR(__xludf.DUMMYFUNCTION("""COMPUTED_VALUE"""),"FALSE")</f>
        <v>FALSE</v>
      </c>
      <c r="AZ2266" s="9"/>
      <c r="BC2266" s="9"/>
      <c r="BF2266" s="9"/>
      <c r="BI2266" s="9"/>
    </row>
    <row r="2267" spans="18:61">
      <c r="R2267" s="6"/>
      <c r="AS2267" s="15"/>
      <c r="AT2267" s="6" t="str">
        <f ca="1">IFERROR(__xludf.DUMMYFUNCTION("""COMPUTED_VALUE"""),"#N/A")</f>
        <v>#N/A</v>
      </c>
      <c r="AU2267" s="6" t="str">
        <f ca="1">IFERROR(__xludf.DUMMYFUNCTION("""COMPUTED_VALUE"""),"FALSE")</f>
        <v>FALSE</v>
      </c>
      <c r="AZ2267" s="9"/>
      <c r="BC2267" s="9"/>
      <c r="BF2267" s="9"/>
      <c r="BI2267" s="9"/>
    </row>
    <row r="2268" spans="18:61">
      <c r="R2268" s="6"/>
      <c r="AS2268" s="15"/>
      <c r="AT2268" s="6" t="str">
        <f ca="1">IFERROR(__xludf.DUMMYFUNCTION("""COMPUTED_VALUE"""),"#N/A")</f>
        <v>#N/A</v>
      </c>
      <c r="AU2268" s="6" t="str">
        <f ca="1">IFERROR(__xludf.DUMMYFUNCTION("""COMPUTED_VALUE"""),"FALSE")</f>
        <v>FALSE</v>
      </c>
      <c r="AZ2268" s="9"/>
      <c r="BC2268" s="9"/>
      <c r="BF2268" s="9"/>
      <c r="BI2268" s="9"/>
    </row>
    <row r="2269" spans="18:61">
      <c r="R2269" s="6"/>
      <c r="AS2269" s="15"/>
      <c r="AT2269" s="6" t="str">
        <f ca="1">IFERROR(__xludf.DUMMYFUNCTION("""COMPUTED_VALUE"""),"#N/A")</f>
        <v>#N/A</v>
      </c>
      <c r="AU2269" s="6" t="str">
        <f ca="1">IFERROR(__xludf.DUMMYFUNCTION("""COMPUTED_VALUE"""),"FALSE")</f>
        <v>FALSE</v>
      </c>
      <c r="AZ2269" s="9"/>
      <c r="BC2269" s="9"/>
      <c r="BF2269" s="9"/>
      <c r="BI2269" s="9"/>
    </row>
    <row r="2270" spans="18:61">
      <c r="R2270" s="6"/>
      <c r="AS2270" s="15"/>
      <c r="AT2270" s="6" t="str">
        <f ca="1">IFERROR(__xludf.DUMMYFUNCTION("""COMPUTED_VALUE"""),"#N/A")</f>
        <v>#N/A</v>
      </c>
      <c r="AU2270" s="6" t="str">
        <f ca="1">IFERROR(__xludf.DUMMYFUNCTION("""COMPUTED_VALUE"""),"FALSE")</f>
        <v>FALSE</v>
      </c>
      <c r="AZ2270" s="9"/>
      <c r="BC2270" s="9"/>
      <c r="BF2270" s="9"/>
      <c r="BI2270" s="9"/>
    </row>
    <row r="2271" spans="18:61">
      <c r="R2271" s="6"/>
      <c r="AS2271" s="15"/>
      <c r="AT2271" s="6" t="str">
        <f ca="1">IFERROR(__xludf.DUMMYFUNCTION("""COMPUTED_VALUE"""),"#N/A")</f>
        <v>#N/A</v>
      </c>
      <c r="AU2271" s="6" t="str">
        <f ca="1">IFERROR(__xludf.DUMMYFUNCTION("""COMPUTED_VALUE"""),"FALSE")</f>
        <v>FALSE</v>
      </c>
      <c r="AZ2271" s="9"/>
      <c r="BC2271" s="9"/>
      <c r="BF2271" s="9"/>
      <c r="BI2271" s="9"/>
    </row>
    <row r="2272" spans="18:61">
      <c r="R2272" s="6"/>
      <c r="AS2272" s="15"/>
      <c r="AT2272" s="6" t="str">
        <f ca="1">IFERROR(__xludf.DUMMYFUNCTION("""COMPUTED_VALUE"""),"#N/A")</f>
        <v>#N/A</v>
      </c>
      <c r="AU2272" s="6" t="str">
        <f ca="1">IFERROR(__xludf.DUMMYFUNCTION("""COMPUTED_VALUE"""),"FALSE")</f>
        <v>FALSE</v>
      </c>
      <c r="AZ2272" s="9"/>
      <c r="BC2272" s="9"/>
      <c r="BF2272" s="9"/>
      <c r="BI2272" s="9"/>
    </row>
    <row r="2273" spans="18:61">
      <c r="R2273" s="6"/>
      <c r="AS2273" s="15"/>
      <c r="AT2273" s="6" t="str">
        <f ca="1">IFERROR(__xludf.DUMMYFUNCTION("""COMPUTED_VALUE"""),"#N/A")</f>
        <v>#N/A</v>
      </c>
      <c r="AU2273" s="6" t="str">
        <f ca="1">IFERROR(__xludf.DUMMYFUNCTION("""COMPUTED_VALUE"""),"FALSE")</f>
        <v>FALSE</v>
      </c>
      <c r="AZ2273" s="9"/>
      <c r="BC2273" s="9"/>
      <c r="BF2273" s="9"/>
      <c r="BI2273" s="9"/>
    </row>
    <row r="2274" spans="18:61">
      <c r="R2274" s="6"/>
      <c r="AS2274" s="15"/>
      <c r="AT2274" s="6" t="str">
        <f ca="1">IFERROR(__xludf.DUMMYFUNCTION("""COMPUTED_VALUE"""),"#N/A")</f>
        <v>#N/A</v>
      </c>
      <c r="AU2274" s="6" t="str">
        <f ca="1">IFERROR(__xludf.DUMMYFUNCTION("""COMPUTED_VALUE"""),"FALSE")</f>
        <v>FALSE</v>
      </c>
      <c r="AZ2274" s="9"/>
      <c r="BC2274" s="9"/>
      <c r="BF2274" s="9"/>
      <c r="BI2274" s="9"/>
    </row>
    <row r="2275" spans="18:61">
      <c r="R2275" s="6"/>
      <c r="AS2275" s="15"/>
      <c r="AT2275" s="6" t="str">
        <f ca="1">IFERROR(__xludf.DUMMYFUNCTION("""COMPUTED_VALUE"""),"#N/A")</f>
        <v>#N/A</v>
      </c>
      <c r="AU2275" s="6" t="str">
        <f ca="1">IFERROR(__xludf.DUMMYFUNCTION("""COMPUTED_VALUE"""),"FALSE")</f>
        <v>FALSE</v>
      </c>
      <c r="AZ2275" s="9"/>
      <c r="BC2275" s="9"/>
      <c r="BF2275" s="9"/>
      <c r="BI2275" s="9"/>
    </row>
    <row r="2276" spans="18:61">
      <c r="R2276" s="6"/>
      <c r="AS2276" s="15"/>
      <c r="AT2276" s="6" t="str">
        <f ca="1">IFERROR(__xludf.DUMMYFUNCTION("""COMPUTED_VALUE"""),"#N/A")</f>
        <v>#N/A</v>
      </c>
      <c r="AU2276" s="6" t="str">
        <f ca="1">IFERROR(__xludf.DUMMYFUNCTION("""COMPUTED_VALUE"""),"FALSE")</f>
        <v>FALSE</v>
      </c>
      <c r="AZ2276" s="9"/>
      <c r="BC2276" s="9"/>
      <c r="BF2276" s="9"/>
      <c r="BI2276" s="9"/>
    </row>
    <row r="2277" spans="18:61">
      <c r="R2277" s="6"/>
      <c r="AS2277" s="15"/>
      <c r="AT2277" s="6" t="str">
        <f ca="1">IFERROR(__xludf.DUMMYFUNCTION("""COMPUTED_VALUE"""),"#N/A")</f>
        <v>#N/A</v>
      </c>
      <c r="AU2277" s="6" t="str">
        <f ca="1">IFERROR(__xludf.DUMMYFUNCTION("""COMPUTED_VALUE"""),"FALSE")</f>
        <v>FALSE</v>
      </c>
      <c r="AZ2277" s="9"/>
      <c r="BC2277" s="9"/>
      <c r="BF2277" s="9"/>
      <c r="BI2277" s="9"/>
    </row>
    <row r="2278" spans="18:61">
      <c r="R2278" s="6"/>
      <c r="AS2278" s="15"/>
      <c r="AT2278" s="6" t="str">
        <f ca="1">IFERROR(__xludf.DUMMYFUNCTION("""COMPUTED_VALUE"""),"#N/A")</f>
        <v>#N/A</v>
      </c>
      <c r="AU2278" s="6" t="str">
        <f ca="1">IFERROR(__xludf.DUMMYFUNCTION("""COMPUTED_VALUE"""),"FALSE")</f>
        <v>FALSE</v>
      </c>
      <c r="AZ2278" s="9"/>
      <c r="BC2278" s="9"/>
      <c r="BF2278" s="9"/>
      <c r="BI2278" s="9"/>
    </row>
    <row r="2279" spans="18:61">
      <c r="R2279" s="6"/>
      <c r="AS2279" s="15"/>
      <c r="AT2279" s="6" t="str">
        <f ca="1">IFERROR(__xludf.DUMMYFUNCTION("""COMPUTED_VALUE"""),"#N/A")</f>
        <v>#N/A</v>
      </c>
      <c r="AU2279" s="6" t="str">
        <f ca="1">IFERROR(__xludf.DUMMYFUNCTION("""COMPUTED_VALUE"""),"FALSE")</f>
        <v>FALSE</v>
      </c>
      <c r="AZ2279" s="9"/>
      <c r="BC2279" s="9"/>
      <c r="BF2279" s="9"/>
      <c r="BI2279" s="9"/>
    </row>
    <row r="2280" spans="18:61">
      <c r="R2280" s="6"/>
      <c r="AS2280" s="15"/>
      <c r="AT2280" s="6" t="str">
        <f ca="1">IFERROR(__xludf.DUMMYFUNCTION("""COMPUTED_VALUE"""),"#N/A")</f>
        <v>#N/A</v>
      </c>
      <c r="AU2280" s="6" t="str">
        <f ca="1">IFERROR(__xludf.DUMMYFUNCTION("""COMPUTED_VALUE"""),"FALSE")</f>
        <v>FALSE</v>
      </c>
      <c r="AZ2280" s="9"/>
      <c r="BC2280" s="9"/>
      <c r="BF2280" s="9"/>
      <c r="BI2280" s="9"/>
    </row>
    <row r="2281" spans="18:61">
      <c r="R2281" s="6"/>
      <c r="AS2281" s="15"/>
      <c r="AT2281" s="6" t="str">
        <f ca="1">IFERROR(__xludf.DUMMYFUNCTION("""COMPUTED_VALUE"""),"#N/A")</f>
        <v>#N/A</v>
      </c>
      <c r="AU2281" s="6" t="str">
        <f ca="1">IFERROR(__xludf.DUMMYFUNCTION("""COMPUTED_VALUE"""),"FALSE")</f>
        <v>FALSE</v>
      </c>
      <c r="AZ2281" s="9"/>
      <c r="BC2281" s="9"/>
      <c r="BF2281" s="9"/>
      <c r="BI2281" s="9"/>
    </row>
    <row r="2282" spans="18:61">
      <c r="R2282" s="6"/>
      <c r="AS2282" s="15"/>
      <c r="AT2282" s="6" t="str">
        <f ca="1">IFERROR(__xludf.DUMMYFUNCTION("""COMPUTED_VALUE"""),"#N/A")</f>
        <v>#N/A</v>
      </c>
      <c r="AU2282" s="6" t="str">
        <f ca="1">IFERROR(__xludf.DUMMYFUNCTION("""COMPUTED_VALUE"""),"FALSE")</f>
        <v>FALSE</v>
      </c>
      <c r="AZ2282" s="9"/>
      <c r="BC2282" s="9"/>
      <c r="BF2282" s="9"/>
      <c r="BI2282" s="9"/>
    </row>
    <row r="2283" spans="18:61">
      <c r="R2283" s="6"/>
      <c r="AS2283" s="15"/>
      <c r="AT2283" s="6" t="str">
        <f ca="1">IFERROR(__xludf.DUMMYFUNCTION("""COMPUTED_VALUE"""),"#N/A")</f>
        <v>#N/A</v>
      </c>
      <c r="AU2283" s="6" t="str">
        <f ca="1">IFERROR(__xludf.DUMMYFUNCTION("""COMPUTED_VALUE"""),"FALSE")</f>
        <v>FALSE</v>
      </c>
      <c r="AZ2283" s="9"/>
      <c r="BC2283" s="9"/>
      <c r="BF2283" s="9"/>
      <c r="BI2283" s="9"/>
    </row>
    <row r="2284" spans="18:61">
      <c r="R2284" s="6"/>
      <c r="AS2284" s="15"/>
      <c r="AT2284" s="6" t="str">
        <f ca="1">IFERROR(__xludf.DUMMYFUNCTION("""COMPUTED_VALUE"""),"#N/A")</f>
        <v>#N/A</v>
      </c>
      <c r="AU2284" s="6" t="str">
        <f ca="1">IFERROR(__xludf.DUMMYFUNCTION("""COMPUTED_VALUE"""),"FALSE")</f>
        <v>FALSE</v>
      </c>
      <c r="AZ2284" s="9"/>
      <c r="BC2284" s="9"/>
      <c r="BF2284" s="9"/>
      <c r="BI2284" s="9"/>
    </row>
    <row r="2285" spans="18:61">
      <c r="R2285" s="6"/>
      <c r="AS2285" s="15"/>
      <c r="AT2285" s="6" t="str">
        <f ca="1">IFERROR(__xludf.DUMMYFUNCTION("""COMPUTED_VALUE"""),"#N/A")</f>
        <v>#N/A</v>
      </c>
      <c r="AU2285" s="6" t="str">
        <f ca="1">IFERROR(__xludf.DUMMYFUNCTION("""COMPUTED_VALUE"""),"FALSE")</f>
        <v>FALSE</v>
      </c>
      <c r="AZ2285" s="9"/>
      <c r="BC2285" s="9"/>
      <c r="BF2285" s="9"/>
      <c r="BI2285" s="9"/>
    </row>
    <row r="2286" spans="18:61">
      <c r="R2286" s="6"/>
      <c r="AS2286" s="15"/>
      <c r="AT2286" s="6" t="str">
        <f ca="1">IFERROR(__xludf.DUMMYFUNCTION("""COMPUTED_VALUE"""),"#N/A")</f>
        <v>#N/A</v>
      </c>
      <c r="AU2286" s="6" t="str">
        <f ca="1">IFERROR(__xludf.DUMMYFUNCTION("""COMPUTED_VALUE"""),"FALSE")</f>
        <v>FALSE</v>
      </c>
      <c r="AZ2286" s="9"/>
      <c r="BC2286" s="9"/>
      <c r="BF2286" s="9"/>
      <c r="BI2286" s="9"/>
    </row>
    <row r="2287" spans="18:61">
      <c r="R2287" s="6"/>
      <c r="AS2287" s="15"/>
      <c r="AT2287" s="6" t="str">
        <f ca="1">IFERROR(__xludf.DUMMYFUNCTION("""COMPUTED_VALUE"""),"#N/A")</f>
        <v>#N/A</v>
      </c>
      <c r="AU2287" s="6" t="str">
        <f ca="1">IFERROR(__xludf.DUMMYFUNCTION("""COMPUTED_VALUE"""),"FALSE")</f>
        <v>FALSE</v>
      </c>
      <c r="AZ2287" s="9"/>
      <c r="BC2287" s="9"/>
      <c r="BF2287" s="9"/>
      <c r="BI2287" s="9"/>
    </row>
    <row r="2288" spans="18:61">
      <c r="R2288" s="6"/>
      <c r="AS2288" s="15"/>
      <c r="AT2288" s="6" t="str">
        <f ca="1">IFERROR(__xludf.DUMMYFUNCTION("""COMPUTED_VALUE"""),"#N/A")</f>
        <v>#N/A</v>
      </c>
      <c r="AU2288" s="6" t="str">
        <f ca="1">IFERROR(__xludf.DUMMYFUNCTION("""COMPUTED_VALUE"""),"FALSE")</f>
        <v>FALSE</v>
      </c>
      <c r="AZ2288" s="9"/>
      <c r="BC2288" s="9"/>
      <c r="BF2288" s="9"/>
      <c r="BI2288" s="9"/>
    </row>
    <row r="2289" spans="18:61">
      <c r="R2289" s="6"/>
      <c r="AS2289" s="15"/>
      <c r="AT2289" s="6" t="str">
        <f ca="1">IFERROR(__xludf.DUMMYFUNCTION("""COMPUTED_VALUE"""),"#N/A")</f>
        <v>#N/A</v>
      </c>
      <c r="AU2289" s="6" t="str">
        <f ca="1">IFERROR(__xludf.DUMMYFUNCTION("""COMPUTED_VALUE"""),"FALSE")</f>
        <v>FALSE</v>
      </c>
      <c r="AZ2289" s="9"/>
      <c r="BC2289" s="9"/>
      <c r="BF2289" s="9"/>
      <c r="BI2289" s="9"/>
    </row>
    <row r="2290" spans="18:61">
      <c r="R2290" s="6"/>
      <c r="AS2290" s="15"/>
      <c r="AT2290" s="6" t="str">
        <f ca="1">IFERROR(__xludf.DUMMYFUNCTION("""COMPUTED_VALUE"""),"#N/A")</f>
        <v>#N/A</v>
      </c>
      <c r="AU2290" s="6" t="str">
        <f ca="1">IFERROR(__xludf.DUMMYFUNCTION("""COMPUTED_VALUE"""),"FALSE")</f>
        <v>FALSE</v>
      </c>
      <c r="AZ2290" s="9"/>
      <c r="BC2290" s="9"/>
      <c r="BF2290" s="9"/>
      <c r="BI2290" s="9"/>
    </row>
    <row r="2291" spans="18:61">
      <c r="R2291" s="6"/>
      <c r="AS2291" s="15"/>
      <c r="AT2291" s="6" t="str">
        <f ca="1">IFERROR(__xludf.DUMMYFUNCTION("""COMPUTED_VALUE"""),"#N/A")</f>
        <v>#N/A</v>
      </c>
      <c r="AU2291" s="6" t="str">
        <f ca="1">IFERROR(__xludf.DUMMYFUNCTION("""COMPUTED_VALUE"""),"FALSE")</f>
        <v>FALSE</v>
      </c>
      <c r="AZ2291" s="9"/>
      <c r="BC2291" s="9"/>
      <c r="BF2291" s="9"/>
      <c r="BI2291" s="9"/>
    </row>
    <row r="2292" spans="18:61">
      <c r="R2292" s="6"/>
      <c r="AS2292" s="15"/>
      <c r="AT2292" s="6" t="str">
        <f ca="1">IFERROR(__xludf.DUMMYFUNCTION("""COMPUTED_VALUE"""),"#N/A")</f>
        <v>#N/A</v>
      </c>
      <c r="AU2292" s="6" t="str">
        <f ca="1">IFERROR(__xludf.DUMMYFUNCTION("""COMPUTED_VALUE"""),"FALSE")</f>
        <v>FALSE</v>
      </c>
      <c r="AZ2292" s="9"/>
      <c r="BC2292" s="9"/>
      <c r="BF2292" s="9"/>
      <c r="BI2292" s="9"/>
    </row>
    <row r="2293" spans="18:61">
      <c r="R2293" s="6"/>
      <c r="AS2293" s="15"/>
      <c r="AT2293" s="6" t="str">
        <f ca="1">IFERROR(__xludf.DUMMYFUNCTION("""COMPUTED_VALUE"""),"#N/A")</f>
        <v>#N/A</v>
      </c>
      <c r="AU2293" s="6" t="str">
        <f ca="1">IFERROR(__xludf.DUMMYFUNCTION("""COMPUTED_VALUE"""),"FALSE")</f>
        <v>FALSE</v>
      </c>
      <c r="AZ2293" s="9"/>
      <c r="BC2293" s="9"/>
      <c r="BF2293" s="9"/>
      <c r="BI2293" s="9"/>
    </row>
    <row r="2294" spans="18:61">
      <c r="R2294" s="6"/>
      <c r="AS2294" s="15"/>
      <c r="AT2294" s="6" t="str">
        <f ca="1">IFERROR(__xludf.DUMMYFUNCTION("""COMPUTED_VALUE"""),"#N/A")</f>
        <v>#N/A</v>
      </c>
      <c r="AU2294" s="6" t="str">
        <f ca="1">IFERROR(__xludf.DUMMYFUNCTION("""COMPUTED_VALUE"""),"FALSE")</f>
        <v>FALSE</v>
      </c>
      <c r="AZ2294" s="9"/>
      <c r="BC2294" s="9"/>
      <c r="BF2294" s="9"/>
      <c r="BI2294" s="9"/>
    </row>
    <row r="2295" spans="18:61">
      <c r="R2295" s="6"/>
      <c r="AS2295" s="15"/>
      <c r="AT2295" s="6" t="str">
        <f ca="1">IFERROR(__xludf.DUMMYFUNCTION("""COMPUTED_VALUE"""),"#N/A")</f>
        <v>#N/A</v>
      </c>
      <c r="AU2295" s="6" t="str">
        <f ca="1">IFERROR(__xludf.DUMMYFUNCTION("""COMPUTED_VALUE"""),"FALSE")</f>
        <v>FALSE</v>
      </c>
      <c r="AZ2295" s="9"/>
      <c r="BC2295" s="9"/>
      <c r="BF2295" s="9"/>
      <c r="BI2295" s="9"/>
    </row>
    <row r="2296" spans="18:61">
      <c r="R2296" s="6"/>
      <c r="AS2296" s="15"/>
      <c r="AT2296" s="6" t="str">
        <f ca="1">IFERROR(__xludf.DUMMYFUNCTION("""COMPUTED_VALUE"""),"#N/A")</f>
        <v>#N/A</v>
      </c>
      <c r="AU2296" s="6" t="str">
        <f ca="1">IFERROR(__xludf.DUMMYFUNCTION("""COMPUTED_VALUE"""),"FALSE")</f>
        <v>FALSE</v>
      </c>
      <c r="AZ2296" s="9"/>
      <c r="BC2296" s="9"/>
      <c r="BF2296" s="9"/>
      <c r="BI2296" s="9"/>
    </row>
    <row r="2297" spans="18:61">
      <c r="R2297" s="6"/>
      <c r="AS2297" s="15"/>
      <c r="AT2297" s="6" t="str">
        <f ca="1">IFERROR(__xludf.DUMMYFUNCTION("""COMPUTED_VALUE"""),"#N/A")</f>
        <v>#N/A</v>
      </c>
      <c r="AU2297" s="6" t="str">
        <f ca="1">IFERROR(__xludf.DUMMYFUNCTION("""COMPUTED_VALUE"""),"FALSE")</f>
        <v>FALSE</v>
      </c>
      <c r="AZ2297" s="9"/>
      <c r="BC2297" s="9"/>
      <c r="BF2297" s="9"/>
      <c r="BI2297" s="9"/>
    </row>
    <row r="2298" spans="18:61">
      <c r="R2298" s="6"/>
      <c r="AS2298" s="15"/>
      <c r="AT2298" s="6" t="str">
        <f ca="1">IFERROR(__xludf.DUMMYFUNCTION("""COMPUTED_VALUE"""),"#N/A")</f>
        <v>#N/A</v>
      </c>
      <c r="AU2298" s="6" t="str">
        <f ca="1">IFERROR(__xludf.DUMMYFUNCTION("""COMPUTED_VALUE"""),"FALSE")</f>
        <v>FALSE</v>
      </c>
      <c r="AZ2298" s="9"/>
      <c r="BC2298" s="9"/>
      <c r="BF2298" s="9"/>
      <c r="BI2298" s="9"/>
    </row>
    <row r="2299" spans="18:61">
      <c r="R2299" s="6"/>
      <c r="AS2299" s="15"/>
      <c r="AT2299" s="6" t="str">
        <f ca="1">IFERROR(__xludf.DUMMYFUNCTION("""COMPUTED_VALUE"""),"#N/A")</f>
        <v>#N/A</v>
      </c>
      <c r="AU2299" s="6" t="str">
        <f ca="1">IFERROR(__xludf.DUMMYFUNCTION("""COMPUTED_VALUE"""),"FALSE")</f>
        <v>FALSE</v>
      </c>
      <c r="AZ2299" s="9"/>
      <c r="BC2299" s="9"/>
      <c r="BF2299" s="9"/>
      <c r="BI2299" s="9"/>
    </row>
    <row r="2300" spans="18:61">
      <c r="R2300" s="6"/>
      <c r="AS2300" s="15"/>
      <c r="AT2300" s="6" t="str">
        <f ca="1">IFERROR(__xludf.DUMMYFUNCTION("""COMPUTED_VALUE"""),"#N/A")</f>
        <v>#N/A</v>
      </c>
      <c r="AU2300" s="6" t="str">
        <f ca="1">IFERROR(__xludf.DUMMYFUNCTION("""COMPUTED_VALUE"""),"FALSE")</f>
        <v>FALSE</v>
      </c>
      <c r="AZ2300" s="9"/>
      <c r="BC2300" s="9"/>
      <c r="BF2300" s="9"/>
      <c r="BI2300" s="9"/>
    </row>
    <row r="2301" spans="18:61">
      <c r="R2301" s="6"/>
      <c r="AS2301" s="15"/>
      <c r="AT2301" s="6" t="str">
        <f ca="1">IFERROR(__xludf.DUMMYFUNCTION("""COMPUTED_VALUE"""),"#N/A")</f>
        <v>#N/A</v>
      </c>
      <c r="AU2301" s="6" t="str">
        <f ca="1">IFERROR(__xludf.DUMMYFUNCTION("""COMPUTED_VALUE"""),"FALSE")</f>
        <v>FALSE</v>
      </c>
      <c r="AZ2301" s="9"/>
      <c r="BC2301" s="9"/>
      <c r="BF2301" s="9"/>
      <c r="BI2301" s="9"/>
    </row>
    <row r="2302" spans="18:61">
      <c r="R2302" s="6"/>
      <c r="AS2302" s="15"/>
      <c r="AT2302" s="6" t="str">
        <f ca="1">IFERROR(__xludf.DUMMYFUNCTION("""COMPUTED_VALUE"""),"#N/A")</f>
        <v>#N/A</v>
      </c>
      <c r="AU2302" s="6" t="str">
        <f ca="1">IFERROR(__xludf.DUMMYFUNCTION("""COMPUTED_VALUE"""),"FALSE")</f>
        <v>FALSE</v>
      </c>
      <c r="AZ2302" s="9"/>
      <c r="BC2302" s="9"/>
      <c r="BF2302" s="9"/>
      <c r="BI2302" s="9"/>
    </row>
    <row r="2303" spans="18:61">
      <c r="R2303" s="6"/>
      <c r="AS2303" s="15"/>
      <c r="AT2303" s="6" t="str">
        <f ca="1">IFERROR(__xludf.DUMMYFUNCTION("""COMPUTED_VALUE"""),"#N/A")</f>
        <v>#N/A</v>
      </c>
      <c r="AU2303" s="6" t="str">
        <f ca="1">IFERROR(__xludf.DUMMYFUNCTION("""COMPUTED_VALUE"""),"FALSE")</f>
        <v>FALSE</v>
      </c>
      <c r="AZ2303" s="9"/>
      <c r="BC2303" s="9"/>
      <c r="BF2303" s="9"/>
      <c r="BI2303" s="9"/>
    </row>
    <row r="2304" spans="18:61">
      <c r="R2304" s="6"/>
      <c r="AS2304" s="15"/>
      <c r="AT2304" s="6" t="str">
        <f ca="1">IFERROR(__xludf.DUMMYFUNCTION("""COMPUTED_VALUE"""),"#N/A")</f>
        <v>#N/A</v>
      </c>
      <c r="AU2304" s="6" t="str">
        <f ca="1">IFERROR(__xludf.DUMMYFUNCTION("""COMPUTED_VALUE"""),"FALSE")</f>
        <v>FALSE</v>
      </c>
      <c r="AZ2304" s="9"/>
      <c r="BC2304" s="9"/>
      <c r="BF2304" s="9"/>
      <c r="BI2304" s="9"/>
    </row>
    <row r="2305" spans="18:61">
      <c r="R2305" s="6"/>
      <c r="AS2305" s="15"/>
      <c r="AT2305" s="6" t="str">
        <f ca="1">IFERROR(__xludf.DUMMYFUNCTION("""COMPUTED_VALUE"""),"#N/A")</f>
        <v>#N/A</v>
      </c>
      <c r="AU2305" s="6" t="str">
        <f ca="1">IFERROR(__xludf.DUMMYFUNCTION("""COMPUTED_VALUE"""),"FALSE")</f>
        <v>FALSE</v>
      </c>
      <c r="AZ2305" s="9"/>
      <c r="BC2305" s="9"/>
      <c r="BF2305" s="9"/>
      <c r="BI2305" s="9"/>
    </row>
    <row r="2306" spans="18:61">
      <c r="R2306" s="6"/>
      <c r="AS2306" s="15"/>
      <c r="AT2306" s="6" t="str">
        <f ca="1">IFERROR(__xludf.DUMMYFUNCTION("""COMPUTED_VALUE"""),"#N/A")</f>
        <v>#N/A</v>
      </c>
      <c r="AU2306" s="6" t="str">
        <f ca="1">IFERROR(__xludf.DUMMYFUNCTION("""COMPUTED_VALUE"""),"FALSE")</f>
        <v>FALSE</v>
      </c>
      <c r="AZ2306" s="9"/>
      <c r="BC2306" s="9"/>
      <c r="BF2306" s="9"/>
      <c r="BI2306" s="9"/>
    </row>
    <row r="2307" spans="18:61">
      <c r="R2307" s="6"/>
      <c r="AS2307" s="15"/>
      <c r="AT2307" s="6" t="str">
        <f ca="1">IFERROR(__xludf.DUMMYFUNCTION("""COMPUTED_VALUE"""),"#N/A")</f>
        <v>#N/A</v>
      </c>
      <c r="AU2307" s="6" t="str">
        <f ca="1">IFERROR(__xludf.DUMMYFUNCTION("""COMPUTED_VALUE"""),"FALSE")</f>
        <v>FALSE</v>
      </c>
      <c r="AZ2307" s="9"/>
      <c r="BC2307" s="9"/>
      <c r="BF2307" s="9"/>
      <c r="BI2307" s="9"/>
    </row>
    <row r="2308" spans="18:61">
      <c r="R2308" s="6"/>
      <c r="AS2308" s="15"/>
      <c r="AT2308" s="6" t="str">
        <f ca="1">IFERROR(__xludf.DUMMYFUNCTION("""COMPUTED_VALUE"""),"#N/A")</f>
        <v>#N/A</v>
      </c>
      <c r="AU2308" s="6" t="str">
        <f ca="1">IFERROR(__xludf.DUMMYFUNCTION("""COMPUTED_VALUE"""),"FALSE")</f>
        <v>FALSE</v>
      </c>
      <c r="AZ2308" s="9"/>
      <c r="BC2308" s="9"/>
      <c r="BF2308" s="9"/>
      <c r="BI2308" s="9"/>
    </row>
    <row r="2309" spans="18:61">
      <c r="R2309" s="6"/>
      <c r="AS2309" s="15"/>
      <c r="AT2309" s="6" t="str">
        <f ca="1">IFERROR(__xludf.DUMMYFUNCTION("""COMPUTED_VALUE"""),"#N/A")</f>
        <v>#N/A</v>
      </c>
      <c r="AU2309" s="6" t="str">
        <f ca="1">IFERROR(__xludf.DUMMYFUNCTION("""COMPUTED_VALUE"""),"FALSE")</f>
        <v>FALSE</v>
      </c>
      <c r="AZ2309" s="9"/>
      <c r="BC2309" s="9"/>
      <c r="BF2309" s="9"/>
      <c r="BI2309" s="9"/>
    </row>
    <row r="2310" spans="18:61">
      <c r="R2310" s="6"/>
      <c r="AS2310" s="15"/>
      <c r="AT2310" s="6" t="str">
        <f ca="1">IFERROR(__xludf.DUMMYFUNCTION("""COMPUTED_VALUE"""),"#N/A")</f>
        <v>#N/A</v>
      </c>
      <c r="AU2310" s="6" t="str">
        <f ca="1">IFERROR(__xludf.DUMMYFUNCTION("""COMPUTED_VALUE"""),"FALSE")</f>
        <v>FALSE</v>
      </c>
      <c r="AZ2310" s="9"/>
      <c r="BC2310" s="9"/>
      <c r="BF2310" s="9"/>
      <c r="BI2310" s="9"/>
    </row>
    <row r="2311" spans="18:61">
      <c r="R2311" s="6"/>
      <c r="AS2311" s="15"/>
      <c r="AT2311" s="6" t="str">
        <f ca="1">IFERROR(__xludf.DUMMYFUNCTION("""COMPUTED_VALUE"""),"#N/A")</f>
        <v>#N/A</v>
      </c>
      <c r="AU2311" s="6" t="str">
        <f ca="1">IFERROR(__xludf.DUMMYFUNCTION("""COMPUTED_VALUE"""),"FALSE")</f>
        <v>FALSE</v>
      </c>
      <c r="AZ2311" s="9"/>
      <c r="BC2311" s="9"/>
      <c r="BF2311" s="9"/>
      <c r="BI2311" s="9"/>
    </row>
    <row r="2312" spans="18:61">
      <c r="R2312" s="6"/>
      <c r="AS2312" s="15"/>
      <c r="AT2312" s="6" t="str">
        <f ca="1">IFERROR(__xludf.DUMMYFUNCTION("""COMPUTED_VALUE"""),"#N/A")</f>
        <v>#N/A</v>
      </c>
      <c r="AU2312" s="6" t="str">
        <f ca="1">IFERROR(__xludf.DUMMYFUNCTION("""COMPUTED_VALUE"""),"FALSE")</f>
        <v>FALSE</v>
      </c>
      <c r="AZ2312" s="9"/>
      <c r="BC2312" s="9"/>
      <c r="BF2312" s="9"/>
      <c r="BI2312" s="9"/>
    </row>
    <row r="2313" spans="18:61">
      <c r="R2313" s="6"/>
      <c r="AS2313" s="15"/>
      <c r="AT2313" s="6" t="str">
        <f ca="1">IFERROR(__xludf.DUMMYFUNCTION("""COMPUTED_VALUE"""),"#N/A")</f>
        <v>#N/A</v>
      </c>
      <c r="AU2313" s="6" t="str">
        <f ca="1">IFERROR(__xludf.DUMMYFUNCTION("""COMPUTED_VALUE"""),"FALSE")</f>
        <v>FALSE</v>
      </c>
      <c r="AZ2313" s="9"/>
      <c r="BC2313" s="9"/>
      <c r="BF2313" s="9"/>
      <c r="BI2313" s="9"/>
    </row>
    <row r="2314" spans="18:61">
      <c r="R2314" s="6"/>
      <c r="AS2314" s="15"/>
      <c r="AT2314" s="6" t="str">
        <f ca="1">IFERROR(__xludf.DUMMYFUNCTION("""COMPUTED_VALUE"""),"#N/A")</f>
        <v>#N/A</v>
      </c>
      <c r="AU2314" s="6" t="str">
        <f ca="1">IFERROR(__xludf.DUMMYFUNCTION("""COMPUTED_VALUE"""),"FALSE")</f>
        <v>FALSE</v>
      </c>
      <c r="AZ2314" s="9"/>
      <c r="BC2314" s="9"/>
      <c r="BF2314" s="9"/>
      <c r="BI2314" s="9"/>
    </row>
    <row r="2315" spans="18:61">
      <c r="R2315" s="6"/>
      <c r="AS2315" s="15"/>
      <c r="AT2315" s="6" t="str">
        <f ca="1">IFERROR(__xludf.DUMMYFUNCTION("""COMPUTED_VALUE"""),"#N/A")</f>
        <v>#N/A</v>
      </c>
      <c r="AU2315" s="6" t="str">
        <f ca="1">IFERROR(__xludf.DUMMYFUNCTION("""COMPUTED_VALUE"""),"FALSE")</f>
        <v>FALSE</v>
      </c>
      <c r="AZ2315" s="9"/>
      <c r="BC2315" s="9"/>
      <c r="BF2315" s="9"/>
      <c r="BI2315" s="9"/>
    </row>
    <row r="2316" spans="18:61">
      <c r="R2316" s="6"/>
      <c r="AS2316" s="15"/>
      <c r="AT2316" s="6" t="str">
        <f ca="1">IFERROR(__xludf.DUMMYFUNCTION("""COMPUTED_VALUE"""),"#N/A")</f>
        <v>#N/A</v>
      </c>
      <c r="AU2316" s="6" t="str">
        <f ca="1">IFERROR(__xludf.DUMMYFUNCTION("""COMPUTED_VALUE"""),"FALSE")</f>
        <v>FALSE</v>
      </c>
      <c r="AZ2316" s="9"/>
      <c r="BC2316" s="9"/>
      <c r="BF2316" s="9"/>
      <c r="BI2316" s="9"/>
    </row>
    <row r="2317" spans="18:61">
      <c r="R2317" s="6"/>
      <c r="AS2317" s="15"/>
      <c r="AT2317" s="6" t="str">
        <f ca="1">IFERROR(__xludf.DUMMYFUNCTION("""COMPUTED_VALUE"""),"#N/A")</f>
        <v>#N/A</v>
      </c>
      <c r="AU2317" s="6" t="str">
        <f ca="1">IFERROR(__xludf.DUMMYFUNCTION("""COMPUTED_VALUE"""),"FALSE")</f>
        <v>FALSE</v>
      </c>
      <c r="AZ2317" s="9"/>
      <c r="BC2317" s="9"/>
      <c r="BF2317" s="9"/>
      <c r="BI2317" s="9"/>
    </row>
    <row r="2318" spans="18:61">
      <c r="R2318" s="6"/>
      <c r="AS2318" s="15"/>
      <c r="AT2318" s="6" t="str">
        <f ca="1">IFERROR(__xludf.DUMMYFUNCTION("""COMPUTED_VALUE"""),"#N/A")</f>
        <v>#N/A</v>
      </c>
      <c r="AU2318" s="6" t="str">
        <f ca="1">IFERROR(__xludf.DUMMYFUNCTION("""COMPUTED_VALUE"""),"FALSE")</f>
        <v>FALSE</v>
      </c>
      <c r="AZ2318" s="9"/>
      <c r="BC2318" s="9"/>
      <c r="BF2318" s="9"/>
      <c r="BI2318" s="9"/>
    </row>
    <row r="2319" spans="18:61">
      <c r="R2319" s="6"/>
      <c r="AS2319" s="15"/>
      <c r="AT2319" s="6" t="str">
        <f ca="1">IFERROR(__xludf.DUMMYFUNCTION("""COMPUTED_VALUE"""),"#N/A")</f>
        <v>#N/A</v>
      </c>
      <c r="AU2319" s="6" t="str">
        <f ca="1">IFERROR(__xludf.DUMMYFUNCTION("""COMPUTED_VALUE"""),"FALSE")</f>
        <v>FALSE</v>
      </c>
      <c r="AZ2319" s="9"/>
      <c r="BC2319" s="9"/>
      <c r="BF2319" s="9"/>
      <c r="BI2319" s="9"/>
    </row>
    <row r="2320" spans="18:61">
      <c r="R2320" s="6"/>
      <c r="AS2320" s="15"/>
      <c r="AT2320" s="6" t="str">
        <f ca="1">IFERROR(__xludf.DUMMYFUNCTION("""COMPUTED_VALUE"""),"#N/A")</f>
        <v>#N/A</v>
      </c>
      <c r="AU2320" s="6" t="str">
        <f ca="1">IFERROR(__xludf.DUMMYFUNCTION("""COMPUTED_VALUE"""),"FALSE")</f>
        <v>FALSE</v>
      </c>
      <c r="AZ2320" s="9"/>
      <c r="BC2320" s="9"/>
      <c r="BF2320" s="9"/>
      <c r="BI2320" s="9"/>
    </row>
    <row r="2321" spans="18:61">
      <c r="R2321" s="6"/>
      <c r="AS2321" s="15"/>
      <c r="AT2321" s="6" t="str">
        <f ca="1">IFERROR(__xludf.DUMMYFUNCTION("""COMPUTED_VALUE"""),"#N/A")</f>
        <v>#N/A</v>
      </c>
      <c r="AU2321" s="6" t="str">
        <f ca="1">IFERROR(__xludf.DUMMYFUNCTION("""COMPUTED_VALUE"""),"FALSE")</f>
        <v>FALSE</v>
      </c>
      <c r="AZ2321" s="9"/>
      <c r="BC2321" s="9"/>
      <c r="BF2321" s="9"/>
      <c r="BI2321" s="9"/>
    </row>
    <row r="2322" spans="18:61">
      <c r="R2322" s="6"/>
      <c r="AS2322" s="15"/>
      <c r="AT2322" s="6" t="str">
        <f ca="1">IFERROR(__xludf.DUMMYFUNCTION("""COMPUTED_VALUE"""),"#N/A")</f>
        <v>#N/A</v>
      </c>
      <c r="AU2322" s="6" t="str">
        <f ca="1">IFERROR(__xludf.DUMMYFUNCTION("""COMPUTED_VALUE"""),"FALSE")</f>
        <v>FALSE</v>
      </c>
      <c r="AZ2322" s="9"/>
      <c r="BC2322" s="9"/>
      <c r="BF2322" s="9"/>
      <c r="BI2322" s="9"/>
    </row>
    <row r="2323" spans="18:61">
      <c r="R2323" s="6"/>
      <c r="AS2323" s="15"/>
      <c r="AT2323" s="6" t="str">
        <f ca="1">IFERROR(__xludf.DUMMYFUNCTION("""COMPUTED_VALUE"""),"#N/A")</f>
        <v>#N/A</v>
      </c>
      <c r="AU2323" s="6" t="str">
        <f ca="1">IFERROR(__xludf.DUMMYFUNCTION("""COMPUTED_VALUE"""),"FALSE")</f>
        <v>FALSE</v>
      </c>
      <c r="AZ2323" s="9"/>
      <c r="BC2323" s="9"/>
      <c r="BF2323" s="9"/>
      <c r="BI2323" s="9"/>
    </row>
    <row r="2324" spans="18:61">
      <c r="R2324" s="6"/>
      <c r="AS2324" s="15"/>
      <c r="AT2324" s="6" t="str">
        <f ca="1">IFERROR(__xludf.DUMMYFUNCTION("""COMPUTED_VALUE"""),"#N/A")</f>
        <v>#N/A</v>
      </c>
      <c r="AU2324" s="6" t="str">
        <f ca="1">IFERROR(__xludf.DUMMYFUNCTION("""COMPUTED_VALUE"""),"FALSE")</f>
        <v>FALSE</v>
      </c>
      <c r="AZ2324" s="9"/>
      <c r="BC2324" s="9"/>
      <c r="BF2324" s="9"/>
      <c r="BI2324" s="9"/>
    </row>
    <row r="2325" spans="18:61">
      <c r="R2325" s="6"/>
      <c r="AS2325" s="15"/>
      <c r="AT2325" s="6" t="str">
        <f ca="1">IFERROR(__xludf.DUMMYFUNCTION("""COMPUTED_VALUE"""),"#N/A")</f>
        <v>#N/A</v>
      </c>
      <c r="AU2325" s="6" t="str">
        <f ca="1">IFERROR(__xludf.DUMMYFUNCTION("""COMPUTED_VALUE"""),"FALSE")</f>
        <v>FALSE</v>
      </c>
      <c r="AZ2325" s="9"/>
      <c r="BC2325" s="9"/>
      <c r="BF2325" s="9"/>
      <c r="BI2325" s="9"/>
    </row>
    <row r="2326" spans="18:61">
      <c r="R2326" s="6"/>
      <c r="AS2326" s="15"/>
      <c r="AT2326" s="6" t="str">
        <f ca="1">IFERROR(__xludf.DUMMYFUNCTION("""COMPUTED_VALUE"""),"#N/A")</f>
        <v>#N/A</v>
      </c>
      <c r="AU2326" s="6" t="str">
        <f ca="1">IFERROR(__xludf.DUMMYFUNCTION("""COMPUTED_VALUE"""),"FALSE")</f>
        <v>FALSE</v>
      </c>
      <c r="AZ2326" s="9"/>
      <c r="BC2326" s="9"/>
      <c r="BF2326" s="9"/>
      <c r="BI2326" s="9"/>
    </row>
    <row r="2327" spans="18:61">
      <c r="R2327" s="6"/>
      <c r="AS2327" s="15"/>
      <c r="AT2327" s="6" t="str">
        <f ca="1">IFERROR(__xludf.DUMMYFUNCTION("""COMPUTED_VALUE"""),"#N/A")</f>
        <v>#N/A</v>
      </c>
      <c r="AU2327" s="6" t="str">
        <f ca="1">IFERROR(__xludf.DUMMYFUNCTION("""COMPUTED_VALUE"""),"FALSE")</f>
        <v>FALSE</v>
      </c>
      <c r="AZ2327" s="9"/>
      <c r="BC2327" s="9"/>
      <c r="BF2327" s="9"/>
      <c r="BI2327" s="9"/>
    </row>
    <row r="2328" spans="18:61">
      <c r="R2328" s="6"/>
      <c r="AS2328" s="15"/>
      <c r="AT2328" s="6" t="str">
        <f ca="1">IFERROR(__xludf.DUMMYFUNCTION("""COMPUTED_VALUE"""),"#N/A")</f>
        <v>#N/A</v>
      </c>
      <c r="AU2328" s="6" t="str">
        <f ca="1">IFERROR(__xludf.DUMMYFUNCTION("""COMPUTED_VALUE"""),"FALSE")</f>
        <v>FALSE</v>
      </c>
      <c r="AZ2328" s="9"/>
      <c r="BC2328" s="9"/>
      <c r="BF2328" s="9"/>
      <c r="BI2328" s="9"/>
    </row>
    <row r="2329" spans="18:61">
      <c r="R2329" s="6"/>
      <c r="AS2329" s="15"/>
      <c r="AT2329" s="6" t="str">
        <f ca="1">IFERROR(__xludf.DUMMYFUNCTION("""COMPUTED_VALUE"""),"#N/A")</f>
        <v>#N/A</v>
      </c>
      <c r="AU2329" s="6" t="str">
        <f ca="1">IFERROR(__xludf.DUMMYFUNCTION("""COMPUTED_VALUE"""),"FALSE")</f>
        <v>FALSE</v>
      </c>
      <c r="AZ2329" s="9"/>
      <c r="BC2329" s="9"/>
      <c r="BF2329" s="9"/>
      <c r="BI2329" s="9"/>
    </row>
    <row r="2330" spans="18:61">
      <c r="R2330" s="6"/>
      <c r="AS2330" s="15"/>
      <c r="AT2330" s="6" t="str">
        <f ca="1">IFERROR(__xludf.DUMMYFUNCTION("""COMPUTED_VALUE"""),"#N/A")</f>
        <v>#N/A</v>
      </c>
      <c r="AU2330" s="6" t="str">
        <f ca="1">IFERROR(__xludf.DUMMYFUNCTION("""COMPUTED_VALUE"""),"FALSE")</f>
        <v>FALSE</v>
      </c>
      <c r="AZ2330" s="9"/>
      <c r="BC2330" s="9"/>
      <c r="BF2330" s="9"/>
      <c r="BI2330" s="9"/>
    </row>
    <row r="2331" spans="18:61">
      <c r="R2331" s="6"/>
      <c r="AS2331" s="15"/>
      <c r="AT2331" s="6" t="str">
        <f ca="1">IFERROR(__xludf.DUMMYFUNCTION("""COMPUTED_VALUE"""),"#N/A")</f>
        <v>#N/A</v>
      </c>
      <c r="AU2331" s="6" t="str">
        <f ca="1">IFERROR(__xludf.DUMMYFUNCTION("""COMPUTED_VALUE"""),"FALSE")</f>
        <v>FALSE</v>
      </c>
      <c r="AZ2331" s="9"/>
      <c r="BC2331" s="9"/>
      <c r="BF2331" s="9"/>
      <c r="BI2331" s="9"/>
    </row>
    <row r="2332" spans="18:61">
      <c r="R2332" s="6"/>
      <c r="AS2332" s="15"/>
      <c r="AT2332" s="6" t="str">
        <f ca="1">IFERROR(__xludf.DUMMYFUNCTION("""COMPUTED_VALUE"""),"#N/A")</f>
        <v>#N/A</v>
      </c>
      <c r="AU2332" s="6" t="str">
        <f ca="1">IFERROR(__xludf.DUMMYFUNCTION("""COMPUTED_VALUE"""),"FALSE")</f>
        <v>FALSE</v>
      </c>
      <c r="AZ2332" s="9"/>
      <c r="BC2332" s="9"/>
      <c r="BF2332" s="9"/>
      <c r="BI2332" s="9"/>
    </row>
    <row r="2333" spans="18:61">
      <c r="R2333" s="6"/>
      <c r="AS2333" s="15"/>
      <c r="AT2333" s="6" t="str">
        <f ca="1">IFERROR(__xludf.DUMMYFUNCTION("""COMPUTED_VALUE"""),"#N/A")</f>
        <v>#N/A</v>
      </c>
      <c r="AU2333" s="6" t="str">
        <f ca="1">IFERROR(__xludf.DUMMYFUNCTION("""COMPUTED_VALUE"""),"FALSE")</f>
        <v>FALSE</v>
      </c>
      <c r="AZ2333" s="9"/>
      <c r="BC2333" s="9"/>
      <c r="BF2333" s="9"/>
      <c r="BI2333" s="9"/>
    </row>
    <row r="2334" spans="18:61">
      <c r="R2334" s="6"/>
      <c r="AS2334" s="15"/>
      <c r="AT2334" s="6" t="str">
        <f ca="1">IFERROR(__xludf.DUMMYFUNCTION("""COMPUTED_VALUE"""),"#N/A")</f>
        <v>#N/A</v>
      </c>
      <c r="AU2334" s="6" t="str">
        <f ca="1">IFERROR(__xludf.DUMMYFUNCTION("""COMPUTED_VALUE"""),"FALSE")</f>
        <v>FALSE</v>
      </c>
      <c r="AZ2334" s="9"/>
      <c r="BC2334" s="9"/>
      <c r="BF2334" s="9"/>
      <c r="BI2334" s="9"/>
    </row>
    <row r="2335" spans="18:61">
      <c r="R2335" s="6"/>
      <c r="AS2335" s="15"/>
      <c r="AT2335" s="6" t="str">
        <f ca="1">IFERROR(__xludf.DUMMYFUNCTION("""COMPUTED_VALUE"""),"#N/A")</f>
        <v>#N/A</v>
      </c>
      <c r="AU2335" s="6" t="str">
        <f ca="1">IFERROR(__xludf.DUMMYFUNCTION("""COMPUTED_VALUE"""),"FALSE")</f>
        <v>FALSE</v>
      </c>
      <c r="AZ2335" s="9"/>
      <c r="BC2335" s="9"/>
      <c r="BF2335" s="9"/>
      <c r="BI2335" s="9"/>
    </row>
    <row r="2336" spans="18:61">
      <c r="R2336" s="6"/>
      <c r="AS2336" s="15"/>
      <c r="AT2336" s="6" t="str">
        <f ca="1">IFERROR(__xludf.DUMMYFUNCTION("""COMPUTED_VALUE"""),"#N/A")</f>
        <v>#N/A</v>
      </c>
      <c r="AU2336" s="6" t="str">
        <f ca="1">IFERROR(__xludf.DUMMYFUNCTION("""COMPUTED_VALUE"""),"FALSE")</f>
        <v>FALSE</v>
      </c>
      <c r="AZ2336" s="9"/>
      <c r="BC2336" s="9"/>
      <c r="BF2336" s="9"/>
      <c r="BI2336" s="9"/>
    </row>
    <row r="2337" spans="18:61">
      <c r="R2337" s="6"/>
      <c r="AS2337" s="15"/>
      <c r="AT2337" s="6" t="str">
        <f ca="1">IFERROR(__xludf.DUMMYFUNCTION("""COMPUTED_VALUE"""),"#N/A")</f>
        <v>#N/A</v>
      </c>
      <c r="AU2337" s="6" t="str">
        <f ca="1">IFERROR(__xludf.DUMMYFUNCTION("""COMPUTED_VALUE"""),"FALSE")</f>
        <v>FALSE</v>
      </c>
      <c r="AZ2337" s="9"/>
      <c r="BC2337" s="9"/>
      <c r="BF2337" s="9"/>
      <c r="BI2337" s="9"/>
    </row>
    <row r="2338" spans="18:61">
      <c r="R2338" s="6"/>
      <c r="AS2338" s="15"/>
      <c r="AT2338" s="6" t="str">
        <f ca="1">IFERROR(__xludf.DUMMYFUNCTION("""COMPUTED_VALUE"""),"#N/A")</f>
        <v>#N/A</v>
      </c>
      <c r="AU2338" s="6" t="str">
        <f ca="1">IFERROR(__xludf.DUMMYFUNCTION("""COMPUTED_VALUE"""),"FALSE")</f>
        <v>FALSE</v>
      </c>
      <c r="AZ2338" s="9"/>
      <c r="BC2338" s="9"/>
      <c r="BF2338" s="9"/>
      <c r="BI2338" s="9"/>
    </row>
    <row r="2339" spans="18:61">
      <c r="R2339" s="6"/>
      <c r="AS2339" s="15"/>
      <c r="AT2339" s="6" t="str">
        <f ca="1">IFERROR(__xludf.DUMMYFUNCTION("""COMPUTED_VALUE"""),"#N/A")</f>
        <v>#N/A</v>
      </c>
      <c r="AU2339" s="6" t="str">
        <f ca="1">IFERROR(__xludf.DUMMYFUNCTION("""COMPUTED_VALUE"""),"FALSE")</f>
        <v>FALSE</v>
      </c>
      <c r="AZ2339" s="9"/>
      <c r="BC2339" s="9"/>
      <c r="BF2339" s="9"/>
      <c r="BI2339" s="9"/>
    </row>
    <row r="2340" spans="18:61">
      <c r="R2340" s="6"/>
      <c r="AS2340" s="15"/>
      <c r="AT2340" s="6" t="str">
        <f ca="1">IFERROR(__xludf.DUMMYFUNCTION("""COMPUTED_VALUE"""),"#N/A")</f>
        <v>#N/A</v>
      </c>
      <c r="AU2340" s="6" t="str">
        <f ca="1">IFERROR(__xludf.DUMMYFUNCTION("""COMPUTED_VALUE"""),"FALSE")</f>
        <v>FALSE</v>
      </c>
      <c r="AZ2340" s="9"/>
      <c r="BC2340" s="9"/>
      <c r="BF2340" s="9"/>
      <c r="BI2340" s="9"/>
    </row>
    <row r="2341" spans="18:61">
      <c r="R2341" s="6"/>
      <c r="AS2341" s="15"/>
      <c r="AT2341" s="6" t="str">
        <f ca="1">IFERROR(__xludf.DUMMYFUNCTION("""COMPUTED_VALUE"""),"#N/A")</f>
        <v>#N/A</v>
      </c>
      <c r="AU2341" s="6" t="str">
        <f ca="1">IFERROR(__xludf.DUMMYFUNCTION("""COMPUTED_VALUE"""),"FALSE")</f>
        <v>FALSE</v>
      </c>
      <c r="AZ2341" s="9"/>
      <c r="BC2341" s="9"/>
      <c r="BF2341" s="9"/>
      <c r="BI2341" s="9"/>
    </row>
    <row r="2342" spans="18:61">
      <c r="R2342" s="6"/>
      <c r="AS2342" s="15"/>
      <c r="AT2342" s="6" t="str">
        <f ca="1">IFERROR(__xludf.DUMMYFUNCTION("""COMPUTED_VALUE"""),"#N/A")</f>
        <v>#N/A</v>
      </c>
      <c r="AU2342" s="6" t="str">
        <f ca="1">IFERROR(__xludf.DUMMYFUNCTION("""COMPUTED_VALUE"""),"FALSE")</f>
        <v>FALSE</v>
      </c>
      <c r="AZ2342" s="9"/>
      <c r="BC2342" s="9"/>
      <c r="BF2342" s="9"/>
      <c r="BI2342" s="9"/>
    </row>
    <row r="2343" spans="18:61">
      <c r="R2343" s="6"/>
      <c r="AS2343" s="15"/>
      <c r="AT2343" s="6" t="str">
        <f ca="1">IFERROR(__xludf.DUMMYFUNCTION("""COMPUTED_VALUE"""),"#N/A")</f>
        <v>#N/A</v>
      </c>
      <c r="AU2343" s="6" t="str">
        <f ca="1">IFERROR(__xludf.DUMMYFUNCTION("""COMPUTED_VALUE"""),"FALSE")</f>
        <v>FALSE</v>
      </c>
      <c r="AZ2343" s="9"/>
      <c r="BC2343" s="9"/>
      <c r="BF2343" s="9"/>
      <c r="BI2343" s="9"/>
    </row>
    <row r="2344" spans="18:61">
      <c r="R2344" s="6"/>
      <c r="AS2344" s="15"/>
      <c r="AT2344" s="6" t="str">
        <f ca="1">IFERROR(__xludf.DUMMYFUNCTION("""COMPUTED_VALUE"""),"#N/A")</f>
        <v>#N/A</v>
      </c>
      <c r="AU2344" s="6" t="str">
        <f ca="1">IFERROR(__xludf.DUMMYFUNCTION("""COMPUTED_VALUE"""),"FALSE")</f>
        <v>FALSE</v>
      </c>
      <c r="AZ2344" s="9"/>
      <c r="BC2344" s="9"/>
      <c r="BF2344" s="9"/>
      <c r="BI2344" s="9"/>
    </row>
    <row r="2345" spans="18:61">
      <c r="R2345" s="6"/>
      <c r="AS2345" s="15"/>
      <c r="AT2345" s="6" t="str">
        <f ca="1">IFERROR(__xludf.DUMMYFUNCTION("""COMPUTED_VALUE"""),"#N/A")</f>
        <v>#N/A</v>
      </c>
      <c r="AU2345" s="6" t="str">
        <f ca="1">IFERROR(__xludf.DUMMYFUNCTION("""COMPUTED_VALUE"""),"FALSE")</f>
        <v>FALSE</v>
      </c>
      <c r="AZ2345" s="9"/>
      <c r="BC2345" s="9"/>
      <c r="BF2345" s="9"/>
      <c r="BI2345" s="9"/>
    </row>
    <row r="2346" spans="18:61">
      <c r="R2346" s="6"/>
      <c r="AS2346" s="15"/>
      <c r="AT2346" s="6" t="str">
        <f ca="1">IFERROR(__xludf.DUMMYFUNCTION("""COMPUTED_VALUE"""),"#N/A")</f>
        <v>#N/A</v>
      </c>
      <c r="AU2346" s="6" t="str">
        <f ca="1">IFERROR(__xludf.DUMMYFUNCTION("""COMPUTED_VALUE"""),"FALSE")</f>
        <v>FALSE</v>
      </c>
      <c r="AZ2346" s="9"/>
      <c r="BC2346" s="9"/>
      <c r="BF2346" s="9"/>
      <c r="BI2346" s="9"/>
    </row>
    <row r="2347" spans="18:61">
      <c r="R2347" s="6"/>
      <c r="AS2347" s="15"/>
      <c r="AT2347" s="6" t="str">
        <f ca="1">IFERROR(__xludf.DUMMYFUNCTION("""COMPUTED_VALUE"""),"#N/A")</f>
        <v>#N/A</v>
      </c>
      <c r="AU2347" s="6" t="str">
        <f ca="1">IFERROR(__xludf.DUMMYFUNCTION("""COMPUTED_VALUE"""),"FALSE")</f>
        <v>FALSE</v>
      </c>
      <c r="AZ2347" s="9"/>
      <c r="BC2347" s="9"/>
      <c r="BF2347" s="9"/>
      <c r="BI2347" s="9"/>
    </row>
    <row r="2348" spans="18:61">
      <c r="R2348" s="6"/>
      <c r="AS2348" s="15"/>
      <c r="AT2348" s="6" t="str">
        <f ca="1">IFERROR(__xludf.DUMMYFUNCTION("""COMPUTED_VALUE"""),"#N/A")</f>
        <v>#N/A</v>
      </c>
      <c r="AU2348" s="6" t="str">
        <f ca="1">IFERROR(__xludf.DUMMYFUNCTION("""COMPUTED_VALUE"""),"FALSE")</f>
        <v>FALSE</v>
      </c>
      <c r="AZ2348" s="9"/>
      <c r="BC2348" s="9"/>
      <c r="BF2348" s="9"/>
      <c r="BI2348" s="9"/>
    </row>
    <row r="2349" spans="18:61">
      <c r="R2349" s="6"/>
      <c r="AS2349" s="15"/>
      <c r="AT2349" s="6" t="str">
        <f ca="1">IFERROR(__xludf.DUMMYFUNCTION("""COMPUTED_VALUE"""),"#N/A")</f>
        <v>#N/A</v>
      </c>
      <c r="AU2349" s="6" t="str">
        <f ca="1">IFERROR(__xludf.DUMMYFUNCTION("""COMPUTED_VALUE"""),"FALSE")</f>
        <v>FALSE</v>
      </c>
      <c r="AZ2349" s="9"/>
      <c r="BC2349" s="9"/>
      <c r="BF2349" s="9"/>
      <c r="BI2349" s="9"/>
    </row>
    <row r="2350" spans="18:61">
      <c r="R2350" s="6"/>
      <c r="AS2350" s="15"/>
      <c r="AT2350" s="6" t="str">
        <f ca="1">IFERROR(__xludf.DUMMYFUNCTION("""COMPUTED_VALUE"""),"#N/A")</f>
        <v>#N/A</v>
      </c>
      <c r="AU2350" s="6" t="str">
        <f ca="1">IFERROR(__xludf.DUMMYFUNCTION("""COMPUTED_VALUE"""),"FALSE")</f>
        <v>FALSE</v>
      </c>
      <c r="AZ2350" s="9"/>
      <c r="BC2350" s="9"/>
      <c r="BF2350" s="9"/>
      <c r="BI2350" s="9"/>
    </row>
    <row r="2351" spans="18:61">
      <c r="R2351" s="6"/>
      <c r="AS2351" s="15"/>
      <c r="AT2351" s="6" t="str">
        <f ca="1">IFERROR(__xludf.DUMMYFUNCTION("""COMPUTED_VALUE"""),"#N/A")</f>
        <v>#N/A</v>
      </c>
      <c r="AU2351" s="6" t="str">
        <f ca="1">IFERROR(__xludf.DUMMYFUNCTION("""COMPUTED_VALUE"""),"FALSE")</f>
        <v>FALSE</v>
      </c>
      <c r="AZ2351" s="9"/>
      <c r="BC2351" s="9"/>
      <c r="BF2351" s="9"/>
      <c r="BI2351" s="9"/>
    </row>
    <row r="2352" spans="18:61">
      <c r="R2352" s="6"/>
      <c r="AS2352" s="15"/>
      <c r="AT2352" s="6" t="str">
        <f ca="1">IFERROR(__xludf.DUMMYFUNCTION("""COMPUTED_VALUE"""),"#N/A")</f>
        <v>#N/A</v>
      </c>
      <c r="AU2352" s="6" t="str">
        <f ca="1">IFERROR(__xludf.DUMMYFUNCTION("""COMPUTED_VALUE"""),"FALSE")</f>
        <v>FALSE</v>
      </c>
      <c r="AZ2352" s="9"/>
      <c r="BC2352" s="9"/>
      <c r="BF2352" s="9"/>
      <c r="BI2352" s="9"/>
    </row>
    <row r="2353" spans="18:61">
      <c r="R2353" s="6"/>
      <c r="AS2353" s="15"/>
      <c r="AT2353" s="6" t="str">
        <f ca="1">IFERROR(__xludf.DUMMYFUNCTION("""COMPUTED_VALUE"""),"#N/A")</f>
        <v>#N/A</v>
      </c>
      <c r="AU2353" s="6" t="str">
        <f ca="1">IFERROR(__xludf.DUMMYFUNCTION("""COMPUTED_VALUE"""),"FALSE")</f>
        <v>FALSE</v>
      </c>
      <c r="AZ2353" s="9"/>
      <c r="BC2353" s="9"/>
      <c r="BF2353" s="9"/>
      <c r="BI2353" s="9"/>
    </row>
    <row r="2354" spans="18:61">
      <c r="R2354" s="6"/>
      <c r="AS2354" s="15"/>
      <c r="AT2354" s="6" t="str">
        <f ca="1">IFERROR(__xludf.DUMMYFUNCTION("""COMPUTED_VALUE"""),"#N/A")</f>
        <v>#N/A</v>
      </c>
      <c r="AU2354" s="6" t="str">
        <f ca="1">IFERROR(__xludf.DUMMYFUNCTION("""COMPUTED_VALUE"""),"FALSE")</f>
        <v>FALSE</v>
      </c>
      <c r="AZ2354" s="9"/>
      <c r="BC2354" s="9"/>
      <c r="BF2354" s="9"/>
      <c r="BI2354" s="9"/>
    </row>
    <row r="2355" spans="18:61">
      <c r="R2355" s="6"/>
      <c r="AS2355" s="15"/>
      <c r="AT2355" s="6" t="str">
        <f ca="1">IFERROR(__xludf.DUMMYFUNCTION("""COMPUTED_VALUE"""),"#N/A")</f>
        <v>#N/A</v>
      </c>
      <c r="AU2355" s="6" t="str">
        <f ca="1">IFERROR(__xludf.DUMMYFUNCTION("""COMPUTED_VALUE"""),"FALSE")</f>
        <v>FALSE</v>
      </c>
      <c r="AZ2355" s="9"/>
      <c r="BC2355" s="9"/>
      <c r="BF2355" s="9"/>
      <c r="BI2355" s="9"/>
    </row>
    <row r="2356" spans="18:61">
      <c r="R2356" s="6"/>
      <c r="AS2356" s="15"/>
      <c r="AT2356" s="6" t="str">
        <f ca="1">IFERROR(__xludf.DUMMYFUNCTION("""COMPUTED_VALUE"""),"#N/A")</f>
        <v>#N/A</v>
      </c>
      <c r="AU2356" s="6" t="str">
        <f ca="1">IFERROR(__xludf.DUMMYFUNCTION("""COMPUTED_VALUE"""),"FALSE")</f>
        <v>FALSE</v>
      </c>
      <c r="AZ2356" s="9"/>
      <c r="BC2356" s="9"/>
      <c r="BF2356" s="9"/>
      <c r="BI2356" s="9"/>
    </row>
    <row r="2357" spans="18:61">
      <c r="R2357" s="6"/>
      <c r="AS2357" s="15"/>
      <c r="AT2357" s="6" t="str">
        <f ca="1">IFERROR(__xludf.DUMMYFUNCTION("""COMPUTED_VALUE"""),"#N/A")</f>
        <v>#N/A</v>
      </c>
      <c r="AU2357" s="6" t="str">
        <f ca="1">IFERROR(__xludf.DUMMYFUNCTION("""COMPUTED_VALUE"""),"FALSE")</f>
        <v>FALSE</v>
      </c>
      <c r="AZ2357" s="9"/>
      <c r="BC2357" s="9"/>
      <c r="BF2357" s="9"/>
      <c r="BI2357" s="9"/>
    </row>
    <row r="2358" spans="18:61">
      <c r="R2358" s="6"/>
      <c r="AS2358" s="15"/>
      <c r="AT2358" s="6" t="str">
        <f ca="1">IFERROR(__xludf.DUMMYFUNCTION("""COMPUTED_VALUE"""),"#N/A")</f>
        <v>#N/A</v>
      </c>
      <c r="AU2358" s="6" t="str">
        <f ca="1">IFERROR(__xludf.DUMMYFUNCTION("""COMPUTED_VALUE"""),"FALSE")</f>
        <v>FALSE</v>
      </c>
      <c r="AZ2358" s="9"/>
      <c r="BC2358" s="9"/>
      <c r="BF2358" s="9"/>
      <c r="BI2358" s="9"/>
    </row>
    <row r="2359" spans="18:61">
      <c r="R2359" s="6"/>
      <c r="AS2359" s="15"/>
      <c r="AT2359" s="6" t="str">
        <f ca="1">IFERROR(__xludf.DUMMYFUNCTION("""COMPUTED_VALUE"""),"#N/A")</f>
        <v>#N/A</v>
      </c>
      <c r="AU2359" s="6" t="str">
        <f ca="1">IFERROR(__xludf.DUMMYFUNCTION("""COMPUTED_VALUE"""),"FALSE")</f>
        <v>FALSE</v>
      </c>
      <c r="AZ2359" s="9"/>
      <c r="BC2359" s="9"/>
      <c r="BF2359" s="9"/>
      <c r="BI2359" s="9"/>
    </row>
    <row r="2360" spans="18:61">
      <c r="R2360" s="6"/>
      <c r="AS2360" s="15"/>
      <c r="AT2360" s="6" t="str">
        <f ca="1">IFERROR(__xludf.DUMMYFUNCTION("""COMPUTED_VALUE"""),"#N/A")</f>
        <v>#N/A</v>
      </c>
      <c r="AU2360" s="6" t="str">
        <f ca="1">IFERROR(__xludf.DUMMYFUNCTION("""COMPUTED_VALUE"""),"FALSE")</f>
        <v>FALSE</v>
      </c>
      <c r="AZ2360" s="9"/>
      <c r="BC2360" s="9"/>
      <c r="BF2360" s="9"/>
      <c r="BI2360" s="9"/>
    </row>
    <row r="2361" spans="18:61">
      <c r="R2361" s="6"/>
      <c r="AS2361" s="15"/>
      <c r="AT2361" s="6" t="str">
        <f ca="1">IFERROR(__xludf.DUMMYFUNCTION("""COMPUTED_VALUE"""),"#N/A")</f>
        <v>#N/A</v>
      </c>
      <c r="AU2361" s="6" t="str">
        <f ca="1">IFERROR(__xludf.DUMMYFUNCTION("""COMPUTED_VALUE"""),"FALSE")</f>
        <v>FALSE</v>
      </c>
      <c r="AZ2361" s="9"/>
      <c r="BC2361" s="9"/>
      <c r="BF2361" s="9"/>
      <c r="BI2361" s="9"/>
    </row>
    <row r="2362" spans="18:61">
      <c r="R2362" s="6"/>
      <c r="AS2362" s="15"/>
      <c r="AT2362" s="6" t="str">
        <f ca="1">IFERROR(__xludf.DUMMYFUNCTION("""COMPUTED_VALUE"""),"#N/A")</f>
        <v>#N/A</v>
      </c>
      <c r="AU2362" s="6" t="str">
        <f ca="1">IFERROR(__xludf.DUMMYFUNCTION("""COMPUTED_VALUE"""),"FALSE")</f>
        <v>FALSE</v>
      </c>
      <c r="AZ2362" s="9"/>
      <c r="BC2362" s="9"/>
      <c r="BF2362" s="9"/>
      <c r="BI2362" s="9"/>
    </row>
    <row r="2363" spans="18:61">
      <c r="R2363" s="6"/>
      <c r="AS2363" s="15"/>
      <c r="AT2363" s="6" t="str">
        <f ca="1">IFERROR(__xludf.DUMMYFUNCTION("""COMPUTED_VALUE"""),"#N/A")</f>
        <v>#N/A</v>
      </c>
      <c r="AU2363" s="6" t="str">
        <f ca="1">IFERROR(__xludf.DUMMYFUNCTION("""COMPUTED_VALUE"""),"FALSE")</f>
        <v>FALSE</v>
      </c>
      <c r="AZ2363" s="9"/>
      <c r="BC2363" s="9"/>
      <c r="BF2363" s="9"/>
      <c r="BI2363" s="9"/>
    </row>
    <row r="2364" spans="18:61">
      <c r="R2364" s="6"/>
      <c r="AS2364" s="15"/>
      <c r="AT2364" s="6" t="str">
        <f ca="1">IFERROR(__xludf.DUMMYFUNCTION("""COMPUTED_VALUE"""),"#N/A")</f>
        <v>#N/A</v>
      </c>
      <c r="AU2364" s="6" t="str">
        <f ca="1">IFERROR(__xludf.DUMMYFUNCTION("""COMPUTED_VALUE"""),"FALSE")</f>
        <v>FALSE</v>
      </c>
      <c r="AZ2364" s="9"/>
      <c r="BC2364" s="9"/>
      <c r="BF2364" s="9"/>
      <c r="BI2364" s="9"/>
    </row>
    <row r="2365" spans="18:61">
      <c r="R2365" s="6"/>
      <c r="AS2365" s="15"/>
      <c r="AT2365" s="6" t="str">
        <f ca="1">IFERROR(__xludf.DUMMYFUNCTION("""COMPUTED_VALUE"""),"#N/A")</f>
        <v>#N/A</v>
      </c>
      <c r="AU2365" s="6" t="str">
        <f ca="1">IFERROR(__xludf.DUMMYFUNCTION("""COMPUTED_VALUE"""),"FALSE")</f>
        <v>FALSE</v>
      </c>
      <c r="AZ2365" s="9"/>
      <c r="BC2365" s="9"/>
      <c r="BF2365" s="9"/>
      <c r="BI2365" s="9"/>
    </row>
    <row r="2366" spans="18:61">
      <c r="R2366" s="6"/>
      <c r="AS2366" s="15"/>
      <c r="AT2366" s="6" t="str">
        <f ca="1">IFERROR(__xludf.DUMMYFUNCTION("""COMPUTED_VALUE"""),"#N/A")</f>
        <v>#N/A</v>
      </c>
      <c r="AU2366" s="6" t="str">
        <f ca="1">IFERROR(__xludf.DUMMYFUNCTION("""COMPUTED_VALUE"""),"FALSE")</f>
        <v>FALSE</v>
      </c>
      <c r="AZ2366" s="9"/>
      <c r="BC2366" s="9"/>
      <c r="BF2366" s="9"/>
      <c r="BI2366" s="9"/>
    </row>
    <row r="2367" spans="18:61">
      <c r="R2367" s="6"/>
      <c r="AS2367" s="15"/>
      <c r="AT2367" s="6" t="str">
        <f ca="1">IFERROR(__xludf.DUMMYFUNCTION("""COMPUTED_VALUE"""),"#N/A")</f>
        <v>#N/A</v>
      </c>
      <c r="AU2367" s="6" t="str">
        <f ca="1">IFERROR(__xludf.DUMMYFUNCTION("""COMPUTED_VALUE"""),"FALSE")</f>
        <v>FALSE</v>
      </c>
      <c r="AZ2367" s="9"/>
      <c r="BC2367" s="9"/>
      <c r="BF2367" s="9"/>
      <c r="BI2367" s="9"/>
    </row>
    <row r="2368" spans="18:61">
      <c r="R2368" s="6"/>
      <c r="AS2368" s="15"/>
      <c r="AT2368" s="6" t="str">
        <f ca="1">IFERROR(__xludf.DUMMYFUNCTION("""COMPUTED_VALUE"""),"#N/A")</f>
        <v>#N/A</v>
      </c>
      <c r="AU2368" s="6" t="str">
        <f ca="1">IFERROR(__xludf.DUMMYFUNCTION("""COMPUTED_VALUE"""),"FALSE")</f>
        <v>FALSE</v>
      </c>
      <c r="AZ2368" s="9"/>
      <c r="BC2368" s="9"/>
      <c r="BF2368" s="9"/>
      <c r="BI2368" s="9"/>
    </row>
    <row r="2369" spans="18:61">
      <c r="R2369" s="6"/>
      <c r="AS2369" s="15"/>
      <c r="AT2369" s="6" t="str">
        <f ca="1">IFERROR(__xludf.DUMMYFUNCTION("""COMPUTED_VALUE"""),"#N/A")</f>
        <v>#N/A</v>
      </c>
      <c r="AU2369" s="6" t="str">
        <f ca="1">IFERROR(__xludf.DUMMYFUNCTION("""COMPUTED_VALUE"""),"FALSE")</f>
        <v>FALSE</v>
      </c>
      <c r="AZ2369" s="9"/>
      <c r="BC2369" s="9"/>
      <c r="BF2369" s="9"/>
      <c r="BI2369" s="9"/>
    </row>
    <row r="2370" spans="18:61">
      <c r="R2370" s="6"/>
      <c r="AS2370" s="15"/>
      <c r="AT2370" s="6" t="str">
        <f ca="1">IFERROR(__xludf.DUMMYFUNCTION("""COMPUTED_VALUE"""),"#N/A")</f>
        <v>#N/A</v>
      </c>
      <c r="AU2370" s="6" t="str">
        <f ca="1">IFERROR(__xludf.DUMMYFUNCTION("""COMPUTED_VALUE"""),"FALSE")</f>
        <v>FALSE</v>
      </c>
      <c r="AZ2370" s="9"/>
      <c r="BC2370" s="9"/>
      <c r="BF2370" s="9"/>
      <c r="BI2370" s="9"/>
    </row>
    <row r="2371" spans="18:61">
      <c r="R2371" s="6"/>
      <c r="AS2371" s="15"/>
      <c r="AT2371" s="6" t="str">
        <f ca="1">IFERROR(__xludf.DUMMYFUNCTION("""COMPUTED_VALUE"""),"#N/A")</f>
        <v>#N/A</v>
      </c>
      <c r="AU2371" s="6" t="str">
        <f ca="1">IFERROR(__xludf.DUMMYFUNCTION("""COMPUTED_VALUE"""),"FALSE")</f>
        <v>FALSE</v>
      </c>
      <c r="AZ2371" s="9"/>
      <c r="BC2371" s="9"/>
      <c r="BF2371" s="9"/>
      <c r="BI2371" s="9"/>
    </row>
    <row r="2372" spans="18:61">
      <c r="R2372" s="6"/>
      <c r="AS2372" s="15"/>
      <c r="AT2372" s="6" t="str">
        <f ca="1">IFERROR(__xludf.DUMMYFUNCTION("""COMPUTED_VALUE"""),"#N/A")</f>
        <v>#N/A</v>
      </c>
      <c r="AU2372" s="6" t="str">
        <f ca="1">IFERROR(__xludf.DUMMYFUNCTION("""COMPUTED_VALUE"""),"FALSE")</f>
        <v>FALSE</v>
      </c>
      <c r="AZ2372" s="9"/>
      <c r="BC2372" s="9"/>
      <c r="BF2372" s="9"/>
      <c r="BI2372" s="9"/>
    </row>
    <row r="2373" spans="18:61">
      <c r="R2373" s="6"/>
      <c r="AS2373" s="15"/>
      <c r="AT2373" s="6" t="str">
        <f ca="1">IFERROR(__xludf.DUMMYFUNCTION("""COMPUTED_VALUE"""),"#N/A")</f>
        <v>#N/A</v>
      </c>
      <c r="AU2373" s="6" t="str">
        <f ca="1">IFERROR(__xludf.DUMMYFUNCTION("""COMPUTED_VALUE"""),"FALSE")</f>
        <v>FALSE</v>
      </c>
      <c r="AZ2373" s="9"/>
      <c r="BC2373" s="9"/>
      <c r="BF2373" s="9"/>
      <c r="BI2373" s="9"/>
    </row>
    <row r="2374" spans="18:61">
      <c r="R2374" s="6"/>
      <c r="AS2374" s="15"/>
      <c r="AT2374" s="6" t="str">
        <f ca="1">IFERROR(__xludf.DUMMYFUNCTION("""COMPUTED_VALUE"""),"#N/A")</f>
        <v>#N/A</v>
      </c>
      <c r="AU2374" s="6" t="str">
        <f ca="1">IFERROR(__xludf.DUMMYFUNCTION("""COMPUTED_VALUE"""),"FALSE")</f>
        <v>FALSE</v>
      </c>
      <c r="AZ2374" s="9"/>
      <c r="BC2374" s="9"/>
      <c r="BF2374" s="9"/>
      <c r="BI2374" s="9"/>
    </row>
    <row r="2375" spans="18:61">
      <c r="R2375" s="6"/>
      <c r="AS2375" s="15"/>
      <c r="AT2375" s="6" t="str">
        <f ca="1">IFERROR(__xludf.DUMMYFUNCTION("""COMPUTED_VALUE"""),"#N/A")</f>
        <v>#N/A</v>
      </c>
      <c r="AU2375" s="6" t="str">
        <f ca="1">IFERROR(__xludf.DUMMYFUNCTION("""COMPUTED_VALUE"""),"FALSE")</f>
        <v>FALSE</v>
      </c>
      <c r="AZ2375" s="9"/>
      <c r="BC2375" s="9"/>
      <c r="BF2375" s="9"/>
      <c r="BI2375" s="9"/>
    </row>
    <row r="2376" spans="18:61">
      <c r="R2376" s="6"/>
      <c r="AS2376" s="15"/>
      <c r="AT2376" s="6" t="str">
        <f ca="1">IFERROR(__xludf.DUMMYFUNCTION("""COMPUTED_VALUE"""),"#N/A")</f>
        <v>#N/A</v>
      </c>
      <c r="AU2376" s="6" t="str">
        <f ca="1">IFERROR(__xludf.DUMMYFUNCTION("""COMPUTED_VALUE"""),"FALSE")</f>
        <v>FALSE</v>
      </c>
      <c r="AZ2376" s="9"/>
      <c r="BC2376" s="9"/>
      <c r="BF2376" s="9"/>
      <c r="BI2376" s="9"/>
    </row>
    <row r="2377" spans="18:61">
      <c r="R2377" s="6"/>
      <c r="AS2377" s="15"/>
      <c r="AT2377" s="6" t="str">
        <f ca="1">IFERROR(__xludf.DUMMYFUNCTION("""COMPUTED_VALUE"""),"#N/A")</f>
        <v>#N/A</v>
      </c>
      <c r="AU2377" s="6" t="str">
        <f ca="1">IFERROR(__xludf.DUMMYFUNCTION("""COMPUTED_VALUE"""),"FALSE")</f>
        <v>FALSE</v>
      </c>
      <c r="AZ2377" s="9"/>
      <c r="BC2377" s="9"/>
      <c r="BF2377" s="9"/>
      <c r="BI2377" s="9"/>
    </row>
    <row r="2378" spans="18:61">
      <c r="R2378" s="6"/>
      <c r="AS2378" s="15"/>
      <c r="AT2378" s="6" t="str">
        <f ca="1">IFERROR(__xludf.DUMMYFUNCTION("""COMPUTED_VALUE"""),"#N/A")</f>
        <v>#N/A</v>
      </c>
      <c r="AU2378" s="6" t="str">
        <f ca="1">IFERROR(__xludf.DUMMYFUNCTION("""COMPUTED_VALUE"""),"FALSE")</f>
        <v>FALSE</v>
      </c>
      <c r="AZ2378" s="9"/>
      <c r="BC2378" s="9"/>
      <c r="BF2378" s="9"/>
      <c r="BI2378" s="9"/>
    </row>
    <row r="2379" spans="18:61">
      <c r="R2379" s="6"/>
      <c r="AS2379" s="15"/>
      <c r="AT2379" s="6" t="str">
        <f ca="1">IFERROR(__xludf.DUMMYFUNCTION("""COMPUTED_VALUE"""),"#N/A")</f>
        <v>#N/A</v>
      </c>
      <c r="AU2379" s="6" t="str">
        <f ca="1">IFERROR(__xludf.DUMMYFUNCTION("""COMPUTED_VALUE"""),"FALSE")</f>
        <v>FALSE</v>
      </c>
      <c r="AZ2379" s="9"/>
      <c r="BC2379" s="9"/>
      <c r="BF2379" s="9"/>
      <c r="BI2379" s="9"/>
    </row>
    <row r="2380" spans="18:61">
      <c r="R2380" s="6"/>
      <c r="AS2380" s="15"/>
      <c r="AT2380" s="6" t="str">
        <f ca="1">IFERROR(__xludf.DUMMYFUNCTION("""COMPUTED_VALUE"""),"#N/A")</f>
        <v>#N/A</v>
      </c>
      <c r="AU2380" s="6" t="str">
        <f ca="1">IFERROR(__xludf.DUMMYFUNCTION("""COMPUTED_VALUE"""),"FALSE")</f>
        <v>FALSE</v>
      </c>
      <c r="AZ2380" s="9"/>
      <c r="BC2380" s="9"/>
      <c r="BF2380" s="9"/>
      <c r="BI2380" s="9"/>
    </row>
    <row r="2381" spans="18:61">
      <c r="R2381" s="6"/>
      <c r="AS2381" s="15"/>
      <c r="AT2381" s="6" t="str">
        <f ca="1">IFERROR(__xludf.DUMMYFUNCTION("""COMPUTED_VALUE"""),"#N/A")</f>
        <v>#N/A</v>
      </c>
      <c r="AU2381" s="6" t="str">
        <f ca="1">IFERROR(__xludf.DUMMYFUNCTION("""COMPUTED_VALUE"""),"FALSE")</f>
        <v>FALSE</v>
      </c>
      <c r="AZ2381" s="9"/>
      <c r="BC2381" s="9"/>
      <c r="BF2381" s="9"/>
      <c r="BI2381" s="9"/>
    </row>
    <row r="2382" spans="18:61">
      <c r="R2382" s="6"/>
      <c r="AS2382" s="15"/>
      <c r="AT2382" s="6" t="str">
        <f ca="1">IFERROR(__xludf.DUMMYFUNCTION("""COMPUTED_VALUE"""),"#N/A")</f>
        <v>#N/A</v>
      </c>
      <c r="AU2382" s="6" t="str">
        <f ca="1">IFERROR(__xludf.DUMMYFUNCTION("""COMPUTED_VALUE"""),"FALSE")</f>
        <v>FALSE</v>
      </c>
      <c r="AZ2382" s="9"/>
      <c r="BC2382" s="9"/>
      <c r="BF2382" s="9"/>
      <c r="BI2382" s="9"/>
    </row>
    <row r="2383" spans="18:61">
      <c r="R2383" s="6"/>
      <c r="AS2383" s="15"/>
      <c r="AT2383" s="6" t="str">
        <f ca="1">IFERROR(__xludf.DUMMYFUNCTION("""COMPUTED_VALUE"""),"#N/A")</f>
        <v>#N/A</v>
      </c>
      <c r="AU2383" s="6" t="str">
        <f ca="1">IFERROR(__xludf.DUMMYFUNCTION("""COMPUTED_VALUE"""),"FALSE")</f>
        <v>FALSE</v>
      </c>
      <c r="AZ2383" s="9"/>
      <c r="BC2383" s="9"/>
      <c r="BF2383" s="9"/>
      <c r="BI2383" s="9"/>
    </row>
    <row r="2384" spans="18:61">
      <c r="R2384" s="6"/>
      <c r="AS2384" s="15"/>
      <c r="AT2384" s="6" t="str">
        <f ca="1">IFERROR(__xludf.DUMMYFUNCTION("""COMPUTED_VALUE"""),"#N/A")</f>
        <v>#N/A</v>
      </c>
      <c r="AU2384" s="6" t="str">
        <f ca="1">IFERROR(__xludf.DUMMYFUNCTION("""COMPUTED_VALUE"""),"FALSE")</f>
        <v>FALSE</v>
      </c>
      <c r="AZ2384" s="9"/>
      <c r="BC2384" s="9"/>
      <c r="BF2384" s="9"/>
      <c r="BI2384" s="9"/>
    </row>
    <row r="2385" spans="18:61">
      <c r="R2385" s="6"/>
      <c r="AS2385" s="15"/>
      <c r="AT2385" s="6" t="str">
        <f ca="1">IFERROR(__xludf.DUMMYFUNCTION("""COMPUTED_VALUE"""),"#N/A")</f>
        <v>#N/A</v>
      </c>
      <c r="AU2385" s="6" t="str">
        <f ca="1">IFERROR(__xludf.DUMMYFUNCTION("""COMPUTED_VALUE"""),"FALSE")</f>
        <v>FALSE</v>
      </c>
      <c r="AZ2385" s="9"/>
      <c r="BC2385" s="9"/>
      <c r="BF2385" s="9"/>
      <c r="BI2385" s="9"/>
    </row>
    <row r="2386" spans="18:61">
      <c r="R2386" s="6"/>
      <c r="AS2386" s="15"/>
      <c r="AT2386" s="6" t="str">
        <f ca="1">IFERROR(__xludf.DUMMYFUNCTION("""COMPUTED_VALUE"""),"#N/A")</f>
        <v>#N/A</v>
      </c>
      <c r="AU2386" s="6" t="str">
        <f ca="1">IFERROR(__xludf.DUMMYFUNCTION("""COMPUTED_VALUE"""),"FALSE")</f>
        <v>FALSE</v>
      </c>
      <c r="AZ2386" s="9"/>
      <c r="BC2386" s="9"/>
      <c r="BF2386" s="9"/>
      <c r="BI2386" s="9"/>
    </row>
    <row r="2387" spans="18:61">
      <c r="R2387" s="6"/>
      <c r="AS2387" s="15"/>
      <c r="AT2387" s="6" t="str">
        <f ca="1">IFERROR(__xludf.DUMMYFUNCTION("""COMPUTED_VALUE"""),"#N/A")</f>
        <v>#N/A</v>
      </c>
      <c r="AU2387" s="6" t="str">
        <f ca="1">IFERROR(__xludf.DUMMYFUNCTION("""COMPUTED_VALUE"""),"FALSE")</f>
        <v>FALSE</v>
      </c>
      <c r="AZ2387" s="9"/>
      <c r="BC2387" s="9"/>
      <c r="BF2387" s="9"/>
      <c r="BI2387" s="9"/>
    </row>
    <row r="2388" spans="18:61">
      <c r="R2388" s="6"/>
      <c r="AS2388" s="15"/>
      <c r="AT2388" s="6" t="str">
        <f ca="1">IFERROR(__xludf.DUMMYFUNCTION("""COMPUTED_VALUE"""),"#N/A")</f>
        <v>#N/A</v>
      </c>
      <c r="AU2388" s="6" t="str">
        <f ca="1">IFERROR(__xludf.DUMMYFUNCTION("""COMPUTED_VALUE"""),"FALSE")</f>
        <v>FALSE</v>
      </c>
      <c r="AZ2388" s="9"/>
      <c r="BC2388" s="9"/>
      <c r="BF2388" s="9"/>
      <c r="BI2388" s="9"/>
    </row>
    <row r="2389" spans="18:61">
      <c r="R2389" s="6"/>
      <c r="AS2389" s="15"/>
      <c r="AT2389" s="6" t="str">
        <f ca="1">IFERROR(__xludf.DUMMYFUNCTION("""COMPUTED_VALUE"""),"#N/A")</f>
        <v>#N/A</v>
      </c>
      <c r="AU2389" s="6" t="str">
        <f ca="1">IFERROR(__xludf.DUMMYFUNCTION("""COMPUTED_VALUE"""),"FALSE")</f>
        <v>FALSE</v>
      </c>
      <c r="AZ2389" s="9"/>
      <c r="BC2389" s="9"/>
      <c r="BF2389" s="9"/>
      <c r="BI2389" s="9"/>
    </row>
    <row r="2390" spans="18:61">
      <c r="R2390" s="6"/>
      <c r="AS2390" s="15"/>
      <c r="AT2390" s="6" t="str">
        <f ca="1">IFERROR(__xludf.DUMMYFUNCTION("""COMPUTED_VALUE"""),"#N/A")</f>
        <v>#N/A</v>
      </c>
      <c r="AU2390" s="6" t="str">
        <f ca="1">IFERROR(__xludf.DUMMYFUNCTION("""COMPUTED_VALUE"""),"FALSE")</f>
        <v>FALSE</v>
      </c>
      <c r="AZ2390" s="9"/>
      <c r="BC2390" s="9"/>
      <c r="BF2390" s="9"/>
      <c r="BI2390" s="9"/>
    </row>
    <row r="2391" spans="18:61">
      <c r="R2391" s="6"/>
      <c r="AS2391" s="15"/>
      <c r="AT2391" s="6" t="str">
        <f ca="1">IFERROR(__xludf.DUMMYFUNCTION("""COMPUTED_VALUE"""),"#N/A")</f>
        <v>#N/A</v>
      </c>
      <c r="AU2391" s="6" t="str">
        <f ca="1">IFERROR(__xludf.DUMMYFUNCTION("""COMPUTED_VALUE"""),"FALSE")</f>
        <v>FALSE</v>
      </c>
      <c r="AZ2391" s="9"/>
      <c r="BC2391" s="9"/>
      <c r="BF2391" s="9"/>
      <c r="BI2391" s="9"/>
    </row>
    <row r="2392" spans="18:61">
      <c r="R2392" s="6"/>
      <c r="AS2392" s="15"/>
      <c r="AT2392" s="6" t="str">
        <f ca="1">IFERROR(__xludf.DUMMYFUNCTION("""COMPUTED_VALUE"""),"#N/A")</f>
        <v>#N/A</v>
      </c>
      <c r="AU2392" s="6" t="str">
        <f ca="1">IFERROR(__xludf.DUMMYFUNCTION("""COMPUTED_VALUE"""),"FALSE")</f>
        <v>FALSE</v>
      </c>
      <c r="AZ2392" s="9"/>
      <c r="BC2392" s="9"/>
      <c r="BF2392" s="9"/>
      <c r="BI2392" s="9"/>
    </row>
    <row r="2393" spans="18:61">
      <c r="R2393" s="6"/>
      <c r="AS2393" s="15"/>
      <c r="AT2393" s="6" t="str">
        <f ca="1">IFERROR(__xludf.DUMMYFUNCTION("""COMPUTED_VALUE"""),"#N/A")</f>
        <v>#N/A</v>
      </c>
      <c r="AU2393" s="6" t="str">
        <f ca="1">IFERROR(__xludf.DUMMYFUNCTION("""COMPUTED_VALUE"""),"FALSE")</f>
        <v>FALSE</v>
      </c>
      <c r="AZ2393" s="9"/>
      <c r="BC2393" s="9"/>
      <c r="BF2393" s="9"/>
      <c r="BI2393" s="9"/>
    </row>
    <row r="2394" spans="18:61">
      <c r="R2394" s="6"/>
      <c r="AS2394" s="15"/>
      <c r="AT2394" s="6" t="str">
        <f ca="1">IFERROR(__xludf.DUMMYFUNCTION("""COMPUTED_VALUE"""),"#N/A")</f>
        <v>#N/A</v>
      </c>
      <c r="AU2394" s="6" t="str">
        <f ca="1">IFERROR(__xludf.DUMMYFUNCTION("""COMPUTED_VALUE"""),"FALSE")</f>
        <v>FALSE</v>
      </c>
      <c r="AZ2394" s="9"/>
      <c r="BC2394" s="9"/>
      <c r="BF2394" s="9"/>
      <c r="BI2394" s="9"/>
    </row>
    <row r="2395" spans="18:61">
      <c r="R2395" s="6"/>
      <c r="AS2395" s="15"/>
      <c r="AT2395" s="6" t="str">
        <f ca="1">IFERROR(__xludf.DUMMYFUNCTION("""COMPUTED_VALUE"""),"#N/A")</f>
        <v>#N/A</v>
      </c>
      <c r="AU2395" s="6" t="str">
        <f ca="1">IFERROR(__xludf.DUMMYFUNCTION("""COMPUTED_VALUE"""),"FALSE")</f>
        <v>FALSE</v>
      </c>
      <c r="AZ2395" s="9"/>
      <c r="BC2395" s="9"/>
      <c r="BF2395" s="9"/>
      <c r="BI2395" s="9"/>
    </row>
    <row r="2396" spans="18:61">
      <c r="R2396" s="6"/>
      <c r="AS2396" s="15"/>
      <c r="AT2396" s="6" t="str">
        <f ca="1">IFERROR(__xludf.DUMMYFUNCTION("""COMPUTED_VALUE"""),"#N/A")</f>
        <v>#N/A</v>
      </c>
      <c r="AU2396" s="6" t="str">
        <f ca="1">IFERROR(__xludf.DUMMYFUNCTION("""COMPUTED_VALUE"""),"FALSE")</f>
        <v>FALSE</v>
      </c>
      <c r="AZ2396" s="9"/>
      <c r="BC2396" s="9"/>
      <c r="BF2396" s="9"/>
      <c r="BI2396" s="9"/>
    </row>
    <row r="2397" spans="18:61">
      <c r="R2397" s="6"/>
      <c r="AS2397" s="15"/>
      <c r="AT2397" s="6" t="str">
        <f ca="1">IFERROR(__xludf.DUMMYFUNCTION("""COMPUTED_VALUE"""),"#N/A")</f>
        <v>#N/A</v>
      </c>
      <c r="AU2397" s="6" t="str">
        <f ca="1">IFERROR(__xludf.DUMMYFUNCTION("""COMPUTED_VALUE"""),"FALSE")</f>
        <v>FALSE</v>
      </c>
      <c r="AZ2397" s="9"/>
      <c r="BC2397" s="9"/>
      <c r="BF2397" s="9"/>
      <c r="BI2397" s="9"/>
    </row>
    <row r="2398" spans="18:61">
      <c r="R2398" s="6"/>
      <c r="AS2398" s="15"/>
      <c r="AT2398" s="6" t="str">
        <f ca="1">IFERROR(__xludf.DUMMYFUNCTION("""COMPUTED_VALUE"""),"#N/A")</f>
        <v>#N/A</v>
      </c>
      <c r="AU2398" s="6" t="str">
        <f ca="1">IFERROR(__xludf.DUMMYFUNCTION("""COMPUTED_VALUE"""),"FALSE")</f>
        <v>FALSE</v>
      </c>
      <c r="AZ2398" s="9"/>
      <c r="BC2398" s="9"/>
      <c r="BF2398" s="9"/>
      <c r="BI2398" s="9"/>
    </row>
    <row r="2399" spans="18:61">
      <c r="R2399" s="6"/>
      <c r="AS2399" s="15"/>
      <c r="AT2399" s="6" t="str">
        <f ca="1">IFERROR(__xludf.DUMMYFUNCTION("""COMPUTED_VALUE"""),"#N/A")</f>
        <v>#N/A</v>
      </c>
      <c r="AU2399" s="6" t="str">
        <f ca="1">IFERROR(__xludf.DUMMYFUNCTION("""COMPUTED_VALUE"""),"FALSE")</f>
        <v>FALSE</v>
      </c>
      <c r="AZ2399" s="9"/>
      <c r="BC2399" s="9"/>
      <c r="BF2399" s="9"/>
      <c r="BI2399" s="9"/>
    </row>
    <row r="2400" spans="18:61">
      <c r="R2400" s="6"/>
      <c r="AS2400" s="15"/>
      <c r="AT2400" s="6" t="str">
        <f ca="1">IFERROR(__xludf.DUMMYFUNCTION("""COMPUTED_VALUE"""),"#N/A")</f>
        <v>#N/A</v>
      </c>
      <c r="AU2400" s="6" t="str">
        <f ca="1">IFERROR(__xludf.DUMMYFUNCTION("""COMPUTED_VALUE"""),"FALSE")</f>
        <v>FALSE</v>
      </c>
      <c r="AZ2400" s="9"/>
      <c r="BC2400" s="9"/>
      <c r="BF2400" s="9"/>
      <c r="BI2400" s="9"/>
    </row>
    <row r="2401" spans="18:61">
      <c r="R2401" s="6"/>
      <c r="AS2401" s="15"/>
      <c r="AT2401" s="6" t="str">
        <f ca="1">IFERROR(__xludf.DUMMYFUNCTION("""COMPUTED_VALUE"""),"#N/A")</f>
        <v>#N/A</v>
      </c>
      <c r="AU2401" s="6" t="str">
        <f ca="1">IFERROR(__xludf.DUMMYFUNCTION("""COMPUTED_VALUE"""),"FALSE")</f>
        <v>FALSE</v>
      </c>
      <c r="AZ2401" s="9"/>
      <c r="BC2401" s="9"/>
      <c r="BF2401" s="9"/>
      <c r="BI2401" s="9"/>
    </row>
    <row r="2402" spans="18:61">
      <c r="R2402" s="6"/>
      <c r="AS2402" s="15"/>
      <c r="AT2402" s="6" t="str">
        <f ca="1">IFERROR(__xludf.DUMMYFUNCTION("""COMPUTED_VALUE"""),"#N/A")</f>
        <v>#N/A</v>
      </c>
      <c r="AU2402" s="6" t="str">
        <f ca="1">IFERROR(__xludf.DUMMYFUNCTION("""COMPUTED_VALUE"""),"FALSE")</f>
        <v>FALSE</v>
      </c>
      <c r="AZ2402" s="9"/>
      <c r="BC2402" s="9"/>
      <c r="BF2402" s="9"/>
      <c r="BI2402" s="9"/>
    </row>
    <row r="2403" spans="18:61">
      <c r="R2403" s="6"/>
      <c r="AS2403" s="15"/>
      <c r="AT2403" s="6" t="str">
        <f ca="1">IFERROR(__xludf.DUMMYFUNCTION("""COMPUTED_VALUE"""),"#N/A")</f>
        <v>#N/A</v>
      </c>
      <c r="AU2403" s="6" t="str">
        <f ca="1">IFERROR(__xludf.DUMMYFUNCTION("""COMPUTED_VALUE"""),"FALSE")</f>
        <v>FALSE</v>
      </c>
      <c r="AZ2403" s="9"/>
      <c r="BC2403" s="9"/>
      <c r="BF2403" s="9"/>
      <c r="BI2403" s="9"/>
    </row>
    <row r="2404" spans="18:61">
      <c r="R2404" s="6"/>
      <c r="AS2404" s="15"/>
      <c r="AT2404" s="6" t="str">
        <f ca="1">IFERROR(__xludf.DUMMYFUNCTION("""COMPUTED_VALUE"""),"#N/A")</f>
        <v>#N/A</v>
      </c>
      <c r="AU2404" s="6" t="str">
        <f ca="1">IFERROR(__xludf.DUMMYFUNCTION("""COMPUTED_VALUE"""),"FALSE")</f>
        <v>FALSE</v>
      </c>
      <c r="AZ2404" s="9"/>
      <c r="BC2404" s="9"/>
      <c r="BF2404" s="9"/>
      <c r="BI2404" s="9"/>
    </row>
    <row r="2405" spans="18:61">
      <c r="R2405" s="6"/>
      <c r="AS2405" s="15"/>
      <c r="AT2405" s="6" t="str">
        <f ca="1">IFERROR(__xludf.DUMMYFUNCTION("""COMPUTED_VALUE"""),"#N/A")</f>
        <v>#N/A</v>
      </c>
      <c r="AU2405" s="6" t="str">
        <f ca="1">IFERROR(__xludf.DUMMYFUNCTION("""COMPUTED_VALUE"""),"FALSE")</f>
        <v>FALSE</v>
      </c>
      <c r="AZ2405" s="9"/>
      <c r="BC2405" s="9"/>
      <c r="BF2405" s="9"/>
      <c r="BI2405" s="9"/>
    </row>
    <row r="2406" spans="18:61">
      <c r="R2406" s="6"/>
      <c r="AS2406" s="15"/>
      <c r="AT2406" s="6" t="str">
        <f ca="1">IFERROR(__xludf.DUMMYFUNCTION("""COMPUTED_VALUE"""),"#N/A")</f>
        <v>#N/A</v>
      </c>
      <c r="AU2406" s="6" t="str">
        <f ca="1">IFERROR(__xludf.DUMMYFUNCTION("""COMPUTED_VALUE"""),"FALSE")</f>
        <v>FALSE</v>
      </c>
      <c r="AZ2406" s="9"/>
      <c r="BC2406" s="9"/>
      <c r="BF2406" s="9"/>
      <c r="BI2406" s="9"/>
    </row>
    <row r="2407" spans="18:61">
      <c r="R2407" s="6"/>
      <c r="AS2407" s="15"/>
      <c r="AT2407" s="6" t="str">
        <f ca="1">IFERROR(__xludf.DUMMYFUNCTION("""COMPUTED_VALUE"""),"#N/A")</f>
        <v>#N/A</v>
      </c>
      <c r="AU2407" s="6" t="str">
        <f ca="1">IFERROR(__xludf.DUMMYFUNCTION("""COMPUTED_VALUE"""),"FALSE")</f>
        <v>FALSE</v>
      </c>
      <c r="AZ2407" s="9"/>
      <c r="BC2407" s="9"/>
      <c r="BF2407" s="9"/>
      <c r="BI2407" s="9"/>
    </row>
    <row r="2408" spans="18:61">
      <c r="R2408" s="6"/>
      <c r="AS2408" s="15"/>
      <c r="AT2408" s="6" t="str">
        <f ca="1">IFERROR(__xludf.DUMMYFUNCTION("""COMPUTED_VALUE"""),"#N/A")</f>
        <v>#N/A</v>
      </c>
      <c r="AU2408" s="6" t="str">
        <f ca="1">IFERROR(__xludf.DUMMYFUNCTION("""COMPUTED_VALUE"""),"FALSE")</f>
        <v>FALSE</v>
      </c>
      <c r="AZ2408" s="9"/>
      <c r="BC2408" s="9"/>
      <c r="BF2408" s="9"/>
      <c r="BI2408" s="9"/>
    </row>
    <row r="2409" spans="18:61">
      <c r="R2409" s="6"/>
      <c r="AS2409" s="15"/>
      <c r="AT2409" s="6" t="str">
        <f ca="1">IFERROR(__xludf.DUMMYFUNCTION("""COMPUTED_VALUE"""),"#N/A")</f>
        <v>#N/A</v>
      </c>
      <c r="AU2409" s="6" t="str">
        <f ca="1">IFERROR(__xludf.DUMMYFUNCTION("""COMPUTED_VALUE"""),"FALSE")</f>
        <v>FALSE</v>
      </c>
      <c r="AZ2409" s="9"/>
      <c r="BC2409" s="9"/>
      <c r="BF2409" s="9"/>
      <c r="BI2409" s="9"/>
    </row>
    <row r="2410" spans="18:61">
      <c r="R2410" s="6"/>
      <c r="AS2410" s="15"/>
      <c r="AT2410" s="6" t="str">
        <f ca="1">IFERROR(__xludf.DUMMYFUNCTION("""COMPUTED_VALUE"""),"#N/A")</f>
        <v>#N/A</v>
      </c>
      <c r="AU2410" s="6" t="str">
        <f ca="1">IFERROR(__xludf.DUMMYFUNCTION("""COMPUTED_VALUE"""),"FALSE")</f>
        <v>FALSE</v>
      </c>
      <c r="AZ2410" s="9"/>
      <c r="BC2410" s="9"/>
      <c r="BF2410" s="9"/>
      <c r="BI2410" s="9"/>
    </row>
    <row r="2411" spans="18:61">
      <c r="R2411" s="6"/>
      <c r="AS2411" s="15"/>
      <c r="AT2411" s="6" t="str">
        <f ca="1">IFERROR(__xludf.DUMMYFUNCTION("""COMPUTED_VALUE"""),"#N/A")</f>
        <v>#N/A</v>
      </c>
      <c r="AU2411" s="6" t="str">
        <f ca="1">IFERROR(__xludf.DUMMYFUNCTION("""COMPUTED_VALUE"""),"FALSE")</f>
        <v>FALSE</v>
      </c>
      <c r="AZ2411" s="9"/>
      <c r="BC2411" s="9"/>
      <c r="BF2411" s="9"/>
      <c r="BI2411" s="9"/>
    </row>
    <row r="2412" spans="18:61">
      <c r="R2412" s="6"/>
      <c r="AS2412" s="15"/>
      <c r="AT2412" s="6" t="str">
        <f ca="1">IFERROR(__xludf.DUMMYFUNCTION("""COMPUTED_VALUE"""),"#N/A")</f>
        <v>#N/A</v>
      </c>
      <c r="AU2412" s="6" t="str">
        <f ca="1">IFERROR(__xludf.DUMMYFUNCTION("""COMPUTED_VALUE"""),"FALSE")</f>
        <v>FALSE</v>
      </c>
      <c r="AZ2412" s="9"/>
      <c r="BC2412" s="9"/>
      <c r="BF2412" s="9"/>
      <c r="BI2412" s="9"/>
    </row>
    <row r="2413" spans="18:61">
      <c r="R2413" s="6"/>
      <c r="AS2413" s="15"/>
      <c r="AT2413" s="6" t="str">
        <f ca="1">IFERROR(__xludf.DUMMYFUNCTION("""COMPUTED_VALUE"""),"#N/A")</f>
        <v>#N/A</v>
      </c>
      <c r="AU2413" s="6" t="str">
        <f ca="1">IFERROR(__xludf.DUMMYFUNCTION("""COMPUTED_VALUE"""),"FALSE")</f>
        <v>FALSE</v>
      </c>
      <c r="AZ2413" s="9"/>
      <c r="BC2413" s="9"/>
      <c r="BF2413" s="9"/>
      <c r="BI2413" s="9"/>
    </row>
    <row r="2414" spans="18:61">
      <c r="R2414" s="6"/>
      <c r="AS2414" s="15"/>
      <c r="AT2414" s="6" t="str">
        <f ca="1">IFERROR(__xludf.DUMMYFUNCTION("""COMPUTED_VALUE"""),"#N/A")</f>
        <v>#N/A</v>
      </c>
      <c r="AU2414" s="6" t="str">
        <f ca="1">IFERROR(__xludf.DUMMYFUNCTION("""COMPUTED_VALUE"""),"FALSE")</f>
        <v>FALSE</v>
      </c>
      <c r="AZ2414" s="9"/>
      <c r="BC2414" s="9"/>
      <c r="BF2414" s="9"/>
      <c r="BI2414" s="9"/>
    </row>
    <row r="2415" spans="18:61">
      <c r="R2415" s="6"/>
      <c r="AS2415" s="15"/>
      <c r="AT2415" s="6" t="str">
        <f ca="1">IFERROR(__xludf.DUMMYFUNCTION("""COMPUTED_VALUE"""),"#N/A")</f>
        <v>#N/A</v>
      </c>
      <c r="AU2415" s="6" t="str">
        <f ca="1">IFERROR(__xludf.DUMMYFUNCTION("""COMPUTED_VALUE"""),"FALSE")</f>
        <v>FALSE</v>
      </c>
      <c r="AZ2415" s="9"/>
      <c r="BC2415" s="9"/>
      <c r="BF2415" s="9"/>
      <c r="BI2415" s="9"/>
    </row>
    <row r="2416" spans="18:61">
      <c r="R2416" s="6"/>
      <c r="AS2416" s="15"/>
      <c r="AT2416" s="6" t="str">
        <f ca="1">IFERROR(__xludf.DUMMYFUNCTION("""COMPUTED_VALUE"""),"#N/A")</f>
        <v>#N/A</v>
      </c>
      <c r="AU2416" s="6" t="str">
        <f ca="1">IFERROR(__xludf.DUMMYFUNCTION("""COMPUTED_VALUE"""),"FALSE")</f>
        <v>FALSE</v>
      </c>
      <c r="AZ2416" s="9"/>
      <c r="BC2416" s="9"/>
      <c r="BF2416" s="9"/>
      <c r="BI2416" s="9"/>
    </row>
    <row r="2417" spans="18:61">
      <c r="R2417" s="6"/>
      <c r="AS2417" s="15"/>
      <c r="AT2417" s="6" t="str">
        <f ca="1">IFERROR(__xludf.DUMMYFUNCTION("""COMPUTED_VALUE"""),"#N/A")</f>
        <v>#N/A</v>
      </c>
      <c r="AU2417" s="6" t="str">
        <f ca="1">IFERROR(__xludf.DUMMYFUNCTION("""COMPUTED_VALUE"""),"FALSE")</f>
        <v>FALSE</v>
      </c>
      <c r="AZ2417" s="9"/>
      <c r="BC2417" s="9"/>
      <c r="BF2417" s="9"/>
      <c r="BI2417" s="9"/>
    </row>
    <row r="2418" spans="18:61">
      <c r="R2418" s="6"/>
      <c r="AS2418" s="15"/>
      <c r="AT2418" s="6" t="str">
        <f ca="1">IFERROR(__xludf.DUMMYFUNCTION("""COMPUTED_VALUE"""),"#N/A")</f>
        <v>#N/A</v>
      </c>
      <c r="AU2418" s="6" t="str">
        <f ca="1">IFERROR(__xludf.DUMMYFUNCTION("""COMPUTED_VALUE"""),"FALSE")</f>
        <v>FALSE</v>
      </c>
      <c r="AZ2418" s="9"/>
      <c r="BC2418" s="9"/>
      <c r="BF2418" s="9"/>
      <c r="BI2418" s="9"/>
    </row>
    <row r="2419" spans="18:61">
      <c r="R2419" s="6"/>
      <c r="AS2419" s="15"/>
      <c r="AT2419" s="6" t="str">
        <f ca="1">IFERROR(__xludf.DUMMYFUNCTION("""COMPUTED_VALUE"""),"#N/A")</f>
        <v>#N/A</v>
      </c>
      <c r="AU2419" s="6" t="str">
        <f ca="1">IFERROR(__xludf.DUMMYFUNCTION("""COMPUTED_VALUE"""),"FALSE")</f>
        <v>FALSE</v>
      </c>
      <c r="AZ2419" s="9"/>
      <c r="BC2419" s="9"/>
      <c r="BF2419" s="9"/>
      <c r="BI2419" s="9"/>
    </row>
    <row r="2420" spans="18:61">
      <c r="R2420" s="6"/>
      <c r="AS2420" s="15"/>
      <c r="AT2420" s="6" t="str">
        <f ca="1">IFERROR(__xludf.DUMMYFUNCTION("""COMPUTED_VALUE"""),"#N/A")</f>
        <v>#N/A</v>
      </c>
      <c r="AU2420" s="6" t="str">
        <f ca="1">IFERROR(__xludf.DUMMYFUNCTION("""COMPUTED_VALUE"""),"FALSE")</f>
        <v>FALSE</v>
      </c>
      <c r="AZ2420" s="9"/>
      <c r="BC2420" s="9"/>
      <c r="BF2420" s="9"/>
      <c r="BI2420" s="9"/>
    </row>
    <row r="2421" spans="18:61">
      <c r="R2421" s="6"/>
      <c r="AS2421" s="15"/>
      <c r="AT2421" s="6" t="str">
        <f ca="1">IFERROR(__xludf.DUMMYFUNCTION("""COMPUTED_VALUE"""),"#N/A")</f>
        <v>#N/A</v>
      </c>
      <c r="AU2421" s="6" t="str">
        <f ca="1">IFERROR(__xludf.DUMMYFUNCTION("""COMPUTED_VALUE"""),"FALSE")</f>
        <v>FALSE</v>
      </c>
      <c r="AZ2421" s="9"/>
      <c r="BC2421" s="9"/>
      <c r="BF2421" s="9"/>
      <c r="BI2421" s="9"/>
    </row>
    <row r="2422" spans="18:61">
      <c r="R2422" s="6"/>
      <c r="AS2422" s="15"/>
      <c r="AT2422" s="6" t="str">
        <f ca="1">IFERROR(__xludf.DUMMYFUNCTION("""COMPUTED_VALUE"""),"#N/A")</f>
        <v>#N/A</v>
      </c>
      <c r="AU2422" s="6" t="str">
        <f ca="1">IFERROR(__xludf.DUMMYFUNCTION("""COMPUTED_VALUE"""),"FALSE")</f>
        <v>FALSE</v>
      </c>
      <c r="AZ2422" s="9"/>
      <c r="BC2422" s="9"/>
      <c r="BF2422" s="9"/>
      <c r="BI2422" s="9"/>
    </row>
    <row r="2423" spans="18:61">
      <c r="R2423" s="6"/>
      <c r="AS2423" s="15"/>
      <c r="AT2423" s="6" t="str">
        <f ca="1">IFERROR(__xludf.DUMMYFUNCTION("""COMPUTED_VALUE"""),"#N/A")</f>
        <v>#N/A</v>
      </c>
      <c r="AU2423" s="6" t="str">
        <f ca="1">IFERROR(__xludf.DUMMYFUNCTION("""COMPUTED_VALUE"""),"FALSE")</f>
        <v>FALSE</v>
      </c>
      <c r="AZ2423" s="9"/>
      <c r="BC2423" s="9"/>
      <c r="BF2423" s="9"/>
      <c r="BI2423" s="9"/>
    </row>
    <row r="2424" spans="18:61">
      <c r="R2424" s="6"/>
      <c r="AS2424" s="15"/>
      <c r="AT2424" s="6" t="str">
        <f ca="1">IFERROR(__xludf.DUMMYFUNCTION("""COMPUTED_VALUE"""),"#N/A")</f>
        <v>#N/A</v>
      </c>
      <c r="AU2424" s="6" t="str">
        <f ca="1">IFERROR(__xludf.DUMMYFUNCTION("""COMPUTED_VALUE"""),"FALSE")</f>
        <v>FALSE</v>
      </c>
      <c r="AZ2424" s="9"/>
      <c r="BC2424" s="9"/>
      <c r="BF2424" s="9"/>
      <c r="BI2424" s="9"/>
    </row>
    <row r="2425" spans="18:61">
      <c r="R2425" s="6"/>
      <c r="AS2425" s="15"/>
      <c r="AT2425" s="6" t="str">
        <f ca="1">IFERROR(__xludf.DUMMYFUNCTION("""COMPUTED_VALUE"""),"#N/A")</f>
        <v>#N/A</v>
      </c>
      <c r="AU2425" s="6" t="str">
        <f ca="1">IFERROR(__xludf.DUMMYFUNCTION("""COMPUTED_VALUE"""),"FALSE")</f>
        <v>FALSE</v>
      </c>
      <c r="AZ2425" s="9"/>
      <c r="BC2425" s="9"/>
      <c r="BF2425" s="9"/>
      <c r="BI2425" s="9"/>
    </row>
    <row r="2426" spans="18:61">
      <c r="R2426" s="6"/>
      <c r="AS2426" s="15"/>
      <c r="AT2426" s="6" t="str">
        <f ca="1">IFERROR(__xludf.DUMMYFUNCTION("""COMPUTED_VALUE"""),"#N/A")</f>
        <v>#N/A</v>
      </c>
      <c r="AU2426" s="6" t="str">
        <f ca="1">IFERROR(__xludf.DUMMYFUNCTION("""COMPUTED_VALUE"""),"FALSE")</f>
        <v>FALSE</v>
      </c>
      <c r="AZ2426" s="9"/>
      <c r="BC2426" s="9"/>
      <c r="BF2426" s="9"/>
      <c r="BI2426" s="9"/>
    </row>
    <row r="2427" spans="18:61">
      <c r="R2427" s="6"/>
      <c r="AS2427" s="15"/>
      <c r="AT2427" s="6" t="str">
        <f ca="1">IFERROR(__xludf.DUMMYFUNCTION("""COMPUTED_VALUE"""),"#N/A")</f>
        <v>#N/A</v>
      </c>
      <c r="AU2427" s="6" t="str">
        <f ca="1">IFERROR(__xludf.DUMMYFUNCTION("""COMPUTED_VALUE"""),"FALSE")</f>
        <v>FALSE</v>
      </c>
      <c r="AZ2427" s="9"/>
      <c r="BC2427" s="9"/>
      <c r="BF2427" s="9"/>
      <c r="BI2427" s="9"/>
    </row>
    <row r="2428" spans="18:61">
      <c r="R2428" s="6"/>
      <c r="AS2428" s="15"/>
      <c r="AT2428" s="6" t="str">
        <f ca="1">IFERROR(__xludf.DUMMYFUNCTION("""COMPUTED_VALUE"""),"#N/A")</f>
        <v>#N/A</v>
      </c>
      <c r="AU2428" s="6" t="str">
        <f ca="1">IFERROR(__xludf.DUMMYFUNCTION("""COMPUTED_VALUE"""),"FALSE")</f>
        <v>FALSE</v>
      </c>
      <c r="AZ2428" s="9"/>
      <c r="BC2428" s="9"/>
      <c r="BF2428" s="9"/>
      <c r="BI2428" s="9"/>
    </row>
    <row r="2429" spans="18:61">
      <c r="R2429" s="6"/>
      <c r="AS2429" s="15"/>
      <c r="AT2429" s="6" t="str">
        <f ca="1">IFERROR(__xludf.DUMMYFUNCTION("""COMPUTED_VALUE"""),"#N/A")</f>
        <v>#N/A</v>
      </c>
      <c r="AU2429" s="6" t="str">
        <f ca="1">IFERROR(__xludf.DUMMYFUNCTION("""COMPUTED_VALUE"""),"FALSE")</f>
        <v>FALSE</v>
      </c>
      <c r="AZ2429" s="9"/>
      <c r="BC2429" s="9"/>
      <c r="BF2429" s="9"/>
      <c r="BI2429" s="9"/>
    </row>
    <row r="2430" spans="18:61">
      <c r="R2430" s="6"/>
      <c r="AS2430" s="15"/>
      <c r="AT2430" s="6" t="str">
        <f ca="1">IFERROR(__xludf.DUMMYFUNCTION("""COMPUTED_VALUE"""),"#N/A")</f>
        <v>#N/A</v>
      </c>
      <c r="AU2430" s="6" t="str">
        <f ca="1">IFERROR(__xludf.DUMMYFUNCTION("""COMPUTED_VALUE"""),"FALSE")</f>
        <v>FALSE</v>
      </c>
      <c r="AZ2430" s="9"/>
      <c r="BC2430" s="9"/>
      <c r="BF2430" s="9"/>
      <c r="BI2430" s="9"/>
    </row>
    <row r="2431" spans="18:61">
      <c r="R2431" s="6"/>
      <c r="AS2431" s="15"/>
      <c r="AT2431" s="6" t="str">
        <f ca="1">IFERROR(__xludf.DUMMYFUNCTION("""COMPUTED_VALUE"""),"#N/A")</f>
        <v>#N/A</v>
      </c>
      <c r="AU2431" s="6" t="str">
        <f ca="1">IFERROR(__xludf.DUMMYFUNCTION("""COMPUTED_VALUE"""),"FALSE")</f>
        <v>FALSE</v>
      </c>
      <c r="AZ2431" s="9"/>
      <c r="BC2431" s="9"/>
      <c r="BF2431" s="9"/>
      <c r="BI2431" s="9"/>
    </row>
    <row r="2432" spans="18:61">
      <c r="R2432" s="6"/>
      <c r="AS2432" s="15"/>
      <c r="AT2432" s="6" t="str">
        <f ca="1">IFERROR(__xludf.DUMMYFUNCTION("""COMPUTED_VALUE"""),"#N/A")</f>
        <v>#N/A</v>
      </c>
      <c r="AU2432" s="6" t="str">
        <f ca="1">IFERROR(__xludf.DUMMYFUNCTION("""COMPUTED_VALUE"""),"FALSE")</f>
        <v>FALSE</v>
      </c>
      <c r="AZ2432" s="9"/>
      <c r="BC2432" s="9"/>
      <c r="BF2432" s="9"/>
      <c r="BI2432" s="9"/>
    </row>
    <row r="2433" spans="18:61">
      <c r="R2433" s="6"/>
      <c r="AS2433" s="15"/>
      <c r="AT2433" s="6" t="str">
        <f ca="1">IFERROR(__xludf.DUMMYFUNCTION("""COMPUTED_VALUE"""),"#N/A")</f>
        <v>#N/A</v>
      </c>
      <c r="AU2433" s="6" t="str">
        <f ca="1">IFERROR(__xludf.DUMMYFUNCTION("""COMPUTED_VALUE"""),"FALSE")</f>
        <v>FALSE</v>
      </c>
      <c r="AZ2433" s="9"/>
      <c r="BC2433" s="9"/>
      <c r="BF2433" s="9"/>
      <c r="BI2433" s="9"/>
    </row>
    <row r="2434" spans="18:61">
      <c r="R2434" s="6"/>
      <c r="AS2434" s="15"/>
      <c r="AT2434" s="6" t="str">
        <f ca="1">IFERROR(__xludf.DUMMYFUNCTION("""COMPUTED_VALUE"""),"#N/A")</f>
        <v>#N/A</v>
      </c>
      <c r="AU2434" s="6" t="str">
        <f ca="1">IFERROR(__xludf.DUMMYFUNCTION("""COMPUTED_VALUE"""),"FALSE")</f>
        <v>FALSE</v>
      </c>
      <c r="AZ2434" s="9"/>
      <c r="BC2434" s="9"/>
      <c r="BF2434" s="9"/>
      <c r="BI2434" s="9"/>
    </row>
    <row r="2435" spans="18:61">
      <c r="R2435" s="6"/>
      <c r="AS2435" s="15"/>
      <c r="AT2435" s="6" t="str">
        <f ca="1">IFERROR(__xludf.DUMMYFUNCTION("""COMPUTED_VALUE"""),"#N/A")</f>
        <v>#N/A</v>
      </c>
      <c r="AU2435" s="6" t="str">
        <f ca="1">IFERROR(__xludf.DUMMYFUNCTION("""COMPUTED_VALUE"""),"FALSE")</f>
        <v>FALSE</v>
      </c>
      <c r="AZ2435" s="9"/>
      <c r="BC2435" s="9"/>
      <c r="BF2435" s="9"/>
      <c r="BI2435" s="9"/>
    </row>
    <row r="2436" spans="18:61">
      <c r="R2436" s="6"/>
      <c r="AS2436" s="15"/>
      <c r="AT2436" s="6" t="str">
        <f ca="1">IFERROR(__xludf.DUMMYFUNCTION("""COMPUTED_VALUE"""),"#N/A")</f>
        <v>#N/A</v>
      </c>
      <c r="AU2436" s="6" t="str">
        <f ca="1">IFERROR(__xludf.DUMMYFUNCTION("""COMPUTED_VALUE"""),"FALSE")</f>
        <v>FALSE</v>
      </c>
      <c r="AZ2436" s="9"/>
      <c r="BC2436" s="9"/>
      <c r="BF2436" s="9"/>
      <c r="BI2436" s="9"/>
    </row>
    <row r="2437" spans="18:61">
      <c r="R2437" s="6"/>
      <c r="AS2437" s="15"/>
      <c r="AT2437" s="6" t="str">
        <f ca="1">IFERROR(__xludf.DUMMYFUNCTION("""COMPUTED_VALUE"""),"#N/A")</f>
        <v>#N/A</v>
      </c>
      <c r="AU2437" s="6" t="str">
        <f ca="1">IFERROR(__xludf.DUMMYFUNCTION("""COMPUTED_VALUE"""),"FALSE")</f>
        <v>FALSE</v>
      </c>
      <c r="AZ2437" s="9"/>
      <c r="BC2437" s="9"/>
      <c r="BF2437" s="9"/>
      <c r="BI2437" s="9"/>
    </row>
    <row r="2438" spans="18:61">
      <c r="R2438" s="6"/>
      <c r="AS2438" s="15"/>
      <c r="AT2438" s="6" t="str">
        <f ca="1">IFERROR(__xludf.DUMMYFUNCTION("""COMPUTED_VALUE"""),"#N/A")</f>
        <v>#N/A</v>
      </c>
      <c r="AU2438" s="6" t="str">
        <f ca="1">IFERROR(__xludf.DUMMYFUNCTION("""COMPUTED_VALUE"""),"FALSE")</f>
        <v>FALSE</v>
      </c>
      <c r="AZ2438" s="9"/>
      <c r="BC2438" s="9"/>
      <c r="BF2438" s="9"/>
      <c r="BI2438" s="9"/>
    </row>
    <row r="2439" spans="18:61">
      <c r="R2439" s="6"/>
      <c r="AS2439" s="15"/>
      <c r="AT2439" s="6" t="str">
        <f ca="1">IFERROR(__xludf.DUMMYFUNCTION("""COMPUTED_VALUE"""),"#N/A")</f>
        <v>#N/A</v>
      </c>
      <c r="AU2439" s="6" t="str">
        <f ca="1">IFERROR(__xludf.DUMMYFUNCTION("""COMPUTED_VALUE"""),"FALSE")</f>
        <v>FALSE</v>
      </c>
      <c r="AZ2439" s="9"/>
      <c r="BC2439" s="9"/>
      <c r="BF2439" s="9"/>
      <c r="BI2439" s="9"/>
    </row>
    <row r="2440" spans="18:61">
      <c r="R2440" s="6"/>
      <c r="AS2440" s="15"/>
      <c r="AT2440" s="6" t="str">
        <f ca="1">IFERROR(__xludf.DUMMYFUNCTION("""COMPUTED_VALUE"""),"#N/A")</f>
        <v>#N/A</v>
      </c>
      <c r="AU2440" s="6" t="str">
        <f ca="1">IFERROR(__xludf.DUMMYFUNCTION("""COMPUTED_VALUE"""),"FALSE")</f>
        <v>FALSE</v>
      </c>
      <c r="AZ2440" s="9"/>
      <c r="BC2440" s="9"/>
      <c r="BF2440" s="9"/>
      <c r="BI2440" s="9"/>
    </row>
    <row r="2441" spans="18:61">
      <c r="R2441" s="6"/>
      <c r="AS2441" s="15"/>
      <c r="AT2441" s="6" t="str">
        <f ca="1">IFERROR(__xludf.DUMMYFUNCTION("""COMPUTED_VALUE"""),"#N/A")</f>
        <v>#N/A</v>
      </c>
      <c r="AU2441" s="6" t="str">
        <f ca="1">IFERROR(__xludf.DUMMYFUNCTION("""COMPUTED_VALUE"""),"FALSE")</f>
        <v>FALSE</v>
      </c>
      <c r="AZ2441" s="9"/>
      <c r="BC2441" s="9"/>
      <c r="BF2441" s="9"/>
      <c r="BI2441" s="9"/>
    </row>
    <row r="2442" spans="18:61">
      <c r="R2442" s="6"/>
      <c r="AS2442" s="15"/>
      <c r="AT2442" s="6" t="str">
        <f ca="1">IFERROR(__xludf.DUMMYFUNCTION("""COMPUTED_VALUE"""),"#N/A")</f>
        <v>#N/A</v>
      </c>
      <c r="AU2442" s="6" t="str">
        <f ca="1">IFERROR(__xludf.DUMMYFUNCTION("""COMPUTED_VALUE"""),"FALSE")</f>
        <v>FALSE</v>
      </c>
      <c r="AZ2442" s="9"/>
      <c r="BC2442" s="9"/>
      <c r="BF2442" s="9"/>
      <c r="BI2442" s="9"/>
    </row>
    <row r="2443" spans="18:61">
      <c r="R2443" s="6"/>
      <c r="AS2443" s="15"/>
      <c r="AT2443" s="6" t="str">
        <f ca="1">IFERROR(__xludf.DUMMYFUNCTION("""COMPUTED_VALUE"""),"#N/A")</f>
        <v>#N/A</v>
      </c>
      <c r="AU2443" s="6" t="str">
        <f ca="1">IFERROR(__xludf.DUMMYFUNCTION("""COMPUTED_VALUE"""),"FALSE")</f>
        <v>FALSE</v>
      </c>
      <c r="AZ2443" s="9"/>
      <c r="BC2443" s="9"/>
      <c r="BF2443" s="9"/>
      <c r="BI2443" s="9"/>
    </row>
    <row r="2444" spans="18:61">
      <c r="R2444" s="6"/>
      <c r="AS2444" s="15"/>
      <c r="AT2444" s="6" t="str">
        <f ca="1">IFERROR(__xludf.DUMMYFUNCTION("""COMPUTED_VALUE"""),"#N/A")</f>
        <v>#N/A</v>
      </c>
      <c r="AU2444" s="6" t="str">
        <f ca="1">IFERROR(__xludf.DUMMYFUNCTION("""COMPUTED_VALUE"""),"FALSE")</f>
        <v>FALSE</v>
      </c>
      <c r="AZ2444" s="9"/>
      <c r="BC2444" s="9"/>
      <c r="BF2444" s="9"/>
      <c r="BI2444" s="9"/>
    </row>
    <row r="2445" spans="18:61">
      <c r="R2445" s="6"/>
      <c r="AS2445" s="15"/>
      <c r="AT2445" s="6" t="str">
        <f ca="1">IFERROR(__xludf.DUMMYFUNCTION("""COMPUTED_VALUE"""),"#N/A")</f>
        <v>#N/A</v>
      </c>
      <c r="AU2445" s="6" t="str">
        <f ca="1">IFERROR(__xludf.DUMMYFUNCTION("""COMPUTED_VALUE"""),"FALSE")</f>
        <v>FALSE</v>
      </c>
      <c r="AZ2445" s="9"/>
      <c r="BC2445" s="9"/>
      <c r="BF2445" s="9"/>
      <c r="BI2445" s="9"/>
    </row>
    <row r="2446" spans="18:61">
      <c r="R2446" s="6"/>
      <c r="AS2446" s="15"/>
      <c r="AT2446" s="6" t="str">
        <f ca="1">IFERROR(__xludf.DUMMYFUNCTION("""COMPUTED_VALUE"""),"#N/A")</f>
        <v>#N/A</v>
      </c>
      <c r="AU2446" s="6" t="str">
        <f ca="1">IFERROR(__xludf.DUMMYFUNCTION("""COMPUTED_VALUE"""),"FALSE")</f>
        <v>FALSE</v>
      </c>
      <c r="AZ2446" s="9"/>
      <c r="BC2446" s="9"/>
      <c r="BF2446" s="9"/>
      <c r="BI2446" s="9"/>
    </row>
    <row r="2447" spans="18:61">
      <c r="R2447" s="6"/>
      <c r="AS2447" s="15"/>
      <c r="AT2447" s="6" t="str">
        <f ca="1">IFERROR(__xludf.DUMMYFUNCTION("""COMPUTED_VALUE"""),"#N/A")</f>
        <v>#N/A</v>
      </c>
      <c r="AU2447" s="6" t="str">
        <f ca="1">IFERROR(__xludf.DUMMYFUNCTION("""COMPUTED_VALUE"""),"FALSE")</f>
        <v>FALSE</v>
      </c>
      <c r="AZ2447" s="9"/>
      <c r="BC2447" s="9"/>
      <c r="BF2447" s="9"/>
      <c r="BI2447" s="9"/>
    </row>
    <row r="2448" spans="18:61">
      <c r="R2448" s="6"/>
      <c r="AS2448" s="15"/>
      <c r="AT2448" s="6" t="str">
        <f ca="1">IFERROR(__xludf.DUMMYFUNCTION("""COMPUTED_VALUE"""),"#N/A")</f>
        <v>#N/A</v>
      </c>
      <c r="AU2448" s="6" t="str">
        <f ca="1">IFERROR(__xludf.DUMMYFUNCTION("""COMPUTED_VALUE"""),"FALSE")</f>
        <v>FALSE</v>
      </c>
      <c r="AZ2448" s="9"/>
      <c r="BC2448" s="9"/>
      <c r="BF2448" s="9"/>
      <c r="BI2448" s="9"/>
    </row>
    <row r="2449" spans="18:61">
      <c r="R2449" s="6"/>
      <c r="AS2449" s="15"/>
      <c r="AT2449" s="6" t="str">
        <f ca="1">IFERROR(__xludf.DUMMYFUNCTION("""COMPUTED_VALUE"""),"#N/A")</f>
        <v>#N/A</v>
      </c>
      <c r="AU2449" s="6" t="str">
        <f ca="1">IFERROR(__xludf.DUMMYFUNCTION("""COMPUTED_VALUE"""),"FALSE")</f>
        <v>FALSE</v>
      </c>
      <c r="AZ2449" s="9"/>
      <c r="BC2449" s="9"/>
      <c r="BF2449" s="9"/>
      <c r="BI2449" s="9"/>
    </row>
    <row r="2450" spans="18:61">
      <c r="R2450" s="6"/>
      <c r="AS2450" s="15"/>
      <c r="AT2450" s="6" t="str">
        <f ca="1">IFERROR(__xludf.DUMMYFUNCTION("""COMPUTED_VALUE"""),"#N/A")</f>
        <v>#N/A</v>
      </c>
      <c r="AU2450" s="6" t="str">
        <f ca="1">IFERROR(__xludf.DUMMYFUNCTION("""COMPUTED_VALUE"""),"FALSE")</f>
        <v>FALSE</v>
      </c>
      <c r="AZ2450" s="9"/>
      <c r="BC2450" s="9"/>
      <c r="BF2450" s="9"/>
      <c r="BI2450" s="9"/>
    </row>
    <row r="2451" spans="18:61">
      <c r="R2451" s="6"/>
      <c r="AS2451" s="15"/>
      <c r="AT2451" s="6" t="str">
        <f ca="1">IFERROR(__xludf.DUMMYFUNCTION("""COMPUTED_VALUE"""),"#N/A")</f>
        <v>#N/A</v>
      </c>
      <c r="AU2451" s="6" t="str">
        <f ca="1">IFERROR(__xludf.DUMMYFUNCTION("""COMPUTED_VALUE"""),"FALSE")</f>
        <v>FALSE</v>
      </c>
      <c r="AZ2451" s="9"/>
      <c r="BC2451" s="9"/>
      <c r="BF2451" s="9"/>
      <c r="BI2451" s="9"/>
    </row>
    <row r="2452" spans="18:61">
      <c r="R2452" s="6"/>
      <c r="AS2452" s="15"/>
      <c r="AT2452" s="6" t="str">
        <f ca="1">IFERROR(__xludf.DUMMYFUNCTION("""COMPUTED_VALUE"""),"#N/A")</f>
        <v>#N/A</v>
      </c>
      <c r="AU2452" s="6" t="str">
        <f ca="1">IFERROR(__xludf.DUMMYFUNCTION("""COMPUTED_VALUE"""),"FALSE")</f>
        <v>FALSE</v>
      </c>
      <c r="AZ2452" s="9"/>
      <c r="BC2452" s="9"/>
      <c r="BF2452" s="9"/>
      <c r="BI2452" s="9"/>
    </row>
    <row r="2453" spans="18:61">
      <c r="R2453" s="6"/>
      <c r="AS2453" s="15"/>
      <c r="AT2453" s="6" t="str">
        <f ca="1">IFERROR(__xludf.DUMMYFUNCTION("""COMPUTED_VALUE"""),"#N/A")</f>
        <v>#N/A</v>
      </c>
      <c r="AU2453" s="6" t="str">
        <f ca="1">IFERROR(__xludf.DUMMYFUNCTION("""COMPUTED_VALUE"""),"FALSE")</f>
        <v>FALSE</v>
      </c>
      <c r="AZ2453" s="9"/>
      <c r="BC2453" s="9"/>
      <c r="BF2453" s="9"/>
      <c r="BI2453" s="9"/>
    </row>
    <row r="2454" spans="18:61">
      <c r="R2454" s="6"/>
      <c r="AS2454" s="15"/>
      <c r="AT2454" s="6" t="str">
        <f ca="1">IFERROR(__xludf.DUMMYFUNCTION("""COMPUTED_VALUE"""),"#N/A")</f>
        <v>#N/A</v>
      </c>
      <c r="AU2454" s="6" t="str">
        <f ca="1">IFERROR(__xludf.DUMMYFUNCTION("""COMPUTED_VALUE"""),"FALSE")</f>
        <v>FALSE</v>
      </c>
      <c r="AZ2454" s="9"/>
      <c r="BC2454" s="9"/>
      <c r="BF2454" s="9"/>
      <c r="BI2454" s="9"/>
    </row>
    <row r="2455" spans="18:61">
      <c r="R2455" s="6"/>
      <c r="AS2455" s="15"/>
      <c r="AT2455" s="6" t="str">
        <f ca="1">IFERROR(__xludf.DUMMYFUNCTION("""COMPUTED_VALUE"""),"#N/A")</f>
        <v>#N/A</v>
      </c>
      <c r="AU2455" s="6" t="str">
        <f ca="1">IFERROR(__xludf.DUMMYFUNCTION("""COMPUTED_VALUE"""),"FALSE")</f>
        <v>FALSE</v>
      </c>
      <c r="AZ2455" s="9"/>
      <c r="BC2455" s="9"/>
      <c r="BF2455" s="9"/>
      <c r="BI2455" s="9"/>
    </row>
    <row r="2456" spans="18:61">
      <c r="R2456" s="6"/>
      <c r="AS2456" s="15"/>
      <c r="AT2456" s="6" t="str">
        <f ca="1">IFERROR(__xludf.DUMMYFUNCTION("""COMPUTED_VALUE"""),"#N/A")</f>
        <v>#N/A</v>
      </c>
      <c r="AU2456" s="6" t="str">
        <f ca="1">IFERROR(__xludf.DUMMYFUNCTION("""COMPUTED_VALUE"""),"FALSE")</f>
        <v>FALSE</v>
      </c>
      <c r="AZ2456" s="9"/>
      <c r="BC2456" s="9"/>
      <c r="BF2456" s="9"/>
      <c r="BI2456" s="9"/>
    </row>
    <row r="2457" spans="18:61">
      <c r="R2457" s="6"/>
      <c r="AS2457" s="15"/>
      <c r="AT2457" s="6" t="str">
        <f ca="1">IFERROR(__xludf.DUMMYFUNCTION("""COMPUTED_VALUE"""),"#N/A")</f>
        <v>#N/A</v>
      </c>
      <c r="AU2457" s="6" t="str">
        <f ca="1">IFERROR(__xludf.DUMMYFUNCTION("""COMPUTED_VALUE"""),"FALSE")</f>
        <v>FALSE</v>
      </c>
      <c r="AZ2457" s="9"/>
      <c r="BC2457" s="9"/>
      <c r="BF2457" s="9"/>
      <c r="BI2457" s="9"/>
    </row>
    <row r="2458" spans="18:61">
      <c r="R2458" s="6"/>
      <c r="AS2458" s="15"/>
      <c r="AT2458" s="6" t="str">
        <f ca="1">IFERROR(__xludf.DUMMYFUNCTION("""COMPUTED_VALUE"""),"#N/A")</f>
        <v>#N/A</v>
      </c>
      <c r="AU2458" s="6" t="str">
        <f ca="1">IFERROR(__xludf.DUMMYFUNCTION("""COMPUTED_VALUE"""),"FALSE")</f>
        <v>FALSE</v>
      </c>
      <c r="AZ2458" s="9"/>
      <c r="BC2458" s="9"/>
      <c r="BF2458" s="9"/>
      <c r="BI2458" s="9"/>
    </row>
    <row r="2459" spans="18:61">
      <c r="R2459" s="6"/>
      <c r="AS2459" s="15"/>
      <c r="AT2459" s="6" t="str">
        <f ca="1">IFERROR(__xludf.DUMMYFUNCTION("""COMPUTED_VALUE"""),"#N/A")</f>
        <v>#N/A</v>
      </c>
      <c r="AU2459" s="6" t="str">
        <f ca="1">IFERROR(__xludf.DUMMYFUNCTION("""COMPUTED_VALUE"""),"FALSE")</f>
        <v>FALSE</v>
      </c>
      <c r="AZ2459" s="9"/>
      <c r="BC2459" s="9"/>
      <c r="BF2459" s="9"/>
      <c r="BI2459" s="9"/>
    </row>
    <row r="2460" spans="18:61">
      <c r="R2460" s="6"/>
      <c r="AS2460" s="15"/>
      <c r="AT2460" s="6" t="str">
        <f ca="1">IFERROR(__xludf.DUMMYFUNCTION("""COMPUTED_VALUE"""),"#N/A")</f>
        <v>#N/A</v>
      </c>
      <c r="AU2460" s="6" t="str">
        <f ca="1">IFERROR(__xludf.DUMMYFUNCTION("""COMPUTED_VALUE"""),"FALSE")</f>
        <v>FALSE</v>
      </c>
      <c r="AZ2460" s="9"/>
      <c r="BC2460" s="9"/>
      <c r="BF2460" s="9"/>
      <c r="BI2460" s="9"/>
    </row>
    <row r="2461" spans="18:61">
      <c r="R2461" s="6"/>
      <c r="AS2461" s="15"/>
      <c r="AT2461" s="6" t="str">
        <f ca="1">IFERROR(__xludf.DUMMYFUNCTION("""COMPUTED_VALUE"""),"#N/A")</f>
        <v>#N/A</v>
      </c>
      <c r="AU2461" s="6" t="str">
        <f ca="1">IFERROR(__xludf.DUMMYFUNCTION("""COMPUTED_VALUE"""),"FALSE")</f>
        <v>FALSE</v>
      </c>
      <c r="AZ2461" s="9"/>
      <c r="BC2461" s="9"/>
      <c r="BF2461" s="9"/>
      <c r="BI2461" s="9"/>
    </row>
    <row r="2462" spans="18:61">
      <c r="R2462" s="6"/>
      <c r="AS2462" s="15"/>
      <c r="AT2462" s="6" t="str">
        <f ca="1">IFERROR(__xludf.DUMMYFUNCTION("""COMPUTED_VALUE"""),"#N/A")</f>
        <v>#N/A</v>
      </c>
      <c r="AU2462" s="6" t="str">
        <f ca="1">IFERROR(__xludf.DUMMYFUNCTION("""COMPUTED_VALUE"""),"FALSE")</f>
        <v>FALSE</v>
      </c>
      <c r="AZ2462" s="9"/>
      <c r="BC2462" s="9"/>
      <c r="BF2462" s="9"/>
      <c r="BI2462" s="9"/>
    </row>
    <row r="2463" spans="18:61">
      <c r="R2463" s="6"/>
      <c r="AS2463" s="15"/>
      <c r="AT2463" s="6" t="str">
        <f ca="1">IFERROR(__xludf.DUMMYFUNCTION("""COMPUTED_VALUE"""),"#N/A")</f>
        <v>#N/A</v>
      </c>
      <c r="AU2463" s="6" t="str">
        <f ca="1">IFERROR(__xludf.DUMMYFUNCTION("""COMPUTED_VALUE"""),"FALSE")</f>
        <v>FALSE</v>
      </c>
      <c r="AZ2463" s="9"/>
      <c r="BC2463" s="9"/>
      <c r="BF2463" s="9"/>
      <c r="BI2463" s="9"/>
    </row>
    <row r="2464" spans="18:61">
      <c r="R2464" s="6"/>
      <c r="AS2464" s="15"/>
      <c r="AT2464" s="6" t="str">
        <f ca="1">IFERROR(__xludf.DUMMYFUNCTION("""COMPUTED_VALUE"""),"#N/A")</f>
        <v>#N/A</v>
      </c>
      <c r="AU2464" s="6" t="str">
        <f ca="1">IFERROR(__xludf.DUMMYFUNCTION("""COMPUTED_VALUE"""),"FALSE")</f>
        <v>FALSE</v>
      </c>
      <c r="AZ2464" s="9"/>
      <c r="BC2464" s="9"/>
      <c r="BF2464" s="9"/>
      <c r="BI2464" s="9"/>
    </row>
    <row r="2465" spans="18:61">
      <c r="R2465" s="6"/>
      <c r="AS2465" s="15"/>
      <c r="AT2465" s="6" t="str">
        <f ca="1">IFERROR(__xludf.DUMMYFUNCTION("""COMPUTED_VALUE"""),"#N/A")</f>
        <v>#N/A</v>
      </c>
      <c r="AU2465" s="6" t="str">
        <f ca="1">IFERROR(__xludf.DUMMYFUNCTION("""COMPUTED_VALUE"""),"FALSE")</f>
        <v>FALSE</v>
      </c>
      <c r="AZ2465" s="9"/>
      <c r="BC2465" s="9"/>
      <c r="BF2465" s="9"/>
      <c r="BI2465" s="9"/>
    </row>
    <row r="2466" spans="18:61">
      <c r="R2466" s="6"/>
      <c r="AS2466" s="15"/>
      <c r="AT2466" s="6" t="str">
        <f ca="1">IFERROR(__xludf.DUMMYFUNCTION("""COMPUTED_VALUE"""),"#N/A")</f>
        <v>#N/A</v>
      </c>
      <c r="AU2466" s="6" t="str">
        <f ca="1">IFERROR(__xludf.DUMMYFUNCTION("""COMPUTED_VALUE"""),"FALSE")</f>
        <v>FALSE</v>
      </c>
      <c r="AZ2466" s="9"/>
      <c r="BC2466" s="9"/>
      <c r="BF2466" s="9"/>
      <c r="BI2466" s="9"/>
    </row>
    <row r="2467" spans="18:61">
      <c r="R2467" s="6"/>
      <c r="AS2467" s="15"/>
      <c r="AT2467" s="6" t="str">
        <f ca="1">IFERROR(__xludf.DUMMYFUNCTION("""COMPUTED_VALUE"""),"#N/A")</f>
        <v>#N/A</v>
      </c>
      <c r="AU2467" s="6" t="str">
        <f ca="1">IFERROR(__xludf.DUMMYFUNCTION("""COMPUTED_VALUE"""),"FALSE")</f>
        <v>FALSE</v>
      </c>
      <c r="AZ2467" s="9"/>
      <c r="BC2467" s="9"/>
      <c r="BF2467" s="9"/>
      <c r="BI2467" s="9"/>
    </row>
    <row r="2468" spans="18:61">
      <c r="R2468" s="6"/>
      <c r="AS2468" s="15"/>
      <c r="AT2468" s="6" t="str">
        <f ca="1">IFERROR(__xludf.DUMMYFUNCTION("""COMPUTED_VALUE"""),"#N/A")</f>
        <v>#N/A</v>
      </c>
      <c r="AU2468" s="6" t="str">
        <f ca="1">IFERROR(__xludf.DUMMYFUNCTION("""COMPUTED_VALUE"""),"FALSE")</f>
        <v>FALSE</v>
      </c>
      <c r="AZ2468" s="9"/>
      <c r="BC2468" s="9"/>
      <c r="BF2468" s="9"/>
      <c r="BI2468" s="9"/>
    </row>
    <row r="2469" spans="18:61">
      <c r="R2469" s="6"/>
      <c r="AS2469" s="15"/>
      <c r="AT2469" s="6" t="str">
        <f ca="1">IFERROR(__xludf.DUMMYFUNCTION("""COMPUTED_VALUE"""),"#N/A")</f>
        <v>#N/A</v>
      </c>
      <c r="AU2469" s="6" t="str">
        <f ca="1">IFERROR(__xludf.DUMMYFUNCTION("""COMPUTED_VALUE"""),"FALSE")</f>
        <v>FALSE</v>
      </c>
      <c r="AZ2469" s="9"/>
      <c r="BC2469" s="9"/>
      <c r="BF2469" s="9"/>
      <c r="BI2469" s="9"/>
    </row>
    <row r="2470" spans="18:61">
      <c r="R2470" s="6"/>
      <c r="AS2470" s="15"/>
      <c r="AT2470" s="6" t="str">
        <f ca="1">IFERROR(__xludf.DUMMYFUNCTION("""COMPUTED_VALUE"""),"#N/A")</f>
        <v>#N/A</v>
      </c>
      <c r="AU2470" s="6" t="str">
        <f ca="1">IFERROR(__xludf.DUMMYFUNCTION("""COMPUTED_VALUE"""),"FALSE")</f>
        <v>FALSE</v>
      </c>
      <c r="AZ2470" s="9"/>
      <c r="BC2470" s="9"/>
      <c r="BF2470" s="9"/>
      <c r="BI2470" s="9"/>
    </row>
    <row r="2471" spans="18:61">
      <c r="R2471" s="6"/>
      <c r="AS2471" s="15"/>
      <c r="AT2471" s="6" t="str">
        <f ca="1">IFERROR(__xludf.DUMMYFUNCTION("""COMPUTED_VALUE"""),"#N/A")</f>
        <v>#N/A</v>
      </c>
      <c r="AU2471" s="6" t="str">
        <f ca="1">IFERROR(__xludf.DUMMYFUNCTION("""COMPUTED_VALUE"""),"FALSE")</f>
        <v>FALSE</v>
      </c>
      <c r="AZ2471" s="9"/>
      <c r="BC2471" s="9"/>
      <c r="BF2471" s="9"/>
      <c r="BI2471" s="9"/>
    </row>
    <row r="2472" spans="18:61">
      <c r="R2472" s="6"/>
      <c r="AS2472" s="15"/>
      <c r="AT2472" s="6" t="str">
        <f ca="1">IFERROR(__xludf.DUMMYFUNCTION("""COMPUTED_VALUE"""),"#N/A")</f>
        <v>#N/A</v>
      </c>
      <c r="AU2472" s="6" t="str">
        <f ca="1">IFERROR(__xludf.DUMMYFUNCTION("""COMPUTED_VALUE"""),"FALSE")</f>
        <v>FALSE</v>
      </c>
      <c r="AZ2472" s="9"/>
      <c r="BC2472" s="9"/>
      <c r="BF2472" s="9"/>
      <c r="BI2472" s="9"/>
    </row>
    <row r="2473" spans="18:61">
      <c r="R2473" s="6"/>
      <c r="AS2473" s="15"/>
      <c r="AT2473" s="6" t="str">
        <f ca="1">IFERROR(__xludf.DUMMYFUNCTION("""COMPUTED_VALUE"""),"#N/A")</f>
        <v>#N/A</v>
      </c>
      <c r="AU2473" s="6" t="str">
        <f ca="1">IFERROR(__xludf.DUMMYFUNCTION("""COMPUTED_VALUE"""),"FALSE")</f>
        <v>FALSE</v>
      </c>
      <c r="AZ2473" s="9"/>
      <c r="BC2473" s="9"/>
      <c r="BF2473" s="9"/>
      <c r="BI2473" s="9"/>
    </row>
    <row r="2474" spans="18:61">
      <c r="R2474" s="6"/>
      <c r="AS2474" s="15"/>
      <c r="AT2474" s="6" t="str">
        <f ca="1">IFERROR(__xludf.DUMMYFUNCTION("""COMPUTED_VALUE"""),"#N/A")</f>
        <v>#N/A</v>
      </c>
      <c r="AU2474" s="6" t="str">
        <f ca="1">IFERROR(__xludf.DUMMYFUNCTION("""COMPUTED_VALUE"""),"FALSE")</f>
        <v>FALSE</v>
      </c>
      <c r="AZ2474" s="9"/>
      <c r="BC2474" s="9"/>
      <c r="BF2474" s="9"/>
      <c r="BI2474" s="9"/>
    </row>
    <row r="2475" spans="18:61">
      <c r="R2475" s="6"/>
      <c r="AS2475" s="15"/>
      <c r="AT2475" s="6" t="str">
        <f ca="1">IFERROR(__xludf.DUMMYFUNCTION("""COMPUTED_VALUE"""),"#N/A")</f>
        <v>#N/A</v>
      </c>
      <c r="AU2475" s="6" t="str">
        <f ca="1">IFERROR(__xludf.DUMMYFUNCTION("""COMPUTED_VALUE"""),"FALSE")</f>
        <v>FALSE</v>
      </c>
      <c r="AZ2475" s="9"/>
      <c r="BC2475" s="9"/>
      <c r="BF2475" s="9"/>
      <c r="BI2475" s="9"/>
    </row>
    <row r="2476" spans="18:61">
      <c r="R2476" s="6"/>
      <c r="AS2476" s="15"/>
      <c r="AT2476" s="6" t="str">
        <f ca="1">IFERROR(__xludf.DUMMYFUNCTION("""COMPUTED_VALUE"""),"#N/A")</f>
        <v>#N/A</v>
      </c>
      <c r="AU2476" s="6" t="str">
        <f ca="1">IFERROR(__xludf.DUMMYFUNCTION("""COMPUTED_VALUE"""),"FALSE")</f>
        <v>FALSE</v>
      </c>
      <c r="AZ2476" s="9"/>
      <c r="BC2476" s="9"/>
      <c r="BF2476" s="9"/>
      <c r="BI2476" s="9"/>
    </row>
    <row r="2477" spans="18:61">
      <c r="R2477" s="6"/>
      <c r="AS2477" s="15"/>
      <c r="AT2477" s="6" t="str">
        <f ca="1">IFERROR(__xludf.DUMMYFUNCTION("""COMPUTED_VALUE"""),"#N/A")</f>
        <v>#N/A</v>
      </c>
      <c r="AU2477" s="6" t="str">
        <f ca="1">IFERROR(__xludf.DUMMYFUNCTION("""COMPUTED_VALUE"""),"FALSE")</f>
        <v>FALSE</v>
      </c>
      <c r="AZ2477" s="9"/>
      <c r="BC2477" s="9"/>
      <c r="BF2477" s="9"/>
      <c r="BI2477" s="9"/>
    </row>
    <row r="2478" spans="18:61">
      <c r="R2478" s="6"/>
      <c r="AS2478" s="15"/>
      <c r="AT2478" s="6" t="str">
        <f ca="1">IFERROR(__xludf.DUMMYFUNCTION("""COMPUTED_VALUE"""),"#N/A")</f>
        <v>#N/A</v>
      </c>
      <c r="AU2478" s="6" t="str">
        <f ca="1">IFERROR(__xludf.DUMMYFUNCTION("""COMPUTED_VALUE"""),"FALSE")</f>
        <v>FALSE</v>
      </c>
      <c r="AZ2478" s="9"/>
      <c r="BC2478" s="9"/>
      <c r="BF2478" s="9"/>
      <c r="BI2478" s="9"/>
    </row>
    <row r="2479" spans="18:61">
      <c r="R2479" s="6"/>
      <c r="AS2479" s="15"/>
      <c r="AT2479" s="6" t="str">
        <f ca="1">IFERROR(__xludf.DUMMYFUNCTION("""COMPUTED_VALUE"""),"#N/A")</f>
        <v>#N/A</v>
      </c>
      <c r="AU2479" s="6" t="str">
        <f ca="1">IFERROR(__xludf.DUMMYFUNCTION("""COMPUTED_VALUE"""),"FALSE")</f>
        <v>FALSE</v>
      </c>
      <c r="AZ2479" s="9"/>
      <c r="BC2479" s="9"/>
      <c r="BF2479" s="9"/>
      <c r="BI2479" s="9"/>
    </row>
    <row r="2480" spans="18:61">
      <c r="R2480" s="6"/>
      <c r="AS2480" s="15"/>
      <c r="AT2480" s="6" t="str">
        <f ca="1">IFERROR(__xludf.DUMMYFUNCTION("""COMPUTED_VALUE"""),"#N/A")</f>
        <v>#N/A</v>
      </c>
      <c r="AU2480" s="6" t="str">
        <f ca="1">IFERROR(__xludf.DUMMYFUNCTION("""COMPUTED_VALUE"""),"FALSE")</f>
        <v>FALSE</v>
      </c>
      <c r="AZ2480" s="9"/>
      <c r="BC2480" s="9"/>
      <c r="BF2480" s="9"/>
      <c r="BI2480" s="9"/>
    </row>
    <row r="2481" spans="18:61">
      <c r="R2481" s="6"/>
      <c r="AS2481" s="15"/>
      <c r="AT2481" s="6" t="str">
        <f ca="1">IFERROR(__xludf.DUMMYFUNCTION("""COMPUTED_VALUE"""),"#N/A")</f>
        <v>#N/A</v>
      </c>
      <c r="AU2481" s="6" t="str">
        <f ca="1">IFERROR(__xludf.DUMMYFUNCTION("""COMPUTED_VALUE"""),"FALSE")</f>
        <v>FALSE</v>
      </c>
      <c r="AZ2481" s="9"/>
      <c r="BC2481" s="9"/>
      <c r="BF2481" s="9"/>
      <c r="BI2481" s="9"/>
    </row>
    <row r="2482" spans="18:61">
      <c r="R2482" s="6"/>
      <c r="AS2482" s="15"/>
      <c r="AT2482" s="6" t="str">
        <f ca="1">IFERROR(__xludf.DUMMYFUNCTION("""COMPUTED_VALUE"""),"#N/A")</f>
        <v>#N/A</v>
      </c>
      <c r="AU2482" s="6" t="str">
        <f ca="1">IFERROR(__xludf.DUMMYFUNCTION("""COMPUTED_VALUE"""),"FALSE")</f>
        <v>FALSE</v>
      </c>
      <c r="AZ2482" s="9"/>
      <c r="BC2482" s="9"/>
      <c r="BF2482" s="9"/>
      <c r="BI2482" s="9"/>
    </row>
    <row r="2483" spans="18:61">
      <c r="R2483" s="6"/>
      <c r="AS2483" s="15"/>
      <c r="AT2483" s="6" t="str">
        <f ca="1">IFERROR(__xludf.DUMMYFUNCTION("""COMPUTED_VALUE"""),"#N/A")</f>
        <v>#N/A</v>
      </c>
      <c r="AU2483" s="6" t="str">
        <f ca="1">IFERROR(__xludf.DUMMYFUNCTION("""COMPUTED_VALUE"""),"FALSE")</f>
        <v>FALSE</v>
      </c>
      <c r="AZ2483" s="9"/>
      <c r="BC2483" s="9"/>
      <c r="BF2483" s="9"/>
      <c r="BI2483" s="9"/>
    </row>
    <row r="2484" spans="18:61">
      <c r="R2484" s="6"/>
      <c r="AS2484" s="15"/>
      <c r="AT2484" s="6" t="str">
        <f ca="1">IFERROR(__xludf.DUMMYFUNCTION("""COMPUTED_VALUE"""),"#N/A")</f>
        <v>#N/A</v>
      </c>
      <c r="AU2484" s="6" t="str">
        <f ca="1">IFERROR(__xludf.DUMMYFUNCTION("""COMPUTED_VALUE"""),"FALSE")</f>
        <v>FALSE</v>
      </c>
      <c r="AZ2484" s="9"/>
      <c r="BC2484" s="9"/>
      <c r="BF2484" s="9"/>
      <c r="BI2484" s="9"/>
    </row>
    <row r="2485" spans="18:61">
      <c r="R2485" s="6"/>
      <c r="AS2485" s="15"/>
      <c r="AT2485" s="6" t="str">
        <f ca="1">IFERROR(__xludf.DUMMYFUNCTION("""COMPUTED_VALUE"""),"#N/A")</f>
        <v>#N/A</v>
      </c>
      <c r="AU2485" s="6" t="str">
        <f ca="1">IFERROR(__xludf.DUMMYFUNCTION("""COMPUTED_VALUE"""),"FALSE")</f>
        <v>FALSE</v>
      </c>
      <c r="AZ2485" s="9"/>
      <c r="BC2485" s="9"/>
      <c r="BF2485" s="9"/>
      <c r="BI2485" s="9"/>
    </row>
    <row r="2486" spans="18:61">
      <c r="R2486" s="6"/>
      <c r="AS2486" s="15"/>
      <c r="AT2486" s="6" t="str">
        <f ca="1">IFERROR(__xludf.DUMMYFUNCTION("""COMPUTED_VALUE"""),"#N/A")</f>
        <v>#N/A</v>
      </c>
      <c r="AU2486" s="6" t="str">
        <f ca="1">IFERROR(__xludf.DUMMYFUNCTION("""COMPUTED_VALUE"""),"FALSE")</f>
        <v>FALSE</v>
      </c>
      <c r="AZ2486" s="9"/>
      <c r="BC2486" s="9"/>
      <c r="BF2486" s="9"/>
      <c r="BI2486" s="9"/>
    </row>
    <row r="2487" spans="18:61">
      <c r="R2487" s="6"/>
      <c r="AS2487" s="15"/>
      <c r="AT2487" s="6" t="str">
        <f ca="1">IFERROR(__xludf.DUMMYFUNCTION("""COMPUTED_VALUE"""),"#N/A")</f>
        <v>#N/A</v>
      </c>
      <c r="AU2487" s="6" t="str">
        <f ca="1">IFERROR(__xludf.DUMMYFUNCTION("""COMPUTED_VALUE"""),"FALSE")</f>
        <v>FALSE</v>
      </c>
      <c r="AZ2487" s="9"/>
      <c r="BC2487" s="9"/>
      <c r="BF2487" s="9"/>
      <c r="BI2487" s="9"/>
    </row>
    <row r="2488" spans="18:61">
      <c r="R2488" s="6"/>
      <c r="AS2488" s="15"/>
      <c r="AT2488" s="6" t="str">
        <f ca="1">IFERROR(__xludf.DUMMYFUNCTION("""COMPUTED_VALUE"""),"#N/A")</f>
        <v>#N/A</v>
      </c>
      <c r="AU2488" s="6" t="str">
        <f ca="1">IFERROR(__xludf.DUMMYFUNCTION("""COMPUTED_VALUE"""),"FALSE")</f>
        <v>FALSE</v>
      </c>
      <c r="AZ2488" s="9"/>
      <c r="BC2488" s="9"/>
      <c r="BF2488" s="9"/>
      <c r="BI2488" s="9"/>
    </row>
    <row r="2489" spans="18:61">
      <c r="R2489" s="6"/>
      <c r="AS2489" s="15"/>
      <c r="AT2489" s="6" t="str">
        <f ca="1">IFERROR(__xludf.DUMMYFUNCTION("""COMPUTED_VALUE"""),"#N/A")</f>
        <v>#N/A</v>
      </c>
      <c r="AU2489" s="6" t="str">
        <f ca="1">IFERROR(__xludf.DUMMYFUNCTION("""COMPUTED_VALUE"""),"FALSE")</f>
        <v>FALSE</v>
      </c>
      <c r="AZ2489" s="9"/>
      <c r="BC2489" s="9"/>
      <c r="BF2489" s="9"/>
      <c r="BI2489" s="9"/>
    </row>
    <row r="2490" spans="18:61">
      <c r="R2490" s="6"/>
      <c r="AS2490" s="15"/>
      <c r="AT2490" s="6" t="str">
        <f ca="1">IFERROR(__xludf.DUMMYFUNCTION("""COMPUTED_VALUE"""),"#N/A")</f>
        <v>#N/A</v>
      </c>
      <c r="AU2490" s="6" t="str">
        <f ca="1">IFERROR(__xludf.DUMMYFUNCTION("""COMPUTED_VALUE"""),"FALSE")</f>
        <v>FALSE</v>
      </c>
      <c r="AZ2490" s="9"/>
      <c r="BC2490" s="9"/>
      <c r="BF2490" s="9"/>
      <c r="BI2490" s="9"/>
    </row>
    <row r="2491" spans="18:61">
      <c r="R2491" s="6"/>
      <c r="AS2491" s="15"/>
      <c r="AT2491" s="6" t="str">
        <f ca="1">IFERROR(__xludf.DUMMYFUNCTION("""COMPUTED_VALUE"""),"#N/A")</f>
        <v>#N/A</v>
      </c>
      <c r="AU2491" s="6" t="str">
        <f ca="1">IFERROR(__xludf.DUMMYFUNCTION("""COMPUTED_VALUE"""),"FALSE")</f>
        <v>FALSE</v>
      </c>
      <c r="AZ2491" s="9"/>
      <c r="BC2491" s="9"/>
      <c r="BF2491" s="9"/>
      <c r="BI2491" s="9"/>
    </row>
    <row r="2492" spans="18:61">
      <c r="R2492" s="6"/>
      <c r="AS2492" s="15"/>
      <c r="AT2492" s="6" t="str">
        <f ca="1">IFERROR(__xludf.DUMMYFUNCTION("""COMPUTED_VALUE"""),"#N/A")</f>
        <v>#N/A</v>
      </c>
      <c r="AU2492" s="6" t="str">
        <f ca="1">IFERROR(__xludf.DUMMYFUNCTION("""COMPUTED_VALUE"""),"FALSE")</f>
        <v>FALSE</v>
      </c>
      <c r="AZ2492" s="9"/>
      <c r="BC2492" s="9"/>
      <c r="BF2492" s="9"/>
      <c r="BI2492" s="9"/>
    </row>
    <row r="2493" spans="18:61">
      <c r="R2493" s="6"/>
      <c r="AS2493" s="15"/>
      <c r="AT2493" s="6" t="str">
        <f ca="1">IFERROR(__xludf.DUMMYFUNCTION("""COMPUTED_VALUE"""),"#N/A")</f>
        <v>#N/A</v>
      </c>
      <c r="AU2493" s="6" t="str">
        <f ca="1">IFERROR(__xludf.DUMMYFUNCTION("""COMPUTED_VALUE"""),"FALSE")</f>
        <v>FALSE</v>
      </c>
      <c r="AZ2493" s="9"/>
      <c r="BC2493" s="9"/>
      <c r="BF2493" s="9"/>
      <c r="BI2493" s="9"/>
    </row>
    <row r="2494" spans="18:61">
      <c r="R2494" s="6"/>
      <c r="AS2494" s="15"/>
      <c r="AT2494" s="6" t="str">
        <f ca="1">IFERROR(__xludf.DUMMYFUNCTION("""COMPUTED_VALUE"""),"#N/A")</f>
        <v>#N/A</v>
      </c>
      <c r="AU2494" s="6" t="str">
        <f ca="1">IFERROR(__xludf.DUMMYFUNCTION("""COMPUTED_VALUE"""),"FALSE")</f>
        <v>FALSE</v>
      </c>
      <c r="AZ2494" s="9"/>
      <c r="BC2494" s="9"/>
      <c r="BF2494" s="9"/>
      <c r="BI2494" s="9"/>
    </row>
    <row r="2495" spans="18:61">
      <c r="R2495" s="6"/>
      <c r="AS2495" s="15"/>
      <c r="AT2495" s="6" t="str">
        <f ca="1">IFERROR(__xludf.DUMMYFUNCTION("""COMPUTED_VALUE"""),"#N/A")</f>
        <v>#N/A</v>
      </c>
      <c r="AU2495" s="6" t="str">
        <f ca="1">IFERROR(__xludf.DUMMYFUNCTION("""COMPUTED_VALUE"""),"FALSE")</f>
        <v>FALSE</v>
      </c>
      <c r="AZ2495" s="9"/>
      <c r="BC2495" s="9"/>
      <c r="BF2495" s="9"/>
      <c r="BI2495" s="9"/>
    </row>
    <row r="2496" spans="18:61">
      <c r="R2496" s="6"/>
      <c r="AS2496" s="15"/>
      <c r="AT2496" s="6" t="str">
        <f ca="1">IFERROR(__xludf.DUMMYFUNCTION("""COMPUTED_VALUE"""),"#N/A")</f>
        <v>#N/A</v>
      </c>
      <c r="AU2496" s="6" t="str">
        <f ca="1">IFERROR(__xludf.DUMMYFUNCTION("""COMPUTED_VALUE"""),"FALSE")</f>
        <v>FALSE</v>
      </c>
      <c r="AZ2496" s="9"/>
      <c r="BC2496" s="9"/>
      <c r="BF2496" s="9"/>
      <c r="BI2496" s="9"/>
    </row>
    <row r="2497" spans="18:61">
      <c r="R2497" s="6"/>
      <c r="AS2497" s="15"/>
      <c r="AT2497" s="6" t="str">
        <f ca="1">IFERROR(__xludf.DUMMYFUNCTION("""COMPUTED_VALUE"""),"#N/A")</f>
        <v>#N/A</v>
      </c>
      <c r="AU2497" s="6" t="str">
        <f ca="1">IFERROR(__xludf.DUMMYFUNCTION("""COMPUTED_VALUE"""),"FALSE")</f>
        <v>FALSE</v>
      </c>
      <c r="AZ2497" s="9"/>
      <c r="BC2497" s="9"/>
      <c r="BF2497" s="9"/>
      <c r="BI2497" s="9"/>
    </row>
    <row r="2498" spans="18:61">
      <c r="R2498" s="6"/>
      <c r="AS2498" s="15"/>
      <c r="AT2498" s="6" t="str">
        <f ca="1">IFERROR(__xludf.DUMMYFUNCTION("""COMPUTED_VALUE"""),"#N/A")</f>
        <v>#N/A</v>
      </c>
      <c r="AU2498" s="6" t="str">
        <f ca="1">IFERROR(__xludf.DUMMYFUNCTION("""COMPUTED_VALUE"""),"FALSE")</f>
        <v>FALSE</v>
      </c>
      <c r="AZ2498" s="9"/>
      <c r="BC2498" s="9"/>
      <c r="BF2498" s="9"/>
      <c r="BI2498" s="9"/>
    </row>
    <row r="2499" spans="18:61">
      <c r="R2499" s="6"/>
      <c r="AS2499" s="15"/>
      <c r="AT2499" s="6" t="str">
        <f ca="1">IFERROR(__xludf.DUMMYFUNCTION("""COMPUTED_VALUE"""),"#N/A")</f>
        <v>#N/A</v>
      </c>
      <c r="AU2499" s="6" t="str">
        <f ca="1">IFERROR(__xludf.DUMMYFUNCTION("""COMPUTED_VALUE"""),"FALSE")</f>
        <v>FALSE</v>
      </c>
      <c r="AZ2499" s="9"/>
      <c r="BC2499" s="9"/>
      <c r="BF2499" s="9"/>
      <c r="BI2499" s="9"/>
    </row>
    <row r="2500" spans="18:61">
      <c r="R2500" s="6"/>
      <c r="AS2500" s="15"/>
      <c r="AT2500" s="6" t="str">
        <f ca="1">IFERROR(__xludf.DUMMYFUNCTION("""COMPUTED_VALUE"""),"#N/A")</f>
        <v>#N/A</v>
      </c>
      <c r="AU2500" s="6" t="str">
        <f ca="1">IFERROR(__xludf.DUMMYFUNCTION("""COMPUTED_VALUE"""),"FALSE")</f>
        <v>FALSE</v>
      </c>
      <c r="AZ2500" s="9"/>
      <c r="BC2500" s="9"/>
      <c r="BF2500" s="9"/>
      <c r="BI2500" s="9"/>
    </row>
    <row r="2501" spans="18:61">
      <c r="R2501" s="6"/>
      <c r="AS2501" s="15"/>
      <c r="AT2501" s="6" t="str">
        <f ca="1">IFERROR(__xludf.DUMMYFUNCTION("""COMPUTED_VALUE"""),"#N/A")</f>
        <v>#N/A</v>
      </c>
      <c r="AU2501" s="6" t="str">
        <f ca="1">IFERROR(__xludf.DUMMYFUNCTION("""COMPUTED_VALUE"""),"FALSE")</f>
        <v>FALSE</v>
      </c>
      <c r="AZ2501" s="9"/>
      <c r="BC2501" s="9"/>
      <c r="BF2501" s="9"/>
      <c r="BI2501" s="9"/>
    </row>
    <row r="2502" spans="18:61">
      <c r="R2502" s="6"/>
      <c r="AS2502" s="15"/>
      <c r="AT2502" s="6" t="str">
        <f ca="1">IFERROR(__xludf.DUMMYFUNCTION("""COMPUTED_VALUE"""),"#N/A")</f>
        <v>#N/A</v>
      </c>
      <c r="AU2502" s="6" t="str">
        <f ca="1">IFERROR(__xludf.DUMMYFUNCTION("""COMPUTED_VALUE"""),"FALSE")</f>
        <v>FALSE</v>
      </c>
      <c r="AZ2502" s="9"/>
      <c r="BC2502" s="9"/>
      <c r="BF2502" s="9"/>
      <c r="BI2502" s="9"/>
    </row>
    <row r="2503" spans="18:61">
      <c r="R2503" s="6"/>
      <c r="AS2503" s="15"/>
      <c r="AT2503" s="6" t="str">
        <f ca="1">IFERROR(__xludf.DUMMYFUNCTION("""COMPUTED_VALUE"""),"#N/A")</f>
        <v>#N/A</v>
      </c>
      <c r="AU2503" s="6" t="str">
        <f ca="1">IFERROR(__xludf.DUMMYFUNCTION("""COMPUTED_VALUE"""),"FALSE")</f>
        <v>FALSE</v>
      </c>
      <c r="AZ2503" s="9"/>
      <c r="BC2503" s="9"/>
      <c r="BF2503" s="9"/>
      <c r="BI2503" s="9"/>
    </row>
    <row r="2504" spans="18:61">
      <c r="R2504" s="6"/>
      <c r="AS2504" s="15"/>
      <c r="AT2504" s="6" t="str">
        <f ca="1">IFERROR(__xludf.DUMMYFUNCTION("""COMPUTED_VALUE"""),"#N/A")</f>
        <v>#N/A</v>
      </c>
      <c r="AU2504" s="6" t="str">
        <f ca="1">IFERROR(__xludf.DUMMYFUNCTION("""COMPUTED_VALUE"""),"FALSE")</f>
        <v>FALSE</v>
      </c>
      <c r="AZ2504" s="9"/>
      <c r="BC2504" s="9"/>
      <c r="BF2504" s="9"/>
      <c r="BI2504" s="9"/>
    </row>
    <row r="2505" spans="18:61">
      <c r="R2505" s="6"/>
      <c r="AS2505" s="15"/>
      <c r="AT2505" s="6" t="str">
        <f ca="1">IFERROR(__xludf.DUMMYFUNCTION("""COMPUTED_VALUE"""),"#N/A")</f>
        <v>#N/A</v>
      </c>
      <c r="AU2505" s="6" t="str">
        <f ca="1">IFERROR(__xludf.DUMMYFUNCTION("""COMPUTED_VALUE"""),"FALSE")</f>
        <v>FALSE</v>
      </c>
      <c r="AZ2505" s="9"/>
      <c r="BC2505" s="9"/>
      <c r="BF2505" s="9"/>
      <c r="BI2505" s="9"/>
    </row>
    <row r="2506" spans="18:61">
      <c r="R2506" s="6"/>
      <c r="AS2506" s="15"/>
      <c r="AT2506" s="6" t="str">
        <f ca="1">IFERROR(__xludf.DUMMYFUNCTION("""COMPUTED_VALUE"""),"#N/A")</f>
        <v>#N/A</v>
      </c>
      <c r="AU2506" s="6" t="str">
        <f ca="1">IFERROR(__xludf.DUMMYFUNCTION("""COMPUTED_VALUE"""),"FALSE")</f>
        <v>FALSE</v>
      </c>
      <c r="AZ2506" s="9"/>
      <c r="BC2506" s="9"/>
      <c r="BF2506" s="9"/>
      <c r="BI2506" s="9"/>
    </row>
    <row r="2507" spans="18:61">
      <c r="R2507" s="6"/>
      <c r="AS2507" s="15"/>
      <c r="AT2507" s="6" t="str">
        <f ca="1">IFERROR(__xludf.DUMMYFUNCTION("""COMPUTED_VALUE"""),"#N/A")</f>
        <v>#N/A</v>
      </c>
      <c r="AU2507" s="6" t="str">
        <f ca="1">IFERROR(__xludf.DUMMYFUNCTION("""COMPUTED_VALUE"""),"FALSE")</f>
        <v>FALSE</v>
      </c>
      <c r="AZ2507" s="9"/>
      <c r="BC2507" s="9"/>
      <c r="BF2507" s="9"/>
      <c r="BI2507" s="9"/>
    </row>
    <row r="2508" spans="18:61">
      <c r="R2508" s="6"/>
      <c r="AS2508" s="15"/>
      <c r="AT2508" s="6" t="str">
        <f ca="1">IFERROR(__xludf.DUMMYFUNCTION("""COMPUTED_VALUE"""),"#N/A")</f>
        <v>#N/A</v>
      </c>
      <c r="AU2508" s="6" t="str">
        <f ca="1">IFERROR(__xludf.DUMMYFUNCTION("""COMPUTED_VALUE"""),"FALSE")</f>
        <v>FALSE</v>
      </c>
      <c r="AZ2508" s="9"/>
      <c r="BC2508" s="9"/>
      <c r="BF2508" s="9"/>
      <c r="BI2508" s="9"/>
    </row>
    <row r="2509" spans="18:61">
      <c r="R2509" s="6"/>
      <c r="AS2509" s="15"/>
      <c r="AT2509" s="6" t="str">
        <f ca="1">IFERROR(__xludf.DUMMYFUNCTION("""COMPUTED_VALUE"""),"#N/A")</f>
        <v>#N/A</v>
      </c>
      <c r="AU2509" s="6" t="str">
        <f ca="1">IFERROR(__xludf.DUMMYFUNCTION("""COMPUTED_VALUE"""),"FALSE")</f>
        <v>FALSE</v>
      </c>
      <c r="AZ2509" s="9"/>
      <c r="BC2509" s="9"/>
      <c r="BF2509" s="9"/>
      <c r="BI2509" s="9"/>
    </row>
    <row r="2510" spans="18:61">
      <c r="R2510" s="6"/>
      <c r="AS2510" s="15"/>
      <c r="AT2510" s="6" t="str">
        <f ca="1">IFERROR(__xludf.DUMMYFUNCTION("""COMPUTED_VALUE"""),"#N/A")</f>
        <v>#N/A</v>
      </c>
      <c r="AU2510" s="6" t="str">
        <f ca="1">IFERROR(__xludf.DUMMYFUNCTION("""COMPUTED_VALUE"""),"FALSE")</f>
        <v>FALSE</v>
      </c>
      <c r="AZ2510" s="9"/>
      <c r="BC2510" s="9"/>
      <c r="BF2510" s="9"/>
      <c r="BI2510" s="9"/>
    </row>
    <row r="2511" spans="18:61">
      <c r="R2511" s="6"/>
      <c r="AS2511" s="15"/>
      <c r="AT2511" s="6" t="str">
        <f ca="1">IFERROR(__xludf.DUMMYFUNCTION("""COMPUTED_VALUE"""),"#N/A")</f>
        <v>#N/A</v>
      </c>
      <c r="AU2511" s="6" t="str">
        <f ca="1">IFERROR(__xludf.DUMMYFUNCTION("""COMPUTED_VALUE"""),"FALSE")</f>
        <v>FALSE</v>
      </c>
      <c r="AZ2511" s="9"/>
      <c r="BC2511" s="9"/>
      <c r="BF2511" s="9"/>
      <c r="BI2511" s="9"/>
    </row>
    <row r="2512" spans="18:61">
      <c r="R2512" s="6"/>
      <c r="AS2512" s="15"/>
      <c r="AT2512" s="6" t="str">
        <f ca="1">IFERROR(__xludf.DUMMYFUNCTION("""COMPUTED_VALUE"""),"#N/A")</f>
        <v>#N/A</v>
      </c>
      <c r="AU2512" s="6" t="str">
        <f ca="1">IFERROR(__xludf.DUMMYFUNCTION("""COMPUTED_VALUE"""),"FALSE")</f>
        <v>FALSE</v>
      </c>
      <c r="AZ2512" s="9"/>
      <c r="BC2512" s="9"/>
      <c r="BF2512" s="9"/>
      <c r="BI2512" s="9"/>
    </row>
    <row r="2513" spans="18:61">
      <c r="R2513" s="6"/>
      <c r="AS2513" s="15"/>
      <c r="AT2513" s="6" t="str">
        <f ca="1">IFERROR(__xludf.DUMMYFUNCTION("""COMPUTED_VALUE"""),"#N/A")</f>
        <v>#N/A</v>
      </c>
      <c r="AU2513" s="6" t="str">
        <f ca="1">IFERROR(__xludf.DUMMYFUNCTION("""COMPUTED_VALUE"""),"FALSE")</f>
        <v>FALSE</v>
      </c>
      <c r="AZ2513" s="9"/>
      <c r="BC2513" s="9"/>
      <c r="BF2513" s="9"/>
      <c r="BI2513" s="9"/>
    </row>
    <row r="2514" spans="18:61">
      <c r="R2514" s="6"/>
      <c r="AS2514" s="15"/>
      <c r="AT2514" s="6" t="str">
        <f ca="1">IFERROR(__xludf.DUMMYFUNCTION("""COMPUTED_VALUE"""),"#N/A")</f>
        <v>#N/A</v>
      </c>
      <c r="AU2514" s="6" t="str">
        <f ca="1">IFERROR(__xludf.DUMMYFUNCTION("""COMPUTED_VALUE"""),"FALSE")</f>
        <v>FALSE</v>
      </c>
      <c r="AZ2514" s="9"/>
      <c r="BC2514" s="9"/>
      <c r="BF2514" s="9"/>
      <c r="BI2514" s="9"/>
    </row>
    <row r="2515" spans="18:61">
      <c r="R2515" s="6"/>
      <c r="AS2515" s="15"/>
      <c r="AT2515" s="6" t="str">
        <f ca="1">IFERROR(__xludf.DUMMYFUNCTION("""COMPUTED_VALUE"""),"#N/A")</f>
        <v>#N/A</v>
      </c>
      <c r="AU2515" s="6" t="str">
        <f ca="1">IFERROR(__xludf.DUMMYFUNCTION("""COMPUTED_VALUE"""),"FALSE")</f>
        <v>FALSE</v>
      </c>
      <c r="AZ2515" s="9"/>
      <c r="BC2515" s="9"/>
      <c r="BF2515" s="9"/>
      <c r="BI2515" s="9"/>
    </row>
    <row r="2516" spans="18:61">
      <c r="R2516" s="6"/>
      <c r="AS2516" s="15"/>
      <c r="AT2516" s="6" t="str">
        <f ca="1">IFERROR(__xludf.DUMMYFUNCTION("""COMPUTED_VALUE"""),"#N/A")</f>
        <v>#N/A</v>
      </c>
      <c r="AU2516" s="6" t="str">
        <f ca="1">IFERROR(__xludf.DUMMYFUNCTION("""COMPUTED_VALUE"""),"FALSE")</f>
        <v>FALSE</v>
      </c>
      <c r="AZ2516" s="9"/>
      <c r="BC2516" s="9"/>
      <c r="BF2516" s="9"/>
      <c r="BI2516" s="9"/>
    </row>
    <row r="2517" spans="18:61">
      <c r="R2517" s="6"/>
      <c r="AS2517" s="15"/>
      <c r="AT2517" s="6" t="str">
        <f ca="1">IFERROR(__xludf.DUMMYFUNCTION("""COMPUTED_VALUE"""),"#N/A")</f>
        <v>#N/A</v>
      </c>
      <c r="AU2517" s="6" t="str">
        <f ca="1">IFERROR(__xludf.DUMMYFUNCTION("""COMPUTED_VALUE"""),"FALSE")</f>
        <v>FALSE</v>
      </c>
      <c r="AZ2517" s="9"/>
      <c r="BC2517" s="9"/>
      <c r="BF2517" s="9"/>
      <c r="BI2517" s="9"/>
    </row>
    <row r="2518" spans="18:61">
      <c r="R2518" s="6"/>
      <c r="AS2518" s="15"/>
      <c r="AT2518" s="6" t="str">
        <f ca="1">IFERROR(__xludf.DUMMYFUNCTION("""COMPUTED_VALUE"""),"#N/A")</f>
        <v>#N/A</v>
      </c>
      <c r="AU2518" s="6" t="str">
        <f ca="1">IFERROR(__xludf.DUMMYFUNCTION("""COMPUTED_VALUE"""),"FALSE")</f>
        <v>FALSE</v>
      </c>
      <c r="AZ2518" s="9"/>
      <c r="BC2518" s="9"/>
      <c r="BF2518" s="9"/>
      <c r="BI2518" s="9"/>
    </row>
    <row r="2519" spans="18:61">
      <c r="R2519" s="6"/>
      <c r="AS2519" s="15"/>
      <c r="AT2519" s="6" t="str">
        <f ca="1">IFERROR(__xludf.DUMMYFUNCTION("""COMPUTED_VALUE"""),"#N/A")</f>
        <v>#N/A</v>
      </c>
      <c r="AU2519" s="6" t="str">
        <f ca="1">IFERROR(__xludf.DUMMYFUNCTION("""COMPUTED_VALUE"""),"FALSE")</f>
        <v>FALSE</v>
      </c>
      <c r="AZ2519" s="9"/>
      <c r="BC2519" s="9"/>
      <c r="BF2519" s="9"/>
      <c r="BI2519" s="9"/>
    </row>
    <row r="2520" spans="18:61">
      <c r="R2520" s="6"/>
      <c r="AS2520" s="15"/>
      <c r="AT2520" s="6" t="str">
        <f ca="1">IFERROR(__xludf.DUMMYFUNCTION("""COMPUTED_VALUE"""),"#N/A")</f>
        <v>#N/A</v>
      </c>
      <c r="AU2520" s="6" t="str">
        <f ca="1">IFERROR(__xludf.DUMMYFUNCTION("""COMPUTED_VALUE"""),"FALSE")</f>
        <v>FALSE</v>
      </c>
      <c r="AZ2520" s="9"/>
      <c r="BC2520" s="9"/>
      <c r="BF2520" s="9"/>
      <c r="BI2520" s="9"/>
    </row>
    <row r="2521" spans="18:61">
      <c r="R2521" s="6"/>
      <c r="AS2521" s="15"/>
      <c r="AT2521" s="6" t="str">
        <f ca="1">IFERROR(__xludf.DUMMYFUNCTION("""COMPUTED_VALUE"""),"#N/A")</f>
        <v>#N/A</v>
      </c>
      <c r="AU2521" s="6" t="str">
        <f ca="1">IFERROR(__xludf.DUMMYFUNCTION("""COMPUTED_VALUE"""),"FALSE")</f>
        <v>FALSE</v>
      </c>
      <c r="AZ2521" s="9"/>
      <c r="BC2521" s="9"/>
      <c r="BF2521" s="9"/>
      <c r="BI2521" s="9"/>
    </row>
    <row r="2522" spans="18:61">
      <c r="R2522" s="6"/>
      <c r="AS2522" s="15"/>
      <c r="AT2522" s="6" t="str">
        <f ca="1">IFERROR(__xludf.DUMMYFUNCTION("""COMPUTED_VALUE"""),"#N/A")</f>
        <v>#N/A</v>
      </c>
      <c r="AU2522" s="6" t="str">
        <f ca="1">IFERROR(__xludf.DUMMYFUNCTION("""COMPUTED_VALUE"""),"FALSE")</f>
        <v>FALSE</v>
      </c>
      <c r="AZ2522" s="9"/>
      <c r="BC2522" s="9"/>
      <c r="BF2522" s="9"/>
      <c r="BI2522" s="9"/>
    </row>
    <row r="2523" spans="18:61">
      <c r="R2523" s="6"/>
      <c r="AS2523" s="15"/>
      <c r="AT2523" s="6" t="str">
        <f ca="1">IFERROR(__xludf.DUMMYFUNCTION("""COMPUTED_VALUE"""),"#N/A")</f>
        <v>#N/A</v>
      </c>
      <c r="AU2523" s="6" t="str">
        <f ca="1">IFERROR(__xludf.DUMMYFUNCTION("""COMPUTED_VALUE"""),"FALSE")</f>
        <v>FALSE</v>
      </c>
      <c r="AZ2523" s="9"/>
      <c r="BC2523" s="9"/>
      <c r="BF2523" s="9"/>
      <c r="BI2523" s="9"/>
    </row>
    <row r="2524" spans="18:61">
      <c r="R2524" s="6"/>
      <c r="AS2524" s="15"/>
      <c r="AT2524" s="6" t="str">
        <f ca="1">IFERROR(__xludf.DUMMYFUNCTION("""COMPUTED_VALUE"""),"#N/A")</f>
        <v>#N/A</v>
      </c>
      <c r="AU2524" s="6" t="str">
        <f ca="1">IFERROR(__xludf.DUMMYFUNCTION("""COMPUTED_VALUE"""),"FALSE")</f>
        <v>FALSE</v>
      </c>
      <c r="AZ2524" s="9"/>
      <c r="BC2524" s="9"/>
      <c r="BF2524" s="9"/>
      <c r="BI2524" s="9"/>
    </row>
    <row r="2525" spans="18:61">
      <c r="R2525" s="6"/>
      <c r="AS2525" s="15"/>
      <c r="AT2525" s="6" t="str">
        <f ca="1">IFERROR(__xludf.DUMMYFUNCTION("""COMPUTED_VALUE"""),"#N/A")</f>
        <v>#N/A</v>
      </c>
      <c r="AU2525" s="6" t="str">
        <f ca="1">IFERROR(__xludf.DUMMYFUNCTION("""COMPUTED_VALUE"""),"FALSE")</f>
        <v>FALSE</v>
      </c>
      <c r="AZ2525" s="9"/>
      <c r="BC2525" s="9"/>
      <c r="BF2525" s="9"/>
      <c r="BI2525" s="9"/>
    </row>
    <row r="2526" spans="18:61">
      <c r="R2526" s="6"/>
      <c r="AS2526" s="15"/>
      <c r="AT2526" s="6" t="str">
        <f ca="1">IFERROR(__xludf.DUMMYFUNCTION("""COMPUTED_VALUE"""),"#N/A")</f>
        <v>#N/A</v>
      </c>
      <c r="AU2526" s="6" t="str">
        <f ca="1">IFERROR(__xludf.DUMMYFUNCTION("""COMPUTED_VALUE"""),"FALSE")</f>
        <v>FALSE</v>
      </c>
      <c r="AZ2526" s="9"/>
      <c r="BC2526" s="9"/>
      <c r="BF2526" s="9"/>
      <c r="BI2526" s="9"/>
    </row>
    <row r="2527" spans="18:61">
      <c r="R2527" s="6"/>
      <c r="AS2527" s="15"/>
      <c r="AT2527" s="6" t="str">
        <f ca="1">IFERROR(__xludf.DUMMYFUNCTION("""COMPUTED_VALUE"""),"#N/A")</f>
        <v>#N/A</v>
      </c>
      <c r="AU2527" s="6" t="str">
        <f ca="1">IFERROR(__xludf.DUMMYFUNCTION("""COMPUTED_VALUE"""),"FALSE")</f>
        <v>FALSE</v>
      </c>
      <c r="AZ2527" s="9"/>
      <c r="BC2527" s="9"/>
      <c r="BF2527" s="9"/>
      <c r="BI2527" s="9"/>
    </row>
    <row r="2528" spans="18:61">
      <c r="R2528" s="6"/>
      <c r="AS2528" s="15"/>
      <c r="AT2528" s="6" t="str">
        <f ca="1">IFERROR(__xludf.DUMMYFUNCTION("""COMPUTED_VALUE"""),"#N/A")</f>
        <v>#N/A</v>
      </c>
      <c r="AU2528" s="6" t="str">
        <f ca="1">IFERROR(__xludf.DUMMYFUNCTION("""COMPUTED_VALUE"""),"FALSE")</f>
        <v>FALSE</v>
      </c>
      <c r="AZ2528" s="9"/>
      <c r="BC2528" s="9"/>
      <c r="BF2528" s="9"/>
      <c r="BI2528" s="9"/>
    </row>
    <row r="2529" spans="18:61">
      <c r="R2529" s="6"/>
      <c r="AS2529" s="15"/>
      <c r="AT2529" s="6" t="str">
        <f ca="1">IFERROR(__xludf.DUMMYFUNCTION("""COMPUTED_VALUE"""),"#N/A")</f>
        <v>#N/A</v>
      </c>
      <c r="AU2529" s="6" t="str">
        <f ca="1">IFERROR(__xludf.DUMMYFUNCTION("""COMPUTED_VALUE"""),"FALSE")</f>
        <v>FALSE</v>
      </c>
      <c r="AZ2529" s="9"/>
      <c r="BC2529" s="9"/>
      <c r="BF2529" s="9"/>
      <c r="BI2529" s="9"/>
    </row>
    <row r="2530" spans="18:61">
      <c r="R2530" s="6"/>
      <c r="AS2530" s="15"/>
      <c r="AT2530" s="6" t="str">
        <f ca="1">IFERROR(__xludf.DUMMYFUNCTION("""COMPUTED_VALUE"""),"#N/A")</f>
        <v>#N/A</v>
      </c>
      <c r="AU2530" s="6" t="str">
        <f ca="1">IFERROR(__xludf.DUMMYFUNCTION("""COMPUTED_VALUE"""),"FALSE")</f>
        <v>FALSE</v>
      </c>
      <c r="AZ2530" s="9"/>
      <c r="BC2530" s="9"/>
      <c r="BF2530" s="9"/>
      <c r="BI2530" s="9"/>
    </row>
    <row r="2531" spans="18:61">
      <c r="R2531" s="6"/>
      <c r="AS2531" s="15"/>
      <c r="AT2531" s="6" t="str">
        <f ca="1">IFERROR(__xludf.DUMMYFUNCTION("""COMPUTED_VALUE"""),"#N/A")</f>
        <v>#N/A</v>
      </c>
      <c r="AU2531" s="6" t="str">
        <f ca="1">IFERROR(__xludf.DUMMYFUNCTION("""COMPUTED_VALUE"""),"FALSE")</f>
        <v>FALSE</v>
      </c>
      <c r="AZ2531" s="9"/>
      <c r="BC2531" s="9"/>
      <c r="BF2531" s="9"/>
      <c r="BI2531" s="9"/>
    </row>
    <row r="2532" spans="18:61">
      <c r="R2532" s="6"/>
      <c r="AS2532" s="15"/>
      <c r="AT2532" s="6" t="str">
        <f ca="1">IFERROR(__xludf.DUMMYFUNCTION("""COMPUTED_VALUE"""),"#N/A")</f>
        <v>#N/A</v>
      </c>
      <c r="AU2532" s="6" t="str">
        <f ca="1">IFERROR(__xludf.DUMMYFUNCTION("""COMPUTED_VALUE"""),"FALSE")</f>
        <v>FALSE</v>
      </c>
      <c r="AZ2532" s="9"/>
      <c r="BC2532" s="9"/>
      <c r="BF2532" s="9"/>
      <c r="BI2532" s="9"/>
    </row>
    <row r="2533" spans="18:61">
      <c r="R2533" s="6"/>
      <c r="AS2533" s="15"/>
      <c r="AT2533" s="6" t="str">
        <f ca="1">IFERROR(__xludf.DUMMYFUNCTION("""COMPUTED_VALUE"""),"#N/A")</f>
        <v>#N/A</v>
      </c>
      <c r="AU2533" s="6" t="str">
        <f ca="1">IFERROR(__xludf.DUMMYFUNCTION("""COMPUTED_VALUE"""),"FALSE")</f>
        <v>FALSE</v>
      </c>
      <c r="AZ2533" s="9"/>
      <c r="BC2533" s="9"/>
      <c r="BF2533" s="9"/>
      <c r="BI2533" s="9"/>
    </row>
    <row r="2534" spans="18:61">
      <c r="R2534" s="6"/>
      <c r="AS2534" s="15"/>
      <c r="AT2534" s="6" t="str">
        <f ca="1">IFERROR(__xludf.DUMMYFUNCTION("""COMPUTED_VALUE"""),"#N/A")</f>
        <v>#N/A</v>
      </c>
      <c r="AU2534" s="6" t="str">
        <f ca="1">IFERROR(__xludf.DUMMYFUNCTION("""COMPUTED_VALUE"""),"FALSE")</f>
        <v>FALSE</v>
      </c>
      <c r="AZ2534" s="9"/>
      <c r="BC2534" s="9"/>
      <c r="BF2534" s="9"/>
      <c r="BI2534" s="9"/>
    </row>
    <row r="2535" spans="18:61">
      <c r="R2535" s="6"/>
      <c r="AS2535" s="15"/>
      <c r="AT2535" s="6" t="str">
        <f ca="1">IFERROR(__xludf.DUMMYFUNCTION("""COMPUTED_VALUE"""),"#N/A")</f>
        <v>#N/A</v>
      </c>
      <c r="AU2535" s="6" t="str">
        <f ca="1">IFERROR(__xludf.DUMMYFUNCTION("""COMPUTED_VALUE"""),"FALSE")</f>
        <v>FALSE</v>
      </c>
      <c r="AZ2535" s="9"/>
      <c r="BC2535" s="9"/>
      <c r="BF2535" s="9"/>
      <c r="BI2535" s="9"/>
    </row>
    <row r="2536" spans="18:61">
      <c r="R2536" s="6"/>
      <c r="AS2536" s="15"/>
      <c r="AT2536" s="6" t="str">
        <f ca="1">IFERROR(__xludf.DUMMYFUNCTION("""COMPUTED_VALUE"""),"#N/A")</f>
        <v>#N/A</v>
      </c>
      <c r="AU2536" s="6" t="str">
        <f ca="1">IFERROR(__xludf.DUMMYFUNCTION("""COMPUTED_VALUE"""),"FALSE")</f>
        <v>FALSE</v>
      </c>
      <c r="AZ2536" s="9"/>
      <c r="BC2536" s="9"/>
      <c r="BF2536" s="9"/>
      <c r="BI2536" s="9"/>
    </row>
    <row r="2537" spans="18:61">
      <c r="R2537" s="6"/>
      <c r="AS2537" s="15"/>
      <c r="AT2537" s="6" t="str">
        <f ca="1">IFERROR(__xludf.DUMMYFUNCTION("""COMPUTED_VALUE"""),"#N/A")</f>
        <v>#N/A</v>
      </c>
      <c r="AU2537" s="6" t="str">
        <f ca="1">IFERROR(__xludf.DUMMYFUNCTION("""COMPUTED_VALUE"""),"FALSE")</f>
        <v>FALSE</v>
      </c>
      <c r="AZ2537" s="9"/>
      <c r="BC2537" s="9"/>
      <c r="BF2537" s="9"/>
      <c r="BI2537" s="9"/>
    </row>
    <row r="2538" spans="18:61">
      <c r="R2538" s="6"/>
      <c r="AS2538" s="15"/>
      <c r="AT2538" s="6" t="str">
        <f ca="1">IFERROR(__xludf.DUMMYFUNCTION("""COMPUTED_VALUE"""),"#N/A")</f>
        <v>#N/A</v>
      </c>
      <c r="AU2538" s="6" t="str">
        <f ca="1">IFERROR(__xludf.DUMMYFUNCTION("""COMPUTED_VALUE"""),"FALSE")</f>
        <v>FALSE</v>
      </c>
      <c r="AZ2538" s="9"/>
      <c r="BC2538" s="9"/>
      <c r="BF2538" s="9"/>
      <c r="BI2538" s="9"/>
    </row>
    <row r="2539" spans="18:61">
      <c r="R2539" s="6"/>
      <c r="AS2539" s="15"/>
      <c r="AT2539" s="6" t="str">
        <f ca="1">IFERROR(__xludf.DUMMYFUNCTION("""COMPUTED_VALUE"""),"#N/A")</f>
        <v>#N/A</v>
      </c>
      <c r="AU2539" s="6" t="str">
        <f ca="1">IFERROR(__xludf.DUMMYFUNCTION("""COMPUTED_VALUE"""),"FALSE")</f>
        <v>FALSE</v>
      </c>
      <c r="AZ2539" s="9"/>
      <c r="BC2539" s="9"/>
      <c r="BF2539" s="9"/>
      <c r="BI2539" s="9"/>
    </row>
    <row r="2540" spans="18:61">
      <c r="R2540" s="6"/>
      <c r="AS2540" s="15"/>
      <c r="AT2540" s="6" t="str">
        <f ca="1">IFERROR(__xludf.DUMMYFUNCTION("""COMPUTED_VALUE"""),"#N/A")</f>
        <v>#N/A</v>
      </c>
      <c r="AU2540" s="6" t="str">
        <f ca="1">IFERROR(__xludf.DUMMYFUNCTION("""COMPUTED_VALUE"""),"FALSE")</f>
        <v>FALSE</v>
      </c>
      <c r="AZ2540" s="9"/>
      <c r="BC2540" s="9"/>
      <c r="BF2540" s="9"/>
      <c r="BI2540" s="9"/>
    </row>
    <row r="2541" spans="18:61">
      <c r="R2541" s="6"/>
      <c r="AS2541" s="15"/>
      <c r="AT2541" s="6" t="str">
        <f ca="1">IFERROR(__xludf.DUMMYFUNCTION("""COMPUTED_VALUE"""),"#N/A")</f>
        <v>#N/A</v>
      </c>
      <c r="AU2541" s="6" t="str">
        <f ca="1">IFERROR(__xludf.DUMMYFUNCTION("""COMPUTED_VALUE"""),"FALSE")</f>
        <v>FALSE</v>
      </c>
      <c r="AZ2541" s="9"/>
      <c r="BC2541" s="9"/>
      <c r="BF2541" s="9"/>
      <c r="BI2541" s="9"/>
    </row>
    <row r="2542" spans="18:61">
      <c r="R2542" s="6"/>
      <c r="AS2542" s="15"/>
      <c r="AT2542" s="6" t="str">
        <f ca="1">IFERROR(__xludf.DUMMYFUNCTION("""COMPUTED_VALUE"""),"#N/A")</f>
        <v>#N/A</v>
      </c>
      <c r="AU2542" s="6" t="str">
        <f ca="1">IFERROR(__xludf.DUMMYFUNCTION("""COMPUTED_VALUE"""),"FALSE")</f>
        <v>FALSE</v>
      </c>
      <c r="AZ2542" s="9"/>
      <c r="BC2542" s="9"/>
      <c r="BF2542" s="9"/>
      <c r="BI2542" s="9"/>
    </row>
    <row r="2543" spans="18:61">
      <c r="R2543" s="6"/>
      <c r="AS2543" s="15"/>
      <c r="AT2543" s="6" t="str">
        <f ca="1">IFERROR(__xludf.DUMMYFUNCTION("""COMPUTED_VALUE"""),"#N/A")</f>
        <v>#N/A</v>
      </c>
      <c r="AU2543" s="6" t="str">
        <f ca="1">IFERROR(__xludf.DUMMYFUNCTION("""COMPUTED_VALUE"""),"FALSE")</f>
        <v>FALSE</v>
      </c>
      <c r="AZ2543" s="9"/>
      <c r="BC2543" s="9"/>
      <c r="BF2543" s="9"/>
      <c r="BI2543" s="9"/>
    </row>
    <row r="2544" spans="18:61">
      <c r="R2544" s="6"/>
      <c r="AS2544" s="15"/>
      <c r="AT2544" s="6" t="str">
        <f ca="1">IFERROR(__xludf.DUMMYFUNCTION("""COMPUTED_VALUE"""),"#N/A")</f>
        <v>#N/A</v>
      </c>
      <c r="AU2544" s="6" t="str">
        <f ca="1">IFERROR(__xludf.DUMMYFUNCTION("""COMPUTED_VALUE"""),"FALSE")</f>
        <v>FALSE</v>
      </c>
      <c r="AZ2544" s="9"/>
      <c r="BC2544" s="9"/>
      <c r="BF2544" s="9"/>
      <c r="BI2544" s="9"/>
    </row>
    <row r="2545" spans="18:61">
      <c r="R2545" s="6"/>
      <c r="AS2545" s="15"/>
      <c r="AT2545" s="6" t="str">
        <f ca="1">IFERROR(__xludf.DUMMYFUNCTION("""COMPUTED_VALUE"""),"#N/A")</f>
        <v>#N/A</v>
      </c>
      <c r="AU2545" s="6" t="str">
        <f ca="1">IFERROR(__xludf.DUMMYFUNCTION("""COMPUTED_VALUE"""),"FALSE")</f>
        <v>FALSE</v>
      </c>
      <c r="AZ2545" s="9"/>
      <c r="BC2545" s="9"/>
      <c r="BF2545" s="9"/>
      <c r="BI2545" s="9"/>
    </row>
    <row r="2546" spans="18:61">
      <c r="R2546" s="6"/>
      <c r="AS2546" s="15"/>
      <c r="AT2546" s="6" t="str">
        <f ca="1">IFERROR(__xludf.DUMMYFUNCTION("""COMPUTED_VALUE"""),"#N/A")</f>
        <v>#N/A</v>
      </c>
      <c r="AU2546" s="6" t="str">
        <f ca="1">IFERROR(__xludf.DUMMYFUNCTION("""COMPUTED_VALUE"""),"FALSE")</f>
        <v>FALSE</v>
      </c>
      <c r="AZ2546" s="9"/>
      <c r="BC2546" s="9"/>
      <c r="BF2546" s="9"/>
      <c r="BI2546" s="9"/>
    </row>
    <row r="2547" spans="18:61">
      <c r="R2547" s="6"/>
      <c r="AS2547" s="15"/>
      <c r="AT2547" s="6" t="str">
        <f ca="1">IFERROR(__xludf.DUMMYFUNCTION("""COMPUTED_VALUE"""),"#N/A")</f>
        <v>#N/A</v>
      </c>
      <c r="AU2547" s="6" t="str">
        <f ca="1">IFERROR(__xludf.DUMMYFUNCTION("""COMPUTED_VALUE"""),"FALSE")</f>
        <v>FALSE</v>
      </c>
      <c r="AZ2547" s="9"/>
      <c r="BC2547" s="9"/>
      <c r="BF2547" s="9"/>
      <c r="BI2547" s="9"/>
    </row>
    <row r="2548" spans="18:61">
      <c r="R2548" s="6"/>
      <c r="AS2548" s="15"/>
      <c r="AT2548" s="6" t="str">
        <f ca="1">IFERROR(__xludf.DUMMYFUNCTION("""COMPUTED_VALUE"""),"#N/A")</f>
        <v>#N/A</v>
      </c>
      <c r="AU2548" s="6" t="str">
        <f ca="1">IFERROR(__xludf.DUMMYFUNCTION("""COMPUTED_VALUE"""),"FALSE")</f>
        <v>FALSE</v>
      </c>
      <c r="AZ2548" s="9"/>
      <c r="BC2548" s="9"/>
      <c r="BF2548" s="9"/>
      <c r="BI2548" s="9"/>
    </row>
    <row r="2549" spans="18:61">
      <c r="R2549" s="6"/>
      <c r="AS2549" s="15"/>
      <c r="AT2549" s="6" t="str">
        <f ca="1">IFERROR(__xludf.DUMMYFUNCTION("""COMPUTED_VALUE"""),"#N/A")</f>
        <v>#N/A</v>
      </c>
      <c r="AU2549" s="6" t="str">
        <f ca="1">IFERROR(__xludf.DUMMYFUNCTION("""COMPUTED_VALUE"""),"FALSE")</f>
        <v>FALSE</v>
      </c>
      <c r="AZ2549" s="9"/>
      <c r="BC2549" s="9"/>
      <c r="BF2549" s="9"/>
      <c r="BI2549" s="9"/>
    </row>
    <row r="2550" spans="18:61">
      <c r="R2550" s="6"/>
      <c r="AS2550" s="15"/>
      <c r="AT2550" s="6" t="str">
        <f ca="1">IFERROR(__xludf.DUMMYFUNCTION("""COMPUTED_VALUE"""),"#N/A")</f>
        <v>#N/A</v>
      </c>
      <c r="AU2550" s="6" t="str">
        <f ca="1">IFERROR(__xludf.DUMMYFUNCTION("""COMPUTED_VALUE"""),"FALSE")</f>
        <v>FALSE</v>
      </c>
      <c r="AZ2550" s="9"/>
      <c r="BC2550" s="9"/>
      <c r="BF2550" s="9"/>
      <c r="BI2550" s="9"/>
    </row>
    <row r="2551" spans="18:61">
      <c r="R2551" s="6"/>
      <c r="AS2551" s="15"/>
      <c r="AT2551" s="6" t="str">
        <f ca="1">IFERROR(__xludf.DUMMYFUNCTION("""COMPUTED_VALUE"""),"#N/A")</f>
        <v>#N/A</v>
      </c>
      <c r="AU2551" s="6" t="str">
        <f ca="1">IFERROR(__xludf.DUMMYFUNCTION("""COMPUTED_VALUE"""),"FALSE")</f>
        <v>FALSE</v>
      </c>
      <c r="AZ2551" s="9"/>
      <c r="BC2551" s="9"/>
      <c r="BF2551" s="9"/>
      <c r="BI2551" s="9"/>
    </row>
    <row r="2552" spans="18:61">
      <c r="R2552" s="6"/>
      <c r="AS2552" s="15"/>
      <c r="AT2552" s="6" t="str">
        <f ca="1">IFERROR(__xludf.DUMMYFUNCTION("""COMPUTED_VALUE"""),"#N/A")</f>
        <v>#N/A</v>
      </c>
      <c r="AU2552" s="6" t="str">
        <f ca="1">IFERROR(__xludf.DUMMYFUNCTION("""COMPUTED_VALUE"""),"FALSE")</f>
        <v>FALSE</v>
      </c>
      <c r="AZ2552" s="9"/>
      <c r="BC2552" s="9"/>
      <c r="BF2552" s="9"/>
      <c r="BI2552" s="9"/>
    </row>
    <row r="2553" spans="18:61">
      <c r="R2553" s="6"/>
      <c r="AS2553" s="15"/>
      <c r="AT2553" s="6" t="str">
        <f ca="1">IFERROR(__xludf.DUMMYFUNCTION("""COMPUTED_VALUE"""),"#N/A")</f>
        <v>#N/A</v>
      </c>
      <c r="AU2553" s="6" t="str">
        <f ca="1">IFERROR(__xludf.DUMMYFUNCTION("""COMPUTED_VALUE"""),"FALSE")</f>
        <v>FALSE</v>
      </c>
      <c r="AZ2553" s="9"/>
      <c r="BC2553" s="9"/>
      <c r="BF2553" s="9"/>
      <c r="BI2553" s="9"/>
    </row>
    <row r="2554" spans="18:61">
      <c r="R2554" s="6"/>
      <c r="AS2554" s="15"/>
      <c r="AT2554" s="6" t="str">
        <f ca="1">IFERROR(__xludf.DUMMYFUNCTION("""COMPUTED_VALUE"""),"#N/A")</f>
        <v>#N/A</v>
      </c>
      <c r="AU2554" s="6" t="str">
        <f ca="1">IFERROR(__xludf.DUMMYFUNCTION("""COMPUTED_VALUE"""),"FALSE")</f>
        <v>FALSE</v>
      </c>
      <c r="AZ2554" s="9"/>
      <c r="BC2554" s="9"/>
      <c r="BF2554" s="9"/>
      <c r="BI2554" s="9"/>
    </row>
    <row r="2555" spans="18:61">
      <c r="R2555" s="6"/>
      <c r="AS2555" s="15"/>
      <c r="AT2555" s="6" t="str">
        <f ca="1">IFERROR(__xludf.DUMMYFUNCTION("""COMPUTED_VALUE"""),"#N/A")</f>
        <v>#N/A</v>
      </c>
      <c r="AU2555" s="6" t="str">
        <f ca="1">IFERROR(__xludf.DUMMYFUNCTION("""COMPUTED_VALUE"""),"FALSE")</f>
        <v>FALSE</v>
      </c>
      <c r="AZ2555" s="9"/>
      <c r="BC2555" s="9"/>
      <c r="BF2555" s="9"/>
      <c r="BI2555" s="9"/>
    </row>
    <row r="2556" spans="18:61">
      <c r="R2556" s="6"/>
      <c r="AS2556" s="15"/>
      <c r="AT2556" s="6" t="str">
        <f ca="1">IFERROR(__xludf.DUMMYFUNCTION("""COMPUTED_VALUE"""),"#N/A")</f>
        <v>#N/A</v>
      </c>
      <c r="AU2556" s="6" t="str">
        <f ca="1">IFERROR(__xludf.DUMMYFUNCTION("""COMPUTED_VALUE"""),"FALSE")</f>
        <v>FALSE</v>
      </c>
      <c r="AZ2556" s="9"/>
      <c r="BC2556" s="9"/>
      <c r="BF2556" s="9"/>
      <c r="BI2556" s="9"/>
    </row>
    <row r="2557" spans="18:61">
      <c r="R2557" s="6"/>
      <c r="AS2557" s="15"/>
      <c r="AT2557" s="6" t="str">
        <f ca="1">IFERROR(__xludf.DUMMYFUNCTION("""COMPUTED_VALUE"""),"#N/A")</f>
        <v>#N/A</v>
      </c>
      <c r="AU2557" s="6" t="str">
        <f ca="1">IFERROR(__xludf.DUMMYFUNCTION("""COMPUTED_VALUE"""),"FALSE")</f>
        <v>FALSE</v>
      </c>
      <c r="AZ2557" s="9"/>
      <c r="BC2557" s="9"/>
      <c r="BF2557" s="9"/>
      <c r="BI2557" s="9"/>
    </row>
    <row r="2558" spans="18:61">
      <c r="R2558" s="6"/>
      <c r="AS2558" s="15"/>
      <c r="AT2558" s="6" t="str">
        <f ca="1">IFERROR(__xludf.DUMMYFUNCTION("""COMPUTED_VALUE"""),"#N/A")</f>
        <v>#N/A</v>
      </c>
      <c r="AU2558" s="6" t="str">
        <f ca="1">IFERROR(__xludf.DUMMYFUNCTION("""COMPUTED_VALUE"""),"FALSE")</f>
        <v>FALSE</v>
      </c>
      <c r="AZ2558" s="9"/>
      <c r="BC2558" s="9"/>
      <c r="BF2558" s="9"/>
      <c r="BI2558" s="9"/>
    </row>
    <row r="2559" spans="18:61">
      <c r="R2559" s="6"/>
      <c r="AS2559" s="15"/>
      <c r="AT2559" s="6" t="str">
        <f ca="1">IFERROR(__xludf.DUMMYFUNCTION("""COMPUTED_VALUE"""),"#N/A")</f>
        <v>#N/A</v>
      </c>
      <c r="AU2559" s="6" t="str">
        <f ca="1">IFERROR(__xludf.DUMMYFUNCTION("""COMPUTED_VALUE"""),"FALSE")</f>
        <v>FALSE</v>
      </c>
      <c r="AZ2559" s="9"/>
      <c r="BC2559" s="9"/>
      <c r="BF2559" s="9"/>
      <c r="BI2559" s="9"/>
    </row>
    <row r="2560" spans="18:61">
      <c r="R2560" s="6"/>
      <c r="AS2560" s="15"/>
      <c r="AT2560" s="6" t="str">
        <f ca="1">IFERROR(__xludf.DUMMYFUNCTION("""COMPUTED_VALUE"""),"#N/A")</f>
        <v>#N/A</v>
      </c>
      <c r="AU2560" s="6" t="str">
        <f ca="1">IFERROR(__xludf.DUMMYFUNCTION("""COMPUTED_VALUE"""),"FALSE")</f>
        <v>FALSE</v>
      </c>
      <c r="AZ2560" s="9"/>
      <c r="BC2560" s="9"/>
      <c r="BF2560" s="9"/>
      <c r="BI2560" s="9"/>
    </row>
    <row r="2561" spans="18:61">
      <c r="R2561" s="6"/>
      <c r="AS2561" s="15"/>
      <c r="AT2561" s="6" t="str">
        <f ca="1">IFERROR(__xludf.DUMMYFUNCTION("""COMPUTED_VALUE"""),"#N/A")</f>
        <v>#N/A</v>
      </c>
      <c r="AU2561" s="6" t="str">
        <f ca="1">IFERROR(__xludf.DUMMYFUNCTION("""COMPUTED_VALUE"""),"FALSE")</f>
        <v>FALSE</v>
      </c>
      <c r="AZ2561" s="9"/>
      <c r="BC2561" s="9"/>
      <c r="BF2561" s="9"/>
      <c r="BI2561" s="9"/>
    </row>
    <row r="2562" spans="18:61">
      <c r="R2562" s="6"/>
      <c r="AS2562" s="15"/>
      <c r="AT2562" s="6" t="str">
        <f ca="1">IFERROR(__xludf.DUMMYFUNCTION("""COMPUTED_VALUE"""),"#N/A")</f>
        <v>#N/A</v>
      </c>
      <c r="AU2562" s="6" t="str">
        <f ca="1">IFERROR(__xludf.DUMMYFUNCTION("""COMPUTED_VALUE"""),"FALSE")</f>
        <v>FALSE</v>
      </c>
      <c r="AZ2562" s="9"/>
      <c r="BC2562" s="9"/>
      <c r="BF2562" s="9"/>
      <c r="BI2562" s="9"/>
    </row>
    <row r="2563" spans="18:61">
      <c r="R2563" s="6"/>
      <c r="AS2563" s="15"/>
      <c r="AT2563" s="6" t="str">
        <f ca="1">IFERROR(__xludf.DUMMYFUNCTION("""COMPUTED_VALUE"""),"#N/A")</f>
        <v>#N/A</v>
      </c>
      <c r="AU2563" s="6" t="str">
        <f ca="1">IFERROR(__xludf.DUMMYFUNCTION("""COMPUTED_VALUE"""),"FALSE")</f>
        <v>FALSE</v>
      </c>
      <c r="AZ2563" s="9"/>
      <c r="BC2563" s="9"/>
      <c r="BF2563" s="9"/>
      <c r="BI2563" s="9"/>
    </row>
    <row r="2564" spans="18:61">
      <c r="R2564" s="6"/>
      <c r="AS2564" s="15"/>
      <c r="AT2564" s="6" t="str">
        <f ca="1">IFERROR(__xludf.DUMMYFUNCTION("""COMPUTED_VALUE"""),"#N/A")</f>
        <v>#N/A</v>
      </c>
      <c r="AU2564" s="6" t="str">
        <f ca="1">IFERROR(__xludf.DUMMYFUNCTION("""COMPUTED_VALUE"""),"FALSE")</f>
        <v>FALSE</v>
      </c>
      <c r="AZ2564" s="9"/>
      <c r="BC2564" s="9"/>
      <c r="BF2564" s="9"/>
      <c r="BI2564" s="9"/>
    </row>
    <row r="2565" spans="18:61">
      <c r="R2565" s="6"/>
      <c r="AS2565" s="15"/>
      <c r="AT2565" s="6" t="str">
        <f ca="1">IFERROR(__xludf.DUMMYFUNCTION("""COMPUTED_VALUE"""),"#N/A")</f>
        <v>#N/A</v>
      </c>
      <c r="AU2565" s="6" t="str">
        <f ca="1">IFERROR(__xludf.DUMMYFUNCTION("""COMPUTED_VALUE"""),"FALSE")</f>
        <v>FALSE</v>
      </c>
      <c r="AZ2565" s="9"/>
      <c r="BC2565" s="9"/>
      <c r="BF2565" s="9"/>
      <c r="BI2565" s="9"/>
    </row>
    <row r="2566" spans="18:61">
      <c r="R2566" s="6"/>
      <c r="AS2566" s="15"/>
      <c r="AT2566" s="6" t="str">
        <f ca="1">IFERROR(__xludf.DUMMYFUNCTION("""COMPUTED_VALUE"""),"#N/A")</f>
        <v>#N/A</v>
      </c>
      <c r="AU2566" s="6" t="str">
        <f ca="1">IFERROR(__xludf.DUMMYFUNCTION("""COMPUTED_VALUE"""),"FALSE")</f>
        <v>FALSE</v>
      </c>
      <c r="AZ2566" s="9"/>
      <c r="BC2566" s="9"/>
      <c r="BF2566" s="9"/>
      <c r="BI2566" s="9"/>
    </row>
    <row r="2567" spans="18:61">
      <c r="R2567" s="6"/>
      <c r="AS2567" s="15"/>
      <c r="AT2567" s="6" t="str">
        <f ca="1">IFERROR(__xludf.DUMMYFUNCTION("""COMPUTED_VALUE"""),"#N/A")</f>
        <v>#N/A</v>
      </c>
      <c r="AU2567" s="6" t="str">
        <f ca="1">IFERROR(__xludf.DUMMYFUNCTION("""COMPUTED_VALUE"""),"FALSE")</f>
        <v>FALSE</v>
      </c>
      <c r="AZ2567" s="9"/>
      <c r="BC2567" s="9"/>
      <c r="BF2567" s="9"/>
      <c r="BI2567" s="9"/>
    </row>
    <row r="2568" spans="18:61">
      <c r="R2568" s="6"/>
      <c r="AS2568" s="15"/>
      <c r="AT2568" s="6" t="str">
        <f ca="1">IFERROR(__xludf.DUMMYFUNCTION("""COMPUTED_VALUE"""),"#N/A")</f>
        <v>#N/A</v>
      </c>
      <c r="AU2568" s="6" t="str">
        <f ca="1">IFERROR(__xludf.DUMMYFUNCTION("""COMPUTED_VALUE"""),"FALSE")</f>
        <v>FALSE</v>
      </c>
      <c r="AZ2568" s="9"/>
      <c r="BC2568" s="9"/>
      <c r="BF2568" s="9"/>
      <c r="BI2568" s="9"/>
    </row>
    <row r="2569" spans="18:61">
      <c r="R2569" s="6"/>
      <c r="AS2569" s="15"/>
      <c r="AT2569" s="6" t="str">
        <f ca="1">IFERROR(__xludf.DUMMYFUNCTION("""COMPUTED_VALUE"""),"#N/A")</f>
        <v>#N/A</v>
      </c>
      <c r="AU2569" s="6" t="str">
        <f ca="1">IFERROR(__xludf.DUMMYFUNCTION("""COMPUTED_VALUE"""),"FALSE")</f>
        <v>FALSE</v>
      </c>
      <c r="AZ2569" s="9"/>
      <c r="BC2569" s="9"/>
      <c r="BF2569" s="9"/>
      <c r="BI2569" s="9"/>
    </row>
    <row r="2570" spans="18:61">
      <c r="R2570" s="6"/>
      <c r="AS2570" s="15"/>
      <c r="AT2570" s="6" t="str">
        <f ca="1">IFERROR(__xludf.DUMMYFUNCTION("""COMPUTED_VALUE"""),"#N/A")</f>
        <v>#N/A</v>
      </c>
      <c r="AU2570" s="6" t="str">
        <f ca="1">IFERROR(__xludf.DUMMYFUNCTION("""COMPUTED_VALUE"""),"FALSE")</f>
        <v>FALSE</v>
      </c>
      <c r="AZ2570" s="9"/>
      <c r="BC2570" s="9"/>
      <c r="BF2570" s="9"/>
      <c r="BI2570" s="9"/>
    </row>
    <row r="2571" spans="18:61">
      <c r="R2571" s="6"/>
      <c r="AS2571" s="15"/>
      <c r="AT2571" s="6" t="str">
        <f ca="1">IFERROR(__xludf.DUMMYFUNCTION("""COMPUTED_VALUE"""),"#N/A")</f>
        <v>#N/A</v>
      </c>
      <c r="AU2571" s="6" t="str">
        <f ca="1">IFERROR(__xludf.DUMMYFUNCTION("""COMPUTED_VALUE"""),"FALSE")</f>
        <v>FALSE</v>
      </c>
      <c r="AZ2571" s="9"/>
      <c r="BC2571" s="9"/>
      <c r="BF2571" s="9"/>
      <c r="BI2571" s="9"/>
    </row>
    <row r="2572" spans="18:61">
      <c r="R2572" s="6"/>
      <c r="AS2572" s="15"/>
      <c r="AT2572" s="6" t="str">
        <f ca="1">IFERROR(__xludf.DUMMYFUNCTION("""COMPUTED_VALUE"""),"#N/A")</f>
        <v>#N/A</v>
      </c>
      <c r="AU2572" s="6" t="str">
        <f ca="1">IFERROR(__xludf.DUMMYFUNCTION("""COMPUTED_VALUE"""),"FALSE")</f>
        <v>FALSE</v>
      </c>
      <c r="AZ2572" s="9"/>
      <c r="BC2572" s="9"/>
      <c r="BF2572" s="9"/>
      <c r="BI2572" s="9"/>
    </row>
    <row r="2573" spans="18:61">
      <c r="R2573" s="6"/>
      <c r="AS2573" s="15"/>
      <c r="AT2573" s="6" t="str">
        <f ca="1">IFERROR(__xludf.DUMMYFUNCTION("""COMPUTED_VALUE"""),"#N/A")</f>
        <v>#N/A</v>
      </c>
      <c r="AU2573" s="6" t="str">
        <f ca="1">IFERROR(__xludf.DUMMYFUNCTION("""COMPUTED_VALUE"""),"FALSE")</f>
        <v>FALSE</v>
      </c>
      <c r="AZ2573" s="9"/>
      <c r="BC2573" s="9"/>
      <c r="BF2573" s="9"/>
      <c r="BI2573" s="9"/>
    </row>
    <row r="2574" spans="18:61">
      <c r="R2574" s="6"/>
      <c r="AS2574" s="15"/>
      <c r="AT2574" s="6" t="str">
        <f ca="1">IFERROR(__xludf.DUMMYFUNCTION("""COMPUTED_VALUE"""),"#N/A")</f>
        <v>#N/A</v>
      </c>
      <c r="AU2574" s="6" t="str">
        <f ca="1">IFERROR(__xludf.DUMMYFUNCTION("""COMPUTED_VALUE"""),"FALSE")</f>
        <v>FALSE</v>
      </c>
      <c r="AZ2574" s="9"/>
      <c r="BC2574" s="9"/>
      <c r="BF2574" s="9"/>
      <c r="BI2574" s="9"/>
    </row>
    <row r="2575" spans="18:61">
      <c r="R2575" s="6"/>
      <c r="AS2575" s="15"/>
      <c r="AT2575" s="6" t="str">
        <f ca="1">IFERROR(__xludf.DUMMYFUNCTION("""COMPUTED_VALUE"""),"#N/A")</f>
        <v>#N/A</v>
      </c>
      <c r="AU2575" s="6" t="str">
        <f ca="1">IFERROR(__xludf.DUMMYFUNCTION("""COMPUTED_VALUE"""),"FALSE")</f>
        <v>FALSE</v>
      </c>
      <c r="AZ2575" s="9"/>
      <c r="BC2575" s="9"/>
      <c r="BF2575" s="9"/>
      <c r="BI2575" s="9"/>
    </row>
    <row r="2576" spans="18:61">
      <c r="R2576" s="6"/>
      <c r="AS2576" s="15"/>
      <c r="AT2576" s="6" t="str">
        <f ca="1">IFERROR(__xludf.DUMMYFUNCTION("""COMPUTED_VALUE"""),"#N/A")</f>
        <v>#N/A</v>
      </c>
      <c r="AU2576" s="6" t="str">
        <f ca="1">IFERROR(__xludf.DUMMYFUNCTION("""COMPUTED_VALUE"""),"FALSE")</f>
        <v>FALSE</v>
      </c>
      <c r="AZ2576" s="9"/>
      <c r="BC2576" s="9"/>
      <c r="BF2576" s="9"/>
      <c r="BI2576" s="9"/>
    </row>
    <row r="2577" spans="18:61">
      <c r="R2577" s="6"/>
      <c r="AS2577" s="15"/>
      <c r="AT2577" s="6" t="str">
        <f ca="1">IFERROR(__xludf.DUMMYFUNCTION("""COMPUTED_VALUE"""),"#N/A")</f>
        <v>#N/A</v>
      </c>
      <c r="AU2577" s="6" t="str">
        <f ca="1">IFERROR(__xludf.DUMMYFUNCTION("""COMPUTED_VALUE"""),"FALSE")</f>
        <v>FALSE</v>
      </c>
      <c r="AZ2577" s="9"/>
      <c r="BC2577" s="9"/>
      <c r="BF2577" s="9"/>
      <c r="BI2577" s="9"/>
    </row>
    <row r="2578" spans="18:61">
      <c r="R2578" s="6"/>
      <c r="AS2578" s="15"/>
      <c r="AT2578" s="6" t="str">
        <f ca="1">IFERROR(__xludf.DUMMYFUNCTION("""COMPUTED_VALUE"""),"#N/A")</f>
        <v>#N/A</v>
      </c>
      <c r="AU2578" s="6" t="str">
        <f ca="1">IFERROR(__xludf.DUMMYFUNCTION("""COMPUTED_VALUE"""),"FALSE")</f>
        <v>FALSE</v>
      </c>
      <c r="AZ2578" s="9"/>
      <c r="BC2578" s="9"/>
      <c r="BF2578" s="9"/>
      <c r="BI2578" s="9"/>
    </row>
    <row r="2579" spans="18:61">
      <c r="R2579" s="6"/>
      <c r="AS2579" s="15"/>
      <c r="AT2579" s="6" t="str">
        <f ca="1">IFERROR(__xludf.DUMMYFUNCTION("""COMPUTED_VALUE"""),"#N/A")</f>
        <v>#N/A</v>
      </c>
      <c r="AU2579" s="6" t="str">
        <f ca="1">IFERROR(__xludf.DUMMYFUNCTION("""COMPUTED_VALUE"""),"FALSE")</f>
        <v>FALSE</v>
      </c>
      <c r="AZ2579" s="9"/>
      <c r="BC2579" s="9"/>
      <c r="BF2579" s="9"/>
      <c r="BI2579" s="9"/>
    </row>
    <row r="2580" spans="18:61">
      <c r="R2580" s="6"/>
      <c r="AS2580" s="15"/>
      <c r="AT2580" s="6" t="str">
        <f ca="1">IFERROR(__xludf.DUMMYFUNCTION("""COMPUTED_VALUE"""),"#N/A")</f>
        <v>#N/A</v>
      </c>
      <c r="AU2580" s="6" t="str">
        <f ca="1">IFERROR(__xludf.DUMMYFUNCTION("""COMPUTED_VALUE"""),"FALSE")</f>
        <v>FALSE</v>
      </c>
      <c r="AZ2580" s="9"/>
      <c r="BC2580" s="9"/>
      <c r="BF2580" s="9"/>
      <c r="BI2580" s="9"/>
    </row>
    <row r="2581" spans="18:61">
      <c r="R2581" s="6"/>
      <c r="AS2581" s="15"/>
      <c r="AT2581" s="6" t="str">
        <f ca="1">IFERROR(__xludf.DUMMYFUNCTION("""COMPUTED_VALUE"""),"#N/A")</f>
        <v>#N/A</v>
      </c>
      <c r="AU2581" s="6" t="str">
        <f ca="1">IFERROR(__xludf.DUMMYFUNCTION("""COMPUTED_VALUE"""),"FALSE")</f>
        <v>FALSE</v>
      </c>
      <c r="AZ2581" s="9"/>
      <c r="BC2581" s="9"/>
      <c r="BF2581" s="9"/>
      <c r="BI2581" s="9"/>
    </row>
    <row r="2582" spans="18:61">
      <c r="R2582" s="6"/>
      <c r="AS2582" s="15"/>
      <c r="AT2582" s="6" t="str">
        <f ca="1">IFERROR(__xludf.DUMMYFUNCTION("""COMPUTED_VALUE"""),"#N/A")</f>
        <v>#N/A</v>
      </c>
      <c r="AU2582" s="6" t="str">
        <f ca="1">IFERROR(__xludf.DUMMYFUNCTION("""COMPUTED_VALUE"""),"FALSE")</f>
        <v>FALSE</v>
      </c>
      <c r="AZ2582" s="9"/>
      <c r="BC2582" s="9"/>
      <c r="BF2582" s="9"/>
      <c r="BI2582" s="9"/>
    </row>
    <row r="2583" spans="18:61">
      <c r="R2583" s="6"/>
      <c r="AS2583" s="15"/>
      <c r="AT2583" s="6" t="str">
        <f ca="1">IFERROR(__xludf.DUMMYFUNCTION("""COMPUTED_VALUE"""),"#N/A")</f>
        <v>#N/A</v>
      </c>
      <c r="AU2583" s="6" t="str">
        <f ca="1">IFERROR(__xludf.DUMMYFUNCTION("""COMPUTED_VALUE"""),"FALSE")</f>
        <v>FALSE</v>
      </c>
      <c r="AZ2583" s="9"/>
      <c r="BC2583" s="9"/>
      <c r="BF2583" s="9"/>
      <c r="BI2583" s="9"/>
    </row>
    <row r="2584" spans="18:61">
      <c r="R2584" s="6"/>
      <c r="AS2584" s="15"/>
      <c r="AT2584" s="6" t="str">
        <f ca="1">IFERROR(__xludf.DUMMYFUNCTION("""COMPUTED_VALUE"""),"#N/A")</f>
        <v>#N/A</v>
      </c>
      <c r="AU2584" s="6" t="str">
        <f ca="1">IFERROR(__xludf.DUMMYFUNCTION("""COMPUTED_VALUE"""),"FALSE")</f>
        <v>FALSE</v>
      </c>
      <c r="AZ2584" s="9"/>
      <c r="BC2584" s="9"/>
      <c r="BF2584" s="9"/>
      <c r="BI2584" s="9"/>
    </row>
    <row r="2585" spans="18:61">
      <c r="R2585" s="6"/>
      <c r="AS2585" s="15"/>
      <c r="AT2585" s="6" t="str">
        <f ca="1">IFERROR(__xludf.DUMMYFUNCTION("""COMPUTED_VALUE"""),"#N/A")</f>
        <v>#N/A</v>
      </c>
      <c r="AU2585" s="6" t="str">
        <f ca="1">IFERROR(__xludf.DUMMYFUNCTION("""COMPUTED_VALUE"""),"FALSE")</f>
        <v>FALSE</v>
      </c>
      <c r="AZ2585" s="9"/>
      <c r="BC2585" s="9"/>
      <c r="BF2585" s="9"/>
      <c r="BI2585" s="9"/>
    </row>
    <row r="2586" spans="18:61">
      <c r="R2586" s="6"/>
      <c r="AS2586" s="15"/>
      <c r="AT2586" s="6" t="str">
        <f ca="1">IFERROR(__xludf.DUMMYFUNCTION("""COMPUTED_VALUE"""),"#N/A")</f>
        <v>#N/A</v>
      </c>
      <c r="AU2586" s="6" t="str">
        <f ca="1">IFERROR(__xludf.DUMMYFUNCTION("""COMPUTED_VALUE"""),"FALSE")</f>
        <v>FALSE</v>
      </c>
      <c r="AZ2586" s="9"/>
      <c r="BC2586" s="9"/>
      <c r="BF2586" s="9"/>
      <c r="BI2586" s="9"/>
    </row>
    <row r="2587" spans="18:61">
      <c r="R2587" s="6"/>
      <c r="AS2587" s="15"/>
      <c r="AT2587" s="6" t="str">
        <f ca="1">IFERROR(__xludf.DUMMYFUNCTION("""COMPUTED_VALUE"""),"#N/A")</f>
        <v>#N/A</v>
      </c>
      <c r="AU2587" s="6" t="str">
        <f ca="1">IFERROR(__xludf.DUMMYFUNCTION("""COMPUTED_VALUE"""),"FALSE")</f>
        <v>FALSE</v>
      </c>
      <c r="AZ2587" s="9"/>
      <c r="BC2587" s="9"/>
      <c r="BF2587" s="9"/>
      <c r="BI2587" s="9"/>
    </row>
    <row r="2588" spans="18:61">
      <c r="R2588" s="6"/>
      <c r="AS2588" s="15"/>
      <c r="AT2588" s="6" t="str">
        <f ca="1">IFERROR(__xludf.DUMMYFUNCTION("""COMPUTED_VALUE"""),"#N/A")</f>
        <v>#N/A</v>
      </c>
      <c r="AU2588" s="6" t="str">
        <f ca="1">IFERROR(__xludf.DUMMYFUNCTION("""COMPUTED_VALUE"""),"FALSE")</f>
        <v>FALSE</v>
      </c>
      <c r="AZ2588" s="9"/>
      <c r="BC2588" s="9"/>
      <c r="BF2588" s="9"/>
      <c r="BI2588" s="9"/>
    </row>
    <row r="2589" spans="18:61">
      <c r="R2589" s="6"/>
      <c r="AS2589" s="15"/>
      <c r="AT2589" s="6" t="str">
        <f ca="1">IFERROR(__xludf.DUMMYFUNCTION("""COMPUTED_VALUE"""),"#N/A")</f>
        <v>#N/A</v>
      </c>
      <c r="AU2589" s="6" t="str">
        <f ca="1">IFERROR(__xludf.DUMMYFUNCTION("""COMPUTED_VALUE"""),"FALSE")</f>
        <v>FALSE</v>
      </c>
      <c r="AZ2589" s="9"/>
      <c r="BC2589" s="9"/>
      <c r="BF2589" s="9"/>
      <c r="BI2589" s="9"/>
    </row>
    <row r="2590" spans="18:61">
      <c r="R2590" s="6"/>
      <c r="AS2590" s="15"/>
      <c r="AT2590" s="6" t="str">
        <f ca="1">IFERROR(__xludf.DUMMYFUNCTION("""COMPUTED_VALUE"""),"#N/A")</f>
        <v>#N/A</v>
      </c>
      <c r="AU2590" s="6" t="str">
        <f ca="1">IFERROR(__xludf.DUMMYFUNCTION("""COMPUTED_VALUE"""),"FALSE")</f>
        <v>FALSE</v>
      </c>
      <c r="AZ2590" s="9"/>
      <c r="BC2590" s="9"/>
      <c r="BF2590" s="9"/>
      <c r="BI2590" s="9"/>
    </row>
    <row r="2591" spans="18:61">
      <c r="R2591" s="6"/>
      <c r="AS2591" s="15"/>
      <c r="AT2591" s="6" t="str">
        <f ca="1">IFERROR(__xludf.DUMMYFUNCTION("""COMPUTED_VALUE"""),"#N/A")</f>
        <v>#N/A</v>
      </c>
      <c r="AU2591" s="6" t="str">
        <f ca="1">IFERROR(__xludf.DUMMYFUNCTION("""COMPUTED_VALUE"""),"FALSE")</f>
        <v>FALSE</v>
      </c>
      <c r="AZ2591" s="9"/>
      <c r="BC2591" s="9"/>
      <c r="BF2591" s="9"/>
      <c r="BI2591" s="9"/>
    </row>
    <row r="2592" spans="18:61">
      <c r="R2592" s="6"/>
      <c r="AS2592" s="15"/>
      <c r="AT2592" s="6" t="str">
        <f ca="1">IFERROR(__xludf.DUMMYFUNCTION("""COMPUTED_VALUE"""),"#N/A")</f>
        <v>#N/A</v>
      </c>
      <c r="AU2592" s="6" t="str">
        <f ca="1">IFERROR(__xludf.DUMMYFUNCTION("""COMPUTED_VALUE"""),"FALSE")</f>
        <v>FALSE</v>
      </c>
      <c r="AZ2592" s="9"/>
      <c r="BC2592" s="9"/>
      <c r="BF2592" s="9"/>
      <c r="BI2592" s="9"/>
    </row>
    <row r="2593" spans="18:61">
      <c r="R2593" s="6"/>
      <c r="AS2593" s="15"/>
      <c r="AT2593" s="6" t="str">
        <f ca="1">IFERROR(__xludf.DUMMYFUNCTION("""COMPUTED_VALUE"""),"#N/A")</f>
        <v>#N/A</v>
      </c>
      <c r="AU2593" s="6" t="str">
        <f ca="1">IFERROR(__xludf.DUMMYFUNCTION("""COMPUTED_VALUE"""),"FALSE")</f>
        <v>FALSE</v>
      </c>
      <c r="AZ2593" s="9"/>
      <c r="BC2593" s="9"/>
      <c r="BF2593" s="9"/>
      <c r="BI2593" s="9"/>
    </row>
    <row r="2594" spans="18:61">
      <c r="R2594" s="6"/>
      <c r="AS2594" s="15"/>
      <c r="AT2594" s="6" t="str">
        <f ca="1">IFERROR(__xludf.DUMMYFUNCTION("""COMPUTED_VALUE"""),"#N/A")</f>
        <v>#N/A</v>
      </c>
      <c r="AU2594" s="6" t="str">
        <f ca="1">IFERROR(__xludf.DUMMYFUNCTION("""COMPUTED_VALUE"""),"FALSE")</f>
        <v>FALSE</v>
      </c>
      <c r="AZ2594" s="9"/>
      <c r="BC2594" s="9"/>
      <c r="BF2594" s="9"/>
      <c r="BI2594" s="9"/>
    </row>
    <row r="2595" spans="18:61">
      <c r="R2595" s="6"/>
      <c r="AS2595" s="15"/>
      <c r="AT2595" s="6" t="str">
        <f ca="1">IFERROR(__xludf.DUMMYFUNCTION("""COMPUTED_VALUE"""),"#N/A")</f>
        <v>#N/A</v>
      </c>
      <c r="AU2595" s="6" t="str">
        <f ca="1">IFERROR(__xludf.DUMMYFUNCTION("""COMPUTED_VALUE"""),"FALSE")</f>
        <v>FALSE</v>
      </c>
      <c r="AZ2595" s="9"/>
      <c r="BC2595" s="9"/>
      <c r="BF2595" s="9"/>
      <c r="BI2595" s="9"/>
    </row>
    <row r="2596" spans="18:61">
      <c r="R2596" s="6"/>
      <c r="AS2596" s="15"/>
      <c r="AT2596" s="6" t="str">
        <f ca="1">IFERROR(__xludf.DUMMYFUNCTION("""COMPUTED_VALUE"""),"#N/A")</f>
        <v>#N/A</v>
      </c>
      <c r="AU2596" s="6" t="str">
        <f ca="1">IFERROR(__xludf.DUMMYFUNCTION("""COMPUTED_VALUE"""),"FALSE")</f>
        <v>FALSE</v>
      </c>
      <c r="AZ2596" s="9"/>
      <c r="BC2596" s="9"/>
      <c r="BF2596" s="9"/>
      <c r="BI2596" s="9"/>
    </row>
    <row r="2597" spans="18:61">
      <c r="R2597" s="6"/>
      <c r="AS2597" s="15"/>
      <c r="AT2597" s="6" t="str">
        <f ca="1">IFERROR(__xludf.DUMMYFUNCTION("""COMPUTED_VALUE"""),"#N/A")</f>
        <v>#N/A</v>
      </c>
      <c r="AU2597" s="6" t="str">
        <f ca="1">IFERROR(__xludf.DUMMYFUNCTION("""COMPUTED_VALUE"""),"FALSE")</f>
        <v>FALSE</v>
      </c>
      <c r="AZ2597" s="9"/>
      <c r="BC2597" s="9"/>
      <c r="BF2597" s="9"/>
      <c r="BI2597" s="9"/>
    </row>
    <row r="2598" spans="18:61">
      <c r="R2598" s="6"/>
      <c r="AS2598" s="15"/>
      <c r="AT2598" s="6" t="str">
        <f ca="1">IFERROR(__xludf.DUMMYFUNCTION("""COMPUTED_VALUE"""),"#N/A")</f>
        <v>#N/A</v>
      </c>
      <c r="AU2598" s="6" t="str">
        <f ca="1">IFERROR(__xludf.DUMMYFUNCTION("""COMPUTED_VALUE"""),"FALSE")</f>
        <v>FALSE</v>
      </c>
      <c r="AZ2598" s="9"/>
      <c r="BC2598" s="9"/>
      <c r="BF2598" s="9"/>
      <c r="BI2598" s="9"/>
    </row>
    <row r="2599" spans="18:61">
      <c r="R2599" s="6"/>
      <c r="AS2599" s="15"/>
      <c r="AT2599" s="6" t="str">
        <f ca="1">IFERROR(__xludf.DUMMYFUNCTION("""COMPUTED_VALUE"""),"#N/A")</f>
        <v>#N/A</v>
      </c>
      <c r="AU2599" s="6" t="str">
        <f ca="1">IFERROR(__xludf.DUMMYFUNCTION("""COMPUTED_VALUE"""),"FALSE")</f>
        <v>FALSE</v>
      </c>
      <c r="AZ2599" s="9"/>
      <c r="BC2599" s="9"/>
      <c r="BF2599" s="9"/>
      <c r="BI2599" s="9"/>
    </row>
    <row r="2600" spans="18:61">
      <c r="R2600" s="6"/>
      <c r="AS2600" s="15"/>
      <c r="AT2600" s="6" t="str">
        <f ca="1">IFERROR(__xludf.DUMMYFUNCTION("""COMPUTED_VALUE"""),"#N/A")</f>
        <v>#N/A</v>
      </c>
      <c r="AU2600" s="6" t="str">
        <f ca="1">IFERROR(__xludf.DUMMYFUNCTION("""COMPUTED_VALUE"""),"FALSE")</f>
        <v>FALSE</v>
      </c>
      <c r="AZ2600" s="9"/>
      <c r="BC2600" s="9"/>
      <c r="BF2600" s="9"/>
      <c r="BI2600" s="9"/>
    </row>
    <row r="2601" spans="18:61">
      <c r="R2601" s="6"/>
      <c r="AS2601" s="15"/>
      <c r="AT2601" s="6" t="str">
        <f ca="1">IFERROR(__xludf.DUMMYFUNCTION("""COMPUTED_VALUE"""),"#N/A")</f>
        <v>#N/A</v>
      </c>
      <c r="AU2601" s="6" t="str">
        <f ca="1">IFERROR(__xludf.DUMMYFUNCTION("""COMPUTED_VALUE"""),"FALSE")</f>
        <v>FALSE</v>
      </c>
      <c r="AZ2601" s="9"/>
      <c r="BC2601" s="9"/>
      <c r="BF2601" s="9"/>
      <c r="BI2601" s="9"/>
    </row>
    <row r="2602" spans="18:61">
      <c r="R2602" s="6"/>
      <c r="AS2602" s="15"/>
      <c r="AT2602" s="6" t="str">
        <f ca="1">IFERROR(__xludf.DUMMYFUNCTION("""COMPUTED_VALUE"""),"#N/A")</f>
        <v>#N/A</v>
      </c>
      <c r="AU2602" s="6" t="str">
        <f ca="1">IFERROR(__xludf.DUMMYFUNCTION("""COMPUTED_VALUE"""),"FALSE")</f>
        <v>FALSE</v>
      </c>
      <c r="AZ2602" s="9"/>
      <c r="BC2602" s="9"/>
      <c r="BF2602" s="9"/>
      <c r="BI2602" s="9"/>
    </row>
    <row r="2603" spans="18:61">
      <c r="R2603" s="6"/>
      <c r="AS2603" s="15"/>
      <c r="AT2603" s="6" t="str">
        <f ca="1">IFERROR(__xludf.DUMMYFUNCTION("""COMPUTED_VALUE"""),"#N/A")</f>
        <v>#N/A</v>
      </c>
      <c r="AU2603" s="6" t="str">
        <f ca="1">IFERROR(__xludf.DUMMYFUNCTION("""COMPUTED_VALUE"""),"FALSE")</f>
        <v>FALSE</v>
      </c>
      <c r="AZ2603" s="9"/>
      <c r="BC2603" s="9"/>
      <c r="BF2603" s="9"/>
      <c r="BI2603" s="9"/>
    </row>
    <row r="2604" spans="18:61">
      <c r="R2604" s="6"/>
      <c r="AS2604" s="15"/>
      <c r="AT2604" s="6" t="str">
        <f ca="1">IFERROR(__xludf.DUMMYFUNCTION("""COMPUTED_VALUE"""),"#N/A")</f>
        <v>#N/A</v>
      </c>
      <c r="AU2604" s="6" t="str">
        <f ca="1">IFERROR(__xludf.DUMMYFUNCTION("""COMPUTED_VALUE"""),"FALSE")</f>
        <v>FALSE</v>
      </c>
      <c r="AZ2604" s="9"/>
      <c r="BC2604" s="9"/>
      <c r="BF2604" s="9"/>
      <c r="BI2604" s="9"/>
    </row>
    <row r="2605" spans="18:61">
      <c r="R2605" s="6"/>
      <c r="AS2605" s="15"/>
      <c r="AT2605" s="6" t="str">
        <f ca="1">IFERROR(__xludf.DUMMYFUNCTION("""COMPUTED_VALUE"""),"#N/A")</f>
        <v>#N/A</v>
      </c>
      <c r="AU2605" s="6" t="str">
        <f ca="1">IFERROR(__xludf.DUMMYFUNCTION("""COMPUTED_VALUE"""),"FALSE")</f>
        <v>FALSE</v>
      </c>
      <c r="AZ2605" s="9"/>
      <c r="BC2605" s="9"/>
      <c r="BF2605" s="9"/>
      <c r="BI2605" s="9"/>
    </row>
    <row r="2606" spans="18:61">
      <c r="R2606" s="6"/>
      <c r="AS2606" s="15"/>
      <c r="AT2606" s="6" t="str">
        <f ca="1">IFERROR(__xludf.DUMMYFUNCTION("""COMPUTED_VALUE"""),"#N/A")</f>
        <v>#N/A</v>
      </c>
      <c r="AU2606" s="6" t="str">
        <f ca="1">IFERROR(__xludf.DUMMYFUNCTION("""COMPUTED_VALUE"""),"FALSE")</f>
        <v>FALSE</v>
      </c>
      <c r="AZ2606" s="9"/>
      <c r="BC2606" s="9"/>
      <c r="BF2606" s="9"/>
      <c r="BI2606" s="9"/>
    </row>
    <row r="2607" spans="18:61">
      <c r="R2607" s="6"/>
      <c r="AS2607" s="15"/>
      <c r="AT2607" s="6" t="str">
        <f ca="1">IFERROR(__xludf.DUMMYFUNCTION("""COMPUTED_VALUE"""),"#N/A")</f>
        <v>#N/A</v>
      </c>
      <c r="AU2607" s="6" t="str">
        <f ca="1">IFERROR(__xludf.DUMMYFUNCTION("""COMPUTED_VALUE"""),"FALSE")</f>
        <v>FALSE</v>
      </c>
      <c r="AZ2607" s="9"/>
      <c r="BC2607" s="9"/>
      <c r="BF2607" s="9"/>
      <c r="BI2607" s="9"/>
    </row>
    <row r="2608" spans="18:61">
      <c r="R2608" s="6"/>
      <c r="AS2608" s="15"/>
      <c r="AT2608" s="6" t="str">
        <f ca="1">IFERROR(__xludf.DUMMYFUNCTION("""COMPUTED_VALUE"""),"#N/A")</f>
        <v>#N/A</v>
      </c>
      <c r="AU2608" s="6" t="str">
        <f ca="1">IFERROR(__xludf.DUMMYFUNCTION("""COMPUTED_VALUE"""),"FALSE")</f>
        <v>FALSE</v>
      </c>
      <c r="AZ2608" s="9"/>
      <c r="BC2608" s="9"/>
      <c r="BF2608" s="9"/>
      <c r="BI2608" s="9"/>
    </row>
    <row r="2609" spans="18:61">
      <c r="R2609" s="6"/>
      <c r="AS2609" s="15"/>
      <c r="AT2609" s="6" t="str">
        <f ca="1">IFERROR(__xludf.DUMMYFUNCTION("""COMPUTED_VALUE"""),"#N/A")</f>
        <v>#N/A</v>
      </c>
      <c r="AU2609" s="6" t="str">
        <f ca="1">IFERROR(__xludf.DUMMYFUNCTION("""COMPUTED_VALUE"""),"FALSE")</f>
        <v>FALSE</v>
      </c>
      <c r="AZ2609" s="9"/>
      <c r="BC2609" s="9"/>
      <c r="BF2609" s="9"/>
      <c r="BI2609" s="9"/>
    </row>
    <row r="2610" spans="18:61">
      <c r="R2610" s="6"/>
      <c r="AS2610" s="15"/>
      <c r="AT2610" s="6" t="str">
        <f ca="1">IFERROR(__xludf.DUMMYFUNCTION("""COMPUTED_VALUE"""),"#N/A")</f>
        <v>#N/A</v>
      </c>
      <c r="AU2610" s="6" t="str">
        <f ca="1">IFERROR(__xludf.DUMMYFUNCTION("""COMPUTED_VALUE"""),"FALSE")</f>
        <v>FALSE</v>
      </c>
      <c r="AZ2610" s="9"/>
      <c r="BC2610" s="9"/>
      <c r="BF2610" s="9"/>
      <c r="BI2610" s="9"/>
    </row>
    <row r="2611" spans="18:61">
      <c r="R2611" s="6"/>
      <c r="AS2611" s="15"/>
      <c r="AT2611" s="6" t="str">
        <f ca="1">IFERROR(__xludf.DUMMYFUNCTION("""COMPUTED_VALUE"""),"#N/A")</f>
        <v>#N/A</v>
      </c>
      <c r="AU2611" s="6" t="str">
        <f ca="1">IFERROR(__xludf.DUMMYFUNCTION("""COMPUTED_VALUE"""),"FALSE")</f>
        <v>FALSE</v>
      </c>
      <c r="AZ2611" s="9"/>
      <c r="BC2611" s="9"/>
      <c r="BF2611" s="9"/>
      <c r="BI2611" s="9"/>
    </row>
    <row r="2612" spans="18:61">
      <c r="R2612" s="6"/>
      <c r="AS2612" s="15"/>
      <c r="AT2612" s="6" t="str">
        <f ca="1">IFERROR(__xludf.DUMMYFUNCTION("""COMPUTED_VALUE"""),"#N/A")</f>
        <v>#N/A</v>
      </c>
      <c r="AU2612" s="6" t="str">
        <f ca="1">IFERROR(__xludf.DUMMYFUNCTION("""COMPUTED_VALUE"""),"FALSE")</f>
        <v>FALSE</v>
      </c>
      <c r="AZ2612" s="9"/>
      <c r="BC2612" s="9"/>
      <c r="BF2612" s="9"/>
      <c r="BI2612" s="9"/>
    </row>
    <row r="2613" spans="18:61">
      <c r="R2613" s="6"/>
      <c r="AS2613" s="15"/>
      <c r="AT2613" s="6" t="str">
        <f ca="1">IFERROR(__xludf.DUMMYFUNCTION("""COMPUTED_VALUE"""),"#N/A")</f>
        <v>#N/A</v>
      </c>
      <c r="AU2613" s="6" t="str">
        <f ca="1">IFERROR(__xludf.DUMMYFUNCTION("""COMPUTED_VALUE"""),"FALSE")</f>
        <v>FALSE</v>
      </c>
      <c r="AZ2613" s="9"/>
      <c r="BC2613" s="9"/>
      <c r="BF2613" s="9"/>
      <c r="BI2613" s="9"/>
    </row>
    <row r="2614" spans="18:61">
      <c r="R2614" s="6"/>
      <c r="AS2614" s="15"/>
      <c r="AT2614" s="6" t="str">
        <f ca="1">IFERROR(__xludf.DUMMYFUNCTION("""COMPUTED_VALUE"""),"#N/A")</f>
        <v>#N/A</v>
      </c>
      <c r="AU2614" s="6" t="str">
        <f ca="1">IFERROR(__xludf.DUMMYFUNCTION("""COMPUTED_VALUE"""),"FALSE")</f>
        <v>FALSE</v>
      </c>
      <c r="AZ2614" s="9"/>
      <c r="BC2614" s="9"/>
      <c r="BF2614" s="9"/>
      <c r="BI2614" s="9"/>
    </row>
    <row r="2615" spans="18:61">
      <c r="R2615" s="6"/>
      <c r="AS2615" s="15"/>
      <c r="AT2615" s="6" t="str">
        <f ca="1">IFERROR(__xludf.DUMMYFUNCTION("""COMPUTED_VALUE"""),"#N/A")</f>
        <v>#N/A</v>
      </c>
      <c r="AU2615" s="6" t="str">
        <f ca="1">IFERROR(__xludf.DUMMYFUNCTION("""COMPUTED_VALUE"""),"FALSE")</f>
        <v>FALSE</v>
      </c>
      <c r="AZ2615" s="9"/>
      <c r="BC2615" s="9"/>
      <c r="BF2615" s="9"/>
      <c r="BI2615" s="9"/>
    </row>
    <row r="2616" spans="18:61">
      <c r="R2616" s="6"/>
      <c r="AS2616" s="15"/>
      <c r="AT2616" s="6" t="str">
        <f ca="1">IFERROR(__xludf.DUMMYFUNCTION("""COMPUTED_VALUE"""),"#N/A")</f>
        <v>#N/A</v>
      </c>
      <c r="AU2616" s="6" t="str">
        <f ca="1">IFERROR(__xludf.DUMMYFUNCTION("""COMPUTED_VALUE"""),"FALSE")</f>
        <v>FALSE</v>
      </c>
      <c r="AZ2616" s="9"/>
      <c r="BC2616" s="9"/>
      <c r="BF2616" s="9"/>
      <c r="BI2616" s="9"/>
    </row>
    <row r="2617" spans="18:61">
      <c r="R2617" s="6"/>
      <c r="AS2617" s="15"/>
      <c r="AT2617" s="6" t="str">
        <f ca="1">IFERROR(__xludf.DUMMYFUNCTION("""COMPUTED_VALUE"""),"#N/A")</f>
        <v>#N/A</v>
      </c>
      <c r="AU2617" s="6" t="str">
        <f ca="1">IFERROR(__xludf.DUMMYFUNCTION("""COMPUTED_VALUE"""),"FALSE")</f>
        <v>FALSE</v>
      </c>
      <c r="AZ2617" s="9"/>
      <c r="BC2617" s="9"/>
      <c r="BF2617" s="9"/>
      <c r="BI2617" s="9"/>
    </row>
    <row r="2618" spans="18:61">
      <c r="R2618" s="6"/>
      <c r="AS2618" s="15"/>
      <c r="AT2618" s="6" t="str">
        <f ca="1">IFERROR(__xludf.DUMMYFUNCTION("""COMPUTED_VALUE"""),"#N/A")</f>
        <v>#N/A</v>
      </c>
      <c r="AU2618" s="6" t="str">
        <f ca="1">IFERROR(__xludf.DUMMYFUNCTION("""COMPUTED_VALUE"""),"FALSE")</f>
        <v>FALSE</v>
      </c>
      <c r="AZ2618" s="9"/>
      <c r="BC2618" s="9"/>
      <c r="BF2618" s="9"/>
      <c r="BI2618" s="9"/>
    </row>
    <row r="2619" spans="18:61">
      <c r="R2619" s="6"/>
      <c r="AS2619" s="15"/>
      <c r="AT2619" s="6" t="str">
        <f ca="1">IFERROR(__xludf.DUMMYFUNCTION("""COMPUTED_VALUE"""),"#N/A")</f>
        <v>#N/A</v>
      </c>
      <c r="AU2619" s="6" t="str">
        <f ca="1">IFERROR(__xludf.DUMMYFUNCTION("""COMPUTED_VALUE"""),"FALSE")</f>
        <v>FALSE</v>
      </c>
      <c r="AZ2619" s="9"/>
      <c r="BC2619" s="9"/>
      <c r="BF2619" s="9"/>
      <c r="BI2619" s="9"/>
    </row>
    <row r="2620" spans="18:61">
      <c r="R2620" s="6"/>
      <c r="AS2620" s="15"/>
      <c r="AT2620" s="6" t="str">
        <f ca="1">IFERROR(__xludf.DUMMYFUNCTION("""COMPUTED_VALUE"""),"#N/A")</f>
        <v>#N/A</v>
      </c>
      <c r="AU2620" s="6" t="str">
        <f ca="1">IFERROR(__xludf.DUMMYFUNCTION("""COMPUTED_VALUE"""),"FALSE")</f>
        <v>FALSE</v>
      </c>
      <c r="AZ2620" s="9"/>
      <c r="BC2620" s="9"/>
      <c r="BF2620" s="9"/>
      <c r="BI2620" s="9"/>
    </row>
    <row r="2621" spans="18:61">
      <c r="R2621" s="6"/>
      <c r="AS2621" s="15"/>
      <c r="AT2621" s="6" t="str">
        <f ca="1">IFERROR(__xludf.DUMMYFUNCTION("""COMPUTED_VALUE"""),"#N/A")</f>
        <v>#N/A</v>
      </c>
      <c r="AU2621" s="6" t="str">
        <f ca="1">IFERROR(__xludf.DUMMYFUNCTION("""COMPUTED_VALUE"""),"FALSE")</f>
        <v>FALSE</v>
      </c>
      <c r="AZ2621" s="9"/>
      <c r="BC2621" s="9"/>
      <c r="BF2621" s="9"/>
      <c r="BI2621" s="9"/>
    </row>
    <row r="2622" spans="18:61">
      <c r="R2622" s="6"/>
      <c r="AS2622" s="15"/>
      <c r="AT2622" s="6" t="str">
        <f ca="1">IFERROR(__xludf.DUMMYFUNCTION("""COMPUTED_VALUE"""),"#N/A")</f>
        <v>#N/A</v>
      </c>
      <c r="AU2622" s="6" t="str">
        <f ca="1">IFERROR(__xludf.DUMMYFUNCTION("""COMPUTED_VALUE"""),"FALSE")</f>
        <v>FALSE</v>
      </c>
      <c r="AZ2622" s="9"/>
      <c r="BC2622" s="9"/>
      <c r="BF2622" s="9"/>
      <c r="BI2622" s="9"/>
    </row>
    <row r="2623" spans="18:61">
      <c r="R2623" s="6"/>
      <c r="AS2623" s="15"/>
      <c r="AT2623" s="6" t="str">
        <f ca="1">IFERROR(__xludf.DUMMYFUNCTION("""COMPUTED_VALUE"""),"#N/A")</f>
        <v>#N/A</v>
      </c>
      <c r="AU2623" s="6" t="str">
        <f ca="1">IFERROR(__xludf.DUMMYFUNCTION("""COMPUTED_VALUE"""),"FALSE")</f>
        <v>FALSE</v>
      </c>
      <c r="AZ2623" s="9"/>
      <c r="BC2623" s="9"/>
      <c r="BF2623" s="9"/>
      <c r="BI2623" s="9"/>
    </row>
    <row r="2624" spans="18:61">
      <c r="R2624" s="6"/>
      <c r="AS2624" s="15"/>
      <c r="AT2624" s="6" t="str">
        <f ca="1">IFERROR(__xludf.DUMMYFUNCTION("""COMPUTED_VALUE"""),"#N/A")</f>
        <v>#N/A</v>
      </c>
      <c r="AU2624" s="6" t="str">
        <f ca="1">IFERROR(__xludf.DUMMYFUNCTION("""COMPUTED_VALUE"""),"FALSE")</f>
        <v>FALSE</v>
      </c>
      <c r="AZ2624" s="9"/>
      <c r="BC2624" s="9"/>
      <c r="BF2624" s="9"/>
      <c r="BI2624" s="9"/>
    </row>
    <row r="2625" spans="18:61">
      <c r="R2625" s="6"/>
      <c r="AS2625" s="15"/>
      <c r="AT2625" s="6" t="str">
        <f ca="1">IFERROR(__xludf.DUMMYFUNCTION("""COMPUTED_VALUE"""),"#N/A")</f>
        <v>#N/A</v>
      </c>
      <c r="AU2625" s="6" t="str">
        <f ca="1">IFERROR(__xludf.DUMMYFUNCTION("""COMPUTED_VALUE"""),"FALSE")</f>
        <v>FALSE</v>
      </c>
      <c r="AZ2625" s="9"/>
      <c r="BC2625" s="9"/>
      <c r="BF2625" s="9"/>
      <c r="BI2625" s="9"/>
    </row>
    <row r="2626" spans="18:61">
      <c r="R2626" s="6"/>
      <c r="AS2626" s="15"/>
      <c r="AT2626" s="6" t="str">
        <f ca="1">IFERROR(__xludf.DUMMYFUNCTION("""COMPUTED_VALUE"""),"#N/A")</f>
        <v>#N/A</v>
      </c>
      <c r="AU2626" s="6" t="str">
        <f ca="1">IFERROR(__xludf.DUMMYFUNCTION("""COMPUTED_VALUE"""),"FALSE")</f>
        <v>FALSE</v>
      </c>
      <c r="AZ2626" s="9"/>
      <c r="BC2626" s="9"/>
      <c r="BF2626" s="9"/>
      <c r="BI2626" s="9"/>
    </row>
    <row r="2627" spans="18:61">
      <c r="R2627" s="6"/>
      <c r="AS2627" s="15"/>
      <c r="AT2627" s="6" t="str">
        <f ca="1">IFERROR(__xludf.DUMMYFUNCTION("""COMPUTED_VALUE"""),"#N/A")</f>
        <v>#N/A</v>
      </c>
      <c r="AU2627" s="6" t="str">
        <f ca="1">IFERROR(__xludf.DUMMYFUNCTION("""COMPUTED_VALUE"""),"FALSE")</f>
        <v>FALSE</v>
      </c>
      <c r="AZ2627" s="9"/>
      <c r="BC2627" s="9"/>
      <c r="BF2627" s="9"/>
      <c r="BI2627" s="9"/>
    </row>
    <row r="2628" spans="18:61">
      <c r="R2628" s="6"/>
      <c r="AS2628" s="15"/>
      <c r="AT2628" s="6" t="str">
        <f ca="1">IFERROR(__xludf.DUMMYFUNCTION("""COMPUTED_VALUE"""),"#N/A")</f>
        <v>#N/A</v>
      </c>
      <c r="AU2628" s="6" t="str">
        <f ca="1">IFERROR(__xludf.DUMMYFUNCTION("""COMPUTED_VALUE"""),"FALSE")</f>
        <v>FALSE</v>
      </c>
      <c r="AZ2628" s="9"/>
      <c r="BC2628" s="9"/>
      <c r="BF2628" s="9"/>
      <c r="BI2628" s="9"/>
    </row>
    <row r="2629" spans="18:61">
      <c r="R2629" s="6"/>
      <c r="AS2629" s="15"/>
      <c r="AT2629" s="6" t="str">
        <f ca="1">IFERROR(__xludf.DUMMYFUNCTION("""COMPUTED_VALUE"""),"#N/A")</f>
        <v>#N/A</v>
      </c>
      <c r="AU2629" s="6" t="str">
        <f ca="1">IFERROR(__xludf.DUMMYFUNCTION("""COMPUTED_VALUE"""),"FALSE")</f>
        <v>FALSE</v>
      </c>
      <c r="AZ2629" s="9"/>
      <c r="BC2629" s="9"/>
      <c r="BF2629" s="9"/>
      <c r="BI2629" s="9"/>
    </row>
    <row r="2630" spans="18:61">
      <c r="R2630" s="6"/>
      <c r="AS2630" s="15"/>
      <c r="AT2630" s="6" t="str">
        <f ca="1">IFERROR(__xludf.DUMMYFUNCTION("""COMPUTED_VALUE"""),"#N/A")</f>
        <v>#N/A</v>
      </c>
      <c r="AU2630" s="6" t="str">
        <f ca="1">IFERROR(__xludf.DUMMYFUNCTION("""COMPUTED_VALUE"""),"FALSE")</f>
        <v>FALSE</v>
      </c>
      <c r="AZ2630" s="9"/>
      <c r="BC2630" s="9"/>
      <c r="BF2630" s="9"/>
      <c r="BI2630" s="9"/>
    </row>
    <row r="2631" spans="18:61">
      <c r="R2631" s="6"/>
      <c r="AS2631" s="15"/>
      <c r="AT2631" s="6" t="str">
        <f ca="1">IFERROR(__xludf.DUMMYFUNCTION("""COMPUTED_VALUE"""),"#N/A")</f>
        <v>#N/A</v>
      </c>
      <c r="AU2631" s="6" t="str">
        <f ca="1">IFERROR(__xludf.DUMMYFUNCTION("""COMPUTED_VALUE"""),"FALSE")</f>
        <v>FALSE</v>
      </c>
      <c r="AZ2631" s="9"/>
      <c r="BC2631" s="9"/>
      <c r="BF2631" s="9"/>
      <c r="BI2631" s="9"/>
    </row>
    <row r="2632" spans="18:61">
      <c r="R2632" s="6"/>
      <c r="AS2632" s="15"/>
      <c r="AT2632" s="6" t="str">
        <f ca="1">IFERROR(__xludf.DUMMYFUNCTION("""COMPUTED_VALUE"""),"#N/A")</f>
        <v>#N/A</v>
      </c>
      <c r="AU2632" s="6" t="str">
        <f ca="1">IFERROR(__xludf.DUMMYFUNCTION("""COMPUTED_VALUE"""),"FALSE")</f>
        <v>FALSE</v>
      </c>
      <c r="AZ2632" s="9"/>
      <c r="BC2632" s="9"/>
      <c r="BF2632" s="9"/>
      <c r="BI2632" s="9"/>
    </row>
    <row r="2633" spans="18:61">
      <c r="R2633" s="6"/>
      <c r="AS2633" s="15"/>
      <c r="AT2633" s="6" t="str">
        <f ca="1">IFERROR(__xludf.DUMMYFUNCTION("""COMPUTED_VALUE"""),"#N/A")</f>
        <v>#N/A</v>
      </c>
      <c r="AU2633" s="6" t="str">
        <f ca="1">IFERROR(__xludf.DUMMYFUNCTION("""COMPUTED_VALUE"""),"FALSE")</f>
        <v>FALSE</v>
      </c>
      <c r="AZ2633" s="9"/>
      <c r="BC2633" s="9"/>
      <c r="BF2633" s="9"/>
      <c r="BI2633" s="9"/>
    </row>
    <row r="2634" spans="18:61">
      <c r="R2634" s="6"/>
      <c r="AS2634" s="15"/>
      <c r="AT2634" s="6" t="str">
        <f ca="1">IFERROR(__xludf.DUMMYFUNCTION("""COMPUTED_VALUE"""),"#N/A")</f>
        <v>#N/A</v>
      </c>
      <c r="AU2634" s="6" t="str">
        <f ca="1">IFERROR(__xludf.DUMMYFUNCTION("""COMPUTED_VALUE"""),"FALSE")</f>
        <v>FALSE</v>
      </c>
      <c r="AZ2634" s="9"/>
      <c r="BC2634" s="9"/>
      <c r="BF2634" s="9"/>
      <c r="BI2634" s="9"/>
    </row>
    <row r="2635" spans="18:61">
      <c r="R2635" s="6"/>
      <c r="AS2635" s="15"/>
      <c r="AT2635" s="6" t="str">
        <f ca="1">IFERROR(__xludf.DUMMYFUNCTION("""COMPUTED_VALUE"""),"#N/A")</f>
        <v>#N/A</v>
      </c>
      <c r="AU2635" s="6" t="str">
        <f ca="1">IFERROR(__xludf.DUMMYFUNCTION("""COMPUTED_VALUE"""),"FALSE")</f>
        <v>FALSE</v>
      </c>
      <c r="AZ2635" s="9"/>
      <c r="BC2635" s="9"/>
      <c r="BF2635" s="9"/>
      <c r="BI2635" s="9"/>
    </row>
    <row r="2636" spans="18:61">
      <c r="R2636" s="6"/>
      <c r="AS2636" s="15"/>
      <c r="AT2636" s="6" t="str">
        <f ca="1">IFERROR(__xludf.DUMMYFUNCTION("""COMPUTED_VALUE"""),"#N/A")</f>
        <v>#N/A</v>
      </c>
      <c r="AU2636" s="6" t="str">
        <f ca="1">IFERROR(__xludf.DUMMYFUNCTION("""COMPUTED_VALUE"""),"FALSE")</f>
        <v>FALSE</v>
      </c>
      <c r="AZ2636" s="9"/>
      <c r="BC2636" s="9"/>
      <c r="BF2636" s="9"/>
      <c r="BI2636" s="9"/>
    </row>
    <row r="2637" spans="18:61">
      <c r="R2637" s="6"/>
      <c r="AS2637" s="15"/>
      <c r="AT2637" s="6" t="str">
        <f ca="1">IFERROR(__xludf.DUMMYFUNCTION("""COMPUTED_VALUE"""),"#N/A")</f>
        <v>#N/A</v>
      </c>
      <c r="AU2637" s="6" t="str">
        <f ca="1">IFERROR(__xludf.DUMMYFUNCTION("""COMPUTED_VALUE"""),"FALSE")</f>
        <v>FALSE</v>
      </c>
      <c r="AZ2637" s="9"/>
      <c r="BC2637" s="9"/>
      <c r="BF2637" s="9"/>
      <c r="BI2637" s="9"/>
    </row>
    <row r="2638" spans="18:61">
      <c r="R2638" s="6"/>
      <c r="AS2638" s="15"/>
      <c r="AT2638" s="6" t="str">
        <f ca="1">IFERROR(__xludf.DUMMYFUNCTION("""COMPUTED_VALUE"""),"#N/A")</f>
        <v>#N/A</v>
      </c>
      <c r="AU2638" s="6" t="str">
        <f ca="1">IFERROR(__xludf.DUMMYFUNCTION("""COMPUTED_VALUE"""),"FALSE")</f>
        <v>FALSE</v>
      </c>
      <c r="AZ2638" s="9"/>
      <c r="BC2638" s="9"/>
      <c r="BF2638" s="9"/>
      <c r="BI2638" s="9"/>
    </row>
    <row r="2639" spans="18:61">
      <c r="R2639" s="6"/>
      <c r="AS2639" s="15"/>
      <c r="AT2639" s="6" t="str">
        <f ca="1">IFERROR(__xludf.DUMMYFUNCTION("""COMPUTED_VALUE"""),"#N/A")</f>
        <v>#N/A</v>
      </c>
      <c r="AU2639" s="6" t="str">
        <f ca="1">IFERROR(__xludf.DUMMYFUNCTION("""COMPUTED_VALUE"""),"FALSE")</f>
        <v>FALSE</v>
      </c>
      <c r="AZ2639" s="9"/>
      <c r="BC2639" s="9"/>
      <c r="BF2639" s="9"/>
      <c r="BI2639" s="9"/>
    </row>
    <row r="2640" spans="18:61">
      <c r="R2640" s="6"/>
      <c r="AS2640" s="15"/>
      <c r="AT2640" s="6" t="str">
        <f ca="1">IFERROR(__xludf.DUMMYFUNCTION("""COMPUTED_VALUE"""),"#N/A")</f>
        <v>#N/A</v>
      </c>
      <c r="AU2640" s="6" t="str">
        <f ca="1">IFERROR(__xludf.DUMMYFUNCTION("""COMPUTED_VALUE"""),"FALSE")</f>
        <v>FALSE</v>
      </c>
      <c r="AZ2640" s="9"/>
      <c r="BC2640" s="9"/>
      <c r="BF2640" s="9"/>
      <c r="BI2640" s="9"/>
    </row>
    <row r="2641" spans="18:61">
      <c r="R2641" s="6"/>
      <c r="AS2641" s="15"/>
      <c r="AT2641" s="6" t="str">
        <f ca="1">IFERROR(__xludf.DUMMYFUNCTION("""COMPUTED_VALUE"""),"#N/A")</f>
        <v>#N/A</v>
      </c>
      <c r="AU2641" s="6" t="str">
        <f ca="1">IFERROR(__xludf.DUMMYFUNCTION("""COMPUTED_VALUE"""),"FALSE")</f>
        <v>FALSE</v>
      </c>
      <c r="AZ2641" s="9"/>
      <c r="BC2641" s="9"/>
      <c r="BF2641" s="9"/>
      <c r="BI2641" s="9"/>
    </row>
    <row r="2642" spans="18:61">
      <c r="R2642" s="6"/>
      <c r="AS2642" s="15"/>
      <c r="AT2642" s="6" t="str">
        <f ca="1">IFERROR(__xludf.DUMMYFUNCTION("""COMPUTED_VALUE"""),"#N/A")</f>
        <v>#N/A</v>
      </c>
      <c r="AU2642" s="6" t="str">
        <f ca="1">IFERROR(__xludf.DUMMYFUNCTION("""COMPUTED_VALUE"""),"FALSE")</f>
        <v>FALSE</v>
      </c>
      <c r="AZ2642" s="9"/>
      <c r="BC2642" s="9"/>
      <c r="BF2642" s="9"/>
      <c r="BI2642" s="9"/>
    </row>
    <row r="2643" spans="18:61">
      <c r="R2643" s="6"/>
      <c r="AS2643" s="15"/>
      <c r="AT2643" s="6" t="str">
        <f ca="1">IFERROR(__xludf.DUMMYFUNCTION("""COMPUTED_VALUE"""),"#N/A")</f>
        <v>#N/A</v>
      </c>
      <c r="AU2643" s="6" t="str">
        <f ca="1">IFERROR(__xludf.DUMMYFUNCTION("""COMPUTED_VALUE"""),"FALSE")</f>
        <v>FALSE</v>
      </c>
      <c r="AZ2643" s="9"/>
      <c r="BC2643" s="9"/>
      <c r="BF2643" s="9"/>
      <c r="BI2643" s="9"/>
    </row>
    <row r="2644" spans="18:61">
      <c r="R2644" s="6"/>
      <c r="AS2644" s="15"/>
      <c r="AT2644" s="6" t="str">
        <f ca="1">IFERROR(__xludf.DUMMYFUNCTION("""COMPUTED_VALUE"""),"#N/A")</f>
        <v>#N/A</v>
      </c>
      <c r="AU2644" s="6" t="str">
        <f ca="1">IFERROR(__xludf.DUMMYFUNCTION("""COMPUTED_VALUE"""),"FALSE")</f>
        <v>FALSE</v>
      </c>
      <c r="AZ2644" s="9"/>
      <c r="BC2644" s="9"/>
      <c r="BF2644" s="9"/>
      <c r="BI2644" s="9"/>
    </row>
    <row r="2645" spans="18:61">
      <c r="R2645" s="6"/>
      <c r="AS2645" s="15"/>
      <c r="AT2645" s="6" t="str">
        <f ca="1">IFERROR(__xludf.DUMMYFUNCTION("""COMPUTED_VALUE"""),"#N/A")</f>
        <v>#N/A</v>
      </c>
      <c r="AU2645" s="6" t="str">
        <f ca="1">IFERROR(__xludf.DUMMYFUNCTION("""COMPUTED_VALUE"""),"FALSE")</f>
        <v>FALSE</v>
      </c>
      <c r="AZ2645" s="9"/>
      <c r="BC2645" s="9"/>
      <c r="BF2645" s="9"/>
      <c r="BI2645" s="9"/>
    </row>
    <row r="2646" spans="18:61">
      <c r="R2646" s="6"/>
      <c r="AS2646" s="15"/>
      <c r="AT2646" s="6" t="str">
        <f ca="1">IFERROR(__xludf.DUMMYFUNCTION("""COMPUTED_VALUE"""),"#N/A")</f>
        <v>#N/A</v>
      </c>
      <c r="AU2646" s="6" t="str">
        <f ca="1">IFERROR(__xludf.DUMMYFUNCTION("""COMPUTED_VALUE"""),"FALSE")</f>
        <v>FALSE</v>
      </c>
      <c r="AZ2646" s="9"/>
      <c r="BC2646" s="9"/>
      <c r="BF2646" s="9"/>
      <c r="BI2646" s="9"/>
    </row>
    <row r="2647" spans="18:61">
      <c r="R2647" s="6"/>
      <c r="AS2647" s="15"/>
      <c r="AT2647" s="6" t="str">
        <f ca="1">IFERROR(__xludf.DUMMYFUNCTION("""COMPUTED_VALUE"""),"#N/A")</f>
        <v>#N/A</v>
      </c>
      <c r="AU2647" s="6" t="str">
        <f ca="1">IFERROR(__xludf.DUMMYFUNCTION("""COMPUTED_VALUE"""),"FALSE")</f>
        <v>FALSE</v>
      </c>
      <c r="AZ2647" s="9"/>
      <c r="BC2647" s="9"/>
      <c r="BF2647" s="9"/>
      <c r="BI2647" s="9"/>
    </row>
    <row r="2648" spans="18:61">
      <c r="R2648" s="6"/>
      <c r="AS2648" s="15"/>
      <c r="AT2648" s="6" t="str">
        <f ca="1">IFERROR(__xludf.DUMMYFUNCTION("""COMPUTED_VALUE"""),"#N/A")</f>
        <v>#N/A</v>
      </c>
      <c r="AU2648" s="6" t="str">
        <f ca="1">IFERROR(__xludf.DUMMYFUNCTION("""COMPUTED_VALUE"""),"FALSE")</f>
        <v>FALSE</v>
      </c>
      <c r="AZ2648" s="9"/>
      <c r="BC2648" s="9"/>
      <c r="BF2648" s="9"/>
      <c r="BI2648" s="9"/>
    </row>
    <row r="2649" spans="18:61">
      <c r="R2649" s="6"/>
      <c r="AS2649" s="15"/>
      <c r="AT2649" s="6" t="str">
        <f ca="1">IFERROR(__xludf.DUMMYFUNCTION("""COMPUTED_VALUE"""),"#N/A")</f>
        <v>#N/A</v>
      </c>
      <c r="AU2649" s="6" t="str">
        <f ca="1">IFERROR(__xludf.DUMMYFUNCTION("""COMPUTED_VALUE"""),"FALSE")</f>
        <v>FALSE</v>
      </c>
      <c r="AZ2649" s="9"/>
      <c r="BC2649" s="9"/>
      <c r="BF2649" s="9"/>
      <c r="BI2649" s="9"/>
    </row>
    <row r="2650" spans="18:61">
      <c r="R2650" s="6"/>
      <c r="AS2650" s="15"/>
      <c r="AT2650" s="6" t="str">
        <f ca="1">IFERROR(__xludf.DUMMYFUNCTION("""COMPUTED_VALUE"""),"#N/A")</f>
        <v>#N/A</v>
      </c>
      <c r="AU2650" s="6" t="str">
        <f ca="1">IFERROR(__xludf.DUMMYFUNCTION("""COMPUTED_VALUE"""),"FALSE")</f>
        <v>FALSE</v>
      </c>
      <c r="AZ2650" s="9"/>
      <c r="BC2650" s="9"/>
      <c r="BF2650" s="9"/>
      <c r="BI2650" s="9"/>
    </row>
    <row r="2651" spans="18:61">
      <c r="R2651" s="6"/>
      <c r="AS2651" s="15"/>
      <c r="AT2651" s="6" t="str">
        <f ca="1">IFERROR(__xludf.DUMMYFUNCTION("""COMPUTED_VALUE"""),"#N/A")</f>
        <v>#N/A</v>
      </c>
      <c r="AU2651" s="6" t="str">
        <f ca="1">IFERROR(__xludf.DUMMYFUNCTION("""COMPUTED_VALUE"""),"FALSE")</f>
        <v>FALSE</v>
      </c>
      <c r="AZ2651" s="9"/>
      <c r="BC2651" s="9"/>
      <c r="BF2651" s="9"/>
      <c r="BI2651" s="9"/>
    </row>
    <row r="2652" spans="18:61">
      <c r="R2652" s="6"/>
      <c r="AS2652" s="15"/>
      <c r="AT2652" s="6" t="str">
        <f ca="1">IFERROR(__xludf.DUMMYFUNCTION("""COMPUTED_VALUE"""),"#N/A")</f>
        <v>#N/A</v>
      </c>
      <c r="AU2652" s="6" t="str">
        <f ca="1">IFERROR(__xludf.DUMMYFUNCTION("""COMPUTED_VALUE"""),"FALSE")</f>
        <v>FALSE</v>
      </c>
      <c r="AZ2652" s="9"/>
      <c r="BC2652" s="9"/>
      <c r="BF2652" s="9"/>
      <c r="BI2652" s="9"/>
    </row>
    <row r="2653" spans="18:61">
      <c r="R2653" s="6"/>
      <c r="AS2653" s="15"/>
      <c r="AT2653" s="6" t="str">
        <f ca="1">IFERROR(__xludf.DUMMYFUNCTION("""COMPUTED_VALUE"""),"#N/A")</f>
        <v>#N/A</v>
      </c>
      <c r="AU2653" s="6" t="str">
        <f ca="1">IFERROR(__xludf.DUMMYFUNCTION("""COMPUTED_VALUE"""),"FALSE")</f>
        <v>FALSE</v>
      </c>
      <c r="AZ2653" s="9"/>
      <c r="BC2653" s="9"/>
      <c r="BF2653" s="9"/>
      <c r="BI2653" s="9"/>
    </row>
    <row r="2654" spans="18:61">
      <c r="R2654" s="6"/>
      <c r="AS2654" s="15"/>
      <c r="AT2654" s="6" t="str">
        <f ca="1">IFERROR(__xludf.DUMMYFUNCTION("""COMPUTED_VALUE"""),"#N/A")</f>
        <v>#N/A</v>
      </c>
      <c r="AU2654" s="6" t="str">
        <f ca="1">IFERROR(__xludf.DUMMYFUNCTION("""COMPUTED_VALUE"""),"FALSE")</f>
        <v>FALSE</v>
      </c>
      <c r="AZ2654" s="9"/>
      <c r="BC2654" s="9"/>
      <c r="BF2654" s="9"/>
      <c r="BI2654" s="9"/>
    </row>
    <row r="2655" spans="18:61">
      <c r="R2655" s="6"/>
      <c r="AS2655" s="15"/>
      <c r="AT2655" s="6" t="str">
        <f ca="1">IFERROR(__xludf.DUMMYFUNCTION("""COMPUTED_VALUE"""),"#N/A")</f>
        <v>#N/A</v>
      </c>
      <c r="AU2655" s="6" t="str">
        <f ca="1">IFERROR(__xludf.DUMMYFUNCTION("""COMPUTED_VALUE"""),"FALSE")</f>
        <v>FALSE</v>
      </c>
      <c r="AZ2655" s="9"/>
      <c r="BC2655" s="9"/>
      <c r="BF2655" s="9"/>
      <c r="BI2655" s="9"/>
    </row>
    <row r="2656" spans="18:61">
      <c r="R2656" s="6"/>
      <c r="AS2656" s="15"/>
      <c r="AT2656" s="6" t="str">
        <f ca="1">IFERROR(__xludf.DUMMYFUNCTION("""COMPUTED_VALUE"""),"#N/A")</f>
        <v>#N/A</v>
      </c>
      <c r="AU2656" s="6" t="str">
        <f ca="1">IFERROR(__xludf.DUMMYFUNCTION("""COMPUTED_VALUE"""),"FALSE")</f>
        <v>FALSE</v>
      </c>
      <c r="AZ2656" s="9"/>
      <c r="BC2656" s="9"/>
      <c r="BF2656" s="9"/>
      <c r="BI2656" s="9"/>
    </row>
    <row r="2657" spans="18:61">
      <c r="R2657" s="6"/>
      <c r="AS2657" s="15"/>
      <c r="AT2657" s="6" t="str">
        <f ca="1">IFERROR(__xludf.DUMMYFUNCTION("""COMPUTED_VALUE"""),"#N/A")</f>
        <v>#N/A</v>
      </c>
      <c r="AU2657" s="6" t="str">
        <f ca="1">IFERROR(__xludf.DUMMYFUNCTION("""COMPUTED_VALUE"""),"FALSE")</f>
        <v>FALSE</v>
      </c>
      <c r="AZ2657" s="9"/>
      <c r="BC2657" s="9"/>
      <c r="BF2657" s="9"/>
      <c r="BI2657" s="9"/>
    </row>
    <row r="2658" spans="18:61">
      <c r="R2658" s="6"/>
      <c r="AS2658" s="15"/>
      <c r="AT2658" s="6" t="str">
        <f ca="1">IFERROR(__xludf.DUMMYFUNCTION("""COMPUTED_VALUE"""),"#N/A")</f>
        <v>#N/A</v>
      </c>
      <c r="AU2658" s="6" t="str">
        <f ca="1">IFERROR(__xludf.DUMMYFUNCTION("""COMPUTED_VALUE"""),"FALSE")</f>
        <v>FALSE</v>
      </c>
      <c r="AZ2658" s="9"/>
      <c r="BC2658" s="9"/>
      <c r="BF2658" s="9"/>
      <c r="BI2658" s="9"/>
    </row>
    <row r="2659" spans="18:61">
      <c r="R2659" s="6"/>
      <c r="AS2659" s="15"/>
      <c r="AT2659" s="6" t="str">
        <f ca="1">IFERROR(__xludf.DUMMYFUNCTION("""COMPUTED_VALUE"""),"#N/A")</f>
        <v>#N/A</v>
      </c>
      <c r="AU2659" s="6" t="str">
        <f ca="1">IFERROR(__xludf.DUMMYFUNCTION("""COMPUTED_VALUE"""),"FALSE")</f>
        <v>FALSE</v>
      </c>
      <c r="AZ2659" s="9"/>
      <c r="BC2659" s="9"/>
      <c r="BF2659" s="9"/>
      <c r="BI2659" s="9"/>
    </row>
    <row r="2660" spans="18:61">
      <c r="R2660" s="6"/>
      <c r="AS2660" s="15"/>
      <c r="AT2660" s="6" t="str">
        <f ca="1">IFERROR(__xludf.DUMMYFUNCTION("""COMPUTED_VALUE"""),"#N/A")</f>
        <v>#N/A</v>
      </c>
      <c r="AU2660" s="6" t="str">
        <f ca="1">IFERROR(__xludf.DUMMYFUNCTION("""COMPUTED_VALUE"""),"FALSE")</f>
        <v>FALSE</v>
      </c>
      <c r="AZ2660" s="9"/>
      <c r="BC2660" s="9"/>
      <c r="BF2660" s="9"/>
      <c r="BI2660" s="9"/>
    </row>
    <row r="2661" spans="18:61">
      <c r="R2661" s="6"/>
      <c r="AS2661" s="15"/>
      <c r="AT2661" s="6" t="str">
        <f ca="1">IFERROR(__xludf.DUMMYFUNCTION("""COMPUTED_VALUE"""),"#N/A")</f>
        <v>#N/A</v>
      </c>
      <c r="AU2661" s="6" t="str">
        <f ca="1">IFERROR(__xludf.DUMMYFUNCTION("""COMPUTED_VALUE"""),"FALSE")</f>
        <v>FALSE</v>
      </c>
      <c r="AZ2661" s="9"/>
      <c r="BC2661" s="9"/>
      <c r="BF2661" s="9"/>
      <c r="BI2661" s="9"/>
    </row>
    <row r="2662" spans="18:61">
      <c r="R2662" s="6"/>
      <c r="AS2662" s="15"/>
      <c r="AT2662" s="6" t="str">
        <f ca="1">IFERROR(__xludf.DUMMYFUNCTION("""COMPUTED_VALUE"""),"#N/A")</f>
        <v>#N/A</v>
      </c>
      <c r="AU2662" s="6" t="str">
        <f ca="1">IFERROR(__xludf.DUMMYFUNCTION("""COMPUTED_VALUE"""),"FALSE")</f>
        <v>FALSE</v>
      </c>
      <c r="AZ2662" s="9"/>
      <c r="BC2662" s="9"/>
      <c r="BF2662" s="9"/>
      <c r="BI2662" s="9"/>
    </row>
    <row r="2663" spans="18:61">
      <c r="R2663" s="6"/>
      <c r="AS2663" s="15"/>
      <c r="AT2663" s="6" t="str">
        <f ca="1">IFERROR(__xludf.DUMMYFUNCTION("""COMPUTED_VALUE"""),"#N/A")</f>
        <v>#N/A</v>
      </c>
      <c r="AU2663" s="6" t="str">
        <f ca="1">IFERROR(__xludf.DUMMYFUNCTION("""COMPUTED_VALUE"""),"FALSE")</f>
        <v>FALSE</v>
      </c>
      <c r="AZ2663" s="9"/>
      <c r="BC2663" s="9"/>
      <c r="BF2663" s="9"/>
      <c r="BI2663" s="9"/>
    </row>
    <row r="2664" spans="18:61">
      <c r="R2664" s="6"/>
      <c r="AS2664" s="15"/>
      <c r="AT2664" s="6" t="str">
        <f ca="1">IFERROR(__xludf.DUMMYFUNCTION("""COMPUTED_VALUE"""),"#N/A")</f>
        <v>#N/A</v>
      </c>
      <c r="AU2664" s="6" t="str">
        <f ca="1">IFERROR(__xludf.DUMMYFUNCTION("""COMPUTED_VALUE"""),"FALSE")</f>
        <v>FALSE</v>
      </c>
      <c r="AZ2664" s="9"/>
      <c r="BC2664" s="9"/>
      <c r="BF2664" s="9"/>
      <c r="BI2664" s="9"/>
    </row>
    <row r="2665" spans="18:61">
      <c r="R2665" s="6"/>
      <c r="AS2665" s="15"/>
      <c r="AT2665" s="6" t="str">
        <f ca="1">IFERROR(__xludf.DUMMYFUNCTION("""COMPUTED_VALUE"""),"#N/A")</f>
        <v>#N/A</v>
      </c>
      <c r="AU2665" s="6" t="str">
        <f ca="1">IFERROR(__xludf.DUMMYFUNCTION("""COMPUTED_VALUE"""),"FALSE")</f>
        <v>FALSE</v>
      </c>
      <c r="AZ2665" s="9"/>
      <c r="BC2665" s="9"/>
      <c r="BF2665" s="9"/>
      <c r="BI2665" s="9"/>
    </row>
    <row r="2666" spans="18:61">
      <c r="R2666" s="6"/>
      <c r="AS2666" s="15"/>
      <c r="AT2666" s="6" t="str">
        <f ca="1">IFERROR(__xludf.DUMMYFUNCTION("""COMPUTED_VALUE"""),"#N/A")</f>
        <v>#N/A</v>
      </c>
      <c r="AU2666" s="6" t="str">
        <f ca="1">IFERROR(__xludf.DUMMYFUNCTION("""COMPUTED_VALUE"""),"FALSE")</f>
        <v>FALSE</v>
      </c>
      <c r="AZ2666" s="9"/>
      <c r="BC2666" s="9"/>
      <c r="BF2666" s="9"/>
      <c r="BI2666" s="9"/>
    </row>
    <row r="2667" spans="18:61">
      <c r="R2667" s="6"/>
      <c r="AS2667" s="15"/>
      <c r="AT2667" s="6" t="str">
        <f ca="1">IFERROR(__xludf.DUMMYFUNCTION("""COMPUTED_VALUE"""),"#N/A")</f>
        <v>#N/A</v>
      </c>
      <c r="AU2667" s="6" t="str">
        <f ca="1">IFERROR(__xludf.DUMMYFUNCTION("""COMPUTED_VALUE"""),"FALSE")</f>
        <v>FALSE</v>
      </c>
      <c r="AZ2667" s="9"/>
      <c r="BC2667" s="9"/>
      <c r="BF2667" s="9"/>
      <c r="BI2667" s="9"/>
    </row>
    <row r="2668" spans="18:61">
      <c r="R2668" s="6"/>
      <c r="AS2668" s="15"/>
      <c r="AT2668" s="6" t="str">
        <f ca="1">IFERROR(__xludf.DUMMYFUNCTION("""COMPUTED_VALUE"""),"#N/A")</f>
        <v>#N/A</v>
      </c>
      <c r="AU2668" s="6" t="str">
        <f ca="1">IFERROR(__xludf.DUMMYFUNCTION("""COMPUTED_VALUE"""),"FALSE")</f>
        <v>FALSE</v>
      </c>
      <c r="AZ2668" s="9"/>
      <c r="BC2668" s="9"/>
      <c r="BF2668" s="9"/>
      <c r="BI2668" s="9"/>
    </row>
    <row r="2669" spans="18:61">
      <c r="R2669" s="6"/>
      <c r="AS2669" s="15"/>
      <c r="AT2669" s="6" t="str">
        <f ca="1">IFERROR(__xludf.DUMMYFUNCTION("""COMPUTED_VALUE"""),"#N/A")</f>
        <v>#N/A</v>
      </c>
      <c r="AU2669" s="6" t="str">
        <f ca="1">IFERROR(__xludf.DUMMYFUNCTION("""COMPUTED_VALUE"""),"FALSE")</f>
        <v>FALSE</v>
      </c>
      <c r="AZ2669" s="9"/>
      <c r="BC2669" s="9"/>
      <c r="BF2669" s="9"/>
      <c r="BI2669" s="9"/>
    </row>
    <row r="2670" spans="18:61">
      <c r="R2670" s="6"/>
      <c r="AS2670" s="15"/>
      <c r="AT2670" s="6" t="str">
        <f ca="1">IFERROR(__xludf.DUMMYFUNCTION("""COMPUTED_VALUE"""),"#N/A")</f>
        <v>#N/A</v>
      </c>
      <c r="AU2670" s="6" t="str">
        <f ca="1">IFERROR(__xludf.DUMMYFUNCTION("""COMPUTED_VALUE"""),"FALSE")</f>
        <v>FALSE</v>
      </c>
      <c r="AZ2670" s="9"/>
      <c r="BC2670" s="9"/>
      <c r="BF2670" s="9"/>
      <c r="BI2670" s="9"/>
    </row>
    <row r="2671" spans="18:61">
      <c r="R2671" s="6"/>
      <c r="AS2671" s="15"/>
      <c r="AT2671" s="6" t="str">
        <f ca="1">IFERROR(__xludf.DUMMYFUNCTION("""COMPUTED_VALUE"""),"#N/A")</f>
        <v>#N/A</v>
      </c>
      <c r="AU2671" s="6" t="str">
        <f ca="1">IFERROR(__xludf.DUMMYFUNCTION("""COMPUTED_VALUE"""),"FALSE")</f>
        <v>FALSE</v>
      </c>
      <c r="AZ2671" s="9"/>
      <c r="BC2671" s="9"/>
      <c r="BF2671" s="9"/>
      <c r="BI2671" s="9"/>
    </row>
    <row r="2672" spans="18:61">
      <c r="R2672" s="6"/>
      <c r="AS2672" s="15"/>
      <c r="AT2672" s="6" t="str">
        <f ca="1">IFERROR(__xludf.DUMMYFUNCTION("""COMPUTED_VALUE"""),"#N/A")</f>
        <v>#N/A</v>
      </c>
      <c r="AU2672" s="6" t="str">
        <f ca="1">IFERROR(__xludf.DUMMYFUNCTION("""COMPUTED_VALUE"""),"FALSE")</f>
        <v>FALSE</v>
      </c>
      <c r="AZ2672" s="9"/>
      <c r="BC2672" s="9"/>
      <c r="BF2672" s="9"/>
      <c r="BI2672" s="9"/>
    </row>
    <row r="2673" spans="18:61">
      <c r="R2673" s="6"/>
      <c r="AS2673" s="15"/>
      <c r="AT2673" s="6" t="str">
        <f ca="1">IFERROR(__xludf.DUMMYFUNCTION("""COMPUTED_VALUE"""),"#N/A")</f>
        <v>#N/A</v>
      </c>
      <c r="AU2673" s="6" t="str">
        <f ca="1">IFERROR(__xludf.DUMMYFUNCTION("""COMPUTED_VALUE"""),"FALSE")</f>
        <v>FALSE</v>
      </c>
      <c r="AZ2673" s="9"/>
      <c r="BC2673" s="9"/>
      <c r="BF2673" s="9"/>
      <c r="BI2673" s="9"/>
    </row>
    <row r="2674" spans="18:61">
      <c r="R2674" s="6"/>
      <c r="AS2674" s="15"/>
      <c r="AT2674" s="6" t="str">
        <f ca="1">IFERROR(__xludf.DUMMYFUNCTION("""COMPUTED_VALUE"""),"#N/A")</f>
        <v>#N/A</v>
      </c>
      <c r="AU2674" s="6" t="str">
        <f ca="1">IFERROR(__xludf.DUMMYFUNCTION("""COMPUTED_VALUE"""),"FALSE")</f>
        <v>FALSE</v>
      </c>
      <c r="AZ2674" s="9"/>
      <c r="BC2674" s="9"/>
      <c r="BF2674" s="9"/>
      <c r="BI2674" s="9"/>
    </row>
    <row r="2675" spans="18:61">
      <c r="R2675" s="6"/>
      <c r="AS2675" s="15"/>
      <c r="AT2675" s="6" t="str">
        <f ca="1">IFERROR(__xludf.DUMMYFUNCTION("""COMPUTED_VALUE"""),"#N/A")</f>
        <v>#N/A</v>
      </c>
      <c r="AU2675" s="6" t="str">
        <f ca="1">IFERROR(__xludf.DUMMYFUNCTION("""COMPUTED_VALUE"""),"FALSE")</f>
        <v>FALSE</v>
      </c>
      <c r="AZ2675" s="9"/>
      <c r="BC2675" s="9"/>
      <c r="BF2675" s="9"/>
      <c r="BI2675" s="9"/>
    </row>
    <row r="2676" spans="18:61">
      <c r="R2676" s="6"/>
      <c r="AS2676" s="15"/>
      <c r="AT2676" s="6" t="str">
        <f ca="1">IFERROR(__xludf.DUMMYFUNCTION("""COMPUTED_VALUE"""),"#N/A")</f>
        <v>#N/A</v>
      </c>
      <c r="AU2676" s="6" t="str">
        <f ca="1">IFERROR(__xludf.DUMMYFUNCTION("""COMPUTED_VALUE"""),"FALSE")</f>
        <v>FALSE</v>
      </c>
      <c r="AZ2676" s="9"/>
      <c r="BC2676" s="9"/>
      <c r="BF2676" s="9"/>
      <c r="BI2676" s="9"/>
    </row>
    <row r="2677" spans="18:61">
      <c r="R2677" s="6"/>
      <c r="AS2677" s="15"/>
      <c r="AT2677" s="6" t="str">
        <f ca="1">IFERROR(__xludf.DUMMYFUNCTION("""COMPUTED_VALUE"""),"#N/A")</f>
        <v>#N/A</v>
      </c>
      <c r="AU2677" s="6" t="str">
        <f ca="1">IFERROR(__xludf.DUMMYFUNCTION("""COMPUTED_VALUE"""),"FALSE")</f>
        <v>FALSE</v>
      </c>
      <c r="AZ2677" s="9"/>
      <c r="BC2677" s="9"/>
      <c r="BF2677" s="9"/>
      <c r="BI2677" s="9"/>
    </row>
    <row r="2678" spans="18:61">
      <c r="R2678" s="6"/>
      <c r="AS2678" s="15"/>
      <c r="AT2678" s="6" t="str">
        <f ca="1">IFERROR(__xludf.DUMMYFUNCTION("""COMPUTED_VALUE"""),"#N/A")</f>
        <v>#N/A</v>
      </c>
      <c r="AU2678" s="6" t="str">
        <f ca="1">IFERROR(__xludf.DUMMYFUNCTION("""COMPUTED_VALUE"""),"FALSE")</f>
        <v>FALSE</v>
      </c>
      <c r="AZ2678" s="9"/>
      <c r="BC2678" s="9"/>
      <c r="BF2678" s="9"/>
      <c r="BI2678" s="9"/>
    </row>
    <row r="2679" spans="18:61">
      <c r="R2679" s="6"/>
      <c r="AS2679" s="15"/>
      <c r="AT2679" s="6" t="str">
        <f ca="1">IFERROR(__xludf.DUMMYFUNCTION("""COMPUTED_VALUE"""),"#N/A")</f>
        <v>#N/A</v>
      </c>
      <c r="AU2679" s="6" t="str">
        <f ca="1">IFERROR(__xludf.DUMMYFUNCTION("""COMPUTED_VALUE"""),"FALSE")</f>
        <v>FALSE</v>
      </c>
      <c r="AZ2679" s="9"/>
      <c r="BC2679" s="9"/>
      <c r="BF2679" s="9"/>
      <c r="BI2679" s="9"/>
    </row>
    <row r="2680" spans="18:61">
      <c r="R2680" s="6"/>
      <c r="AS2680" s="15"/>
      <c r="AT2680" s="6" t="str">
        <f ca="1">IFERROR(__xludf.DUMMYFUNCTION("""COMPUTED_VALUE"""),"#N/A")</f>
        <v>#N/A</v>
      </c>
      <c r="AU2680" s="6" t="str">
        <f ca="1">IFERROR(__xludf.DUMMYFUNCTION("""COMPUTED_VALUE"""),"FALSE")</f>
        <v>FALSE</v>
      </c>
      <c r="AZ2680" s="9"/>
      <c r="BC2680" s="9"/>
      <c r="BF2680" s="9"/>
      <c r="BI2680" s="9"/>
    </row>
    <row r="2681" spans="18:61">
      <c r="R2681" s="6"/>
      <c r="AS2681" s="15"/>
      <c r="AT2681" s="6" t="str">
        <f ca="1">IFERROR(__xludf.DUMMYFUNCTION("""COMPUTED_VALUE"""),"#N/A")</f>
        <v>#N/A</v>
      </c>
      <c r="AU2681" s="6" t="str">
        <f ca="1">IFERROR(__xludf.DUMMYFUNCTION("""COMPUTED_VALUE"""),"FALSE")</f>
        <v>FALSE</v>
      </c>
      <c r="AZ2681" s="9"/>
      <c r="BC2681" s="9"/>
      <c r="BF2681" s="9"/>
      <c r="BI2681" s="9"/>
    </row>
    <row r="2682" spans="18:61">
      <c r="R2682" s="6"/>
      <c r="AS2682" s="15"/>
      <c r="AT2682" s="6" t="str">
        <f ca="1">IFERROR(__xludf.DUMMYFUNCTION("""COMPUTED_VALUE"""),"#N/A")</f>
        <v>#N/A</v>
      </c>
      <c r="AU2682" s="6" t="str">
        <f ca="1">IFERROR(__xludf.DUMMYFUNCTION("""COMPUTED_VALUE"""),"FALSE")</f>
        <v>FALSE</v>
      </c>
      <c r="AZ2682" s="9"/>
      <c r="BC2682" s="9"/>
      <c r="BF2682" s="9"/>
      <c r="BI2682" s="9"/>
    </row>
    <row r="2683" spans="18:61">
      <c r="R2683" s="6"/>
      <c r="AS2683" s="15"/>
      <c r="AT2683" s="6" t="str">
        <f ca="1">IFERROR(__xludf.DUMMYFUNCTION("""COMPUTED_VALUE"""),"#N/A")</f>
        <v>#N/A</v>
      </c>
      <c r="AU2683" s="6" t="str">
        <f ca="1">IFERROR(__xludf.DUMMYFUNCTION("""COMPUTED_VALUE"""),"FALSE")</f>
        <v>FALSE</v>
      </c>
      <c r="AZ2683" s="9"/>
      <c r="BC2683" s="9"/>
      <c r="BF2683" s="9"/>
      <c r="BI2683" s="9"/>
    </row>
    <row r="2684" spans="18:61">
      <c r="R2684" s="6"/>
      <c r="AS2684" s="15"/>
      <c r="AT2684" s="6" t="str">
        <f ca="1">IFERROR(__xludf.DUMMYFUNCTION("""COMPUTED_VALUE"""),"#N/A")</f>
        <v>#N/A</v>
      </c>
      <c r="AU2684" s="6" t="str">
        <f ca="1">IFERROR(__xludf.DUMMYFUNCTION("""COMPUTED_VALUE"""),"FALSE")</f>
        <v>FALSE</v>
      </c>
      <c r="AZ2684" s="9"/>
      <c r="BC2684" s="9"/>
      <c r="BF2684" s="9"/>
      <c r="BI2684" s="9"/>
    </row>
    <row r="2685" spans="18:61">
      <c r="R2685" s="6"/>
      <c r="AS2685" s="15"/>
      <c r="AT2685" s="6" t="str">
        <f ca="1">IFERROR(__xludf.DUMMYFUNCTION("""COMPUTED_VALUE"""),"#N/A")</f>
        <v>#N/A</v>
      </c>
      <c r="AU2685" s="6" t="str">
        <f ca="1">IFERROR(__xludf.DUMMYFUNCTION("""COMPUTED_VALUE"""),"FALSE")</f>
        <v>FALSE</v>
      </c>
      <c r="AZ2685" s="9"/>
      <c r="BC2685" s="9"/>
      <c r="BF2685" s="9"/>
      <c r="BI2685" s="9"/>
    </row>
    <row r="2686" spans="18:61">
      <c r="R2686" s="6"/>
      <c r="AS2686" s="15"/>
      <c r="AT2686" s="6" t="str">
        <f ca="1">IFERROR(__xludf.DUMMYFUNCTION("""COMPUTED_VALUE"""),"#N/A")</f>
        <v>#N/A</v>
      </c>
      <c r="AU2686" s="6" t="str">
        <f ca="1">IFERROR(__xludf.DUMMYFUNCTION("""COMPUTED_VALUE"""),"FALSE")</f>
        <v>FALSE</v>
      </c>
      <c r="AZ2686" s="9"/>
      <c r="BC2686" s="9"/>
      <c r="BF2686" s="9"/>
      <c r="BI2686" s="9"/>
    </row>
    <row r="2687" spans="18:61">
      <c r="R2687" s="6"/>
      <c r="AS2687" s="15"/>
      <c r="AT2687" s="6" t="str">
        <f ca="1">IFERROR(__xludf.DUMMYFUNCTION("""COMPUTED_VALUE"""),"#N/A")</f>
        <v>#N/A</v>
      </c>
      <c r="AU2687" s="6" t="str">
        <f ca="1">IFERROR(__xludf.DUMMYFUNCTION("""COMPUTED_VALUE"""),"FALSE")</f>
        <v>FALSE</v>
      </c>
      <c r="AZ2687" s="9"/>
      <c r="BC2687" s="9"/>
      <c r="BF2687" s="9"/>
      <c r="BI2687" s="9"/>
    </row>
    <row r="2688" spans="18:61">
      <c r="R2688" s="6"/>
      <c r="AS2688" s="15"/>
      <c r="AT2688" s="6" t="str">
        <f ca="1">IFERROR(__xludf.DUMMYFUNCTION("""COMPUTED_VALUE"""),"#N/A")</f>
        <v>#N/A</v>
      </c>
      <c r="AU2688" s="6" t="str">
        <f ca="1">IFERROR(__xludf.DUMMYFUNCTION("""COMPUTED_VALUE"""),"FALSE")</f>
        <v>FALSE</v>
      </c>
      <c r="AZ2688" s="9"/>
      <c r="BC2688" s="9"/>
      <c r="BF2688" s="9"/>
      <c r="BI2688" s="9"/>
    </row>
    <row r="2689" spans="18:61">
      <c r="R2689" s="6"/>
      <c r="AS2689" s="15"/>
      <c r="AT2689" s="6" t="str">
        <f ca="1">IFERROR(__xludf.DUMMYFUNCTION("""COMPUTED_VALUE"""),"#N/A")</f>
        <v>#N/A</v>
      </c>
      <c r="AU2689" s="6" t="str">
        <f ca="1">IFERROR(__xludf.DUMMYFUNCTION("""COMPUTED_VALUE"""),"FALSE")</f>
        <v>FALSE</v>
      </c>
      <c r="AZ2689" s="9"/>
      <c r="BC2689" s="9"/>
      <c r="BF2689" s="9"/>
      <c r="BI2689" s="9"/>
    </row>
    <row r="2690" spans="18:61">
      <c r="R2690" s="6"/>
      <c r="AS2690" s="15"/>
      <c r="AT2690" s="6" t="str">
        <f ca="1">IFERROR(__xludf.DUMMYFUNCTION("""COMPUTED_VALUE"""),"#N/A")</f>
        <v>#N/A</v>
      </c>
      <c r="AU2690" s="6" t="str">
        <f ca="1">IFERROR(__xludf.DUMMYFUNCTION("""COMPUTED_VALUE"""),"FALSE")</f>
        <v>FALSE</v>
      </c>
      <c r="AZ2690" s="9"/>
      <c r="BC2690" s="9"/>
      <c r="BF2690" s="9"/>
      <c r="BI2690" s="9"/>
    </row>
    <row r="2691" spans="18:61">
      <c r="R2691" s="6"/>
      <c r="AS2691" s="15"/>
      <c r="AT2691" s="6" t="str">
        <f ca="1">IFERROR(__xludf.DUMMYFUNCTION("""COMPUTED_VALUE"""),"#N/A")</f>
        <v>#N/A</v>
      </c>
      <c r="AU2691" s="6" t="str">
        <f ca="1">IFERROR(__xludf.DUMMYFUNCTION("""COMPUTED_VALUE"""),"FALSE")</f>
        <v>FALSE</v>
      </c>
      <c r="AZ2691" s="9"/>
      <c r="BC2691" s="9"/>
      <c r="BF2691" s="9"/>
      <c r="BI2691" s="9"/>
    </row>
    <row r="2692" spans="18:61">
      <c r="R2692" s="6"/>
      <c r="AS2692" s="15"/>
      <c r="AT2692" s="6" t="str">
        <f ca="1">IFERROR(__xludf.DUMMYFUNCTION("""COMPUTED_VALUE"""),"#N/A")</f>
        <v>#N/A</v>
      </c>
      <c r="AU2692" s="6" t="str">
        <f ca="1">IFERROR(__xludf.DUMMYFUNCTION("""COMPUTED_VALUE"""),"FALSE")</f>
        <v>FALSE</v>
      </c>
      <c r="AZ2692" s="9"/>
      <c r="BC2692" s="9"/>
      <c r="BF2692" s="9"/>
      <c r="BI2692" s="9"/>
    </row>
    <row r="2693" spans="18:61">
      <c r="R2693" s="6"/>
      <c r="AS2693" s="15"/>
      <c r="AT2693" s="6" t="str">
        <f ca="1">IFERROR(__xludf.DUMMYFUNCTION("""COMPUTED_VALUE"""),"#N/A")</f>
        <v>#N/A</v>
      </c>
      <c r="AU2693" s="6" t="str">
        <f ca="1">IFERROR(__xludf.DUMMYFUNCTION("""COMPUTED_VALUE"""),"FALSE")</f>
        <v>FALSE</v>
      </c>
      <c r="AZ2693" s="9"/>
      <c r="BC2693" s="9"/>
      <c r="BF2693" s="9"/>
      <c r="BI2693" s="9"/>
    </row>
    <row r="2694" spans="18:61">
      <c r="R2694" s="6"/>
      <c r="AS2694" s="15"/>
      <c r="AT2694" s="6" t="str">
        <f ca="1">IFERROR(__xludf.DUMMYFUNCTION("""COMPUTED_VALUE"""),"#N/A")</f>
        <v>#N/A</v>
      </c>
      <c r="AU2694" s="6" t="str">
        <f ca="1">IFERROR(__xludf.DUMMYFUNCTION("""COMPUTED_VALUE"""),"FALSE")</f>
        <v>FALSE</v>
      </c>
      <c r="AZ2694" s="9"/>
      <c r="BC2694" s="9"/>
      <c r="BF2694" s="9"/>
      <c r="BI2694" s="9"/>
    </row>
    <row r="2695" spans="18:61">
      <c r="R2695" s="6"/>
      <c r="AS2695" s="15"/>
      <c r="AT2695" s="6" t="str">
        <f ca="1">IFERROR(__xludf.DUMMYFUNCTION("""COMPUTED_VALUE"""),"#N/A")</f>
        <v>#N/A</v>
      </c>
      <c r="AU2695" s="6" t="str">
        <f ca="1">IFERROR(__xludf.DUMMYFUNCTION("""COMPUTED_VALUE"""),"FALSE")</f>
        <v>FALSE</v>
      </c>
      <c r="AZ2695" s="9"/>
      <c r="BC2695" s="9"/>
      <c r="BF2695" s="9"/>
      <c r="BI2695" s="9"/>
    </row>
    <row r="2696" spans="18:61">
      <c r="R2696" s="6"/>
      <c r="AS2696" s="15"/>
      <c r="AT2696" s="6" t="str">
        <f ca="1">IFERROR(__xludf.DUMMYFUNCTION("""COMPUTED_VALUE"""),"#N/A")</f>
        <v>#N/A</v>
      </c>
      <c r="AU2696" s="6" t="str">
        <f ca="1">IFERROR(__xludf.DUMMYFUNCTION("""COMPUTED_VALUE"""),"FALSE")</f>
        <v>FALSE</v>
      </c>
      <c r="AZ2696" s="9"/>
      <c r="BC2696" s="9"/>
      <c r="BF2696" s="9"/>
      <c r="BI2696" s="9"/>
    </row>
    <row r="2697" spans="18:61">
      <c r="R2697" s="6"/>
      <c r="AS2697" s="15"/>
      <c r="AT2697" s="6" t="str">
        <f ca="1">IFERROR(__xludf.DUMMYFUNCTION("""COMPUTED_VALUE"""),"#N/A")</f>
        <v>#N/A</v>
      </c>
      <c r="AU2697" s="6" t="str">
        <f ca="1">IFERROR(__xludf.DUMMYFUNCTION("""COMPUTED_VALUE"""),"FALSE")</f>
        <v>FALSE</v>
      </c>
      <c r="AZ2697" s="9"/>
      <c r="BC2697" s="9"/>
      <c r="BF2697" s="9"/>
      <c r="BI2697" s="9"/>
    </row>
    <row r="2698" spans="18:61">
      <c r="R2698" s="6"/>
      <c r="AS2698" s="15"/>
      <c r="AT2698" s="6" t="str">
        <f ca="1">IFERROR(__xludf.DUMMYFUNCTION("""COMPUTED_VALUE"""),"#N/A")</f>
        <v>#N/A</v>
      </c>
      <c r="AU2698" s="6" t="str">
        <f ca="1">IFERROR(__xludf.DUMMYFUNCTION("""COMPUTED_VALUE"""),"FALSE")</f>
        <v>FALSE</v>
      </c>
      <c r="AZ2698" s="9"/>
      <c r="BC2698" s="9"/>
      <c r="BF2698" s="9"/>
      <c r="BI2698" s="9"/>
    </row>
    <row r="2699" spans="18:61">
      <c r="R2699" s="6"/>
      <c r="AS2699" s="15"/>
      <c r="AT2699" s="6" t="str">
        <f ca="1">IFERROR(__xludf.DUMMYFUNCTION("""COMPUTED_VALUE"""),"#N/A")</f>
        <v>#N/A</v>
      </c>
      <c r="AU2699" s="6" t="str">
        <f ca="1">IFERROR(__xludf.DUMMYFUNCTION("""COMPUTED_VALUE"""),"FALSE")</f>
        <v>FALSE</v>
      </c>
      <c r="AZ2699" s="9"/>
      <c r="BC2699" s="9"/>
      <c r="BF2699" s="9"/>
      <c r="BI2699" s="9"/>
    </row>
    <row r="2700" spans="18:61">
      <c r="R2700" s="6"/>
      <c r="AS2700" s="15"/>
      <c r="AT2700" s="6" t="str">
        <f ca="1">IFERROR(__xludf.DUMMYFUNCTION("""COMPUTED_VALUE"""),"#N/A")</f>
        <v>#N/A</v>
      </c>
      <c r="AU2700" s="6" t="str">
        <f ca="1">IFERROR(__xludf.DUMMYFUNCTION("""COMPUTED_VALUE"""),"FALSE")</f>
        <v>FALSE</v>
      </c>
      <c r="AZ2700" s="9"/>
      <c r="BC2700" s="9"/>
      <c r="BF2700" s="9"/>
      <c r="BI2700" s="9"/>
    </row>
    <row r="2701" spans="18:61">
      <c r="R2701" s="6"/>
      <c r="AS2701" s="15"/>
      <c r="AT2701" s="6" t="str">
        <f ca="1">IFERROR(__xludf.DUMMYFUNCTION("""COMPUTED_VALUE"""),"#N/A")</f>
        <v>#N/A</v>
      </c>
      <c r="AU2701" s="6" t="str">
        <f ca="1">IFERROR(__xludf.DUMMYFUNCTION("""COMPUTED_VALUE"""),"FALSE")</f>
        <v>FALSE</v>
      </c>
      <c r="AZ2701" s="9"/>
      <c r="BC2701" s="9"/>
      <c r="BF2701" s="9"/>
      <c r="BI2701" s="9"/>
    </row>
    <row r="2702" spans="18:61">
      <c r="R2702" s="6"/>
      <c r="AS2702" s="15"/>
      <c r="AT2702" s="6" t="str">
        <f ca="1">IFERROR(__xludf.DUMMYFUNCTION("""COMPUTED_VALUE"""),"#N/A")</f>
        <v>#N/A</v>
      </c>
      <c r="AU2702" s="6" t="str">
        <f ca="1">IFERROR(__xludf.DUMMYFUNCTION("""COMPUTED_VALUE"""),"FALSE")</f>
        <v>FALSE</v>
      </c>
      <c r="AZ2702" s="9"/>
      <c r="BC2702" s="9"/>
      <c r="BF2702" s="9"/>
      <c r="BI2702" s="9"/>
    </row>
    <row r="2703" spans="18:61">
      <c r="R2703" s="6"/>
      <c r="AS2703" s="15"/>
      <c r="AT2703" s="6" t="str">
        <f ca="1">IFERROR(__xludf.DUMMYFUNCTION("""COMPUTED_VALUE"""),"#N/A")</f>
        <v>#N/A</v>
      </c>
      <c r="AU2703" s="6" t="str">
        <f ca="1">IFERROR(__xludf.DUMMYFUNCTION("""COMPUTED_VALUE"""),"FALSE")</f>
        <v>FALSE</v>
      </c>
      <c r="AZ2703" s="9"/>
      <c r="BC2703" s="9"/>
      <c r="BF2703" s="9"/>
      <c r="BI2703" s="9"/>
    </row>
    <row r="2704" spans="18:61">
      <c r="R2704" s="6"/>
      <c r="AS2704" s="15"/>
      <c r="AT2704" s="6" t="str">
        <f ca="1">IFERROR(__xludf.DUMMYFUNCTION("""COMPUTED_VALUE"""),"#N/A")</f>
        <v>#N/A</v>
      </c>
      <c r="AU2704" s="6" t="str">
        <f ca="1">IFERROR(__xludf.DUMMYFUNCTION("""COMPUTED_VALUE"""),"FALSE")</f>
        <v>FALSE</v>
      </c>
      <c r="AZ2704" s="9"/>
      <c r="BC2704" s="9"/>
      <c r="BF2704" s="9"/>
      <c r="BI2704" s="9"/>
    </row>
    <row r="2705" spans="18:61">
      <c r="R2705" s="6"/>
      <c r="AS2705" s="15"/>
      <c r="AT2705" s="6" t="str">
        <f ca="1">IFERROR(__xludf.DUMMYFUNCTION("""COMPUTED_VALUE"""),"#N/A")</f>
        <v>#N/A</v>
      </c>
      <c r="AU2705" s="6" t="str">
        <f ca="1">IFERROR(__xludf.DUMMYFUNCTION("""COMPUTED_VALUE"""),"FALSE")</f>
        <v>FALSE</v>
      </c>
      <c r="AZ2705" s="9"/>
      <c r="BC2705" s="9"/>
      <c r="BF2705" s="9"/>
      <c r="BI2705" s="9"/>
    </row>
    <row r="2706" spans="18:61">
      <c r="R2706" s="6"/>
      <c r="AS2706" s="15"/>
      <c r="AT2706" s="6" t="str">
        <f ca="1">IFERROR(__xludf.DUMMYFUNCTION("""COMPUTED_VALUE"""),"#N/A")</f>
        <v>#N/A</v>
      </c>
      <c r="AU2706" s="6" t="str">
        <f ca="1">IFERROR(__xludf.DUMMYFUNCTION("""COMPUTED_VALUE"""),"FALSE")</f>
        <v>FALSE</v>
      </c>
      <c r="AZ2706" s="9"/>
      <c r="BC2706" s="9"/>
      <c r="BF2706" s="9"/>
      <c r="BI2706" s="9"/>
    </row>
    <row r="2707" spans="18:61">
      <c r="R2707" s="6"/>
      <c r="AS2707" s="15"/>
      <c r="AT2707" s="6" t="str">
        <f ca="1">IFERROR(__xludf.DUMMYFUNCTION("""COMPUTED_VALUE"""),"#N/A")</f>
        <v>#N/A</v>
      </c>
      <c r="AU2707" s="6" t="str">
        <f ca="1">IFERROR(__xludf.DUMMYFUNCTION("""COMPUTED_VALUE"""),"FALSE")</f>
        <v>FALSE</v>
      </c>
      <c r="AZ2707" s="9"/>
      <c r="BC2707" s="9"/>
      <c r="BF2707" s="9"/>
      <c r="BI2707" s="9"/>
    </row>
    <row r="2708" spans="18:61">
      <c r="R2708" s="6"/>
      <c r="AS2708" s="15"/>
      <c r="AT2708" s="6" t="str">
        <f ca="1">IFERROR(__xludf.DUMMYFUNCTION("""COMPUTED_VALUE"""),"#N/A")</f>
        <v>#N/A</v>
      </c>
      <c r="AU2708" s="6" t="str">
        <f ca="1">IFERROR(__xludf.DUMMYFUNCTION("""COMPUTED_VALUE"""),"FALSE")</f>
        <v>FALSE</v>
      </c>
      <c r="AZ2708" s="9"/>
      <c r="BC2708" s="9"/>
      <c r="BF2708" s="9"/>
      <c r="BI2708" s="9"/>
    </row>
    <row r="2709" spans="18:61">
      <c r="R2709" s="6"/>
      <c r="AS2709" s="15"/>
      <c r="AT2709" s="6" t="str">
        <f ca="1">IFERROR(__xludf.DUMMYFUNCTION("""COMPUTED_VALUE"""),"#N/A")</f>
        <v>#N/A</v>
      </c>
      <c r="AU2709" s="6" t="str">
        <f ca="1">IFERROR(__xludf.DUMMYFUNCTION("""COMPUTED_VALUE"""),"FALSE")</f>
        <v>FALSE</v>
      </c>
      <c r="AZ2709" s="9"/>
      <c r="BC2709" s="9"/>
      <c r="BF2709" s="9"/>
      <c r="BI2709" s="9"/>
    </row>
    <row r="2710" spans="18:61">
      <c r="R2710" s="6"/>
      <c r="AS2710" s="15"/>
      <c r="AT2710" s="6" t="str">
        <f ca="1">IFERROR(__xludf.DUMMYFUNCTION("""COMPUTED_VALUE"""),"#N/A")</f>
        <v>#N/A</v>
      </c>
      <c r="AU2710" s="6" t="str">
        <f ca="1">IFERROR(__xludf.DUMMYFUNCTION("""COMPUTED_VALUE"""),"FALSE")</f>
        <v>FALSE</v>
      </c>
      <c r="AZ2710" s="9"/>
      <c r="BC2710" s="9"/>
      <c r="BF2710" s="9"/>
      <c r="BI2710" s="9"/>
    </row>
    <row r="2711" spans="18:61">
      <c r="R2711" s="6"/>
      <c r="AS2711" s="15"/>
      <c r="AT2711" s="6" t="str">
        <f ca="1">IFERROR(__xludf.DUMMYFUNCTION("""COMPUTED_VALUE"""),"#N/A")</f>
        <v>#N/A</v>
      </c>
      <c r="AU2711" s="6" t="str">
        <f ca="1">IFERROR(__xludf.DUMMYFUNCTION("""COMPUTED_VALUE"""),"FALSE")</f>
        <v>FALSE</v>
      </c>
      <c r="AZ2711" s="9"/>
      <c r="BC2711" s="9"/>
      <c r="BF2711" s="9"/>
      <c r="BI2711" s="9"/>
    </row>
    <row r="2712" spans="18:61">
      <c r="R2712" s="6"/>
      <c r="AS2712" s="15"/>
      <c r="AT2712" s="6" t="str">
        <f ca="1">IFERROR(__xludf.DUMMYFUNCTION("""COMPUTED_VALUE"""),"#N/A")</f>
        <v>#N/A</v>
      </c>
      <c r="AU2712" s="6" t="str">
        <f ca="1">IFERROR(__xludf.DUMMYFUNCTION("""COMPUTED_VALUE"""),"FALSE")</f>
        <v>FALSE</v>
      </c>
      <c r="AZ2712" s="9"/>
      <c r="BC2712" s="9"/>
      <c r="BF2712" s="9"/>
      <c r="BI2712" s="9"/>
    </row>
    <row r="2713" spans="18:61">
      <c r="R2713" s="6"/>
      <c r="AS2713" s="15"/>
      <c r="AT2713" s="6" t="str">
        <f ca="1">IFERROR(__xludf.DUMMYFUNCTION("""COMPUTED_VALUE"""),"#N/A")</f>
        <v>#N/A</v>
      </c>
      <c r="AU2713" s="6" t="str">
        <f ca="1">IFERROR(__xludf.DUMMYFUNCTION("""COMPUTED_VALUE"""),"FALSE")</f>
        <v>FALSE</v>
      </c>
      <c r="AZ2713" s="9"/>
      <c r="BC2713" s="9"/>
      <c r="BF2713" s="9"/>
      <c r="BI2713" s="9"/>
    </row>
    <row r="2714" spans="18:61">
      <c r="R2714" s="6"/>
      <c r="AS2714" s="15"/>
      <c r="AT2714" s="6" t="str">
        <f ca="1">IFERROR(__xludf.DUMMYFUNCTION("""COMPUTED_VALUE"""),"#N/A")</f>
        <v>#N/A</v>
      </c>
      <c r="AU2714" s="6" t="str">
        <f ca="1">IFERROR(__xludf.DUMMYFUNCTION("""COMPUTED_VALUE"""),"FALSE")</f>
        <v>FALSE</v>
      </c>
      <c r="AZ2714" s="9"/>
      <c r="BC2714" s="9"/>
      <c r="BF2714" s="9"/>
      <c r="BI2714" s="9"/>
    </row>
    <row r="2715" spans="18:61">
      <c r="R2715" s="6"/>
      <c r="AS2715" s="15"/>
      <c r="AT2715" s="6" t="str">
        <f ca="1">IFERROR(__xludf.DUMMYFUNCTION("""COMPUTED_VALUE"""),"#N/A")</f>
        <v>#N/A</v>
      </c>
      <c r="AU2715" s="6" t="str">
        <f ca="1">IFERROR(__xludf.DUMMYFUNCTION("""COMPUTED_VALUE"""),"FALSE")</f>
        <v>FALSE</v>
      </c>
      <c r="AZ2715" s="9"/>
      <c r="BC2715" s="9"/>
      <c r="BF2715" s="9"/>
      <c r="BI2715" s="9"/>
    </row>
    <row r="2716" spans="18:61">
      <c r="R2716" s="6"/>
      <c r="AS2716" s="15"/>
      <c r="AT2716" s="6" t="str">
        <f ca="1">IFERROR(__xludf.DUMMYFUNCTION("""COMPUTED_VALUE"""),"#N/A")</f>
        <v>#N/A</v>
      </c>
      <c r="AU2716" s="6" t="str">
        <f ca="1">IFERROR(__xludf.DUMMYFUNCTION("""COMPUTED_VALUE"""),"FALSE")</f>
        <v>FALSE</v>
      </c>
      <c r="AZ2716" s="9"/>
      <c r="BC2716" s="9"/>
      <c r="BF2716" s="9"/>
      <c r="BI2716" s="9"/>
    </row>
    <row r="2717" spans="18:61">
      <c r="R2717" s="6"/>
      <c r="AS2717" s="15"/>
      <c r="AT2717" s="6" t="str">
        <f ca="1">IFERROR(__xludf.DUMMYFUNCTION("""COMPUTED_VALUE"""),"#N/A")</f>
        <v>#N/A</v>
      </c>
      <c r="AU2717" s="6" t="str">
        <f ca="1">IFERROR(__xludf.DUMMYFUNCTION("""COMPUTED_VALUE"""),"FALSE")</f>
        <v>FALSE</v>
      </c>
      <c r="AZ2717" s="9"/>
      <c r="BC2717" s="9"/>
      <c r="BF2717" s="9"/>
      <c r="BI2717" s="9"/>
    </row>
    <row r="2718" spans="18:61">
      <c r="R2718" s="6"/>
      <c r="AS2718" s="15"/>
      <c r="AT2718" s="6" t="str">
        <f ca="1">IFERROR(__xludf.DUMMYFUNCTION("""COMPUTED_VALUE"""),"#N/A")</f>
        <v>#N/A</v>
      </c>
      <c r="AU2718" s="6" t="str">
        <f ca="1">IFERROR(__xludf.DUMMYFUNCTION("""COMPUTED_VALUE"""),"FALSE")</f>
        <v>FALSE</v>
      </c>
      <c r="AZ2718" s="9"/>
      <c r="BC2718" s="9"/>
      <c r="BF2718" s="9"/>
      <c r="BI2718" s="9"/>
    </row>
    <row r="2719" spans="18:61">
      <c r="R2719" s="6"/>
      <c r="AS2719" s="15"/>
      <c r="AT2719" s="6" t="str">
        <f ca="1">IFERROR(__xludf.DUMMYFUNCTION("""COMPUTED_VALUE"""),"#N/A")</f>
        <v>#N/A</v>
      </c>
      <c r="AU2719" s="6" t="str">
        <f ca="1">IFERROR(__xludf.DUMMYFUNCTION("""COMPUTED_VALUE"""),"FALSE")</f>
        <v>FALSE</v>
      </c>
      <c r="AZ2719" s="9"/>
      <c r="BC2719" s="9"/>
      <c r="BF2719" s="9"/>
      <c r="BI2719" s="9"/>
    </row>
    <row r="2720" spans="18:61">
      <c r="R2720" s="6"/>
      <c r="AS2720" s="15"/>
      <c r="AT2720" s="6" t="str">
        <f ca="1">IFERROR(__xludf.DUMMYFUNCTION("""COMPUTED_VALUE"""),"#N/A")</f>
        <v>#N/A</v>
      </c>
      <c r="AU2720" s="6" t="str">
        <f ca="1">IFERROR(__xludf.DUMMYFUNCTION("""COMPUTED_VALUE"""),"FALSE")</f>
        <v>FALSE</v>
      </c>
      <c r="AZ2720" s="9"/>
      <c r="BC2720" s="9"/>
      <c r="BF2720" s="9"/>
      <c r="BI2720" s="9"/>
    </row>
    <row r="2721" spans="18:61">
      <c r="R2721" s="6"/>
      <c r="AS2721" s="15"/>
      <c r="AT2721" s="6" t="str">
        <f ca="1">IFERROR(__xludf.DUMMYFUNCTION("""COMPUTED_VALUE"""),"#N/A")</f>
        <v>#N/A</v>
      </c>
      <c r="AU2721" s="6" t="str">
        <f ca="1">IFERROR(__xludf.DUMMYFUNCTION("""COMPUTED_VALUE"""),"FALSE")</f>
        <v>FALSE</v>
      </c>
      <c r="AZ2721" s="9"/>
      <c r="BC2721" s="9"/>
      <c r="BF2721" s="9"/>
      <c r="BI2721" s="9"/>
    </row>
    <row r="2722" spans="18:61">
      <c r="R2722" s="6"/>
      <c r="AS2722" s="15"/>
      <c r="AT2722" s="6" t="str">
        <f ca="1">IFERROR(__xludf.DUMMYFUNCTION("""COMPUTED_VALUE"""),"#N/A")</f>
        <v>#N/A</v>
      </c>
      <c r="AU2722" s="6" t="str">
        <f ca="1">IFERROR(__xludf.DUMMYFUNCTION("""COMPUTED_VALUE"""),"FALSE")</f>
        <v>FALSE</v>
      </c>
      <c r="AZ2722" s="9"/>
      <c r="BC2722" s="9"/>
      <c r="BF2722" s="9"/>
      <c r="BI2722" s="9"/>
    </row>
    <row r="2723" spans="18:61">
      <c r="R2723" s="6"/>
      <c r="AS2723" s="15"/>
      <c r="AT2723" s="6" t="str">
        <f ca="1">IFERROR(__xludf.DUMMYFUNCTION("""COMPUTED_VALUE"""),"#N/A")</f>
        <v>#N/A</v>
      </c>
      <c r="AU2723" s="6" t="str">
        <f ca="1">IFERROR(__xludf.DUMMYFUNCTION("""COMPUTED_VALUE"""),"FALSE")</f>
        <v>FALSE</v>
      </c>
      <c r="AZ2723" s="9"/>
      <c r="BC2723" s="9"/>
      <c r="BF2723" s="9"/>
      <c r="BI2723" s="9"/>
    </row>
    <row r="2724" spans="18:61">
      <c r="R2724" s="6"/>
      <c r="AS2724" s="15"/>
      <c r="AT2724" s="6" t="str">
        <f ca="1">IFERROR(__xludf.DUMMYFUNCTION("""COMPUTED_VALUE"""),"#N/A")</f>
        <v>#N/A</v>
      </c>
      <c r="AU2724" s="6" t="str">
        <f ca="1">IFERROR(__xludf.DUMMYFUNCTION("""COMPUTED_VALUE"""),"FALSE")</f>
        <v>FALSE</v>
      </c>
      <c r="AZ2724" s="9"/>
      <c r="BC2724" s="9"/>
      <c r="BF2724" s="9"/>
      <c r="BI2724" s="9"/>
    </row>
    <row r="2725" spans="18:61">
      <c r="R2725" s="6"/>
      <c r="AS2725" s="15"/>
      <c r="AT2725" s="6" t="str">
        <f ca="1">IFERROR(__xludf.DUMMYFUNCTION("""COMPUTED_VALUE"""),"#N/A")</f>
        <v>#N/A</v>
      </c>
      <c r="AU2725" s="6" t="str">
        <f ca="1">IFERROR(__xludf.DUMMYFUNCTION("""COMPUTED_VALUE"""),"FALSE")</f>
        <v>FALSE</v>
      </c>
      <c r="AZ2725" s="9"/>
      <c r="BC2725" s="9"/>
      <c r="BF2725" s="9"/>
      <c r="BI2725" s="9"/>
    </row>
    <row r="2726" spans="18:61">
      <c r="R2726" s="6"/>
      <c r="AS2726" s="15"/>
      <c r="AT2726" s="6" t="str">
        <f ca="1">IFERROR(__xludf.DUMMYFUNCTION("""COMPUTED_VALUE"""),"#N/A")</f>
        <v>#N/A</v>
      </c>
      <c r="AU2726" s="6" t="str">
        <f ca="1">IFERROR(__xludf.DUMMYFUNCTION("""COMPUTED_VALUE"""),"FALSE")</f>
        <v>FALSE</v>
      </c>
      <c r="AZ2726" s="9"/>
      <c r="BC2726" s="9"/>
      <c r="BF2726" s="9"/>
      <c r="BI2726" s="9"/>
    </row>
    <row r="2727" spans="18:61">
      <c r="R2727" s="6"/>
      <c r="AS2727" s="15"/>
      <c r="AT2727" s="6" t="str">
        <f ca="1">IFERROR(__xludf.DUMMYFUNCTION("""COMPUTED_VALUE"""),"#N/A")</f>
        <v>#N/A</v>
      </c>
      <c r="AU2727" s="6" t="str">
        <f ca="1">IFERROR(__xludf.DUMMYFUNCTION("""COMPUTED_VALUE"""),"FALSE")</f>
        <v>FALSE</v>
      </c>
      <c r="AZ2727" s="9"/>
      <c r="BC2727" s="9"/>
      <c r="BF2727" s="9"/>
      <c r="BI2727" s="9"/>
    </row>
    <row r="2728" spans="18:61">
      <c r="R2728" s="6"/>
      <c r="AS2728" s="15"/>
      <c r="AT2728" s="6" t="str">
        <f ca="1">IFERROR(__xludf.DUMMYFUNCTION("""COMPUTED_VALUE"""),"#N/A")</f>
        <v>#N/A</v>
      </c>
      <c r="AU2728" s="6" t="str">
        <f ca="1">IFERROR(__xludf.DUMMYFUNCTION("""COMPUTED_VALUE"""),"FALSE")</f>
        <v>FALSE</v>
      </c>
      <c r="AZ2728" s="9"/>
      <c r="BC2728" s="9"/>
      <c r="BF2728" s="9"/>
      <c r="BI2728" s="9"/>
    </row>
    <row r="2729" spans="18:61">
      <c r="R2729" s="6"/>
      <c r="AS2729" s="15"/>
      <c r="AT2729" s="6" t="str">
        <f ca="1">IFERROR(__xludf.DUMMYFUNCTION("""COMPUTED_VALUE"""),"#N/A")</f>
        <v>#N/A</v>
      </c>
      <c r="AU2729" s="6" t="str">
        <f ca="1">IFERROR(__xludf.DUMMYFUNCTION("""COMPUTED_VALUE"""),"FALSE")</f>
        <v>FALSE</v>
      </c>
      <c r="AZ2729" s="9"/>
      <c r="BC2729" s="9"/>
      <c r="BF2729" s="9"/>
      <c r="BI2729" s="9"/>
    </row>
    <row r="2730" spans="18:61">
      <c r="R2730" s="6"/>
      <c r="AS2730" s="15"/>
      <c r="AT2730" s="6" t="str">
        <f ca="1">IFERROR(__xludf.DUMMYFUNCTION("""COMPUTED_VALUE"""),"#N/A")</f>
        <v>#N/A</v>
      </c>
      <c r="AU2730" s="6" t="str">
        <f ca="1">IFERROR(__xludf.DUMMYFUNCTION("""COMPUTED_VALUE"""),"FALSE")</f>
        <v>FALSE</v>
      </c>
      <c r="AZ2730" s="9"/>
      <c r="BC2730" s="9"/>
      <c r="BF2730" s="9"/>
      <c r="BI2730" s="9"/>
    </row>
    <row r="2731" spans="18:61">
      <c r="R2731" s="6"/>
      <c r="AS2731" s="15"/>
      <c r="AT2731" s="6" t="str">
        <f ca="1">IFERROR(__xludf.DUMMYFUNCTION("""COMPUTED_VALUE"""),"#N/A")</f>
        <v>#N/A</v>
      </c>
      <c r="AU2731" s="6" t="str">
        <f ca="1">IFERROR(__xludf.DUMMYFUNCTION("""COMPUTED_VALUE"""),"FALSE")</f>
        <v>FALSE</v>
      </c>
      <c r="AZ2731" s="9"/>
      <c r="BC2731" s="9"/>
      <c r="BF2731" s="9"/>
      <c r="BI2731" s="9"/>
    </row>
    <row r="2732" spans="18:61">
      <c r="R2732" s="6"/>
      <c r="AS2732" s="15"/>
      <c r="AT2732" s="6" t="str">
        <f ca="1">IFERROR(__xludf.DUMMYFUNCTION("""COMPUTED_VALUE"""),"#N/A")</f>
        <v>#N/A</v>
      </c>
      <c r="AU2732" s="6" t="str">
        <f ca="1">IFERROR(__xludf.DUMMYFUNCTION("""COMPUTED_VALUE"""),"FALSE")</f>
        <v>FALSE</v>
      </c>
      <c r="AZ2732" s="9"/>
      <c r="BC2732" s="9"/>
      <c r="BF2732" s="9"/>
      <c r="BI2732" s="9"/>
    </row>
    <row r="2733" spans="18:61">
      <c r="R2733" s="6"/>
      <c r="AS2733" s="15"/>
      <c r="AT2733" s="6" t="str">
        <f ca="1">IFERROR(__xludf.DUMMYFUNCTION("""COMPUTED_VALUE"""),"#N/A")</f>
        <v>#N/A</v>
      </c>
      <c r="AU2733" s="6" t="str">
        <f ca="1">IFERROR(__xludf.DUMMYFUNCTION("""COMPUTED_VALUE"""),"FALSE")</f>
        <v>FALSE</v>
      </c>
      <c r="AZ2733" s="9"/>
      <c r="BC2733" s="9"/>
      <c r="BF2733" s="9"/>
      <c r="BI2733" s="9"/>
    </row>
    <row r="2734" spans="18:61">
      <c r="R2734" s="6"/>
      <c r="AS2734" s="15"/>
      <c r="AT2734" s="6" t="str">
        <f ca="1">IFERROR(__xludf.DUMMYFUNCTION("""COMPUTED_VALUE"""),"#N/A")</f>
        <v>#N/A</v>
      </c>
      <c r="AU2734" s="6" t="str">
        <f ca="1">IFERROR(__xludf.DUMMYFUNCTION("""COMPUTED_VALUE"""),"FALSE")</f>
        <v>FALSE</v>
      </c>
      <c r="AZ2734" s="9"/>
      <c r="BC2734" s="9"/>
      <c r="BF2734" s="9"/>
      <c r="BI2734" s="9"/>
    </row>
    <row r="2735" spans="18:61">
      <c r="R2735" s="6"/>
      <c r="AS2735" s="15"/>
      <c r="AT2735" s="6" t="str">
        <f ca="1">IFERROR(__xludf.DUMMYFUNCTION("""COMPUTED_VALUE"""),"#N/A")</f>
        <v>#N/A</v>
      </c>
      <c r="AU2735" s="6" t="str">
        <f ca="1">IFERROR(__xludf.DUMMYFUNCTION("""COMPUTED_VALUE"""),"FALSE")</f>
        <v>FALSE</v>
      </c>
      <c r="AZ2735" s="9"/>
      <c r="BC2735" s="9"/>
      <c r="BF2735" s="9"/>
      <c r="BI2735" s="9"/>
    </row>
    <row r="2736" spans="18:61">
      <c r="R2736" s="6"/>
      <c r="AS2736" s="15"/>
      <c r="AT2736" s="6" t="str">
        <f ca="1">IFERROR(__xludf.DUMMYFUNCTION("""COMPUTED_VALUE"""),"#N/A")</f>
        <v>#N/A</v>
      </c>
      <c r="AU2736" s="6" t="str">
        <f ca="1">IFERROR(__xludf.DUMMYFUNCTION("""COMPUTED_VALUE"""),"FALSE")</f>
        <v>FALSE</v>
      </c>
      <c r="AZ2736" s="9"/>
      <c r="BC2736" s="9"/>
      <c r="BF2736" s="9"/>
      <c r="BI2736" s="9"/>
    </row>
    <row r="2737" spans="18:61">
      <c r="R2737" s="6"/>
      <c r="AS2737" s="15"/>
      <c r="AT2737" s="6" t="str">
        <f ca="1">IFERROR(__xludf.DUMMYFUNCTION("""COMPUTED_VALUE"""),"#N/A")</f>
        <v>#N/A</v>
      </c>
      <c r="AU2737" s="6" t="str">
        <f ca="1">IFERROR(__xludf.DUMMYFUNCTION("""COMPUTED_VALUE"""),"FALSE")</f>
        <v>FALSE</v>
      </c>
      <c r="AZ2737" s="9"/>
      <c r="BC2737" s="9"/>
      <c r="BF2737" s="9"/>
      <c r="BI2737" s="9"/>
    </row>
    <row r="2738" spans="18:61">
      <c r="R2738" s="6"/>
      <c r="AS2738" s="15"/>
      <c r="AT2738" s="6" t="str">
        <f ca="1">IFERROR(__xludf.DUMMYFUNCTION("""COMPUTED_VALUE"""),"#N/A")</f>
        <v>#N/A</v>
      </c>
      <c r="AU2738" s="6" t="str">
        <f ca="1">IFERROR(__xludf.DUMMYFUNCTION("""COMPUTED_VALUE"""),"FALSE")</f>
        <v>FALSE</v>
      </c>
      <c r="AZ2738" s="9"/>
      <c r="BC2738" s="9"/>
      <c r="BF2738" s="9"/>
      <c r="BI2738" s="9"/>
    </row>
    <row r="2739" spans="18:61">
      <c r="R2739" s="6"/>
      <c r="AS2739" s="15"/>
      <c r="AT2739" s="6" t="str">
        <f ca="1">IFERROR(__xludf.DUMMYFUNCTION("""COMPUTED_VALUE"""),"#N/A")</f>
        <v>#N/A</v>
      </c>
      <c r="AU2739" s="6" t="str">
        <f ca="1">IFERROR(__xludf.DUMMYFUNCTION("""COMPUTED_VALUE"""),"FALSE")</f>
        <v>FALSE</v>
      </c>
      <c r="AZ2739" s="9"/>
      <c r="BC2739" s="9"/>
      <c r="BF2739" s="9"/>
      <c r="BI2739" s="9"/>
    </row>
    <row r="2740" spans="18:61">
      <c r="R2740" s="6"/>
      <c r="AS2740" s="15"/>
      <c r="AT2740" s="6" t="str">
        <f ca="1">IFERROR(__xludf.DUMMYFUNCTION("""COMPUTED_VALUE"""),"#N/A")</f>
        <v>#N/A</v>
      </c>
      <c r="AU2740" s="6" t="str">
        <f ca="1">IFERROR(__xludf.DUMMYFUNCTION("""COMPUTED_VALUE"""),"FALSE")</f>
        <v>FALSE</v>
      </c>
      <c r="AZ2740" s="9"/>
      <c r="BC2740" s="9"/>
      <c r="BF2740" s="9"/>
      <c r="BI2740" s="9"/>
    </row>
    <row r="2741" spans="18:61">
      <c r="R2741" s="6"/>
      <c r="AS2741" s="15"/>
      <c r="AT2741" s="6" t="str">
        <f ca="1">IFERROR(__xludf.DUMMYFUNCTION("""COMPUTED_VALUE"""),"#N/A")</f>
        <v>#N/A</v>
      </c>
      <c r="AU2741" s="6" t="str">
        <f ca="1">IFERROR(__xludf.DUMMYFUNCTION("""COMPUTED_VALUE"""),"FALSE")</f>
        <v>FALSE</v>
      </c>
      <c r="AZ2741" s="9"/>
      <c r="BC2741" s="9"/>
      <c r="BF2741" s="9"/>
      <c r="BI2741" s="9"/>
    </row>
    <row r="2742" spans="18:61">
      <c r="R2742" s="6"/>
      <c r="AS2742" s="15"/>
      <c r="AT2742" s="6" t="str">
        <f ca="1">IFERROR(__xludf.DUMMYFUNCTION("""COMPUTED_VALUE"""),"#N/A")</f>
        <v>#N/A</v>
      </c>
      <c r="AU2742" s="6" t="str">
        <f ca="1">IFERROR(__xludf.DUMMYFUNCTION("""COMPUTED_VALUE"""),"FALSE")</f>
        <v>FALSE</v>
      </c>
      <c r="AZ2742" s="9"/>
      <c r="BC2742" s="9"/>
      <c r="BF2742" s="9"/>
      <c r="BI2742" s="9"/>
    </row>
    <row r="2743" spans="18:61">
      <c r="R2743" s="6"/>
      <c r="AS2743" s="15"/>
      <c r="AT2743" s="6" t="str">
        <f ca="1">IFERROR(__xludf.DUMMYFUNCTION("""COMPUTED_VALUE"""),"#N/A")</f>
        <v>#N/A</v>
      </c>
      <c r="AU2743" s="6" t="str">
        <f ca="1">IFERROR(__xludf.DUMMYFUNCTION("""COMPUTED_VALUE"""),"FALSE")</f>
        <v>FALSE</v>
      </c>
      <c r="AZ2743" s="9"/>
      <c r="BC2743" s="9"/>
      <c r="BF2743" s="9"/>
      <c r="BI2743" s="9"/>
    </row>
    <row r="2744" spans="18:61">
      <c r="R2744" s="6"/>
      <c r="AS2744" s="15"/>
      <c r="AT2744" s="6" t="str">
        <f ca="1">IFERROR(__xludf.DUMMYFUNCTION("""COMPUTED_VALUE"""),"#N/A")</f>
        <v>#N/A</v>
      </c>
      <c r="AU2744" s="6" t="str">
        <f ca="1">IFERROR(__xludf.DUMMYFUNCTION("""COMPUTED_VALUE"""),"FALSE")</f>
        <v>FALSE</v>
      </c>
      <c r="AZ2744" s="9"/>
      <c r="BC2744" s="9"/>
      <c r="BF2744" s="9"/>
      <c r="BI2744" s="9"/>
    </row>
    <row r="2745" spans="18:61">
      <c r="R2745" s="6"/>
      <c r="AS2745" s="15"/>
      <c r="AT2745" s="6" t="str">
        <f ca="1">IFERROR(__xludf.DUMMYFUNCTION("""COMPUTED_VALUE"""),"#N/A")</f>
        <v>#N/A</v>
      </c>
      <c r="AU2745" s="6" t="str">
        <f ca="1">IFERROR(__xludf.DUMMYFUNCTION("""COMPUTED_VALUE"""),"FALSE")</f>
        <v>FALSE</v>
      </c>
      <c r="AZ2745" s="9"/>
      <c r="BC2745" s="9"/>
      <c r="BF2745" s="9"/>
      <c r="BI2745" s="9"/>
    </row>
    <row r="2746" spans="18:61">
      <c r="R2746" s="6"/>
      <c r="AS2746" s="15"/>
      <c r="AT2746" s="6" t="str">
        <f ca="1">IFERROR(__xludf.DUMMYFUNCTION("""COMPUTED_VALUE"""),"#N/A")</f>
        <v>#N/A</v>
      </c>
      <c r="AU2746" s="6" t="str">
        <f ca="1">IFERROR(__xludf.DUMMYFUNCTION("""COMPUTED_VALUE"""),"FALSE")</f>
        <v>FALSE</v>
      </c>
      <c r="AZ2746" s="9"/>
      <c r="BC2746" s="9"/>
      <c r="BF2746" s="9"/>
      <c r="BI2746" s="9"/>
    </row>
    <row r="2747" spans="18:61">
      <c r="R2747" s="6"/>
      <c r="AS2747" s="15"/>
      <c r="AT2747" s="6" t="str">
        <f ca="1">IFERROR(__xludf.DUMMYFUNCTION("""COMPUTED_VALUE"""),"#N/A")</f>
        <v>#N/A</v>
      </c>
      <c r="AU2747" s="6" t="str">
        <f ca="1">IFERROR(__xludf.DUMMYFUNCTION("""COMPUTED_VALUE"""),"FALSE")</f>
        <v>FALSE</v>
      </c>
      <c r="AZ2747" s="9"/>
      <c r="BC2747" s="9"/>
      <c r="BF2747" s="9"/>
      <c r="BI2747" s="9"/>
    </row>
    <row r="2748" spans="18:61">
      <c r="R2748" s="6"/>
      <c r="AS2748" s="15"/>
      <c r="AT2748" s="6" t="str">
        <f ca="1">IFERROR(__xludf.DUMMYFUNCTION("""COMPUTED_VALUE"""),"#N/A")</f>
        <v>#N/A</v>
      </c>
      <c r="AU2748" s="6" t="str">
        <f ca="1">IFERROR(__xludf.DUMMYFUNCTION("""COMPUTED_VALUE"""),"FALSE")</f>
        <v>FALSE</v>
      </c>
      <c r="AZ2748" s="9"/>
      <c r="BC2748" s="9"/>
      <c r="BF2748" s="9"/>
      <c r="BI2748" s="9"/>
    </row>
    <row r="2749" spans="18:61">
      <c r="R2749" s="6"/>
      <c r="AS2749" s="15"/>
      <c r="AT2749" s="6" t="str">
        <f ca="1">IFERROR(__xludf.DUMMYFUNCTION("""COMPUTED_VALUE"""),"#N/A")</f>
        <v>#N/A</v>
      </c>
      <c r="AU2749" s="6" t="str">
        <f ca="1">IFERROR(__xludf.DUMMYFUNCTION("""COMPUTED_VALUE"""),"FALSE")</f>
        <v>FALSE</v>
      </c>
      <c r="AZ2749" s="9"/>
      <c r="BC2749" s="9"/>
      <c r="BF2749" s="9"/>
      <c r="BI2749" s="9"/>
    </row>
    <row r="2750" spans="18:61">
      <c r="R2750" s="6"/>
      <c r="AS2750" s="15"/>
      <c r="AT2750" s="6" t="str">
        <f ca="1">IFERROR(__xludf.DUMMYFUNCTION("""COMPUTED_VALUE"""),"#N/A")</f>
        <v>#N/A</v>
      </c>
      <c r="AU2750" s="6" t="str">
        <f ca="1">IFERROR(__xludf.DUMMYFUNCTION("""COMPUTED_VALUE"""),"FALSE")</f>
        <v>FALSE</v>
      </c>
      <c r="AZ2750" s="9"/>
      <c r="BC2750" s="9"/>
      <c r="BF2750" s="9"/>
      <c r="BI2750" s="9"/>
    </row>
    <row r="2751" spans="18:61">
      <c r="R2751" s="6"/>
      <c r="AS2751" s="15"/>
      <c r="AT2751" s="6" t="str">
        <f ca="1">IFERROR(__xludf.DUMMYFUNCTION("""COMPUTED_VALUE"""),"#N/A")</f>
        <v>#N/A</v>
      </c>
      <c r="AU2751" s="6" t="str">
        <f ca="1">IFERROR(__xludf.DUMMYFUNCTION("""COMPUTED_VALUE"""),"FALSE")</f>
        <v>FALSE</v>
      </c>
      <c r="AZ2751" s="9"/>
      <c r="BC2751" s="9"/>
      <c r="BF2751" s="9"/>
      <c r="BI2751" s="9"/>
    </row>
    <row r="2752" spans="18:61">
      <c r="R2752" s="6"/>
      <c r="AS2752" s="15"/>
      <c r="AT2752" s="6" t="str">
        <f ca="1">IFERROR(__xludf.DUMMYFUNCTION("""COMPUTED_VALUE"""),"#N/A")</f>
        <v>#N/A</v>
      </c>
      <c r="AU2752" s="6" t="str">
        <f ca="1">IFERROR(__xludf.DUMMYFUNCTION("""COMPUTED_VALUE"""),"FALSE")</f>
        <v>FALSE</v>
      </c>
      <c r="AZ2752" s="9"/>
      <c r="BC2752" s="9"/>
      <c r="BF2752" s="9"/>
      <c r="BI2752" s="9"/>
    </row>
    <row r="2753" spans="18:61">
      <c r="R2753" s="6"/>
      <c r="AS2753" s="15"/>
      <c r="AT2753" s="6" t="str">
        <f ca="1">IFERROR(__xludf.DUMMYFUNCTION("""COMPUTED_VALUE"""),"#N/A")</f>
        <v>#N/A</v>
      </c>
      <c r="AU2753" s="6" t="str">
        <f ca="1">IFERROR(__xludf.DUMMYFUNCTION("""COMPUTED_VALUE"""),"FALSE")</f>
        <v>FALSE</v>
      </c>
      <c r="AZ2753" s="9"/>
      <c r="BC2753" s="9"/>
      <c r="BF2753" s="9"/>
      <c r="BI2753" s="9"/>
    </row>
    <row r="2754" spans="18:61">
      <c r="R2754" s="6"/>
      <c r="AS2754" s="15"/>
      <c r="AT2754" s="6" t="str">
        <f ca="1">IFERROR(__xludf.DUMMYFUNCTION("""COMPUTED_VALUE"""),"#N/A")</f>
        <v>#N/A</v>
      </c>
      <c r="AU2754" s="6" t="str">
        <f ca="1">IFERROR(__xludf.DUMMYFUNCTION("""COMPUTED_VALUE"""),"FALSE")</f>
        <v>FALSE</v>
      </c>
      <c r="AZ2754" s="9"/>
      <c r="BC2754" s="9"/>
      <c r="BF2754" s="9"/>
      <c r="BI2754" s="9"/>
    </row>
    <row r="2755" spans="18:61">
      <c r="R2755" s="6"/>
      <c r="AS2755" s="15"/>
      <c r="AT2755" s="6" t="str">
        <f ca="1">IFERROR(__xludf.DUMMYFUNCTION("""COMPUTED_VALUE"""),"#N/A")</f>
        <v>#N/A</v>
      </c>
      <c r="AU2755" s="6" t="str">
        <f ca="1">IFERROR(__xludf.DUMMYFUNCTION("""COMPUTED_VALUE"""),"FALSE")</f>
        <v>FALSE</v>
      </c>
      <c r="AZ2755" s="9"/>
      <c r="BC2755" s="9"/>
      <c r="BF2755" s="9"/>
      <c r="BI2755" s="9"/>
    </row>
    <row r="2756" spans="18:61">
      <c r="R2756" s="6"/>
      <c r="AS2756" s="15"/>
      <c r="AT2756" s="6" t="str">
        <f ca="1">IFERROR(__xludf.DUMMYFUNCTION("""COMPUTED_VALUE"""),"#N/A")</f>
        <v>#N/A</v>
      </c>
      <c r="AU2756" s="6" t="str">
        <f ca="1">IFERROR(__xludf.DUMMYFUNCTION("""COMPUTED_VALUE"""),"FALSE")</f>
        <v>FALSE</v>
      </c>
      <c r="AZ2756" s="9"/>
      <c r="BC2756" s="9"/>
      <c r="BF2756" s="9"/>
      <c r="BI2756" s="9"/>
    </row>
    <row r="2757" spans="18:61">
      <c r="R2757" s="6"/>
      <c r="AS2757" s="15"/>
      <c r="AT2757" s="6" t="str">
        <f ca="1">IFERROR(__xludf.DUMMYFUNCTION("""COMPUTED_VALUE"""),"#N/A")</f>
        <v>#N/A</v>
      </c>
      <c r="AU2757" s="6" t="str">
        <f ca="1">IFERROR(__xludf.DUMMYFUNCTION("""COMPUTED_VALUE"""),"FALSE")</f>
        <v>FALSE</v>
      </c>
      <c r="AZ2757" s="9"/>
      <c r="BC2757" s="9"/>
      <c r="BF2757" s="9"/>
      <c r="BI2757" s="9"/>
    </row>
    <row r="2758" spans="18:61">
      <c r="R2758" s="6"/>
      <c r="AS2758" s="15"/>
      <c r="AT2758" s="6" t="str">
        <f ca="1">IFERROR(__xludf.DUMMYFUNCTION("""COMPUTED_VALUE"""),"#N/A")</f>
        <v>#N/A</v>
      </c>
      <c r="AU2758" s="6" t="str">
        <f ca="1">IFERROR(__xludf.DUMMYFUNCTION("""COMPUTED_VALUE"""),"FALSE")</f>
        <v>FALSE</v>
      </c>
      <c r="AZ2758" s="9"/>
      <c r="BC2758" s="9"/>
      <c r="BF2758" s="9"/>
      <c r="BI2758" s="9"/>
    </row>
    <row r="2759" spans="18:61">
      <c r="R2759" s="6"/>
      <c r="AS2759" s="15"/>
      <c r="AT2759" s="6" t="str">
        <f ca="1">IFERROR(__xludf.DUMMYFUNCTION("""COMPUTED_VALUE"""),"#N/A")</f>
        <v>#N/A</v>
      </c>
      <c r="AU2759" s="6" t="str">
        <f ca="1">IFERROR(__xludf.DUMMYFUNCTION("""COMPUTED_VALUE"""),"FALSE")</f>
        <v>FALSE</v>
      </c>
      <c r="AZ2759" s="9"/>
      <c r="BC2759" s="9"/>
      <c r="BF2759" s="9"/>
      <c r="BI2759" s="9"/>
    </row>
    <row r="2760" spans="18:61">
      <c r="R2760" s="6"/>
      <c r="AS2760" s="15"/>
      <c r="AT2760" s="6" t="str">
        <f ca="1">IFERROR(__xludf.DUMMYFUNCTION("""COMPUTED_VALUE"""),"#N/A")</f>
        <v>#N/A</v>
      </c>
      <c r="AU2760" s="6" t="str">
        <f ca="1">IFERROR(__xludf.DUMMYFUNCTION("""COMPUTED_VALUE"""),"FALSE")</f>
        <v>FALSE</v>
      </c>
      <c r="AZ2760" s="9"/>
      <c r="BC2760" s="9"/>
      <c r="BF2760" s="9"/>
      <c r="BI2760" s="9"/>
    </row>
    <row r="2761" spans="18:61">
      <c r="R2761" s="6"/>
      <c r="AS2761" s="15"/>
      <c r="AT2761" s="6" t="str">
        <f ca="1">IFERROR(__xludf.DUMMYFUNCTION("""COMPUTED_VALUE"""),"#N/A")</f>
        <v>#N/A</v>
      </c>
      <c r="AU2761" s="6" t="str">
        <f ca="1">IFERROR(__xludf.DUMMYFUNCTION("""COMPUTED_VALUE"""),"FALSE")</f>
        <v>FALSE</v>
      </c>
      <c r="AZ2761" s="9"/>
      <c r="BC2761" s="9"/>
      <c r="BF2761" s="9"/>
      <c r="BI2761" s="9"/>
    </row>
    <row r="2762" spans="18:61">
      <c r="R2762" s="6"/>
      <c r="AS2762" s="15"/>
      <c r="AT2762" s="6" t="str">
        <f ca="1">IFERROR(__xludf.DUMMYFUNCTION("""COMPUTED_VALUE"""),"#N/A")</f>
        <v>#N/A</v>
      </c>
      <c r="AU2762" s="6" t="str">
        <f ca="1">IFERROR(__xludf.DUMMYFUNCTION("""COMPUTED_VALUE"""),"FALSE")</f>
        <v>FALSE</v>
      </c>
      <c r="AZ2762" s="9"/>
      <c r="BC2762" s="9"/>
      <c r="BF2762" s="9"/>
      <c r="BI2762" s="9"/>
    </row>
    <row r="2763" spans="18:61">
      <c r="R2763" s="6"/>
      <c r="AS2763" s="15"/>
      <c r="AT2763" s="6" t="str">
        <f ca="1">IFERROR(__xludf.DUMMYFUNCTION("""COMPUTED_VALUE"""),"#N/A")</f>
        <v>#N/A</v>
      </c>
      <c r="AU2763" s="6" t="str">
        <f ca="1">IFERROR(__xludf.DUMMYFUNCTION("""COMPUTED_VALUE"""),"FALSE")</f>
        <v>FALSE</v>
      </c>
      <c r="AZ2763" s="9"/>
      <c r="BC2763" s="9"/>
      <c r="BF2763" s="9"/>
      <c r="BI2763" s="9"/>
    </row>
    <row r="2764" spans="18:61">
      <c r="R2764" s="6"/>
      <c r="AS2764" s="15"/>
      <c r="AT2764" s="6" t="str">
        <f ca="1">IFERROR(__xludf.DUMMYFUNCTION("""COMPUTED_VALUE"""),"#N/A")</f>
        <v>#N/A</v>
      </c>
      <c r="AU2764" s="6" t="str">
        <f ca="1">IFERROR(__xludf.DUMMYFUNCTION("""COMPUTED_VALUE"""),"FALSE")</f>
        <v>FALSE</v>
      </c>
      <c r="AZ2764" s="9"/>
      <c r="BC2764" s="9"/>
      <c r="BF2764" s="9"/>
      <c r="BI2764" s="9"/>
    </row>
    <row r="2765" spans="18:61">
      <c r="R2765" s="6"/>
      <c r="AS2765" s="15"/>
      <c r="AT2765" s="6" t="str">
        <f ca="1">IFERROR(__xludf.DUMMYFUNCTION("""COMPUTED_VALUE"""),"#N/A")</f>
        <v>#N/A</v>
      </c>
      <c r="AU2765" s="6" t="str">
        <f ca="1">IFERROR(__xludf.DUMMYFUNCTION("""COMPUTED_VALUE"""),"FALSE")</f>
        <v>FALSE</v>
      </c>
      <c r="AZ2765" s="9"/>
      <c r="BC2765" s="9"/>
      <c r="BF2765" s="9"/>
      <c r="BI2765" s="9"/>
    </row>
    <row r="2766" spans="18:61">
      <c r="R2766" s="6"/>
      <c r="AS2766" s="15"/>
      <c r="AT2766" s="6" t="str">
        <f ca="1">IFERROR(__xludf.DUMMYFUNCTION("""COMPUTED_VALUE"""),"#N/A")</f>
        <v>#N/A</v>
      </c>
      <c r="AU2766" s="6" t="str">
        <f ca="1">IFERROR(__xludf.DUMMYFUNCTION("""COMPUTED_VALUE"""),"FALSE")</f>
        <v>FALSE</v>
      </c>
      <c r="AZ2766" s="9"/>
      <c r="BC2766" s="9"/>
      <c r="BF2766" s="9"/>
      <c r="BI2766" s="9"/>
    </row>
    <row r="2767" spans="18:61">
      <c r="R2767" s="6"/>
      <c r="AS2767" s="15"/>
      <c r="AT2767" s="6" t="str">
        <f ca="1">IFERROR(__xludf.DUMMYFUNCTION("""COMPUTED_VALUE"""),"#N/A")</f>
        <v>#N/A</v>
      </c>
      <c r="AU2767" s="6" t="str">
        <f ca="1">IFERROR(__xludf.DUMMYFUNCTION("""COMPUTED_VALUE"""),"FALSE")</f>
        <v>FALSE</v>
      </c>
      <c r="AZ2767" s="9"/>
      <c r="BC2767" s="9"/>
      <c r="BF2767" s="9"/>
      <c r="BI2767" s="9"/>
    </row>
    <row r="2768" spans="18:61">
      <c r="R2768" s="6"/>
      <c r="AS2768" s="15"/>
      <c r="AT2768" s="6" t="str">
        <f ca="1">IFERROR(__xludf.DUMMYFUNCTION("""COMPUTED_VALUE"""),"#N/A")</f>
        <v>#N/A</v>
      </c>
      <c r="AU2768" s="6" t="str">
        <f ca="1">IFERROR(__xludf.DUMMYFUNCTION("""COMPUTED_VALUE"""),"FALSE")</f>
        <v>FALSE</v>
      </c>
      <c r="AZ2768" s="9"/>
      <c r="BC2768" s="9"/>
      <c r="BF2768" s="9"/>
      <c r="BI2768" s="9"/>
    </row>
    <row r="2769" spans="18:61">
      <c r="R2769" s="6"/>
      <c r="AS2769" s="15"/>
      <c r="AT2769" s="6" t="str">
        <f ca="1">IFERROR(__xludf.DUMMYFUNCTION("""COMPUTED_VALUE"""),"#N/A")</f>
        <v>#N/A</v>
      </c>
      <c r="AU2769" s="6" t="str">
        <f ca="1">IFERROR(__xludf.DUMMYFUNCTION("""COMPUTED_VALUE"""),"FALSE")</f>
        <v>FALSE</v>
      </c>
      <c r="AZ2769" s="9"/>
      <c r="BC2769" s="9"/>
      <c r="BF2769" s="9"/>
      <c r="BI2769" s="9"/>
    </row>
    <row r="2770" spans="18:61">
      <c r="R2770" s="6"/>
      <c r="AS2770" s="15"/>
      <c r="AT2770" s="6" t="str">
        <f ca="1">IFERROR(__xludf.DUMMYFUNCTION("""COMPUTED_VALUE"""),"#N/A")</f>
        <v>#N/A</v>
      </c>
      <c r="AU2770" s="6" t="str">
        <f ca="1">IFERROR(__xludf.DUMMYFUNCTION("""COMPUTED_VALUE"""),"FALSE")</f>
        <v>FALSE</v>
      </c>
      <c r="AZ2770" s="9"/>
      <c r="BC2770" s="9"/>
      <c r="BF2770" s="9"/>
      <c r="BI2770" s="9"/>
    </row>
    <row r="2771" spans="18:61">
      <c r="R2771" s="6"/>
      <c r="AS2771" s="15"/>
      <c r="AT2771" s="6" t="str">
        <f ca="1">IFERROR(__xludf.DUMMYFUNCTION("""COMPUTED_VALUE"""),"#N/A")</f>
        <v>#N/A</v>
      </c>
      <c r="AU2771" s="6" t="str">
        <f ca="1">IFERROR(__xludf.DUMMYFUNCTION("""COMPUTED_VALUE"""),"FALSE")</f>
        <v>FALSE</v>
      </c>
      <c r="AZ2771" s="9"/>
      <c r="BC2771" s="9"/>
      <c r="BF2771" s="9"/>
      <c r="BI2771" s="9"/>
    </row>
    <row r="2772" spans="18:61">
      <c r="R2772" s="6"/>
      <c r="AS2772" s="15"/>
      <c r="AT2772" s="6" t="str">
        <f ca="1">IFERROR(__xludf.DUMMYFUNCTION("""COMPUTED_VALUE"""),"#N/A")</f>
        <v>#N/A</v>
      </c>
      <c r="AU2772" s="6" t="str">
        <f ca="1">IFERROR(__xludf.DUMMYFUNCTION("""COMPUTED_VALUE"""),"FALSE")</f>
        <v>FALSE</v>
      </c>
      <c r="AZ2772" s="9"/>
      <c r="BC2772" s="9"/>
      <c r="BF2772" s="9"/>
      <c r="BI2772" s="9"/>
    </row>
    <row r="2773" spans="18:61">
      <c r="R2773" s="6"/>
      <c r="AS2773" s="15"/>
      <c r="AT2773" s="6" t="str">
        <f ca="1">IFERROR(__xludf.DUMMYFUNCTION("""COMPUTED_VALUE"""),"#N/A")</f>
        <v>#N/A</v>
      </c>
      <c r="AU2773" s="6" t="str">
        <f ca="1">IFERROR(__xludf.DUMMYFUNCTION("""COMPUTED_VALUE"""),"FALSE")</f>
        <v>FALSE</v>
      </c>
      <c r="AZ2773" s="9"/>
      <c r="BC2773" s="9"/>
      <c r="BF2773" s="9"/>
      <c r="BI2773" s="9"/>
    </row>
    <row r="2774" spans="18:61">
      <c r="R2774" s="6"/>
      <c r="AS2774" s="15"/>
      <c r="AT2774" s="6" t="str">
        <f ca="1">IFERROR(__xludf.DUMMYFUNCTION("""COMPUTED_VALUE"""),"#N/A")</f>
        <v>#N/A</v>
      </c>
      <c r="AU2774" s="6" t="str">
        <f ca="1">IFERROR(__xludf.DUMMYFUNCTION("""COMPUTED_VALUE"""),"FALSE")</f>
        <v>FALSE</v>
      </c>
      <c r="AZ2774" s="9"/>
      <c r="BC2774" s="9"/>
      <c r="BF2774" s="9"/>
      <c r="BI2774" s="9"/>
    </row>
    <row r="2775" spans="18:61">
      <c r="R2775" s="6"/>
      <c r="AS2775" s="15"/>
      <c r="AT2775" s="6" t="str">
        <f ca="1">IFERROR(__xludf.DUMMYFUNCTION("""COMPUTED_VALUE"""),"#N/A")</f>
        <v>#N/A</v>
      </c>
      <c r="AU2775" s="6" t="str">
        <f ca="1">IFERROR(__xludf.DUMMYFUNCTION("""COMPUTED_VALUE"""),"FALSE")</f>
        <v>FALSE</v>
      </c>
      <c r="AZ2775" s="9"/>
      <c r="BC2775" s="9"/>
      <c r="BF2775" s="9"/>
      <c r="BI2775" s="9"/>
    </row>
    <row r="2776" spans="18:61">
      <c r="R2776" s="6"/>
      <c r="AS2776" s="15"/>
      <c r="AT2776" s="6" t="str">
        <f ca="1">IFERROR(__xludf.DUMMYFUNCTION("""COMPUTED_VALUE"""),"#N/A")</f>
        <v>#N/A</v>
      </c>
      <c r="AU2776" s="6" t="str">
        <f ca="1">IFERROR(__xludf.DUMMYFUNCTION("""COMPUTED_VALUE"""),"FALSE")</f>
        <v>FALSE</v>
      </c>
      <c r="AZ2776" s="9"/>
      <c r="BC2776" s="9"/>
      <c r="BF2776" s="9"/>
      <c r="BI2776" s="9"/>
    </row>
    <row r="2777" spans="18:61">
      <c r="R2777" s="6"/>
      <c r="AS2777" s="15"/>
      <c r="AT2777" s="6" t="str">
        <f ca="1">IFERROR(__xludf.DUMMYFUNCTION("""COMPUTED_VALUE"""),"#N/A")</f>
        <v>#N/A</v>
      </c>
      <c r="AU2777" s="6" t="str">
        <f ca="1">IFERROR(__xludf.DUMMYFUNCTION("""COMPUTED_VALUE"""),"FALSE")</f>
        <v>FALSE</v>
      </c>
      <c r="AZ2777" s="9"/>
      <c r="BC2777" s="9"/>
      <c r="BF2777" s="9"/>
      <c r="BI2777" s="9"/>
    </row>
    <row r="2778" spans="18:61">
      <c r="R2778" s="6"/>
      <c r="AS2778" s="15"/>
      <c r="AT2778" s="6" t="str">
        <f ca="1">IFERROR(__xludf.DUMMYFUNCTION("""COMPUTED_VALUE"""),"#N/A")</f>
        <v>#N/A</v>
      </c>
      <c r="AU2778" s="6" t="str">
        <f ca="1">IFERROR(__xludf.DUMMYFUNCTION("""COMPUTED_VALUE"""),"FALSE")</f>
        <v>FALSE</v>
      </c>
      <c r="AZ2778" s="9"/>
      <c r="BC2778" s="9"/>
      <c r="BF2778" s="9"/>
      <c r="BI2778" s="9"/>
    </row>
    <row r="2779" spans="18:61">
      <c r="R2779" s="6"/>
      <c r="AS2779" s="15"/>
      <c r="AT2779" s="6" t="str">
        <f ca="1">IFERROR(__xludf.DUMMYFUNCTION("""COMPUTED_VALUE"""),"#N/A")</f>
        <v>#N/A</v>
      </c>
      <c r="AU2779" s="6" t="str">
        <f ca="1">IFERROR(__xludf.DUMMYFUNCTION("""COMPUTED_VALUE"""),"FALSE")</f>
        <v>FALSE</v>
      </c>
      <c r="AZ2779" s="9"/>
      <c r="BC2779" s="9"/>
      <c r="BF2779" s="9"/>
      <c r="BI2779" s="9"/>
    </row>
    <row r="2780" spans="18:61">
      <c r="R2780" s="6"/>
      <c r="AS2780" s="15"/>
      <c r="AT2780" s="6" t="str">
        <f ca="1">IFERROR(__xludf.DUMMYFUNCTION("""COMPUTED_VALUE"""),"#N/A")</f>
        <v>#N/A</v>
      </c>
      <c r="AU2780" s="6" t="str">
        <f ca="1">IFERROR(__xludf.DUMMYFUNCTION("""COMPUTED_VALUE"""),"FALSE")</f>
        <v>FALSE</v>
      </c>
      <c r="AZ2780" s="9"/>
      <c r="BC2780" s="9"/>
      <c r="BF2780" s="9"/>
      <c r="BI2780" s="9"/>
    </row>
    <row r="2781" spans="18:61">
      <c r="R2781" s="6"/>
      <c r="AS2781" s="15"/>
      <c r="AT2781" s="6" t="str">
        <f ca="1">IFERROR(__xludf.DUMMYFUNCTION("""COMPUTED_VALUE"""),"#N/A")</f>
        <v>#N/A</v>
      </c>
      <c r="AU2781" s="6" t="str">
        <f ca="1">IFERROR(__xludf.DUMMYFUNCTION("""COMPUTED_VALUE"""),"FALSE")</f>
        <v>FALSE</v>
      </c>
      <c r="AZ2781" s="9"/>
      <c r="BC2781" s="9"/>
      <c r="BF2781" s="9"/>
      <c r="BI2781" s="9"/>
    </row>
    <row r="2782" spans="18:61">
      <c r="R2782" s="6"/>
      <c r="AS2782" s="15"/>
      <c r="AT2782" s="6" t="str">
        <f ca="1">IFERROR(__xludf.DUMMYFUNCTION("""COMPUTED_VALUE"""),"#N/A")</f>
        <v>#N/A</v>
      </c>
      <c r="AU2782" s="6" t="str">
        <f ca="1">IFERROR(__xludf.DUMMYFUNCTION("""COMPUTED_VALUE"""),"FALSE")</f>
        <v>FALSE</v>
      </c>
      <c r="AZ2782" s="9"/>
      <c r="BC2782" s="9"/>
      <c r="BF2782" s="9"/>
      <c r="BI2782" s="9"/>
    </row>
    <row r="2783" spans="18:61">
      <c r="R2783" s="6"/>
      <c r="AS2783" s="15"/>
      <c r="AT2783" s="6" t="str">
        <f ca="1">IFERROR(__xludf.DUMMYFUNCTION("""COMPUTED_VALUE"""),"#N/A")</f>
        <v>#N/A</v>
      </c>
      <c r="AU2783" s="6" t="str">
        <f ca="1">IFERROR(__xludf.DUMMYFUNCTION("""COMPUTED_VALUE"""),"FALSE")</f>
        <v>FALSE</v>
      </c>
      <c r="AZ2783" s="9"/>
      <c r="BC2783" s="9"/>
      <c r="BF2783" s="9"/>
      <c r="BI2783" s="9"/>
    </row>
    <row r="2784" spans="18:61">
      <c r="R2784" s="6"/>
      <c r="AS2784" s="15"/>
      <c r="AT2784" s="6" t="str">
        <f ca="1">IFERROR(__xludf.DUMMYFUNCTION("""COMPUTED_VALUE"""),"#N/A")</f>
        <v>#N/A</v>
      </c>
      <c r="AU2784" s="6" t="str">
        <f ca="1">IFERROR(__xludf.DUMMYFUNCTION("""COMPUTED_VALUE"""),"FALSE")</f>
        <v>FALSE</v>
      </c>
      <c r="AZ2784" s="9"/>
      <c r="BC2784" s="9"/>
      <c r="BF2784" s="9"/>
      <c r="BI2784" s="9"/>
    </row>
    <row r="2785" spans="18:61">
      <c r="R2785" s="6"/>
      <c r="AS2785" s="15"/>
      <c r="AT2785" s="6" t="str">
        <f ca="1">IFERROR(__xludf.DUMMYFUNCTION("""COMPUTED_VALUE"""),"#N/A")</f>
        <v>#N/A</v>
      </c>
      <c r="AU2785" s="6" t="str">
        <f ca="1">IFERROR(__xludf.DUMMYFUNCTION("""COMPUTED_VALUE"""),"FALSE")</f>
        <v>FALSE</v>
      </c>
      <c r="AZ2785" s="9"/>
      <c r="BC2785" s="9"/>
      <c r="BF2785" s="9"/>
      <c r="BI2785" s="9"/>
    </row>
    <row r="2786" spans="18:61">
      <c r="R2786" s="6"/>
      <c r="AS2786" s="15"/>
      <c r="AT2786" s="6" t="str">
        <f ca="1">IFERROR(__xludf.DUMMYFUNCTION("""COMPUTED_VALUE"""),"#N/A")</f>
        <v>#N/A</v>
      </c>
      <c r="AU2786" s="6" t="str">
        <f ca="1">IFERROR(__xludf.DUMMYFUNCTION("""COMPUTED_VALUE"""),"FALSE")</f>
        <v>FALSE</v>
      </c>
      <c r="AZ2786" s="9"/>
      <c r="BC2786" s="9"/>
      <c r="BF2786" s="9"/>
      <c r="BI2786" s="9"/>
    </row>
    <row r="2787" spans="18:61">
      <c r="R2787" s="6"/>
      <c r="AS2787" s="15"/>
      <c r="AT2787" s="6" t="str">
        <f ca="1">IFERROR(__xludf.DUMMYFUNCTION("""COMPUTED_VALUE"""),"#N/A")</f>
        <v>#N/A</v>
      </c>
      <c r="AU2787" s="6" t="str">
        <f ca="1">IFERROR(__xludf.DUMMYFUNCTION("""COMPUTED_VALUE"""),"FALSE")</f>
        <v>FALSE</v>
      </c>
      <c r="AZ2787" s="9"/>
      <c r="BC2787" s="9"/>
      <c r="BF2787" s="9"/>
      <c r="BI2787" s="9"/>
    </row>
    <row r="2788" spans="18:61">
      <c r="R2788" s="6"/>
      <c r="AS2788" s="15"/>
      <c r="AT2788" s="6" t="str">
        <f ca="1">IFERROR(__xludf.DUMMYFUNCTION("""COMPUTED_VALUE"""),"#N/A")</f>
        <v>#N/A</v>
      </c>
      <c r="AU2788" s="6" t="str">
        <f ca="1">IFERROR(__xludf.DUMMYFUNCTION("""COMPUTED_VALUE"""),"FALSE")</f>
        <v>FALSE</v>
      </c>
      <c r="AZ2788" s="9"/>
      <c r="BC2788" s="9"/>
      <c r="BF2788" s="9"/>
      <c r="BI2788" s="9"/>
    </row>
    <row r="2789" spans="18:61">
      <c r="R2789" s="6"/>
      <c r="AS2789" s="15"/>
      <c r="AT2789" s="6" t="str">
        <f ca="1">IFERROR(__xludf.DUMMYFUNCTION("""COMPUTED_VALUE"""),"#N/A")</f>
        <v>#N/A</v>
      </c>
      <c r="AU2789" s="6" t="str">
        <f ca="1">IFERROR(__xludf.DUMMYFUNCTION("""COMPUTED_VALUE"""),"FALSE")</f>
        <v>FALSE</v>
      </c>
      <c r="AZ2789" s="9"/>
      <c r="BC2789" s="9"/>
      <c r="BF2789" s="9"/>
      <c r="BI2789" s="9"/>
    </row>
    <row r="2790" spans="18:61">
      <c r="R2790" s="6"/>
      <c r="AS2790" s="15"/>
      <c r="AT2790" s="6" t="str">
        <f ca="1">IFERROR(__xludf.DUMMYFUNCTION("""COMPUTED_VALUE"""),"#N/A")</f>
        <v>#N/A</v>
      </c>
      <c r="AU2790" s="6" t="str">
        <f ca="1">IFERROR(__xludf.DUMMYFUNCTION("""COMPUTED_VALUE"""),"FALSE")</f>
        <v>FALSE</v>
      </c>
      <c r="AZ2790" s="9"/>
      <c r="BC2790" s="9"/>
      <c r="BF2790" s="9"/>
      <c r="BI2790" s="9"/>
    </row>
    <row r="2791" spans="18:61">
      <c r="R2791" s="6"/>
      <c r="AS2791" s="15"/>
      <c r="AT2791" s="6" t="str">
        <f ca="1">IFERROR(__xludf.DUMMYFUNCTION("""COMPUTED_VALUE"""),"#N/A")</f>
        <v>#N/A</v>
      </c>
      <c r="AU2791" s="6" t="str">
        <f ca="1">IFERROR(__xludf.DUMMYFUNCTION("""COMPUTED_VALUE"""),"FALSE")</f>
        <v>FALSE</v>
      </c>
      <c r="AZ2791" s="9"/>
      <c r="BC2791" s="9"/>
      <c r="BF2791" s="9"/>
      <c r="BI2791" s="9"/>
    </row>
    <row r="2792" spans="18:61">
      <c r="R2792" s="6"/>
      <c r="AS2792" s="15"/>
      <c r="AT2792" s="6" t="str">
        <f ca="1">IFERROR(__xludf.DUMMYFUNCTION("""COMPUTED_VALUE"""),"#N/A")</f>
        <v>#N/A</v>
      </c>
      <c r="AU2792" s="6" t="str">
        <f ca="1">IFERROR(__xludf.DUMMYFUNCTION("""COMPUTED_VALUE"""),"FALSE")</f>
        <v>FALSE</v>
      </c>
      <c r="AZ2792" s="9"/>
      <c r="BC2792" s="9"/>
      <c r="BF2792" s="9"/>
      <c r="BI2792" s="9"/>
    </row>
    <row r="2793" spans="18:61">
      <c r="R2793" s="6"/>
      <c r="AS2793" s="15"/>
      <c r="AT2793" s="6" t="str">
        <f ca="1">IFERROR(__xludf.DUMMYFUNCTION("""COMPUTED_VALUE"""),"#N/A")</f>
        <v>#N/A</v>
      </c>
      <c r="AU2793" s="6" t="str">
        <f ca="1">IFERROR(__xludf.DUMMYFUNCTION("""COMPUTED_VALUE"""),"FALSE")</f>
        <v>FALSE</v>
      </c>
      <c r="AZ2793" s="9"/>
      <c r="BC2793" s="9"/>
      <c r="BF2793" s="9"/>
      <c r="BI2793" s="9"/>
    </row>
    <row r="2794" spans="18:61">
      <c r="R2794" s="6"/>
      <c r="AS2794" s="15"/>
      <c r="AT2794" s="6" t="str">
        <f ca="1">IFERROR(__xludf.DUMMYFUNCTION("""COMPUTED_VALUE"""),"#N/A")</f>
        <v>#N/A</v>
      </c>
      <c r="AU2794" s="6" t="str">
        <f ca="1">IFERROR(__xludf.DUMMYFUNCTION("""COMPUTED_VALUE"""),"FALSE")</f>
        <v>FALSE</v>
      </c>
      <c r="AZ2794" s="9"/>
      <c r="BC2794" s="9"/>
      <c r="BF2794" s="9"/>
      <c r="BI2794" s="9"/>
    </row>
    <row r="2795" spans="18:61">
      <c r="R2795" s="6"/>
      <c r="AS2795" s="15"/>
      <c r="AT2795" s="6" t="str">
        <f ca="1">IFERROR(__xludf.DUMMYFUNCTION("""COMPUTED_VALUE"""),"#N/A")</f>
        <v>#N/A</v>
      </c>
      <c r="AU2795" s="6" t="str">
        <f ca="1">IFERROR(__xludf.DUMMYFUNCTION("""COMPUTED_VALUE"""),"FALSE")</f>
        <v>FALSE</v>
      </c>
      <c r="AZ2795" s="9"/>
      <c r="BC2795" s="9"/>
      <c r="BF2795" s="9"/>
      <c r="BI2795" s="9"/>
    </row>
    <row r="2796" spans="18:61">
      <c r="R2796" s="6"/>
      <c r="AS2796" s="15"/>
      <c r="AT2796" s="6" t="str">
        <f ca="1">IFERROR(__xludf.DUMMYFUNCTION("""COMPUTED_VALUE"""),"#N/A")</f>
        <v>#N/A</v>
      </c>
      <c r="AU2796" s="6" t="str">
        <f ca="1">IFERROR(__xludf.DUMMYFUNCTION("""COMPUTED_VALUE"""),"FALSE")</f>
        <v>FALSE</v>
      </c>
      <c r="AZ2796" s="9"/>
      <c r="BC2796" s="9"/>
      <c r="BF2796" s="9"/>
      <c r="BI2796" s="9"/>
    </row>
    <row r="2797" spans="18:61">
      <c r="R2797" s="6"/>
      <c r="AS2797" s="15"/>
      <c r="AT2797" s="6" t="str">
        <f ca="1">IFERROR(__xludf.DUMMYFUNCTION("""COMPUTED_VALUE"""),"#N/A")</f>
        <v>#N/A</v>
      </c>
      <c r="AU2797" s="6" t="str">
        <f ca="1">IFERROR(__xludf.DUMMYFUNCTION("""COMPUTED_VALUE"""),"FALSE")</f>
        <v>FALSE</v>
      </c>
      <c r="AZ2797" s="9"/>
      <c r="BC2797" s="9"/>
      <c r="BF2797" s="9"/>
      <c r="BI2797" s="9"/>
    </row>
    <row r="2798" spans="18:61">
      <c r="R2798" s="6"/>
      <c r="AS2798" s="15"/>
      <c r="AT2798" s="6" t="str">
        <f ca="1">IFERROR(__xludf.DUMMYFUNCTION("""COMPUTED_VALUE"""),"#N/A")</f>
        <v>#N/A</v>
      </c>
      <c r="AU2798" s="6" t="str">
        <f ca="1">IFERROR(__xludf.DUMMYFUNCTION("""COMPUTED_VALUE"""),"FALSE")</f>
        <v>FALSE</v>
      </c>
      <c r="AZ2798" s="9"/>
      <c r="BC2798" s="9"/>
      <c r="BF2798" s="9"/>
      <c r="BI2798" s="9"/>
    </row>
    <row r="2799" spans="18:61">
      <c r="R2799" s="6"/>
      <c r="AS2799" s="15"/>
      <c r="AT2799" s="6" t="str">
        <f ca="1">IFERROR(__xludf.DUMMYFUNCTION("""COMPUTED_VALUE"""),"#N/A")</f>
        <v>#N/A</v>
      </c>
      <c r="AU2799" s="6" t="str">
        <f ca="1">IFERROR(__xludf.DUMMYFUNCTION("""COMPUTED_VALUE"""),"FALSE")</f>
        <v>FALSE</v>
      </c>
      <c r="AZ2799" s="9"/>
      <c r="BC2799" s="9"/>
      <c r="BF2799" s="9"/>
      <c r="BI2799" s="9"/>
    </row>
    <row r="2800" spans="18:61">
      <c r="R2800" s="6"/>
      <c r="AS2800" s="15"/>
      <c r="AT2800" s="6" t="str">
        <f ca="1">IFERROR(__xludf.DUMMYFUNCTION("""COMPUTED_VALUE"""),"#N/A")</f>
        <v>#N/A</v>
      </c>
      <c r="AU2800" s="6" t="str">
        <f ca="1">IFERROR(__xludf.DUMMYFUNCTION("""COMPUTED_VALUE"""),"FALSE")</f>
        <v>FALSE</v>
      </c>
      <c r="AZ2800" s="9"/>
      <c r="BC2800" s="9"/>
      <c r="BF2800" s="9"/>
      <c r="BI2800" s="9"/>
    </row>
    <row r="2801" spans="18:61">
      <c r="R2801" s="6"/>
      <c r="AS2801" s="15"/>
      <c r="AT2801" s="6" t="str">
        <f ca="1">IFERROR(__xludf.DUMMYFUNCTION("""COMPUTED_VALUE"""),"#N/A")</f>
        <v>#N/A</v>
      </c>
      <c r="AU2801" s="6" t="str">
        <f ca="1">IFERROR(__xludf.DUMMYFUNCTION("""COMPUTED_VALUE"""),"FALSE")</f>
        <v>FALSE</v>
      </c>
      <c r="AZ2801" s="9"/>
      <c r="BC2801" s="9"/>
      <c r="BF2801" s="9"/>
      <c r="BI2801" s="9"/>
    </row>
    <row r="2802" spans="18:61">
      <c r="R2802" s="6"/>
      <c r="AS2802" s="15"/>
      <c r="AT2802" s="6" t="str">
        <f ca="1">IFERROR(__xludf.DUMMYFUNCTION("""COMPUTED_VALUE"""),"#N/A")</f>
        <v>#N/A</v>
      </c>
      <c r="AU2802" s="6" t="str">
        <f ca="1">IFERROR(__xludf.DUMMYFUNCTION("""COMPUTED_VALUE"""),"FALSE")</f>
        <v>FALSE</v>
      </c>
      <c r="AZ2802" s="9"/>
      <c r="BC2802" s="9"/>
      <c r="BF2802" s="9"/>
      <c r="BI2802" s="9"/>
    </row>
    <row r="2803" spans="18:61">
      <c r="R2803" s="6"/>
      <c r="AS2803" s="15"/>
      <c r="AT2803" s="6" t="str">
        <f ca="1">IFERROR(__xludf.DUMMYFUNCTION("""COMPUTED_VALUE"""),"#N/A")</f>
        <v>#N/A</v>
      </c>
      <c r="AU2803" s="6" t="str">
        <f ca="1">IFERROR(__xludf.DUMMYFUNCTION("""COMPUTED_VALUE"""),"FALSE")</f>
        <v>FALSE</v>
      </c>
      <c r="AZ2803" s="9"/>
      <c r="BC2803" s="9"/>
      <c r="BF2803" s="9"/>
      <c r="BI2803" s="9"/>
    </row>
    <row r="2804" spans="18:61">
      <c r="R2804" s="6"/>
      <c r="AS2804" s="15"/>
      <c r="AT2804" s="6" t="str">
        <f ca="1">IFERROR(__xludf.DUMMYFUNCTION("""COMPUTED_VALUE"""),"#N/A")</f>
        <v>#N/A</v>
      </c>
      <c r="AU2804" s="6" t="str">
        <f ca="1">IFERROR(__xludf.DUMMYFUNCTION("""COMPUTED_VALUE"""),"FALSE")</f>
        <v>FALSE</v>
      </c>
      <c r="AZ2804" s="9"/>
      <c r="BC2804" s="9"/>
      <c r="BF2804" s="9"/>
      <c r="BI2804" s="9"/>
    </row>
    <row r="2805" spans="18:61">
      <c r="R2805" s="6"/>
      <c r="AS2805" s="15"/>
      <c r="AT2805" s="6" t="str">
        <f ca="1">IFERROR(__xludf.DUMMYFUNCTION("""COMPUTED_VALUE"""),"#N/A")</f>
        <v>#N/A</v>
      </c>
      <c r="AU2805" s="6" t="str">
        <f ca="1">IFERROR(__xludf.DUMMYFUNCTION("""COMPUTED_VALUE"""),"FALSE")</f>
        <v>FALSE</v>
      </c>
      <c r="AZ2805" s="9"/>
      <c r="BC2805" s="9"/>
      <c r="BF2805" s="9"/>
      <c r="BI2805" s="9"/>
    </row>
    <row r="2806" spans="18:61">
      <c r="R2806" s="6"/>
      <c r="AS2806" s="15"/>
      <c r="AT2806" s="6" t="str">
        <f ca="1">IFERROR(__xludf.DUMMYFUNCTION("""COMPUTED_VALUE"""),"#N/A")</f>
        <v>#N/A</v>
      </c>
      <c r="AU2806" s="6" t="str">
        <f ca="1">IFERROR(__xludf.DUMMYFUNCTION("""COMPUTED_VALUE"""),"FALSE")</f>
        <v>FALSE</v>
      </c>
      <c r="AZ2806" s="9"/>
      <c r="BC2806" s="9"/>
      <c r="BF2806" s="9"/>
      <c r="BI2806" s="9"/>
    </row>
    <row r="2807" spans="18:61">
      <c r="R2807" s="6"/>
      <c r="AS2807" s="15"/>
      <c r="AT2807" s="6" t="str">
        <f ca="1">IFERROR(__xludf.DUMMYFUNCTION("""COMPUTED_VALUE"""),"#N/A")</f>
        <v>#N/A</v>
      </c>
      <c r="AU2807" s="6" t="str">
        <f ca="1">IFERROR(__xludf.DUMMYFUNCTION("""COMPUTED_VALUE"""),"FALSE")</f>
        <v>FALSE</v>
      </c>
      <c r="AZ2807" s="9"/>
      <c r="BC2807" s="9"/>
      <c r="BF2807" s="9"/>
      <c r="BI2807" s="9"/>
    </row>
    <row r="2808" spans="18:61">
      <c r="R2808" s="6"/>
      <c r="AS2808" s="15"/>
      <c r="AT2808" s="6" t="str">
        <f ca="1">IFERROR(__xludf.DUMMYFUNCTION("""COMPUTED_VALUE"""),"#N/A")</f>
        <v>#N/A</v>
      </c>
      <c r="AU2808" s="6" t="str">
        <f ca="1">IFERROR(__xludf.DUMMYFUNCTION("""COMPUTED_VALUE"""),"FALSE")</f>
        <v>FALSE</v>
      </c>
      <c r="AZ2808" s="9"/>
      <c r="BC2808" s="9"/>
      <c r="BF2808" s="9"/>
      <c r="BI2808" s="9"/>
    </row>
    <row r="2809" spans="18:61">
      <c r="R2809" s="6"/>
      <c r="AS2809" s="15"/>
      <c r="AT2809" s="6" t="str">
        <f ca="1">IFERROR(__xludf.DUMMYFUNCTION("""COMPUTED_VALUE"""),"#N/A")</f>
        <v>#N/A</v>
      </c>
      <c r="AU2809" s="6" t="str">
        <f ca="1">IFERROR(__xludf.DUMMYFUNCTION("""COMPUTED_VALUE"""),"FALSE")</f>
        <v>FALSE</v>
      </c>
      <c r="AZ2809" s="9"/>
      <c r="BC2809" s="9"/>
      <c r="BF2809" s="9"/>
      <c r="BI2809" s="9"/>
    </row>
    <row r="2810" spans="18:61">
      <c r="R2810" s="6"/>
      <c r="AS2810" s="15"/>
      <c r="AT2810" s="6" t="str">
        <f ca="1">IFERROR(__xludf.DUMMYFUNCTION("""COMPUTED_VALUE"""),"#N/A")</f>
        <v>#N/A</v>
      </c>
      <c r="AU2810" s="6" t="str">
        <f ca="1">IFERROR(__xludf.DUMMYFUNCTION("""COMPUTED_VALUE"""),"FALSE")</f>
        <v>FALSE</v>
      </c>
      <c r="AZ2810" s="9"/>
      <c r="BC2810" s="9"/>
      <c r="BF2810" s="9"/>
      <c r="BI2810" s="9"/>
    </row>
    <row r="2811" spans="18:61">
      <c r="R2811" s="6"/>
      <c r="AS2811" s="15"/>
      <c r="AT2811" s="6" t="str">
        <f ca="1">IFERROR(__xludf.DUMMYFUNCTION("""COMPUTED_VALUE"""),"#N/A")</f>
        <v>#N/A</v>
      </c>
      <c r="AU2811" s="6" t="str">
        <f ca="1">IFERROR(__xludf.DUMMYFUNCTION("""COMPUTED_VALUE"""),"FALSE")</f>
        <v>FALSE</v>
      </c>
      <c r="AZ2811" s="9"/>
      <c r="BC2811" s="9"/>
      <c r="BF2811" s="9"/>
      <c r="BI2811" s="9"/>
    </row>
    <row r="2812" spans="18:61">
      <c r="R2812" s="6"/>
      <c r="AS2812" s="15"/>
      <c r="AT2812" s="6" t="str">
        <f ca="1">IFERROR(__xludf.DUMMYFUNCTION("""COMPUTED_VALUE"""),"#N/A")</f>
        <v>#N/A</v>
      </c>
      <c r="AU2812" s="6" t="str">
        <f ca="1">IFERROR(__xludf.DUMMYFUNCTION("""COMPUTED_VALUE"""),"FALSE")</f>
        <v>FALSE</v>
      </c>
      <c r="AZ2812" s="9"/>
      <c r="BC2812" s="9"/>
      <c r="BF2812" s="9"/>
      <c r="BI2812" s="9"/>
    </row>
    <row r="2813" spans="18:61">
      <c r="R2813" s="6"/>
      <c r="AS2813" s="15"/>
      <c r="AT2813" s="6" t="str">
        <f ca="1">IFERROR(__xludf.DUMMYFUNCTION("""COMPUTED_VALUE"""),"#N/A")</f>
        <v>#N/A</v>
      </c>
      <c r="AU2813" s="6" t="str">
        <f ca="1">IFERROR(__xludf.DUMMYFUNCTION("""COMPUTED_VALUE"""),"FALSE")</f>
        <v>FALSE</v>
      </c>
      <c r="AZ2813" s="9"/>
      <c r="BC2813" s="9"/>
      <c r="BF2813" s="9"/>
      <c r="BI2813" s="9"/>
    </row>
    <row r="2814" spans="18:61">
      <c r="R2814" s="6"/>
      <c r="AS2814" s="15"/>
      <c r="AT2814" s="6" t="str">
        <f ca="1">IFERROR(__xludf.DUMMYFUNCTION("""COMPUTED_VALUE"""),"#N/A")</f>
        <v>#N/A</v>
      </c>
      <c r="AU2814" s="6" t="str">
        <f ca="1">IFERROR(__xludf.DUMMYFUNCTION("""COMPUTED_VALUE"""),"FALSE")</f>
        <v>FALSE</v>
      </c>
      <c r="AZ2814" s="9"/>
      <c r="BC2814" s="9"/>
      <c r="BF2814" s="9"/>
      <c r="BI2814" s="9"/>
    </row>
    <row r="2815" spans="18:61">
      <c r="R2815" s="6"/>
      <c r="AS2815" s="15"/>
      <c r="AT2815" s="6" t="str">
        <f ca="1">IFERROR(__xludf.DUMMYFUNCTION("""COMPUTED_VALUE"""),"#N/A")</f>
        <v>#N/A</v>
      </c>
      <c r="AU2815" s="6" t="str">
        <f ca="1">IFERROR(__xludf.DUMMYFUNCTION("""COMPUTED_VALUE"""),"FALSE")</f>
        <v>FALSE</v>
      </c>
      <c r="AZ2815" s="9"/>
      <c r="BC2815" s="9"/>
      <c r="BF2815" s="9"/>
      <c r="BI2815" s="9"/>
    </row>
    <row r="2816" spans="18:61">
      <c r="R2816" s="6"/>
      <c r="AS2816" s="15"/>
      <c r="AT2816" s="6" t="str">
        <f ca="1">IFERROR(__xludf.DUMMYFUNCTION("""COMPUTED_VALUE"""),"#N/A")</f>
        <v>#N/A</v>
      </c>
      <c r="AU2816" s="6" t="str">
        <f ca="1">IFERROR(__xludf.DUMMYFUNCTION("""COMPUTED_VALUE"""),"FALSE")</f>
        <v>FALSE</v>
      </c>
      <c r="AZ2816" s="9"/>
      <c r="BC2816" s="9"/>
      <c r="BF2816" s="9"/>
      <c r="BI2816" s="9"/>
    </row>
    <row r="2817" spans="18:61">
      <c r="R2817" s="6"/>
      <c r="AS2817" s="15"/>
      <c r="AT2817" s="6" t="str">
        <f ca="1">IFERROR(__xludf.DUMMYFUNCTION("""COMPUTED_VALUE"""),"#N/A")</f>
        <v>#N/A</v>
      </c>
      <c r="AU2817" s="6" t="str">
        <f ca="1">IFERROR(__xludf.DUMMYFUNCTION("""COMPUTED_VALUE"""),"FALSE")</f>
        <v>FALSE</v>
      </c>
      <c r="AZ2817" s="9"/>
      <c r="BC2817" s="9"/>
      <c r="BF2817" s="9"/>
      <c r="BI2817" s="9"/>
    </row>
    <row r="2818" spans="18:61">
      <c r="R2818" s="6"/>
      <c r="AS2818" s="15"/>
      <c r="AT2818" s="6" t="str">
        <f ca="1">IFERROR(__xludf.DUMMYFUNCTION("""COMPUTED_VALUE"""),"#N/A")</f>
        <v>#N/A</v>
      </c>
      <c r="AU2818" s="6" t="str">
        <f ca="1">IFERROR(__xludf.DUMMYFUNCTION("""COMPUTED_VALUE"""),"FALSE")</f>
        <v>FALSE</v>
      </c>
      <c r="AZ2818" s="9"/>
      <c r="BC2818" s="9"/>
      <c r="BF2818" s="9"/>
      <c r="BI2818" s="9"/>
    </row>
    <row r="2819" spans="18:61">
      <c r="R2819" s="6"/>
      <c r="AS2819" s="15"/>
      <c r="AT2819" s="6" t="str">
        <f ca="1">IFERROR(__xludf.DUMMYFUNCTION("""COMPUTED_VALUE"""),"#N/A")</f>
        <v>#N/A</v>
      </c>
      <c r="AU2819" s="6" t="str">
        <f ca="1">IFERROR(__xludf.DUMMYFUNCTION("""COMPUTED_VALUE"""),"FALSE")</f>
        <v>FALSE</v>
      </c>
      <c r="AZ2819" s="9"/>
      <c r="BC2819" s="9"/>
      <c r="BF2819" s="9"/>
      <c r="BI2819" s="9"/>
    </row>
    <row r="2820" spans="18:61">
      <c r="R2820" s="6"/>
      <c r="AS2820" s="15"/>
      <c r="AT2820" s="6" t="str">
        <f ca="1">IFERROR(__xludf.DUMMYFUNCTION("""COMPUTED_VALUE"""),"#N/A")</f>
        <v>#N/A</v>
      </c>
      <c r="AU2820" s="6" t="str">
        <f ca="1">IFERROR(__xludf.DUMMYFUNCTION("""COMPUTED_VALUE"""),"FALSE")</f>
        <v>FALSE</v>
      </c>
      <c r="AZ2820" s="9"/>
      <c r="BC2820" s="9"/>
      <c r="BF2820" s="9"/>
      <c r="BI2820" s="9"/>
    </row>
    <row r="2821" spans="18:61">
      <c r="R2821" s="6"/>
      <c r="AS2821" s="15"/>
      <c r="AT2821" s="6" t="str">
        <f ca="1">IFERROR(__xludf.DUMMYFUNCTION("""COMPUTED_VALUE"""),"#N/A")</f>
        <v>#N/A</v>
      </c>
      <c r="AU2821" s="6" t="str">
        <f ca="1">IFERROR(__xludf.DUMMYFUNCTION("""COMPUTED_VALUE"""),"FALSE")</f>
        <v>FALSE</v>
      </c>
      <c r="AZ2821" s="9"/>
      <c r="BC2821" s="9"/>
      <c r="BF2821" s="9"/>
      <c r="BI2821" s="9"/>
    </row>
    <row r="2822" spans="18:61">
      <c r="R2822" s="6"/>
      <c r="AS2822" s="15"/>
      <c r="AT2822" s="6" t="str">
        <f ca="1">IFERROR(__xludf.DUMMYFUNCTION("""COMPUTED_VALUE"""),"#N/A")</f>
        <v>#N/A</v>
      </c>
      <c r="AU2822" s="6" t="str">
        <f ca="1">IFERROR(__xludf.DUMMYFUNCTION("""COMPUTED_VALUE"""),"FALSE")</f>
        <v>FALSE</v>
      </c>
      <c r="AZ2822" s="9"/>
      <c r="BC2822" s="9"/>
      <c r="BF2822" s="9"/>
      <c r="BI2822" s="9"/>
    </row>
    <row r="2823" spans="18:61">
      <c r="R2823" s="6"/>
      <c r="AS2823" s="15"/>
      <c r="AT2823" s="6" t="str">
        <f ca="1">IFERROR(__xludf.DUMMYFUNCTION("""COMPUTED_VALUE"""),"#N/A")</f>
        <v>#N/A</v>
      </c>
      <c r="AU2823" s="6" t="str">
        <f ca="1">IFERROR(__xludf.DUMMYFUNCTION("""COMPUTED_VALUE"""),"FALSE")</f>
        <v>FALSE</v>
      </c>
      <c r="AZ2823" s="9"/>
      <c r="BC2823" s="9"/>
      <c r="BF2823" s="9"/>
      <c r="BI2823" s="9"/>
    </row>
    <row r="2824" spans="18:61">
      <c r="R2824" s="6"/>
      <c r="AS2824" s="15"/>
      <c r="AT2824" s="6" t="str">
        <f ca="1">IFERROR(__xludf.DUMMYFUNCTION("""COMPUTED_VALUE"""),"#N/A")</f>
        <v>#N/A</v>
      </c>
      <c r="AU2824" s="6" t="str">
        <f ca="1">IFERROR(__xludf.DUMMYFUNCTION("""COMPUTED_VALUE"""),"FALSE")</f>
        <v>FALSE</v>
      </c>
      <c r="AZ2824" s="9"/>
      <c r="BC2824" s="9"/>
      <c r="BF2824" s="9"/>
      <c r="BI2824" s="9"/>
    </row>
    <row r="2825" spans="18:61">
      <c r="R2825" s="6"/>
      <c r="AS2825" s="15"/>
      <c r="AT2825" s="6" t="str">
        <f ca="1">IFERROR(__xludf.DUMMYFUNCTION("""COMPUTED_VALUE"""),"#N/A")</f>
        <v>#N/A</v>
      </c>
      <c r="AU2825" s="6" t="str">
        <f ca="1">IFERROR(__xludf.DUMMYFUNCTION("""COMPUTED_VALUE"""),"FALSE")</f>
        <v>FALSE</v>
      </c>
      <c r="AZ2825" s="9"/>
      <c r="BC2825" s="9"/>
      <c r="BF2825" s="9"/>
      <c r="BI2825" s="9"/>
    </row>
    <row r="2826" spans="18:61">
      <c r="R2826" s="6"/>
      <c r="AS2826" s="15"/>
      <c r="AT2826" s="6" t="str">
        <f ca="1">IFERROR(__xludf.DUMMYFUNCTION("""COMPUTED_VALUE"""),"#N/A")</f>
        <v>#N/A</v>
      </c>
      <c r="AU2826" s="6" t="str">
        <f ca="1">IFERROR(__xludf.DUMMYFUNCTION("""COMPUTED_VALUE"""),"FALSE")</f>
        <v>FALSE</v>
      </c>
      <c r="AZ2826" s="9"/>
      <c r="BC2826" s="9"/>
      <c r="BF2826" s="9"/>
      <c r="BI2826" s="9"/>
    </row>
    <row r="2827" spans="18:61">
      <c r="R2827" s="6"/>
      <c r="AS2827" s="15"/>
      <c r="AT2827" s="6" t="str">
        <f ca="1">IFERROR(__xludf.DUMMYFUNCTION("""COMPUTED_VALUE"""),"#N/A")</f>
        <v>#N/A</v>
      </c>
      <c r="AU2827" s="6" t="str">
        <f ca="1">IFERROR(__xludf.DUMMYFUNCTION("""COMPUTED_VALUE"""),"FALSE")</f>
        <v>FALSE</v>
      </c>
      <c r="AZ2827" s="9"/>
      <c r="BC2827" s="9"/>
      <c r="BF2827" s="9"/>
      <c r="BI2827" s="9"/>
    </row>
    <row r="2828" spans="18:61">
      <c r="R2828" s="6"/>
      <c r="AS2828" s="15"/>
      <c r="AT2828" s="6" t="str">
        <f ca="1">IFERROR(__xludf.DUMMYFUNCTION("""COMPUTED_VALUE"""),"#N/A")</f>
        <v>#N/A</v>
      </c>
      <c r="AU2828" s="6" t="str">
        <f ca="1">IFERROR(__xludf.DUMMYFUNCTION("""COMPUTED_VALUE"""),"FALSE")</f>
        <v>FALSE</v>
      </c>
      <c r="AZ2828" s="9"/>
      <c r="BC2828" s="9"/>
      <c r="BF2828" s="9"/>
      <c r="BI2828" s="9"/>
    </row>
    <row r="2829" spans="18:61">
      <c r="R2829" s="6"/>
      <c r="AS2829" s="15"/>
      <c r="AT2829" s="6" t="str">
        <f ca="1">IFERROR(__xludf.DUMMYFUNCTION("""COMPUTED_VALUE"""),"#N/A")</f>
        <v>#N/A</v>
      </c>
      <c r="AU2829" s="6" t="str">
        <f ca="1">IFERROR(__xludf.DUMMYFUNCTION("""COMPUTED_VALUE"""),"FALSE")</f>
        <v>FALSE</v>
      </c>
      <c r="AZ2829" s="9"/>
      <c r="BC2829" s="9"/>
      <c r="BF2829" s="9"/>
      <c r="BI2829" s="9"/>
    </row>
    <row r="2830" spans="18:61">
      <c r="R2830" s="6"/>
      <c r="AS2830" s="15"/>
      <c r="AT2830" s="6" t="str">
        <f ca="1">IFERROR(__xludf.DUMMYFUNCTION("""COMPUTED_VALUE"""),"#N/A")</f>
        <v>#N/A</v>
      </c>
      <c r="AU2830" s="6" t="str">
        <f ca="1">IFERROR(__xludf.DUMMYFUNCTION("""COMPUTED_VALUE"""),"FALSE")</f>
        <v>FALSE</v>
      </c>
      <c r="AZ2830" s="9"/>
      <c r="BC2830" s="9"/>
      <c r="BF2830" s="9"/>
      <c r="BI2830" s="9"/>
    </row>
    <row r="2831" spans="18:61">
      <c r="R2831" s="6"/>
      <c r="AS2831" s="15"/>
      <c r="AT2831" s="6" t="str">
        <f ca="1">IFERROR(__xludf.DUMMYFUNCTION("""COMPUTED_VALUE"""),"#N/A")</f>
        <v>#N/A</v>
      </c>
      <c r="AU2831" s="6" t="str">
        <f ca="1">IFERROR(__xludf.DUMMYFUNCTION("""COMPUTED_VALUE"""),"FALSE")</f>
        <v>FALSE</v>
      </c>
      <c r="AZ2831" s="9"/>
      <c r="BC2831" s="9"/>
      <c r="BF2831" s="9"/>
      <c r="BI2831" s="9"/>
    </row>
    <row r="2832" spans="18:61">
      <c r="R2832" s="6"/>
      <c r="AS2832" s="15"/>
      <c r="AT2832" s="6" t="str">
        <f ca="1">IFERROR(__xludf.DUMMYFUNCTION("""COMPUTED_VALUE"""),"#N/A")</f>
        <v>#N/A</v>
      </c>
      <c r="AU2832" s="6" t="str">
        <f ca="1">IFERROR(__xludf.DUMMYFUNCTION("""COMPUTED_VALUE"""),"FALSE")</f>
        <v>FALSE</v>
      </c>
      <c r="AZ2832" s="9"/>
      <c r="BC2832" s="9"/>
      <c r="BF2832" s="9"/>
      <c r="BI2832" s="9"/>
    </row>
    <row r="2833" spans="18:61">
      <c r="R2833" s="6"/>
      <c r="AS2833" s="15"/>
      <c r="AT2833" s="6" t="str">
        <f ca="1">IFERROR(__xludf.DUMMYFUNCTION("""COMPUTED_VALUE"""),"#N/A")</f>
        <v>#N/A</v>
      </c>
      <c r="AU2833" s="6" t="str">
        <f ca="1">IFERROR(__xludf.DUMMYFUNCTION("""COMPUTED_VALUE"""),"FALSE")</f>
        <v>FALSE</v>
      </c>
      <c r="AZ2833" s="9"/>
      <c r="BC2833" s="9"/>
      <c r="BF2833" s="9"/>
      <c r="BI2833" s="9"/>
    </row>
    <row r="2834" spans="18:61">
      <c r="R2834" s="6"/>
      <c r="AS2834" s="15"/>
      <c r="AT2834" s="6" t="str">
        <f ca="1">IFERROR(__xludf.DUMMYFUNCTION("""COMPUTED_VALUE"""),"#N/A")</f>
        <v>#N/A</v>
      </c>
      <c r="AU2834" s="6" t="str">
        <f ca="1">IFERROR(__xludf.DUMMYFUNCTION("""COMPUTED_VALUE"""),"FALSE")</f>
        <v>FALSE</v>
      </c>
      <c r="AZ2834" s="9"/>
      <c r="BC2834" s="9"/>
      <c r="BF2834" s="9"/>
      <c r="BI2834" s="9"/>
    </row>
    <row r="2835" spans="18:61">
      <c r="R2835" s="6"/>
      <c r="AS2835" s="15"/>
      <c r="AT2835" s="6" t="str">
        <f ca="1">IFERROR(__xludf.DUMMYFUNCTION("""COMPUTED_VALUE"""),"#N/A")</f>
        <v>#N/A</v>
      </c>
      <c r="AU2835" s="6" t="str">
        <f ca="1">IFERROR(__xludf.DUMMYFUNCTION("""COMPUTED_VALUE"""),"FALSE")</f>
        <v>FALSE</v>
      </c>
      <c r="AZ2835" s="9"/>
      <c r="BC2835" s="9"/>
      <c r="BF2835" s="9"/>
      <c r="BI2835" s="9"/>
    </row>
    <row r="2836" spans="18:61">
      <c r="R2836" s="6"/>
      <c r="AS2836" s="15"/>
      <c r="AT2836" s="6" t="str">
        <f ca="1">IFERROR(__xludf.DUMMYFUNCTION("""COMPUTED_VALUE"""),"#N/A")</f>
        <v>#N/A</v>
      </c>
      <c r="AU2836" s="6" t="str">
        <f ca="1">IFERROR(__xludf.DUMMYFUNCTION("""COMPUTED_VALUE"""),"FALSE")</f>
        <v>FALSE</v>
      </c>
      <c r="AZ2836" s="9"/>
      <c r="BC2836" s="9"/>
      <c r="BF2836" s="9"/>
      <c r="BI2836" s="9"/>
    </row>
    <row r="2837" spans="18:61">
      <c r="R2837" s="6"/>
      <c r="AS2837" s="15"/>
      <c r="AT2837" s="6" t="str">
        <f ca="1">IFERROR(__xludf.DUMMYFUNCTION("""COMPUTED_VALUE"""),"#N/A")</f>
        <v>#N/A</v>
      </c>
      <c r="AU2837" s="6" t="str">
        <f ca="1">IFERROR(__xludf.DUMMYFUNCTION("""COMPUTED_VALUE"""),"FALSE")</f>
        <v>FALSE</v>
      </c>
      <c r="AZ2837" s="9"/>
      <c r="BC2837" s="9"/>
      <c r="BF2837" s="9"/>
      <c r="BI2837" s="9"/>
    </row>
    <row r="2838" spans="18:61">
      <c r="R2838" s="6"/>
      <c r="AS2838" s="15"/>
      <c r="AT2838" s="6" t="str">
        <f ca="1">IFERROR(__xludf.DUMMYFUNCTION("""COMPUTED_VALUE"""),"#N/A")</f>
        <v>#N/A</v>
      </c>
      <c r="AU2838" s="6" t="str">
        <f ca="1">IFERROR(__xludf.DUMMYFUNCTION("""COMPUTED_VALUE"""),"FALSE")</f>
        <v>FALSE</v>
      </c>
      <c r="AZ2838" s="9"/>
      <c r="BC2838" s="9"/>
      <c r="BF2838" s="9"/>
      <c r="BI2838" s="9"/>
    </row>
    <row r="2839" spans="18:61">
      <c r="R2839" s="6"/>
      <c r="AS2839" s="15"/>
      <c r="AT2839" s="6" t="str">
        <f ca="1">IFERROR(__xludf.DUMMYFUNCTION("""COMPUTED_VALUE"""),"#N/A")</f>
        <v>#N/A</v>
      </c>
      <c r="AU2839" s="6" t="str">
        <f ca="1">IFERROR(__xludf.DUMMYFUNCTION("""COMPUTED_VALUE"""),"FALSE")</f>
        <v>FALSE</v>
      </c>
      <c r="AZ2839" s="9"/>
      <c r="BC2839" s="9"/>
      <c r="BF2839" s="9"/>
      <c r="BI2839" s="9"/>
    </row>
    <row r="2840" spans="18:61">
      <c r="R2840" s="6"/>
      <c r="AS2840" s="15"/>
      <c r="AT2840" s="6" t="str">
        <f ca="1">IFERROR(__xludf.DUMMYFUNCTION("""COMPUTED_VALUE"""),"#N/A")</f>
        <v>#N/A</v>
      </c>
      <c r="AU2840" s="6" t="str">
        <f ca="1">IFERROR(__xludf.DUMMYFUNCTION("""COMPUTED_VALUE"""),"FALSE")</f>
        <v>FALSE</v>
      </c>
      <c r="AZ2840" s="9"/>
      <c r="BC2840" s="9"/>
      <c r="BF2840" s="9"/>
      <c r="BI2840" s="9"/>
    </row>
    <row r="2841" spans="18:61">
      <c r="R2841" s="6"/>
      <c r="AS2841" s="15"/>
      <c r="AT2841" s="6" t="str">
        <f ca="1">IFERROR(__xludf.DUMMYFUNCTION("""COMPUTED_VALUE"""),"#N/A")</f>
        <v>#N/A</v>
      </c>
      <c r="AU2841" s="6" t="str">
        <f ca="1">IFERROR(__xludf.DUMMYFUNCTION("""COMPUTED_VALUE"""),"FALSE")</f>
        <v>FALSE</v>
      </c>
      <c r="AZ2841" s="9"/>
      <c r="BC2841" s="9"/>
      <c r="BF2841" s="9"/>
      <c r="BI2841" s="9"/>
    </row>
    <row r="2842" spans="18:61">
      <c r="R2842" s="6"/>
      <c r="AS2842" s="15"/>
      <c r="AT2842" s="6" t="str">
        <f ca="1">IFERROR(__xludf.DUMMYFUNCTION("""COMPUTED_VALUE"""),"#N/A")</f>
        <v>#N/A</v>
      </c>
      <c r="AU2842" s="6" t="str">
        <f ca="1">IFERROR(__xludf.DUMMYFUNCTION("""COMPUTED_VALUE"""),"FALSE")</f>
        <v>FALSE</v>
      </c>
      <c r="AZ2842" s="9"/>
      <c r="BC2842" s="9"/>
      <c r="BF2842" s="9"/>
      <c r="BI2842" s="9"/>
    </row>
    <row r="2843" spans="18:61">
      <c r="R2843" s="6"/>
      <c r="AS2843" s="15"/>
      <c r="AT2843" s="6" t="str">
        <f ca="1">IFERROR(__xludf.DUMMYFUNCTION("""COMPUTED_VALUE"""),"#N/A")</f>
        <v>#N/A</v>
      </c>
      <c r="AU2843" s="6" t="str">
        <f ca="1">IFERROR(__xludf.DUMMYFUNCTION("""COMPUTED_VALUE"""),"FALSE")</f>
        <v>FALSE</v>
      </c>
      <c r="AZ2843" s="9"/>
      <c r="BC2843" s="9"/>
      <c r="BF2843" s="9"/>
      <c r="BI2843" s="9"/>
    </row>
    <row r="2844" spans="18:61">
      <c r="R2844" s="6"/>
      <c r="AS2844" s="15"/>
      <c r="AT2844" s="6" t="str">
        <f ca="1">IFERROR(__xludf.DUMMYFUNCTION("""COMPUTED_VALUE"""),"#N/A")</f>
        <v>#N/A</v>
      </c>
      <c r="AU2844" s="6" t="str">
        <f ca="1">IFERROR(__xludf.DUMMYFUNCTION("""COMPUTED_VALUE"""),"FALSE")</f>
        <v>FALSE</v>
      </c>
      <c r="AZ2844" s="9"/>
      <c r="BC2844" s="9"/>
      <c r="BF2844" s="9"/>
      <c r="BI2844" s="9"/>
    </row>
    <row r="2845" spans="18:61">
      <c r="R2845" s="6"/>
      <c r="AS2845" s="15"/>
      <c r="AT2845" s="6" t="str">
        <f ca="1">IFERROR(__xludf.DUMMYFUNCTION("""COMPUTED_VALUE"""),"#N/A")</f>
        <v>#N/A</v>
      </c>
      <c r="AU2845" s="6" t="str">
        <f ca="1">IFERROR(__xludf.DUMMYFUNCTION("""COMPUTED_VALUE"""),"FALSE")</f>
        <v>FALSE</v>
      </c>
      <c r="AZ2845" s="9"/>
      <c r="BC2845" s="9"/>
      <c r="BF2845" s="9"/>
      <c r="BI2845" s="9"/>
    </row>
    <row r="2846" spans="18:61">
      <c r="R2846" s="6"/>
      <c r="AS2846" s="15"/>
      <c r="AT2846" s="6" t="str">
        <f ca="1">IFERROR(__xludf.DUMMYFUNCTION("""COMPUTED_VALUE"""),"#N/A")</f>
        <v>#N/A</v>
      </c>
      <c r="AU2846" s="6" t="str">
        <f ca="1">IFERROR(__xludf.DUMMYFUNCTION("""COMPUTED_VALUE"""),"FALSE")</f>
        <v>FALSE</v>
      </c>
      <c r="AZ2846" s="9"/>
      <c r="BC2846" s="9"/>
      <c r="BF2846" s="9"/>
      <c r="BI2846" s="9"/>
    </row>
    <row r="2847" spans="18:61">
      <c r="R2847" s="6"/>
      <c r="AS2847" s="15"/>
      <c r="AT2847" s="6" t="str">
        <f ca="1">IFERROR(__xludf.DUMMYFUNCTION("""COMPUTED_VALUE"""),"#N/A")</f>
        <v>#N/A</v>
      </c>
      <c r="AU2847" s="6" t="str">
        <f ca="1">IFERROR(__xludf.DUMMYFUNCTION("""COMPUTED_VALUE"""),"FALSE")</f>
        <v>FALSE</v>
      </c>
      <c r="AZ2847" s="9"/>
      <c r="BC2847" s="9"/>
      <c r="BF2847" s="9"/>
      <c r="BI2847" s="9"/>
    </row>
    <row r="2848" spans="18:61">
      <c r="R2848" s="6"/>
      <c r="AS2848" s="15"/>
      <c r="AT2848" s="6" t="str">
        <f ca="1">IFERROR(__xludf.DUMMYFUNCTION("""COMPUTED_VALUE"""),"#N/A")</f>
        <v>#N/A</v>
      </c>
      <c r="AU2848" s="6" t="str">
        <f ca="1">IFERROR(__xludf.DUMMYFUNCTION("""COMPUTED_VALUE"""),"FALSE")</f>
        <v>FALSE</v>
      </c>
      <c r="AZ2848" s="9"/>
      <c r="BC2848" s="9"/>
      <c r="BF2848" s="9"/>
      <c r="BI2848" s="9"/>
    </row>
    <row r="2849" spans="18:61">
      <c r="R2849" s="6"/>
      <c r="AS2849" s="15"/>
      <c r="AT2849" s="6" t="str">
        <f ca="1">IFERROR(__xludf.DUMMYFUNCTION("""COMPUTED_VALUE"""),"#N/A")</f>
        <v>#N/A</v>
      </c>
      <c r="AU2849" s="6" t="str">
        <f ca="1">IFERROR(__xludf.DUMMYFUNCTION("""COMPUTED_VALUE"""),"FALSE")</f>
        <v>FALSE</v>
      </c>
      <c r="AZ2849" s="9"/>
      <c r="BC2849" s="9"/>
      <c r="BF2849" s="9"/>
      <c r="BI2849" s="9"/>
    </row>
    <row r="2850" spans="18:61">
      <c r="R2850" s="6"/>
      <c r="AS2850" s="15"/>
      <c r="AT2850" s="6" t="str">
        <f ca="1">IFERROR(__xludf.DUMMYFUNCTION("""COMPUTED_VALUE"""),"#N/A")</f>
        <v>#N/A</v>
      </c>
      <c r="AU2850" s="6" t="str">
        <f ca="1">IFERROR(__xludf.DUMMYFUNCTION("""COMPUTED_VALUE"""),"FALSE")</f>
        <v>FALSE</v>
      </c>
      <c r="AZ2850" s="9"/>
      <c r="BC2850" s="9"/>
      <c r="BF2850" s="9"/>
      <c r="BI2850" s="9"/>
    </row>
    <row r="2851" spans="18:61">
      <c r="R2851" s="6"/>
      <c r="AS2851" s="15"/>
      <c r="AT2851" s="6" t="str">
        <f ca="1">IFERROR(__xludf.DUMMYFUNCTION("""COMPUTED_VALUE"""),"#N/A")</f>
        <v>#N/A</v>
      </c>
      <c r="AU2851" s="6" t="str">
        <f ca="1">IFERROR(__xludf.DUMMYFUNCTION("""COMPUTED_VALUE"""),"FALSE")</f>
        <v>FALSE</v>
      </c>
      <c r="AZ2851" s="9"/>
      <c r="BC2851" s="9"/>
      <c r="BF2851" s="9"/>
      <c r="BI2851" s="9"/>
    </row>
    <row r="2852" spans="18:61">
      <c r="R2852" s="6"/>
      <c r="AS2852" s="15"/>
      <c r="AT2852" s="6" t="str">
        <f ca="1">IFERROR(__xludf.DUMMYFUNCTION("""COMPUTED_VALUE"""),"#N/A")</f>
        <v>#N/A</v>
      </c>
      <c r="AU2852" s="6" t="str">
        <f ca="1">IFERROR(__xludf.DUMMYFUNCTION("""COMPUTED_VALUE"""),"FALSE")</f>
        <v>FALSE</v>
      </c>
      <c r="AZ2852" s="9"/>
      <c r="BC2852" s="9"/>
      <c r="BF2852" s="9"/>
      <c r="BI2852" s="9"/>
    </row>
    <row r="2853" spans="18:61">
      <c r="R2853" s="6"/>
      <c r="AS2853" s="15"/>
      <c r="AT2853" s="6" t="str">
        <f ca="1">IFERROR(__xludf.DUMMYFUNCTION("""COMPUTED_VALUE"""),"#N/A")</f>
        <v>#N/A</v>
      </c>
      <c r="AU2853" s="6" t="str">
        <f ca="1">IFERROR(__xludf.DUMMYFUNCTION("""COMPUTED_VALUE"""),"FALSE")</f>
        <v>FALSE</v>
      </c>
      <c r="AZ2853" s="9"/>
      <c r="BC2853" s="9"/>
      <c r="BF2853" s="9"/>
      <c r="BI2853" s="9"/>
    </row>
    <row r="2854" spans="18:61">
      <c r="R2854" s="6"/>
      <c r="AS2854" s="15"/>
      <c r="AT2854" s="6" t="str">
        <f ca="1">IFERROR(__xludf.DUMMYFUNCTION("""COMPUTED_VALUE"""),"#N/A")</f>
        <v>#N/A</v>
      </c>
      <c r="AU2854" s="6" t="str">
        <f ca="1">IFERROR(__xludf.DUMMYFUNCTION("""COMPUTED_VALUE"""),"FALSE")</f>
        <v>FALSE</v>
      </c>
      <c r="AZ2854" s="9"/>
      <c r="BC2854" s="9"/>
      <c r="BF2854" s="9"/>
      <c r="BI2854" s="9"/>
    </row>
    <row r="2855" spans="18:61">
      <c r="R2855" s="6"/>
      <c r="AS2855" s="15"/>
      <c r="AT2855" s="6" t="str">
        <f ca="1">IFERROR(__xludf.DUMMYFUNCTION("""COMPUTED_VALUE"""),"#N/A")</f>
        <v>#N/A</v>
      </c>
      <c r="AU2855" s="6" t="str">
        <f ca="1">IFERROR(__xludf.DUMMYFUNCTION("""COMPUTED_VALUE"""),"FALSE")</f>
        <v>FALSE</v>
      </c>
      <c r="AZ2855" s="9"/>
      <c r="BC2855" s="9"/>
      <c r="BF2855" s="9"/>
      <c r="BI2855" s="9"/>
    </row>
    <row r="2856" spans="18:61">
      <c r="R2856" s="6"/>
      <c r="AS2856" s="15"/>
      <c r="AT2856" s="6" t="str">
        <f ca="1">IFERROR(__xludf.DUMMYFUNCTION("""COMPUTED_VALUE"""),"#N/A")</f>
        <v>#N/A</v>
      </c>
      <c r="AU2856" s="6" t="str">
        <f ca="1">IFERROR(__xludf.DUMMYFUNCTION("""COMPUTED_VALUE"""),"FALSE")</f>
        <v>FALSE</v>
      </c>
      <c r="AZ2856" s="9"/>
      <c r="BC2856" s="9"/>
      <c r="BF2856" s="9"/>
      <c r="BI2856" s="9"/>
    </row>
    <row r="2857" spans="18:61">
      <c r="R2857" s="6"/>
      <c r="AS2857" s="15"/>
      <c r="AT2857" s="6" t="str">
        <f ca="1">IFERROR(__xludf.DUMMYFUNCTION("""COMPUTED_VALUE"""),"#N/A")</f>
        <v>#N/A</v>
      </c>
      <c r="AU2857" s="6" t="str">
        <f ca="1">IFERROR(__xludf.DUMMYFUNCTION("""COMPUTED_VALUE"""),"FALSE")</f>
        <v>FALSE</v>
      </c>
      <c r="AZ2857" s="9"/>
      <c r="BC2857" s="9"/>
      <c r="BF2857" s="9"/>
      <c r="BI2857" s="9"/>
    </row>
    <row r="2858" spans="18:61">
      <c r="R2858" s="6"/>
      <c r="AS2858" s="15"/>
      <c r="AT2858" s="6" t="str">
        <f ca="1">IFERROR(__xludf.DUMMYFUNCTION("""COMPUTED_VALUE"""),"#N/A")</f>
        <v>#N/A</v>
      </c>
      <c r="AU2858" s="6" t="str">
        <f ca="1">IFERROR(__xludf.DUMMYFUNCTION("""COMPUTED_VALUE"""),"FALSE")</f>
        <v>FALSE</v>
      </c>
      <c r="AZ2858" s="9"/>
      <c r="BC2858" s="9"/>
      <c r="BF2858" s="9"/>
      <c r="BI2858" s="9"/>
    </row>
    <row r="2859" spans="18:61">
      <c r="R2859" s="6"/>
      <c r="AS2859" s="15"/>
      <c r="AT2859" s="6" t="str">
        <f ca="1">IFERROR(__xludf.DUMMYFUNCTION("""COMPUTED_VALUE"""),"#N/A")</f>
        <v>#N/A</v>
      </c>
      <c r="AU2859" s="6" t="str">
        <f ca="1">IFERROR(__xludf.DUMMYFUNCTION("""COMPUTED_VALUE"""),"FALSE")</f>
        <v>FALSE</v>
      </c>
      <c r="AZ2859" s="9"/>
      <c r="BC2859" s="9"/>
      <c r="BF2859" s="9"/>
      <c r="BI2859" s="9"/>
    </row>
    <row r="2860" spans="18:61">
      <c r="R2860" s="6"/>
      <c r="AS2860" s="15"/>
      <c r="AT2860" s="6" t="str">
        <f ca="1">IFERROR(__xludf.DUMMYFUNCTION("""COMPUTED_VALUE"""),"#N/A")</f>
        <v>#N/A</v>
      </c>
      <c r="AU2860" s="6" t="str">
        <f ca="1">IFERROR(__xludf.DUMMYFUNCTION("""COMPUTED_VALUE"""),"FALSE")</f>
        <v>FALSE</v>
      </c>
      <c r="AZ2860" s="9"/>
      <c r="BC2860" s="9"/>
      <c r="BF2860" s="9"/>
      <c r="BI2860" s="9"/>
    </row>
    <row r="2861" spans="18:61">
      <c r="R2861" s="6"/>
      <c r="AS2861" s="15"/>
      <c r="AT2861" s="6" t="str">
        <f ca="1">IFERROR(__xludf.DUMMYFUNCTION("""COMPUTED_VALUE"""),"#N/A")</f>
        <v>#N/A</v>
      </c>
      <c r="AU2861" s="6" t="str">
        <f ca="1">IFERROR(__xludf.DUMMYFUNCTION("""COMPUTED_VALUE"""),"FALSE")</f>
        <v>FALSE</v>
      </c>
      <c r="AZ2861" s="9"/>
      <c r="BC2861" s="9"/>
      <c r="BF2861" s="9"/>
      <c r="BI2861" s="9"/>
    </row>
    <row r="2862" spans="18:61">
      <c r="R2862" s="6"/>
      <c r="AS2862" s="15"/>
      <c r="AT2862" s="6" t="str">
        <f ca="1">IFERROR(__xludf.DUMMYFUNCTION("""COMPUTED_VALUE"""),"#N/A")</f>
        <v>#N/A</v>
      </c>
      <c r="AU2862" s="6" t="str">
        <f ca="1">IFERROR(__xludf.DUMMYFUNCTION("""COMPUTED_VALUE"""),"FALSE")</f>
        <v>FALSE</v>
      </c>
      <c r="AZ2862" s="9"/>
      <c r="BC2862" s="9"/>
      <c r="BF2862" s="9"/>
      <c r="BI2862" s="9"/>
    </row>
    <row r="2863" spans="18:61">
      <c r="R2863" s="6"/>
      <c r="AS2863" s="15"/>
      <c r="AT2863" s="6" t="str">
        <f ca="1">IFERROR(__xludf.DUMMYFUNCTION("""COMPUTED_VALUE"""),"#N/A")</f>
        <v>#N/A</v>
      </c>
      <c r="AU2863" s="6" t="str">
        <f ca="1">IFERROR(__xludf.DUMMYFUNCTION("""COMPUTED_VALUE"""),"FALSE")</f>
        <v>FALSE</v>
      </c>
      <c r="AZ2863" s="9"/>
      <c r="BC2863" s="9"/>
      <c r="BF2863" s="9"/>
      <c r="BI2863" s="9"/>
    </row>
    <row r="2864" spans="18:61">
      <c r="R2864" s="6"/>
      <c r="AS2864" s="15"/>
      <c r="AT2864" s="6" t="str">
        <f ca="1">IFERROR(__xludf.DUMMYFUNCTION("""COMPUTED_VALUE"""),"#N/A")</f>
        <v>#N/A</v>
      </c>
      <c r="AU2864" s="6" t="str">
        <f ca="1">IFERROR(__xludf.DUMMYFUNCTION("""COMPUTED_VALUE"""),"FALSE")</f>
        <v>FALSE</v>
      </c>
      <c r="AZ2864" s="9"/>
      <c r="BC2864" s="9"/>
      <c r="BF2864" s="9"/>
      <c r="BI2864" s="9"/>
    </row>
    <row r="2865" spans="18:61">
      <c r="R2865" s="6"/>
      <c r="AS2865" s="15"/>
      <c r="AT2865" s="6" t="str">
        <f ca="1">IFERROR(__xludf.DUMMYFUNCTION("""COMPUTED_VALUE"""),"#N/A")</f>
        <v>#N/A</v>
      </c>
      <c r="AU2865" s="6" t="str">
        <f ca="1">IFERROR(__xludf.DUMMYFUNCTION("""COMPUTED_VALUE"""),"FALSE")</f>
        <v>FALSE</v>
      </c>
      <c r="AZ2865" s="9"/>
      <c r="BC2865" s="9"/>
      <c r="BF2865" s="9"/>
      <c r="BI2865" s="9"/>
    </row>
    <row r="2866" spans="18:61">
      <c r="R2866" s="6"/>
      <c r="AS2866" s="15"/>
      <c r="AT2866" s="6" t="str">
        <f ca="1">IFERROR(__xludf.DUMMYFUNCTION("""COMPUTED_VALUE"""),"#N/A")</f>
        <v>#N/A</v>
      </c>
      <c r="AU2866" s="6" t="str">
        <f ca="1">IFERROR(__xludf.DUMMYFUNCTION("""COMPUTED_VALUE"""),"FALSE")</f>
        <v>FALSE</v>
      </c>
      <c r="AZ2866" s="9"/>
      <c r="BC2866" s="9"/>
      <c r="BF2866" s="9"/>
      <c r="BI2866" s="9"/>
    </row>
    <row r="2867" spans="18:61">
      <c r="R2867" s="6"/>
      <c r="AS2867" s="15"/>
      <c r="AT2867" s="6" t="str">
        <f ca="1">IFERROR(__xludf.DUMMYFUNCTION("""COMPUTED_VALUE"""),"#N/A")</f>
        <v>#N/A</v>
      </c>
      <c r="AU2867" s="6" t="str">
        <f ca="1">IFERROR(__xludf.DUMMYFUNCTION("""COMPUTED_VALUE"""),"FALSE")</f>
        <v>FALSE</v>
      </c>
      <c r="AZ2867" s="9"/>
      <c r="BC2867" s="9"/>
      <c r="BF2867" s="9"/>
      <c r="BI2867" s="9"/>
    </row>
    <row r="2868" spans="18:61">
      <c r="R2868" s="6"/>
      <c r="AS2868" s="15"/>
      <c r="AT2868" s="6" t="str">
        <f ca="1">IFERROR(__xludf.DUMMYFUNCTION("""COMPUTED_VALUE"""),"#N/A")</f>
        <v>#N/A</v>
      </c>
      <c r="AU2868" s="6" t="str">
        <f ca="1">IFERROR(__xludf.DUMMYFUNCTION("""COMPUTED_VALUE"""),"FALSE")</f>
        <v>FALSE</v>
      </c>
      <c r="AZ2868" s="9"/>
      <c r="BC2868" s="9"/>
      <c r="BF2868" s="9"/>
      <c r="BI2868" s="9"/>
    </row>
    <row r="2869" spans="18:61">
      <c r="R2869" s="6"/>
      <c r="AS2869" s="15"/>
      <c r="AT2869" s="6" t="str">
        <f ca="1">IFERROR(__xludf.DUMMYFUNCTION("""COMPUTED_VALUE"""),"#N/A")</f>
        <v>#N/A</v>
      </c>
      <c r="AU2869" s="6" t="str">
        <f ca="1">IFERROR(__xludf.DUMMYFUNCTION("""COMPUTED_VALUE"""),"FALSE")</f>
        <v>FALSE</v>
      </c>
      <c r="AZ2869" s="9"/>
      <c r="BC2869" s="9"/>
      <c r="BF2869" s="9"/>
      <c r="BI2869" s="9"/>
    </row>
    <row r="2870" spans="18:61">
      <c r="R2870" s="6"/>
      <c r="AS2870" s="15"/>
      <c r="AT2870" s="6" t="str">
        <f ca="1">IFERROR(__xludf.DUMMYFUNCTION("""COMPUTED_VALUE"""),"#N/A")</f>
        <v>#N/A</v>
      </c>
      <c r="AU2870" s="6" t="str">
        <f ca="1">IFERROR(__xludf.DUMMYFUNCTION("""COMPUTED_VALUE"""),"FALSE")</f>
        <v>FALSE</v>
      </c>
      <c r="AZ2870" s="9"/>
      <c r="BC2870" s="9"/>
      <c r="BF2870" s="9"/>
      <c r="BI2870" s="9"/>
    </row>
    <row r="2871" spans="18:61">
      <c r="R2871" s="6"/>
      <c r="AS2871" s="15"/>
      <c r="AT2871" s="6" t="str">
        <f ca="1">IFERROR(__xludf.DUMMYFUNCTION("""COMPUTED_VALUE"""),"#N/A")</f>
        <v>#N/A</v>
      </c>
      <c r="AU2871" s="6" t="str">
        <f ca="1">IFERROR(__xludf.DUMMYFUNCTION("""COMPUTED_VALUE"""),"FALSE")</f>
        <v>FALSE</v>
      </c>
      <c r="AZ2871" s="9"/>
      <c r="BC2871" s="9"/>
      <c r="BF2871" s="9"/>
      <c r="BI2871" s="9"/>
    </row>
    <row r="2872" spans="18:61">
      <c r="R2872" s="6"/>
      <c r="AS2872" s="15"/>
      <c r="AT2872" s="6" t="str">
        <f ca="1">IFERROR(__xludf.DUMMYFUNCTION("""COMPUTED_VALUE"""),"#N/A")</f>
        <v>#N/A</v>
      </c>
      <c r="AU2872" s="6" t="str">
        <f ca="1">IFERROR(__xludf.DUMMYFUNCTION("""COMPUTED_VALUE"""),"FALSE")</f>
        <v>FALSE</v>
      </c>
      <c r="AZ2872" s="9"/>
      <c r="BC2872" s="9"/>
      <c r="BF2872" s="9"/>
      <c r="BI2872" s="9"/>
    </row>
    <row r="2873" spans="18:61">
      <c r="R2873" s="6"/>
      <c r="AS2873" s="15"/>
      <c r="AT2873" s="6" t="str">
        <f ca="1">IFERROR(__xludf.DUMMYFUNCTION("""COMPUTED_VALUE"""),"#N/A")</f>
        <v>#N/A</v>
      </c>
      <c r="AU2873" s="6" t="str">
        <f ca="1">IFERROR(__xludf.DUMMYFUNCTION("""COMPUTED_VALUE"""),"FALSE")</f>
        <v>FALSE</v>
      </c>
      <c r="AZ2873" s="9"/>
      <c r="BC2873" s="9"/>
      <c r="BF2873" s="9"/>
      <c r="BI2873" s="9"/>
    </row>
    <row r="2874" spans="18:61">
      <c r="R2874" s="6"/>
      <c r="AS2874" s="15"/>
      <c r="AT2874" s="6" t="str">
        <f ca="1">IFERROR(__xludf.DUMMYFUNCTION("""COMPUTED_VALUE"""),"#N/A")</f>
        <v>#N/A</v>
      </c>
      <c r="AU2874" s="6" t="str">
        <f ca="1">IFERROR(__xludf.DUMMYFUNCTION("""COMPUTED_VALUE"""),"FALSE")</f>
        <v>FALSE</v>
      </c>
      <c r="AZ2874" s="9"/>
      <c r="BC2874" s="9"/>
      <c r="BF2874" s="9"/>
      <c r="BI2874" s="9"/>
    </row>
    <row r="2875" spans="18:61">
      <c r="R2875" s="6"/>
      <c r="AS2875" s="15"/>
      <c r="AT2875" s="6" t="str">
        <f ca="1">IFERROR(__xludf.DUMMYFUNCTION("""COMPUTED_VALUE"""),"#N/A")</f>
        <v>#N/A</v>
      </c>
      <c r="AU2875" s="6" t="str">
        <f ca="1">IFERROR(__xludf.DUMMYFUNCTION("""COMPUTED_VALUE"""),"FALSE")</f>
        <v>FALSE</v>
      </c>
      <c r="AZ2875" s="9"/>
      <c r="BC2875" s="9"/>
      <c r="BF2875" s="9"/>
      <c r="BI2875" s="9"/>
    </row>
    <row r="2876" spans="18:61">
      <c r="R2876" s="6"/>
      <c r="AS2876" s="15"/>
      <c r="AT2876" s="6" t="str">
        <f ca="1">IFERROR(__xludf.DUMMYFUNCTION("""COMPUTED_VALUE"""),"#N/A")</f>
        <v>#N/A</v>
      </c>
      <c r="AU2876" s="6" t="str">
        <f ca="1">IFERROR(__xludf.DUMMYFUNCTION("""COMPUTED_VALUE"""),"FALSE")</f>
        <v>FALSE</v>
      </c>
      <c r="AZ2876" s="9"/>
      <c r="BC2876" s="9"/>
      <c r="BF2876" s="9"/>
      <c r="BI2876" s="9"/>
    </row>
    <row r="2877" spans="18:61">
      <c r="R2877" s="6"/>
      <c r="AS2877" s="15"/>
      <c r="AT2877" s="6" t="str">
        <f ca="1">IFERROR(__xludf.DUMMYFUNCTION("""COMPUTED_VALUE"""),"#N/A")</f>
        <v>#N/A</v>
      </c>
      <c r="AU2877" s="6" t="str">
        <f ca="1">IFERROR(__xludf.DUMMYFUNCTION("""COMPUTED_VALUE"""),"FALSE")</f>
        <v>FALSE</v>
      </c>
      <c r="AZ2877" s="9"/>
      <c r="BC2877" s="9"/>
      <c r="BF2877" s="9"/>
      <c r="BI2877" s="9"/>
    </row>
    <row r="2878" spans="18:61">
      <c r="R2878" s="6"/>
      <c r="AS2878" s="15"/>
      <c r="AT2878" s="6" t="str">
        <f ca="1">IFERROR(__xludf.DUMMYFUNCTION("""COMPUTED_VALUE"""),"#N/A")</f>
        <v>#N/A</v>
      </c>
      <c r="AU2878" s="6" t="str">
        <f ca="1">IFERROR(__xludf.DUMMYFUNCTION("""COMPUTED_VALUE"""),"FALSE")</f>
        <v>FALSE</v>
      </c>
      <c r="AZ2878" s="9"/>
      <c r="BC2878" s="9"/>
      <c r="BF2878" s="9"/>
      <c r="BI2878" s="9"/>
    </row>
    <row r="2879" spans="18:61">
      <c r="R2879" s="6"/>
      <c r="AS2879" s="15"/>
      <c r="AT2879" s="6" t="str">
        <f ca="1">IFERROR(__xludf.DUMMYFUNCTION("""COMPUTED_VALUE"""),"#N/A")</f>
        <v>#N/A</v>
      </c>
      <c r="AU2879" s="6" t="str">
        <f ca="1">IFERROR(__xludf.DUMMYFUNCTION("""COMPUTED_VALUE"""),"FALSE")</f>
        <v>FALSE</v>
      </c>
      <c r="AZ2879" s="9"/>
      <c r="BC2879" s="9"/>
      <c r="BF2879" s="9"/>
      <c r="BI2879" s="9"/>
    </row>
    <row r="2880" spans="18:61">
      <c r="R2880" s="6"/>
      <c r="AS2880" s="15"/>
      <c r="AT2880" s="6" t="str">
        <f ca="1">IFERROR(__xludf.DUMMYFUNCTION("""COMPUTED_VALUE"""),"#N/A")</f>
        <v>#N/A</v>
      </c>
      <c r="AU2880" s="6" t="str">
        <f ca="1">IFERROR(__xludf.DUMMYFUNCTION("""COMPUTED_VALUE"""),"FALSE")</f>
        <v>FALSE</v>
      </c>
      <c r="AZ2880" s="9"/>
      <c r="BC2880" s="9"/>
      <c r="BF2880" s="9"/>
      <c r="BI2880" s="9"/>
    </row>
    <row r="2881" spans="18:61">
      <c r="R2881" s="6"/>
      <c r="AS2881" s="15"/>
      <c r="AT2881" s="6" t="str">
        <f ca="1">IFERROR(__xludf.DUMMYFUNCTION("""COMPUTED_VALUE"""),"#N/A")</f>
        <v>#N/A</v>
      </c>
      <c r="AU2881" s="6" t="str">
        <f ca="1">IFERROR(__xludf.DUMMYFUNCTION("""COMPUTED_VALUE"""),"FALSE")</f>
        <v>FALSE</v>
      </c>
      <c r="AZ2881" s="9"/>
      <c r="BC2881" s="9"/>
      <c r="BF2881" s="9"/>
      <c r="BI2881" s="9"/>
    </row>
    <row r="2882" spans="18:61">
      <c r="R2882" s="6"/>
      <c r="AS2882" s="15"/>
      <c r="AT2882" s="6" t="str">
        <f ca="1">IFERROR(__xludf.DUMMYFUNCTION("""COMPUTED_VALUE"""),"#N/A")</f>
        <v>#N/A</v>
      </c>
      <c r="AU2882" s="6" t="str">
        <f ca="1">IFERROR(__xludf.DUMMYFUNCTION("""COMPUTED_VALUE"""),"FALSE")</f>
        <v>FALSE</v>
      </c>
      <c r="AZ2882" s="9"/>
      <c r="BC2882" s="9"/>
      <c r="BF2882" s="9"/>
      <c r="BI2882" s="9"/>
    </row>
    <row r="2883" spans="18:61">
      <c r="R2883" s="6"/>
      <c r="AS2883" s="15"/>
      <c r="AT2883" s="6" t="str">
        <f ca="1">IFERROR(__xludf.DUMMYFUNCTION("""COMPUTED_VALUE"""),"#N/A")</f>
        <v>#N/A</v>
      </c>
      <c r="AU2883" s="6" t="str">
        <f ca="1">IFERROR(__xludf.DUMMYFUNCTION("""COMPUTED_VALUE"""),"FALSE")</f>
        <v>FALSE</v>
      </c>
      <c r="AZ2883" s="9"/>
      <c r="BC2883" s="9"/>
      <c r="BF2883" s="9"/>
      <c r="BI2883" s="9"/>
    </row>
    <row r="2884" spans="18:61">
      <c r="R2884" s="6"/>
      <c r="AS2884" s="15"/>
      <c r="AT2884" s="6" t="str">
        <f ca="1">IFERROR(__xludf.DUMMYFUNCTION("""COMPUTED_VALUE"""),"#N/A")</f>
        <v>#N/A</v>
      </c>
      <c r="AU2884" s="6" t="str">
        <f ca="1">IFERROR(__xludf.DUMMYFUNCTION("""COMPUTED_VALUE"""),"FALSE")</f>
        <v>FALSE</v>
      </c>
      <c r="AZ2884" s="9"/>
      <c r="BC2884" s="9"/>
      <c r="BF2884" s="9"/>
      <c r="BI2884" s="9"/>
    </row>
    <row r="2885" spans="18:61">
      <c r="R2885" s="6"/>
      <c r="AS2885" s="15"/>
      <c r="AT2885" s="6" t="str">
        <f ca="1">IFERROR(__xludf.DUMMYFUNCTION("""COMPUTED_VALUE"""),"#N/A")</f>
        <v>#N/A</v>
      </c>
      <c r="AU2885" s="6" t="str">
        <f ca="1">IFERROR(__xludf.DUMMYFUNCTION("""COMPUTED_VALUE"""),"FALSE")</f>
        <v>FALSE</v>
      </c>
      <c r="AZ2885" s="9"/>
      <c r="BC2885" s="9"/>
      <c r="BF2885" s="9"/>
      <c r="BI2885" s="9"/>
    </row>
    <row r="2886" spans="18:61">
      <c r="R2886" s="6"/>
      <c r="AS2886" s="15"/>
      <c r="AT2886" s="6" t="str">
        <f ca="1">IFERROR(__xludf.DUMMYFUNCTION("""COMPUTED_VALUE"""),"#N/A")</f>
        <v>#N/A</v>
      </c>
      <c r="AU2886" s="6" t="str">
        <f ca="1">IFERROR(__xludf.DUMMYFUNCTION("""COMPUTED_VALUE"""),"FALSE")</f>
        <v>FALSE</v>
      </c>
      <c r="AZ2886" s="9"/>
      <c r="BC2886" s="9"/>
      <c r="BF2886" s="9"/>
      <c r="BI2886" s="9"/>
    </row>
    <row r="2887" spans="18:61">
      <c r="R2887" s="6"/>
      <c r="AS2887" s="15"/>
      <c r="AT2887" s="6" t="str">
        <f ca="1">IFERROR(__xludf.DUMMYFUNCTION("""COMPUTED_VALUE"""),"#N/A")</f>
        <v>#N/A</v>
      </c>
      <c r="AU2887" s="6" t="str">
        <f ca="1">IFERROR(__xludf.DUMMYFUNCTION("""COMPUTED_VALUE"""),"FALSE")</f>
        <v>FALSE</v>
      </c>
      <c r="AZ2887" s="9"/>
      <c r="BC2887" s="9"/>
      <c r="BF2887" s="9"/>
      <c r="BI2887" s="9"/>
    </row>
    <row r="2888" spans="18:61">
      <c r="R2888" s="6"/>
      <c r="AS2888" s="15"/>
      <c r="AT2888" s="6" t="str">
        <f ca="1">IFERROR(__xludf.DUMMYFUNCTION("""COMPUTED_VALUE"""),"#N/A")</f>
        <v>#N/A</v>
      </c>
      <c r="AU2888" s="6" t="str">
        <f ca="1">IFERROR(__xludf.DUMMYFUNCTION("""COMPUTED_VALUE"""),"FALSE")</f>
        <v>FALSE</v>
      </c>
      <c r="AZ2888" s="9"/>
      <c r="BC2888" s="9"/>
      <c r="BF2888" s="9"/>
      <c r="BI2888" s="9"/>
    </row>
    <row r="2889" spans="18:61">
      <c r="R2889" s="6"/>
      <c r="AS2889" s="15"/>
      <c r="AT2889" s="6" t="str">
        <f ca="1">IFERROR(__xludf.DUMMYFUNCTION("""COMPUTED_VALUE"""),"#N/A")</f>
        <v>#N/A</v>
      </c>
      <c r="AU2889" s="6" t="str">
        <f ca="1">IFERROR(__xludf.DUMMYFUNCTION("""COMPUTED_VALUE"""),"FALSE")</f>
        <v>FALSE</v>
      </c>
      <c r="AZ2889" s="9"/>
      <c r="BC2889" s="9"/>
      <c r="BF2889" s="9"/>
      <c r="BI2889" s="9"/>
    </row>
    <row r="2890" spans="18:61">
      <c r="R2890" s="6"/>
      <c r="AS2890" s="15"/>
      <c r="AT2890" s="6" t="str">
        <f ca="1">IFERROR(__xludf.DUMMYFUNCTION("""COMPUTED_VALUE"""),"#N/A")</f>
        <v>#N/A</v>
      </c>
      <c r="AU2890" s="6" t="str">
        <f ca="1">IFERROR(__xludf.DUMMYFUNCTION("""COMPUTED_VALUE"""),"FALSE")</f>
        <v>FALSE</v>
      </c>
      <c r="AZ2890" s="9"/>
      <c r="BC2890" s="9"/>
      <c r="BF2890" s="9"/>
      <c r="BI2890" s="9"/>
    </row>
    <row r="2891" spans="18:61">
      <c r="R2891" s="6"/>
      <c r="AS2891" s="15"/>
      <c r="AT2891" s="6" t="str">
        <f ca="1">IFERROR(__xludf.DUMMYFUNCTION("""COMPUTED_VALUE"""),"#N/A")</f>
        <v>#N/A</v>
      </c>
      <c r="AU2891" s="6" t="str">
        <f ca="1">IFERROR(__xludf.DUMMYFUNCTION("""COMPUTED_VALUE"""),"FALSE")</f>
        <v>FALSE</v>
      </c>
      <c r="AZ2891" s="9"/>
      <c r="BC2891" s="9"/>
      <c r="BF2891" s="9"/>
      <c r="BI2891" s="9"/>
    </row>
    <row r="2892" spans="18:61">
      <c r="R2892" s="6"/>
      <c r="AS2892" s="15"/>
      <c r="AT2892" s="6" t="str">
        <f ca="1">IFERROR(__xludf.DUMMYFUNCTION("""COMPUTED_VALUE"""),"#N/A")</f>
        <v>#N/A</v>
      </c>
      <c r="AU2892" s="6" t="str">
        <f ca="1">IFERROR(__xludf.DUMMYFUNCTION("""COMPUTED_VALUE"""),"FALSE")</f>
        <v>FALSE</v>
      </c>
      <c r="AZ2892" s="9"/>
      <c r="BC2892" s="9"/>
      <c r="BF2892" s="9"/>
      <c r="BI2892" s="9"/>
    </row>
    <row r="2893" spans="18:61">
      <c r="R2893" s="6"/>
      <c r="AS2893" s="15"/>
      <c r="AT2893" s="6" t="str">
        <f ca="1">IFERROR(__xludf.DUMMYFUNCTION("""COMPUTED_VALUE"""),"#N/A")</f>
        <v>#N/A</v>
      </c>
      <c r="AU2893" s="6" t="str">
        <f ca="1">IFERROR(__xludf.DUMMYFUNCTION("""COMPUTED_VALUE"""),"FALSE")</f>
        <v>FALSE</v>
      </c>
      <c r="AZ2893" s="9"/>
      <c r="BC2893" s="9"/>
      <c r="BF2893" s="9"/>
      <c r="BI2893" s="9"/>
    </row>
    <row r="2894" spans="18:61">
      <c r="R2894" s="6"/>
      <c r="AS2894" s="15"/>
      <c r="AT2894" s="6" t="str">
        <f ca="1">IFERROR(__xludf.DUMMYFUNCTION("""COMPUTED_VALUE"""),"#N/A")</f>
        <v>#N/A</v>
      </c>
      <c r="AU2894" s="6" t="str">
        <f ca="1">IFERROR(__xludf.DUMMYFUNCTION("""COMPUTED_VALUE"""),"FALSE")</f>
        <v>FALSE</v>
      </c>
      <c r="AZ2894" s="9"/>
      <c r="BC2894" s="9"/>
      <c r="BF2894" s="9"/>
      <c r="BI2894" s="9"/>
    </row>
    <row r="2895" spans="18:61">
      <c r="R2895" s="6"/>
      <c r="AS2895" s="15"/>
      <c r="AT2895" s="6" t="str">
        <f ca="1">IFERROR(__xludf.DUMMYFUNCTION("""COMPUTED_VALUE"""),"#N/A")</f>
        <v>#N/A</v>
      </c>
      <c r="AU2895" s="6" t="str">
        <f ca="1">IFERROR(__xludf.DUMMYFUNCTION("""COMPUTED_VALUE"""),"FALSE")</f>
        <v>FALSE</v>
      </c>
      <c r="AZ2895" s="9"/>
      <c r="BC2895" s="9"/>
      <c r="BF2895" s="9"/>
      <c r="BI2895" s="9"/>
    </row>
    <row r="2896" spans="18:61">
      <c r="R2896" s="6"/>
      <c r="AS2896" s="15"/>
      <c r="AT2896" s="6" t="str">
        <f ca="1">IFERROR(__xludf.DUMMYFUNCTION("""COMPUTED_VALUE"""),"#N/A")</f>
        <v>#N/A</v>
      </c>
      <c r="AU2896" s="6" t="str">
        <f ca="1">IFERROR(__xludf.DUMMYFUNCTION("""COMPUTED_VALUE"""),"FALSE")</f>
        <v>FALSE</v>
      </c>
      <c r="AZ2896" s="9"/>
      <c r="BC2896" s="9"/>
      <c r="BF2896" s="9"/>
      <c r="BI2896" s="9"/>
    </row>
    <row r="2897" spans="18:61">
      <c r="R2897" s="6"/>
      <c r="AS2897" s="15"/>
      <c r="AT2897" s="6" t="str">
        <f ca="1">IFERROR(__xludf.DUMMYFUNCTION("""COMPUTED_VALUE"""),"#N/A")</f>
        <v>#N/A</v>
      </c>
      <c r="AU2897" s="6" t="str">
        <f ca="1">IFERROR(__xludf.DUMMYFUNCTION("""COMPUTED_VALUE"""),"FALSE")</f>
        <v>FALSE</v>
      </c>
      <c r="AZ2897" s="9"/>
      <c r="BC2897" s="9"/>
      <c r="BF2897" s="9"/>
      <c r="BI2897" s="9"/>
    </row>
    <row r="2898" spans="18:61">
      <c r="R2898" s="6"/>
      <c r="AS2898" s="15"/>
      <c r="AT2898" s="6" t="str">
        <f ca="1">IFERROR(__xludf.DUMMYFUNCTION("""COMPUTED_VALUE"""),"#N/A")</f>
        <v>#N/A</v>
      </c>
      <c r="AU2898" s="6" t="str">
        <f ca="1">IFERROR(__xludf.DUMMYFUNCTION("""COMPUTED_VALUE"""),"FALSE")</f>
        <v>FALSE</v>
      </c>
      <c r="AZ2898" s="9"/>
      <c r="BC2898" s="9"/>
      <c r="BF2898" s="9"/>
      <c r="BI2898" s="9"/>
    </row>
    <row r="2899" spans="18:61">
      <c r="R2899" s="6"/>
      <c r="AS2899" s="15"/>
      <c r="AT2899" s="6" t="str">
        <f ca="1">IFERROR(__xludf.DUMMYFUNCTION("""COMPUTED_VALUE"""),"#N/A")</f>
        <v>#N/A</v>
      </c>
      <c r="AU2899" s="6" t="str">
        <f ca="1">IFERROR(__xludf.DUMMYFUNCTION("""COMPUTED_VALUE"""),"FALSE")</f>
        <v>FALSE</v>
      </c>
      <c r="AZ2899" s="9"/>
      <c r="BC2899" s="9"/>
      <c r="BF2899" s="9"/>
      <c r="BI2899" s="9"/>
    </row>
    <row r="2900" spans="18:61">
      <c r="R2900" s="6"/>
      <c r="AS2900" s="15"/>
      <c r="AT2900" s="6" t="str">
        <f ca="1">IFERROR(__xludf.DUMMYFUNCTION("""COMPUTED_VALUE"""),"#N/A")</f>
        <v>#N/A</v>
      </c>
      <c r="AU2900" s="6" t="str">
        <f ca="1">IFERROR(__xludf.DUMMYFUNCTION("""COMPUTED_VALUE"""),"FALSE")</f>
        <v>FALSE</v>
      </c>
      <c r="AZ2900" s="9"/>
      <c r="BC2900" s="9"/>
      <c r="BF2900" s="9"/>
      <c r="BI2900" s="9"/>
    </row>
    <row r="2901" spans="18:61">
      <c r="R2901" s="6"/>
      <c r="AS2901" s="15"/>
      <c r="AT2901" s="6" t="str">
        <f ca="1">IFERROR(__xludf.DUMMYFUNCTION("""COMPUTED_VALUE"""),"#N/A")</f>
        <v>#N/A</v>
      </c>
      <c r="AU2901" s="6" t="str">
        <f ca="1">IFERROR(__xludf.DUMMYFUNCTION("""COMPUTED_VALUE"""),"FALSE")</f>
        <v>FALSE</v>
      </c>
      <c r="AZ2901" s="9"/>
      <c r="BC2901" s="9"/>
      <c r="BF2901" s="9"/>
      <c r="BI2901" s="9"/>
    </row>
    <row r="2902" spans="18:61">
      <c r="R2902" s="6"/>
      <c r="AS2902" s="15"/>
      <c r="AT2902" s="6" t="str">
        <f ca="1">IFERROR(__xludf.DUMMYFUNCTION("""COMPUTED_VALUE"""),"#N/A")</f>
        <v>#N/A</v>
      </c>
      <c r="AU2902" s="6" t="str">
        <f ca="1">IFERROR(__xludf.DUMMYFUNCTION("""COMPUTED_VALUE"""),"FALSE")</f>
        <v>FALSE</v>
      </c>
      <c r="AZ2902" s="9"/>
      <c r="BC2902" s="9"/>
      <c r="BF2902" s="9"/>
      <c r="BI2902" s="9"/>
    </row>
    <row r="2903" spans="18:61">
      <c r="R2903" s="6"/>
      <c r="AS2903" s="15"/>
      <c r="AT2903" s="6" t="str">
        <f ca="1">IFERROR(__xludf.DUMMYFUNCTION("""COMPUTED_VALUE"""),"#N/A")</f>
        <v>#N/A</v>
      </c>
      <c r="AU2903" s="6" t="str">
        <f ca="1">IFERROR(__xludf.DUMMYFUNCTION("""COMPUTED_VALUE"""),"FALSE")</f>
        <v>FALSE</v>
      </c>
      <c r="AZ2903" s="9"/>
      <c r="BC2903" s="9"/>
      <c r="BF2903" s="9"/>
      <c r="BI2903" s="9"/>
    </row>
    <row r="2904" spans="18:61">
      <c r="R2904" s="6"/>
      <c r="AS2904" s="15"/>
      <c r="AT2904" s="6" t="str">
        <f ca="1">IFERROR(__xludf.DUMMYFUNCTION("""COMPUTED_VALUE"""),"#N/A")</f>
        <v>#N/A</v>
      </c>
      <c r="AU2904" s="6" t="str">
        <f ca="1">IFERROR(__xludf.DUMMYFUNCTION("""COMPUTED_VALUE"""),"FALSE")</f>
        <v>FALSE</v>
      </c>
      <c r="AZ2904" s="9"/>
      <c r="BC2904" s="9"/>
      <c r="BF2904" s="9"/>
      <c r="BI2904" s="9"/>
    </row>
    <row r="2905" spans="18:61">
      <c r="R2905" s="6"/>
      <c r="AS2905" s="15"/>
      <c r="AT2905" s="6" t="str">
        <f ca="1">IFERROR(__xludf.DUMMYFUNCTION("""COMPUTED_VALUE"""),"#N/A")</f>
        <v>#N/A</v>
      </c>
      <c r="AU2905" s="6" t="str">
        <f ca="1">IFERROR(__xludf.DUMMYFUNCTION("""COMPUTED_VALUE"""),"FALSE")</f>
        <v>FALSE</v>
      </c>
      <c r="AZ2905" s="9"/>
      <c r="BC2905" s="9"/>
      <c r="BF2905" s="9"/>
      <c r="BI2905" s="9"/>
    </row>
    <row r="2906" spans="18:61">
      <c r="R2906" s="6"/>
      <c r="AS2906" s="15"/>
      <c r="AT2906" s="6" t="str">
        <f ca="1">IFERROR(__xludf.DUMMYFUNCTION("""COMPUTED_VALUE"""),"#N/A")</f>
        <v>#N/A</v>
      </c>
      <c r="AU2906" s="6" t="str">
        <f ca="1">IFERROR(__xludf.DUMMYFUNCTION("""COMPUTED_VALUE"""),"FALSE")</f>
        <v>FALSE</v>
      </c>
      <c r="AZ2906" s="9"/>
      <c r="BC2906" s="9"/>
      <c r="BF2906" s="9"/>
      <c r="BI2906" s="9"/>
    </row>
    <row r="2907" spans="18:61">
      <c r="R2907" s="6"/>
      <c r="AS2907" s="15"/>
      <c r="AT2907" s="6" t="str">
        <f ca="1">IFERROR(__xludf.DUMMYFUNCTION("""COMPUTED_VALUE"""),"#N/A")</f>
        <v>#N/A</v>
      </c>
      <c r="AU2907" s="6" t="str">
        <f ca="1">IFERROR(__xludf.DUMMYFUNCTION("""COMPUTED_VALUE"""),"FALSE")</f>
        <v>FALSE</v>
      </c>
      <c r="AZ2907" s="9"/>
      <c r="BC2907" s="9"/>
      <c r="BF2907" s="9"/>
      <c r="BI2907" s="9"/>
    </row>
    <row r="2908" spans="18:61">
      <c r="R2908" s="6"/>
      <c r="AS2908" s="15"/>
      <c r="AT2908" s="6" t="str">
        <f ca="1">IFERROR(__xludf.DUMMYFUNCTION("""COMPUTED_VALUE"""),"#N/A")</f>
        <v>#N/A</v>
      </c>
      <c r="AU2908" s="6" t="str">
        <f ca="1">IFERROR(__xludf.DUMMYFUNCTION("""COMPUTED_VALUE"""),"FALSE")</f>
        <v>FALSE</v>
      </c>
      <c r="AZ2908" s="9"/>
      <c r="BC2908" s="9"/>
      <c r="BF2908" s="9"/>
      <c r="BI2908" s="9"/>
    </row>
    <row r="2909" spans="18:61">
      <c r="R2909" s="6"/>
      <c r="AS2909" s="15"/>
      <c r="AT2909" s="6" t="str">
        <f ca="1">IFERROR(__xludf.DUMMYFUNCTION("""COMPUTED_VALUE"""),"#N/A")</f>
        <v>#N/A</v>
      </c>
      <c r="AU2909" s="6" t="str">
        <f ca="1">IFERROR(__xludf.DUMMYFUNCTION("""COMPUTED_VALUE"""),"FALSE")</f>
        <v>FALSE</v>
      </c>
      <c r="AZ2909" s="9"/>
      <c r="BC2909" s="9"/>
      <c r="BF2909" s="9"/>
      <c r="BI2909" s="9"/>
    </row>
    <row r="2910" spans="18:61">
      <c r="R2910" s="6"/>
      <c r="AS2910" s="15"/>
      <c r="AT2910" s="6" t="str">
        <f ca="1">IFERROR(__xludf.DUMMYFUNCTION("""COMPUTED_VALUE"""),"#N/A")</f>
        <v>#N/A</v>
      </c>
      <c r="AU2910" s="6" t="str">
        <f ca="1">IFERROR(__xludf.DUMMYFUNCTION("""COMPUTED_VALUE"""),"FALSE")</f>
        <v>FALSE</v>
      </c>
      <c r="AZ2910" s="9"/>
      <c r="BC2910" s="9"/>
      <c r="BF2910" s="9"/>
      <c r="BI2910" s="9"/>
    </row>
    <row r="2911" spans="18:61">
      <c r="R2911" s="6"/>
      <c r="AS2911" s="15"/>
      <c r="AZ2911" s="9"/>
      <c r="BC2911" s="9"/>
      <c r="BF2911" s="9"/>
      <c r="BI2911" s="9"/>
    </row>
    <row r="2912" spans="18:61">
      <c r="R2912" s="6"/>
      <c r="AS2912" s="15"/>
      <c r="AZ2912" s="9"/>
      <c r="BC2912" s="9"/>
      <c r="BF2912" s="9"/>
      <c r="BI2912" s="9"/>
    </row>
    <row r="2913" spans="18:61">
      <c r="R2913" s="6"/>
      <c r="AS2913" s="15"/>
      <c r="AZ2913" s="9"/>
      <c r="BC2913" s="9"/>
      <c r="BF2913" s="9"/>
      <c r="BI2913" s="9"/>
    </row>
    <row r="2914" spans="18:61">
      <c r="R2914" s="6"/>
      <c r="AS2914" s="15"/>
      <c r="AZ2914" s="9"/>
      <c r="BC2914" s="9"/>
      <c r="BF2914" s="9"/>
      <c r="BI2914" s="9"/>
    </row>
    <row r="2915" spans="18:61">
      <c r="R2915" s="6"/>
      <c r="AS2915" s="15"/>
      <c r="AZ2915" s="9"/>
      <c r="BC2915" s="9"/>
      <c r="BF2915" s="9"/>
      <c r="BI2915" s="9"/>
    </row>
    <row r="2916" spans="18:61">
      <c r="R2916" s="6"/>
      <c r="AS2916" s="15"/>
      <c r="AZ2916" s="9"/>
      <c r="BC2916" s="9"/>
      <c r="BF2916" s="9"/>
      <c r="BI2916" s="9"/>
    </row>
    <row r="2917" spans="18:61">
      <c r="R2917" s="6"/>
      <c r="AS2917" s="15"/>
      <c r="AZ2917" s="9"/>
      <c r="BC2917" s="9"/>
      <c r="BF2917" s="9"/>
      <c r="BI2917" s="9"/>
    </row>
    <row r="2918" spans="18:61">
      <c r="R2918" s="6"/>
      <c r="AS2918" s="15"/>
      <c r="AZ2918" s="9"/>
      <c r="BC2918" s="9"/>
      <c r="BF2918" s="9"/>
      <c r="BI2918" s="9"/>
    </row>
    <row r="2919" spans="18:61">
      <c r="R2919" s="6"/>
      <c r="AS2919" s="15"/>
      <c r="AZ2919" s="9"/>
      <c r="BC2919" s="9"/>
      <c r="BF2919" s="9"/>
      <c r="BI2919" s="9"/>
    </row>
    <row r="2920" spans="18:61">
      <c r="R2920" s="6"/>
      <c r="AS2920" s="15"/>
      <c r="AZ2920" s="9"/>
      <c r="BC2920" s="9"/>
      <c r="BF2920" s="9"/>
      <c r="BI2920" s="9"/>
    </row>
    <row r="2921" spans="18:61">
      <c r="R2921" s="6"/>
      <c r="AS2921" s="15"/>
      <c r="AZ2921" s="9"/>
      <c r="BC2921" s="9"/>
      <c r="BF2921" s="9"/>
      <c r="BI2921" s="9"/>
    </row>
    <row r="2922" spans="18:61">
      <c r="R2922" s="6"/>
      <c r="AS2922" s="15"/>
      <c r="AZ2922" s="9"/>
      <c r="BC2922" s="9"/>
      <c r="BF2922" s="9"/>
      <c r="BI2922" s="9"/>
    </row>
    <row r="2923" spans="18:61">
      <c r="R2923" s="6"/>
      <c r="AS2923" s="15"/>
      <c r="AZ2923" s="9"/>
      <c r="BC2923" s="9"/>
      <c r="BF2923" s="9"/>
      <c r="BI2923" s="9"/>
    </row>
    <row r="2924" spans="18:61">
      <c r="R2924" s="6"/>
      <c r="AS2924" s="15"/>
      <c r="AZ2924" s="9"/>
      <c r="BC2924" s="9"/>
      <c r="BF2924" s="9"/>
      <c r="BI2924" s="9"/>
    </row>
    <row r="2925" spans="18:61">
      <c r="R2925" s="6"/>
      <c r="AS2925" s="15"/>
      <c r="AZ2925" s="9"/>
      <c r="BC2925" s="9"/>
      <c r="BF2925" s="9"/>
      <c r="BI2925" s="9"/>
    </row>
    <row r="2926" spans="18:61">
      <c r="R2926" s="6"/>
      <c r="AS2926" s="15"/>
      <c r="AZ2926" s="9"/>
      <c r="BC2926" s="9"/>
      <c r="BF2926" s="9"/>
      <c r="BI2926" s="9"/>
    </row>
    <row r="2927" spans="18:61">
      <c r="R2927" s="6"/>
      <c r="AS2927" s="15"/>
      <c r="AZ2927" s="9"/>
      <c r="BC2927" s="9"/>
      <c r="BF2927" s="9"/>
      <c r="BI2927" s="9"/>
    </row>
    <row r="2928" spans="18:61">
      <c r="R2928" s="6"/>
      <c r="AS2928" s="15"/>
      <c r="AZ2928" s="9"/>
      <c r="BC2928" s="9"/>
      <c r="BF2928" s="9"/>
      <c r="BI2928" s="9"/>
    </row>
    <row r="2929" spans="18:61">
      <c r="R2929" s="6"/>
      <c r="AS2929" s="15"/>
      <c r="AZ2929" s="9"/>
      <c r="BC2929" s="9"/>
      <c r="BF2929" s="9"/>
      <c r="BI2929" s="9"/>
    </row>
    <row r="2930" spans="18:61">
      <c r="R2930" s="6"/>
      <c r="AS2930" s="15"/>
      <c r="AZ2930" s="9"/>
      <c r="BC2930" s="9"/>
      <c r="BF2930" s="9"/>
      <c r="BI2930" s="9"/>
    </row>
    <row r="2931" spans="18:61">
      <c r="R2931" s="6"/>
      <c r="AS2931" s="15"/>
      <c r="AZ2931" s="9"/>
      <c r="BC2931" s="9"/>
      <c r="BF2931" s="9"/>
      <c r="BI2931" s="9"/>
    </row>
    <row r="2932" spans="18:61">
      <c r="R2932" s="6"/>
      <c r="AS2932" s="15"/>
      <c r="AZ2932" s="9"/>
      <c r="BC2932" s="9"/>
      <c r="BF2932" s="9"/>
      <c r="BI2932" s="9"/>
    </row>
    <row r="2933" spans="18:61">
      <c r="R2933" s="6"/>
      <c r="AS2933" s="15"/>
      <c r="AZ2933" s="9"/>
      <c r="BC2933" s="9"/>
      <c r="BF2933" s="9"/>
      <c r="BI2933" s="9"/>
    </row>
    <row r="2934" spans="18:61">
      <c r="R2934" s="6"/>
      <c r="AS2934" s="15"/>
      <c r="AZ2934" s="9"/>
      <c r="BC2934" s="9"/>
      <c r="BF2934" s="9"/>
      <c r="BI2934" s="9"/>
    </row>
    <row r="2935" spans="18:61">
      <c r="R2935" s="6"/>
      <c r="AS2935" s="15"/>
      <c r="AZ2935" s="9"/>
      <c r="BC2935" s="9"/>
      <c r="BF2935" s="9"/>
      <c r="BI2935" s="9"/>
    </row>
    <row r="2936" spans="18:61">
      <c r="R2936" s="6"/>
      <c r="AS2936" s="15"/>
      <c r="AZ2936" s="9"/>
      <c r="BC2936" s="9"/>
      <c r="BF2936" s="9"/>
      <c r="BI2936" s="9"/>
    </row>
    <row r="2937" spans="18:61">
      <c r="R2937" s="6"/>
      <c r="AS2937" s="15"/>
      <c r="AZ2937" s="9"/>
      <c r="BC2937" s="9"/>
      <c r="BF2937" s="9"/>
      <c r="BI2937" s="9"/>
    </row>
    <row r="2938" spans="18:61">
      <c r="R2938" s="6"/>
      <c r="AS2938" s="15"/>
      <c r="AZ2938" s="9"/>
      <c r="BC2938" s="9"/>
      <c r="BF2938" s="9"/>
      <c r="BI2938" s="9"/>
    </row>
    <row r="2939" spans="18:61">
      <c r="R2939" s="6"/>
      <c r="AS2939" s="15"/>
      <c r="AZ2939" s="9"/>
      <c r="BC2939" s="9"/>
      <c r="BF2939" s="9"/>
      <c r="BI2939" s="9"/>
    </row>
    <row r="2940" spans="18:61">
      <c r="R2940" s="6"/>
      <c r="AS2940" s="15"/>
      <c r="AZ2940" s="9"/>
      <c r="BC2940" s="9"/>
      <c r="BF2940" s="9"/>
      <c r="BI2940" s="9"/>
    </row>
    <row r="2941" spans="18:61">
      <c r="R2941" s="6"/>
      <c r="AS2941" s="15"/>
      <c r="AZ2941" s="9"/>
      <c r="BC2941" s="9"/>
      <c r="BF2941" s="9"/>
      <c r="BI2941" s="9"/>
    </row>
    <row r="2942" spans="18:61">
      <c r="R2942" s="6"/>
      <c r="AS2942" s="15"/>
      <c r="AZ2942" s="9"/>
      <c r="BC2942" s="9"/>
      <c r="BF2942" s="9"/>
      <c r="BI2942" s="9"/>
    </row>
    <row r="2943" spans="18:61">
      <c r="R2943" s="6"/>
      <c r="AS2943" s="15"/>
      <c r="AZ2943" s="9"/>
      <c r="BC2943" s="9"/>
      <c r="BF2943" s="9"/>
      <c r="BI2943" s="9"/>
    </row>
    <row r="2944" spans="18:61">
      <c r="R2944" s="6"/>
      <c r="AS2944" s="15"/>
      <c r="AZ2944" s="9"/>
      <c r="BC2944" s="9"/>
      <c r="BF2944" s="9"/>
      <c r="BI2944" s="9"/>
    </row>
    <row r="2945" spans="18:61">
      <c r="R2945" s="6"/>
      <c r="AS2945" s="15"/>
      <c r="AZ2945" s="9"/>
      <c r="BC2945" s="9"/>
      <c r="BF2945" s="9"/>
      <c r="BI2945" s="9"/>
    </row>
    <row r="2946" spans="18:61">
      <c r="R2946" s="6"/>
      <c r="AS2946" s="15"/>
      <c r="AZ2946" s="9"/>
      <c r="BC2946" s="9"/>
      <c r="BF2946" s="9"/>
      <c r="BI2946" s="9"/>
    </row>
    <row r="2947" spans="18:61">
      <c r="R2947" s="6"/>
      <c r="AS2947" s="15"/>
      <c r="AZ2947" s="9"/>
      <c r="BC2947" s="9"/>
      <c r="BF2947" s="9"/>
      <c r="BI2947" s="9"/>
    </row>
    <row r="2948" spans="18:61">
      <c r="R2948" s="6"/>
      <c r="AS2948" s="15"/>
      <c r="AZ2948" s="9"/>
      <c r="BC2948" s="9"/>
      <c r="BF2948" s="9"/>
      <c r="BI2948" s="9"/>
    </row>
    <row r="2949" spans="18:61">
      <c r="R2949" s="6"/>
      <c r="AS2949" s="15"/>
      <c r="AZ2949" s="9"/>
      <c r="BC2949" s="9"/>
      <c r="BF2949" s="9"/>
      <c r="BI2949" s="9"/>
    </row>
    <row r="2950" spans="18:61">
      <c r="R2950" s="6"/>
      <c r="AS2950" s="15"/>
      <c r="AZ2950" s="9"/>
      <c r="BC2950" s="9"/>
      <c r="BF2950" s="9"/>
      <c r="BI2950" s="9"/>
    </row>
    <row r="2951" spans="18:61">
      <c r="R2951" s="6"/>
      <c r="AS2951" s="15"/>
      <c r="AZ2951" s="9"/>
      <c r="BC2951" s="9"/>
      <c r="BF2951" s="9"/>
      <c r="BI2951" s="9"/>
    </row>
    <row r="2952" spans="18:61">
      <c r="R2952" s="6"/>
      <c r="AS2952" s="15"/>
      <c r="AZ2952" s="9"/>
      <c r="BC2952" s="9"/>
      <c r="BF2952" s="9"/>
      <c r="BI2952" s="9"/>
    </row>
    <row r="2953" spans="18:61">
      <c r="R2953" s="6"/>
      <c r="AS2953" s="15"/>
      <c r="AZ2953" s="9"/>
      <c r="BC2953" s="9"/>
      <c r="BF2953" s="9"/>
      <c r="BI2953" s="9"/>
    </row>
    <row r="2954" spans="18:61">
      <c r="R2954" s="6"/>
      <c r="AS2954" s="15"/>
      <c r="AZ2954" s="9"/>
      <c r="BC2954" s="9"/>
      <c r="BF2954" s="9"/>
      <c r="BI2954" s="9"/>
    </row>
    <row r="2955" spans="18:61">
      <c r="R2955" s="6"/>
      <c r="AS2955" s="15"/>
      <c r="AZ2955" s="9"/>
      <c r="BC2955" s="9"/>
      <c r="BF2955" s="9"/>
      <c r="BI2955" s="9"/>
    </row>
    <row r="2956" spans="18:61">
      <c r="R2956" s="6"/>
      <c r="AS2956" s="15"/>
      <c r="AZ2956" s="9"/>
      <c r="BC2956" s="9"/>
      <c r="BF2956" s="9"/>
      <c r="BI2956" s="9"/>
    </row>
    <row r="2957" spans="18:61">
      <c r="R2957" s="6"/>
      <c r="AS2957" s="15"/>
      <c r="AZ2957" s="9"/>
      <c r="BC2957" s="9"/>
      <c r="BF2957" s="9"/>
      <c r="BI2957" s="9"/>
    </row>
    <row r="2958" spans="18:61">
      <c r="R2958" s="6"/>
      <c r="AS2958" s="15"/>
      <c r="AZ2958" s="9"/>
      <c r="BC2958" s="9"/>
      <c r="BF2958" s="9"/>
      <c r="BI2958" s="9"/>
    </row>
    <row r="2959" spans="18:61">
      <c r="R2959" s="6"/>
      <c r="AS2959" s="15"/>
      <c r="AZ2959" s="9"/>
      <c r="BC2959" s="9"/>
      <c r="BF2959" s="9"/>
      <c r="BI2959" s="9"/>
    </row>
    <row r="2960" spans="18:61">
      <c r="R2960" s="6"/>
      <c r="AS2960" s="15"/>
      <c r="AZ2960" s="9"/>
      <c r="BC2960" s="9"/>
      <c r="BF2960" s="9"/>
      <c r="BI2960" s="9"/>
    </row>
    <row r="2961" spans="18:61">
      <c r="R2961" s="6"/>
      <c r="AS2961" s="15"/>
      <c r="AZ2961" s="9"/>
      <c r="BC2961" s="9"/>
      <c r="BF2961" s="9"/>
      <c r="BI2961" s="9"/>
    </row>
    <row r="2962" spans="18:61">
      <c r="R2962" s="6"/>
      <c r="AS2962" s="15"/>
      <c r="AZ2962" s="9"/>
      <c r="BC2962" s="9"/>
      <c r="BF2962" s="9"/>
      <c r="BI2962" s="9"/>
    </row>
    <row r="2963" spans="18:61">
      <c r="R2963" s="6"/>
      <c r="AS2963" s="15"/>
      <c r="AZ2963" s="9"/>
      <c r="BC2963" s="9"/>
      <c r="BF2963" s="9"/>
      <c r="BI2963" s="9"/>
    </row>
    <row r="2964" spans="18:61">
      <c r="R2964" s="6"/>
      <c r="AS2964" s="15"/>
      <c r="AZ2964" s="9"/>
      <c r="BC2964" s="9"/>
      <c r="BF2964" s="9"/>
      <c r="BI2964" s="9"/>
    </row>
    <row r="2965" spans="18:61">
      <c r="R2965" s="6"/>
      <c r="AS2965" s="15"/>
      <c r="AZ2965" s="9"/>
      <c r="BC2965" s="9"/>
      <c r="BF2965" s="9"/>
      <c r="BI2965" s="9"/>
    </row>
    <row r="2966" spans="18:61">
      <c r="R2966" s="6"/>
      <c r="AS2966" s="15"/>
      <c r="AZ2966" s="9"/>
      <c r="BC2966" s="9"/>
      <c r="BF2966" s="9"/>
      <c r="BI2966" s="9"/>
    </row>
    <row r="2967" spans="18:61">
      <c r="R2967" s="6"/>
      <c r="AS2967" s="15"/>
      <c r="AZ2967" s="9"/>
      <c r="BC2967" s="9"/>
      <c r="BF2967" s="9"/>
      <c r="BI2967" s="9"/>
    </row>
    <row r="2968" spans="18:61">
      <c r="R2968" s="6"/>
      <c r="AS2968" s="15"/>
      <c r="AZ2968" s="9"/>
      <c r="BC2968" s="9"/>
      <c r="BF2968" s="9"/>
      <c r="BI2968" s="9"/>
    </row>
    <row r="2969" spans="18:61">
      <c r="R2969" s="6"/>
      <c r="AS2969" s="15"/>
      <c r="AZ2969" s="9"/>
      <c r="BC2969" s="9"/>
      <c r="BF2969" s="9"/>
      <c r="BI2969" s="9"/>
    </row>
    <row r="2970" spans="18:61">
      <c r="R2970" s="6"/>
      <c r="AS2970" s="15"/>
      <c r="AZ2970" s="9"/>
      <c r="BC2970" s="9"/>
      <c r="BF2970" s="9"/>
      <c r="BI2970" s="9"/>
    </row>
    <row r="2971" spans="18:61">
      <c r="R2971" s="6"/>
      <c r="AS2971" s="15"/>
      <c r="AZ2971" s="9"/>
      <c r="BC2971" s="9"/>
      <c r="BF2971" s="9"/>
      <c r="BI2971" s="9"/>
    </row>
    <row r="2972" spans="18:61">
      <c r="R2972" s="6"/>
      <c r="AS2972" s="15"/>
      <c r="AZ2972" s="9"/>
      <c r="BC2972" s="9"/>
      <c r="BF2972" s="9"/>
      <c r="BI2972" s="9"/>
    </row>
    <row r="2973" spans="18:61">
      <c r="R2973" s="6"/>
      <c r="AS2973" s="15"/>
      <c r="AZ2973" s="9"/>
      <c r="BC2973" s="9"/>
      <c r="BF2973" s="9"/>
      <c r="BI2973" s="9"/>
    </row>
    <row r="2974" spans="18:61">
      <c r="R2974" s="6"/>
      <c r="AS2974" s="15"/>
      <c r="AZ2974" s="9"/>
      <c r="BC2974" s="9"/>
      <c r="BF2974" s="9"/>
      <c r="BI2974" s="9"/>
    </row>
    <row r="2975" spans="18:61">
      <c r="R2975" s="6"/>
      <c r="AS2975" s="15"/>
      <c r="AZ2975" s="9"/>
      <c r="BC2975" s="9"/>
      <c r="BF2975" s="9"/>
      <c r="BI2975" s="9"/>
    </row>
    <row r="2976" spans="18:61">
      <c r="R2976" s="6"/>
      <c r="AS2976" s="15"/>
      <c r="AZ2976" s="9"/>
      <c r="BC2976" s="9"/>
      <c r="BF2976" s="9"/>
      <c r="BI2976" s="9"/>
    </row>
    <row r="2977" spans="18:61">
      <c r="R2977" s="6"/>
      <c r="AS2977" s="15"/>
      <c r="AZ2977" s="9"/>
      <c r="BC2977" s="9"/>
      <c r="BF2977" s="9"/>
      <c r="BI2977" s="9"/>
    </row>
    <row r="2978" spans="18:61">
      <c r="R2978" s="6"/>
      <c r="AS2978" s="15"/>
      <c r="AZ2978" s="9"/>
      <c r="BC2978" s="9"/>
      <c r="BF2978" s="9"/>
      <c r="BI2978" s="9"/>
    </row>
    <row r="2979" spans="18:61">
      <c r="R2979" s="6"/>
      <c r="AS2979" s="15"/>
      <c r="AZ2979" s="9"/>
      <c r="BC2979" s="9"/>
      <c r="BF2979" s="9"/>
      <c r="BI2979" s="9"/>
    </row>
    <row r="2980" spans="18:61">
      <c r="R2980" s="6"/>
      <c r="AS2980" s="15"/>
      <c r="AZ2980" s="9"/>
      <c r="BC2980" s="9"/>
      <c r="BF2980" s="9"/>
      <c r="BI2980" s="9"/>
    </row>
    <row r="2981" spans="18:61">
      <c r="R2981" s="6"/>
      <c r="AS2981" s="15"/>
      <c r="AZ2981" s="9"/>
      <c r="BC2981" s="9"/>
      <c r="BF2981" s="9"/>
      <c r="BI2981" s="9"/>
    </row>
    <row r="2982" spans="18:61">
      <c r="R2982" s="6"/>
      <c r="AS2982" s="15"/>
      <c r="AZ2982" s="9"/>
      <c r="BC2982" s="9"/>
      <c r="BF2982" s="9"/>
      <c r="BI2982" s="9"/>
    </row>
    <row r="2983" spans="18:61">
      <c r="R2983" s="6"/>
      <c r="AS2983" s="15"/>
      <c r="AZ2983" s="9"/>
      <c r="BC2983" s="9"/>
      <c r="BF2983" s="9"/>
      <c r="BI2983" s="9"/>
    </row>
    <row r="2984" spans="18:61">
      <c r="R2984" s="6"/>
      <c r="AS2984" s="15"/>
      <c r="AZ2984" s="9"/>
      <c r="BC2984" s="9"/>
      <c r="BF2984" s="9"/>
      <c r="BI2984" s="9"/>
    </row>
    <row r="2985" spans="18:61">
      <c r="R2985" s="6"/>
      <c r="AS2985" s="15"/>
      <c r="AZ2985" s="9"/>
      <c r="BC2985" s="9"/>
      <c r="BF2985" s="9"/>
      <c r="BI2985" s="9"/>
    </row>
    <row r="2986" spans="18:61">
      <c r="R2986" s="6"/>
      <c r="AS2986" s="15"/>
      <c r="AZ2986" s="9"/>
      <c r="BC2986" s="9"/>
      <c r="BF2986" s="9"/>
      <c r="BI2986" s="9"/>
    </row>
    <row r="2987" spans="18:61">
      <c r="R2987" s="6"/>
      <c r="AS2987" s="15"/>
      <c r="AZ2987" s="9"/>
      <c r="BC2987" s="9"/>
      <c r="BF2987" s="9"/>
      <c r="BI2987" s="9"/>
    </row>
    <row r="2988" spans="18:61">
      <c r="R2988" s="6"/>
      <c r="AS2988" s="15"/>
      <c r="AZ2988" s="9"/>
      <c r="BC2988" s="9"/>
      <c r="BF2988" s="9"/>
      <c r="BI2988" s="9"/>
    </row>
    <row r="2989" spans="18:61">
      <c r="R2989" s="6"/>
      <c r="AS2989" s="15"/>
      <c r="AZ2989" s="9"/>
      <c r="BC2989" s="9"/>
      <c r="BF2989" s="9"/>
      <c r="BI2989" s="9"/>
    </row>
    <row r="2990" spans="18:61">
      <c r="R2990" s="6"/>
      <c r="AS2990" s="15"/>
      <c r="AZ2990" s="9"/>
      <c r="BC2990" s="9"/>
      <c r="BF2990" s="9"/>
      <c r="BI2990" s="9"/>
    </row>
    <row r="2991" spans="18:61">
      <c r="R2991" s="6"/>
      <c r="AS2991" s="15"/>
      <c r="AZ2991" s="9"/>
      <c r="BC2991" s="9"/>
      <c r="BF2991" s="9"/>
      <c r="BI2991" s="9"/>
    </row>
    <row r="2992" spans="18:61">
      <c r="R2992" s="6"/>
      <c r="AS2992" s="15"/>
      <c r="AZ2992" s="9"/>
      <c r="BC2992" s="9"/>
      <c r="BF2992" s="9"/>
      <c r="BI2992" s="9"/>
    </row>
    <row r="2993" spans="18:61">
      <c r="R2993" s="6"/>
      <c r="AS2993" s="15"/>
      <c r="AZ2993" s="9"/>
      <c r="BC2993" s="9"/>
      <c r="BF2993" s="9"/>
      <c r="BI2993" s="9"/>
    </row>
    <row r="2994" spans="18:61">
      <c r="R2994" s="6"/>
      <c r="AS2994" s="15"/>
      <c r="AZ2994" s="9"/>
      <c r="BC2994" s="9"/>
      <c r="BF2994" s="9"/>
      <c r="BI2994" s="9"/>
    </row>
    <row r="2995" spans="18:61">
      <c r="R2995" s="6"/>
      <c r="AS2995" s="15"/>
      <c r="AZ2995" s="9"/>
      <c r="BC2995" s="9"/>
      <c r="BF2995" s="9"/>
      <c r="BI2995" s="9"/>
    </row>
    <row r="2996" spans="18:61">
      <c r="R2996" s="6"/>
      <c r="AS2996" s="15"/>
      <c r="AZ2996" s="9"/>
      <c r="BC2996" s="9"/>
      <c r="BF2996" s="9"/>
      <c r="BI2996" s="9"/>
    </row>
    <row r="2997" spans="18:61">
      <c r="R2997" s="6"/>
      <c r="AS2997" s="15"/>
      <c r="AZ2997" s="9"/>
      <c r="BC2997" s="9"/>
      <c r="BF2997" s="9"/>
      <c r="BI2997" s="9"/>
    </row>
    <row r="2998" spans="18:61">
      <c r="R2998" s="6"/>
      <c r="AS2998" s="15"/>
      <c r="AZ2998" s="9"/>
      <c r="BC2998" s="9"/>
      <c r="BF2998" s="9"/>
      <c r="BI2998" s="9"/>
    </row>
    <row r="2999" spans="18:61">
      <c r="R2999" s="6"/>
      <c r="AS2999" s="15"/>
      <c r="AZ2999" s="9"/>
      <c r="BC2999" s="9"/>
      <c r="BF2999" s="9"/>
      <c r="BI2999" s="9"/>
    </row>
    <row r="3000" spans="18:61">
      <c r="R3000" s="6"/>
      <c r="AS3000" s="15"/>
      <c r="AZ3000" s="9"/>
      <c r="BC3000" s="9"/>
      <c r="BF3000" s="9"/>
      <c r="BI3000" s="9"/>
    </row>
    <row r="3001" spans="18:61">
      <c r="R3001" s="6"/>
      <c r="AS3001" s="15"/>
      <c r="AZ3001" s="9"/>
      <c r="BC3001" s="9"/>
      <c r="BF3001" s="9"/>
      <c r="BI3001" s="9"/>
    </row>
    <row r="3002" spans="18:61">
      <c r="R3002" s="6"/>
      <c r="AS3002" s="15"/>
      <c r="AZ3002" s="9"/>
      <c r="BC3002" s="9"/>
      <c r="BF3002" s="9"/>
      <c r="BI3002" s="9"/>
    </row>
    <row r="3003" spans="18:61">
      <c r="R3003" s="6"/>
      <c r="AS3003" s="15"/>
      <c r="AZ3003" s="9"/>
      <c r="BC3003" s="9"/>
      <c r="BF3003" s="9"/>
      <c r="BI3003" s="9"/>
    </row>
    <row r="3004" spans="18:61">
      <c r="R3004" s="6"/>
      <c r="AS3004" s="15"/>
      <c r="AZ3004" s="9"/>
      <c r="BC3004" s="9"/>
      <c r="BF3004" s="9"/>
      <c r="BI3004" s="9"/>
    </row>
    <row r="3005" spans="18:61">
      <c r="R3005" s="6"/>
      <c r="AS3005" s="15"/>
      <c r="AZ3005" s="9"/>
      <c r="BC3005" s="9"/>
      <c r="BF3005" s="9"/>
      <c r="BI3005" s="9"/>
    </row>
    <row r="3006" spans="18:61">
      <c r="R3006" s="6"/>
      <c r="AS3006" s="15"/>
      <c r="AZ3006" s="9"/>
      <c r="BC3006" s="9"/>
      <c r="BF3006" s="9"/>
      <c r="BI3006" s="9"/>
    </row>
    <row r="3007" spans="18:61">
      <c r="R3007" s="6"/>
      <c r="AS3007" s="15"/>
      <c r="AZ3007" s="9"/>
      <c r="BC3007" s="9"/>
      <c r="BF3007" s="9"/>
      <c r="BI3007" s="9"/>
    </row>
    <row r="3008" spans="18:61">
      <c r="R3008" s="6"/>
      <c r="AS3008" s="15"/>
      <c r="AZ3008" s="9"/>
      <c r="BC3008" s="9"/>
      <c r="BF3008" s="9"/>
      <c r="BI3008" s="9"/>
    </row>
    <row r="3009" spans="18:61">
      <c r="R3009" s="6"/>
      <c r="AS3009" s="15"/>
      <c r="AZ3009" s="9"/>
      <c r="BC3009" s="9"/>
      <c r="BF3009" s="9"/>
      <c r="BI3009" s="9"/>
    </row>
    <row r="3010" spans="18:61">
      <c r="R3010" s="6"/>
      <c r="AS3010" s="15"/>
      <c r="AZ3010" s="9"/>
      <c r="BC3010" s="9"/>
      <c r="BF3010" s="9"/>
      <c r="BI3010" s="9"/>
    </row>
    <row r="3011" spans="18:61">
      <c r="R3011" s="6"/>
      <c r="AS3011" s="15"/>
      <c r="AZ3011" s="9"/>
      <c r="BC3011" s="9"/>
      <c r="BF3011" s="9"/>
      <c r="BI3011" s="9"/>
    </row>
    <row r="3012" spans="18:61">
      <c r="R3012" s="6"/>
      <c r="AS3012" s="15"/>
      <c r="AZ3012" s="9"/>
      <c r="BC3012" s="9"/>
      <c r="BF3012" s="9"/>
      <c r="BI3012" s="9"/>
    </row>
    <row r="3013" spans="18:61">
      <c r="R3013" s="6"/>
      <c r="AS3013" s="15"/>
      <c r="AZ3013" s="9"/>
      <c r="BC3013" s="9"/>
      <c r="BF3013" s="9"/>
      <c r="BI3013" s="9"/>
    </row>
    <row r="3014" spans="18:61">
      <c r="R3014" s="6"/>
      <c r="AS3014" s="15"/>
      <c r="AZ3014" s="9"/>
      <c r="BC3014" s="9"/>
      <c r="BF3014" s="9"/>
      <c r="BI3014" s="9"/>
    </row>
    <row r="3015" spans="18:61">
      <c r="R3015" s="6"/>
      <c r="AS3015" s="15"/>
      <c r="AZ3015" s="9"/>
      <c r="BC3015" s="9"/>
      <c r="BF3015" s="9"/>
      <c r="BI3015" s="9"/>
    </row>
    <row r="3016" spans="18:61">
      <c r="R3016" s="6"/>
      <c r="AS3016" s="15"/>
      <c r="AZ3016" s="9"/>
      <c r="BC3016" s="9"/>
      <c r="BF3016" s="9"/>
      <c r="BI3016" s="9"/>
    </row>
    <row r="3017" spans="18:61">
      <c r="R3017" s="6"/>
      <c r="AS3017" s="15"/>
      <c r="AZ3017" s="9"/>
      <c r="BC3017" s="9"/>
      <c r="BF3017" s="9"/>
      <c r="BI3017" s="9"/>
    </row>
    <row r="3018" spans="18:61">
      <c r="R3018" s="6"/>
      <c r="AS3018" s="15"/>
      <c r="AZ3018" s="9"/>
      <c r="BC3018" s="9"/>
      <c r="BF3018" s="9"/>
      <c r="BI3018" s="9"/>
    </row>
    <row r="3019" spans="18:61">
      <c r="R3019" s="6"/>
      <c r="AS3019" s="15"/>
      <c r="AZ3019" s="9"/>
      <c r="BC3019" s="9"/>
      <c r="BF3019" s="9"/>
      <c r="BI3019" s="9"/>
    </row>
    <row r="3020" spans="18:61">
      <c r="R3020" s="6"/>
      <c r="AS3020" s="15"/>
      <c r="AZ3020" s="9"/>
      <c r="BC3020" s="9"/>
      <c r="BF3020" s="9"/>
      <c r="BI3020" s="9"/>
    </row>
    <row r="3021" spans="18:61">
      <c r="R3021" s="6"/>
      <c r="AS3021" s="15"/>
      <c r="AZ3021" s="9"/>
      <c r="BC3021" s="9"/>
      <c r="BF3021" s="9"/>
      <c r="BI3021" s="9"/>
    </row>
    <row r="3022" spans="18:61">
      <c r="R3022" s="6"/>
      <c r="AS3022" s="15"/>
      <c r="AZ3022" s="9"/>
      <c r="BC3022" s="9"/>
      <c r="BF3022" s="9"/>
      <c r="BI3022" s="9"/>
    </row>
    <row r="3023" spans="18:61">
      <c r="R3023" s="6"/>
      <c r="AS3023" s="15"/>
      <c r="AZ3023" s="9"/>
      <c r="BC3023" s="9"/>
      <c r="BF3023" s="9"/>
      <c r="BI3023" s="9"/>
    </row>
    <row r="3024" spans="18:61">
      <c r="R3024" s="6"/>
      <c r="AS3024" s="15"/>
      <c r="AZ3024" s="9"/>
      <c r="BC3024" s="9"/>
      <c r="BF3024" s="9"/>
      <c r="BI3024" s="9"/>
    </row>
    <row r="3025" spans="18:61">
      <c r="R3025" s="6"/>
      <c r="AS3025" s="15"/>
      <c r="AZ3025" s="9"/>
      <c r="BC3025" s="9"/>
      <c r="BF3025" s="9"/>
      <c r="BI3025" s="9"/>
    </row>
    <row r="3026" spans="18:61">
      <c r="R3026" s="6"/>
      <c r="AS3026" s="15"/>
      <c r="AZ3026" s="9"/>
      <c r="BC3026" s="9"/>
      <c r="BF3026" s="9"/>
      <c r="BI3026" s="9"/>
    </row>
    <row r="3027" spans="18:61">
      <c r="R3027" s="6"/>
      <c r="AS3027" s="15"/>
      <c r="AZ3027" s="9"/>
      <c r="BC3027" s="9"/>
      <c r="BF3027" s="9"/>
      <c r="BI3027" s="9"/>
    </row>
    <row r="3028" spans="18:61">
      <c r="R3028" s="6"/>
      <c r="AS3028" s="15"/>
      <c r="AZ3028" s="9"/>
      <c r="BC3028" s="9"/>
      <c r="BF3028" s="9"/>
      <c r="BI3028" s="9"/>
    </row>
    <row r="3029" spans="18:61">
      <c r="R3029" s="6"/>
      <c r="AS3029" s="15"/>
      <c r="AZ3029" s="9"/>
      <c r="BC3029" s="9"/>
      <c r="BF3029" s="9"/>
      <c r="BI3029" s="9"/>
    </row>
    <row r="3030" spans="18:61">
      <c r="R3030" s="6"/>
      <c r="AS3030" s="15"/>
      <c r="AZ3030" s="9"/>
      <c r="BC3030" s="9"/>
      <c r="BF3030" s="9"/>
      <c r="BI3030" s="9"/>
    </row>
    <row r="3031" spans="18:61">
      <c r="R3031" s="6"/>
      <c r="AS3031" s="15"/>
      <c r="AZ3031" s="9"/>
      <c r="BC3031" s="9"/>
      <c r="BF3031" s="9"/>
      <c r="BI3031" s="9"/>
    </row>
    <row r="3032" spans="18:61">
      <c r="R3032" s="6"/>
      <c r="AS3032" s="15"/>
      <c r="AZ3032" s="9"/>
      <c r="BC3032" s="9"/>
      <c r="BF3032" s="9"/>
      <c r="BI3032" s="9"/>
    </row>
    <row r="3033" spans="18:61">
      <c r="R3033" s="6"/>
      <c r="AS3033" s="15"/>
      <c r="AZ3033" s="9"/>
      <c r="BC3033" s="9"/>
      <c r="BF3033" s="9"/>
      <c r="BI3033" s="9"/>
    </row>
    <row r="3034" spans="18:61">
      <c r="R3034" s="6"/>
      <c r="AS3034" s="15"/>
      <c r="AZ3034" s="9"/>
      <c r="BC3034" s="9"/>
      <c r="BF3034" s="9"/>
      <c r="BI3034" s="9"/>
    </row>
    <row r="3035" spans="18:61">
      <c r="R3035" s="6"/>
      <c r="AS3035" s="15"/>
      <c r="AZ3035" s="9"/>
      <c r="BC3035" s="9"/>
      <c r="BF3035" s="9"/>
      <c r="BI3035" s="9"/>
    </row>
    <row r="3036" spans="18:61">
      <c r="R3036" s="6"/>
      <c r="AS3036" s="15"/>
      <c r="AZ3036" s="9"/>
      <c r="BC3036" s="9"/>
      <c r="BF3036" s="9"/>
      <c r="BI3036" s="9"/>
    </row>
    <row r="3037" spans="18:61">
      <c r="R3037" s="6"/>
      <c r="AS3037" s="15"/>
      <c r="AZ3037" s="9"/>
      <c r="BC3037" s="9"/>
      <c r="BF3037" s="9"/>
      <c r="BI3037" s="9"/>
    </row>
    <row r="3038" spans="18:61">
      <c r="R3038" s="6"/>
      <c r="AS3038" s="15"/>
      <c r="AZ3038" s="9"/>
      <c r="BC3038" s="9"/>
      <c r="BF3038" s="9"/>
      <c r="BI3038" s="9"/>
    </row>
    <row r="3039" spans="18:61">
      <c r="R3039" s="6"/>
      <c r="AS3039" s="15"/>
      <c r="AZ3039" s="9"/>
      <c r="BC3039" s="9"/>
      <c r="BF3039" s="9"/>
      <c r="BI3039" s="9"/>
    </row>
    <row r="3040" spans="18:61">
      <c r="R3040" s="6"/>
      <c r="AS3040" s="15"/>
      <c r="AZ3040" s="9"/>
      <c r="BC3040" s="9"/>
      <c r="BF3040" s="9"/>
      <c r="BI3040" s="9"/>
    </row>
    <row r="3041" spans="18:61">
      <c r="R3041" s="6"/>
      <c r="AS3041" s="15"/>
      <c r="AZ3041" s="9"/>
      <c r="BC3041" s="9"/>
      <c r="BF3041" s="9"/>
      <c r="BI3041" s="9"/>
    </row>
    <row r="3042" spans="18:61">
      <c r="R3042" s="6"/>
      <c r="AS3042" s="15"/>
      <c r="AZ3042" s="9"/>
      <c r="BC3042" s="9"/>
      <c r="BF3042" s="9"/>
      <c r="BI3042" s="9"/>
    </row>
    <row r="3043" spans="18:61">
      <c r="R3043" s="6"/>
      <c r="AS3043" s="15"/>
      <c r="AZ3043" s="9"/>
      <c r="BC3043" s="9"/>
      <c r="BF3043" s="9"/>
      <c r="BI3043" s="9"/>
    </row>
    <row r="3044" spans="18:61">
      <c r="R3044" s="6"/>
      <c r="AS3044" s="15"/>
      <c r="AZ3044" s="9"/>
      <c r="BC3044" s="9"/>
      <c r="BF3044" s="9"/>
      <c r="BI3044" s="9"/>
    </row>
    <row r="3045" spans="18:61">
      <c r="R3045" s="6"/>
      <c r="AS3045" s="15"/>
      <c r="AZ3045" s="9"/>
      <c r="BC3045" s="9"/>
      <c r="BF3045" s="9"/>
      <c r="BI3045" s="9"/>
    </row>
    <row r="3046" spans="18:61">
      <c r="R3046" s="6"/>
      <c r="AS3046" s="15"/>
      <c r="AZ3046" s="9"/>
      <c r="BC3046" s="9"/>
      <c r="BF3046" s="9"/>
      <c r="BI3046" s="9"/>
    </row>
    <row r="3047" spans="18:61">
      <c r="R3047" s="6"/>
      <c r="AS3047" s="15"/>
      <c r="AZ3047" s="9"/>
      <c r="BC3047" s="9"/>
      <c r="BF3047" s="9"/>
      <c r="BI3047" s="9"/>
    </row>
    <row r="3048" spans="18:61">
      <c r="R3048" s="6"/>
      <c r="AS3048" s="15"/>
      <c r="AZ3048" s="9"/>
      <c r="BC3048" s="9"/>
      <c r="BF3048" s="9"/>
      <c r="BI3048" s="9"/>
    </row>
    <row r="3049" spans="18:61">
      <c r="R3049" s="6"/>
      <c r="AS3049" s="15"/>
      <c r="AZ3049" s="9"/>
      <c r="BC3049" s="9"/>
      <c r="BF3049" s="9"/>
      <c r="BI3049" s="9"/>
    </row>
    <row r="3050" spans="18:61">
      <c r="R3050" s="6"/>
      <c r="AS3050" s="15"/>
      <c r="AZ3050" s="9"/>
      <c r="BC3050" s="9"/>
      <c r="BF3050" s="9"/>
      <c r="BI3050" s="9"/>
    </row>
    <row r="3051" spans="18:61">
      <c r="R3051" s="6"/>
      <c r="AS3051" s="15"/>
      <c r="AZ3051" s="9"/>
      <c r="BC3051" s="9"/>
      <c r="BF3051" s="9"/>
      <c r="BI3051" s="9"/>
    </row>
    <row r="3052" spans="18:61">
      <c r="R3052" s="6"/>
      <c r="AS3052" s="15"/>
      <c r="AZ3052" s="9"/>
      <c r="BC3052" s="9"/>
      <c r="BF3052" s="9"/>
      <c r="BI3052" s="9"/>
    </row>
    <row r="3053" spans="18:61">
      <c r="R3053" s="6"/>
      <c r="AS3053" s="15"/>
      <c r="AZ3053" s="9"/>
      <c r="BC3053" s="9"/>
      <c r="BF3053" s="9"/>
      <c r="BI3053" s="9"/>
    </row>
    <row r="3054" spans="18:61">
      <c r="R3054" s="6"/>
      <c r="AS3054" s="15"/>
      <c r="AZ3054" s="9"/>
      <c r="BC3054" s="9"/>
      <c r="BF3054" s="9"/>
      <c r="BI3054" s="9"/>
    </row>
    <row r="3055" spans="18:61">
      <c r="R3055" s="6"/>
      <c r="AS3055" s="15"/>
      <c r="AZ3055" s="9"/>
      <c r="BC3055" s="9"/>
      <c r="BF3055" s="9"/>
      <c r="BI3055" s="9"/>
    </row>
    <row r="3056" spans="18:61">
      <c r="R3056" s="6"/>
      <c r="AS3056" s="15"/>
      <c r="AZ3056" s="9"/>
      <c r="BC3056" s="9"/>
      <c r="BF3056" s="9"/>
      <c r="BI3056" s="9"/>
    </row>
    <row r="3057" spans="18:61">
      <c r="R3057" s="6"/>
      <c r="AS3057" s="15"/>
      <c r="AZ3057" s="9"/>
      <c r="BC3057" s="9"/>
      <c r="BF3057" s="9"/>
      <c r="BI3057" s="9"/>
    </row>
    <row r="3058" spans="18:61">
      <c r="R3058" s="6"/>
      <c r="AS3058" s="15"/>
      <c r="AZ3058" s="9"/>
      <c r="BC3058" s="9"/>
      <c r="BF3058" s="9"/>
      <c r="BI3058" s="9"/>
    </row>
    <row r="3059" spans="18:61">
      <c r="R3059" s="6"/>
      <c r="AS3059" s="15"/>
      <c r="AZ3059" s="9"/>
      <c r="BC3059" s="9"/>
      <c r="BF3059" s="9"/>
      <c r="BI3059" s="9"/>
    </row>
    <row r="3060" spans="18:61">
      <c r="R3060" s="6"/>
      <c r="AS3060" s="15"/>
      <c r="AZ3060" s="9"/>
      <c r="BC3060" s="9"/>
      <c r="BF3060" s="9"/>
      <c r="BI3060" s="9"/>
    </row>
    <row r="3061" spans="18:61">
      <c r="R3061" s="6"/>
      <c r="AS3061" s="15"/>
      <c r="AZ3061" s="9"/>
      <c r="BC3061" s="9"/>
      <c r="BF3061" s="9"/>
      <c r="BI3061" s="9"/>
    </row>
    <row r="3062" spans="18:61">
      <c r="R3062" s="6"/>
      <c r="AS3062" s="15"/>
      <c r="AZ3062" s="9"/>
      <c r="BC3062" s="9"/>
      <c r="BF3062" s="9"/>
      <c r="BI3062" s="9"/>
    </row>
    <row r="3063" spans="18:61">
      <c r="R3063" s="6"/>
      <c r="AS3063" s="15"/>
      <c r="AZ3063" s="9"/>
      <c r="BC3063" s="9"/>
      <c r="BF3063" s="9"/>
      <c r="BI3063" s="9"/>
    </row>
    <row r="3064" spans="18:61">
      <c r="R3064" s="6"/>
      <c r="AS3064" s="15"/>
      <c r="AZ3064" s="9"/>
      <c r="BC3064" s="9"/>
      <c r="BF3064" s="9"/>
      <c r="BI3064" s="9"/>
    </row>
    <row r="3065" spans="18:61">
      <c r="R3065" s="6"/>
      <c r="AS3065" s="15"/>
      <c r="AZ3065" s="9"/>
      <c r="BC3065" s="9"/>
      <c r="BF3065" s="9"/>
      <c r="BI3065" s="9"/>
    </row>
    <row r="3066" spans="18:61">
      <c r="R3066" s="6"/>
      <c r="AS3066" s="15"/>
      <c r="AZ3066" s="9"/>
      <c r="BC3066" s="9"/>
      <c r="BF3066" s="9"/>
      <c r="BI3066" s="9"/>
    </row>
    <row r="3067" spans="18:61">
      <c r="R3067" s="6"/>
      <c r="AS3067" s="15"/>
      <c r="AZ3067" s="9"/>
      <c r="BC3067" s="9"/>
      <c r="BF3067" s="9"/>
      <c r="BI3067" s="9"/>
    </row>
    <row r="3068" spans="18:61">
      <c r="R3068" s="6"/>
      <c r="AS3068" s="15"/>
      <c r="AZ3068" s="9"/>
      <c r="BC3068" s="9"/>
      <c r="BF3068" s="9"/>
      <c r="BI3068" s="9"/>
    </row>
    <row r="3069" spans="18:61">
      <c r="R3069" s="6"/>
      <c r="AS3069" s="15"/>
      <c r="AZ3069" s="9"/>
      <c r="BC3069" s="9"/>
      <c r="BF3069" s="9"/>
      <c r="BI3069" s="9"/>
    </row>
    <row r="3070" spans="18:61">
      <c r="R3070" s="6"/>
      <c r="AS3070" s="15"/>
      <c r="AZ3070" s="9"/>
      <c r="BC3070" s="9"/>
      <c r="BF3070" s="9"/>
      <c r="BI3070" s="9"/>
    </row>
    <row r="3071" spans="18:61">
      <c r="R3071" s="6"/>
      <c r="AS3071" s="15"/>
      <c r="AZ3071" s="9"/>
      <c r="BC3071" s="9"/>
      <c r="BF3071" s="9"/>
      <c r="BI3071" s="9"/>
    </row>
    <row r="3072" spans="18:61">
      <c r="R3072" s="6"/>
      <c r="AS3072" s="15"/>
      <c r="AZ3072" s="9"/>
      <c r="BC3072" s="9"/>
      <c r="BF3072" s="9"/>
      <c r="BI3072" s="9"/>
    </row>
    <row r="3073" spans="18:61">
      <c r="R3073" s="6"/>
      <c r="AS3073" s="15"/>
      <c r="AZ3073" s="9"/>
      <c r="BC3073" s="9"/>
      <c r="BF3073" s="9"/>
      <c r="BI3073" s="9"/>
    </row>
    <row r="3074" spans="18:61">
      <c r="R3074" s="6"/>
      <c r="AS3074" s="15"/>
      <c r="AZ3074" s="9"/>
      <c r="BC3074" s="9"/>
      <c r="BF3074" s="9"/>
      <c r="BI3074" s="9"/>
    </row>
    <row r="3075" spans="18:61">
      <c r="R3075" s="6"/>
      <c r="AS3075" s="15"/>
      <c r="AZ3075" s="9"/>
      <c r="BC3075" s="9"/>
      <c r="BF3075" s="9"/>
      <c r="BI3075" s="9"/>
    </row>
    <row r="3076" spans="18:61">
      <c r="R3076" s="6"/>
      <c r="AS3076" s="15"/>
      <c r="AZ3076" s="9"/>
      <c r="BC3076" s="9"/>
      <c r="BF3076" s="9"/>
      <c r="BI3076" s="9"/>
    </row>
    <row r="3077" spans="18:61">
      <c r="R3077" s="6"/>
      <c r="AS3077" s="15"/>
      <c r="AZ3077" s="9"/>
      <c r="BC3077" s="9"/>
      <c r="BF3077" s="9"/>
      <c r="BI3077" s="9"/>
    </row>
    <row r="3078" spans="18:61">
      <c r="R3078" s="6"/>
      <c r="AS3078" s="15"/>
      <c r="AZ3078" s="9"/>
      <c r="BC3078" s="9"/>
      <c r="BF3078" s="9"/>
      <c r="BI3078" s="9"/>
    </row>
    <row r="3079" spans="18:61">
      <c r="R3079" s="6"/>
      <c r="AS3079" s="15"/>
      <c r="AZ3079" s="9"/>
      <c r="BC3079" s="9"/>
      <c r="BF3079" s="9"/>
      <c r="BI3079" s="9"/>
    </row>
    <row r="3080" spans="18:61">
      <c r="R3080" s="6"/>
      <c r="AS3080" s="15"/>
      <c r="AZ3080" s="9"/>
      <c r="BC3080" s="9"/>
      <c r="BF3080" s="9"/>
      <c r="BI3080" s="9"/>
    </row>
    <row r="3081" spans="18:61">
      <c r="R3081" s="6"/>
      <c r="AS3081" s="15"/>
      <c r="AZ3081" s="9"/>
      <c r="BC3081" s="9"/>
      <c r="BF3081" s="9"/>
      <c r="BI3081" s="9"/>
    </row>
    <row r="3082" spans="18:61">
      <c r="R3082" s="6"/>
      <c r="AS3082" s="15"/>
      <c r="AZ3082" s="9"/>
      <c r="BC3082" s="9"/>
      <c r="BF3082" s="9"/>
      <c r="BI3082" s="9"/>
    </row>
    <row r="3083" spans="18:61">
      <c r="R3083" s="6"/>
      <c r="AS3083" s="15"/>
      <c r="AZ3083" s="9"/>
      <c r="BC3083" s="9"/>
      <c r="BF3083" s="9"/>
      <c r="BI3083" s="9"/>
    </row>
    <row r="3084" spans="18:61">
      <c r="R3084" s="6"/>
      <c r="AS3084" s="15"/>
      <c r="AZ3084" s="9"/>
      <c r="BC3084" s="9"/>
      <c r="BF3084" s="9"/>
      <c r="BI3084" s="9"/>
    </row>
    <row r="3085" spans="18:61">
      <c r="R3085" s="6"/>
      <c r="AS3085" s="15"/>
      <c r="AZ3085" s="9"/>
      <c r="BC3085" s="9"/>
      <c r="BF3085" s="9"/>
      <c r="BI3085" s="9"/>
    </row>
    <row r="3086" spans="18:61">
      <c r="R3086" s="6"/>
      <c r="AS3086" s="15"/>
      <c r="AZ3086" s="9"/>
      <c r="BC3086" s="9"/>
      <c r="BF3086" s="9"/>
      <c r="BI3086" s="9"/>
    </row>
    <row r="3087" spans="18:61">
      <c r="R3087" s="6"/>
      <c r="AS3087" s="15"/>
      <c r="AZ3087" s="9"/>
      <c r="BC3087" s="9"/>
      <c r="BF3087" s="9"/>
      <c r="BI3087" s="9"/>
    </row>
    <row r="3088" spans="18:61">
      <c r="R3088" s="6"/>
      <c r="AS3088" s="15"/>
      <c r="AZ3088" s="9"/>
      <c r="BC3088" s="9"/>
      <c r="BF3088" s="9"/>
      <c r="BI3088" s="9"/>
    </row>
    <row r="3089" spans="18:61">
      <c r="R3089" s="6"/>
      <c r="AS3089" s="15"/>
      <c r="AZ3089" s="9"/>
      <c r="BC3089" s="9"/>
      <c r="BF3089" s="9"/>
      <c r="BI3089" s="9"/>
    </row>
    <row r="3090" spans="18:61">
      <c r="R3090" s="6"/>
      <c r="AS3090" s="15"/>
      <c r="AZ3090" s="9"/>
      <c r="BC3090" s="9"/>
      <c r="BF3090" s="9"/>
      <c r="BI3090" s="9"/>
    </row>
    <row r="3091" spans="18:61">
      <c r="R3091" s="6"/>
      <c r="AS3091" s="15"/>
      <c r="AZ3091" s="9"/>
      <c r="BC3091" s="9"/>
      <c r="BF3091" s="9"/>
      <c r="BI3091" s="9"/>
    </row>
    <row r="3092" spans="18:61">
      <c r="R3092" s="6"/>
      <c r="AS3092" s="15"/>
      <c r="AZ3092" s="9"/>
      <c r="BC3092" s="9"/>
      <c r="BF3092" s="9"/>
      <c r="BI3092" s="9"/>
    </row>
    <row r="3093" spans="18:61">
      <c r="R3093" s="6"/>
      <c r="AS3093" s="15"/>
      <c r="AZ3093" s="9"/>
      <c r="BC3093" s="9"/>
      <c r="BF3093" s="9"/>
      <c r="BI3093" s="9"/>
    </row>
    <row r="3094" spans="18:61">
      <c r="R3094" s="6"/>
      <c r="AS3094" s="15"/>
      <c r="AZ3094" s="9"/>
      <c r="BC3094" s="9"/>
      <c r="BF3094" s="9"/>
      <c r="BI3094" s="9"/>
    </row>
    <row r="3095" spans="18:61">
      <c r="R3095" s="6"/>
      <c r="AS3095" s="15"/>
      <c r="AZ3095" s="9"/>
      <c r="BC3095" s="9"/>
      <c r="BF3095" s="9"/>
      <c r="BI3095" s="9"/>
    </row>
    <row r="3096" spans="18:61">
      <c r="R3096" s="6"/>
      <c r="AS3096" s="15"/>
      <c r="AZ3096" s="9"/>
      <c r="BC3096" s="9"/>
      <c r="BF3096" s="9"/>
      <c r="BI3096" s="9"/>
    </row>
    <row r="3097" spans="18:61">
      <c r="R3097" s="6"/>
      <c r="AS3097" s="15"/>
      <c r="AZ3097" s="9"/>
      <c r="BC3097" s="9"/>
      <c r="BF3097" s="9"/>
      <c r="BI3097" s="9"/>
    </row>
    <row r="3098" spans="18:61">
      <c r="R3098" s="6"/>
      <c r="AS3098" s="15"/>
      <c r="AZ3098" s="9"/>
      <c r="BC3098" s="9"/>
      <c r="BF3098" s="9"/>
      <c r="BI3098" s="9"/>
    </row>
    <row r="3099" spans="18:61">
      <c r="R3099" s="6"/>
      <c r="AS3099" s="15"/>
      <c r="AZ3099" s="9"/>
      <c r="BC3099" s="9"/>
      <c r="BF3099" s="9"/>
      <c r="BI3099" s="9"/>
    </row>
    <row r="3100" spans="18:61">
      <c r="R3100" s="6"/>
      <c r="AS3100" s="15"/>
      <c r="AZ3100" s="9"/>
      <c r="BC3100" s="9"/>
      <c r="BF3100" s="9"/>
      <c r="BI3100" s="9"/>
    </row>
    <row r="3101" spans="18:61">
      <c r="R3101" s="6"/>
      <c r="AS3101" s="15"/>
      <c r="AZ3101" s="9"/>
      <c r="BC3101" s="9"/>
      <c r="BF3101" s="9"/>
      <c r="BI3101" s="9"/>
    </row>
    <row r="3102" spans="18:61">
      <c r="R3102" s="6"/>
      <c r="AS3102" s="15"/>
      <c r="AZ3102" s="9"/>
      <c r="BC3102" s="9"/>
      <c r="BF3102" s="9"/>
      <c r="BI3102" s="9"/>
    </row>
    <row r="3103" spans="18:61">
      <c r="R3103" s="6"/>
      <c r="AS3103" s="15"/>
      <c r="AZ3103" s="9"/>
      <c r="BC3103" s="9"/>
      <c r="BF3103" s="9"/>
      <c r="BI3103" s="9"/>
    </row>
    <row r="3104" spans="18:61">
      <c r="R3104" s="6"/>
      <c r="AS3104" s="15"/>
      <c r="AZ3104" s="9"/>
      <c r="BC3104" s="9"/>
      <c r="BF3104" s="9"/>
      <c r="BI3104" s="9"/>
    </row>
    <row r="3105" spans="18:61">
      <c r="R3105" s="6"/>
      <c r="AS3105" s="15"/>
      <c r="AZ3105" s="9"/>
      <c r="BC3105" s="9"/>
      <c r="BF3105" s="9"/>
      <c r="BI3105" s="9"/>
    </row>
    <row r="3106" spans="18:61">
      <c r="R3106" s="6"/>
      <c r="AS3106" s="15"/>
      <c r="AZ3106" s="9"/>
      <c r="BC3106" s="9"/>
      <c r="BF3106" s="9"/>
      <c r="BI3106" s="9"/>
    </row>
    <row r="3107" spans="18:61">
      <c r="R3107" s="6"/>
      <c r="AS3107" s="15"/>
      <c r="AZ3107" s="9"/>
      <c r="BC3107" s="9"/>
      <c r="BF3107" s="9"/>
      <c r="BI3107" s="9"/>
    </row>
    <row r="3108" spans="18:61">
      <c r="R3108" s="6"/>
      <c r="AS3108" s="15"/>
      <c r="AZ3108" s="9"/>
      <c r="BC3108" s="9"/>
      <c r="BF3108" s="9"/>
      <c r="BI3108" s="9"/>
    </row>
    <row r="3109" spans="18:61">
      <c r="R3109" s="6"/>
      <c r="AS3109" s="15"/>
      <c r="AZ3109" s="9"/>
      <c r="BC3109" s="9"/>
      <c r="BF3109" s="9"/>
      <c r="BI3109" s="9"/>
    </row>
    <row r="3110" spans="18:61">
      <c r="R3110" s="6"/>
      <c r="AS3110" s="15"/>
      <c r="AZ3110" s="9"/>
      <c r="BC3110" s="9"/>
      <c r="BF3110" s="9"/>
      <c r="BI3110" s="9"/>
    </row>
    <row r="3111" spans="18:61">
      <c r="R3111" s="6"/>
      <c r="AS3111" s="15"/>
      <c r="AZ3111" s="9"/>
      <c r="BC3111" s="9"/>
      <c r="BF3111" s="9"/>
      <c r="BI3111" s="9"/>
    </row>
    <row r="3112" spans="18:61">
      <c r="R3112" s="6"/>
      <c r="AS3112" s="15"/>
      <c r="AZ3112" s="9"/>
      <c r="BC3112" s="9"/>
      <c r="BF3112" s="9"/>
      <c r="BI3112" s="9"/>
    </row>
    <row r="3113" spans="18:61">
      <c r="R3113" s="6"/>
      <c r="AS3113" s="15"/>
      <c r="AZ3113" s="9"/>
      <c r="BC3113" s="9"/>
      <c r="BF3113" s="9"/>
      <c r="BI3113" s="9"/>
    </row>
    <row r="3114" spans="18:61">
      <c r="R3114" s="6"/>
      <c r="AS3114" s="15"/>
      <c r="AZ3114" s="9"/>
      <c r="BC3114" s="9"/>
      <c r="BF3114" s="9"/>
      <c r="BI3114" s="9"/>
    </row>
    <row r="3115" spans="18:61">
      <c r="R3115" s="6"/>
      <c r="AS3115" s="15"/>
      <c r="AZ3115" s="9"/>
      <c r="BC3115" s="9"/>
      <c r="BF3115" s="9"/>
      <c r="BI3115" s="9"/>
    </row>
    <row r="3116" spans="18:61">
      <c r="R3116" s="6"/>
      <c r="AS3116" s="15"/>
      <c r="AZ3116" s="9"/>
      <c r="BC3116" s="9"/>
      <c r="BF3116" s="9"/>
      <c r="BI3116" s="9"/>
    </row>
    <row r="3117" spans="18:61">
      <c r="R3117" s="6"/>
      <c r="AS3117" s="15"/>
      <c r="AZ3117" s="9"/>
      <c r="BC3117" s="9"/>
      <c r="BF3117" s="9"/>
      <c r="BI3117" s="9"/>
    </row>
    <row r="3118" spans="18:61">
      <c r="R3118" s="6"/>
      <c r="AS3118" s="15"/>
      <c r="AZ3118" s="9"/>
      <c r="BC3118" s="9"/>
      <c r="BF3118" s="9"/>
      <c r="BI3118" s="9"/>
    </row>
    <row r="3119" spans="18:61">
      <c r="R3119" s="6"/>
      <c r="AS3119" s="15"/>
      <c r="AZ3119" s="9"/>
      <c r="BC3119" s="9"/>
      <c r="BF3119" s="9"/>
      <c r="BI3119" s="9"/>
    </row>
    <row r="3120" spans="18:61">
      <c r="R3120" s="6"/>
      <c r="AS3120" s="15"/>
      <c r="AZ3120" s="9"/>
      <c r="BC3120" s="9"/>
      <c r="BF3120" s="9"/>
      <c r="BI3120" s="9"/>
    </row>
    <row r="3121" spans="18:61">
      <c r="R3121" s="6"/>
      <c r="AS3121" s="15"/>
      <c r="AZ3121" s="9"/>
      <c r="BC3121" s="9"/>
      <c r="BF3121" s="9"/>
      <c r="BI3121" s="9"/>
    </row>
    <row r="3122" spans="18:61">
      <c r="R3122" s="6"/>
      <c r="AS3122" s="15"/>
      <c r="AZ3122" s="9"/>
      <c r="BC3122" s="9"/>
      <c r="BF3122" s="9"/>
      <c r="BI3122" s="9"/>
    </row>
    <row r="3123" spans="18:61">
      <c r="R3123" s="6"/>
      <c r="AS3123" s="15"/>
      <c r="AZ3123" s="9"/>
      <c r="BC3123" s="9"/>
      <c r="BF3123" s="9"/>
      <c r="BI3123" s="9"/>
    </row>
    <row r="3124" spans="18:61">
      <c r="R3124" s="6"/>
      <c r="AS3124" s="15"/>
      <c r="AZ3124" s="9"/>
      <c r="BC3124" s="9"/>
      <c r="BF3124" s="9"/>
      <c r="BI3124" s="9"/>
    </row>
    <row r="3125" spans="18:61">
      <c r="R3125" s="6"/>
      <c r="AS3125" s="15"/>
      <c r="AZ3125" s="9"/>
      <c r="BC3125" s="9"/>
      <c r="BF3125" s="9"/>
      <c r="BI3125" s="9"/>
    </row>
    <row r="3126" spans="18:61">
      <c r="R3126" s="6"/>
      <c r="AS3126" s="15"/>
      <c r="AZ3126" s="9"/>
      <c r="BC3126" s="9"/>
      <c r="BF3126" s="9"/>
      <c r="BI3126" s="9"/>
    </row>
    <row r="3127" spans="18:61">
      <c r="R3127" s="6"/>
      <c r="AS3127" s="15"/>
      <c r="AZ3127" s="9"/>
      <c r="BC3127" s="9"/>
      <c r="BF3127" s="9"/>
      <c r="BI3127" s="9"/>
    </row>
    <row r="3128" spans="18:61">
      <c r="R3128" s="6"/>
      <c r="AS3128" s="15"/>
      <c r="AZ3128" s="9"/>
      <c r="BC3128" s="9"/>
      <c r="BF3128" s="9"/>
      <c r="BI3128" s="9"/>
    </row>
    <row r="3129" spans="18:61">
      <c r="R3129" s="6"/>
      <c r="AS3129" s="15"/>
      <c r="AZ3129" s="9"/>
      <c r="BC3129" s="9"/>
      <c r="BF3129" s="9"/>
      <c r="BI3129" s="9"/>
    </row>
    <row r="3130" spans="18:61">
      <c r="R3130" s="6"/>
      <c r="AS3130" s="15"/>
      <c r="AZ3130" s="9"/>
      <c r="BC3130" s="9"/>
      <c r="BF3130" s="9"/>
      <c r="BI3130" s="9"/>
    </row>
    <row r="3131" spans="18:61">
      <c r="R3131" s="6"/>
      <c r="AS3131" s="15"/>
      <c r="AZ3131" s="9"/>
      <c r="BC3131" s="9"/>
      <c r="BF3131" s="9"/>
      <c r="BI3131" s="9"/>
    </row>
    <row r="3132" spans="18:61">
      <c r="R3132" s="6"/>
      <c r="AS3132" s="15"/>
      <c r="AZ3132" s="9"/>
      <c r="BC3132" s="9"/>
      <c r="BF3132" s="9"/>
      <c r="BI3132" s="9"/>
    </row>
    <row r="3133" spans="18:61">
      <c r="R3133" s="6"/>
      <c r="AS3133" s="15"/>
      <c r="AZ3133" s="9"/>
      <c r="BC3133" s="9"/>
      <c r="BF3133" s="9"/>
      <c r="BI3133" s="9"/>
    </row>
    <row r="3134" spans="18:61">
      <c r="R3134" s="6"/>
      <c r="AS3134" s="15"/>
      <c r="AZ3134" s="9"/>
      <c r="BC3134" s="9"/>
      <c r="BF3134" s="9"/>
      <c r="BI3134" s="9"/>
    </row>
    <row r="3135" spans="18:61">
      <c r="R3135" s="6"/>
      <c r="AS3135" s="15"/>
      <c r="AZ3135" s="9"/>
      <c r="BC3135" s="9"/>
      <c r="BF3135" s="9"/>
      <c r="BI3135" s="9"/>
    </row>
    <row r="3136" spans="18:61">
      <c r="R3136" s="6"/>
      <c r="AS3136" s="15"/>
      <c r="AZ3136" s="9"/>
      <c r="BC3136" s="9"/>
      <c r="BF3136" s="9"/>
      <c r="BI3136" s="9"/>
    </row>
    <row r="3137" spans="18:61">
      <c r="R3137" s="6"/>
      <c r="AS3137" s="15"/>
      <c r="AZ3137" s="9"/>
      <c r="BC3137" s="9"/>
      <c r="BF3137" s="9"/>
      <c r="BI3137" s="9"/>
    </row>
    <row r="3138" spans="18:61">
      <c r="R3138" s="6"/>
      <c r="AS3138" s="15"/>
      <c r="AZ3138" s="9"/>
      <c r="BC3138" s="9"/>
      <c r="BF3138" s="9"/>
      <c r="BI3138" s="9"/>
    </row>
    <row r="3139" spans="18:61">
      <c r="R3139" s="6"/>
      <c r="AS3139" s="15"/>
      <c r="AZ3139" s="9"/>
      <c r="BC3139" s="9"/>
      <c r="BF3139" s="9"/>
      <c r="BI3139" s="9"/>
    </row>
    <row r="3140" spans="18:61">
      <c r="R3140" s="6"/>
      <c r="AS3140" s="15"/>
      <c r="AZ3140" s="9"/>
      <c r="BC3140" s="9"/>
      <c r="BF3140" s="9"/>
      <c r="BI3140" s="9"/>
    </row>
    <row r="3141" spans="18:61">
      <c r="R3141" s="6"/>
      <c r="AS3141" s="15"/>
      <c r="AZ3141" s="9"/>
      <c r="BC3141" s="9"/>
      <c r="BF3141" s="9"/>
      <c r="BI3141" s="9"/>
    </row>
    <row r="3142" spans="18:61">
      <c r="R3142" s="6"/>
      <c r="AS3142" s="15"/>
      <c r="AZ3142" s="9"/>
      <c r="BC3142" s="9"/>
      <c r="BF3142" s="9"/>
      <c r="BI3142" s="9"/>
    </row>
    <row r="3143" spans="18:61">
      <c r="R3143" s="6"/>
      <c r="AS3143" s="15"/>
      <c r="AZ3143" s="9"/>
      <c r="BC3143" s="9"/>
      <c r="BF3143" s="9"/>
      <c r="BI3143" s="9"/>
    </row>
    <row r="3144" spans="18:61">
      <c r="R3144" s="6"/>
      <c r="AS3144" s="15"/>
      <c r="AZ3144" s="9"/>
      <c r="BC3144" s="9"/>
      <c r="BF3144" s="9"/>
      <c r="BI3144" s="9"/>
    </row>
    <row r="3145" spans="18:61">
      <c r="R3145" s="6"/>
      <c r="AS3145" s="15"/>
      <c r="AZ3145" s="9"/>
      <c r="BC3145" s="9"/>
      <c r="BF3145" s="9"/>
      <c r="BI3145" s="9"/>
    </row>
    <row r="3146" spans="18:61">
      <c r="R3146" s="6"/>
      <c r="AS3146" s="15"/>
      <c r="AZ3146" s="9"/>
      <c r="BC3146" s="9"/>
      <c r="BF3146" s="9"/>
      <c r="BI3146" s="9"/>
    </row>
    <row r="3147" spans="18:61">
      <c r="R3147" s="6"/>
      <c r="AS3147" s="15"/>
      <c r="AZ3147" s="9"/>
      <c r="BC3147" s="9"/>
      <c r="BF3147" s="9"/>
      <c r="BI3147" s="9"/>
    </row>
    <row r="3148" spans="18:61">
      <c r="R3148" s="6"/>
      <c r="AS3148" s="15"/>
      <c r="AZ3148" s="9"/>
      <c r="BC3148" s="9"/>
      <c r="BF3148" s="9"/>
      <c r="BI3148" s="9"/>
    </row>
    <row r="3149" spans="18:61">
      <c r="R3149" s="6"/>
      <c r="AS3149" s="15"/>
      <c r="AZ3149" s="9"/>
      <c r="BC3149" s="9"/>
      <c r="BF3149" s="9"/>
      <c r="BI3149" s="9"/>
    </row>
    <row r="3150" spans="18:61">
      <c r="R3150" s="6"/>
      <c r="AS3150" s="15"/>
      <c r="AZ3150" s="9"/>
      <c r="BC3150" s="9"/>
      <c r="BF3150" s="9"/>
      <c r="BI3150" s="9"/>
    </row>
    <row r="3151" spans="18:61">
      <c r="R3151" s="6"/>
      <c r="AS3151" s="15"/>
      <c r="AZ3151" s="9"/>
      <c r="BC3151" s="9"/>
      <c r="BF3151" s="9"/>
      <c r="BI3151" s="9"/>
    </row>
    <row r="3152" spans="18:61">
      <c r="R3152" s="6"/>
      <c r="AS3152" s="15"/>
      <c r="AZ3152" s="9"/>
      <c r="BC3152" s="9"/>
      <c r="BF3152" s="9"/>
      <c r="BI3152" s="9"/>
    </row>
    <row r="3153" spans="18:61">
      <c r="R3153" s="6"/>
      <c r="AS3153" s="15"/>
      <c r="AZ3153" s="9"/>
      <c r="BC3153" s="9"/>
      <c r="BF3153" s="9"/>
      <c r="BI3153" s="9"/>
    </row>
    <row r="3154" spans="18:61">
      <c r="R3154" s="6"/>
      <c r="AS3154" s="15"/>
      <c r="AZ3154" s="9"/>
      <c r="BC3154" s="9"/>
      <c r="BF3154" s="9"/>
      <c r="BI3154" s="9"/>
    </row>
    <row r="3155" spans="18:61">
      <c r="R3155" s="6"/>
      <c r="AS3155" s="15"/>
      <c r="AZ3155" s="9"/>
      <c r="BC3155" s="9"/>
      <c r="BF3155" s="9"/>
      <c r="BI3155" s="9"/>
    </row>
    <row r="3156" spans="18:61">
      <c r="R3156" s="6"/>
      <c r="AS3156" s="15"/>
      <c r="AZ3156" s="9"/>
      <c r="BC3156" s="9"/>
      <c r="BF3156" s="9"/>
      <c r="BI3156" s="9"/>
    </row>
    <row r="3157" spans="18:61">
      <c r="R3157" s="6"/>
      <c r="AS3157" s="15"/>
      <c r="AZ3157" s="9"/>
      <c r="BC3157" s="9"/>
      <c r="BF3157" s="9"/>
      <c r="BI3157" s="9"/>
    </row>
    <row r="3158" spans="18:61">
      <c r="R3158" s="6"/>
      <c r="AS3158" s="15"/>
      <c r="AZ3158" s="9"/>
      <c r="BC3158" s="9"/>
      <c r="BF3158" s="9"/>
      <c r="BI3158" s="9"/>
    </row>
    <row r="3159" spans="18:61">
      <c r="R3159" s="6"/>
      <c r="AS3159" s="15"/>
      <c r="AZ3159" s="9"/>
      <c r="BC3159" s="9"/>
      <c r="BF3159" s="9"/>
      <c r="BI3159" s="9"/>
    </row>
    <row r="3160" spans="18:61">
      <c r="R3160" s="6"/>
      <c r="AS3160" s="15"/>
      <c r="AZ3160" s="9"/>
      <c r="BC3160" s="9"/>
      <c r="BF3160" s="9"/>
      <c r="BI3160" s="9"/>
    </row>
    <row r="3161" spans="18:61">
      <c r="R3161" s="6"/>
      <c r="AS3161" s="15"/>
      <c r="AZ3161" s="9"/>
      <c r="BC3161" s="9"/>
      <c r="BF3161" s="9"/>
      <c r="BI3161" s="9"/>
    </row>
    <row r="3162" spans="18:61">
      <c r="R3162" s="6"/>
      <c r="AS3162" s="15"/>
      <c r="AZ3162" s="9"/>
      <c r="BC3162" s="9"/>
      <c r="BF3162" s="9"/>
      <c r="BI3162" s="9"/>
    </row>
    <row r="3163" spans="18:61">
      <c r="R3163" s="6"/>
      <c r="AS3163" s="15"/>
      <c r="AZ3163" s="9"/>
      <c r="BC3163" s="9"/>
      <c r="BF3163" s="9"/>
      <c r="BI3163" s="9"/>
    </row>
    <row r="3164" spans="18:61">
      <c r="R3164" s="6"/>
      <c r="AS3164" s="15"/>
      <c r="AZ3164" s="9"/>
      <c r="BC3164" s="9"/>
      <c r="BF3164" s="9"/>
      <c r="BI3164" s="9"/>
    </row>
    <row r="3165" spans="18:61">
      <c r="R3165" s="6"/>
      <c r="AS3165" s="15"/>
      <c r="AZ3165" s="9"/>
      <c r="BC3165" s="9"/>
      <c r="BF3165" s="9"/>
      <c r="BI3165" s="9"/>
    </row>
    <row r="3166" spans="18:61">
      <c r="R3166" s="6"/>
      <c r="AS3166" s="15"/>
      <c r="AZ3166" s="9"/>
      <c r="BC3166" s="9"/>
      <c r="BF3166" s="9"/>
      <c r="BI3166" s="9"/>
    </row>
    <row r="3167" spans="18:61">
      <c r="R3167" s="6"/>
      <c r="AS3167" s="15"/>
      <c r="AZ3167" s="9"/>
      <c r="BC3167" s="9"/>
      <c r="BF3167" s="9"/>
      <c r="BI3167" s="9"/>
    </row>
    <row r="3168" spans="18:61">
      <c r="R3168" s="6"/>
      <c r="AS3168" s="15"/>
      <c r="AZ3168" s="9"/>
      <c r="BC3168" s="9"/>
      <c r="BF3168" s="9"/>
      <c r="BI3168" s="9"/>
    </row>
    <row r="3169" spans="18:61">
      <c r="R3169" s="6"/>
      <c r="AS3169" s="15"/>
      <c r="AZ3169" s="9"/>
      <c r="BC3169" s="9"/>
      <c r="BF3169" s="9"/>
      <c r="BI3169" s="9"/>
    </row>
    <row r="3170" spans="18:61">
      <c r="R3170" s="6"/>
      <c r="AS3170" s="15"/>
      <c r="AZ3170" s="9"/>
      <c r="BC3170" s="9"/>
      <c r="BF3170" s="9"/>
      <c r="BI3170" s="9"/>
    </row>
    <row r="3171" spans="18:61">
      <c r="R3171" s="6"/>
      <c r="AS3171" s="15"/>
      <c r="AZ3171" s="9"/>
      <c r="BC3171" s="9"/>
      <c r="BF3171" s="9"/>
      <c r="BI3171" s="9"/>
    </row>
    <row r="3172" spans="18:61">
      <c r="R3172" s="6"/>
      <c r="AS3172" s="15"/>
      <c r="AZ3172" s="9"/>
      <c r="BC3172" s="9"/>
      <c r="BF3172" s="9"/>
      <c r="BI3172" s="9"/>
    </row>
    <row r="3173" spans="18:61">
      <c r="R3173" s="6"/>
      <c r="AS3173" s="15"/>
      <c r="AZ3173" s="9"/>
      <c r="BC3173" s="9"/>
      <c r="BF3173" s="9"/>
      <c r="BI3173" s="9"/>
    </row>
    <row r="3174" spans="18:61">
      <c r="R3174" s="6"/>
      <c r="AS3174" s="15"/>
      <c r="AZ3174" s="9"/>
      <c r="BC3174" s="9"/>
      <c r="BF3174" s="9"/>
      <c r="BI3174" s="9"/>
    </row>
    <row r="3175" spans="18:61">
      <c r="R3175" s="6"/>
      <c r="AS3175" s="15"/>
      <c r="AZ3175" s="9"/>
      <c r="BC3175" s="9"/>
      <c r="BF3175" s="9"/>
      <c r="BI3175" s="9"/>
    </row>
    <row r="3176" spans="18:61">
      <c r="R3176" s="6"/>
      <c r="AS3176" s="15"/>
      <c r="AZ3176" s="9"/>
      <c r="BC3176" s="9"/>
      <c r="BF3176" s="9"/>
      <c r="BI3176" s="9"/>
    </row>
    <row r="3177" spans="18:61">
      <c r="R3177" s="6"/>
      <c r="AS3177" s="15"/>
      <c r="AZ3177" s="9"/>
      <c r="BC3177" s="9"/>
      <c r="BF3177" s="9"/>
      <c r="BI3177" s="9"/>
    </row>
    <row r="3178" spans="18:61">
      <c r="R3178" s="6"/>
      <c r="AS3178" s="15"/>
      <c r="AZ3178" s="9"/>
      <c r="BC3178" s="9"/>
      <c r="BF3178" s="9"/>
      <c r="BI3178" s="9"/>
    </row>
    <row r="3179" spans="18:61">
      <c r="R3179" s="6"/>
      <c r="AS3179" s="15"/>
      <c r="AZ3179" s="9"/>
      <c r="BC3179" s="9"/>
      <c r="BF3179" s="9"/>
      <c r="BI3179" s="9"/>
    </row>
    <row r="3180" spans="18:61">
      <c r="R3180" s="6"/>
      <c r="AS3180" s="15"/>
      <c r="AZ3180" s="9"/>
      <c r="BC3180" s="9"/>
      <c r="BF3180" s="9"/>
      <c r="BI3180" s="9"/>
    </row>
    <row r="3181" spans="18:61">
      <c r="R3181" s="6"/>
      <c r="AS3181" s="15"/>
      <c r="AZ3181" s="9"/>
      <c r="BC3181" s="9"/>
      <c r="BF3181" s="9"/>
      <c r="BI3181" s="9"/>
    </row>
    <row r="3182" spans="18:61">
      <c r="R3182" s="6"/>
      <c r="AS3182" s="15"/>
      <c r="AZ3182" s="9"/>
      <c r="BC3182" s="9"/>
      <c r="BF3182" s="9"/>
      <c r="BI3182" s="9"/>
    </row>
    <row r="3183" spans="18:61">
      <c r="R3183" s="6"/>
      <c r="AS3183" s="15"/>
      <c r="AZ3183" s="9"/>
      <c r="BC3183" s="9"/>
      <c r="BF3183" s="9"/>
      <c r="BI3183" s="9"/>
    </row>
    <row r="3184" spans="18:61">
      <c r="R3184" s="6"/>
      <c r="AS3184" s="15"/>
      <c r="AZ3184" s="9"/>
      <c r="BC3184" s="9"/>
      <c r="BF3184" s="9"/>
      <c r="BI3184" s="9"/>
    </row>
    <row r="3185" spans="18:61">
      <c r="R3185" s="6"/>
      <c r="AS3185" s="15"/>
      <c r="AZ3185" s="9"/>
      <c r="BC3185" s="9"/>
      <c r="BF3185" s="9"/>
      <c r="BI3185" s="9"/>
    </row>
    <row r="3186" spans="18:61">
      <c r="R3186" s="6"/>
      <c r="AS3186" s="15"/>
      <c r="AZ3186" s="9"/>
      <c r="BC3186" s="9"/>
      <c r="BF3186" s="9"/>
      <c r="BI3186" s="9"/>
    </row>
    <row r="3187" spans="18:61">
      <c r="R3187" s="6"/>
      <c r="AS3187" s="15"/>
      <c r="AZ3187" s="9"/>
      <c r="BC3187" s="9"/>
      <c r="BF3187" s="9"/>
      <c r="BI3187" s="9"/>
    </row>
    <row r="3188" spans="18:61">
      <c r="R3188" s="6"/>
      <c r="AS3188" s="15"/>
      <c r="AZ3188" s="9"/>
      <c r="BC3188" s="9"/>
      <c r="BF3188" s="9"/>
      <c r="BI3188" s="9"/>
    </row>
    <row r="3189" spans="18:61">
      <c r="R3189" s="6"/>
      <c r="AS3189" s="15"/>
      <c r="AZ3189" s="9"/>
      <c r="BC3189" s="9"/>
      <c r="BF3189" s="9"/>
      <c r="BI3189" s="9"/>
    </row>
    <row r="3190" spans="18:61">
      <c r="R3190" s="6"/>
      <c r="AS3190" s="15"/>
      <c r="AZ3190" s="9"/>
      <c r="BC3190" s="9"/>
      <c r="BF3190" s="9"/>
      <c r="BI3190" s="9"/>
    </row>
    <row r="3191" spans="18:61">
      <c r="R3191" s="6"/>
      <c r="AS3191" s="15"/>
      <c r="AZ3191" s="9"/>
      <c r="BC3191" s="9"/>
      <c r="BF3191" s="9"/>
      <c r="BI3191" s="9"/>
    </row>
    <row r="3192" spans="18:61">
      <c r="R3192" s="6"/>
      <c r="AS3192" s="15"/>
      <c r="AZ3192" s="9"/>
      <c r="BC3192" s="9"/>
      <c r="BF3192" s="9"/>
      <c r="BI3192" s="9"/>
    </row>
    <row r="3193" spans="18:61">
      <c r="R3193" s="6"/>
      <c r="AS3193" s="15"/>
      <c r="AZ3193" s="9"/>
      <c r="BC3193" s="9"/>
      <c r="BF3193" s="9"/>
      <c r="BI3193" s="9"/>
    </row>
    <row r="3194" spans="18:61">
      <c r="R3194" s="6"/>
      <c r="AS3194" s="15"/>
      <c r="AZ3194" s="9"/>
      <c r="BC3194" s="9"/>
      <c r="BF3194" s="9"/>
      <c r="BI3194" s="9"/>
    </row>
    <row r="3195" spans="18:61">
      <c r="R3195" s="6"/>
      <c r="AS3195" s="15"/>
      <c r="AZ3195" s="9"/>
      <c r="BC3195" s="9"/>
      <c r="BF3195" s="9"/>
      <c r="BI3195" s="9"/>
    </row>
    <row r="3196" spans="18:61">
      <c r="R3196" s="6"/>
      <c r="AS3196" s="15"/>
      <c r="AZ3196" s="9"/>
      <c r="BC3196" s="9"/>
      <c r="BF3196" s="9"/>
      <c r="BI3196" s="9"/>
    </row>
    <row r="3197" spans="18:61">
      <c r="R3197" s="6"/>
      <c r="AS3197" s="15"/>
      <c r="AZ3197" s="9"/>
      <c r="BC3197" s="9"/>
      <c r="BF3197" s="9"/>
      <c r="BI3197" s="9"/>
    </row>
    <row r="3198" spans="18:61">
      <c r="R3198" s="6"/>
      <c r="AS3198" s="15"/>
      <c r="AZ3198" s="9"/>
      <c r="BC3198" s="9"/>
      <c r="BF3198" s="9"/>
      <c r="BI3198" s="9"/>
    </row>
    <row r="3199" spans="18:61">
      <c r="R3199" s="6"/>
      <c r="AS3199" s="15"/>
      <c r="AZ3199" s="9"/>
      <c r="BC3199" s="9"/>
      <c r="BF3199" s="9"/>
      <c r="BI3199" s="9"/>
    </row>
    <row r="3200" spans="18:61">
      <c r="R3200" s="6"/>
      <c r="AS3200" s="15"/>
      <c r="AZ3200" s="9"/>
      <c r="BC3200" s="9"/>
      <c r="BF3200" s="9"/>
      <c r="BI3200" s="9"/>
    </row>
    <row r="3201" spans="18:61">
      <c r="R3201" s="6"/>
      <c r="AS3201" s="15"/>
      <c r="AZ3201" s="9"/>
      <c r="BC3201" s="9"/>
      <c r="BF3201" s="9"/>
      <c r="BI3201" s="9"/>
    </row>
    <row r="3202" spans="18:61">
      <c r="R3202" s="6"/>
      <c r="AS3202" s="15"/>
      <c r="AZ3202" s="9"/>
      <c r="BC3202" s="9"/>
      <c r="BF3202" s="9"/>
      <c r="BI3202" s="9"/>
    </row>
    <row r="3203" spans="18:61">
      <c r="R3203" s="6"/>
      <c r="AS3203" s="15"/>
      <c r="AZ3203" s="9"/>
      <c r="BC3203" s="9"/>
      <c r="BF3203" s="9"/>
      <c r="BI3203" s="9"/>
    </row>
    <row r="3204" spans="18:61">
      <c r="R3204" s="6"/>
      <c r="AS3204" s="15"/>
      <c r="AZ3204" s="9"/>
      <c r="BC3204" s="9"/>
      <c r="BF3204" s="9"/>
      <c r="BI3204" s="9"/>
    </row>
    <row r="3205" spans="18:61">
      <c r="R3205" s="6"/>
      <c r="AS3205" s="15"/>
      <c r="AZ3205" s="9"/>
      <c r="BC3205" s="9"/>
      <c r="BF3205" s="9"/>
      <c r="BI3205" s="9"/>
    </row>
    <row r="3206" spans="18:61">
      <c r="R3206" s="6"/>
      <c r="AS3206" s="15"/>
      <c r="AZ3206" s="9"/>
      <c r="BC3206" s="9"/>
      <c r="BF3206" s="9"/>
      <c r="BI3206" s="9"/>
    </row>
    <row r="3207" spans="18:61">
      <c r="R3207" s="6"/>
      <c r="AS3207" s="15"/>
      <c r="AZ3207" s="9"/>
      <c r="BC3207" s="9"/>
      <c r="BF3207" s="9"/>
      <c r="BI3207" s="9"/>
    </row>
    <row r="3208" spans="18:61">
      <c r="R3208" s="6"/>
      <c r="AS3208" s="15"/>
      <c r="AZ3208" s="9"/>
      <c r="BC3208" s="9"/>
      <c r="BF3208" s="9"/>
      <c r="BI3208" s="9"/>
    </row>
    <row r="3209" spans="18:61">
      <c r="R3209" s="6"/>
      <c r="AS3209" s="15"/>
      <c r="AZ3209" s="9"/>
      <c r="BC3209" s="9"/>
      <c r="BF3209" s="9"/>
      <c r="BI3209" s="9"/>
    </row>
    <row r="3210" spans="18:61">
      <c r="R3210" s="6"/>
      <c r="AS3210" s="15"/>
      <c r="AZ3210" s="9"/>
      <c r="BC3210" s="9"/>
      <c r="BF3210" s="9"/>
      <c r="BI3210" s="9"/>
    </row>
    <row r="3211" spans="18:61">
      <c r="R3211" s="6"/>
      <c r="AS3211" s="15"/>
      <c r="AZ3211" s="9"/>
      <c r="BC3211" s="9"/>
      <c r="BF3211" s="9"/>
      <c r="BI3211" s="9"/>
    </row>
    <row r="3212" spans="18:61">
      <c r="R3212" s="6"/>
      <c r="AS3212" s="15"/>
      <c r="AZ3212" s="9"/>
      <c r="BC3212" s="9"/>
      <c r="BF3212" s="9"/>
      <c r="BI3212" s="9"/>
    </row>
    <row r="3213" spans="18:61">
      <c r="R3213" s="6"/>
      <c r="AS3213" s="15"/>
      <c r="AZ3213" s="9"/>
      <c r="BC3213" s="9"/>
      <c r="BF3213" s="9"/>
      <c r="BI3213" s="9"/>
    </row>
    <row r="3214" spans="18:61">
      <c r="R3214" s="6"/>
      <c r="AS3214" s="15"/>
      <c r="AZ3214" s="9"/>
      <c r="BC3214" s="9"/>
      <c r="BF3214" s="9"/>
      <c r="BI3214" s="9"/>
    </row>
    <row r="3215" spans="18:61">
      <c r="R3215" s="6"/>
      <c r="AS3215" s="15"/>
      <c r="AZ3215" s="9"/>
      <c r="BC3215" s="9"/>
      <c r="BF3215" s="9"/>
      <c r="BI3215" s="9"/>
    </row>
    <row r="3216" spans="18:61">
      <c r="R3216" s="6"/>
      <c r="AS3216" s="15"/>
      <c r="AZ3216" s="9"/>
      <c r="BC3216" s="9"/>
      <c r="BF3216" s="9"/>
      <c r="BI3216" s="9"/>
    </row>
    <row r="3217" spans="18:61">
      <c r="R3217" s="6"/>
      <c r="AS3217" s="15"/>
      <c r="AZ3217" s="9"/>
      <c r="BC3217" s="9"/>
      <c r="BF3217" s="9"/>
      <c r="BI3217" s="9"/>
    </row>
    <row r="3218" spans="18:61">
      <c r="R3218" s="6"/>
      <c r="AS3218" s="15"/>
      <c r="AZ3218" s="9"/>
      <c r="BC3218" s="9"/>
      <c r="BF3218" s="9"/>
      <c r="BI3218" s="9"/>
    </row>
    <row r="3219" spans="18:61">
      <c r="R3219" s="6"/>
      <c r="AS3219" s="15"/>
      <c r="AZ3219" s="9"/>
      <c r="BC3219" s="9"/>
      <c r="BF3219" s="9"/>
      <c r="BI3219" s="9"/>
    </row>
    <row r="3220" spans="18:61">
      <c r="R3220" s="6"/>
      <c r="AS3220" s="15"/>
      <c r="AZ3220" s="9"/>
      <c r="BC3220" s="9"/>
      <c r="BF3220" s="9"/>
      <c r="BI3220" s="9"/>
    </row>
    <row r="3221" spans="18:61">
      <c r="R3221" s="6"/>
      <c r="AS3221" s="15"/>
      <c r="AZ3221" s="9"/>
      <c r="BC3221" s="9"/>
      <c r="BF3221" s="9"/>
      <c r="BI3221" s="9"/>
    </row>
    <row r="3222" spans="18:61">
      <c r="R3222" s="6"/>
      <c r="AS3222" s="15"/>
      <c r="AZ3222" s="9"/>
      <c r="BC3222" s="9"/>
      <c r="BF3222" s="9"/>
      <c r="BI3222" s="9"/>
    </row>
    <row r="3223" spans="18:61">
      <c r="R3223" s="6"/>
      <c r="AS3223" s="15"/>
      <c r="AZ3223" s="9"/>
      <c r="BC3223" s="9"/>
      <c r="BF3223" s="9"/>
      <c r="BI3223" s="9"/>
    </row>
    <row r="3224" spans="18:61">
      <c r="R3224" s="6"/>
      <c r="AS3224" s="15"/>
      <c r="AZ3224" s="9"/>
      <c r="BC3224" s="9"/>
      <c r="BF3224" s="9"/>
      <c r="BI3224" s="9"/>
    </row>
    <row r="3225" spans="18:61">
      <c r="R3225" s="6"/>
      <c r="AS3225" s="15"/>
      <c r="AZ3225" s="9"/>
      <c r="BC3225" s="9"/>
      <c r="BF3225" s="9"/>
      <c r="BI3225" s="9"/>
    </row>
    <row r="3226" spans="18:61">
      <c r="R3226" s="6"/>
      <c r="AS3226" s="15"/>
      <c r="AZ3226" s="9"/>
      <c r="BC3226" s="9"/>
      <c r="BF3226" s="9"/>
      <c r="BI3226" s="9"/>
    </row>
    <row r="3227" spans="18:61">
      <c r="R3227" s="6"/>
      <c r="AS3227" s="15"/>
      <c r="AZ3227" s="9"/>
      <c r="BC3227" s="9"/>
      <c r="BF3227" s="9"/>
      <c r="BI3227" s="9"/>
    </row>
    <row r="3228" spans="18:61">
      <c r="R3228" s="6"/>
      <c r="AS3228" s="15"/>
      <c r="AZ3228" s="9"/>
      <c r="BC3228" s="9"/>
      <c r="BF3228" s="9"/>
      <c r="BI3228" s="9"/>
    </row>
    <row r="3229" spans="18:61">
      <c r="R3229" s="6"/>
      <c r="AS3229" s="15"/>
      <c r="AZ3229" s="9"/>
      <c r="BC3229" s="9"/>
      <c r="BF3229" s="9"/>
      <c r="BI3229" s="9"/>
    </row>
    <row r="3230" spans="18:61">
      <c r="R3230" s="6"/>
      <c r="AS3230" s="15"/>
      <c r="AZ3230" s="9"/>
      <c r="BC3230" s="9"/>
      <c r="BF3230" s="9"/>
      <c r="BI3230" s="9"/>
    </row>
    <row r="3231" spans="18:61">
      <c r="R3231" s="6"/>
      <c r="AS3231" s="15"/>
      <c r="AZ3231" s="9"/>
      <c r="BC3231" s="9"/>
      <c r="BF3231" s="9"/>
      <c r="BI3231" s="9"/>
    </row>
    <row r="3232" spans="18:61">
      <c r="R3232" s="6"/>
      <c r="AS3232" s="15"/>
      <c r="AZ3232" s="9"/>
      <c r="BC3232" s="9"/>
      <c r="BF3232" s="9"/>
      <c r="BI3232" s="9"/>
    </row>
    <row r="3233" spans="18:61">
      <c r="R3233" s="6"/>
      <c r="AS3233" s="15"/>
      <c r="AZ3233" s="9"/>
      <c r="BC3233" s="9"/>
      <c r="BF3233" s="9"/>
      <c r="BI3233" s="9"/>
    </row>
    <row r="3234" spans="18:61">
      <c r="R3234" s="6"/>
      <c r="AS3234" s="15"/>
      <c r="AZ3234" s="9"/>
      <c r="BC3234" s="9"/>
      <c r="BF3234" s="9"/>
      <c r="BI3234" s="9"/>
    </row>
    <row r="3235" spans="18:61">
      <c r="R3235" s="6"/>
      <c r="AS3235" s="15"/>
      <c r="AZ3235" s="9"/>
      <c r="BC3235" s="9"/>
      <c r="BF3235" s="9"/>
      <c r="BI3235" s="9"/>
    </row>
    <row r="3236" spans="18:61">
      <c r="R3236" s="6"/>
      <c r="AS3236" s="15"/>
      <c r="AZ3236" s="9"/>
      <c r="BC3236" s="9"/>
      <c r="BF3236" s="9"/>
      <c r="BI3236" s="9"/>
    </row>
    <row r="3237" spans="18:61">
      <c r="R3237" s="6"/>
      <c r="AS3237" s="15"/>
      <c r="AZ3237" s="9"/>
      <c r="BC3237" s="9"/>
      <c r="BF3237" s="9"/>
      <c r="BI3237" s="9"/>
    </row>
    <row r="3238" spans="18:61">
      <c r="R3238" s="6"/>
      <c r="AS3238" s="15"/>
      <c r="AZ3238" s="9"/>
      <c r="BC3238" s="9"/>
      <c r="BF3238" s="9"/>
      <c r="BI3238" s="9"/>
    </row>
    <row r="3239" spans="18:61">
      <c r="R3239" s="6"/>
      <c r="AS3239" s="15"/>
      <c r="AZ3239" s="9"/>
      <c r="BC3239" s="9"/>
      <c r="BF3239" s="9"/>
      <c r="BI3239" s="9"/>
    </row>
    <row r="3240" spans="18:61">
      <c r="R3240" s="6"/>
      <c r="AS3240" s="15"/>
      <c r="AZ3240" s="9"/>
      <c r="BC3240" s="9"/>
      <c r="BF3240" s="9"/>
      <c r="BI3240" s="9"/>
    </row>
    <row r="3241" spans="18:61">
      <c r="R3241" s="6"/>
      <c r="AS3241" s="15"/>
      <c r="AZ3241" s="9"/>
      <c r="BC3241" s="9"/>
      <c r="BF3241" s="9"/>
      <c r="BI3241" s="9"/>
    </row>
    <row r="3242" spans="18:61">
      <c r="R3242" s="6"/>
      <c r="AS3242" s="15"/>
      <c r="AZ3242" s="9"/>
      <c r="BC3242" s="9"/>
      <c r="BF3242" s="9"/>
      <c r="BI3242" s="9"/>
    </row>
    <row r="3243" spans="18:61">
      <c r="R3243" s="6"/>
      <c r="AS3243" s="15"/>
      <c r="AZ3243" s="9"/>
      <c r="BC3243" s="9"/>
      <c r="BF3243" s="9"/>
      <c r="BI3243" s="9"/>
    </row>
    <row r="3244" spans="18:61">
      <c r="R3244" s="6"/>
      <c r="AS3244" s="15"/>
      <c r="AZ3244" s="9"/>
      <c r="BC3244" s="9"/>
      <c r="BF3244" s="9"/>
      <c r="BI3244" s="9"/>
    </row>
    <row r="3245" spans="18:61">
      <c r="R3245" s="6"/>
      <c r="AS3245" s="15"/>
      <c r="AZ3245" s="9"/>
      <c r="BC3245" s="9"/>
      <c r="BF3245" s="9"/>
      <c r="BI3245" s="9"/>
    </row>
    <row r="3246" spans="18:61">
      <c r="R3246" s="6"/>
      <c r="AS3246" s="15"/>
      <c r="AZ3246" s="9"/>
      <c r="BC3246" s="9"/>
      <c r="BF3246" s="9"/>
      <c r="BI3246" s="9"/>
    </row>
    <row r="3247" spans="18:61">
      <c r="R3247" s="6"/>
      <c r="AS3247" s="15"/>
      <c r="AZ3247" s="9"/>
      <c r="BC3247" s="9"/>
      <c r="BF3247" s="9"/>
      <c r="BI3247" s="9"/>
    </row>
    <row r="3248" spans="18:61">
      <c r="R3248" s="6"/>
      <c r="AS3248" s="15"/>
      <c r="AZ3248" s="9"/>
      <c r="BC3248" s="9"/>
      <c r="BF3248" s="9"/>
      <c r="BI3248" s="9"/>
    </row>
    <row r="3249" spans="18:61">
      <c r="R3249" s="6"/>
      <c r="AS3249" s="15"/>
      <c r="AZ3249" s="9"/>
      <c r="BC3249" s="9"/>
      <c r="BF3249" s="9"/>
      <c r="BI3249" s="9"/>
    </row>
    <row r="3250" spans="18:61">
      <c r="R3250" s="6"/>
      <c r="AS3250" s="15"/>
      <c r="AZ3250" s="9"/>
      <c r="BC3250" s="9"/>
      <c r="BF3250" s="9"/>
      <c r="BI3250" s="9"/>
    </row>
    <row r="3251" spans="18:61">
      <c r="R3251" s="6"/>
      <c r="AS3251" s="15"/>
      <c r="AZ3251" s="9"/>
      <c r="BC3251" s="9"/>
      <c r="BF3251" s="9"/>
      <c r="BI3251" s="9"/>
    </row>
    <row r="3252" spans="18:61">
      <c r="R3252" s="6"/>
      <c r="AS3252" s="15"/>
      <c r="AZ3252" s="9"/>
      <c r="BC3252" s="9"/>
      <c r="BF3252" s="9"/>
      <c r="BI3252" s="9"/>
    </row>
    <row r="3253" spans="18:61">
      <c r="R3253" s="6"/>
      <c r="AS3253" s="15"/>
      <c r="AZ3253" s="9"/>
      <c r="BC3253" s="9"/>
      <c r="BF3253" s="9"/>
      <c r="BI3253" s="9"/>
    </row>
    <row r="3254" spans="18:61">
      <c r="R3254" s="6"/>
      <c r="AS3254" s="15"/>
      <c r="AZ3254" s="9"/>
      <c r="BC3254" s="9"/>
      <c r="BF3254" s="9"/>
      <c r="BI3254" s="9"/>
    </row>
    <row r="3255" spans="18:61">
      <c r="R3255" s="6"/>
      <c r="AS3255" s="15"/>
      <c r="AZ3255" s="9"/>
      <c r="BC3255" s="9"/>
      <c r="BF3255" s="9"/>
      <c r="BI3255" s="9"/>
    </row>
    <row r="3256" spans="18:61">
      <c r="R3256" s="6"/>
      <c r="AS3256" s="15"/>
      <c r="AZ3256" s="9"/>
      <c r="BC3256" s="9"/>
      <c r="BF3256" s="9"/>
      <c r="BI3256" s="9"/>
    </row>
    <row r="3257" spans="18:61">
      <c r="R3257" s="6"/>
      <c r="AS3257" s="15"/>
      <c r="AZ3257" s="9"/>
      <c r="BC3257" s="9"/>
      <c r="BF3257" s="9"/>
      <c r="BI3257" s="9"/>
    </row>
    <row r="3258" spans="18:61">
      <c r="R3258" s="6"/>
      <c r="AS3258" s="15"/>
      <c r="AZ3258" s="9"/>
      <c r="BC3258" s="9"/>
      <c r="BF3258" s="9"/>
      <c r="BI3258" s="9"/>
    </row>
    <row r="3259" spans="18:61">
      <c r="R3259" s="6"/>
      <c r="AS3259" s="15"/>
      <c r="AZ3259" s="9"/>
      <c r="BC3259" s="9"/>
      <c r="BF3259" s="9"/>
      <c r="BI3259" s="9"/>
    </row>
    <row r="3260" spans="18:61">
      <c r="R3260" s="6"/>
      <c r="AS3260" s="15"/>
      <c r="AZ3260" s="9"/>
      <c r="BC3260" s="9"/>
      <c r="BF3260" s="9"/>
      <c r="BI3260" s="9"/>
    </row>
    <row r="3261" spans="18:61">
      <c r="R3261" s="6"/>
      <c r="AS3261" s="15"/>
      <c r="AZ3261" s="9"/>
      <c r="BC3261" s="9"/>
      <c r="BF3261" s="9"/>
      <c r="BI3261" s="9"/>
    </row>
    <row r="3262" spans="18:61">
      <c r="R3262" s="6"/>
      <c r="AS3262" s="15"/>
      <c r="AZ3262" s="9"/>
      <c r="BC3262" s="9"/>
      <c r="BF3262" s="9"/>
      <c r="BI3262" s="9"/>
    </row>
    <row r="3263" spans="18:61">
      <c r="R3263" s="6"/>
      <c r="AS3263" s="15"/>
      <c r="AZ3263" s="9"/>
      <c r="BC3263" s="9"/>
      <c r="BF3263" s="9"/>
      <c r="BI3263" s="9"/>
    </row>
    <row r="3264" spans="18:61">
      <c r="R3264" s="6"/>
      <c r="AS3264" s="15"/>
      <c r="AZ3264" s="9"/>
      <c r="BC3264" s="9"/>
      <c r="BF3264" s="9"/>
      <c r="BI3264" s="9"/>
    </row>
    <row r="3265" spans="18:61">
      <c r="R3265" s="6"/>
      <c r="AS3265" s="15"/>
      <c r="AZ3265" s="9"/>
      <c r="BC3265" s="9"/>
      <c r="BF3265" s="9"/>
      <c r="BI3265" s="9"/>
    </row>
    <row r="3266" spans="18:61">
      <c r="R3266" s="6"/>
      <c r="AS3266" s="15"/>
      <c r="AZ3266" s="9"/>
      <c r="BC3266" s="9"/>
      <c r="BF3266" s="9"/>
      <c r="BI3266" s="9"/>
    </row>
    <row r="3267" spans="18:61">
      <c r="R3267" s="6"/>
      <c r="AS3267" s="15"/>
      <c r="AZ3267" s="9"/>
      <c r="BC3267" s="9"/>
      <c r="BF3267" s="9"/>
      <c r="BI3267" s="9"/>
    </row>
    <row r="3268" spans="18:61">
      <c r="R3268" s="6"/>
      <c r="AS3268" s="15"/>
      <c r="AZ3268" s="9"/>
      <c r="BC3268" s="9"/>
      <c r="BF3268" s="9"/>
      <c r="BI3268" s="9"/>
    </row>
    <row r="3269" spans="18:61">
      <c r="R3269" s="6"/>
      <c r="AS3269" s="15"/>
      <c r="AZ3269" s="9"/>
      <c r="BC3269" s="9"/>
      <c r="BF3269" s="9"/>
      <c r="BI3269" s="9"/>
    </row>
    <row r="3270" spans="18:61">
      <c r="R3270" s="6"/>
      <c r="AS3270" s="15"/>
      <c r="AZ3270" s="9"/>
      <c r="BC3270" s="9"/>
      <c r="BF3270" s="9"/>
      <c r="BI3270" s="9"/>
    </row>
    <row r="3271" spans="18:61">
      <c r="R3271" s="6"/>
      <c r="AS3271" s="15"/>
      <c r="AZ3271" s="9"/>
      <c r="BC3271" s="9"/>
      <c r="BF3271" s="9"/>
      <c r="BI3271" s="9"/>
    </row>
    <row r="3272" spans="18:61">
      <c r="R3272" s="6"/>
      <c r="AS3272" s="15"/>
      <c r="AZ3272" s="9"/>
      <c r="BC3272" s="9"/>
      <c r="BF3272" s="9"/>
      <c r="BI3272" s="9"/>
    </row>
    <row r="3273" spans="18:61">
      <c r="R3273" s="6"/>
      <c r="AS3273" s="15"/>
      <c r="AZ3273" s="9"/>
      <c r="BC3273" s="9"/>
      <c r="BF3273" s="9"/>
      <c r="BI3273" s="9"/>
    </row>
    <row r="3274" spans="18:61">
      <c r="R3274" s="6"/>
      <c r="AS3274" s="15"/>
      <c r="AZ3274" s="9"/>
      <c r="BC3274" s="9"/>
      <c r="BF3274" s="9"/>
      <c r="BI3274" s="9"/>
    </row>
    <row r="3275" spans="18:61">
      <c r="R3275" s="6"/>
      <c r="AS3275" s="15"/>
      <c r="AZ3275" s="9"/>
      <c r="BC3275" s="9"/>
      <c r="BF3275" s="9"/>
      <c r="BI3275" s="9"/>
    </row>
    <row r="3276" spans="18:61">
      <c r="R3276" s="6"/>
      <c r="AS3276" s="15"/>
      <c r="AZ3276" s="9"/>
      <c r="BC3276" s="9"/>
      <c r="BF3276" s="9"/>
      <c r="BI3276" s="9"/>
    </row>
    <row r="3277" spans="18:61">
      <c r="R3277" s="6"/>
      <c r="AS3277" s="15"/>
      <c r="AZ3277" s="9"/>
      <c r="BC3277" s="9"/>
      <c r="BF3277" s="9"/>
      <c r="BI3277" s="9"/>
    </row>
    <row r="3278" spans="18:61">
      <c r="R3278" s="6"/>
      <c r="AS3278" s="15"/>
      <c r="AZ3278" s="9"/>
      <c r="BC3278" s="9"/>
      <c r="BF3278" s="9"/>
      <c r="BI3278" s="9"/>
    </row>
    <row r="3279" spans="18:61">
      <c r="R3279" s="6"/>
      <c r="AS3279" s="15"/>
      <c r="AZ3279" s="9"/>
      <c r="BC3279" s="9"/>
      <c r="BF3279" s="9"/>
      <c r="BI3279" s="9"/>
    </row>
    <row r="3280" spans="18:61">
      <c r="R3280" s="6"/>
      <c r="AS3280" s="15"/>
      <c r="AZ3280" s="9"/>
      <c r="BC3280" s="9"/>
      <c r="BF3280" s="9"/>
      <c r="BI3280" s="9"/>
    </row>
    <row r="3281" spans="18:61">
      <c r="R3281" s="6"/>
      <c r="AS3281" s="15"/>
      <c r="AZ3281" s="9"/>
      <c r="BC3281" s="9"/>
      <c r="BF3281" s="9"/>
      <c r="BI3281" s="9"/>
    </row>
    <row r="3282" spans="18:61">
      <c r="R3282" s="6"/>
      <c r="AS3282" s="15"/>
      <c r="AZ3282" s="9"/>
      <c r="BC3282" s="9"/>
      <c r="BF3282" s="9"/>
      <c r="BI3282" s="9"/>
    </row>
    <row r="3283" spans="18:61">
      <c r="R3283" s="6"/>
      <c r="AS3283" s="15"/>
      <c r="AZ3283" s="9"/>
      <c r="BC3283" s="9"/>
      <c r="BF3283" s="9"/>
      <c r="BI3283" s="9"/>
    </row>
    <row r="3284" spans="18:61">
      <c r="R3284" s="6"/>
      <c r="AS3284" s="15"/>
      <c r="AZ3284" s="9"/>
      <c r="BC3284" s="9"/>
      <c r="BF3284" s="9"/>
      <c r="BI3284" s="9"/>
    </row>
    <row r="3285" spans="18:61">
      <c r="R3285" s="6"/>
      <c r="AS3285" s="15"/>
      <c r="AZ3285" s="9"/>
      <c r="BC3285" s="9"/>
      <c r="BF3285" s="9"/>
      <c r="BI3285" s="9"/>
    </row>
    <row r="3286" spans="18:61">
      <c r="R3286" s="6"/>
      <c r="AS3286" s="15"/>
      <c r="AZ3286" s="9"/>
      <c r="BC3286" s="9"/>
      <c r="BF3286" s="9"/>
      <c r="BI3286" s="9"/>
    </row>
    <row r="3287" spans="18:61">
      <c r="R3287" s="6"/>
      <c r="AS3287" s="15"/>
      <c r="AZ3287" s="9"/>
      <c r="BC3287" s="9"/>
      <c r="BF3287" s="9"/>
      <c r="BI3287" s="9"/>
    </row>
    <row r="3288" spans="18:61">
      <c r="R3288" s="6"/>
      <c r="AS3288" s="15"/>
      <c r="AZ3288" s="9"/>
      <c r="BC3288" s="9"/>
      <c r="BF3288" s="9"/>
      <c r="BI3288" s="9"/>
    </row>
    <row r="3289" spans="18:61">
      <c r="R3289" s="6"/>
      <c r="AS3289" s="15"/>
      <c r="AZ3289" s="9"/>
      <c r="BC3289" s="9"/>
      <c r="BF3289" s="9"/>
      <c r="BI3289" s="9"/>
    </row>
    <row r="3290" spans="18:61">
      <c r="R3290" s="6"/>
      <c r="AS3290" s="15"/>
      <c r="AZ3290" s="9"/>
      <c r="BC3290" s="9"/>
      <c r="BF3290" s="9"/>
      <c r="BI3290" s="9"/>
    </row>
    <row r="3291" spans="18:61">
      <c r="R3291" s="6"/>
      <c r="AS3291" s="15"/>
      <c r="AZ3291" s="9"/>
      <c r="BC3291" s="9"/>
      <c r="BF3291" s="9"/>
      <c r="BI3291" s="9"/>
    </row>
    <row r="3292" spans="18:61">
      <c r="R3292" s="6"/>
      <c r="AS3292" s="15"/>
      <c r="AZ3292" s="9"/>
      <c r="BC3292" s="9"/>
      <c r="BF3292" s="9"/>
      <c r="BI3292" s="9"/>
    </row>
    <row r="3293" spans="18:61">
      <c r="R3293" s="6"/>
      <c r="AS3293" s="15"/>
      <c r="AZ3293" s="9"/>
      <c r="BC3293" s="9"/>
      <c r="BF3293" s="9"/>
      <c r="BI3293" s="9"/>
    </row>
    <row r="3294" spans="18:61">
      <c r="R3294" s="6"/>
      <c r="AS3294" s="15"/>
      <c r="AZ3294" s="9"/>
      <c r="BC3294" s="9"/>
      <c r="BF3294" s="9"/>
      <c r="BI3294" s="9"/>
    </row>
    <row r="3295" spans="18:61">
      <c r="R3295" s="6"/>
      <c r="AS3295" s="15"/>
      <c r="AZ3295" s="9"/>
      <c r="BC3295" s="9"/>
      <c r="BF3295" s="9"/>
      <c r="BI3295" s="9"/>
    </row>
    <row r="3296" spans="18:61">
      <c r="R3296" s="6"/>
      <c r="AS3296" s="15"/>
      <c r="AZ3296" s="9"/>
      <c r="BC3296" s="9"/>
      <c r="BF3296" s="9"/>
      <c r="BI3296" s="9"/>
    </row>
    <row r="3297" spans="18:61">
      <c r="R3297" s="6"/>
      <c r="AS3297" s="15"/>
      <c r="AZ3297" s="9"/>
      <c r="BC3297" s="9"/>
      <c r="BF3297" s="9"/>
      <c r="BI3297" s="9"/>
    </row>
    <row r="3298" spans="18:61">
      <c r="R3298" s="6"/>
      <c r="AS3298" s="15"/>
      <c r="AZ3298" s="9"/>
      <c r="BC3298" s="9"/>
      <c r="BF3298" s="9"/>
      <c r="BI3298" s="9"/>
    </row>
    <row r="3299" spans="18:61">
      <c r="R3299" s="6"/>
      <c r="AS3299" s="15"/>
      <c r="AZ3299" s="9"/>
      <c r="BC3299" s="9"/>
      <c r="BF3299" s="9"/>
      <c r="BI3299" s="9"/>
    </row>
    <row r="3300" spans="18:61">
      <c r="R3300" s="6"/>
      <c r="AS3300" s="15"/>
      <c r="AZ3300" s="9"/>
      <c r="BC3300" s="9"/>
      <c r="BF3300" s="9"/>
      <c r="BI3300" s="9"/>
    </row>
    <row r="3301" spans="18:61">
      <c r="R3301" s="6"/>
      <c r="AS3301" s="15"/>
      <c r="AZ3301" s="9"/>
      <c r="BC3301" s="9"/>
      <c r="BF3301" s="9"/>
      <c r="BI3301" s="9"/>
    </row>
    <row r="3302" spans="18:61">
      <c r="R3302" s="6"/>
      <c r="AS3302" s="15"/>
      <c r="AZ3302" s="9"/>
      <c r="BC3302" s="9"/>
      <c r="BF3302" s="9"/>
      <c r="BI3302" s="9"/>
    </row>
    <row r="3303" spans="18:61">
      <c r="R3303" s="6"/>
      <c r="AS3303" s="15"/>
      <c r="AZ3303" s="9"/>
      <c r="BC3303" s="9"/>
      <c r="BF3303" s="9"/>
      <c r="BI3303" s="9"/>
    </row>
    <row r="3304" spans="18:61">
      <c r="R3304" s="6"/>
      <c r="AS3304" s="15"/>
      <c r="AZ3304" s="9"/>
      <c r="BC3304" s="9"/>
      <c r="BF3304" s="9"/>
      <c r="BI3304" s="9"/>
    </row>
    <row r="3305" spans="18:61">
      <c r="R3305" s="6"/>
      <c r="AS3305" s="15"/>
      <c r="AZ3305" s="9"/>
      <c r="BC3305" s="9"/>
      <c r="BF3305" s="9"/>
      <c r="BI3305" s="9"/>
    </row>
    <row r="3306" spans="18:61">
      <c r="R3306" s="6"/>
      <c r="AS3306" s="15"/>
      <c r="AZ3306" s="9"/>
      <c r="BC3306" s="9"/>
      <c r="BF3306" s="9"/>
      <c r="BI3306" s="9"/>
    </row>
    <row r="3307" spans="18:61">
      <c r="R3307" s="6"/>
      <c r="AS3307" s="15"/>
      <c r="AZ3307" s="9"/>
      <c r="BC3307" s="9"/>
      <c r="BF3307" s="9"/>
      <c r="BI3307" s="9"/>
    </row>
    <row r="3308" spans="18:61">
      <c r="R3308" s="6"/>
      <c r="AS3308" s="15"/>
      <c r="AZ3308" s="9"/>
      <c r="BC3308" s="9"/>
      <c r="BF3308" s="9"/>
      <c r="BI3308" s="9"/>
    </row>
    <row r="3309" spans="18:61">
      <c r="R3309" s="6"/>
      <c r="AS3309" s="15"/>
      <c r="AZ3309" s="9"/>
      <c r="BC3309" s="9"/>
      <c r="BF3309" s="9"/>
      <c r="BI3309" s="9"/>
    </row>
    <row r="3310" spans="18:61">
      <c r="R3310" s="6"/>
      <c r="AS3310" s="15"/>
      <c r="AZ3310" s="9"/>
      <c r="BC3310" s="9"/>
      <c r="BF3310" s="9"/>
      <c r="BI3310" s="9"/>
    </row>
    <row r="3311" spans="18:61">
      <c r="R3311" s="6"/>
      <c r="AS3311" s="15"/>
      <c r="AZ3311" s="9"/>
      <c r="BC3311" s="9"/>
      <c r="BF3311" s="9"/>
      <c r="BI3311" s="9"/>
    </row>
    <row r="3312" spans="18:61">
      <c r="R3312" s="6"/>
      <c r="AS3312" s="15"/>
      <c r="AZ3312" s="9"/>
      <c r="BC3312" s="9"/>
      <c r="BF3312" s="9"/>
      <c r="BI3312" s="9"/>
    </row>
    <row r="3313" spans="18:61">
      <c r="R3313" s="6"/>
      <c r="AS3313" s="15"/>
      <c r="AZ3313" s="9"/>
      <c r="BC3313" s="9"/>
      <c r="BF3313" s="9"/>
      <c r="BI3313" s="9"/>
    </row>
    <row r="3314" spans="18:61">
      <c r="R3314" s="6"/>
      <c r="AS3314" s="15"/>
      <c r="AZ3314" s="9"/>
      <c r="BC3314" s="9"/>
      <c r="BF3314" s="9"/>
      <c r="BI3314" s="9"/>
    </row>
    <row r="3315" spans="18:61">
      <c r="R3315" s="6"/>
      <c r="AS3315" s="15"/>
      <c r="AZ3315" s="9"/>
      <c r="BC3315" s="9"/>
      <c r="BF3315" s="9"/>
      <c r="BI3315" s="9"/>
    </row>
    <row r="3316" spans="18:61">
      <c r="R3316" s="6"/>
      <c r="AS3316" s="15"/>
      <c r="AZ3316" s="9"/>
      <c r="BC3316" s="9"/>
      <c r="BF3316" s="9"/>
      <c r="BI3316" s="9"/>
    </row>
    <row r="3317" spans="18:61">
      <c r="R3317" s="6"/>
      <c r="AS3317" s="15"/>
      <c r="AZ3317" s="9"/>
      <c r="BC3317" s="9"/>
      <c r="BF3317" s="9"/>
      <c r="BI3317" s="9"/>
    </row>
    <row r="3318" spans="18:61">
      <c r="R3318" s="6"/>
      <c r="AS3318" s="15"/>
      <c r="AZ3318" s="9"/>
      <c r="BC3318" s="9"/>
      <c r="BF3318" s="9"/>
      <c r="BI3318" s="9"/>
    </row>
    <row r="3319" spans="18:61">
      <c r="R3319" s="6"/>
      <c r="AS3319" s="15"/>
      <c r="AZ3319" s="9"/>
      <c r="BC3319" s="9"/>
      <c r="BF3319" s="9"/>
      <c r="BI3319" s="9"/>
    </row>
    <row r="3320" spans="18:61">
      <c r="R3320" s="6"/>
      <c r="AS3320" s="15"/>
      <c r="AZ3320" s="9"/>
      <c r="BC3320" s="9"/>
      <c r="BF3320" s="9"/>
      <c r="BI3320" s="9"/>
    </row>
    <row r="3321" spans="18:61">
      <c r="R3321" s="6"/>
      <c r="AS3321" s="15"/>
      <c r="AZ3321" s="9"/>
      <c r="BC3321" s="9"/>
      <c r="BF3321" s="9"/>
      <c r="BI3321" s="9"/>
    </row>
    <row r="3322" spans="18:61">
      <c r="R3322" s="6"/>
      <c r="AS3322" s="15"/>
      <c r="AZ3322" s="9"/>
      <c r="BC3322" s="9"/>
      <c r="BF3322" s="9"/>
      <c r="BI3322" s="9"/>
    </row>
    <row r="3323" spans="18:61">
      <c r="R3323" s="6"/>
      <c r="AS3323" s="15"/>
      <c r="AZ3323" s="9"/>
      <c r="BC3323" s="9"/>
      <c r="BF3323" s="9"/>
      <c r="BI3323" s="9"/>
    </row>
    <row r="3324" spans="18:61">
      <c r="R3324" s="6"/>
      <c r="AS3324" s="15"/>
      <c r="AZ3324" s="9"/>
      <c r="BC3324" s="9"/>
      <c r="BF3324" s="9"/>
      <c r="BI3324" s="9"/>
    </row>
    <row r="3325" spans="18:61">
      <c r="R3325" s="6"/>
      <c r="AS3325" s="15"/>
      <c r="AZ3325" s="9"/>
      <c r="BC3325" s="9"/>
      <c r="BF3325" s="9"/>
      <c r="BI3325" s="9"/>
    </row>
    <row r="3326" spans="18:61">
      <c r="R3326" s="6"/>
      <c r="AS3326" s="15"/>
      <c r="AZ3326" s="9"/>
      <c r="BC3326" s="9"/>
      <c r="BF3326" s="9"/>
      <c r="BI3326" s="9"/>
    </row>
    <row r="3327" spans="18:61">
      <c r="R3327" s="6"/>
      <c r="AS3327" s="15"/>
      <c r="AZ3327" s="9"/>
      <c r="BC3327" s="9"/>
      <c r="BF3327" s="9"/>
      <c r="BI3327" s="9"/>
    </row>
    <row r="3328" spans="18:61">
      <c r="R3328" s="6"/>
      <c r="AS3328" s="15"/>
      <c r="AZ3328" s="9"/>
      <c r="BC3328" s="9"/>
      <c r="BF3328" s="9"/>
      <c r="BI3328" s="9"/>
    </row>
    <row r="3329" spans="18:61">
      <c r="R3329" s="6"/>
      <c r="AS3329" s="15"/>
      <c r="AZ3329" s="9"/>
      <c r="BC3329" s="9"/>
      <c r="BF3329" s="9"/>
      <c r="BI3329" s="9"/>
    </row>
    <row r="3330" spans="18:61">
      <c r="R3330" s="6"/>
      <c r="AS3330" s="15"/>
      <c r="AZ3330" s="9"/>
      <c r="BC3330" s="9"/>
      <c r="BF3330" s="9"/>
      <c r="BI3330" s="9"/>
    </row>
    <row r="3331" spans="18:61">
      <c r="R3331" s="6"/>
      <c r="AS3331" s="15"/>
      <c r="AZ3331" s="9"/>
      <c r="BC3331" s="9"/>
      <c r="BF3331" s="9"/>
      <c r="BI3331" s="9"/>
    </row>
    <row r="3332" spans="18:61">
      <c r="R3332" s="6"/>
      <c r="AS3332" s="15"/>
      <c r="AZ3332" s="9"/>
      <c r="BC3332" s="9"/>
      <c r="BF3332" s="9"/>
      <c r="BI3332" s="9"/>
    </row>
    <row r="3333" spans="18:61">
      <c r="R3333" s="6"/>
      <c r="AS3333" s="15"/>
      <c r="AZ3333" s="9"/>
      <c r="BC3333" s="9"/>
      <c r="BF3333" s="9"/>
      <c r="BI3333" s="9"/>
    </row>
    <row r="3334" spans="18:61">
      <c r="R3334" s="6"/>
      <c r="AS3334" s="15"/>
      <c r="AZ3334" s="9"/>
      <c r="BC3334" s="9"/>
      <c r="BF3334" s="9"/>
      <c r="BI3334" s="9"/>
    </row>
    <row r="3335" spans="18:61">
      <c r="R3335" s="6"/>
      <c r="AS3335" s="15"/>
      <c r="AZ3335" s="9"/>
      <c r="BC3335" s="9"/>
      <c r="BF3335" s="9"/>
      <c r="BI3335" s="9"/>
    </row>
    <row r="3336" spans="18:61">
      <c r="R3336" s="6"/>
      <c r="AS3336" s="15"/>
      <c r="AZ3336" s="9"/>
      <c r="BC3336" s="9"/>
      <c r="BF3336" s="9"/>
      <c r="BI3336" s="9"/>
    </row>
    <row r="3337" spans="18:61">
      <c r="R3337" s="6"/>
      <c r="AS3337" s="15"/>
      <c r="AZ3337" s="9"/>
      <c r="BC3337" s="9"/>
      <c r="BF3337" s="9"/>
      <c r="BI3337" s="9"/>
    </row>
    <row r="3338" spans="18:61">
      <c r="R3338" s="6"/>
      <c r="AS3338" s="15"/>
      <c r="AZ3338" s="9"/>
      <c r="BC3338" s="9"/>
      <c r="BF3338" s="9"/>
      <c r="BI3338" s="9"/>
    </row>
    <row r="3339" spans="18:61">
      <c r="R3339" s="6"/>
      <c r="AS3339" s="15"/>
      <c r="AZ3339" s="9"/>
      <c r="BC3339" s="9"/>
      <c r="BF3339" s="9"/>
      <c r="BI3339" s="9"/>
    </row>
    <row r="3340" spans="18:61">
      <c r="R3340" s="6"/>
      <c r="AS3340" s="15"/>
      <c r="AZ3340" s="9"/>
      <c r="BC3340" s="9"/>
      <c r="BF3340" s="9"/>
      <c r="BI3340" s="9"/>
    </row>
    <row r="3341" spans="18:61">
      <c r="R3341" s="6"/>
      <c r="AS3341" s="15"/>
      <c r="AZ3341" s="9"/>
      <c r="BC3341" s="9"/>
      <c r="BF3341" s="9"/>
      <c r="BI3341" s="9"/>
    </row>
    <row r="3342" spans="18:61">
      <c r="R3342" s="6"/>
      <c r="AS3342" s="15"/>
      <c r="AZ3342" s="9"/>
      <c r="BC3342" s="9"/>
      <c r="BF3342" s="9"/>
      <c r="BI3342" s="9"/>
    </row>
    <row r="3343" spans="18:61">
      <c r="R3343" s="6"/>
      <c r="AS3343" s="15"/>
      <c r="AZ3343" s="9"/>
      <c r="BC3343" s="9"/>
      <c r="BF3343" s="9"/>
      <c r="BI3343" s="9"/>
    </row>
    <row r="3344" spans="18:61">
      <c r="R3344" s="6"/>
      <c r="AS3344" s="15"/>
      <c r="AZ3344" s="9"/>
      <c r="BC3344" s="9"/>
      <c r="BF3344" s="9"/>
      <c r="BI3344" s="9"/>
    </row>
    <row r="3345" spans="18:61">
      <c r="R3345" s="6"/>
      <c r="AS3345" s="15"/>
      <c r="AZ3345" s="9"/>
      <c r="BC3345" s="9"/>
      <c r="BF3345" s="9"/>
      <c r="BI3345" s="9"/>
    </row>
    <row r="3346" spans="18:61">
      <c r="R3346" s="6"/>
      <c r="AS3346" s="15"/>
      <c r="AZ3346" s="9"/>
      <c r="BC3346" s="9"/>
      <c r="BF3346" s="9"/>
      <c r="BI3346" s="9"/>
    </row>
    <row r="3347" spans="18:61">
      <c r="R3347" s="6"/>
      <c r="AS3347" s="15"/>
      <c r="AZ3347" s="9"/>
      <c r="BC3347" s="9"/>
      <c r="BF3347" s="9"/>
      <c r="BI3347" s="9"/>
    </row>
    <row r="3348" spans="18:61">
      <c r="R3348" s="6"/>
      <c r="AS3348" s="15"/>
      <c r="AZ3348" s="9"/>
      <c r="BC3348" s="9"/>
      <c r="BF3348" s="9"/>
      <c r="BI3348" s="9"/>
    </row>
    <row r="3349" spans="18:61">
      <c r="R3349" s="6"/>
      <c r="AS3349" s="15"/>
      <c r="AZ3349" s="9"/>
      <c r="BC3349" s="9"/>
      <c r="BF3349" s="9"/>
      <c r="BI3349" s="9"/>
    </row>
    <row r="3350" spans="18:61">
      <c r="R3350" s="6"/>
      <c r="AS3350" s="15"/>
      <c r="AZ3350" s="9"/>
      <c r="BC3350" s="9"/>
      <c r="BF3350" s="9"/>
      <c r="BI3350" s="9"/>
    </row>
    <row r="3351" spans="18:61">
      <c r="R3351" s="6"/>
      <c r="AS3351" s="15"/>
      <c r="AZ3351" s="9"/>
      <c r="BC3351" s="9"/>
      <c r="BF3351" s="9"/>
      <c r="BI3351" s="9"/>
    </row>
    <row r="3352" spans="18:61">
      <c r="R3352" s="6"/>
      <c r="AS3352" s="15"/>
      <c r="AZ3352" s="9"/>
      <c r="BC3352" s="9"/>
      <c r="BF3352" s="9"/>
      <c r="BI3352" s="9"/>
    </row>
    <row r="3353" spans="18:61">
      <c r="R3353" s="6"/>
      <c r="AS3353" s="15"/>
      <c r="AZ3353" s="9"/>
      <c r="BC3353" s="9"/>
      <c r="BF3353" s="9"/>
      <c r="BI3353" s="9"/>
    </row>
    <row r="3354" spans="18:61">
      <c r="R3354" s="6"/>
      <c r="AS3354" s="15"/>
      <c r="AZ3354" s="9"/>
      <c r="BC3354" s="9"/>
      <c r="BF3354" s="9"/>
      <c r="BI3354" s="9"/>
    </row>
    <row r="3355" spans="18:61">
      <c r="R3355" s="6"/>
      <c r="AS3355" s="15"/>
      <c r="AZ3355" s="9"/>
      <c r="BC3355" s="9"/>
      <c r="BF3355" s="9"/>
      <c r="BI3355" s="9"/>
    </row>
    <row r="3356" spans="18:61">
      <c r="R3356" s="6"/>
      <c r="AS3356" s="15"/>
      <c r="AZ3356" s="9"/>
      <c r="BC3356" s="9"/>
      <c r="BF3356" s="9"/>
      <c r="BI3356" s="9"/>
    </row>
    <row r="3357" spans="18:61">
      <c r="R3357" s="6"/>
      <c r="AS3357" s="15"/>
      <c r="AZ3357" s="9"/>
      <c r="BC3357" s="9"/>
      <c r="BF3357" s="9"/>
      <c r="BI3357" s="9"/>
    </row>
    <row r="3358" spans="18:61">
      <c r="R3358" s="6"/>
      <c r="AS3358" s="15"/>
      <c r="AZ3358" s="9"/>
      <c r="BC3358" s="9"/>
      <c r="BF3358" s="9"/>
      <c r="BI3358" s="9"/>
    </row>
    <row r="3359" spans="18:61">
      <c r="R3359" s="6"/>
      <c r="AS3359" s="15"/>
      <c r="AZ3359" s="9"/>
      <c r="BC3359" s="9"/>
      <c r="BF3359" s="9"/>
      <c r="BI3359" s="9"/>
    </row>
    <row r="3360" spans="18:61">
      <c r="R3360" s="6"/>
      <c r="AS3360" s="15"/>
      <c r="AZ3360" s="9"/>
      <c r="BC3360" s="9"/>
      <c r="BF3360" s="9"/>
      <c r="BI3360" s="9"/>
    </row>
    <row r="3361" spans="18:61">
      <c r="R3361" s="6"/>
      <c r="AS3361" s="15"/>
      <c r="AZ3361" s="9"/>
      <c r="BC3361" s="9"/>
      <c r="BF3361" s="9"/>
      <c r="BI3361" s="9"/>
    </row>
    <row r="3362" spans="18:61">
      <c r="R3362" s="6"/>
      <c r="AS3362" s="15"/>
      <c r="AZ3362" s="9"/>
      <c r="BC3362" s="9"/>
      <c r="BF3362" s="9"/>
      <c r="BI3362" s="9"/>
    </row>
    <row r="3363" spans="18:61">
      <c r="R3363" s="6"/>
      <c r="AS3363" s="15"/>
      <c r="AZ3363" s="9"/>
      <c r="BC3363" s="9"/>
      <c r="BF3363" s="9"/>
      <c r="BI3363" s="9"/>
    </row>
    <row r="3364" spans="18:61">
      <c r="R3364" s="6"/>
      <c r="AS3364" s="15"/>
      <c r="AZ3364" s="9"/>
      <c r="BC3364" s="9"/>
      <c r="BF3364" s="9"/>
      <c r="BI3364" s="9"/>
    </row>
    <row r="3365" spans="18:61">
      <c r="R3365" s="6"/>
      <c r="AS3365" s="15"/>
      <c r="AZ3365" s="9"/>
      <c r="BC3365" s="9"/>
      <c r="BF3365" s="9"/>
      <c r="BI3365" s="9"/>
    </row>
    <row r="3366" spans="18:61">
      <c r="R3366" s="6"/>
      <c r="AS3366" s="15"/>
      <c r="AZ3366" s="9"/>
      <c r="BC3366" s="9"/>
      <c r="BF3366" s="9"/>
      <c r="BI3366" s="9"/>
    </row>
    <row r="3367" spans="18:61">
      <c r="R3367" s="6"/>
      <c r="AS3367" s="15"/>
      <c r="AZ3367" s="9"/>
      <c r="BC3367" s="9"/>
      <c r="BF3367" s="9"/>
      <c r="BI3367" s="9"/>
    </row>
    <row r="3368" spans="18:61">
      <c r="R3368" s="6"/>
      <c r="AS3368" s="15"/>
      <c r="AZ3368" s="9"/>
      <c r="BC3368" s="9"/>
      <c r="BF3368" s="9"/>
      <c r="BI3368" s="9"/>
    </row>
    <row r="3369" spans="18:61">
      <c r="R3369" s="6"/>
      <c r="AS3369" s="15"/>
      <c r="AZ3369" s="9"/>
      <c r="BC3369" s="9"/>
      <c r="BF3369" s="9"/>
      <c r="BI3369" s="9"/>
    </row>
    <row r="3370" spans="18:61">
      <c r="R3370" s="6"/>
      <c r="AS3370" s="15"/>
      <c r="AZ3370" s="9"/>
      <c r="BC3370" s="9"/>
      <c r="BF3370" s="9"/>
      <c r="BI3370" s="9"/>
    </row>
    <row r="3371" spans="18:61">
      <c r="R3371" s="6"/>
      <c r="AS3371" s="15"/>
      <c r="AZ3371" s="9"/>
      <c r="BC3371" s="9"/>
      <c r="BF3371" s="9"/>
      <c r="BI3371" s="9"/>
    </row>
    <row r="3372" spans="18:61">
      <c r="R3372" s="6"/>
      <c r="AS3372" s="15"/>
      <c r="AZ3372" s="9"/>
      <c r="BC3372" s="9"/>
      <c r="BF3372" s="9"/>
      <c r="BI3372" s="9"/>
    </row>
    <row r="3373" spans="18:61">
      <c r="R3373" s="6"/>
      <c r="AS3373" s="15"/>
      <c r="AZ3373" s="9"/>
      <c r="BC3373" s="9"/>
      <c r="BF3373" s="9"/>
      <c r="BI3373" s="9"/>
    </row>
    <row r="3374" spans="18:61">
      <c r="R3374" s="6"/>
      <c r="AS3374" s="15"/>
      <c r="AZ3374" s="9"/>
      <c r="BC3374" s="9"/>
      <c r="BF3374" s="9"/>
      <c r="BI3374" s="9"/>
    </row>
    <row r="3375" spans="18:61">
      <c r="R3375" s="6"/>
      <c r="AS3375" s="15"/>
      <c r="AZ3375" s="9"/>
      <c r="BC3375" s="9"/>
      <c r="BF3375" s="9"/>
      <c r="BI3375" s="9"/>
    </row>
    <row r="3376" spans="18:61">
      <c r="R3376" s="6"/>
      <c r="AS3376" s="15"/>
      <c r="AZ3376" s="9"/>
      <c r="BC3376" s="9"/>
      <c r="BF3376" s="9"/>
      <c r="BI3376" s="9"/>
    </row>
    <row r="3377" spans="18:61">
      <c r="R3377" s="6"/>
      <c r="AS3377" s="15"/>
      <c r="AZ3377" s="9"/>
      <c r="BC3377" s="9"/>
      <c r="BF3377" s="9"/>
      <c r="BI3377" s="9"/>
    </row>
    <row r="3378" spans="18:61">
      <c r="R3378" s="6"/>
      <c r="AS3378" s="15"/>
      <c r="AZ3378" s="9"/>
      <c r="BC3378" s="9"/>
      <c r="BF3378" s="9"/>
      <c r="BI3378" s="9"/>
    </row>
    <row r="3379" spans="18:61">
      <c r="R3379" s="6"/>
      <c r="AS3379" s="15"/>
      <c r="AZ3379" s="9"/>
      <c r="BC3379" s="9"/>
      <c r="BF3379" s="9"/>
      <c r="BI3379" s="9"/>
    </row>
    <row r="3380" spans="18:61">
      <c r="R3380" s="6"/>
      <c r="AS3380" s="15"/>
      <c r="AZ3380" s="9"/>
      <c r="BC3380" s="9"/>
      <c r="BF3380" s="9"/>
      <c r="BI3380" s="9"/>
    </row>
    <row r="3381" spans="18:61">
      <c r="R3381" s="6"/>
      <c r="AS3381" s="15"/>
      <c r="AZ3381" s="9"/>
      <c r="BC3381" s="9"/>
      <c r="BF3381" s="9"/>
      <c r="BI3381" s="9"/>
    </row>
    <row r="3382" spans="18:61">
      <c r="R3382" s="6"/>
      <c r="AS3382" s="15"/>
      <c r="AZ3382" s="9"/>
      <c r="BC3382" s="9"/>
      <c r="BF3382" s="9"/>
      <c r="BI3382" s="9"/>
    </row>
    <row r="3383" spans="18:61">
      <c r="R3383" s="6"/>
      <c r="AS3383" s="15"/>
      <c r="AZ3383" s="9"/>
      <c r="BC3383" s="9"/>
      <c r="BF3383" s="9"/>
      <c r="BI3383" s="9"/>
    </row>
    <row r="3384" spans="18:61">
      <c r="R3384" s="6"/>
      <c r="AS3384" s="15"/>
      <c r="AZ3384" s="9"/>
      <c r="BC3384" s="9"/>
      <c r="BF3384" s="9"/>
      <c r="BI3384" s="9"/>
    </row>
    <row r="3385" spans="18:61">
      <c r="R3385" s="6"/>
      <c r="AS3385" s="15"/>
      <c r="AZ3385" s="9"/>
      <c r="BC3385" s="9"/>
      <c r="BF3385" s="9"/>
      <c r="BI3385" s="9"/>
    </row>
    <row r="3386" spans="18:61">
      <c r="R3386" s="6"/>
      <c r="AS3386" s="15"/>
      <c r="AZ3386" s="9"/>
      <c r="BC3386" s="9"/>
      <c r="BF3386" s="9"/>
      <c r="BI3386" s="9"/>
    </row>
    <row r="3387" spans="18:61">
      <c r="R3387" s="6"/>
      <c r="AS3387" s="15"/>
      <c r="AZ3387" s="9"/>
      <c r="BC3387" s="9"/>
      <c r="BF3387" s="9"/>
      <c r="BI3387" s="9"/>
    </row>
    <row r="3388" spans="18:61">
      <c r="R3388" s="6"/>
      <c r="AS3388" s="15"/>
      <c r="AZ3388" s="9"/>
      <c r="BC3388" s="9"/>
      <c r="BF3388" s="9"/>
      <c r="BI3388" s="9"/>
    </row>
    <row r="3389" spans="18:61">
      <c r="R3389" s="6"/>
      <c r="AS3389" s="15"/>
      <c r="AZ3389" s="9"/>
      <c r="BC3389" s="9"/>
      <c r="BF3389" s="9"/>
      <c r="BI3389" s="9"/>
    </row>
    <row r="3390" spans="18:61">
      <c r="R3390" s="6"/>
      <c r="AS3390" s="15"/>
      <c r="AZ3390" s="9"/>
      <c r="BC3390" s="9"/>
      <c r="BF3390" s="9"/>
      <c r="BI3390" s="9"/>
    </row>
    <row r="3391" spans="18:61">
      <c r="R3391" s="6"/>
      <c r="AS3391" s="15"/>
      <c r="AZ3391" s="9"/>
      <c r="BC3391" s="9"/>
      <c r="BF3391" s="9"/>
      <c r="BI3391" s="9"/>
    </row>
    <row r="3392" spans="18:61">
      <c r="R3392" s="6"/>
      <c r="AS3392" s="15"/>
      <c r="AZ3392" s="9"/>
      <c r="BC3392" s="9"/>
      <c r="BF3392" s="9"/>
      <c r="BI3392" s="9"/>
    </row>
    <row r="3393" spans="18:61">
      <c r="R3393" s="6"/>
      <c r="AS3393" s="15"/>
      <c r="AZ3393" s="9"/>
      <c r="BC3393" s="9"/>
      <c r="BF3393" s="9"/>
      <c r="BI3393" s="9"/>
    </row>
    <row r="3394" spans="18:61">
      <c r="R3394" s="6"/>
      <c r="AS3394" s="15"/>
      <c r="AZ3394" s="9"/>
      <c r="BC3394" s="9"/>
      <c r="BF3394" s="9"/>
      <c r="BI3394" s="9"/>
    </row>
    <row r="3395" spans="18:61">
      <c r="R3395" s="6"/>
      <c r="AS3395" s="15"/>
      <c r="AZ3395" s="9"/>
      <c r="BC3395" s="9"/>
      <c r="BF3395" s="9"/>
      <c r="BI3395" s="9"/>
    </row>
    <row r="3396" spans="18:61">
      <c r="R3396" s="6"/>
      <c r="AS3396" s="15"/>
      <c r="AZ3396" s="9"/>
      <c r="BC3396" s="9"/>
      <c r="BF3396" s="9"/>
      <c r="BI3396" s="9"/>
    </row>
    <row r="3397" spans="18:61">
      <c r="R3397" s="6"/>
      <c r="AS3397" s="15"/>
      <c r="AZ3397" s="9"/>
      <c r="BC3397" s="9"/>
      <c r="BF3397" s="9"/>
      <c r="BI3397" s="9"/>
    </row>
    <row r="3398" spans="18:61">
      <c r="R3398" s="6"/>
      <c r="AS3398" s="15"/>
      <c r="AZ3398" s="9"/>
      <c r="BC3398" s="9"/>
      <c r="BF3398" s="9"/>
      <c r="BI3398" s="9"/>
    </row>
    <row r="3399" spans="18:61">
      <c r="R3399" s="6"/>
      <c r="AS3399" s="15"/>
      <c r="AZ3399" s="9"/>
      <c r="BC3399" s="9"/>
      <c r="BF3399" s="9"/>
      <c r="BI3399" s="9"/>
    </row>
    <row r="3400" spans="18:61">
      <c r="R3400" s="6"/>
      <c r="AS3400" s="15"/>
      <c r="AZ3400" s="9"/>
      <c r="BC3400" s="9"/>
      <c r="BF3400" s="9"/>
      <c r="BI3400" s="9"/>
    </row>
    <row r="3401" spans="18:61">
      <c r="R3401" s="6"/>
      <c r="AS3401" s="15"/>
      <c r="AZ3401" s="9"/>
      <c r="BC3401" s="9"/>
      <c r="BF3401" s="9"/>
      <c r="BI3401" s="9"/>
    </row>
    <row r="3402" spans="18:61">
      <c r="R3402" s="6"/>
      <c r="AS3402" s="15"/>
      <c r="AZ3402" s="9"/>
      <c r="BC3402" s="9"/>
      <c r="BF3402" s="9"/>
      <c r="BI3402" s="9"/>
    </row>
    <row r="3403" spans="18:61">
      <c r="R3403" s="6"/>
      <c r="AS3403" s="15"/>
      <c r="AZ3403" s="9"/>
      <c r="BC3403" s="9"/>
      <c r="BF3403" s="9"/>
      <c r="BI3403" s="9"/>
    </row>
    <row r="3404" spans="18:61">
      <c r="R3404" s="6"/>
      <c r="AS3404" s="15"/>
      <c r="AZ3404" s="9"/>
      <c r="BC3404" s="9"/>
      <c r="BF3404" s="9"/>
      <c r="BI3404" s="9"/>
    </row>
    <row r="3405" spans="18:61">
      <c r="R3405" s="6"/>
      <c r="AS3405" s="15"/>
      <c r="AZ3405" s="9"/>
      <c r="BC3405" s="9"/>
      <c r="BF3405" s="9"/>
      <c r="BI3405" s="9"/>
    </row>
    <row r="3406" spans="18:61">
      <c r="R3406" s="6"/>
      <c r="AS3406" s="15"/>
      <c r="AZ3406" s="9"/>
      <c r="BC3406" s="9"/>
      <c r="BF3406" s="9"/>
      <c r="BI3406" s="9"/>
    </row>
    <row r="3407" spans="18:61">
      <c r="R3407" s="6"/>
      <c r="AS3407" s="15"/>
      <c r="AZ3407" s="9"/>
      <c r="BC3407" s="9"/>
      <c r="BF3407" s="9"/>
      <c r="BI3407" s="9"/>
    </row>
    <row r="3408" spans="18:61">
      <c r="R3408" s="6"/>
      <c r="AS3408" s="15"/>
      <c r="AZ3408" s="9"/>
      <c r="BC3408" s="9"/>
      <c r="BF3408" s="9"/>
      <c r="BI3408" s="9"/>
    </row>
    <row r="3409" spans="18:61">
      <c r="R3409" s="6"/>
      <c r="AS3409" s="15"/>
      <c r="AZ3409" s="9"/>
      <c r="BC3409" s="9"/>
      <c r="BF3409" s="9"/>
      <c r="BI3409" s="9"/>
    </row>
    <row r="3410" spans="18:61">
      <c r="R3410" s="6"/>
      <c r="AS3410" s="15"/>
      <c r="AZ3410" s="9"/>
      <c r="BC3410" s="9"/>
      <c r="BF3410" s="9"/>
      <c r="BI3410" s="9"/>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I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8.42578125" customWidth="1"/>
    <col min="2" max="2" width="3.28515625" customWidth="1"/>
    <col min="4" max="4" width="14" customWidth="1"/>
    <col min="9" max="9" width="3" customWidth="1"/>
  </cols>
  <sheetData>
    <row r="1" spans="1:9">
      <c r="A1" s="140" t="s">
        <v>779</v>
      </c>
      <c r="B1" s="141"/>
      <c r="C1" s="199" t="s">
        <v>780</v>
      </c>
      <c r="D1" s="157"/>
      <c r="E1" s="157"/>
      <c r="F1" s="157"/>
      <c r="G1" s="157"/>
      <c r="H1" s="157"/>
      <c r="I1" s="141"/>
    </row>
    <row r="2" spans="1:9">
      <c r="A2" s="142">
        <f>MAX(Simplified!B2:B1001)</f>
        <v>81</v>
      </c>
      <c r="B2" s="141"/>
      <c r="C2" s="143" t="str">
        <f>'RAW MATCH DATA'!A1</f>
        <v>Scouter Name</v>
      </c>
      <c r="D2" s="143" t="str">
        <f>'RAW MATCH DATA'!B1</f>
        <v>Team of Scouter</v>
      </c>
      <c r="E2" s="143" t="str">
        <f>'RAW MATCH DATA'!C1</f>
        <v>Type of Match</v>
      </c>
      <c r="F2" s="143" t="str">
        <f>'RAW MATCH DATA'!D1</f>
        <v>Match Number</v>
      </c>
      <c r="G2" s="143" t="str">
        <f>'RAW MATCH DATA'!E1</f>
        <v>Driver Station</v>
      </c>
      <c r="H2" s="143" t="str">
        <f>'RAW MATCH DATA'!F1</f>
        <v>Team Number</v>
      </c>
      <c r="I2" s="141"/>
    </row>
    <row r="3" spans="1:9">
      <c r="A3" s="141"/>
      <c r="B3" s="141"/>
      <c r="C3" s="144" t="str">
        <f ca="1">IFERROR(__xludf.DUMMYFUNCTION("Filter('RAW MATCH DATA'!A2:A1000,'MATCH CALCS'!$BQ$3:$BQ1001)"),"#N/A")</f>
        <v>#N/A</v>
      </c>
      <c r="D3" s="144" t="str">
        <f ca="1">IFERROR(__xludf.DUMMYFUNCTION("Filter('RAW MATCH DATA'!B2:B1000,'MATCH CALCS'!$BQ$3:$BQ1001)"),"#N/A")</f>
        <v>#N/A</v>
      </c>
      <c r="E3" s="144" t="str">
        <f ca="1">IFERROR(__xludf.DUMMYFUNCTION("Filter('RAW MATCH DATA'!C2:C1000,'MATCH CALCS'!$BQ$3:$BQ1001)"),"#N/A")</f>
        <v>#N/A</v>
      </c>
      <c r="F3" s="144" t="str">
        <f ca="1">IFERROR(__xludf.DUMMYFUNCTION("Filter('RAW MATCH DATA'!D2:D1000,'MATCH CALCS'!$BQ$3:$BQ1001)"),"#N/A")</f>
        <v>#N/A</v>
      </c>
      <c r="G3" s="144" t="str">
        <f ca="1">IFERROR(__xludf.DUMMYFUNCTION("Filter('RAW MATCH DATA'!E2:E1000,'MATCH CALCS'!$BQ$3:$BQ1001)"),"#N/A")</f>
        <v>#N/A</v>
      </c>
      <c r="H3" s="144" t="str">
        <f ca="1">IFERROR(__xludf.DUMMYFUNCTION("Filter('RAW MATCH DATA'!F2:F1000,'MATCH CALCS'!$BQ$3:$BQ1001)"),"#N/A")</f>
        <v>#N/A</v>
      </c>
      <c r="I3" s="141"/>
    </row>
    <row r="4" spans="1:9">
      <c r="B4" s="141"/>
      <c r="C4" s="145"/>
      <c r="D4" s="145"/>
      <c r="E4" s="145"/>
      <c r="F4" s="145"/>
      <c r="G4" s="145"/>
      <c r="H4" s="145"/>
      <c r="I4" s="141"/>
    </row>
    <row r="5" spans="1:9">
      <c r="B5" s="141"/>
      <c r="C5" s="144"/>
      <c r="D5" s="144"/>
      <c r="E5" s="144"/>
      <c r="F5" s="144"/>
      <c r="G5" s="144"/>
      <c r="H5" s="144"/>
      <c r="I5" s="141"/>
    </row>
    <row r="6" spans="1:9">
      <c r="B6" s="141"/>
      <c r="C6" s="145"/>
      <c r="D6" s="145"/>
      <c r="E6" s="145"/>
      <c r="F6" s="145"/>
      <c r="G6" s="145"/>
      <c r="H6" s="145"/>
      <c r="I6" s="141"/>
    </row>
    <row r="7" spans="1:9">
      <c r="B7" s="141"/>
      <c r="C7" s="144"/>
      <c r="D7" s="144"/>
      <c r="E7" s="144"/>
      <c r="F7" s="144"/>
      <c r="G7" s="144"/>
      <c r="H7" s="144"/>
      <c r="I7" s="141"/>
    </row>
    <row r="8" spans="1:9">
      <c r="B8" s="141"/>
      <c r="C8" s="145"/>
      <c r="D8" s="145"/>
      <c r="E8" s="145"/>
      <c r="F8" s="145"/>
      <c r="G8" s="145"/>
      <c r="H8" s="145"/>
      <c r="I8" s="141"/>
    </row>
    <row r="9" spans="1:9">
      <c r="B9" s="141"/>
      <c r="C9" s="144"/>
      <c r="D9" s="144"/>
      <c r="E9" s="144"/>
      <c r="F9" s="144"/>
      <c r="G9" s="144"/>
      <c r="H9" s="144"/>
      <c r="I9" s="141"/>
    </row>
    <row r="10" spans="1:9">
      <c r="B10" s="141"/>
      <c r="C10" s="145"/>
      <c r="D10" s="145"/>
      <c r="E10" s="145"/>
      <c r="F10" s="145"/>
      <c r="G10" s="145"/>
      <c r="H10" s="145"/>
      <c r="I10" s="141"/>
    </row>
    <row r="11" spans="1:9">
      <c r="B11" s="141"/>
      <c r="C11" s="144"/>
      <c r="D11" s="144"/>
      <c r="E11" s="144"/>
      <c r="F11" s="144"/>
      <c r="G11" s="144"/>
      <c r="H11" s="144"/>
      <c r="I11" s="141"/>
    </row>
    <row r="12" spans="1:9">
      <c r="B12" s="141"/>
      <c r="C12" s="145"/>
      <c r="D12" s="145"/>
      <c r="E12" s="145"/>
      <c r="F12" s="145"/>
      <c r="G12" s="145"/>
      <c r="H12" s="145"/>
      <c r="I12" s="141"/>
    </row>
    <row r="13" spans="1:9">
      <c r="B13" s="141"/>
      <c r="C13" s="144"/>
      <c r="D13" s="144"/>
      <c r="E13" s="144"/>
      <c r="F13" s="144"/>
      <c r="G13" s="144"/>
      <c r="H13" s="144"/>
      <c r="I13" s="141"/>
    </row>
    <row r="14" spans="1:9">
      <c r="B14" s="141"/>
      <c r="C14" s="145"/>
      <c r="D14" s="145"/>
      <c r="E14" s="145"/>
      <c r="F14" s="145"/>
      <c r="G14" s="145"/>
      <c r="H14" s="145"/>
      <c r="I14" s="141"/>
    </row>
    <row r="15" spans="1:9">
      <c r="B15" s="141"/>
      <c r="C15" s="144"/>
      <c r="D15" s="144"/>
      <c r="E15" s="144"/>
      <c r="F15" s="144"/>
      <c r="G15" s="144"/>
      <c r="H15" s="144"/>
      <c r="I15" s="141"/>
    </row>
    <row r="16" spans="1:9">
      <c r="B16" s="141"/>
      <c r="C16" s="145"/>
      <c r="D16" s="145"/>
      <c r="E16" s="145"/>
      <c r="F16" s="145"/>
      <c r="G16" s="145"/>
      <c r="H16" s="145"/>
      <c r="I16" s="141"/>
    </row>
    <row r="17" spans="2:9">
      <c r="B17" s="141"/>
      <c r="C17" s="144"/>
      <c r="D17" s="144"/>
      <c r="E17" s="144"/>
      <c r="F17" s="144"/>
      <c r="G17" s="144"/>
      <c r="H17" s="144"/>
      <c r="I17" s="141"/>
    </row>
    <row r="18" spans="2:9">
      <c r="B18" s="141"/>
      <c r="C18" s="145"/>
      <c r="D18" s="145"/>
      <c r="E18" s="145"/>
      <c r="F18" s="145"/>
      <c r="G18" s="145"/>
      <c r="H18" s="145"/>
      <c r="I18" s="141"/>
    </row>
    <row r="19" spans="2:9">
      <c r="B19" s="141"/>
      <c r="C19" s="144"/>
      <c r="D19" s="144"/>
      <c r="E19" s="144"/>
      <c r="F19" s="144"/>
      <c r="G19" s="144"/>
      <c r="H19" s="144"/>
      <c r="I19" s="141"/>
    </row>
    <row r="20" spans="2:9">
      <c r="B20" s="141"/>
      <c r="C20" s="145"/>
      <c r="D20" s="145"/>
      <c r="E20" s="145"/>
      <c r="F20" s="145"/>
      <c r="G20" s="145"/>
      <c r="H20" s="145"/>
      <c r="I20" s="141"/>
    </row>
    <row r="21" spans="2:9">
      <c r="B21" s="141"/>
      <c r="C21" s="144"/>
      <c r="D21" s="144"/>
      <c r="E21" s="144"/>
      <c r="F21" s="144"/>
      <c r="G21" s="144"/>
      <c r="H21" s="144"/>
      <c r="I21" s="141"/>
    </row>
    <row r="22" spans="2:9">
      <c r="B22" s="141"/>
      <c r="C22" s="145"/>
      <c r="D22" s="145"/>
      <c r="E22" s="145"/>
      <c r="F22" s="145"/>
      <c r="G22" s="145"/>
      <c r="H22" s="145"/>
      <c r="I22" s="141"/>
    </row>
    <row r="23" spans="2:9">
      <c r="B23" s="141"/>
      <c r="C23" s="144"/>
      <c r="D23" s="144"/>
      <c r="E23" s="144"/>
      <c r="F23" s="144"/>
      <c r="G23" s="144"/>
      <c r="H23" s="144"/>
      <c r="I23" s="141"/>
    </row>
    <row r="24" spans="2:9">
      <c r="B24" s="141"/>
      <c r="C24" s="145"/>
      <c r="D24" s="145"/>
      <c r="E24" s="145"/>
      <c r="F24" s="145"/>
      <c r="G24" s="145"/>
      <c r="H24" s="145"/>
      <c r="I24" s="141"/>
    </row>
    <row r="25" spans="2:9">
      <c r="B25" s="141"/>
      <c r="C25" s="144"/>
      <c r="D25" s="144"/>
      <c r="E25" s="144"/>
      <c r="F25" s="144"/>
      <c r="G25" s="144"/>
      <c r="H25" s="144"/>
      <c r="I25" s="141"/>
    </row>
    <row r="26" spans="2:9">
      <c r="B26" s="141"/>
      <c r="C26" s="145"/>
      <c r="D26" s="145"/>
      <c r="E26" s="145"/>
      <c r="F26" s="145"/>
      <c r="G26" s="145"/>
      <c r="H26" s="145"/>
      <c r="I26" s="141"/>
    </row>
    <row r="27" spans="2:9">
      <c r="B27" s="141"/>
      <c r="C27" s="144"/>
      <c r="D27" s="144"/>
      <c r="E27" s="144"/>
      <c r="F27" s="144"/>
      <c r="G27" s="144"/>
      <c r="H27" s="144"/>
      <c r="I27" s="141"/>
    </row>
    <row r="28" spans="2:9">
      <c r="B28" s="141"/>
      <c r="C28" s="145"/>
      <c r="D28" s="145"/>
      <c r="E28" s="145"/>
      <c r="F28" s="145"/>
      <c r="G28" s="145"/>
      <c r="H28" s="145"/>
      <c r="I28" s="141"/>
    </row>
    <row r="29" spans="2:9">
      <c r="B29" s="141"/>
      <c r="C29" s="144"/>
      <c r="D29" s="144"/>
      <c r="E29" s="144"/>
      <c r="F29" s="144"/>
      <c r="G29" s="144"/>
      <c r="H29" s="144"/>
      <c r="I29" s="141"/>
    </row>
    <row r="30" spans="2:9">
      <c r="B30" s="141"/>
      <c r="C30" s="145"/>
      <c r="D30" s="145"/>
      <c r="E30" s="145"/>
      <c r="F30" s="145"/>
      <c r="G30" s="145"/>
      <c r="H30" s="145"/>
      <c r="I30" s="141"/>
    </row>
    <row r="31" spans="2:9">
      <c r="B31" s="141"/>
      <c r="C31" s="144"/>
      <c r="D31" s="144"/>
      <c r="E31" s="144"/>
      <c r="F31" s="144"/>
      <c r="G31" s="144"/>
      <c r="H31" s="144"/>
      <c r="I31" s="141"/>
    </row>
    <row r="32" spans="2:9">
      <c r="B32" s="141"/>
      <c r="C32" s="145"/>
      <c r="D32" s="145"/>
      <c r="E32" s="145"/>
      <c r="F32" s="145"/>
      <c r="G32" s="145"/>
      <c r="H32" s="145"/>
      <c r="I32" s="141"/>
    </row>
    <row r="33" spans="2:9">
      <c r="B33" s="141"/>
      <c r="C33" s="144"/>
      <c r="D33" s="144"/>
      <c r="E33" s="144"/>
      <c r="F33" s="144"/>
      <c r="G33" s="144"/>
      <c r="H33" s="144"/>
      <c r="I33" s="141"/>
    </row>
    <row r="34" spans="2:9">
      <c r="B34" s="141"/>
      <c r="C34" s="145"/>
      <c r="D34" s="145"/>
      <c r="E34" s="145"/>
      <c r="F34" s="145"/>
      <c r="G34" s="145"/>
      <c r="H34" s="145"/>
      <c r="I34" s="141"/>
    </row>
    <row r="35" spans="2:9">
      <c r="B35" s="141"/>
      <c r="C35" s="144"/>
      <c r="D35" s="144"/>
      <c r="E35" s="144"/>
      <c r="F35" s="144"/>
      <c r="G35" s="144"/>
      <c r="H35" s="144"/>
      <c r="I35" s="141"/>
    </row>
    <row r="36" spans="2:9">
      <c r="B36" s="141"/>
      <c r="C36" s="145"/>
      <c r="D36" s="145"/>
      <c r="E36" s="145"/>
      <c r="F36" s="145"/>
      <c r="G36" s="145"/>
      <c r="H36" s="145"/>
      <c r="I36" s="141"/>
    </row>
    <row r="37" spans="2:9">
      <c r="B37" s="141"/>
      <c r="C37" s="144"/>
      <c r="D37" s="144"/>
      <c r="E37" s="144"/>
      <c r="F37" s="144"/>
      <c r="G37" s="144"/>
      <c r="H37" s="144"/>
      <c r="I37" s="141"/>
    </row>
    <row r="38" spans="2:9">
      <c r="B38" s="141"/>
      <c r="C38" s="145"/>
      <c r="D38" s="145"/>
      <c r="E38" s="145"/>
      <c r="F38" s="145"/>
      <c r="G38" s="145"/>
      <c r="H38" s="145"/>
      <c r="I38" s="141"/>
    </row>
    <row r="39" spans="2:9">
      <c r="B39" s="141"/>
      <c r="C39" s="144"/>
      <c r="D39" s="144"/>
      <c r="E39" s="144"/>
      <c r="F39" s="144"/>
      <c r="G39" s="144"/>
      <c r="H39" s="144"/>
      <c r="I39" s="141"/>
    </row>
    <row r="40" spans="2:9">
      <c r="B40" s="141"/>
      <c r="C40" s="145"/>
      <c r="D40" s="145"/>
      <c r="E40" s="145"/>
      <c r="F40" s="145"/>
      <c r="G40" s="145"/>
      <c r="H40" s="145"/>
      <c r="I40" s="141"/>
    </row>
    <row r="41" spans="2:9">
      <c r="B41" s="141"/>
      <c r="C41" s="144"/>
      <c r="D41" s="144"/>
      <c r="E41" s="144"/>
      <c r="F41" s="144"/>
      <c r="G41" s="144"/>
      <c r="H41" s="144"/>
      <c r="I41" s="141"/>
    </row>
    <row r="42" spans="2:9">
      <c r="B42" s="141"/>
      <c r="C42" s="145"/>
      <c r="D42" s="145"/>
      <c r="E42" s="145"/>
      <c r="F42" s="145"/>
      <c r="G42" s="145"/>
      <c r="H42" s="145"/>
      <c r="I42" s="141"/>
    </row>
    <row r="43" spans="2:9">
      <c r="B43" s="141"/>
      <c r="C43" s="144"/>
      <c r="D43" s="144"/>
      <c r="E43" s="144"/>
      <c r="F43" s="144"/>
      <c r="G43" s="144"/>
      <c r="H43" s="144"/>
      <c r="I43" s="141"/>
    </row>
    <row r="44" spans="2:9">
      <c r="B44" s="141"/>
      <c r="C44" s="145"/>
      <c r="D44" s="145"/>
      <c r="E44" s="145"/>
      <c r="F44" s="145"/>
      <c r="G44" s="145"/>
      <c r="H44" s="145"/>
      <c r="I44" s="141"/>
    </row>
    <row r="45" spans="2:9">
      <c r="B45" s="141"/>
      <c r="C45" s="144"/>
      <c r="D45" s="144"/>
      <c r="E45" s="144"/>
      <c r="F45" s="144"/>
      <c r="G45" s="144"/>
      <c r="H45" s="144"/>
      <c r="I45" s="141"/>
    </row>
    <row r="46" spans="2:9">
      <c r="B46" s="141"/>
      <c r="C46" s="145"/>
      <c r="D46" s="145"/>
      <c r="E46" s="145"/>
      <c r="F46" s="145"/>
      <c r="G46" s="145"/>
      <c r="H46" s="145"/>
      <c r="I46" s="141"/>
    </row>
    <row r="47" spans="2:9">
      <c r="B47" s="141"/>
      <c r="C47" s="144"/>
      <c r="D47" s="144"/>
      <c r="E47" s="144"/>
      <c r="F47" s="144"/>
      <c r="G47" s="144"/>
      <c r="H47" s="144"/>
      <c r="I47" s="141"/>
    </row>
    <row r="48" spans="2:9">
      <c r="B48" s="141"/>
      <c r="C48" s="145"/>
      <c r="D48" s="145"/>
      <c r="E48" s="145"/>
      <c r="F48" s="145"/>
      <c r="G48" s="145"/>
      <c r="H48" s="145"/>
      <c r="I48" s="141"/>
    </row>
    <row r="49" spans="2:9">
      <c r="B49" s="141"/>
      <c r="C49" s="144"/>
      <c r="D49" s="144"/>
      <c r="E49" s="144"/>
      <c r="F49" s="144"/>
      <c r="G49" s="144"/>
      <c r="H49" s="144"/>
      <c r="I49" s="141"/>
    </row>
    <row r="50" spans="2:9">
      <c r="B50" s="141"/>
      <c r="C50" s="145"/>
      <c r="D50" s="145"/>
      <c r="E50" s="145"/>
      <c r="F50" s="145"/>
      <c r="G50" s="145"/>
      <c r="H50" s="145"/>
      <c r="I50" s="141"/>
    </row>
    <row r="51" spans="2:9">
      <c r="B51" s="141"/>
      <c r="C51" s="144"/>
      <c r="D51" s="144"/>
      <c r="E51" s="144"/>
      <c r="F51" s="144"/>
      <c r="G51" s="144"/>
      <c r="H51" s="144"/>
      <c r="I51" s="141"/>
    </row>
    <row r="52" spans="2:9">
      <c r="B52" s="141"/>
      <c r="C52" s="145"/>
      <c r="D52" s="145"/>
      <c r="E52" s="145"/>
      <c r="F52" s="145"/>
      <c r="G52" s="145"/>
      <c r="H52" s="145"/>
      <c r="I52" s="141"/>
    </row>
    <row r="53" spans="2:9">
      <c r="B53" s="141"/>
      <c r="C53" s="144"/>
      <c r="D53" s="144"/>
      <c r="E53" s="144"/>
      <c r="F53" s="144"/>
      <c r="G53" s="144"/>
      <c r="H53" s="144"/>
      <c r="I53" s="141"/>
    </row>
    <row r="54" spans="2:9">
      <c r="B54" s="141"/>
      <c r="C54" s="145"/>
      <c r="D54" s="145"/>
      <c r="E54" s="145"/>
      <c r="F54" s="145"/>
      <c r="G54" s="145"/>
      <c r="H54" s="145"/>
      <c r="I54" s="141"/>
    </row>
    <row r="55" spans="2:9">
      <c r="B55" s="141"/>
      <c r="C55" s="144"/>
      <c r="D55" s="144"/>
      <c r="E55" s="144"/>
      <c r="F55" s="144"/>
      <c r="G55" s="144"/>
      <c r="H55" s="144"/>
      <c r="I55" s="141"/>
    </row>
    <row r="56" spans="2:9">
      <c r="B56" s="141"/>
      <c r="C56" s="145"/>
      <c r="D56" s="145"/>
      <c r="E56" s="145"/>
      <c r="F56" s="145"/>
      <c r="G56" s="145"/>
      <c r="H56" s="145"/>
      <c r="I56" s="141"/>
    </row>
    <row r="57" spans="2:9">
      <c r="B57" s="141"/>
      <c r="C57" s="144"/>
      <c r="D57" s="144"/>
      <c r="E57" s="144"/>
      <c r="F57" s="144"/>
      <c r="G57" s="144"/>
      <c r="H57" s="144"/>
      <c r="I57" s="141"/>
    </row>
    <row r="58" spans="2:9">
      <c r="B58" s="141"/>
      <c r="C58" s="145"/>
      <c r="D58" s="145"/>
      <c r="E58" s="145"/>
      <c r="F58" s="145"/>
      <c r="G58" s="145"/>
      <c r="H58" s="145"/>
      <c r="I58" s="141"/>
    </row>
    <row r="59" spans="2:9">
      <c r="B59" s="141"/>
      <c r="C59" s="144"/>
      <c r="D59" s="144"/>
      <c r="E59" s="144"/>
      <c r="F59" s="144"/>
      <c r="G59" s="144"/>
      <c r="H59" s="144"/>
      <c r="I59" s="141"/>
    </row>
    <row r="60" spans="2:9">
      <c r="B60" s="141"/>
      <c r="C60" s="145"/>
      <c r="D60" s="145"/>
      <c r="E60" s="145"/>
      <c r="F60" s="145"/>
      <c r="G60" s="145"/>
      <c r="H60" s="145"/>
      <c r="I60" s="141"/>
    </row>
    <row r="61" spans="2:9">
      <c r="B61" s="141"/>
      <c r="C61" s="144"/>
      <c r="D61" s="144"/>
      <c r="E61" s="144"/>
      <c r="F61" s="144"/>
      <c r="G61" s="144"/>
      <c r="H61" s="144"/>
      <c r="I61" s="141"/>
    </row>
    <row r="62" spans="2:9">
      <c r="B62" s="141"/>
      <c r="C62" s="145"/>
      <c r="D62" s="145"/>
      <c r="E62" s="145"/>
      <c r="F62" s="145"/>
      <c r="G62" s="145"/>
      <c r="H62" s="145"/>
      <c r="I62" s="141"/>
    </row>
    <row r="63" spans="2:9">
      <c r="B63" s="141"/>
      <c r="C63" s="144"/>
      <c r="D63" s="144"/>
      <c r="E63" s="144"/>
      <c r="F63" s="144"/>
      <c r="G63" s="144"/>
      <c r="H63" s="144"/>
      <c r="I63" s="141"/>
    </row>
    <row r="64" spans="2:9">
      <c r="B64" s="141"/>
      <c r="C64" s="145"/>
      <c r="D64" s="145"/>
      <c r="E64" s="145"/>
      <c r="F64" s="145"/>
      <c r="G64" s="145"/>
      <c r="H64" s="145"/>
      <c r="I64" s="141"/>
    </row>
    <row r="65" spans="2:9">
      <c r="B65" s="141"/>
      <c r="C65" s="144"/>
      <c r="D65" s="144"/>
      <c r="E65" s="144"/>
      <c r="F65" s="144"/>
      <c r="G65" s="144"/>
      <c r="H65" s="144"/>
      <c r="I65" s="141"/>
    </row>
    <row r="66" spans="2:9">
      <c r="B66" s="141"/>
      <c r="C66" s="145"/>
      <c r="D66" s="145"/>
      <c r="E66" s="145"/>
      <c r="F66" s="145"/>
      <c r="G66" s="145"/>
      <c r="H66" s="145"/>
      <c r="I66" s="141"/>
    </row>
    <row r="67" spans="2:9">
      <c r="B67" s="141"/>
      <c r="C67" s="144"/>
      <c r="D67" s="144"/>
      <c r="E67" s="144"/>
      <c r="F67" s="144"/>
      <c r="G67" s="144"/>
      <c r="H67" s="144"/>
      <c r="I67" s="141"/>
    </row>
    <row r="68" spans="2:9">
      <c r="B68" s="141"/>
      <c r="C68" s="145"/>
      <c r="D68" s="145"/>
      <c r="E68" s="145"/>
      <c r="F68" s="145"/>
      <c r="G68" s="145"/>
      <c r="H68" s="145"/>
      <c r="I68" s="141"/>
    </row>
    <row r="69" spans="2:9">
      <c r="B69" s="141"/>
      <c r="C69" s="144"/>
      <c r="D69" s="144"/>
      <c r="E69" s="144"/>
      <c r="F69" s="144"/>
      <c r="G69" s="144"/>
      <c r="H69" s="144"/>
      <c r="I69" s="141"/>
    </row>
    <row r="70" spans="2:9">
      <c r="B70" s="141"/>
      <c r="C70" s="145"/>
      <c r="D70" s="145"/>
      <c r="E70" s="145"/>
      <c r="F70" s="145"/>
      <c r="G70" s="145"/>
      <c r="H70" s="145"/>
      <c r="I70" s="141"/>
    </row>
    <row r="71" spans="2:9">
      <c r="B71" s="141"/>
      <c r="C71" s="144"/>
      <c r="D71" s="144"/>
      <c r="E71" s="144"/>
      <c r="F71" s="144"/>
      <c r="G71" s="144"/>
      <c r="H71" s="144"/>
      <c r="I71" s="141"/>
    </row>
    <row r="72" spans="2:9">
      <c r="B72" s="141"/>
      <c r="C72" s="145"/>
      <c r="D72" s="145"/>
      <c r="E72" s="145"/>
      <c r="F72" s="145"/>
      <c r="G72" s="145"/>
      <c r="H72" s="145"/>
      <c r="I72" s="141"/>
    </row>
    <row r="73" spans="2:9">
      <c r="B73" s="141"/>
      <c r="C73" s="144"/>
      <c r="D73" s="144"/>
      <c r="E73" s="144"/>
      <c r="F73" s="144"/>
      <c r="G73" s="144"/>
      <c r="H73" s="144"/>
      <c r="I73" s="141"/>
    </row>
    <row r="74" spans="2:9">
      <c r="B74" s="141"/>
      <c r="C74" s="145"/>
      <c r="D74" s="145"/>
      <c r="E74" s="145"/>
      <c r="F74" s="145"/>
      <c r="G74" s="145"/>
      <c r="H74" s="145"/>
      <c r="I74" s="141"/>
    </row>
    <row r="75" spans="2:9">
      <c r="B75" s="141"/>
      <c r="C75" s="144"/>
      <c r="D75" s="144"/>
      <c r="E75" s="144"/>
      <c r="F75" s="144"/>
      <c r="G75" s="144"/>
      <c r="H75" s="144"/>
      <c r="I75" s="141"/>
    </row>
    <row r="76" spans="2:9">
      <c r="B76" s="141"/>
      <c r="C76" s="145"/>
      <c r="D76" s="145"/>
      <c r="E76" s="145"/>
      <c r="F76" s="145"/>
      <c r="G76" s="145"/>
      <c r="H76" s="145"/>
      <c r="I76" s="141"/>
    </row>
    <row r="77" spans="2:9">
      <c r="B77" s="141"/>
      <c r="C77" s="144"/>
      <c r="D77" s="144"/>
      <c r="E77" s="144"/>
      <c r="F77" s="144"/>
      <c r="G77" s="144"/>
      <c r="H77" s="144"/>
      <c r="I77" s="141"/>
    </row>
    <row r="78" spans="2:9">
      <c r="B78" s="141"/>
      <c r="C78" s="145"/>
      <c r="D78" s="145"/>
      <c r="E78" s="145"/>
      <c r="F78" s="145"/>
      <c r="G78" s="145"/>
      <c r="H78" s="145"/>
      <c r="I78" s="141"/>
    </row>
    <row r="79" spans="2:9">
      <c r="B79" s="141"/>
      <c r="C79" s="144"/>
      <c r="D79" s="144"/>
      <c r="E79" s="144"/>
      <c r="F79" s="144"/>
      <c r="G79" s="144"/>
      <c r="H79" s="144"/>
      <c r="I79" s="141"/>
    </row>
    <row r="80" spans="2:9">
      <c r="B80" s="141"/>
      <c r="C80" s="145"/>
      <c r="D80" s="145"/>
      <c r="E80" s="145"/>
      <c r="F80" s="145"/>
      <c r="G80" s="145"/>
      <c r="H80" s="145"/>
      <c r="I80" s="141"/>
    </row>
    <row r="81" spans="2:9">
      <c r="B81" s="141"/>
      <c r="C81" s="144"/>
      <c r="D81" s="144"/>
      <c r="E81" s="144"/>
      <c r="F81" s="144"/>
      <c r="G81" s="144"/>
      <c r="H81" s="144"/>
      <c r="I81" s="141"/>
    </row>
    <row r="82" spans="2:9">
      <c r="B82" s="141"/>
      <c r="C82" s="145"/>
      <c r="D82" s="145"/>
      <c r="E82" s="145"/>
      <c r="F82" s="145"/>
      <c r="G82" s="145"/>
      <c r="H82" s="145"/>
      <c r="I82" s="141"/>
    </row>
    <row r="83" spans="2:9">
      <c r="B83" s="141"/>
      <c r="C83" s="144"/>
      <c r="D83" s="144"/>
      <c r="E83" s="144"/>
      <c r="F83" s="144"/>
      <c r="G83" s="144"/>
      <c r="H83" s="144"/>
      <c r="I83" s="141"/>
    </row>
    <row r="84" spans="2:9">
      <c r="B84" s="141"/>
      <c r="C84" s="145"/>
      <c r="D84" s="145"/>
      <c r="E84" s="145"/>
      <c r="F84" s="145"/>
      <c r="G84" s="145"/>
      <c r="H84" s="145"/>
      <c r="I84" s="141"/>
    </row>
    <row r="85" spans="2:9">
      <c r="B85" s="141"/>
      <c r="C85" s="144"/>
      <c r="D85" s="144"/>
      <c r="E85" s="144"/>
      <c r="F85" s="144"/>
      <c r="G85" s="144"/>
      <c r="H85" s="144"/>
      <c r="I85" s="141"/>
    </row>
    <row r="86" spans="2:9">
      <c r="B86" s="141"/>
      <c r="C86" s="145"/>
      <c r="D86" s="145"/>
      <c r="E86" s="145"/>
      <c r="F86" s="145"/>
      <c r="G86" s="145"/>
      <c r="H86" s="145"/>
      <c r="I86" s="141"/>
    </row>
    <row r="87" spans="2:9">
      <c r="B87" s="141"/>
      <c r="C87" s="144"/>
      <c r="D87" s="144"/>
      <c r="E87" s="144"/>
      <c r="F87" s="144"/>
      <c r="G87" s="144"/>
      <c r="H87" s="144"/>
      <c r="I87" s="141"/>
    </row>
    <row r="88" spans="2:9">
      <c r="B88" s="141"/>
      <c r="C88" s="145"/>
      <c r="D88" s="145"/>
      <c r="E88" s="145"/>
      <c r="F88" s="145"/>
      <c r="G88" s="145"/>
      <c r="H88" s="145"/>
      <c r="I88" s="141"/>
    </row>
    <row r="89" spans="2:9">
      <c r="B89" s="141"/>
      <c r="C89" s="144"/>
      <c r="D89" s="144"/>
      <c r="E89" s="144"/>
      <c r="F89" s="144"/>
      <c r="G89" s="144"/>
      <c r="H89" s="144"/>
      <c r="I89" s="141"/>
    </row>
    <row r="90" spans="2:9">
      <c r="B90" s="141"/>
      <c r="C90" s="145"/>
      <c r="D90" s="145"/>
      <c r="E90" s="145"/>
      <c r="F90" s="145"/>
      <c r="G90" s="145"/>
      <c r="H90" s="145"/>
      <c r="I90" s="141"/>
    </row>
    <row r="91" spans="2:9">
      <c r="B91" s="141"/>
      <c r="C91" s="144"/>
      <c r="D91" s="144"/>
      <c r="E91" s="144"/>
      <c r="F91" s="144"/>
      <c r="G91" s="144"/>
      <c r="H91" s="144"/>
      <c r="I91" s="141"/>
    </row>
    <row r="92" spans="2:9">
      <c r="B92" s="141"/>
      <c r="C92" s="145"/>
      <c r="D92" s="145"/>
      <c r="E92" s="145"/>
      <c r="F92" s="145"/>
      <c r="G92" s="145"/>
      <c r="H92" s="145"/>
      <c r="I92" s="141"/>
    </row>
    <row r="93" spans="2:9">
      <c r="B93" s="141"/>
      <c r="C93" s="144"/>
      <c r="D93" s="144"/>
      <c r="E93" s="144"/>
      <c r="F93" s="144"/>
      <c r="G93" s="144"/>
      <c r="H93" s="144"/>
      <c r="I93" s="141"/>
    </row>
    <row r="94" spans="2:9">
      <c r="B94" s="141"/>
      <c r="C94" s="145"/>
      <c r="D94" s="145"/>
      <c r="E94" s="145"/>
      <c r="F94" s="145"/>
      <c r="G94" s="145"/>
      <c r="H94" s="145"/>
      <c r="I94" s="141"/>
    </row>
    <row r="95" spans="2:9">
      <c r="B95" s="141"/>
      <c r="C95" s="144"/>
      <c r="D95" s="144"/>
      <c r="E95" s="144"/>
      <c r="F95" s="144"/>
      <c r="G95" s="144"/>
      <c r="H95" s="144"/>
      <c r="I95" s="141"/>
    </row>
    <row r="96" spans="2:9">
      <c r="B96" s="141"/>
      <c r="C96" s="145"/>
      <c r="D96" s="145"/>
      <c r="E96" s="145"/>
      <c r="F96" s="145"/>
      <c r="G96" s="145"/>
      <c r="H96" s="145"/>
      <c r="I96" s="141"/>
    </row>
    <row r="97" spans="2:9">
      <c r="B97" s="141"/>
      <c r="C97" s="144"/>
      <c r="D97" s="144"/>
      <c r="E97" s="144"/>
      <c r="F97" s="144"/>
      <c r="G97" s="144"/>
      <c r="H97" s="144"/>
      <c r="I97" s="141"/>
    </row>
    <row r="98" spans="2:9">
      <c r="B98" s="141"/>
      <c r="C98" s="145"/>
      <c r="D98" s="145"/>
      <c r="E98" s="145"/>
      <c r="F98" s="145"/>
      <c r="G98" s="145"/>
      <c r="H98" s="145"/>
      <c r="I98" s="141"/>
    </row>
    <row r="99" spans="2:9">
      <c r="B99" s="141"/>
      <c r="C99" s="144"/>
      <c r="D99" s="144"/>
      <c r="E99" s="144"/>
      <c r="F99" s="144"/>
      <c r="G99" s="144"/>
      <c r="H99" s="144"/>
      <c r="I99" s="141"/>
    </row>
    <row r="100" spans="2:9">
      <c r="B100" s="141"/>
      <c r="C100" s="145"/>
      <c r="D100" s="145"/>
      <c r="E100" s="145"/>
      <c r="F100" s="145"/>
      <c r="G100" s="145"/>
      <c r="H100" s="145"/>
      <c r="I100" s="141"/>
    </row>
    <row r="101" spans="2:9">
      <c r="B101" s="141"/>
      <c r="I101" s="141"/>
    </row>
    <row r="102" spans="2:9">
      <c r="B102" s="141"/>
      <c r="I102" s="141"/>
    </row>
    <row r="103" spans="2:9">
      <c r="B103" s="141"/>
      <c r="I103" s="141"/>
    </row>
    <row r="104" spans="2:9">
      <c r="B104" s="141"/>
      <c r="I104" s="141"/>
    </row>
    <row r="105" spans="2:9">
      <c r="B105" s="141"/>
      <c r="I105" s="141"/>
    </row>
    <row r="106" spans="2:9">
      <c r="B106" s="141"/>
      <c r="I106" s="141"/>
    </row>
    <row r="107" spans="2:9">
      <c r="B107" s="141"/>
      <c r="I107" s="141"/>
    </row>
    <row r="108" spans="2:9">
      <c r="B108" s="141"/>
      <c r="I108" s="141"/>
    </row>
    <row r="109" spans="2:9">
      <c r="B109" s="141"/>
      <c r="I109" s="141"/>
    </row>
    <row r="110" spans="2:9">
      <c r="B110" s="141"/>
      <c r="I110" s="141"/>
    </row>
    <row r="111" spans="2:9">
      <c r="B111" s="141"/>
      <c r="I111" s="141"/>
    </row>
    <row r="112" spans="2:9">
      <c r="B112" s="141"/>
      <c r="I112" s="141"/>
    </row>
    <row r="113" spans="2:9">
      <c r="B113" s="141"/>
      <c r="I113" s="141"/>
    </row>
    <row r="114" spans="2:9">
      <c r="B114" s="141"/>
      <c r="I114" s="141"/>
    </row>
    <row r="115" spans="2:9">
      <c r="B115" s="141"/>
      <c r="I115" s="141"/>
    </row>
    <row r="116" spans="2:9">
      <c r="B116" s="141"/>
      <c r="I116" s="141"/>
    </row>
    <row r="117" spans="2:9">
      <c r="B117" s="141"/>
      <c r="I117" s="141"/>
    </row>
    <row r="118" spans="2:9">
      <c r="B118" s="141"/>
      <c r="I118" s="141"/>
    </row>
    <row r="119" spans="2:9">
      <c r="B119" s="141"/>
      <c r="I119" s="141"/>
    </row>
    <row r="120" spans="2:9">
      <c r="B120" s="141"/>
      <c r="I120" s="141"/>
    </row>
    <row r="121" spans="2:9">
      <c r="B121" s="141"/>
      <c r="I121" s="141"/>
    </row>
    <row r="122" spans="2:9">
      <c r="B122" s="141"/>
      <c r="I122" s="141"/>
    </row>
    <row r="123" spans="2:9">
      <c r="B123" s="141"/>
      <c r="I123" s="141"/>
    </row>
    <row r="124" spans="2:9">
      <c r="B124" s="141"/>
      <c r="I124" s="141"/>
    </row>
    <row r="125" spans="2:9">
      <c r="B125" s="141"/>
      <c r="I125" s="141"/>
    </row>
    <row r="126" spans="2:9">
      <c r="B126" s="141"/>
      <c r="I126" s="141"/>
    </row>
    <row r="127" spans="2:9">
      <c r="B127" s="141"/>
      <c r="I127" s="141"/>
    </row>
    <row r="128" spans="2:9">
      <c r="B128" s="141"/>
      <c r="I128" s="141"/>
    </row>
    <row r="129" spans="2:9">
      <c r="B129" s="141"/>
      <c r="I129" s="141"/>
    </row>
    <row r="130" spans="2:9">
      <c r="B130" s="141"/>
      <c r="I130" s="141"/>
    </row>
    <row r="131" spans="2:9">
      <c r="B131" s="141"/>
      <c r="I131" s="141"/>
    </row>
    <row r="132" spans="2:9">
      <c r="B132" s="141"/>
      <c r="I132" s="141"/>
    </row>
    <row r="133" spans="2:9">
      <c r="B133" s="141"/>
      <c r="I133" s="141"/>
    </row>
    <row r="134" spans="2:9">
      <c r="B134" s="141"/>
      <c r="I134" s="141"/>
    </row>
    <row r="135" spans="2:9">
      <c r="B135" s="141"/>
      <c r="I135" s="141"/>
    </row>
    <row r="136" spans="2:9">
      <c r="B136" s="141"/>
      <c r="I136" s="141"/>
    </row>
    <row r="137" spans="2:9">
      <c r="B137" s="141"/>
      <c r="I137" s="141"/>
    </row>
    <row r="138" spans="2:9">
      <c r="B138" s="141"/>
      <c r="I138" s="141"/>
    </row>
    <row r="139" spans="2:9">
      <c r="B139" s="141"/>
      <c r="I139" s="141"/>
    </row>
    <row r="140" spans="2:9">
      <c r="B140" s="141"/>
      <c r="I140" s="141"/>
    </row>
    <row r="141" spans="2:9">
      <c r="B141" s="141"/>
      <c r="I141" s="141"/>
    </row>
    <row r="142" spans="2:9">
      <c r="B142" s="141"/>
      <c r="I142" s="141"/>
    </row>
    <row r="143" spans="2:9">
      <c r="B143" s="141"/>
      <c r="I143" s="141"/>
    </row>
    <row r="144" spans="2:9">
      <c r="B144" s="141"/>
      <c r="I144" s="141"/>
    </row>
    <row r="145" spans="2:9">
      <c r="B145" s="141"/>
      <c r="I145" s="141"/>
    </row>
    <row r="146" spans="2:9">
      <c r="B146" s="141"/>
      <c r="I146" s="141"/>
    </row>
    <row r="147" spans="2:9">
      <c r="B147" s="141"/>
      <c r="I147" s="141"/>
    </row>
    <row r="148" spans="2:9">
      <c r="B148" s="141"/>
      <c r="I148" s="141"/>
    </row>
    <row r="149" spans="2:9">
      <c r="B149" s="141"/>
      <c r="I149" s="141"/>
    </row>
    <row r="150" spans="2:9">
      <c r="B150" s="141"/>
      <c r="I150" s="141"/>
    </row>
    <row r="151" spans="2:9">
      <c r="B151" s="141"/>
      <c r="I151" s="141"/>
    </row>
    <row r="152" spans="2:9">
      <c r="B152" s="141"/>
      <c r="I152" s="141"/>
    </row>
    <row r="153" spans="2:9">
      <c r="B153" s="141"/>
      <c r="I153" s="141"/>
    </row>
    <row r="154" spans="2:9">
      <c r="B154" s="141"/>
      <c r="I154" s="141"/>
    </row>
    <row r="155" spans="2:9">
      <c r="B155" s="141"/>
      <c r="I155" s="141"/>
    </row>
    <row r="156" spans="2:9">
      <c r="B156" s="141"/>
      <c r="I156" s="141"/>
    </row>
    <row r="157" spans="2:9">
      <c r="B157" s="141"/>
      <c r="I157" s="141"/>
    </row>
    <row r="158" spans="2:9">
      <c r="B158" s="141"/>
      <c r="I158" s="141"/>
    </row>
    <row r="159" spans="2:9">
      <c r="B159" s="141"/>
      <c r="I159" s="141"/>
    </row>
    <row r="160" spans="2:9">
      <c r="B160" s="141"/>
      <c r="I160" s="141"/>
    </row>
    <row r="161" spans="2:9">
      <c r="B161" s="141"/>
      <c r="I161" s="141"/>
    </row>
    <row r="162" spans="2:9">
      <c r="B162" s="141"/>
      <c r="I162" s="141"/>
    </row>
    <row r="163" spans="2:9">
      <c r="B163" s="141"/>
      <c r="I163" s="141"/>
    </row>
    <row r="164" spans="2:9">
      <c r="B164" s="141"/>
      <c r="I164" s="141"/>
    </row>
    <row r="165" spans="2:9">
      <c r="B165" s="141"/>
      <c r="I165" s="141"/>
    </row>
    <row r="166" spans="2:9">
      <c r="B166" s="141"/>
      <c r="I166" s="141"/>
    </row>
    <row r="167" spans="2:9">
      <c r="B167" s="141"/>
      <c r="I167" s="141"/>
    </row>
    <row r="168" spans="2:9">
      <c r="B168" s="141"/>
      <c r="I168" s="141"/>
    </row>
    <row r="169" spans="2:9">
      <c r="B169" s="141"/>
      <c r="I169" s="141"/>
    </row>
    <row r="170" spans="2:9">
      <c r="B170" s="141"/>
      <c r="I170" s="141"/>
    </row>
    <row r="171" spans="2:9">
      <c r="B171" s="141"/>
      <c r="I171" s="141"/>
    </row>
    <row r="172" spans="2:9">
      <c r="B172" s="141"/>
      <c r="I172" s="141"/>
    </row>
    <row r="173" spans="2:9">
      <c r="B173" s="141"/>
      <c r="I173" s="141"/>
    </row>
    <row r="174" spans="2:9">
      <c r="B174" s="141"/>
      <c r="I174" s="141"/>
    </row>
    <row r="175" spans="2:9">
      <c r="B175" s="141"/>
      <c r="I175" s="141"/>
    </row>
    <row r="176" spans="2:9">
      <c r="B176" s="141"/>
      <c r="I176" s="141"/>
    </row>
    <row r="177" spans="2:9">
      <c r="B177" s="141"/>
      <c r="I177" s="141"/>
    </row>
    <row r="178" spans="2:9">
      <c r="B178" s="141"/>
      <c r="I178" s="141"/>
    </row>
    <row r="179" spans="2:9">
      <c r="B179" s="141"/>
      <c r="I179" s="141"/>
    </row>
    <row r="180" spans="2:9">
      <c r="B180" s="141"/>
      <c r="I180" s="141"/>
    </row>
    <row r="181" spans="2:9">
      <c r="B181" s="141"/>
      <c r="I181" s="141"/>
    </row>
    <row r="182" spans="2:9">
      <c r="B182" s="141"/>
      <c r="I182" s="141"/>
    </row>
    <row r="183" spans="2:9">
      <c r="B183" s="141"/>
      <c r="I183" s="141"/>
    </row>
    <row r="184" spans="2:9">
      <c r="B184" s="141"/>
      <c r="I184" s="141"/>
    </row>
    <row r="185" spans="2:9">
      <c r="B185" s="141"/>
      <c r="I185" s="141"/>
    </row>
    <row r="186" spans="2:9">
      <c r="B186" s="141"/>
      <c r="I186" s="141"/>
    </row>
    <row r="187" spans="2:9">
      <c r="B187" s="141"/>
      <c r="I187" s="141"/>
    </row>
    <row r="188" spans="2:9">
      <c r="B188" s="141"/>
      <c r="I188" s="141"/>
    </row>
    <row r="189" spans="2:9">
      <c r="B189" s="141"/>
      <c r="I189" s="141"/>
    </row>
    <row r="190" spans="2:9">
      <c r="B190" s="141"/>
      <c r="I190" s="141"/>
    </row>
    <row r="191" spans="2:9">
      <c r="B191" s="141"/>
      <c r="I191" s="141"/>
    </row>
    <row r="192" spans="2:9">
      <c r="B192" s="141"/>
      <c r="I192" s="141"/>
    </row>
    <row r="193" spans="2:9">
      <c r="B193" s="141"/>
      <c r="I193" s="141"/>
    </row>
    <row r="194" spans="2:9">
      <c r="B194" s="141"/>
      <c r="I194" s="141"/>
    </row>
    <row r="195" spans="2:9">
      <c r="B195" s="141"/>
      <c r="I195" s="141"/>
    </row>
    <row r="196" spans="2:9">
      <c r="B196" s="141"/>
      <c r="I196" s="141"/>
    </row>
    <row r="197" spans="2:9">
      <c r="B197" s="141"/>
      <c r="I197" s="141"/>
    </row>
    <row r="198" spans="2:9">
      <c r="B198" s="141"/>
      <c r="I198" s="141"/>
    </row>
    <row r="199" spans="2:9">
      <c r="B199" s="141"/>
      <c r="I199" s="141"/>
    </row>
    <row r="200" spans="2:9">
      <c r="B200" s="141"/>
      <c r="I200" s="141"/>
    </row>
    <row r="201" spans="2:9">
      <c r="B201" s="141"/>
      <c r="I201" s="141"/>
    </row>
    <row r="202" spans="2:9">
      <c r="B202" s="141"/>
      <c r="I202" s="141"/>
    </row>
    <row r="203" spans="2:9">
      <c r="B203" s="141"/>
      <c r="I203" s="141"/>
    </row>
    <row r="204" spans="2:9">
      <c r="B204" s="141"/>
      <c r="I204" s="141"/>
    </row>
    <row r="205" spans="2:9">
      <c r="B205" s="141"/>
      <c r="I205" s="141"/>
    </row>
    <row r="206" spans="2:9">
      <c r="B206" s="141"/>
      <c r="I206" s="141"/>
    </row>
    <row r="207" spans="2:9">
      <c r="B207" s="141"/>
      <c r="I207" s="141"/>
    </row>
    <row r="208" spans="2:9">
      <c r="B208" s="141"/>
      <c r="I208" s="141"/>
    </row>
    <row r="209" spans="2:9">
      <c r="B209" s="141"/>
      <c r="I209" s="141"/>
    </row>
    <row r="210" spans="2:9">
      <c r="B210" s="141"/>
      <c r="I210" s="141"/>
    </row>
    <row r="211" spans="2:9">
      <c r="B211" s="141"/>
      <c r="I211" s="141"/>
    </row>
    <row r="212" spans="2:9">
      <c r="B212" s="141"/>
      <c r="I212" s="141"/>
    </row>
    <row r="213" spans="2:9">
      <c r="B213" s="141"/>
      <c r="I213" s="141"/>
    </row>
    <row r="214" spans="2:9">
      <c r="B214" s="141"/>
      <c r="I214" s="141"/>
    </row>
    <row r="215" spans="2:9">
      <c r="B215" s="141"/>
      <c r="I215" s="141"/>
    </row>
    <row r="216" spans="2:9">
      <c r="B216" s="141"/>
      <c r="I216" s="141"/>
    </row>
    <row r="217" spans="2:9">
      <c r="B217" s="141"/>
      <c r="I217" s="141"/>
    </row>
    <row r="218" spans="2:9">
      <c r="B218" s="141"/>
      <c r="I218" s="141"/>
    </row>
    <row r="219" spans="2:9">
      <c r="B219" s="141"/>
      <c r="I219" s="141"/>
    </row>
    <row r="220" spans="2:9">
      <c r="B220" s="141"/>
      <c r="I220" s="141"/>
    </row>
    <row r="221" spans="2:9">
      <c r="B221" s="141"/>
      <c r="I221" s="141"/>
    </row>
    <row r="222" spans="2:9">
      <c r="B222" s="141"/>
      <c r="I222" s="141"/>
    </row>
    <row r="223" spans="2:9">
      <c r="B223" s="141"/>
      <c r="I223" s="141"/>
    </row>
    <row r="224" spans="2:9">
      <c r="B224" s="141"/>
      <c r="I224" s="141"/>
    </row>
    <row r="225" spans="2:9">
      <c r="B225" s="141"/>
      <c r="I225" s="141"/>
    </row>
    <row r="226" spans="2:9">
      <c r="B226" s="141"/>
      <c r="I226" s="141"/>
    </row>
    <row r="227" spans="2:9">
      <c r="B227" s="141"/>
      <c r="I227" s="141"/>
    </row>
    <row r="228" spans="2:9">
      <c r="B228" s="141"/>
      <c r="I228" s="141"/>
    </row>
    <row r="229" spans="2:9">
      <c r="B229" s="141"/>
      <c r="I229" s="141"/>
    </row>
    <row r="230" spans="2:9">
      <c r="B230" s="141"/>
      <c r="I230" s="141"/>
    </row>
    <row r="231" spans="2:9">
      <c r="B231" s="141"/>
      <c r="I231" s="141"/>
    </row>
    <row r="232" spans="2:9">
      <c r="B232" s="141"/>
      <c r="I232" s="141"/>
    </row>
    <row r="233" spans="2:9">
      <c r="B233" s="141"/>
      <c r="I233" s="141"/>
    </row>
    <row r="234" spans="2:9">
      <c r="B234" s="141"/>
      <c r="I234" s="141"/>
    </row>
    <row r="235" spans="2:9">
      <c r="B235" s="141"/>
      <c r="I235" s="141"/>
    </row>
    <row r="236" spans="2:9">
      <c r="B236" s="141"/>
      <c r="I236" s="141"/>
    </row>
    <row r="237" spans="2:9">
      <c r="B237" s="141"/>
      <c r="I237" s="141"/>
    </row>
    <row r="238" spans="2:9">
      <c r="B238" s="141"/>
      <c r="I238" s="141"/>
    </row>
    <row r="239" spans="2:9">
      <c r="B239" s="141"/>
      <c r="I239" s="141"/>
    </row>
    <row r="240" spans="2:9">
      <c r="B240" s="141"/>
      <c r="I240" s="141"/>
    </row>
    <row r="241" spans="2:9">
      <c r="B241" s="141"/>
      <c r="I241" s="141"/>
    </row>
    <row r="242" spans="2:9">
      <c r="B242" s="141"/>
      <c r="I242" s="141"/>
    </row>
    <row r="243" spans="2:9">
      <c r="B243" s="141"/>
      <c r="I243" s="141"/>
    </row>
    <row r="244" spans="2:9">
      <c r="B244" s="141"/>
      <c r="I244" s="141"/>
    </row>
    <row r="245" spans="2:9">
      <c r="B245" s="141"/>
      <c r="I245" s="141"/>
    </row>
    <row r="246" spans="2:9">
      <c r="B246" s="141"/>
      <c r="I246" s="141"/>
    </row>
    <row r="247" spans="2:9">
      <c r="B247" s="141"/>
      <c r="I247" s="141"/>
    </row>
    <row r="248" spans="2:9">
      <c r="B248" s="141"/>
      <c r="I248" s="141"/>
    </row>
    <row r="249" spans="2:9">
      <c r="B249" s="141"/>
      <c r="I249" s="141"/>
    </row>
    <row r="250" spans="2:9">
      <c r="B250" s="141"/>
      <c r="I250" s="141"/>
    </row>
    <row r="251" spans="2:9">
      <c r="B251" s="141"/>
      <c r="I251" s="141"/>
    </row>
    <row r="252" spans="2:9">
      <c r="B252" s="141"/>
      <c r="I252" s="141"/>
    </row>
    <row r="253" spans="2:9">
      <c r="B253" s="141"/>
      <c r="I253" s="141"/>
    </row>
    <row r="254" spans="2:9">
      <c r="B254" s="141"/>
      <c r="I254" s="141"/>
    </row>
    <row r="255" spans="2:9">
      <c r="B255" s="141"/>
      <c r="I255" s="141"/>
    </row>
    <row r="256" spans="2:9">
      <c r="B256" s="141"/>
      <c r="I256" s="141"/>
    </row>
    <row r="257" spans="2:9">
      <c r="B257" s="141"/>
      <c r="I257" s="141"/>
    </row>
    <row r="258" spans="2:9">
      <c r="B258" s="141"/>
      <c r="I258" s="141"/>
    </row>
    <row r="259" spans="2:9">
      <c r="B259" s="141"/>
      <c r="I259" s="141"/>
    </row>
    <row r="260" spans="2:9">
      <c r="B260" s="141"/>
      <c r="I260" s="141"/>
    </row>
    <row r="261" spans="2:9">
      <c r="B261" s="141"/>
      <c r="I261" s="141"/>
    </row>
    <row r="262" spans="2:9">
      <c r="B262" s="141"/>
      <c r="I262" s="141"/>
    </row>
    <row r="263" spans="2:9">
      <c r="B263" s="141"/>
      <c r="I263" s="141"/>
    </row>
    <row r="264" spans="2:9">
      <c r="B264" s="141"/>
      <c r="I264" s="141"/>
    </row>
    <row r="265" spans="2:9">
      <c r="B265" s="141"/>
      <c r="I265" s="141"/>
    </row>
    <row r="266" spans="2:9">
      <c r="B266" s="141"/>
      <c r="I266" s="141"/>
    </row>
    <row r="267" spans="2:9">
      <c r="B267" s="141"/>
      <c r="I267" s="141"/>
    </row>
    <row r="268" spans="2:9">
      <c r="B268" s="141"/>
      <c r="I268" s="141"/>
    </row>
    <row r="269" spans="2:9">
      <c r="B269" s="141"/>
      <c r="I269" s="141"/>
    </row>
    <row r="270" spans="2:9">
      <c r="B270" s="141"/>
      <c r="I270" s="141"/>
    </row>
    <row r="271" spans="2:9">
      <c r="B271" s="141"/>
      <c r="I271" s="141"/>
    </row>
    <row r="272" spans="2:9">
      <c r="B272" s="141"/>
      <c r="I272" s="141"/>
    </row>
    <row r="273" spans="2:9">
      <c r="B273" s="141"/>
      <c r="I273" s="141"/>
    </row>
    <row r="274" spans="2:9">
      <c r="B274" s="141"/>
      <c r="I274" s="141"/>
    </row>
    <row r="275" spans="2:9">
      <c r="B275" s="141"/>
      <c r="I275" s="141"/>
    </row>
    <row r="276" spans="2:9">
      <c r="B276" s="141"/>
      <c r="I276" s="141"/>
    </row>
    <row r="277" spans="2:9">
      <c r="B277" s="141"/>
      <c r="I277" s="141"/>
    </row>
    <row r="278" spans="2:9">
      <c r="B278" s="141"/>
      <c r="I278" s="141"/>
    </row>
    <row r="279" spans="2:9">
      <c r="B279" s="141"/>
      <c r="I279" s="141"/>
    </row>
    <row r="280" spans="2:9">
      <c r="B280" s="141"/>
      <c r="I280" s="141"/>
    </row>
    <row r="281" spans="2:9">
      <c r="B281" s="141"/>
      <c r="I281" s="141"/>
    </row>
    <row r="282" spans="2:9">
      <c r="B282" s="141"/>
      <c r="I282" s="141"/>
    </row>
    <row r="283" spans="2:9">
      <c r="B283" s="141"/>
      <c r="I283" s="141"/>
    </row>
    <row r="284" spans="2:9">
      <c r="B284" s="141"/>
      <c r="I284" s="141"/>
    </row>
    <row r="285" spans="2:9">
      <c r="B285" s="141"/>
      <c r="I285" s="141"/>
    </row>
    <row r="286" spans="2:9">
      <c r="B286" s="141"/>
      <c r="I286" s="141"/>
    </row>
    <row r="287" spans="2:9">
      <c r="B287" s="141"/>
      <c r="I287" s="141"/>
    </row>
    <row r="288" spans="2:9">
      <c r="B288" s="141"/>
      <c r="I288" s="141"/>
    </row>
    <row r="289" spans="2:9">
      <c r="B289" s="141"/>
      <c r="I289" s="141"/>
    </row>
    <row r="290" spans="2:9">
      <c r="B290" s="141"/>
      <c r="I290" s="141"/>
    </row>
    <row r="291" spans="2:9">
      <c r="B291" s="141"/>
      <c r="I291" s="141"/>
    </row>
    <row r="292" spans="2:9">
      <c r="B292" s="141"/>
      <c r="I292" s="141"/>
    </row>
    <row r="293" spans="2:9">
      <c r="B293" s="141"/>
      <c r="I293" s="141"/>
    </row>
    <row r="294" spans="2:9">
      <c r="B294" s="141"/>
      <c r="I294" s="141"/>
    </row>
    <row r="295" spans="2:9">
      <c r="B295" s="141"/>
      <c r="I295" s="141"/>
    </row>
    <row r="296" spans="2:9">
      <c r="B296" s="141"/>
      <c r="I296" s="141"/>
    </row>
    <row r="297" spans="2:9">
      <c r="B297" s="141"/>
      <c r="I297" s="141"/>
    </row>
    <row r="298" spans="2:9">
      <c r="B298" s="141"/>
      <c r="I298" s="141"/>
    </row>
    <row r="299" spans="2:9">
      <c r="B299" s="141"/>
      <c r="I299" s="141"/>
    </row>
    <row r="300" spans="2:9">
      <c r="B300" s="141"/>
      <c r="I300" s="141"/>
    </row>
    <row r="301" spans="2:9">
      <c r="B301" s="141"/>
      <c r="I301" s="141"/>
    </row>
    <row r="302" spans="2:9">
      <c r="B302" s="141"/>
      <c r="I302" s="141"/>
    </row>
    <row r="303" spans="2:9">
      <c r="B303" s="141"/>
      <c r="I303" s="141"/>
    </row>
    <row r="304" spans="2:9">
      <c r="B304" s="141"/>
      <c r="I304" s="141"/>
    </row>
    <row r="305" spans="2:9">
      <c r="B305" s="141"/>
      <c r="I305" s="141"/>
    </row>
    <row r="306" spans="2:9">
      <c r="B306" s="141"/>
      <c r="I306" s="141"/>
    </row>
    <row r="307" spans="2:9">
      <c r="B307" s="141"/>
      <c r="I307" s="141"/>
    </row>
    <row r="308" spans="2:9">
      <c r="B308" s="141"/>
      <c r="I308" s="141"/>
    </row>
    <row r="309" spans="2:9">
      <c r="B309" s="141"/>
      <c r="I309" s="141"/>
    </row>
    <row r="310" spans="2:9">
      <c r="B310" s="141"/>
      <c r="I310" s="141"/>
    </row>
    <row r="311" spans="2:9">
      <c r="B311" s="141"/>
      <c r="I311" s="141"/>
    </row>
    <row r="312" spans="2:9">
      <c r="B312" s="141"/>
      <c r="I312" s="141"/>
    </row>
    <row r="313" spans="2:9">
      <c r="B313" s="141"/>
      <c r="I313" s="141"/>
    </row>
    <row r="314" spans="2:9">
      <c r="B314" s="141"/>
      <c r="I314" s="141"/>
    </row>
    <row r="315" spans="2:9">
      <c r="B315" s="141"/>
      <c r="I315" s="141"/>
    </row>
    <row r="316" spans="2:9">
      <c r="B316" s="141"/>
      <c r="I316" s="141"/>
    </row>
    <row r="317" spans="2:9">
      <c r="B317" s="141"/>
      <c r="I317" s="141"/>
    </row>
    <row r="318" spans="2:9">
      <c r="B318" s="141"/>
      <c r="I318" s="141"/>
    </row>
    <row r="319" spans="2:9">
      <c r="B319" s="141"/>
      <c r="I319" s="141"/>
    </row>
    <row r="320" spans="2:9">
      <c r="B320" s="141"/>
      <c r="I320" s="141"/>
    </row>
    <row r="321" spans="2:9">
      <c r="B321" s="141"/>
      <c r="I321" s="141"/>
    </row>
    <row r="322" spans="2:9">
      <c r="B322" s="141"/>
      <c r="I322" s="141"/>
    </row>
    <row r="323" spans="2:9">
      <c r="B323" s="141"/>
      <c r="I323" s="141"/>
    </row>
    <row r="324" spans="2:9">
      <c r="B324" s="141"/>
      <c r="I324" s="141"/>
    </row>
    <row r="325" spans="2:9">
      <c r="B325" s="141"/>
      <c r="I325" s="141"/>
    </row>
    <row r="326" spans="2:9">
      <c r="B326" s="141"/>
      <c r="I326" s="141"/>
    </row>
    <row r="327" spans="2:9">
      <c r="B327" s="141"/>
      <c r="I327" s="141"/>
    </row>
    <row r="328" spans="2:9">
      <c r="B328" s="141"/>
      <c r="I328" s="141"/>
    </row>
    <row r="329" spans="2:9">
      <c r="B329" s="141"/>
      <c r="I329" s="141"/>
    </row>
    <row r="330" spans="2:9">
      <c r="B330" s="141"/>
      <c r="I330" s="141"/>
    </row>
    <row r="331" spans="2:9">
      <c r="B331" s="141"/>
      <c r="I331" s="141"/>
    </row>
    <row r="332" spans="2:9">
      <c r="B332" s="141"/>
      <c r="I332" s="141"/>
    </row>
    <row r="333" spans="2:9">
      <c r="B333" s="141"/>
      <c r="I333" s="141"/>
    </row>
    <row r="334" spans="2:9">
      <c r="B334" s="141"/>
      <c r="I334" s="141"/>
    </row>
    <row r="335" spans="2:9">
      <c r="B335" s="141"/>
      <c r="I335" s="141"/>
    </row>
    <row r="336" spans="2:9">
      <c r="B336" s="141"/>
      <c r="I336" s="141"/>
    </row>
    <row r="337" spans="2:9">
      <c r="B337" s="141"/>
      <c r="I337" s="141"/>
    </row>
    <row r="338" spans="2:9">
      <c r="B338" s="141"/>
      <c r="I338" s="141"/>
    </row>
    <row r="339" spans="2:9">
      <c r="B339" s="141"/>
      <c r="I339" s="141"/>
    </row>
    <row r="340" spans="2:9">
      <c r="B340" s="141"/>
      <c r="I340" s="141"/>
    </row>
    <row r="341" spans="2:9">
      <c r="B341" s="141"/>
      <c r="I341" s="141"/>
    </row>
    <row r="342" spans="2:9">
      <c r="B342" s="141"/>
      <c r="I342" s="141"/>
    </row>
    <row r="343" spans="2:9">
      <c r="B343" s="141"/>
      <c r="I343" s="141"/>
    </row>
    <row r="344" spans="2:9">
      <c r="B344" s="141"/>
      <c r="I344" s="141"/>
    </row>
    <row r="345" spans="2:9">
      <c r="B345" s="141"/>
      <c r="I345" s="141"/>
    </row>
    <row r="346" spans="2:9">
      <c r="B346" s="141"/>
      <c r="I346" s="141"/>
    </row>
    <row r="347" spans="2:9">
      <c r="B347" s="141"/>
      <c r="I347" s="141"/>
    </row>
    <row r="348" spans="2:9">
      <c r="B348" s="141"/>
      <c r="I348" s="141"/>
    </row>
    <row r="349" spans="2:9">
      <c r="B349" s="141"/>
      <c r="I349" s="141"/>
    </row>
    <row r="350" spans="2:9">
      <c r="B350" s="141"/>
      <c r="I350" s="141"/>
    </row>
    <row r="351" spans="2:9">
      <c r="B351" s="141"/>
      <c r="I351" s="141"/>
    </row>
    <row r="352" spans="2:9">
      <c r="B352" s="141"/>
      <c r="I352" s="141"/>
    </row>
    <row r="353" spans="2:9">
      <c r="B353" s="141"/>
      <c r="I353" s="141"/>
    </row>
    <row r="354" spans="2:9">
      <c r="B354" s="141"/>
      <c r="I354" s="141"/>
    </row>
    <row r="355" spans="2:9">
      <c r="B355" s="141"/>
      <c r="I355" s="141"/>
    </row>
    <row r="356" spans="2:9">
      <c r="B356" s="141"/>
      <c r="I356" s="141"/>
    </row>
    <row r="357" spans="2:9">
      <c r="B357" s="141"/>
      <c r="I357" s="141"/>
    </row>
    <row r="358" spans="2:9">
      <c r="B358" s="141"/>
      <c r="I358" s="141"/>
    </row>
    <row r="359" spans="2:9">
      <c r="B359" s="141"/>
      <c r="I359" s="141"/>
    </row>
    <row r="360" spans="2:9">
      <c r="B360" s="141"/>
      <c r="I360" s="141"/>
    </row>
    <row r="361" spans="2:9">
      <c r="B361" s="141"/>
      <c r="I361" s="141"/>
    </row>
    <row r="362" spans="2:9">
      <c r="B362" s="141"/>
      <c r="I362" s="141"/>
    </row>
    <row r="363" spans="2:9">
      <c r="B363" s="141"/>
      <c r="I363" s="141"/>
    </row>
    <row r="364" spans="2:9">
      <c r="B364" s="141"/>
      <c r="I364" s="141"/>
    </row>
    <row r="365" spans="2:9">
      <c r="B365" s="141"/>
      <c r="I365" s="141"/>
    </row>
    <row r="366" spans="2:9">
      <c r="B366" s="141"/>
      <c r="I366" s="141"/>
    </row>
    <row r="367" spans="2:9">
      <c r="B367" s="141"/>
      <c r="I367" s="141"/>
    </row>
    <row r="368" spans="2:9">
      <c r="B368" s="141"/>
      <c r="I368" s="141"/>
    </row>
    <row r="369" spans="2:9">
      <c r="B369" s="141"/>
      <c r="I369" s="141"/>
    </row>
    <row r="370" spans="2:9">
      <c r="B370" s="141"/>
      <c r="I370" s="141"/>
    </row>
    <row r="371" spans="2:9">
      <c r="B371" s="141"/>
      <c r="I371" s="141"/>
    </row>
    <row r="372" spans="2:9">
      <c r="B372" s="141"/>
      <c r="I372" s="141"/>
    </row>
    <row r="373" spans="2:9">
      <c r="B373" s="141"/>
      <c r="I373" s="141"/>
    </row>
    <row r="374" spans="2:9">
      <c r="B374" s="141"/>
      <c r="I374" s="141"/>
    </row>
    <row r="375" spans="2:9">
      <c r="B375" s="141"/>
      <c r="I375" s="141"/>
    </row>
    <row r="376" spans="2:9">
      <c r="B376" s="141"/>
      <c r="I376" s="141"/>
    </row>
    <row r="377" spans="2:9">
      <c r="B377" s="141"/>
      <c r="I377" s="141"/>
    </row>
    <row r="378" spans="2:9">
      <c r="B378" s="141"/>
      <c r="I378" s="141"/>
    </row>
    <row r="379" spans="2:9">
      <c r="B379" s="141"/>
      <c r="I379" s="141"/>
    </row>
    <row r="380" spans="2:9">
      <c r="B380" s="141"/>
      <c r="I380" s="141"/>
    </row>
    <row r="381" spans="2:9">
      <c r="B381" s="141"/>
      <c r="I381" s="141"/>
    </row>
    <row r="382" spans="2:9">
      <c r="B382" s="141"/>
      <c r="I382" s="141"/>
    </row>
    <row r="383" spans="2:9">
      <c r="B383" s="141"/>
      <c r="I383" s="141"/>
    </row>
    <row r="384" spans="2:9">
      <c r="B384" s="141"/>
      <c r="I384" s="141"/>
    </row>
    <row r="385" spans="2:9">
      <c r="B385" s="141"/>
      <c r="I385" s="141"/>
    </row>
    <row r="386" spans="2:9">
      <c r="B386" s="141"/>
      <c r="I386" s="141"/>
    </row>
    <row r="387" spans="2:9">
      <c r="B387" s="141"/>
      <c r="I387" s="141"/>
    </row>
    <row r="388" spans="2:9">
      <c r="B388" s="141"/>
      <c r="I388" s="141"/>
    </row>
    <row r="389" spans="2:9">
      <c r="B389" s="141"/>
      <c r="I389" s="141"/>
    </row>
    <row r="390" spans="2:9">
      <c r="B390" s="141"/>
      <c r="I390" s="141"/>
    </row>
    <row r="391" spans="2:9">
      <c r="B391" s="141"/>
      <c r="I391" s="141"/>
    </row>
    <row r="392" spans="2:9">
      <c r="B392" s="141"/>
      <c r="I392" s="141"/>
    </row>
    <row r="393" spans="2:9">
      <c r="B393" s="141"/>
      <c r="I393" s="141"/>
    </row>
    <row r="394" spans="2:9">
      <c r="B394" s="141"/>
      <c r="I394" s="141"/>
    </row>
    <row r="395" spans="2:9">
      <c r="B395" s="141"/>
      <c r="I395" s="141"/>
    </row>
    <row r="396" spans="2:9">
      <c r="B396" s="141"/>
      <c r="I396" s="141"/>
    </row>
    <row r="397" spans="2:9">
      <c r="B397" s="141"/>
      <c r="I397" s="141"/>
    </row>
    <row r="398" spans="2:9">
      <c r="B398" s="141"/>
      <c r="I398" s="141"/>
    </row>
    <row r="399" spans="2:9">
      <c r="B399" s="141"/>
      <c r="I399" s="141"/>
    </row>
    <row r="400" spans="2:9">
      <c r="B400" s="141"/>
      <c r="I400" s="141"/>
    </row>
    <row r="401" spans="2:9">
      <c r="B401" s="141"/>
      <c r="I401" s="141"/>
    </row>
    <row r="402" spans="2:9">
      <c r="B402" s="141"/>
      <c r="I402" s="141"/>
    </row>
    <row r="403" spans="2:9">
      <c r="B403" s="141"/>
      <c r="I403" s="141"/>
    </row>
    <row r="404" spans="2:9">
      <c r="B404" s="141"/>
      <c r="I404" s="141"/>
    </row>
    <row r="405" spans="2:9">
      <c r="B405" s="141"/>
      <c r="I405" s="141"/>
    </row>
    <row r="406" spans="2:9">
      <c r="B406" s="141"/>
      <c r="I406" s="141"/>
    </row>
    <row r="407" spans="2:9">
      <c r="B407" s="141"/>
      <c r="I407" s="141"/>
    </row>
    <row r="408" spans="2:9">
      <c r="B408" s="141"/>
      <c r="I408" s="141"/>
    </row>
    <row r="409" spans="2:9">
      <c r="B409" s="141"/>
      <c r="I409" s="141"/>
    </row>
    <row r="410" spans="2:9">
      <c r="B410" s="141"/>
      <c r="I410" s="141"/>
    </row>
    <row r="411" spans="2:9">
      <c r="B411" s="141"/>
      <c r="I411" s="141"/>
    </row>
    <row r="412" spans="2:9">
      <c r="B412" s="141"/>
      <c r="I412" s="141"/>
    </row>
    <row r="413" spans="2:9">
      <c r="B413" s="141"/>
      <c r="I413" s="141"/>
    </row>
    <row r="414" spans="2:9">
      <c r="B414" s="141"/>
      <c r="I414" s="141"/>
    </row>
    <row r="415" spans="2:9">
      <c r="B415" s="141"/>
      <c r="I415" s="141"/>
    </row>
    <row r="416" spans="2:9">
      <c r="B416" s="141"/>
      <c r="I416" s="141"/>
    </row>
    <row r="417" spans="2:9">
      <c r="B417" s="141"/>
      <c r="I417" s="141"/>
    </row>
    <row r="418" spans="2:9">
      <c r="B418" s="141"/>
      <c r="I418" s="141"/>
    </row>
    <row r="419" spans="2:9">
      <c r="B419" s="141"/>
      <c r="I419" s="141"/>
    </row>
    <row r="420" spans="2:9">
      <c r="B420" s="141"/>
      <c r="I420" s="141"/>
    </row>
    <row r="421" spans="2:9">
      <c r="B421" s="141"/>
      <c r="I421" s="141"/>
    </row>
    <row r="422" spans="2:9">
      <c r="B422" s="141"/>
      <c r="I422" s="141"/>
    </row>
    <row r="423" spans="2:9">
      <c r="B423" s="141"/>
      <c r="I423" s="141"/>
    </row>
    <row r="424" spans="2:9">
      <c r="B424" s="141"/>
      <c r="I424" s="141"/>
    </row>
    <row r="425" spans="2:9">
      <c r="B425" s="141"/>
      <c r="I425" s="141"/>
    </row>
    <row r="426" spans="2:9">
      <c r="B426" s="141"/>
      <c r="I426" s="141"/>
    </row>
    <row r="427" spans="2:9">
      <c r="B427" s="141"/>
      <c r="I427" s="141"/>
    </row>
    <row r="428" spans="2:9">
      <c r="B428" s="141"/>
      <c r="I428" s="141"/>
    </row>
    <row r="429" spans="2:9">
      <c r="B429" s="141"/>
      <c r="I429" s="141"/>
    </row>
    <row r="430" spans="2:9">
      <c r="B430" s="141"/>
      <c r="I430" s="141"/>
    </row>
    <row r="431" spans="2:9">
      <c r="B431" s="141"/>
      <c r="I431" s="141"/>
    </row>
    <row r="432" spans="2:9">
      <c r="B432" s="141"/>
      <c r="I432" s="141"/>
    </row>
    <row r="433" spans="2:9">
      <c r="B433" s="141"/>
      <c r="I433" s="141"/>
    </row>
    <row r="434" spans="2:9">
      <c r="B434" s="141"/>
      <c r="I434" s="141"/>
    </row>
    <row r="435" spans="2:9">
      <c r="B435" s="141"/>
      <c r="I435" s="141"/>
    </row>
    <row r="436" spans="2:9">
      <c r="B436" s="141"/>
      <c r="I436" s="141"/>
    </row>
    <row r="437" spans="2:9">
      <c r="B437" s="141"/>
      <c r="I437" s="141"/>
    </row>
    <row r="438" spans="2:9">
      <c r="B438" s="141"/>
      <c r="I438" s="141"/>
    </row>
    <row r="439" spans="2:9">
      <c r="B439" s="141"/>
      <c r="I439" s="141"/>
    </row>
    <row r="440" spans="2:9">
      <c r="B440" s="141"/>
      <c r="I440" s="141"/>
    </row>
    <row r="441" spans="2:9">
      <c r="B441" s="141"/>
      <c r="I441" s="141"/>
    </row>
    <row r="442" spans="2:9">
      <c r="B442" s="141"/>
      <c r="I442" s="141"/>
    </row>
    <row r="443" spans="2:9">
      <c r="B443" s="141"/>
      <c r="I443" s="141"/>
    </row>
    <row r="444" spans="2:9">
      <c r="B444" s="141"/>
      <c r="I444" s="141"/>
    </row>
    <row r="445" spans="2:9">
      <c r="B445" s="141"/>
      <c r="I445" s="141"/>
    </row>
    <row r="446" spans="2:9">
      <c r="B446" s="141"/>
      <c r="I446" s="141"/>
    </row>
    <row r="447" spans="2:9">
      <c r="B447" s="141"/>
      <c r="I447" s="141"/>
    </row>
    <row r="448" spans="2:9">
      <c r="B448" s="141"/>
      <c r="I448" s="141"/>
    </row>
    <row r="449" spans="2:9">
      <c r="B449" s="141"/>
      <c r="I449" s="141"/>
    </row>
    <row r="450" spans="2:9">
      <c r="B450" s="141"/>
      <c r="I450" s="141"/>
    </row>
    <row r="451" spans="2:9">
      <c r="B451" s="141"/>
      <c r="I451" s="141"/>
    </row>
    <row r="452" spans="2:9">
      <c r="B452" s="141"/>
      <c r="I452" s="141"/>
    </row>
    <row r="453" spans="2:9">
      <c r="B453" s="141"/>
      <c r="I453" s="141"/>
    </row>
    <row r="454" spans="2:9">
      <c r="B454" s="141"/>
      <c r="I454" s="141"/>
    </row>
    <row r="455" spans="2:9">
      <c r="B455" s="141"/>
      <c r="I455" s="141"/>
    </row>
    <row r="456" spans="2:9">
      <c r="B456" s="141"/>
      <c r="I456" s="141"/>
    </row>
    <row r="457" spans="2:9">
      <c r="B457" s="141"/>
      <c r="I457" s="141"/>
    </row>
    <row r="458" spans="2:9">
      <c r="B458" s="141"/>
      <c r="I458" s="141"/>
    </row>
    <row r="459" spans="2:9">
      <c r="B459" s="141"/>
      <c r="I459" s="141"/>
    </row>
    <row r="460" spans="2:9">
      <c r="B460" s="141"/>
      <c r="I460" s="141"/>
    </row>
    <row r="461" spans="2:9">
      <c r="B461" s="141"/>
      <c r="I461" s="141"/>
    </row>
    <row r="462" spans="2:9">
      <c r="B462" s="141"/>
      <c r="I462" s="141"/>
    </row>
    <row r="463" spans="2:9">
      <c r="B463" s="141"/>
      <c r="I463" s="141"/>
    </row>
    <row r="464" spans="2:9">
      <c r="B464" s="141"/>
      <c r="I464" s="141"/>
    </row>
    <row r="465" spans="2:9">
      <c r="B465" s="141"/>
      <c r="I465" s="141"/>
    </row>
    <row r="466" spans="2:9">
      <c r="B466" s="141"/>
      <c r="I466" s="141"/>
    </row>
    <row r="467" spans="2:9">
      <c r="B467" s="141"/>
      <c r="I467" s="141"/>
    </row>
    <row r="468" spans="2:9">
      <c r="B468" s="141"/>
      <c r="I468" s="141"/>
    </row>
    <row r="469" spans="2:9">
      <c r="B469" s="141"/>
      <c r="I469" s="141"/>
    </row>
    <row r="470" spans="2:9">
      <c r="B470" s="141"/>
      <c r="I470" s="141"/>
    </row>
    <row r="471" spans="2:9">
      <c r="B471" s="141"/>
      <c r="I471" s="141"/>
    </row>
    <row r="472" spans="2:9">
      <c r="B472" s="141"/>
      <c r="I472" s="141"/>
    </row>
    <row r="473" spans="2:9">
      <c r="B473" s="141"/>
      <c r="I473" s="141"/>
    </row>
    <row r="474" spans="2:9">
      <c r="B474" s="141"/>
      <c r="I474" s="141"/>
    </row>
    <row r="475" spans="2:9">
      <c r="B475" s="141"/>
      <c r="I475" s="141"/>
    </row>
    <row r="476" spans="2:9">
      <c r="B476" s="141"/>
      <c r="I476" s="141"/>
    </row>
    <row r="477" spans="2:9">
      <c r="B477" s="141"/>
      <c r="I477" s="141"/>
    </row>
    <row r="478" spans="2:9">
      <c r="B478" s="141"/>
      <c r="I478" s="141"/>
    </row>
    <row r="479" spans="2:9">
      <c r="B479" s="141"/>
      <c r="I479" s="141"/>
    </row>
    <row r="480" spans="2:9">
      <c r="B480" s="141"/>
      <c r="I480" s="141"/>
    </row>
    <row r="481" spans="2:9">
      <c r="B481" s="141"/>
      <c r="I481" s="141"/>
    </row>
    <row r="482" spans="2:9">
      <c r="B482" s="141"/>
      <c r="I482" s="141"/>
    </row>
    <row r="483" spans="2:9">
      <c r="B483" s="141"/>
      <c r="I483" s="141"/>
    </row>
    <row r="484" spans="2:9">
      <c r="B484" s="141"/>
      <c r="I484" s="141"/>
    </row>
    <row r="485" spans="2:9">
      <c r="B485" s="141"/>
      <c r="I485" s="141"/>
    </row>
    <row r="486" spans="2:9">
      <c r="B486" s="141"/>
      <c r="I486" s="141"/>
    </row>
    <row r="487" spans="2:9">
      <c r="B487" s="141"/>
      <c r="I487" s="141"/>
    </row>
    <row r="488" spans="2:9">
      <c r="B488" s="141"/>
      <c r="I488" s="141"/>
    </row>
    <row r="489" spans="2:9">
      <c r="B489" s="141"/>
      <c r="I489" s="141"/>
    </row>
    <row r="490" spans="2:9">
      <c r="B490" s="141"/>
      <c r="I490" s="141"/>
    </row>
    <row r="491" spans="2:9">
      <c r="B491" s="141"/>
      <c r="I491" s="141"/>
    </row>
    <row r="492" spans="2:9">
      <c r="B492" s="141"/>
      <c r="I492" s="141"/>
    </row>
    <row r="493" spans="2:9">
      <c r="B493" s="141"/>
      <c r="I493" s="141"/>
    </row>
    <row r="494" spans="2:9">
      <c r="B494" s="141"/>
      <c r="I494" s="141"/>
    </row>
    <row r="495" spans="2:9">
      <c r="B495" s="141"/>
      <c r="I495" s="141"/>
    </row>
    <row r="496" spans="2:9">
      <c r="B496" s="141"/>
      <c r="I496" s="141"/>
    </row>
    <row r="497" spans="2:9">
      <c r="B497" s="141"/>
      <c r="I497" s="141"/>
    </row>
    <row r="498" spans="2:9">
      <c r="B498" s="141"/>
      <c r="I498" s="141"/>
    </row>
    <row r="499" spans="2:9">
      <c r="B499" s="141"/>
      <c r="I499" s="141"/>
    </row>
    <row r="500" spans="2:9">
      <c r="B500" s="141"/>
      <c r="I500" s="141"/>
    </row>
    <row r="501" spans="2:9">
      <c r="B501" s="141"/>
      <c r="I501" s="141"/>
    </row>
    <row r="502" spans="2:9">
      <c r="B502" s="141"/>
      <c r="I502" s="141"/>
    </row>
    <row r="503" spans="2:9">
      <c r="B503" s="141"/>
      <c r="I503" s="141"/>
    </row>
    <row r="504" spans="2:9">
      <c r="B504" s="141"/>
      <c r="I504" s="141"/>
    </row>
    <row r="505" spans="2:9">
      <c r="B505" s="141"/>
      <c r="I505" s="141"/>
    </row>
    <row r="506" spans="2:9">
      <c r="B506" s="141"/>
      <c r="I506" s="141"/>
    </row>
    <row r="507" spans="2:9">
      <c r="B507" s="141"/>
      <c r="I507" s="141"/>
    </row>
    <row r="508" spans="2:9">
      <c r="B508" s="141"/>
      <c r="I508" s="141"/>
    </row>
    <row r="509" spans="2:9">
      <c r="B509" s="141"/>
      <c r="I509" s="141"/>
    </row>
    <row r="510" spans="2:9">
      <c r="B510" s="141"/>
      <c r="I510" s="141"/>
    </row>
    <row r="511" spans="2:9">
      <c r="B511" s="141"/>
      <c r="I511" s="141"/>
    </row>
    <row r="512" spans="2:9">
      <c r="B512" s="141"/>
      <c r="I512" s="141"/>
    </row>
    <row r="513" spans="2:9">
      <c r="B513" s="141"/>
      <c r="I513" s="141"/>
    </row>
    <row r="514" spans="2:9">
      <c r="B514" s="141"/>
      <c r="I514" s="141"/>
    </row>
    <row r="515" spans="2:9">
      <c r="B515" s="141"/>
      <c r="I515" s="141"/>
    </row>
    <row r="516" spans="2:9">
      <c r="B516" s="141"/>
      <c r="I516" s="141"/>
    </row>
    <row r="517" spans="2:9">
      <c r="B517" s="141"/>
      <c r="I517" s="141"/>
    </row>
    <row r="518" spans="2:9">
      <c r="B518" s="141"/>
      <c r="I518" s="141"/>
    </row>
    <row r="519" spans="2:9">
      <c r="B519" s="141"/>
      <c r="I519" s="141"/>
    </row>
    <row r="520" spans="2:9">
      <c r="B520" s="141"/>
      <c r="I520" s="141"/>
    </row>
    <row r="521" spans="2:9">
      <c r="B521" s="141"/>
      <c r="I521" s="141"/>
    </row>
    <row r="522" spans="2:9">
      <c r="B522" s="141"/>
      <c r="I522" s="141"/>
    </row>
    <row r="523" spans="2:9">
      <c r="B523" s="141"/>
      <c r="I523" s="141"/>
    </row>
    <row r="524" spans="2:9">
      <c r="B524" s="141"/>
      <c r="I524" s="141"/>
    </row>
    <row r="525" spans="2:9">
      <c r="B525" s="141"/>
      <c r="I525" s="141"/>
    </row>
    <row r="526" spans="2:9">
      <c r="B526" s="141"/>
      <c r="I526" s="141"/>
    </row>
    <row r="527" spans="2:9">
      <c r="B527" s="141"/>
      <c r="I527" s="141"/>
    </row>
    <row r="528" spans="2:9">
      <c r="B528" s="141"/>
      <c r="I528" s="141"/>
    </row>
    <row r="529" spans="2:9">
      <c r="B529" s="141"/>
      <c r="I529" s="141"/>
    </row>
    <row r="530" spans="2:9">
      <c r="B530" s="141"/>
      <c r="I530" s="141"/>
    </row>
    <row r="531" spans="2:9">
      <c r="B531" s="141"/>
      <c r="I531" s="141"/>
    </row>
    <row r="532" spans="2:9">
      <c r="B532" s="141"/>
      <c r="I532" s="141"/>
    </row>
    <row r="533" spans="2:9">
      <c r="B533" s="141"/>
      <c r="I533" s="141"/>
    </row>
    <row r="534" spans="2:9">
      <c r="B534" s="141"/>
      <c r="I534" s="141"/>
    </row>
    <row r="535" spans="2:9">
      <c r="B535" s="141"/>
      <c r="I535" s="141"/>
    </row>
    <row r="536" spans="2:9">
      <c r="B536" s="141"/>
      <c r="I536" s="141"/>
    </row>
    <row r="537" spans="2:9">
      <c r="B537" s="141"/>
      <c r="I537" s="141"/>
    </row>
    <row r="538" spans="2:9">
      <c r="B538" s="141"/>
      <c r="I538" s="141"/>
    </row>
    <row r="539" spans="2:9">
      <c r="B539" s="141"/>
      <c r="I539" s="141"/>
    </row>
    <row r="540" spans="2:9">
      <c r="B540" s="141"/>
      <c r="I540" s="141"/>
    </row>
    <row r="541" spans="2:9">
      <c r="B541" s="141"/>
      <c r="I541" s="141"/>
    </row>
    <row r="542" spans="2:9">
      <c r="B542" s="141"/>
      <c r="I542" s="141"/>
    </row>
    <row r="543" spans="2:9">
      <c r="B543" s="141"/>
      <c r="I543" s="141"/>
    </row>
    <row r="544" spans="2:9">
      <c r="B544" s="141"/>
      <c r="I544" s="141"/>
    </row>
    <row r="545" spans="2:9">
      <c r="B545" s="141"/>
      <c r="I545" s="141"/>
    </row>
    <row r="546" spans="2:9">
      <c r="B546" s="141"/>
      <c r="I546" s="141"/>
    </row>
    <row r="547" spans="2:9">
      <c r="B547" s="141"/>
      <c r="I547" s="141"/>
    </row>
    <row r="548" spans="2:9">
      <c r="B548" s="141"/>
      <c r="I548" s="141"/>
    </row>
    <row r="549" spans="2:9">
      <c r="B549" s="141"/>
      <c r="I549" s="141"/>
    </row>
    <row r="550" spans="2:9">
      <c r="B550" s="141"/>
      <c r="I550" s="141"/>
    </row>
    <row r="551" spans="2:9">
      <c r="B551" s="141"/>
      <c r="I551" s="141"/>
    </row>
    <row r="552" spans="2:9">
      <c r="B552" s="141"/>
      <c r="I552" s="141"/>
    </row>
    <row r="553" spans="2:9">
      <c r="B553" s="141"/>
      <c r="I553" s="141"/>
    </row>
    <row r="554" spans="2:9">
      <c r="B554" s="141"/>
      <c r="I554" s="141"/>
    </row>
    <row r="555" spans="2:9">
      <c r="B555" s="141"/>
      <c r="I555" s="141"/>
    </row>
    <row r="556" spans="2:9">
      <c r="B556" s="141"/>
      <c r="I556" s="141"/>
    </row>
    <row r="557" spans="2:9">
      <c r="B557" s="141"/>
      <c r="I557" s="141"/>
    </row>
    <row r="558" spans="2:9">
      <c r="B558" s="141"/>
      <c r="I558" s="141"/>
    </row>
    <row r="559" spans="2:9">
      <c r="B559" s="141"/>
      <c r="I559" s="141"/>
    </row>
    <row r="560" spans="2:9">
      <c r="B560" s="141"/>
      <c r="I560" s="141"/>
    </row>
    <row r="561" spans="2:9">
      <c r="B561" s="141"/>
      <c r="I561" s="141"/>
    </row>
    <row r="562" spans="2:9">
      <c r="B562" s="141"/>
      <c r="I562" s="141"/>
    </row>
    <row r="563" spans="2:9">
      <c r="B563" s="141"/>
      <c r="I563" s="141"/>
    </row>
    <row r="564" spans="2:9">
      <c r="B564" s="141"/>
      <c r="I564" s="141"/>
    </row>
    <row r="565" spans="2:9">
      <c r="B565" s="141"/>
      <c r="I565" s="141"/>
    </row>
    <row r="566" spans="2:9">
      <c r="B566" s="141"/>
      <c r="I566" s="141"/>
    </row>
    <row r="567" spans="2:9">
      <c r="B567" s="141"/>
      <c r="I567" s="141"/>
    </row>
    <row r="568" spans="2:9">
      <c r="B568" s="141"/>
      <c r="I568" s="141"/>
    </row>
    <row r="569" spans="2:9">
      <c r="B569" s="141"/>
      <c r="I569" s="141"/>
    </row>
    <row r="570" spans="2:9">
      <c r="B570" s="141"/>
      <c r="I570" s="141"/>
    </row>
    <row r="571" spans="2:9">
      <c r="B571" s="141"/>
      <c r="I571" s="141"/>
    </row>
    <row r="572" spans="2:9">
      <c r="B572" s="141"/>
      <c r="I572" s="141"/>
    </row>
    <row r="573" spans="2:9">
      <c r="B573" s="141"/>
      <c r="I573" s="141"/>
    </row>
    <row r="574" spans="2:9">
      <c r="B574" s="141"/>
      <c r="I574" s="141"/>
    </row>
    <row r="575" spans="2:9">
      <c r="B575" s="141"/>
      <c r="I575" s="141"/>
    </row>
    <row r="576" spans="2:9">
      <c r="B576" s="141"/>
      <c r="I576" s="141"/>
    </row>
    <row r="577" spans="2:9">
      <c r="B577" s="141"/>
      <c r="I577" s="141"/>
    </row>
    <row r="578" spans="2:9">
      <c r="B578" s="141"/>
      <c r="I578" s="141"/>
    </row>
    <row r="579" spans="2:9">
      <c r="B579" s="141"/>
      <c r="I579" s="141"/>
    </row>
    <row r="580" spans="2:9">
      <c r="B580" s="141"/>
      <c r="I580" s="141"/>
    </row>
    <row r="581" spans="2:9">
      <c r="B581" s="141"/>
      <c r="I581" s="141"/>
    </row>
    <row r="582" spans="2:9">
      <c r="B582" s="141"/>
      <c r="I582" s="141"/>
    </row>
    <row r="583" spans="2:9">
      <c r="B583" s="141"/>
      <c r="I583" s="141"/>
    </row>
    <row r="584" spans="2:9">
      <c r="B584" s="141"/>
      <c r="I584" s="141"/>
    </row>
    <row r="585" spans="2:9">
      <c r="B585" s="141"/>
      <c r="I585" s="141"/>
    </row>
    <row r="586" spans="2:9">
      <c r="B586" s="141"/>
      <c r="I586" s="141"/>
    </row>
    <row r="587" spans="2:9">
      <c r="B587" s="141"/>
      <c r="I587" s="141"/>
    </row>
    <row r="588" spans="2:9">
      <c r="B588" s="141"/>
      <c r="I588" s="141"/>
    </row>
    <row r="589" spans="2:9">
      <c r="B589" s="141"/>
      <c r="I589" s="141"/>
    </row>
    <row r="590" spans="2:9">
      <c r="B590" s="141"/>
      <c r="I590" s="141"/>
    </row>
    <row r="591" spans="2:9">
      <c r="B591" s="141"/>
      <c r="I591" s="141"/>
    </row>
    <row r="592" spans="2:9">
      <c r="B592" s="141"/>
      <c r="I592" s="141"/>
    </row>
    <row r="593" spans="2:9">
      <c r="B593" s="141"/>
      <c r="I593" s="141"/>
    </row>
    <row r="594" spans="2:9">
      <c r="B594" s="141"/>
      <c r="I594" s="141"/>
    </row>
    <row r="595" spans="2:9">
      <c r="B595" s="141"/>
      <c r="I595" s="141"/>
    </row>
    <row r="596" spans="2:9">
      <c r="B596" s="141"/>
      <c r="I596" s="141"/>
    </row>
    <row r="597" spans="2:9">
      <c r="B597" s="141"/>
      <c r="I597" s="141"/>
    </row>
    <row r="598" spans="2:9">
      <c r="B598" s="141"/>
      <c r="I598" s="141"/>
    </row>
    <row r="599" spans="2:9">
      <c r="B599" s="141"/>
      <c r="I599" s="141"/>
    </row>
    <row r="600" spans="2:9">
      <c r="B600" s="141"/>
      <c r="I600" s="141"/>
    </row>
    <row r="601" spans="2:9">
      <c r="B601" s="141"/>
      <c r="I601" s="141"/>
    </row>
    <row r="602" spans="2:9">
      <c r="B602" s="141"/>
      <c r="I602" s="141"/>
    </row>
    <row r="603" spans="2:9">
      <c r="B603" s="141"/>
      <c r="I603" s="141"/>
    </row>
    <row r="604" spans="2:9">
      <c r="B604" s="141"/>
      <c r="I604" s="141"/>
    </row>
    <row r="605" spans="2:9">
      <c r="B605" s="141"/>
      <c r="I605" s="141"/>
    </row>
    <row r="606" spans="2:9">
      <c r="B606" s="141"/>
      <c r="I606" s="141"/>
    </row>
    <row r="607" spans="2:9">
      <c r="B607" s="141"/>
      <c r="I607" s="141"/>
    </row>
    <row r="608" spans="2:9">
      <c r="B608" s="141"/>
      <c r="I608" s="141"/>
    </row>
    <row r="609" spans="2:9">
      <c r="B609" s="141"/>
      <c r="I609" s="141"/>
    </row>
    <row r="610" spans="2:9">
      <c r="B610" s="141"/>
      <c r="I610" s="141"/>
    </row>
    <row r="611" spans="2:9">
      <c r="B611" s="141"/>
      <c r="I611" s="141"/>
    </row>
    <row r="612" spans="2:9">
      <c r="B612" s="141"/>
      <c r="I612" s="141"/>
    </row>
    <row r="613" spans="2:9">
      <c r="B613" s="141"/>
      <c r="I613" s="141"/>
    </row>
    <row r="614" spans="2:9">
      <c r="B614" s="141"/>
      <c r="I614" s="141"/>
    </row>
    <row r="615" spans="2:9">
      <c r="B615" s="141"/>
      <c r="I615" s="141"/>
    </row>
    <row r="616" spans="2:9">
      <c r="B616" s="141"/>
      <c r="I616" s="141"/>
    </row>
    <row r="617" spans="2:9">
      <c r="B617" s="141"/>
      <c r="I617" s="141"/>
    </row>
    <row r="618" spans="2:9">
      <c r="B618" s="141"/>
      <c r="I618" s="141"/>
    </row>
    <row r="619" spans="2:9">
      <c r="B619" s="141"/>
      <c r="I619" s="141"/>
    </row>
    <row r="620" spans="2:9">
      <c r="B620" s="141"/>
      <c r="I620" s="141"/>
    </row>
    <row r="621" spans="2:9">
      <c r="B621" s="141"/>
      <c r="I621" s="141"/>
    </row>
    <row r="622" spans="2:9">
      <c r="B622" s="141"/>
      <c r="I622" s="141"/>
    </row>
    <row r="623" spans="2:9">
      <c r="B623" s="141"/>
      <c r="I623" s="141"/>
    </row>
    <row r="624" spans="2:9">
      <c r="B624" s="141"/>
      <c r="I624" s="141"/>
    </row>
    <row r="625" spans="2:9">
      <c r="B625" s="141"/>
      <c r="I625" s="141"/>
    </row>
    <row r="626" spans="2:9">
      <c r="B626" s="141"/>
      <c r="I626" s="141"/>
    </row>
    <row r="627" spans="2:9">
      <c r="B627" s="141"/>
      <c r="I627" s="141"/>
    </row>
    <row r="628" spans="2:9">
      <c r="B628" s="141"/>
      <c r="I628" s="141"/>
    </row>
    <row r="629" spans="2:9">
      <c r="B629" s="141"/>
      <c r="I629" s="141"/>
    </row>
    <row r="630" spans="2:9">
      <c r="B630" s="141"/>
      <c r="I630" s="141"/>
    </row>
    <row r="631" spans="2:9">
      <c r="B631" s="141"/>
      <c r="I631" s="141"/>
    </row>
    <row r="632" spans="2:9">
      <c r="B632" s="141"/>
      <c r="I632" s="141"/>
    </row>
    <row r="633" spans="2:9">
      <c r="B633" s="141"/>
      <c r="I633" s="141"/>
    </row>
    <row r="634" spans="2:9">
      <c r="B634" s="141"/>
      <c r="I634" s="141"/>
    </row>
    <row r="635" spans="2:9">
      <c r="B635" s="141"/>
      <c r="I635" s="141"/>
    </row>
    <row r="636" spans="2:9">
      <c r="B636" s="141"/>
      <c r="I636" s="141"/>
    </row>
    <row r="637" spans="2:9">
      <c r="B637" s="141"/>
      <c r="I637" s="141"/>
    </row>
    <row r="638" spans="2:9">
      <c r="B638" s="141"/>
      <c r="I638" s="141"/>
    </row>
    <row r="639" spans="2:9">
      <c r="B639" s="141"/>
      <c r="I639" s="141"/>
    </row>
    <row r="640" spans="2:9">
      <c r="B640" s="141"/>
      <c r="I640" s="141"/>
    </row>
    <row r="641" spans="2:9">
      <c r="B641" s="141"/>
      <c r="I641" s="141"/>
    </row>
    <row r="642" spans="2:9">
      <c r="B642" s="141"/>
      <c r="I642" s="141"/>
    </row>
    <row r="643" spans="2:9">
      <c r="B643" s="141"/>
      <c r="I643" s="141"/>
    </row>
    <row r="644" spans="2:9">
      <c r="B644" s="141"/>
      <c r="I644" s="141"/>
    </row>
    <row r="645" spans="2:9">
      <c r="B645" s="141"/>
      <c r="I645" s="141"/>
    </row>
    <row r="646" spans="2:9">
      <c r="B646" s="141"/>
      <c r="I646" s="141"/>
    </row>
    <row r="647" spans="2:9">
      <c r="B647" s="141"/>
      <c r="I647" s="141"/>
    </row>
    <row r="648" spans="2:9">
      <c r="B648" s="141"/>
      <c r="I648" s="141"/>
    </row>
    <row r="649" spans="2:9">
      <c r="B649" s="141"/>
      <c r="I649" s="141"/>
    </row>
    <row r="650" spans="2:9">
      <c r="B650" s="141"/>
      <c r="I650" s="141"/>
    </row>
    <row r="651" spans="2:9">
      <c r="B651" s="141"/>
      <c r="I651" s="141"/>
    </row>
    <row r="652" spans="2:9">
      <c r="B652" s="141"/>
      <c r="I652" s="141"/>
    </row>
    <row r="653" spans="2:9">
      <c r="B653" s="141"/>
      <c r="I653" s="141"/>
    </row>
    <row r="654" spans="2:9">
      <c r="B654" s="141"/>
      <c r="I654" s="141"/>
    </row>
    <row r="655" spans="2:9">
      <c r="B655" s="141"/>
      <c r="I655" s="141"/>
    </row>
    <row r="656" spans="2:9">
      <c r="B656" s="141"/>
      <c r="I656" s="141"/>
    </row>
    <row r="657" spans="2:9">
      <c r="B657" s="141"/>
      <c r="I657" s="141"/>
    </row>
    <row r="658" spans="2:9">
      <c r="B658" s="141"/>
      <c r="I658" s="141"/>
    </row>
    <row r="659" spans="2:9">
      <c r="B659" s="141"/>
      <c r="I659" s="141"/>
    </row>
    <row r="660" spans="2:9">
      <c r="B660" s="141"/>
      <c r="I660" s="141"/>
    </row>
    <row r="661" spans="2:9">
      <c r="B661" s="141"/>
      <c r="I661" s="141"/>
    </row>
    <row r="662" spans="2:9">
      <c r="B662" s="141"/>
      <c r="I662" s="141"/>
    </row>
    <row r="663" spans="2:9">
      <c r="B663" s="141"/>
      <c r="I663" s="141"/>
    </row>
    <row r="664" spans="2:9">
      <c r="B664" s="141"/>
      <c r="I664" s="141"/>
    </row>
    <row r="665" spans="2:9">
      <c r="B665" s="141"/>
      <c r="I665" s="141"/>
    </row>
    <row r="666" spans="2:9">
      <c r="B666" s="141"/>
      <c r="I666" s="141"/>
    </row>
    <row r="667" spans="2:9">
      <c r="B667" s="141"/>
      <c r="I667" s="141"/>
    </row>
    <row r="668" spans="2:9">
      <c r="B668" s="141"/>
      <c r="I668" s="141"/>
    </row>
    <row r="669" spans="2:9">
      <c r="B669" s="141"/>
      <c r="I669" s="141"/>
    </row>
    <row r="670" spans="2:9">
      <c r="B670" s="141"/>
      <c r="I670" s="141"/>
    </row>
    <row r="671" spans="2:9">
      <c r="B671" s="141"/>
      <c r="I671" s="141"/>
    </row>
    <row r="672" spans="2:9">
      <c r="B672" s="141"/>
      <c r="I672" s="141"/>
    </row>
    <row r="673" spans="2:9">
      <c r="B673" s="141"/>
      <c r="I673" s="141"/>
    </row>
    <row r="674" spans="2:9">
      <c r="B674" s="141"/>
      <c r="I674" s="141"/>
    </row>
    <row r="675" spans="2:9">
      <c r="B675" s="141"/>
      <c r="I675" s="141"/>
    </row>
    <row r="676" spans="2:9">
      <c r="B676" s="141"/>
      <c r="I676" s="141"/>
    </row>
    <row r="677" spans="2:9">
      <c r="B677" s="141"/>
      <c r="I677" s="141"/>
    </row>
    <row r="678" spans="2:9">
      <c r="B678" s="141"/>
      <c r="I678" s="141"/>
    </row>
    <row r="679" spans="2:9">
      <c r="B679" s="141"/>
      <c r="I679" s="141"/>
    </row>
    <row r="680" spans="2:9">
      <c r="B680" s="141"/>
      <c r="I680" s="141"/>
    </row>
    <row r="681" spans="2:9">
      <c r="B681" s="141"/>
      <c r="I681" s="141"/>
    </row>
    <row r="682" spans="2:9">
      <c r="B682" s="141"/>
      <c r="I682" s="141"/>
    </row>
    <row r="683" spans="2:9">
      <c r="B683" s="141"/>
      <c r="I683" s="141"/>
    </row>
    <row r="684" spans="2:9">
      <c r="B684" s="141"/>
      <c r="I684" s="141"/>
    </row>
    <row r="685" spans="2:9">
      <c r="B685" s="141"/>
      <c r="I685" s="141"/>
    </row>
    <row r="686" spans="2:9">
      <c r="B686" s="141"/>
      <c r="I686" s="141"/>
    </row>
    <row r="687" spans="2:9">
      <c r="B687" s="141"/>
      <c r="I687" s="141"/>
    </row>
    <row r="688" spans="2:9">
      <c r="B688" s="141"/>
      <c r="I688" s="141"/>
    </row>
    <row r="689" spans="2:9">
      <c r="B689" s="141"/>
      <c r="I689" s="141"/>
    </row>
    <row r="690" spans="2:9">
      <c r="B690" s="141"/>
      <c r="I690" s="141"/>
    </row>
    <row r="691" spans="2:9">
      <c r="B691" s="141"/>
      <c r="I691" s="141"/>
    </row>
    <row r="692" spans="2:9">
      <c r="B692" s="141"/>
      <c r="I692" s="141"/>
    </row>
    <row r="693" spans="2:9">
      <c r="B693" s="141"/>
      <c r="I693" s="141"/>
    </row>
    <row r="694" spans="2:9">
      <c r="B694" s="141"/>
      <c r="I694" s="141"/>
    </row>
    <row r="695" spans="2:9">
      <c r="B695" s="141"/>
      <c r="I695" s="141"/>
    </row>
    <row r="696" spans="2:9">
      <c r="B696" s="141"/>
      <c r="I696" s="141"/>
    </row>
    <row r="697" spans="2:9">
      <c r="B697" s="141"/>
      <c r="I697" s="141"/>
    </row>
    <row r="698" spans="2:9">
      <c r="B698" s="141"/>
      <c r="I698" s="141"/>
    </row>
    <row r="699" spans="2:9">
      <c r="B699" s="141"/>
      <c r="I699" s="141"/>
    </row>
    <row r="700" spans="2:9">
      <c r="B700" s="141"/>
      <c r="I700" s="141"/>
    </row>
    <row r="701" spans="2:9">
      <c r="B701" s="141"/>
      <c r="I701" s="141"/>
    </row>
    <row r="702" spans="2:9">
      <c r="B702" s="141"/>
      <c r="I702" s="141"/>
    </row>
    <row r="703" spans="2:9">
      <c r="B703" s="141"/>
      <c r="I703" s="141"/>
    </row>
    <row r="704" spans="2:9">
      <c r="B704" s="141"/>
      <c r="I704" s="141"/>
    </row>
    <row r="705" spans="2:9">
      <c r="B705" s="141"/>
      <c r="I705" s="141"/>
    </row>
    <row r="706" spans="2:9">
      <c r="B706" s="141"/>
      <c r="I706" s="141"/>
    </row>
    <row r="707" spans="2:9">
      <c r="B707" s="141"/>
      <c r="I707" s="141"/>
    </row>
    <row r="708" spans="2:9">
      <c r="B708" s="141"/>
      <c r="I708" s="141"/>
    </row>
    <row r="709" spans="2:9">
      <c r="B709" s="141"/>
      <c r="I709" s="141"/>
    </row>
    <row r="710" spans="2:9">
      <c r="B710" s="141"/>
      <c r="I710" s="141"/>
    </row>
    <row r="711" spans="2:9">
      <c r="B711" s="141"/>
      <c r="I711" s="141"/>
    </row>
    <row r="712" spans="2:9">
      <c r="B712" s="141"/>
      <c r="I712" s="141"/>
    </row>
    <row r="713" spans="2:9">
      <c r="B713" s="141"/>
      <c r="I713" s="141"/>
    </row>
    <row r="714" spans="2:9">
      <c r="B714" s="141"/>
      <c r="I714" s="141"/>
    </row>
    <row r="715" spans="2:9">
      <c r="B715" s="141"/>
      <c r="I715" s="141"/>
    </row>
    <row r="716" spans="2:9">
      <c r="B716" s="141"/>
      <c r="I716" s="141"/>
    </row>
    <row r="717" spans="2:9">
      <c r="B717" s="141"/>
      <c r="I717" s="141"/>
    </row>
    <row r="718" spans="2:9">
      <c r="B718" s="141"/>
      <c r="I718" s="141"/>
    </row>
    <row r="719" spans="2:9">
      <c r="B719" s="141"/>
      <c r="I719" s="141"/>
    </row>
    <row r="720" spans="2:9">
      <c r="B720" s="141"/>
      <c r="I720" s="141"/>
    </row>
    <row r="721" spans="2:9">
      <c r="B721" s="141"/>
      <c r="I721" s="141"/>
    </row>
    <row r="722" spans="2:9">
      <c r="B722" s="141"/>
      <c r="I722" s="141"/>
    </row>
    <row r="723" spans="2:9">
      <c r="B723" s="141"/>
      <c r="I723" s="141"/>
    </row>
    <row r="724" spans="2:9">
      <c r="B724" s="141"/>
      <c r="I724" s="141"/>
    </row>
    <row r="725" spans="2:9">
      <c r="B725" s="141"/>
      <c r="I725" s="141"/>
    </row>
    <row r="726" spans="2:9">
      <c r="B726" s="141"/>
      <c r="I726" s="141"/>
    </row>
    <row r="727" spans="2:9">
      <c r="B727" s="141"/>
      <c r="I727" s="141"/>
    </row>
    <row r="728" spans="2:9">
      <c r="B728" s="141"/>
      <c r="I728" s="141"/>
    </row>
    <row r="729" spans="2:9">
      <c r="B729" s="141"/>
      <c r="I729" s="141"/>
    </row>
    <row r="730" spans="2:9">
      <c r="B730" s="141"/>
      <c r="I730" s="141"/>
    </row>
    <row r="731" spans="2:9">
      <c r="B731" s="141"/>
      <c r="I731" s="141"/>
    </row>
    <row r="732" spans="2:9">
      <c r="B732" s="141"/>
      <c r="I732" s="141"/>
    </row>
    <row r="733" spans="2:9">
      <c r="B733" s="141"/>
      <c r="I733" s="141"/>
    </row>
    <row r="734" spans="2:9">
      <c r="B734" s="141"/>
      <c r="I734" s="141"/>
    </row>
    <row r="735" spans="2:9">
      <c r="B735" s="141"/>
      <c r="I735" s="141"/>
    </row>
    <row r="736" spans="2:9">
      <c r="B736" s="141"/>
      <c r="I736" s="141"/>
    </row>
    <row r="737" spans="2:9">
      <c r="B737" s="141"/>
      <c r="I737" s="141"/>
    </row>
    <row r="738" spans="2:9">
      <c r="B738" s="141"/>
      <c r="I738" s="141"/>
    </row>
    <row r="739" spans="2:9">
      <c r="B739" s="141"/>
      <c r="I739" s="141"/>
    </row>
    <row r="740" spans="2:9">
      <c r="B740" s="141"/>
      <c r="I740" s="141"/>
    </row>
    <row r="741" spans="2:9">
      <c r="B741" s="141"/>
      <c r="I741" s="141"/>
    </row>
    <row r="742" spans="2:9">
      <c r="B742" s="141"/>
      <c r="I742" s="141"/>
    </row>
    <row r="743" spans="2:9">
      <c r="B743" s="141"/>
      <c r="I743" s="141"/>
    </row>
    <row r="744" spans="2:9">
      <c r="B744" s="141"/>
      <c r="I744" s="141"/>
    </row>
    <row r="745" spans="2:9">
      <c r="B745" s="141"/>
      <c r="I745" s="141"/>
    </row>
    <row r="746" spans="2:9">
      <c r="B746" s="141"/>
      <c r="I746" s="141"/>
    </row>
    <row r="747" spans="2:9">
      <c r="B747" s="141"/>
      <c r="I747" s="141"/>
    </row>
    <row r="748" spans="2:9">
      <c r="B748" s="141"/>
      <c r="I748" s="141"/>
    </row>
    <row r="749" spans="2:9">
      <c r="B749" s="141"/>
      <c r="I749" s="141"/>
    </row>
    <row r="750" spans="2:9">
      <c r="B750" s="141"/>
      <c r="I750" s="141"/>
    </row>
    <row r="751" spans="2:9">
      <c r="B751" s="141"/>
      <c r="I751" s="141"/>
    </row>
    <row r="752" spans="2:9">
      <c r="B752" s="141"/>
      <c r="I752" s="141"/>
    </row>
    <row r="753" spans="2:9">
      <c r="B753" s="141"/>
      <c r="I753" s="141"/>
    </row>
    <row r="754" spans="2:9">
      <c r="B754" s="141"/>
      <c r="I754" s="141"/>
    </row>
    <row r="755" spans="2:9">
      <c r="B755" s="141"/>
      <c r="I755" s="141"/>
    </row>
    <row r="756" spans="2:9">
      <c r="B756" s="141"/>
      <c r="I756" s="141"/>
    </row>
    <row r="757" spans="2:9">
      <c r="B757" s="141"/>
      <c r="I757" s="141"/>
    </row>
    <row r="758" spans="2:9">
      <c r="B758" s="141"/>
      <c r="I758" s="141"/>
    </row>
    <row r="759" spans="2:9">
      <c r="B759" s="141"/>
      <c r="I759" s="141"/>
    </row>
    <row r="760" spans="2:9">
      <c r="B760" s="141"/>
      <c r="I760" s="141"/>
    </row>
    <row r="761" spans="2:9">
      <c r="B761" s="141"/>
      <c r="I761" s="141"/>
    </row>
    <row r="762" spans="2:9">
      <c r="B762" s="141"/>
      <c r="I762" s="141"/>
    </row>
    <row r="763" spans="2:9">
      <c r="B763" s="141"/>
      <c r="I763" s="141"/>
    </row>
    <row r="764" spans="2:9">
      <c r="B764" s="141"/>
      <c r="I764" s="141"/>
    </row>
    <row r="765" spans="2:9">
      <c r="B765" s="141"/>
      <c r="I765" s="141"/>
    </row>
    <row r="766" spans="2:9">
      <c r="B766" s="141"/>
      <c r="I766" s="141"/>
    </row>
    <row r="767" spans="2:9">
      <c r="B767" s="141"/>
      <c r="I767" s="141"/>
    </row>
    <row r="768" spans="2:9">
      <c r="B768" s="141"/>
      <c r="I768" s="141"/>
    </row>
    <row r="769" spans="2:9">
      <c r="B769" s="141"/>
      <c r="I769" s="141"/>
    </row>
    <row r="770" spans="2:9">
      <c r="B770" s="141"/>
      <c r="I770" s="141"/>
    </row>
    <row r="771" spans="2:9">
      <c r="B771" s="141"/>
      <c r="I771" s="141"/>
    </row>
    <row r="772" spans="2:9">
      <c r="B772" s="141"/>
      <c r="I772" s="141"/>
    </row>
    <row r="773" spans="2:9">
      <c r="B773" s="141"/>
      <c r="I773" s="141"/>
    </row>
    <row r="774" spans="2:9">
      <c r="B774" s="141"/>
      <c r="I774" s="141"/>
    </row>
    <row r="775" spans="2:9">
      <c r="B775" s="141"/>
      <c r="I775" s="141"/>
    </row>
    <row r="776" spans="2:9">
      <c r="B776" s="141"/>
      <c r="I776" s="141"/>
    </row>
    <row r="777" spans="2:9">
      <c r="B777" s="141"/>
      <c r="I777" s="141"/>
    </row>
    <row r="778" spans="2:9">
      <c r="B778" s="141"/>
      <c r="I778" s="141"/>
    </row>
    <row r="779" spans="2:9">
      <c r="B779" s="141"/>
      <c r="I779" s="141"/>
    </row>
    <row r="780" spans="2:9">
      <c r="B780" s="141"/>
      <c r="I780" s="141"/>
    </row>
    <row r="781" spans="2:9">
      <c r="B781" s="141"/>
      <c r="I781" s="141"/>
    </row>
    <row r="782" spans="2:9">
      <c r="B782" s="141"/>
      <c r="I782" s="141"/>
    </row>
    <row r="783" spans="2:9">
      <c r="B783" s="141"/>
      <c r="I783" s="141"/>
    </row>
    <row r="784" spans="2:9">
      <c r="B784" s="141"/>
      <c r="I784" s="141"/>
    </row>
    <row r="785" spans="2:9">
      <c r="B785" s="141"/>
      <c r="I785" s="141"/>
    </row>
    <row r="786" spans="2:9">
      <c r="B786" s="141"/>
      <c r="I786" s="141"/>
    </row>
    <row r="787" spans="2:9">
      <c r="B787" s="141"/>
      <c r="I787" s="141"/>
    </row>
    <row r="788" spans="2:9">
      <c r="B788" s="141"/>
      <c r="I788" s="141"/>
    </row>
    <row r="789" spans="2:9">
      <c r="B789" s="141"/>
      <c r="I789" s="141"/>
    </row>
    <row r="790" spans="2:9">
      <c r="B790" s="141"/>
      <c r="I790" s="141"/>
    </row>
    <row r="791" spans="2:9">
      <c r="B791" s="141"/>
      <c r="I791" s="141"/>
    </row>
    <row r="792" spans="2:9">
      <c r="B792" s="141"/>
      <c r="I792" s="141"/>
    </row>
    <row r="793" spans="2:9">
      <c r="B793" s="141"/>
      <c r="I793" s="141"/>
    </row>
    <row r="794" spans="2:9">
      <c r="B794" s="141"/>
      <c r="I794" s="141"/>
    </row>
    <row r="795" spans="2:9">
      <c r="B795" s="141"/>
      <c r="I795" s="141"/>
    </row>
    <row r="796" spans="2:9">
      <c r="B796" s="141"/>
      <c r="I796" s="141"/>
    </row>
    <row r="797" spans="2:9">
      <c r="B797" s="141"/>
      <c r="I797" s="141"/>
    </row>
    <row r="798" spans="2:9">
      <c r="B798" s="141"/>
      <c r="I798" s="141"/>
    </row>
    <row r="799" spans="2:9">
      <c r="B799" s="141"/>
      <c r="I799" s="141"/>
    </row>
    <row r="800" spans="2:9">
      <c r="B800" s="141"/>
      <c r="I800" s="141"/>
    </row>
    <row r="801" spans="2:9">
      <c r="B801" s="141"/>
      <c r="I801" s="141"/>
    </row>
    <row r="802" spans="2:9">
      <c r="B802" s="141"/>
      <c r="I802" s="141"/>
    </row>
    <row r="803" spans="2:9">
      <c r="B803" s="141"/>
      <c r="I803" s="141"/>
    </row>
    <row r="804" spans="2:9">
      <c r="B804" s="141"/>
      <c r="I804" s="141"/>
    </row>
    <row r="805" spans="2:9">
      <c r="B805" s="141"/>
      <c r="I805" s="141"/>
    </row>
    <row r="806" spans="2:9">
      <c r="B806" s="141"/>
      <c r="I806" s="141"/>
    </row>
    <row r="807" spans="2:9">
      <c r="B807" s="141"/>
      <c r="I807" s="141"/>
    </row>
    <row r="808" spans="2:9">
      <c r="B808" s="141"/>
      <c r="I808" s="141"/>
    </row>
    <row r="809" spans="2:9">
      <c r="B809" s="141"/>
      <c r="I809" s="141"/>
    </row>
    <row r="810" spans="2:9">
      <c r="B810" s="141"/>
      <c r="I810" s="141"/>
    </row>
    <row r="811" spans="2:9">
      <c r="B811" s="141"/>
      <c r="I811" s="141"/>
    </row>
    <row r="812" spans="2:9">
      <c r="B812" s="141"/>
      <c r="I812" s="141"/>
    </row>
    <row r="813" spans="2:9">
      <c r="B813" s="141"/>
      <c r="I813" s="141"/>
    </row>
    <row r="814" spans="2:9">
      <c r="B814" s="141"/>
      <c r="I814" s="141"/>
    </row>
    <row r="815" spans="2:9">
      <c r="B815" s="141"/>
      <c r="I815" s="141"/>
    </row>
    <row r="816" spans="2:9">
      <c r="B816" s="141"/>
      <c r="I816" s="141"/>
    </row>
    <row r="817" spans="2:9">
      <c r="B817" s="141"/>
      <c r="I817" s="141"/>
    </row>
    <row r="818" spans="2:9">
      <c r="B818" s="141"/>
      <c r="I818" s="141"/>
    </row>
    <row r="819" spans="2:9">
      <c r="B819" s="141"/>
      <c r="I819" s="141"/>
    </row>
    <row r="820" spans="2:9">
      <c r="B820" s="141"/>
      <c r="I820" s="141"/>
    </row>
    <row r="821" spans="2:9">
      <c r="B821" s="141"/>
      <c r="I821" s="141"/>
    </row>
    <row r="822" spans="2:9">
      <c r="B822" s="141"/>
      <c r="I822" s="141"/>
    </row>
    <row r="823" spans="2:9">
      <c r="B823" s="141"/>
      <c r="I823" s="141"/>
    </row>
    <row r="824" spans="2:9">
      <c r="B824" s="141"/>
      <c r="I824" s="141"/>
    </row>
    <row r="825" spans="2:9">
      <c r="B825" s="141"/>
      <c r="I825" s="141"/>
    </row>
    <row r="826" spans="2:9">
      <c r="B826" s="141"/>
      <c r="I826" s="141"/>
    </row>
    <row r="827" spans="2:9">
      <c r="B827" s="141"/>
      <c r="I827" s="141"/>
    </row>
    <row r="828" spans="2:9">
      <c r="B828" s="141"/>
      <c r="I828" s="141"/>
    </row>
    <row r="829" spans="2:9">
      <c r="B829" s="141"/>
      <c r="I829" s="141"/>
    </row>
    <row r="830" spans="2:9">
      <c r="B830" s="141"/>
      <c r="I830" s="141"/>
    </row>
    <row r="831" spans="2:9">
      <c r="B831" s="141"/>
      <c r="I831" s="141"/>
    </row>
    <row r="832" spans="2:9">
      <c r="B832" s="141"/>
      <c r="I832" s="141"/>
    </row>
    <row r="833" spans="2:9">
      <c r="B833" s="141"/>
      <c r="I833" s="141"/>
    </row>
    <row r="834" spans="2:9">
      <c r="B834" s="141"/>
      <c r="I834" s="141"/>
    </row>
    <row r="835" spans="2:9">
      <c r="B835" s="141"/>
      <c r="I835" s="141"/>
    </row>
    <row r="836" spans="2:9">
      <c r="B836" s="141"/>
      <c r="I836" s="141"/>
    </row>
    <row r="837" spans="2:9">
      <c r="B837" s="141"/>
      <c r="I837" s="141"/>
    </row>
    <row r="838" spans="2:9">
      <c r="B838" s="141"/>
      <c r="I838" s="141"/>
    </row>
    <row r="839" spans="2:9">
      <c r="B839" s="141"/>
      <c r="I839" s="141"/>
    </row>
    <row r="840" spans="2:9">
      <c r="B840" s="141"/>
      <c r="I840" s="141"/>
    </row>
    <row r="841" spans="2:9">
      <c r="B841" s="141"/>
      <c r="I841" s="141"/>
    </row>
    <row r="842" spans="2:9">
      <c r="B842" s="141"/>
      <c r="I842" s="141"/>
    </row>
    <row r="843" spans="2:9">
      <c r="B843" s="141"/>
      <c r="I843" s="141"/>
    </row>
    <row r="844" spans="2:9">
      <c r="B844" s="141"/>
      <c r="I844" s="141"/>
    </row>
    <row r="845" spans="2:9">
      <c r="B845" s="141"/>
      <c r="I845" s="141"/>
    </row>
    <row r="846" spans="2:9">
      <c r="B846" s="141"/>
      <c r="I846" s="141"/>
    </row>
    <row r="847" spans="2:9">
      <c r="B847" s="141"/>
      <c r="I847" s="141"/>
    </row>
    <row r="848" spans="2:9">
      <c r="B848" s="141"/>
      <c r="I848" s="141"/>
    </row>
    <row r="849" spans="2:9">
      <c r="B849" s="141"/>
      <c r="I849" s="141"/>
    </row>
    <row r="850" spans="2:9">
      <c r="B850" s="141"/>
      <c r="I850" s="141"/>
    </row>
    <row r="851" spans="2:9">
      <c r="B851" s="141"/>
      <c r="I851" s="141"/>
    </row>
    <row r="852" spans="2:9">
      <c r="B852" s="141"/>
      <c r="I852" s="141"/>
    </row>
    <row r="853" spans="2:9">
      <c r="B853" s="141"/>
      <c r="I853" s="141"/>
    </row>
    <row r="854" spans="2:9">
      <c r="B854" s="141"/>
      <c r="I854" s="141"/>
    </row>
    <row r="855" spans="2:9">
      <c r="B855" s="141"/>
      <c r="I855" s="141"/>
    </row>
    <row r="856" spans="2:9">
      <c r="B856" s="141"/>
      <c r="I856" s="141"/>
    </row>
    <row r="857" spans="2:9">
      <c r="B857" s="141"/>
      <c r="I857" s="141"/>
    </row>
    <row r="858" spans="2:9">
      <c r="B858" s="141"/>
      <c r="I858" s="141"/>
    </row>
    <row r="859" spans="2:9">
      <c r="B859" s="141"/>
      <c r="I859" s="141"/>
    </row>
    <row r="860" spans="2:9">
      <c r="B860" s="141"/>
      <c r="I860" s="141"/>
    </row>
    <row r="861" spans="2:9">
      <c r="B861" s="141"/>
      <c r="I861" s="141"/>
    </row>
    <row r="862" spans="2:9">
      <c r="B862" s="141"/>
      <c r="I862" s="141"/>
    </row>
    <row r="863" spans="2:9">
      <c r="B863" s="141"/>
      <c r="I863" s="141"/>
    </row>
    <row r="864" spans="2:9">
      <c r="B864" s="141"/>
      <c r="I864" s="141"/>
    </row>
    <row r="865" spans="2:9">
      <c r="B865" s="141"/>
      <c r="I865" s="141"/>
    </row>
    <row r="866" spans="2:9">
      <c r="B866" s="141"/>
      <c r="I866" s="141"/>
    </row>
    <row r="867" spans="2:9">
      <c r="B867" s="141"/>
      <c r="I867" s="141"/>
    </row>
    <row r="868" spans="2:9">
      <c r="B868" s="141"/>
      <c r="I868" s="141"/>
    </row>
    <row r="869" spans="2:9">
      <c r="B869" s="141"/>
      <c r="I869" s="141"/>
    </row>
    <row r="870" spans="2:9">
      <c r="B870" s="141"/>
      <c r="I870" s="141"/>
    </row>
    <row r="871" spans="2:9">
      <c r="B871" s="141"/>
      <c r="I871" s="141"/>
    </row>
    <row r="872" spans="2:9">
      <c r="B872" s="141"/>
      <c r="I872" s="141"/>
    </row>
    <row r="873" spans="2:9">
      <c r="B873" s="141"/>
      <c r="I873" s="141"/>
    </row>
    <row r="874" spans="2:9">
      <c r="B874" s="141"/>
      <c r="I874" s="141"/>
    </row>
    <row r="875" spans="2:9">
      <c r="B875" s="141"/>
      <c r="I875" s="141"/>
    </row>
    <row r="876" spans="2:9">
      <c r="B876" s="141"/>
      <c r="I876" s="141"/>
    </row>
    <row r="877" spans="2:9">
      <c r="B877" s="141"/>
      <c r="I877" s="141"/>
    </row>
    <row r="878" spans="2:9">
      <c r="B878" s="141"/>
      <c r="I878" s="141"/>
    </row>
    <row r="879" spans="2:9">
      <c r="B879" s="141"/>
      <c r="I879" s="141"/>
    </row>
    <row r="880" spans="2:9">
      <c r="B880" s="141"/>
      <c r="I880" s="141"/>
    </row>
    <row r="881" spans="2:9">
      <c r="B881" s="141"/>
      <c r="I881" s="141"/>
    </row>
    <row r="882" spans="2:9">
      <c r="B882" s="141"/>
      <c r="I882" s="141"/>
    </row>
    <row r="883" spans="2:9">
      <c r="B883" s="141"/>
      <c r="I883" s="141"/>
    </row>
    <row r="884" spans="2:9">
      <c r="B884" s="141"/>
      <c r="I884" s="141"/>
    </row>
    <row r="885" spans="2:9">
      <c r="B885" s="141"/>
      <c r="I885" s="141"/>
    </row>
    <row r="886" spans="2:9">
      <c r="B886" s="141"/>
      <c r="I886" s="141"/>
    </row>
    <row r="887" spans="2:9">
      <c r="B887" s="141"/>
      <c r="I887" s="141"/>
    </row>
    <row r="888" spans="2:9">
      <c r="B888" s="141"/>
      <c r="I888" s="141"/>
    </row>
    <row r="889" spans="2:9">
      <c r="B889" s="141"/>
      <c r="I889" s="141"/>
    </row>
    <row r="890" spans="2:9">
      <c r="B890" s="141"/>
      <c r="I890" s="141"/>
    </row>
    <row r="891" spans="2:9">
      <c r="B891" s="141"/>
      <c r="I891" s="141"/>
    </row>
    <row r="892" spans="2:9">
      <c r="B892" s="141"/>
      <c r="I892" s="141"/>
    </row>
    <row r="893" spans="2:9">
      <c r="B893" s="141"/>
      <c r="I893" s="141"/>
    </row>
    <row r="894" spans="2:9">
      <c r="B894" s="141"/>
      <c r="I894" s="141"/>
    </row>
    <row r="895" spans="2:9">
      <c r="B895" s="141"/>
      <c r="I895" s="141"/>
    </row>
    <row r="896" spans="2:9">
      <c r="B896" s="141"/>
      <c r="I896" s="141"/>
    </row>
    <row r="897" spans="2:9">
      <c r="B897" s="141"/>
      <c r="I897" s="141"/>
    </row>
    <row r="898" spans="2:9">
      <c r="B898" s="141"/>
      <c r="I898" s="141"/>
    </row>
    <row r="899" spans="2:9">
      <c r="B899" s="141"/>
      <c r="I899" s="141"/>
    </row>
    <row r="900" spans="2:9">
      <c r="B900" s="141"/>
      <c r="I900" s="141"/>
    </row>
    <row r="901" spans="2:9">
      <c r="B901" s="141"/>
      <c r="I901" s="141"/>
    </row>
    <row r="902" spans="2:9">
      <c r="B902" s="141"/>
      <c r="I902" s="141"/>
    </row>
    <row r="903" spans="2:9">
      <c r="B903" s="141"/>
      <c r="I903" s="141"/>
    </row>
    <row r="904" spans="2:9">
      <c r="B904" s="141"/>
      <c r="I904" s="141"/>
    </row>
    <row r="905" spans="2:9">
      <c r="B905" s="141"/>
      <c r="I905" s="141"/>
    </row>
    <row r="906" spans="2:9">
      <c r="B906" s="141"/>
      <c r="I906" s="141"/>
    </row>
    <row r="907" spans="2:9">
      <c r="B907" s="141"/>
      <c r="I907" s="141"/>
    </row>
    <row r="908" spans="2:9">
      <c r="B908" s="141"/>
      <c r="I908" s="141"/>
    </row>
    <row r="909" spans="2:9">
      <c r="B909" s="141"/>
      <c r="I909" s="141"/>
    </row>
    <row r="910" spans="2:9">
      <c r="B910" s="141"/>
      <c r="I910" s="141"/>
    </row>
    <row r="911" spans="2:9">
      <c r="B911" s="141"/>
      <c r="I911" s="141"/>
    </row>
    <row r="912" spans="2:9">
      <c r="B912" s="141"/>
      <c r="I912" s="141"/>
    </row>
    <row r="913" spans="2:9">
      <c r="B913" s="141"/>
      <c r="I913" s="141"/>
    </row>
    <row r="914" spans="2:9">
      <c r="B914" s="141"/>
      <c r="I914" s="141"/>
    </row>
    <row r="915" spans="2:9">
      <c r="B915" s="141"/>
      <c r="I915" s="141"/>
    </row>
    <row r="916" spans="2:9">
      <c r="B916" s="141"/>
      <c r="I916" s="141"/>
    </row>
    <row r="917" spans="2:9">
      <c r="B917" s="141"/>
      <c r="I917" s="141"/>
    </row>
    <row r="918" spans="2:9">
      <c r="B918" s="141"/>
      <c r="I918" s="141"/>
    </row>
    <row r="919" spans="2:9">
      <c r="B919" s="141"/>
      <c r="I919" s="141"/>
    </row>
    <row r="920" spans="2:9">
      <c r="B920" s="141"/>
      <c r="I920" s="141"/>
    </row>
    <row r="921" spans="2:9">
      <c r="B921" s="141"/>
      <c r="I921" s="141"/>
    </row>
    <row r="922" spans="2:9">
      <c r="B922" s="141"/>
      <c r="I922" s="141"/>
    </row>
    <row r="923" spans="2:9">
      <c r="B923" s="141"/>
      <c r="I923" s="141"/>
    </row>
    <row r="924" spans="2:9">
      <c r="B924" s="141"/>
      <c r="I924" s="141"/>
    </row>
    <row r="925" spans="2:9">
      <c r="B925" s="141"/>
      <c r="I925" s="141"/>
    </row>
    <row r="926" spans="2:9">
      <c r="B926" s="141"/>
      <c r="I926" s="141"/>
    </row>
    <row r="927" spans="2:9">
      <c r="B927" s="141"/>
      <c r="I927" s="141"/>
    </row>
    <row r="928" spans="2:9">
      <c r="B928" s="141"/>
      <c r="I928" s="141"/>
    </row>
    <row r="929" spans="2:9">
      <c r="B929" s="141"/>
      <c r="I929" s="141"/>
    </row>
    <row r="930" spans="2:9">
      <c r="B930" s="141"/>
      <c r="I930" s="141"/>
    </row>
    <row r="931" spans="2:9">
      <c r="B931" s="141"/>
      <c r="I931" s="141"/>
    </row>
    <row r="932" spans="2:9">
      <c r="B932" s="141"/>
      <c r="I932" s="141"/>
    </row>
    <row r="933" spans="2:9">
      <c r="B933" s="141"/>
      <c r="I933" s="141"/>
    </row>
    <row r="934" spans="2:9">
      <c r="B934" s="141"/>
      <c r="I934" s="141"/>
    </row>
    <row r="935" spans="2:9">
      <c r="B935" s="141"/>
      <c r="I935" s="141"/>
    </row>
    <row r="936" spans="2:9">
      <c r="B936" s="141"/>
      <c r="I936" s="141"/>
    </row>
    <row r="937" spans="2:9">
      <c r="B937" s="141"/>
      <c r="I937" s="141"/>
    </row>
    <row r="938" spans="2:9">
      <c r="B938" s="141"/>
      <c r="I938" s="141"/>
    </row>
    <row r="939" spans="2:9">
      <c r="B939" s="141"/>
      <c r="I939" s="141"/>
    </row>
    <row r="940" spans="2:9">
      <c r="B940" s="141"/>
      <c r="I940" s="141"/>
    </row>
    <row r="941" spans="2:9">
      <c r="B941" s="141"/>
      <c r="I941" s="141"/>
    </row>
    <row r="942" spans="2:9">
      <c r="B942" s="141"/>
      <c r="I942" s="141"/>
    </row>
    <row r="943" spans="2:9">
      <c r="B943" s="141"/>
      <c r="I943" s="141"/>
    </row>
    <row r="944" spans="2:9">
      <c r="B944" s="141"/>
      <c r="I944" s="141"/>
    </row>
    <row r="945" spans="2:9">
      <c r="B945" s="141"/>
      <c r="I945" s="141"/>
    </row>
    <row r="946" spans="2:9">
      <c r="B946" s="141"/>
      <c r="I946" s="141"/>
    </row>
    <row r="947" spans="2:9">
      <c r="B947" s="141"/>
      <c r="I947" s="141"/>
    </row>
    <row r="948" spans="2:9">
      <c r="B948" s="141"/>
      <c r="I948" s="141"/>
    </row>
    <row r="949" spans="2:9">
      <c r="B949" s="141"/>
      <c r="I949" s="141"/>
    </row>
    <row r="950" spans="2:9">
      <c r="B950" s="141"/>
      <c r="I950" s="141"/>
    </row>
    <row r="951" spans="2:9">
      <c r="B951" s="141"/>
      <c r="I951" s="141"/>
    </row>
    <row r="952" spans="2:9">
      <c r="B952" s="141"/>
      <c r="I952" s="141"/>
    </row>
    <row r="953" spans="2:9">
      <c r="B953" s="141"/>
      <c r="I953" s="141"/>
    </row>
    <row r="954" spans="2:9">
      <c r="B954" s="141"/>
      <c r="I954" s="141"/>
    </row>
    <row r="955" spans="2:9">
      <c r="B955" s="141"/>
      <c r="I955" s="141"/>
    </row>
    <row r="956" spans="2:9">
      <c r="B956" s="141"/>
      <c r="I956" s="141"/>
    </row>
    <row r="957" spans="2:9">
      <c r="B957" s="141"/>
      <c r="I957" s="141"/>
    </row>
    <row r="958" spans="2:9">
      <c r="B958" s="141"/>
      <c r="I958" s="141"/>
    </row>
    <row r="959" spans="2:9">
      <c r="B959" s="141"/>
      <c r="I959" s="141"/>
    </row>
    <row r="960" spans="2:9">
      <c r="B960" s="141"/>
      <c r="I960" s="141"/>
    </row>
    <row r="961" spans="2:9">
      <c r="B961" s="141"/>
      <c r="I961" s="141"/>
    </row>
    <row r="962" spans="2:9">
      <c r="B962" s="141"/>
      <c r="I962" s="141"/>
    </row>
    <row r="963" spans="2:9">
      <c r="B963" s="141"/>
      <c r="I963" s="141"/>
    </row>
    <row r="964" spans="2:9">
      <c r="B964" s="141"/>
      <c r="I964" s="141"/>
    </row>
    <row r="965" spans="2:9">
      <c r="B965" s="141"/>
      <c r="I965" s="141"/>
    </row>
    <row r="966" spans="2:9">
      <c r="B966" s="141"/>
      <c r="I966" s="141"/>
    </row>
    <row r="967" spans="2:9">
      <c r="B967" s="141"/>
      <c r="I967" s="141"/>
    </row>
    <row r="968" spans="2:9">
      <c r="B968" s="141"/>
      <c r="I968" s="141"/>
    </row>
    <row r="969" spans="2:9">
      <c r="B969" s="141"/>
      <c r="I969" s="141"/>
    </row>
    <row r="970" spans="2:9">
      <c r="B970" s="141"/>
      <c r="I970" s="141"/>
    </row>
    <row r="971" spans="2:9">
      <c r="B971" s="141"/>
      <c r="I971" s="141"/>
    </row>
    <row r="972" spans="2:9">
      <c r="B972" s="141"/>
      <c r="I972" s="141"/>
    </row>
    <row r="973" spans="2:9">
      <c r="B973" s="141"/>
      <c r="I973" s="141"/>
    </row>
    <row r="974" spans="2:9">
      <c r="B974" s="141"/>
      <c r="I974" s="141"/>
    </row>
    <row r="975" spans="2:9">
      <c r="B975" s="141"/>
      <c r="I975" s="141"/>
    </row>
    <row r="976" spans="2:9">
      <c r="B976" s="141"/>
      <c r="I976" s="141"/>
    </row>
    <row r="977" spans="2:9">
      <c r="B977" s="141"/>
      <c r="I977" s="141"/>
    </row>
    <row r="978" spans="2:9">
      <c r="B978" s="141"/>
      <c r="I978" s="141"/>
    </row>
    <row r="979" spans="2:9">
      <c r="B979" s="141"/>
      <c r="I979" s="141"/>
    </row>
    <row r="980" spans="2:9">
      <c r="B980" s="141"/>
      <c r="I980" s="141"/>
    </row>
    <row r="981" spans="2:9">
      <c r="B981" s="141"/>
      <c r="I981" s="141"/>
    </row>
    <row r="982" spans="2:9">
      <c r="B982" s="141"/>
      <c r="I982" s="141"/>
    </row>
    <row r="983" spans="2:9">
      <c r="B983" s="141"/>
      <c r="I983" s="141"/>
    </row>
    <row r="984" spans="2:9">
      <c r="B984" s="141"/>
      <c r="I984" s="141"/>
    </row>
    <row r="985" spans="2:9">
      <c r="B985" s="141"/>
      <c r="I985" s="141"/>
    </row>
    <row r="986" spans="2:9">
      <c r="B986" s="141"/>
      <c r="I986" s="141"/>
    </row>
    <row r="987" spans="2:9">
      <c r="B987" s="141"/>
      <c r="I987" s="141"/>
    </row>
    <row r="988" spans="2:9">
      <c r="B988" s="141"/>
      <c r="I988" s="141"/>
    </row>
    <row r="989" spans="2:9">
      <c r="B989" s="141"/>
      <c r="I989" s="141"/>
    </row>
    <row r="990" spans="2:9">
      <c r="B990" s="141"/>
      <c r="I990" s="141"/>
    </row>
    <row r="991" spans="2:9">
      <c r="B991" s="141"/>
      <c r="I991" s="141"/>
    </row>
    <row r="992" spans="2:9">
      <c r="B992" s="141"/>
      <c r="I992" s="141"/>
    </row>
    <row r="993" spans="2:9">
      <c r="B993" s="141"/>
      <c r="I993" s="141"/>
    </row>
    <row r="994" spans="2:9">
      <c r="B994" s="141"/>
      <c r="I994" s="141"/>
    </row>
    <row r="995" spans="2:9">
      <c r="B995" s="141"/>
      <c r="I995" s="141"/>
    </row>
    <row r="996" spans="2:9">
      <c r="B996" s="141"/>
      <c r="I996" s="141"/>
    </row>
    <row r="997" spans="2:9">
      <c r="B997" s="141"/>
      <c r="I997" s="141"/>
    </row>
    <row r="998" spans="2:9">
      <c r="B998" s="141"/>
      <c r="I998" s="141"/>
    </row>
    <row r="999" spans="2:9">
      <c r="B999" s="141"/>
      <c r="I999" s="141"/>
    </row>
    <row r="1000" spans="2:9">
      <c r="B1000" s="141"/>
      <c r="I1000" s="141"/>
    </row>
    <row r="1001" spans="2:9">
      <c r="B1001" s="141"/>
      <c r="I1001" s="141"/>
    </row>
  </sheetData>
  <mergeCells count="1">
    <mergeCell ref="C1:H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24"/>
  <sheetViews>
    <sheetView workbookViewId="0">
      <pane ySplit="1" topLeftCell="A2" activePane="bottomLeft" state="frozen"/>
      <selection pane="bottomLeft" activeCell="B3" sqref="B3"/>
    </sheetView>
  </sheetViews>
  <sheetFormatPr defaultColWidth="12.5703125" defaultRowHeight="15.75" customHeight="1"/>
  <cols>
    <col min="1" max="2" width="18.85546875" customWidth="1"/>
    <col min="3" max="3" width="23.42578125" customWidth="1"/>
    <col min="4" max="5" width="18.85546875" customWidth="1"/>
    <col min="6" max="6" width="22.85546875" customWidth="1"/>
    <col min="7" max="8" width="18.85546875" customWidth="1"/>
    <col min="9" max="9" width="21.42578125" customWidth="1"/>
    <col min="10" max="10" width="19" customWidth="1"/>
    <col min="11" max="11" width="23.140625" customWidth="1"/>
    <col min="12" max="12" width="22.85546875" customWidth="1"/>
    <col min="13" max="14" width="37.5703125" customWidth="1"/>
    <col min="15" max="15" width="21.28515625" customWidth="1"/>
    <col min="16" max="19" width="24.140625" customWidth="1"/>
    <col min="20" max="20" width="51.5703125" customWidth="1"/>
    <col min="21" max="26" width="18.85546875" customWidth="1"/>
  </cols>
  <sheetData>
    <row r="1" spans="1:20">
      <c r="A1" s="126" t="s">
        <v>121</v>
      </c>
      <c r="B1" s="127" t="s">
        <v>781</v>
      </c>
      <c r="C1" s="127" t="s">
        <v>123</v>
      </c>
      <c r="D1" s="127" t="s">
        <v>782</v>
      </c>
      <c r="E1" s="127" t="s">
        <v>783</v>
      </c>
      <c r="F1" s="127" t="s">
        <v>784</v>
      </c>
      <c r="G1" s="127" t="s">
        <v>40</v>
      </c>
      <c r="H1" s="127" t="s">
        <v>785</v>
      </c>
      <c r="I1" s="127" t="s">
        <v>786</v>
      </c>
      <c r="J1" s="127" t="s">
        <v>787</v>
      </c>
      <c r="K1" s="127" t="s">
        <v>788</v>
      </c>
      <c r="L1" s="127" t="s">
        <v>789</v>
      </c>
      <c r="M1" s="127" t="s">
        <v>790</v>
      </c>
      <c r="N1" s="127" t="s">
        <v>791</v>
      </c>
      <c r="O1" s="127" t="s">
        <v>792</v>
      </c>
      <c r="P1" s="127" t="s">
        <v>793</v>
      </c>
      <c r="Q1" s="127" t="s">
        <v>794</v>
      </c>
      <c r="R1" s="127" t="s">
        <v>795</v>
      </c>
      <c r="S1" s="127" t="s">
        <v>796</v>
      </c>
      <c r="T1" s="129" t="s">
        <v>797</v>
      </c>
    </row>
    <row r="2" spans="1:20">
      <c r="A2" s="130">
        <v>45715.378348587961</v>
      </c>
      <c r="B2" s="131" t="s">
        <v>798</v>
      </c>
      <c r="C2" s="131" t="s">
        <v>799</v>
      </c>
      <c r="D2" s="131" t="s">
        <v>800</v>
      </c>
      <c r="E2" s="131" t="s">
        <v>801</v>
      </c>
      <c r="F2" s="131" t="s">
        <v>141</v>
      </c>
      <c r="G2" s="131">
        <v>3</v>
      </c>
      <c r="H2" s="131" t="s">
        <v>802</v>
      </c>
      <c r="I2" s="131" t="s">
        <v>283</v>
      </c>
      <c r="J2" s="131" t="s">
        <v>283</v>
      </c>
      <c r="K2" s="131" t="s">
        <v>283</v>
      </c>
      <c r="L2" s="131" t="s">
        <v>283</v>
      </c>
      <c r="M2" s="131">
        <v>0</v>
      </c>
      <c r="N2" s="131">
        <v>0</v>
      </c>
      <c r="O2" s="131" t="s">
        <v>283</v>
      </c>
      <c r="P2" s="131" t="s">
        <v>283</v>
      </c>
      <c r="Q2" s="131" t="s">
        <v>283</v>
      </c>
      <c r="R2" s="131" t="s">
        <v>283</v>
      </c>
      <c r="S2" s="131" t="s">
        <v>283</v>
      </c>
      <c r="T2" s="135" t="s">
        <v>803</v>
      </c>
    </row>
    <row r="3" spans="1:20">
      <c r="A3" s="132">
        <v>45715.38142380787</v>
      </c>
      <c r="B3" s="133" t="s">
        <v>798</v>
      </c>
      <c r="C3" s="133" t="s">
        <v>804</v>
      </c>
      <c r="D3" s="133" t="s">
        <v>805</v>
      </c>
      <c r="E3" s="133" t="s">
        <v>806</v>
      </c>
      <c r="F3" s="133" t="s">
        <v>141</v>
      </c>
      <c r="G3" s="133">
        <v>1</v>
      </c>
      <c r="H3" s="133" t="s">
        <v>802</v>
      </c>
      <c r="I3" s="133" t="s">
        <v>283</v>
      </c>
      <c r="J3" s="133" t="s">
        <v>283</v>
      </c>
      <c r="K3" s="133" t="s">
        <v>283</v>
      </c>
      <c r="L3" s="133" t="s">
        <v>283</v>
      </c>
      <c r="M3" s="133">
        <v>0</v>
      </c>
      <c r="N3" s="133">
        <v>0</v>
      </c>
      <c r="O3" s="133" t="s">
        <v>283</v>
      </c>
      <c r="P3" s="133" t="s">
        <v>283</v>
      </c>
      <c r="Q3" s="133" t="s">
        <v>283</v>
      </c>
      <c r="R3" s="133" t="s">
        <v>283</v>
      </c>
      <c r="S3" s="133" t="s">
        <v>807</v>
      </c>
      <c r="T3" s="134" t="s">
        <v>283</v>
      </c>
    </row>
    <row r="4" spans="1:20">
      <c r="A4" s="130">
        <v>45715.382477870371</v>
      </c>
      <c r="B4" s="131" t="s">
        <v>798</v>
      </c>
      <c r="C4" s="131" t="s">
        <v>808</v>
      </c>
      <c r="D4" s="131" t="s">
        <v>809</v>
      </c>
      <c r="E4" s="131" t="s">
        <v>810</v>
      </c>
      <c r="F4" s="131" t="s">
        <v>141</v>
      </c>
      <c r="G4" s="131">
        <v>1</v>
      </c>
      <c r="H4" s="131" t="s">
        <v>802</v>
      </c>
      <c r="I4" s="131" t="s">
        <v>283</v>
      </c>
      <c r="J4" s="131" t="s">
        <v>283</v>
      </c>
      <c r="K4" s="131" t="s">
        <v>283</v>
      </c>
      <c r="L4" s="131" t="s">
        <v>283</v>
      </c>
      <c r="M4" s="131">
        <v>0</v>
      </c>
      <c r="N4" s="131">
        <v>0</v>
      </c>
      <c r="O4" s="131" t="s">
        <v>283</v>
      </c>
      <c r="P4" s="131" t="s">
        <v>283</v>
      </c>
      <c r="Q4" s="131" t="s">
        <v>283</v>
      </c>
      <c r="R4" s="131" t="s">
        <v>283</v>
      </c>
      <c r="S4" s="131" t="s">
        <v>283</v>
      </c>
      <c r="T4" s="135" t="s">
        <v>283</v>
      </c>
    </row>
    <row r="5" spans="1:20">
      <c r="A5" s="132">
        <v>45715.384455486113</v>
      </c>
      <c r="B5" s="133" t="s">
        <v>798</v>
      </c>
      <c r="C5" s="133" t="s">
        <v>811</v>
      </c>
      <c r="D5" s="133" t="s">
        <v>812</v>
      </c>
      <c r="E5" s="133" t="s">
        <v>813</v>
      </c>
      <c r="F5" s="133" t="s">
        <v>141</v>
      </c>
      <c r="G5" s="133">
        <v>2</v>
      </c>
      <c r="H5" s="133" t="s">
        <v>814</v>
      </c>
      <c r="I5" s="133" t="s">
        <v>283</v>
      </c>
      <c r="J5" s="133" t="s">
        <v>283</v>
      </c>
      <c r="K5" s="133" t="s">
        <v>283</v>
      </c>
      <c r="L5" s="133" t="s">
        <v>283</v>
      </c>
      <c r="M5" s="133">
        <v>0</v>
      </c>
      <c r="N5" s="133">
        <v>0</v>
      </c>
      <c r="O5" s="133" t="s">
        <v>283</v>
      </c>
      <c r="P5" s="133" t="s">
        <v>283</v>
      </c>
      <c r="Q5" s="133" t="s">
        <v>283</v>
      </c>
      <c r="R5" s="133" t="s">
        <v>283</v>
      </c>
      <c r="S5" s="133" t="s">
        <v>807</v>
      </c>
      <c r="T5" s="134" t="s">
        <v>815</v>
      </c>
    </row>
    <row r="6" spans="1:20">
      <c r="A6" s="130">
        <v>45715.385253645829</v>
      </c>
      <c r="B6" s="131" t="s">
        <v>816</v>
      </c>
      <c r="C6" s="131" t="s">
        <v>817</v>
      </c>
      <c r="F6" s="131" t="s">
        <v>141</v>
      </c>
      <c r="G6" s="131">
        <v>1</v>
      </c>
      <c r="H6" s="131" t="s">
        <v>818</v>
      </c>
      <c r="I6" s="131" t="s">
        <v>283</v>
      </c>
      <c r="J6" s="131" t="s">
        <v>283</v>
      </c>
      <c r="K6" s="131" t="s">
        <v>283</v>
      </c>
      <c r="L6" s="131" t="s">
        <v>283</v>
      </c>
      <c r="M6" s="131">
        <v>0</v>
      </c>
      <c r="N6" s="131">
        <v>0</v>
      </c>
      <c r="O6" s="131" t="s">
        <v>283</v>
      </c>
      <c r="P6" s="131" t="s">
        <v>819</v>
      </c>
      <c r="Q6" s="131" t="s">
        <v>283</v>
      </c>
      <c r="R6" s="131" t="s">
        <v>283</v>
      </c>
      <c r="S6" s="131" t="s">
        <v>283</v>
      </c>
      <c r="T6" s="135" t="s">
        <v>820</v>
      </c>
    </row>
    <row r="7" spans="1:20">
      <c r="A7" s="132">
        <v>45715.389091203702</v>
      </c>
      <c r="B7" s="133" t="s">
        <v>798</v>
      </c>
      <c r="C7" s="133" t="s">
        <v>821</v>
      </c>
      <c r="D7" s="133" t="s">
        <v>822</v>
      </c>
      <c r="E7" s="133" t="s">
        <v>823</v>
      </c>
      <c r="F7" s="133" t="s">
        <v>141</v>
      </c>
      <c r="G7" s="133">
        <v>2</v>
      </c>
      <c r="H7" s="133" t="s">
        <v>824</v>
      </c>
      <c r="I7" s="133" t="s">
        <v>283</v>
      </c>
      <c r="J7" s="133" t="s">
        <v>283</v>
      </c>
      <c r="K7" s="133" t="s">
        <v>283</v>
      </c>
      <c r="L7" s="133" t="s">
        <v>283</v>
      </c>
      <c r="M7" s="133">
        <v>0</v>
      </c>
      <c r="N7" s="133">
        <v>0</v>
      </c>
      <c r="O7" s="133" t="s">
        <v>283</v>
      </c>
      <c r="P7" s="133" t="s">
        <v>283</v>
      </c>
      <c r="Q7" s="133" t="s">
        <v>283</v>
      </c>
      <c r="R7" s="133" t="s">
        <v>283</v>
      </c>
      <c r="S7" s="133" t="s">
        <v>283</v>
      </c>
      <c r="T7" s="134" t="s">
        <v>825</v>
      </c>
    </row>
    <row r="8" spans="1:20">
      <c r="A8" s="130">
        <v>45715.390042719911</v>
      </c>
      <c r="B8" s="131" t="s">
        <v>826</v>
      </c>
      <c r="C8" s="131" t="s">
        <v>827</v>
      </c>
      <c r="F8" s="131" t="s">
        <v>141</v>
      </c>
      <c r="G8" s="131">
        <v>1</v>
      </c>
      <c r="H8" s="131" t="s">
        <v>818</v>
      </c>
      <c r="I8" s="131" t="s">
        <v>283</v>
      </c>
      <c r="J8" s="131" t="s">
        <v>283</v>
      </c>
      <c r="K8" s="131" t="s">
        <v>283</v>
      </c>
      <c r="L8" s="131" t="s">
        <v>283</v>
      </c>
      <c r="M8" s="131">
        <v>0</v>
      </c>
      <c r="N8" s="131">
        <v>0</v>
      </c>
      <c r="O8" s="131" t="s">
        <v>283</v>
      </c>
      <c r="P8" s="131" t="s">
        <v>828</v>
      </c>
      <c r="Q8" s="131" t="s">
        <v>828</v>
      </c>
      <c r="R8" s="131" t="s">
        <v>283</v>
      </c>
      <c r="S8" s="131" t="s">
        <v>829</v>
      </c>
      <c r="T8" s="135" t="s">
        <v>830</v>
      </c>
    </row>
    <row r="9" spans="1:20">
      <c r="A9" s="132">
        <v>45715.392343321757</v>
      </c>
      <c r="B9" s="133" t="s">
        <v>831</v>
      </c>
      <c r="C9" s="133" t="s">
        <v>832</v>
      </c>
      <c r="D9" s="133" t="s">
        <v>833</v>
      </c>
      <c r="E9" s="133" t="s">
        <v>834</v>
      </c>
      <c r="F9" s="133" t="s">
        <v>153</v>
      </c>
      <c r="G9" s="133">
        <v>1</v>
      </c>
      <c r="H9" s="133" t="s">
        <v>814</v>
      </c>
      <c r="I9" s="133" t="s">
        <v>283</v>
      </c>
      <c r="J9" s="133" t="s">
        <v>283</v>
      </c>
      <c r="K9" s="133" t="s">
        <v>283</v>
      </c>
      <c r="L9" s="133" t="s">
        <v>283</v>
      </c>
      <c r="M9" s="133">
        <v>0</v>
      </c>
      <c r="N9" s="133">
        <v>0</v>
      </c>
      <c r="O9" s="133" t="s">
        <v>283</v>
      </c>
      <c r="P9" s="133" t="s">
        <v>283</v>
      </c>
      <c r="Q9" s="133" t="s">
        <v>283</v>
      </c>
      <c r="R9" s="133" t="s">
        <v>283</v>
      </c>
      <c r="S9" s="133" t="s">
        <v>283</v>
      </c>
      <c r="T9" s="134" t="s">
        <v>835</v>
      </c>
    </row>
    <row r="10" spans="1:20">
      <c r="A10" s="130">
        <v>45715.39561018518</v>
      </c>
      <c r="B10" s="131" t="s">
        <v>798</v>
      </c>
      <c r="C10" s="131" t="s">
        <v>836</v>
      </c>
      <c r="D10" s="131" t="s">
        <v>837</v>
      </c>
      <c r="E10" s="131" t="s">
        <v>838</v>
      </c>
      <c r="F10" s="131" t="s">
        <v>141</v>
      </c>
      <c r="G10" s="131">
        <v>1</v>
      </c>
      <c r="H10" s="131" t="s">
        <v>818</v>
      </c>
      <c r="I10" s="131" t="s">
        <v>283</v>
      </c>
      <c r="J10" s="131" t="s">
        <v>283</v>
      </c>
      <c r="K10" s="131" t="s">
        <v>283</v>
      </c>
      <c r="L10" s="131" t="s">
        <v>283</v>
      </c>
      <c r="M10" s="131">
        <v>0</v>
      </c>
      <c r="N10" s="131">
        <v>0</v>
      </c>
      <c r="O10" s="131" t="s">
        <v>839</v>
      </c>
      <c r="P10" s="131" t="s">
        <v>807</v>
      </c>
      <c r="Q10" s="131" t="s">
        <v>807</v>
      </c>
      <c r="R10" s="131" t="s">
        <v>807</v>
      </c>
      <c r="S10" s="131" t="s">
        <v>807</v>
      </c>
      <c r="T10" s="135" t="s">
        <v>283</v>
      </c>
    </row>
    <row r="11" spans="1:20">
      <c r="A11" s="132">
        <v>45715.396204930556</v>
      </c>
      <c r="B11" s="133" t="s">
        <v>816</v>
      </c>
      <c r="C11" s="133" t="s">
        <v>817</v>
      </c>
      <c r="F11" s="133" t="s">
        <v>141</v>
      </c>
      <c r="G11" s="146" t="s">
        <v>840</v>
      </c>
      <c r="H11" s="133" t="s">
        <v>818</v>
      </c>
      <c r="I11" s="133" t="s">
        <v>818</v>
      </c>
      <c r="J11" s="133" t="s">
        <v>283</v>
      </c>
      <c r="K11" s="133" t="s">
        <v>841</v>
      </c>
      <c r="L11" s="133" t="s">
        <v>841</v>
      </c>
      <c r="M11" s="133">
        <v>0</v>
      </c>
      <c r="N11" s="133">
        <v>0</v>
      </c>
      <c r="O11" s="133" t="s">
        <v>842</v>
      </c>
      <c r="P11" s="133" t="s">
        <v>843</v>
      </c>
      <c r="Q11" s="133" t="s">
        <v>283</v>
      </c>
      <c r="R11" s="133" t="s">
        <v>283</v>
      </c>
      <c r="S11" s="133" t="s">
        <v>843</v>
      </c>
      <c r="T11" s="134" t="s">
        <v>844</v>
      </c>
    </row>
    <row r="12" spans="1:20">
      <c r="A12" s="130">
        <v>45715.398771203705</v>
      </c>
      <c r="B12" s="131" t="s">
        <v>831</v>
      </c>
      <c r="C12" s="131" t="s">
        <v>845</v>
      </c>
      <c r="D12" s="131" t="s">
        <v>846</v>
      </c>
      <c r="E12" s="131" t="s">
        <v>847</v>
      </c>
      <c r="F12" s="131" t="s">
        <v>141</v>
      </c>
      <c r="G12" s="131">
        <v>2</v>
      </c>
      <c r="H12" s="131" t="s">
        <v>818</v>
      </c>
      <c r="I12" s="131" t="s">
        <v>283</v>
      </c>
      <c r="J12" s="131" t="s">
        <v>283</v>
      </c>
      <c r="K12" s="131" t="s">
        <v>283</v>
      </c>
      <c r="L12" s="131" t="s">
        <v>283</v>
      </c>
      <c r="M12" s="131">
        <v>0</v>
      </c>
      <c r="N12" s="131">
        <v>0</v>
      </c>
      <c r="O12" s="131" t="s">
        <v>839</v>
      </c>
      <c r="P12" s="131" t="s">
        <v>848</v>
      </c>
      <c r="Q12" s="131" t="s">
        <v>283</v>
      </c>
      <c r="R12" s="131" t="s">
        <v>283</v>
      </c>
      <c r="S12" s="131" t="s">
        <v>283</v>
      </c>
      <c r="T12" s="135" t="s">
        <v>283</v>
      </c>
    </row>
    <row r="13" spans="1:20">
      <c r="A13" s="132">
        <v>45715.400560555558</v>
      </c>
      <c r="B13" s="133" t="s">
        <v>816</v>
      </c>
      <c r="C13" s="133" t="s">
        <v>849</v>
      </c>
      <c r="F13" s="133" t="s">
        <v>141</v>
      </c>
      <c r="G13" s="146" t="s">
        <v>850</v>
      </c>
      <c r="H13" s="133" t="s">
        <v>818</v>
      </c>
      <c r="I13" s="133" t="s">
        <v>818</v>
      </c>
      <c r="J13" s="133" t="s">
        <v>283</v>
      </c>
      <c r="K13" s="133" t="s">
        <v>851</v>
      </c>
      <c r="L13" s="133" t="s">
        <v>851</v>
      </c>
      <c r="M13" s="133">
        <v>0</v>
      </c>
      <c r="N13" s="133">
        <v>0</v>
      </c>
      <c r="O13" s="133" t="s">
        <v>852</v>
      </c>
      <c r="P13" s="133" t="s">
        <v>853</v>
      </c>
      <c r="Q13" s="133" t="s">
        <v>853</v>
      </c>
      <c r="R13" s="133" t="s">
        <v>853</v>
      </c>
      <c r="S13" s="133" t="s">
        <v>853</v>
      </c>
      <c r="T13" s="134" t="s">
        <v>854</v>
      </c>
    </row>
    <row r="14" spans="1:20">
      <c r="A14" s="130">
        <v>45715.400871215279</v>
      </c>
      <c r="B14" s="131" t="s">
        <v>798</v>
      </c>
      <c r="C14" s="131" t="s">
        <v>157</v>
      </c>
      <c r="D14" s="131" t="s">
        <v>855</v>
      </c>
      <c r="E14" s="131" t="s">
        <v>856</v>
      </c>
      <c r="F14" s="131" t="s">
        <v>153</v>
      </c>
      <c r="G14" s="147" t="s">
        <v>857</v>
      </c>
      <c r="H14" s="131" t="s">
        <v>818</v>
      </c>
      <c r="I14" s="131" t="s">
        <v>283</v>
      </c>
      <c r="J14" s="131" t="s">
        <v>283</v>
      </c>
      <c r="K14" s="131" t="s">
        <v>283</v>
      </c>
      <c r="L14" s="131" t="s">
        <v>283</v>
      </c>
      <c r="M14" s="131">
        <v>0</v>
      </c>
      <c r="N14" s="131">
        <v>0</v>
      </c>
      <c r="O14" s="131" t="s">
        <v>283</v>
      </c>
      <c r="P14" s="131" t="s">
        <v>283</v>
      </c>
      <c r="Q14" s="131" t="s">
        <v>819</v>
      </c>
      <c r="R14" s="131" t="s">
        <v>819</v>
      </c>
      <c r="S14" s="131" t="s">
        <v>819</v>
      </c>
      <c r="T14" s="135" t="s">
        <v>153</v>
      </c>
    </row>
    <row r="15" spans="1:20">
      <c r="A15" s="132">
        <v>45715.403674618057</v>
      </c>
      <c r="B15" s="133" t="s">
        <v>858</v>
      </c>
      <c r="C15" s="133" t="s">
        <v>859</v>
      </c>
      <c r="D15" s="133" t="s">
        <v>860</v>
      </c>
      <c r="E15" s="133" t="s">
        <v>861</v>
      </c>
      <c r="F15" s="133" t="s">
        <v>153</v>
      </c>
      <c r="G15" s="133">
        <v>2</v>
      </c>
      <c r="H15" s="133" t="s">
        <v>862</v>
      </c>
      <c r="I15" s="133" t="s">
        <v>283</v>
      </c>
      <c r="J15" s="133" t="s">
        <v>283</v>
      </c>
      <c r="K15" s="133" t="s">
        <v>283</v>
      </c>
      <c r="L15" s="133" t="s">
        <v>283</v>
      </c>
      <c r="M15" s="133">
        <v>0</v>
      </c>
      <c r="N15" s="133">
        <v>0</v>
      </c>
      <c r="O15" s="133" t="s">
        <v>283</v>
      </c>
      <c r="P15" s="133" t="s">
        <v>283</v>
      </c>
      <c r="Q15" s="133" t="s">
        <v>283</v>
      </c>
      <c r="R15" s="133" t="s">
        <v>283</v>
      </c>
      <c r="S15" s="133" t="s">
        <v>283</v>
      </c>
      <c r="T15" s="134" t="s">
        <v>863</v>
      </c>
    </row>
    <row r="16" spans="1:20">
      <c r="A16" s="130">
        <v>45715.406720740742</v>
      </c>
      <c r="B16" s="131" t="s">
        <v>858</v>
      </c>
      <c r="C16" s="131" t="s">
        <v>864</v>
      </c>
      <c r="D16" s="131" t="s">
        <v>865</v>
      </c>
      <c r="F16" s="131" t="s">
        <v>141</v>
      </c>
      <c r="G16" s="147" t="s">
        <v>857</v>
      </c>
      <c r="H16" s="131" t="s">
        <v>866</v>
      </c>
      <c r="I16" s="131" t="s">
        <v>283</v>
      </c>
      <c r="J16" s="131" t="s">
        <v>283</v>
      </c>
      <c r="K16" s="131" t="s">
        <v>283</v>
      </c>
      <c r="L16" s="131" t="s">
        <v>283</v>
      </c>
      <c r="M16" s="131">
        <v>0</v>
      </c>
      <c r="N16" s="131">
        <v>0</v>
      </c>
      <c r="O16" s="131" t="s">
        <v>283</v>
      </c>
      <c r="P16" s="131" t="s">
        <v>283</v>
      </c>
      <c r="Q16" s="131" t="s">
        <v>283</v>
      </c>
      <c r="R16" s="131" t="s">
        <v>283</v>
      </c>
      <c r="S16" s="131" t="s">
        <v>819</v>
      </c>
      <c r="T16" s="135" t="s">
        <v>863</v>
      </c>
    </row>
    <row r="17" spans="1:20">
      <c r="A17" s="132">
        <v>45715.41046835648</v>
      </c>
      <c r="B17" s="133" t="s">
        <v>816</v>
      </c>
      <c r="C17" s="133" t="s">
        <v>867</v>
      </c>
      <c r="F17" s="133" t="s">
        <v>141</v>
      </c>
      <c r="G17" s="146" t="s">
        <v>850</v>
      </c>
      <c r="H17" s="133" t="s">
        <v>868</v>
      </c>
      <c r="I17" s="133" t="s">
        <v>283</v>
      </c>
      <c r="J17" s="133" t="s">
        <v>283</v>
      </c>
      <c r="K17" s="133" t="s">
        <v>283</v>
      </c>
      <c r="L17" s="133" t="s">
        <v>283</v>
      </c>
      <c r="M17" s="133">
        <v>0</v>
      </c>
      <c r="N17" s="133">
        <v>0</v>
      </c>
      <c r="O17" s="133" t="s">
        <v>283</v>
      </c>
      <c r="P17" s="133" t="s">
        <v>283</v>
      </c>
      <c r="Q17" s="133" t="s">
        <v>869</v>
      </c>
      <c r="R17" s="133" t="s">
        <v>283</v>
      </c>
      <c r="S17" s="133" t="s">
        <v>283</v>
      </c>
      <c r="T17" s="134" t="s">
        <v>283</v>
      </c>
    </row>
    <row r="18" spans="1:20">
      <c r="A18" s="130">
        <v>45715.411165659723</v>
      </c>
      <c r="B18" s="131" t="s">
        <v>858</v>
      </c>
      <c r="C18" s="131" t="s">
        <v>140</v>
      </c>
      <c r="D18" s="131" t="s">
        <v>870</v>
      </c>
      <c r="F18" s="131" t="s">
        <v>141</v>
      </c>
      <c r="G18" s="131">
        <v>2</v>
      </c>
      <c r="H18" s="131" t="s">
        <v>866</v>
      </c>
      <c r="I18" s="131" t="s">
        <v>283</v>
      </c>
      <c r="J18" s="131" t="s">
        <v>283</v>
      </c>
      <c r="K18" s="131" t="s">
        <v>283</v>
      </c>
      <c r="L18" s="131" t="s">
        <v>283</v>
      </c>
      <c r="M18" s="131">
        <v>0</v>
      </c>
      <c r="N18" s="131">
        <v>0</v>
      </c>
      <c r="O18" s="131" t="s">
        <v>283</v>
      </c>
      <c r="P18" s="131" t="s">
        <v>871</v>
      </c>
      <c r="Q18" s="131" t="s">
        <v>283</v>
      </c>
      <c r="R18" s="131" t="s">
        <v>283</v>
      </c>
      <c r="S18" s="131" t="s">
        <v>871</v>
      </c>
      <c r="T18" s="135" t="s">
        <v>863</v>
      </c>
    </row>
    <row r="19" spans="1:20">
      <c r="A19" s="132">
        <v>45715.416438657412</v>
      </c>
      <c r="B19" s="133" t="s">
        <v>858</v>
      </c>
      <c r="C19" s="133" t="s">
        <v>872</v>
      </c>
      <c r="D19" s="133" t="s">
        <v>873</v>
      </c>
      <c r="F19" s="133" t="s">
        <v>141</v>
      </c>
      <c r="G19" s="146" t="s">
        <v>857</v>
      </c>
      <c r="H19" s="133" t="s">
        <v>866</v>
      </c>
      <c r="I19" s="133" t="s">
        <v>283</v>
      </c>
      <c r="J19" s="133" t="s">
        <v>283</v>
      </c>
      <c r="K19" s="133" t="s">
        <v>283</v>
      </c>
      <c r="L19" s="133" t="s">
        <v>283</v>
      </c>
      <c r="M19" s="133">
        <v>0</v>
      </c>
      <c r="N19" s="133">
        <v>0</v>
      </c>
      <c r="O19" s="133" t="s">
        <v>283</v>
      </c>
      <c r="P19" s="133" t="s">
        <v>283</v>
      </c>
      <c r="Q19" s="133" t="s">
        <v>819</v>
      </c>
      <c r="R19" s="133" t="s">
        <v>819</v>
      </c>
      <c r="S19" s="133" t="s">
        <v>819</v>
      </c>
      <c r="T19" s="134" t="s">
        <v>863</v>
      </c>
    </row>
    <row r="20" spans="1:20">
      <c r="A20" s="130">
        <v>45715.418068576386</v>
      </c>
      <c r="B20" s="131" t="s">
        <v>874</v>
      </c>
      <c r="C20" s="131" t="s">
        <v>875</v>
      </c>
      <c r="D20" s="131" t="s">
        <v>876</v>
      </c>
      <c r="F20" s="131" t="s">
        <v>141</v>
      </c>
      <c r="G20" s="147" t="s">
        <v>857</v>
      </c>
      <c r="H20" s="131" t="s">
        <v>877</v>
      </c>
      <c r="I20" s="131" t="s">
        <v>283</v>
      </c>
      <c r="J20" s="131" t="s">
        <v>283</v>
      </c>
      <c r="K20" s="131" t="s">
        <v>283</v>
      </c>
      <c r="L20" s="131" t="s">
        <v>283</v>
      </c>
      <c r="M20" s="131">
        <v>0</v>
      </c>
      <c r="N20" s="131">
        <v>0</v>
      </c>
      <c r="O20" s="131" t="s">
        <v>842</v>
      </c>
      <c r="P20" s="131" t="s">
        <v>819</v>
      </c>
      <c r="Q20" s="131" t="s">
        <v>283</v>
      </c>
      <c r="R20" s="131" t="s">
        <v>283</v>
      </c>
      <c r="S20" s="131" t="s">
        <v>283</v>
      </c>
      <c r="T20" s="135" t="s">
        <v>863</v>
      </c>
    </row>
    <row r="21" spans="1:20">
      <c r="A21" s="132">
        <v>45715.419601261572</v>
      </c>
      <c r="B21" s="133" t="s">
        <v>874</v>
      </c>
      <c r="C21" s="133" t="s">
        <v>878</v>
      </c>
      <c r="D21" s="133" t="s">
        <v>879</v>
      </c>
      <c r="F21" s="133" t="s">
        <v>141</v>
      </c>
      <c r="G21" s="146" t="s">
        <v>857</v>
      </c>
      <c r="H21" s="133" t="s">
        <v>866</v>
      </c>
      <c r="I21" s="133" t="s">
        <v>283</v>
      </c>
      <c r="J21" s="133" t="s">
        <v>283</v>
      </c>
      <c r="K21" s="133" t="s">
        <v>283</v>
      </c>
      <c r="L21" s="133" t="s">
        <v>283</v>
      </c>
      <c r="M21" s="133">
        <v>0</v>
      </c>
      <c r="N21" s="133">
        <v>0</v>
      </c>
      <c r="O21" s="133" t="s">
        <v>283</v>
      </c>
      <c r="P21" s="133" t="s">
        <v>283</v>
      </c>
      <c r="Q21" s="133" t="s">
        <v>283</v>
      </c>
      <c r="R21" s="133" t="s">
        <v>283</v>
      </c>
      <c r="S21" s="133" t="s">
        <v>819</v>
      </c>
      <c r="T21" s="134" t="s">
        <v>863</v>
      </c>
    </row>
    <row r="22" spans="1:20">
      <c r="A22" s="130">
        <v>45715.425369386576</v>
      </c>
      <c r="B22" s="131" t="s">
        <v>880</v>
      </c>
      <c r="C22" s="131" t="s">
        <v>881</v>
      </c>
      <c r="E22" s="131" t="s">
        <v>882</v>
      </c>
      <c r="F22" s="131" t="s">
        <v>141</v>
      </c>
      <c r="G22" s="147" t="s">
        <v>857</v>
      </c>
      <c r="H22" s="131" t="s">
        <v>883</v>
      </c>
      <c r="I22" s="131" t="s">
        <v>283</v>
      </c>
      <c r="J22" s="131" t="s">
        <v>283</v>
      </c>
      <c r="K22" s="131" t="s">
        <v>283</v>
      </c>
      <c r="L22" s="131" t="s">
        <v>283</v>
      </c>
      <c r="M22" s="131">
        <v>0</v>
      </c>
      <c r="N22" s="131">
        <v>0</v>
      </c>
      <c r="O22" s="131" t="s">
        <v>283</v>
      </c>
      <c r="P22" s="131" t="s">
        <v>283</v>
      </c>
      <c r="Q22" s="131" t="s">
        <v>283</v>
      </c>
      <c r="R22" s="131" t="s">
        <v>283</v>
      </c>
      <c r="S22" s="131" t="s">
        <v>283</v>
      </c>
      <c r="T22" s="135" t="s">
        <v>884</v>
      </c>
    </row>
    <row r="23" spans="1:20">
      <c r="A23" s="132">
        <v>45715.428900347222</v>
      </c>
      <c r="B23" s="133" t="s">
        <v>816</v>
      </c>
      <c r="C23" s="133" t="s">
        <v>885</v>
      </c>
      <c r="F23" s="133" t="s">
        <v>141</v>
      </c>
      <c r="G23" s="146" t="s">
        <v>850</v>
      </c>
      <c r="H23" s="133" t="s">
        <v>818</v>
      </c>
      <c r="I23" s="133" t="s">
        <v>818</v>
      </c>
      <c r="J23" s="133" t="s">
        <v>283</v>
      </c>
      <c r="K23" s="133" t="s">
        <v>886</v>
      </c>
      <c r="L23" s="133" t="s">
        <v>283</v>
      </c>
      <c r="M23" s="133">
        <v>0</v>
      </c>
      <c r="N23" s="133">
        <v>0</v>
      </c>
      <c r="O23" s="133" t="s">
        <v>842</v>
      </c>
      <c r="P23" s="133" t="s">
        <v>283</v>
      </c>
      <c r="Q23" s="133" t="s">
        <v>283</v>
      </c>
      <c r="R23" s="133" t="s">
        <v>887</v>
      </c>
      <c r="S23" s="133" t="s">
        <v>283</v>
      </c>
      <c r="T23" s="134" t="s">
        <v>888</v>
      </c>
    </row>
    <row r="24" spans="1:20">
      <c r="A24" s="136">
        <v>45715.432264155097</v>
      </c>
      <c r="B24" s="137" t="s">
        <v>816</v>
      </c>
      <c r="C24" s="137" t="s">
        <v>889</v>
      </c>
      <c r="F24" s="137" t="s">
        <v>141</v>
      </c>
      <c r="G24" s="137">
        <v>1</v>
      </c>
      <c r="H24" s="137" t="s">
        <v>818</v>
      </c>
      <c r="I24" s="137" t="s">
        <v>283</v>
      </c>
      <c r="J24" s="137" t="s">
        <v>283</v>
      </c>
      <c r="K24" s="137" t="s">
        <v>283</v>
      </c>
      <c r="L24" s="137" t="s">
        <v>283</v>
      </c>
      <c r="M24" s="137">
        <v>0</v>
      </c>
      <c r="N24" s="137">
        <v>0</v>
      </c>
      <c r="O24" s="137" t="s">
        <v>842</v>
      </c>
      <c r="P24" s="137" t="s">
        <v>283</v>
      </c>
      <c r="Q24" s="137" t="s">
        <v>283</v>
      </c>
      <c r="R24" s="137" t="s">
        <v>890</v>
      </c>
      <c r="S24" s="137" t="s">
        <v>283</v>
      </c>
      <c r="T24" s="138" t="s">
        <v>283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P91"/>
  <sheetViews>
    <sheetView workbookViewId="0">
      <pane ySplit="1" topLeftCell="A2" activePane="bottomLeft" state="frozen"/>
      <selection pane="bottomLeft" activeCell="B3" sqref="B3"/>
    </sheetView>
  </sheetViews>
  <sheetFormatPr defaultColWidth="12.5703125" defaultRowHeight="15.75" customHeight="1"/>
  <cols>
    <col min="1" max="4" width="18.85546875" customWidth="1"/>
    <col min="5" max="5" width="37.5703125" customWidth="1"/>
    <col min="6" max="6" width="27.28515625" customWidth="1"/>
    <col min="7" max="7" width="37.5703125" customWidth="1"/>
    <col min="8" max="8" width="23.42578125" customWidth="1"/>
    <col min="9" max="9" width="37.5703125" customWidth="1"/>
    <col min="10" max="10" width="18.85546875" customWidth="1"/>
    <col min="11" max="11" width="33.42578125" customWidth="1"/>
    <col min="12" max="12" width="29.140625" customWidth="1"/>
    <col min="13" max="13" width="22" customWidth="1"/>
    <col min="14" max="21" width="18.85546875" customWidth="1"/>
  </cols>
  <sheetData>
    <row r="1" spans="1:16">
      <c r="A1" s="126" t="s">
        <v>121</v>
      </c>
      <c r="B1" s="127" t="s">
        <v>891</v>
      </c>
      <c r="C1" s="127" t="s">
        <v>123</v>
      </c>
      <c r="D1" s="127" t="s">
        <v>892</v>
      </c>
      <c r="E1" s="127" t="s">
        <v>893</v>
      </c>
      <c r="F1" s="127" t="s">
        <v>894</v>
      </c>
      <c r="G1" s="127" t="s">
        <v>895</v>
      </c>
      <c r="H1" s="127" t="s">
        <v>896</v>
      </c>
      <c r="I1" s="127" t="s">
        <v>897</v>
      </c>
      <c r="J1" s="127" t="s">
        <v>74</v>
      </c>
      <c r="K1" s="127" t="s">
        <v>898</v>
      </c>
      <c r="L1" s="127" t="s">
        <v>899</v>
      </c>
      <c r="M1" s="127" t="s">
        <v>900</v>
      </c>
      <c r="N1" s="127" t="s">
        <v>901</v>
      </c>
      <c r="O1" s="127" t="s">
        <v>902</v>
      </c>
      <c r="P1" s="129" t="s">
        <v>903</v>
      </c>
    </row>
    <row r="2" spans="1:16">
      <c r="A2" s="130"/>
    </row>
    <row r="3" spans="1:16">
      <c r="A3" s="132"/>
    </row>
    <row r="4" spans="1:16">
      <c r="A4" s="130"/>
    </row>
    <row r="5" spans="1:16">
      <c r="A5" s="132"/>
    </row>
    <row r="6" spans="1:16">
      <c r="A6" s="130"/>
    </row>
    <row r="7" spans="1:16">
      <c r="A7" s="132"/>
    </row>
    <row r="8" spans="1:16">
      <c r="A8" s="130"/>
    </row>
    <row r="9" spans="1:16">
      <c r="A9" s="132"/>
    </row>
    <row r="10" spans="1:16">
      <c r="A10" s="130"/>
    </row>
    <row r="11" spans="1:16">
      <c r="A11" s="132"/>
    </row>
    <row r="12" spans="1:16">
      <c r="A12" s="130"/>
    </row>
    <row r="13" spans="1:16">
      <c r="A13" s="132"/>
    </row>
    <row r="14" spans="1:16">
      <c r="A14" s="130"/>
    </row>
    <row r="15" spans="1:16">
      <c r="A15" s="132"/>
    </row>
    <row r="16" spans="1:16">
      <c r="A16" s="130"/>
    </row>
    <row r="17" spans="1:1">
      <c r="A17" s="132"/>
    </row>
    <row r="18" spans="1:1">
      <c r="A18" s="130"/>
    </row>
    <row r="19" spans="1:1">
      <c r="A19" s="132"/>
    </row>
    <row r="20" spans="1:1">
      <c r="A20" s="130"/>
    </row>
    <row r="21" spans="1:1">
      <c r="A21" s="132"/>
    </row>
    <row r="22" spans="1:1">
      <c r="A22" s="130"/>
    </row>
    <row r="23" spans="1:1">
      <c r="A23" s="132"/>
    </row>
    <row r="24" spans="1:1">
      <c r="A24" s="130"/>
    </row>
    <row r="25" spans="1:1">
      <c r="A25" s="132"/>
    </row>
    <row r="26" spans="1:1">
      <c r="A26" s="130"/>
    </row>
    <row r="27" spans="1:1">
      <c r="A27" s="132"/>
    </row>
    <row r="28" spans="1:1">
      <c r="A28" s="130"/>
    </row>
    <row r="29" spans="1:1">
      <c r="A29" s="132"/>
    </row>
    <row r="30" spans="1:1">
      <c r="A30" s="130"/>
    </row>
    <row r="31" spans="1:1">
      <c r="A31" s="132"/>
    </row>
    <row r="32" spans="1:1">
      <c r="A32" s="130"/>
    </row>
    <row r="33" spans="1:15">
      <c r="A33" s="132"/>
    </row>
    <row r="34" spans="1:15">
      <c r="A34" s="130"/>
    </row>
    <row r="35" spans="1:15">
      <c r="A35" s="132"/>
    </row>
    <row r="36" spans="1:15">
      <c r="A36" s="130"/>
    </row>
    <row r="37" spans="1:15">
      <c r="A37" s="132"/>
    </row>
    <row r="38" spans="1:15">
      <c r="A38" s="130"/>
    </row>
    <row r="39" spans="1:15">
      <c r="A39" s="132"/>
    </row>
    <row r="40" spans="1:15">
      <c r="A40" s="130"/>
    </row>
    <row r="41" spans="1:15">
      <c r="A41" s="132"/>
    </row>
    <row r="42" spans="1:15">
      <c r="A42" s="130"/>
    </row>
    <row r="43" spans="1:15">
      <c r="A43" s="132"/>
    </row>
    <row r="44" spans="1:15">
      <c r="A44" s="130"/>
    </row>
    <row r="45" spans="1:15">
      <c r="A45" s="132"/>
    </row>
    <row r="46" spans="1:15">
      <c r="A46" s="130"/>
    </row>
    <row r="47" spans="1:15">
      <c r="A47" s="132">
        <v>45743.378418599532</v>
      </c>
      <c r="B47" s="133" t="s">
        <v>904</v>
      </c>
      <c r="C47" s="133" t="s">
        <v>140</v>
      </c>
      <c r="D47" s="133" t="s">
        <v>905</v>
      </c>
      <c r="E47" s="133" t="s">
        <v>906</v>
      </c>
      <c r="F47" s="133" t="s">
        <v>907</v>
      </c>
      <c r="G47" s="133" t="s">
        <v>908</v>
      </c>
      <c r="H47" s="133" t="s">
        <v>909</v>
      </c>
      <c r="I47" s="133" t="s">
        <v>910</v>
      </c>
      <c r="J47" s="133" t="s">
        <v>283</v>
      </c>
      <c r="K47" s="133" t="s">
        <v>153</v>
      </c>
      <c r="M47" s="133" t="s">
        <v>911</v>
      </c>
      <c r="N47" s="133" t="s">
        <v>912</v>
      </c>
      <c r="O47" s="133" t="s">
        <v>913</v>
      </c>
    </row>
    <row r="48" spans="1:15">
      <c r="A48" s="130">
        <v>45743.383745393519</v>
      </c>
      <c r="B48" s="131" t="s">
        <v>904</v>
      </c>
      <c r="C48" s="131" t="s">
        <v>146</v>
      </c>
      <c r="D48" s="131" t="s">
        <v>914</v>
      </c>
      <c r="E48" s="131" t="s">
        <v>915</v>
      </c>
      <c r="F48" s="131" t="s">
        <v>916</v>
      </c>
      <c r="G48" s="131" t="s">
        <v>917</v>
      </c>
      <c r="H48" s="131" t="s">
        <v>918</v>
      </c>
      <c r="I48" s="131" t="s">
        <v>919</v>
      </c>
      <c r="J48" s="131" t="s">
        <v>283</v>
      </c>
      <c r="K48" s="131" t="s">
        <v>153</v>
      </c>
      <c r="M48" s="131" t="s">
        <v>920</v>
      </c>
      <c r="N48" s="131" t="s">
        <v>921</v>
      </c>
      <c r="O48" s="131" t="s">
        <v>922</v>
      </c>
    </row>
    <row r="49" spans="1:15">
      <c r="A49" s="132">
        <v>45743.386116238427</v>
      </c>
      <c r="B49" s="133" t="s">
        <v>904</v>
      </c>
      <c r="C49" s="133" t="s">
        <v>157</v>
      </c>
      <c r="D49" s="133" t="s">
        <v>923</v>
      </c>
      <c r="E49" s="133" t="s">
        <v>924</v>
      </c>
      <c r="F49" s="133" t="s">
        <v>925</v>
      </c>
      <c r="G49" s="133" t="s">
        <v>926</v>
      </c>
      <c r="H49" s="133" t="s">
        <v>927</v>
      </c>
      <c r="I49" s="133" t="s">
        <v>928</v>
      </c>
      <c r="J49" s="133" t="s">
        <v>283</v>
      </c>
      <c r="K49" s="133" t="s">
        <v>153</v>
      </c>
      <c r="M49" s="133" t="s">
        <v>911</v>
      </c>
      <c r="N49" s="133" t="s">
        <v>912</v>
      </c>
      <c r="O49" s="133" t="s">
        <v>929</v>
      </c>
    </row>
    <row r="50" spans="1:15">
      <c r="A50" s="130">
        <v>45743.390692013891</v>
      </c>
      <c r="B50" s="131" t="s">
        <v>904</v>
      </c>
      <c r="C50" s="131" t="s">
        <v>165</v>
      </c>
      <c r="D50" s="131" t="s">
        <v>930</v>
      </c>
      <c r="E50" s="131" t="s">
        <v>931</v>
      </c>
      <c r="F50" s="131" t="s">
        <v>932</v>
      </c>
      <c r="G50" s="131" t="s">
        <v>933</v>
      </c>
      <c r="H50" s="131" t="s">
        <v>934</v>
      </c>
      <c r="I50" s="131" t="s">
        <v>935</v>
      </c>
      <c r="J50" s="131" t="s">
        <v>936</v>
      </c>
      <c r="K50" s="131" t="s">
        <v>141</v>
      </c>
      <c r="L50" s="131" t="s">
        <v>937</v>
      </c>
      <c r="M50" s="131" t="s">
        <v>938</v>
      </c>
      <c r="N50" s="131" t="s">
        <v>921</v>
      </c>
      <c r="O50" s="131" t="s">
        <v>939</v>
      </c>
    </row>
    <row r="51" spans="1:15">
      <c r="A51" s="132">
        <v>45743.393330706022</v>
      </c>
      <c r="B51" s="133" t="s">
        <v>904</v>
      </c>
      <c r="C51" s="133" t="s">
        <v>152</v>
      </c>
      <c r="D51" s="133" t="s">
        <v>940</v>
      </c>
      <c r="E51" s="133" t="s">
        <v>941</v>
      </c>
      <c r="F51" s="133" t="s">
        <v>942</v>
      </c>
      <c r="G51" s="133" t="s">
        <v>943</v>
      </c>
      <c r="H51" s="133" t="s">
        <v>944</v>
      </c>
      <c r="I51" s="133" t="s">
        <v>945</v>
      </c>
      <c r="J51" s="133" t="s">
        <v>936</v>
      </c>
      <c r="K51" s="133" t="s">
        <v>141</v>
      </c>
      <c r="L51" s="133" t="s">
        <v>937</v>
      </c>
      <c r="M51" s="133" t="s">
        <v>946</v>
      </c>
      <c r="N51" s="133" t="s">
        <v>921</v>
      </c>
      <c r="O51" s="133" t="s">
        <v>947</v>
      </c>
    </row>
    <row r="52" spans="1:15">
      <c r="A52" s="130">
        <v>45743.39717960648</v>
      </c>
      <c r="B52" s="131" t="s">
        <v>904</v>
      </c>
      <c r="C52" s="131" t="s">
        <v>149</v>
      </c>
      <c r="D52" s="131" t="s">
        <v>948</v>
      </c>
      <c r="E52" s="131" t="s">
        <v>949</v>
      </c>
      <c r="F52" s="131" t="s">
        <v>950</v>
      </c>
      <c r="G52" s="131" t="s">
        <v>951</v>
      </c>
      <c r="H52" s="131" t="s">
        <v>952</v>
      </c>
      <c r="I52" s="131" t="s">
        <v>953</v>
      </c>
      <c r="J52" s="131" t="s">
        <v>283</v>
      </c>
      <c r="K52" s="131" t="s">
        <v>153</v>
      </c>
      <c r="M52" s="131" t="s">
        <v>911</v>
      </c>
      <c r="N52" s="131" t="s">
        <v>921</v>
      </c>
      <c r="O52" s="131" t="s">
        <v>913</v>
      </c>
    </row>
    <row r="53" spans="1:15">
      <c r="A53" s="132">
        <v>45743.400121157407</v>
      </c>
      <c r="B53" s="133" t="s">
        <v>904</v>
      </c>
      <c r="C53" s="133" t="s">
        <v>954</v>
      </c>
      <c r="D53" s="133" t="s">
        <v>955</v>
      </c>
      <c r="E53" s="133" t="s">
        <v>956</v>
      </c>
      <c r="F53" s="133" t="s">
        <v>957</v>
      </c>
      <c r="G53" s="133" t="s">
        <v>958</v>
      </c>
      <c r="H53" s="133" t="s">
        <v>959</v>
      </c>
      <c r="I53" s="133" t="s">
        <v>960</v>
      </c>
      <c r="J53" s="133" t="s">
        <v>936</v>
      </c>
      <c r="K53" s="133" t="s">
        <v>153</v>
      </c>
      <c r="M53" s="133" t="s">
        <v>911</v>
      </c>
      <c r="N53" s="133" t="s">
        <v>912</v>
      </c>
      <c r="O53" s="133" t="s">
        <v>961</v>
      </c>
    </row>
    <row r="54" spans="1:15">
      <c r="A54" s="130">
        <v>45743.404528206018</v>
      </c>
      <c r="B54" s="131" t="s">
        <v>904</v>
      </c>
      <c r="C54" s="131" t="s">
        <v>962</v>
      </c>
      <c r="D54" s="131" t="s">
        <v>963</v>
      </c>
      <c r="E54" s="131" t="s">
        <v>964</v>
      </c>
      <c r="F54" s="131" t="s">
        <v>965</v>
      </c>
      <c r="G54" s="131" t="s">
        <v>966</v>
      </c>
      <c r="H54" s="131" t="s">
        <v>967</v>
      </c>
      <c r="I54" s="131" t="s">
        <v>968</v>
      </c>
      <c r="J54" s="131" t="s">
        <v>936</v>
      </c>
      <c r="K54" s="131" t="s">
        <v>141</v>
      </c>
      <c r="L54" s="131" t="s">
        <v>969</v>
      </c>
      <c r="M54" s="131" t="s">
        <v>911</v>
      </c>
      <c r="N54" s="131" t="s">
        <v>912</v>
      </c>
      <c r="O54" s="131" t="s">
        <v>970</v>
      </c>
    </row>
    <row r="55" spans="1:15">
      <c r="A55" s="132">
        <v>45743.407217222222</v>
      </c>
      <c r="B55" s="133" t="s">
        <v>904</v>
      </c>
      <c r="C55" s="133" t="s">
        <v>186</v>
      </c>
      <c r="D55" s="133" t="s">
        <v>971</v>
      </c>
      <c r="E55" s="133" t="s">
        <v>972</v>
      </c>
      <c r="F55" s="133" t="s">
        <v>973</v>
      </c>
      <c r="G55" s="133" t="s">
        <v>974</v>
      </c>
      <c r="H55" s="133" t="s">
        <v>975</v>
      </c>
      <c r="I55" s="133" t="s">
        <v>976</v>
      </c>
      <c r="J55" s="133" t="s">
        <v>283</v>
      </c>
      <c r="K55" s="133" t="s">
        <v>153</v>
      </c>
      <c r="M55" s="133" t="s">
        <v>946</v>
      </c>
      <c r="N55" s="133" t="s">
        <v>912</v>
      </c>
      <c r="O55" s="133" t="s">
        <v>977</v>
      </c>
    </row>
    <row r="56" spans="1:15">
      <c r="A56" s="130">
        <v>45743.410430115742</v>
      </c>
      <c r="B56" s="131" t="s">
        <v>904</v>
      </c>
      <c r="C56" s="131" t="s">
        <v>978</v>
      </c>
      <c r="D56" s="131" t="s">
        <v>979</v>
      </c>
      <c r="E56" s="131" t="s">
        <v>980</v>
      </c>
      <c r="F56" s="131" t="s">
        <v>952</v>
      </c>
      <c r="G56" s="131" t="s">
        <v>981</v>
      </c>
      <c r="H56" s="131" t="s">
        <v>982</v>
      </c>
      <c r="I56" s="131" t="s">
        <v>983</v>
      </c>
      <c r="J56" s="131" t="s">
        <v>283</v>
      </c>
      <c r="K56" s="131" t="s">
        <v>153</v>
      </c>
      <c r="M56" s="131" t="s">
        <v>984</v>
      </c>
      <c r="N56" s="131" t="s">
        <v>921</v>
      </c>
      <c r="O56" s="131" t="s">
        <v>985</v>
      </c>
    </row>
    <row r="57" spans="1:15">
      <c r="A57" s="132">
        <v>45743.414072650463</v>
      </c>
      <c r="B57" s="133" t="s">
        <v>904</v>
      </c>
      <c r="C57" s="133" t="s">
        <v>986</v>
      </c>
      <c r="D57" s="133" t="s">
        <v>987</v>
      </c>
      <c r="E57" s="133" t="s">
        <v>988</v>
      </c>
      <c r="F57" s="133" t="s">
        <v>989</v>
      </c>
      <c r="G57" s="133" t="s">
        <v>990</v>
      </c>
      <c r="H57" s="133" t="s">
        <v>101</v>
      </c>
      <c r="I57" s="133" t="s">
        <v>991</v>
      </c>
      <c r="J57" s="133" t="s">
        <v>283</v>
      </c>
      <c r="K57" s="133" t="s">
        <v>153</v>
      </c>
      <c r="M57" s="133" t="s">
        <v>992</v>
      </c>
      <c r="N57" s="133" t="s">
        <v>921</v>
      </c>
      <c r="O57" s="133" t="s">
        <v>993</v>
      </c>
    </row>
    <row r="58" spans="1:15">
      <c r="A58" s="130">
        <v>45743.416936412032</v>
      </c>
      <c r="B58" s="131" t="s">
        <v>904</v>
      </c>
      <c r="C58" s="131" t="s">
        <v>994</v>
      </c>
      <c r="D58" s="131" t="s">
        <v>995</v>
      </c>
      <c r="E58" s="131" t="s">
        <v>996</v>
      </c>
      <c r="F58" s="131" t="s">
        <v>997</v>
      </c>
      <c r="G58" s="131" t="s">
        <v>998</v>
      </c>
      <c r="H58" s="131" t="s">
        <v>999</v>
      </c>
      <c r="I58" s="131" t="s">
        <v>1000</v>
      </c>
      <c r="J58" s="131" t="s">
        <v>283</v>
      </c>
      <c r="K58" s="131" t="s">
        <v>153</v>
      </c>
      <c r="M58" s="131" t="s">
        <v>992</v>
      </c>
      <c r="N58" s="131" t="s">
        <v>921</v>
      </c>
      <c r="O58" s="131" t="s">
        <v>1001</v>
      </c>
    </row>
    <row r="59" spans="1:15">
      <c r="A59" s="132">
        <v>45743.419668506947</v>
      </c>
      <c r="B59" s="133" t="s">
        <v>904</v>
      </c>
      <c r="C59" s="133" t="s">
        <v>1002</v>
      </c>
      <c r="D59" s="133" t="s">
        <v>1003</v>
      </c>
      <c r="E59" s="133" t="s">
        <v>1004</v>
      </c>
      <c r="F59" s="133" t="s">
        <v>1005</v>
      </c>
      <c r="G59" s="133" t="s">
        <v>1006</v>
      </c>
      <c r="H59" s="133" t="s">
        <v>1007</v>
      </c>
      <c r="I59" s="133" t="s">
        <v>1008</v>
      </c>
      <c r="J59" s="133" t="s">
        <v>936</v>
      </c>
      <c r="K59" s="133" t="s">
        <v>141</v>
      </c>
      <c r="L59" s="133" t="s">
        <v>969</v>
      </c>
      <c r="M59" s="133" t="s">
        <v>946</v>
      </c>
      <c r="N59" s="133" t="s">
        <v>1009</v>
      </c>
      <c r="O59" s="133" t="s">
        <v>1010</v>
      </c>
    </row>
    <row r="60" spans="1:15">
      <c r="A60" s="130">
        <v>45743.423092430559</v>
      </c>
      <c r="B60" s="131" t="s">
        <v>904</v>
      </c>
      <c r="C60" s="131" t="s">
        <v>1011</v>
      </c>
      <c r="D60" s="131" t="s">
        <v>1012</v>
      </c>
      <c r="E60" s="131" t="s">
        <v>1013</v>
      </c>
      <c r="F60" s="131" t="s">
        <v>1014</v>
      </c>
      <c r="G60" s="131" t="s">
        <v>1015</v>
      </c>
      <c r="H60" s="131" t="s">
        <v>1016</v>
      </c>
      <c r="I60" s="131" t="s">
        <v>1017</v>
      </c>
      <c r="J60" s="131" t="s">
        <v>283</v>
      </c>
      <c r="K60" s="131" t="s">
        <v>153</v>
      </c>
      <c r="M60" s="131" t="s">
        <v>911</v>
      </c>
      <c r="N60" s="131" t="s">
        <v>912</v>
      </c>
      <c r="O60" s="131" t="s">
        <v>1018</v>
      </c>
    </row>
    <row r="61" spans="1:15">
      <c r="A61" s="132">
        <v>45743.427244108796</v>
      </c>
      <c r="B61" s="133" t="s">
        <v>904</v>
      </c>
      <c r="C61" s="133" t="s">
        <v>169</v>
      </c>
      <c r="D61" s="133" t="s">
        <v>1019</v>
      </c>
      <c r="E61" s="133" t="s">
        <v>1020</v>
      </c>
      <c r="F61" s="133" t="s">
        <v>1021</v>
      </c>
      <c r="G61" s="133" t="s">
        <v>1022</v>
      </c>
      <c r="H61" s="133" t="s">
        <v>1023</v>
      </c>
      <c r="I61" s="133" t="s">
        <v>1024</v>
      </c>
      <c r="J61" s="133" t="s">
        <v>936</v>
      </c>
      <c r="K61" s="133" t="s">
        <v>153</v>
      </c>
      <c r="L61" s="133" t="s">
        <v>969</v>
      </c>
      <c r="M61" s="133" t="s">
        <v>1025</v>
      </c>
      <c r="N61" s="133" t="s">
        <v>912</v>
      </c>
      <c r="O61" s="133" t="s">
        <v>1026</v>
      </c>
    </row>
    <row r="62" spans="1:15">
      <c r="A62" s="130">
        <v>45743.429788136578</v>
      </c>
      <c r="B62" s="131" t="s">
        <v>904</v>
      </c>
      <c r="C62" s="131" t="s">
        <v>171</v>
      </c>
      <c r="D62" s="131" t="s">
        <v>1027</v>
      </c>
      <c r="E62" s="131" t="s">
        <v>1028</v>
      </c>
      <c r="F62" s="131" t="s">
        <v>1029</v>
      </c>
      <c r="G62" s="131" t="s">
        <v>1030</v>
      </c>
      <c r="H62" s="131" t="s">
        <v>1031</v>
      </c>
      <c r="I62" s="131" t="s">
        <v>1032</v>
      </c>
      <c r="J62" s="131" t="s">
        <v>936</v>
      </c>
      <c r="K62" s="131" t="s">
        <v>141</v>
      </c>
      <c r="L62" s="131" t="s">
        <v>969</v>
      </c>
      <c r="M62" s="131" t="s">
        <v>911</v>
      </c>
      <c r="N62" s="131" t="s">
        <v>1033</v>
      </c>
      <c r="O62" s="131" t="s">
        <v>1034</v>
      </c>
    </row>
    <row r="63" spans="1:15">
      <c r="A63" s="132">
        <v>45743.43307929398</v>
      </c>
      <c r="B63" s="133" t="s">
        <v>904</v>
      </c>
      <c r="C63" s="133" t="s">
        <v>178</v>
      </c>
      <c r="D63" s="133" t="s">
        <v>1035</v>
      </c>
      <c r="E63" s="133" t="s">
        <v>1036</v>
      </c>
      <c r="F63" s="133" t="s">
        <v>1037</v>
      </c>
      <c r="G63" s="133" t="s">
        <v>1038</v>
      </c>
      <c r="H63" s="133" t="s">
        <v>1039</v>
      </c>
      <c r="I63" s="133" t="s">
        <v>1040</v>
      </c>
      <c r="J63" s="133" t="s">
        <v>283</v>
      </c>
      <c r="K63" s="133" t="s">
        <v>153</v>
      </c>
      <c r="M63" s="133" t="s">
        <v>911</v>
      </c>
      <c r="N63" s="133" t="s">
        <v>912</v>
      </c>
      <c r="O63" s="133" t="s">
        <v>1041</v>
      </c>
    </row>
    <row r="64" spans="1:15">
      <c r="A64" s="130">
        <v>45743.43599755787</v>
      </c>
      <c r="B64" s="131" t="s">
        <v>904</v>
      </c>
      <c r="C64" s="131" t="s">
        <v>194</v>
      </c>
      <c r="D64" s="131" t="s">
        <v>1042</v>
      </c>
      <c r="E64" s="131" t="s">
        <v>1043</v>
      </c>
      <c r="F64" s="131" t="s">
        <v>1044</v>
      </c>
      <c r="G64" s="131" t="s">
        <v>1045</v>
      </c>
      <c r="H64" s="131" t="s">
        <v>1046</v>
      </c>
      <c r="I64" s="131" t="s">
        <v>1047</v>
      </c>
      <c r="J64" s="131" t="s">
        <v>283</v>
      </c>
      <c r="K64" s="131" t="s">
        <v>153</v>
      </c>
      <c r="M64" s="131" t="s">
        <v>1048</v>
      </c>
      <c r="N64" s="131" t="s">
        <v>912</v>
      </c>
      <c r="O64" s="131" t="s">
        <v>993</v>
      </c>
    </row>
    <row r="65" spans="1:15">
      <c r="A65" s="132">
        <v>45743.439372245368</v>
      </c>
      <c r="B65" s="133" t="s">
        <v>904</v>
      </c>
      <c r="C65" s="133" t="s">
        <v>162</v>
      </c>
      <c r="D65" s="133" t="s">
        <v>1049</v>
      </c>
      <c r="E65" s="133" t="s">
        <v>1050</v>
      </c>
      <c r="F65" s="133" t="s">
        <v>1051</v>
      </c>
      <c r="G65" s="133" t="s">
        <v>1052</v>
      </c>
      <c r="H65" s="133" t="s">
        <v>1053</v>
      </c>
      <c r="I65" s="133" t="s">
        <v>1054</v>
      </c>
      <c r="J65" s="133" t="s">
        <v>283</v>
      </c>
      <c r="K65" s="133" t="s">
        <v>153</v>
      </c>
      <c r="M65" s="133" t="s">
        <v>911</v>
      </c>
      <c r="N65" s="133" t="s">
        <v>912</v>
      </c>
      <c r="O65" s="133" t="s">
        <v>1055</v>
      </c>
    </row>
    <row r="66" spans="1:15">
      <c r="A66" s="130">
        <v>45743.444158541664</v>
      </c>
      <c r="B66" s="131" t="s">
        <v>904</v>
      </c>
      <c r="C66" s="131" t="s">
        <v>183</v>
      </c>
      <c r="D66" s="131" t="s">
        <v>1056</v>
      </c>
      <c r="E66" s="131" t="s">
        <v>1057</v>
      </c>
      <c r="F66" s="131" t="s">
        <v>1058</v>
      </c>
      <c r="G66" s="131" t="s">
        <v>1059</v>
      </c>
      <c r="H66" s="131" t="s">
        <v>1060</v>
      </c>
      <c r="I66" s="131" t="s">
        <v>1061</v>
      </c>
      <c r="J66" s="131" t="s">
        <v>936</v>
      </c>
      <c r="K66" s="131" t="s">
        <v>141</v>
      </c>
      <c r="L66" s="131" t="s">
        <v>937</v>
      </c>
      <c r="M66" s="131" t="s">
        <v>911</v>
      </c>
      <c r="N66" s="131" t="s">
        <v>921</v>
      </c>
      <c r="O66" s="131" t="s">
        <v>1062</v>
      </c>
    </row>
    <row r="67" spans="1:15">
      <c r="A67" s="132">
        <v>45743.447589270829</v>
      </c>
      <c r="B67" s="133" t="s">
        <v>904</v>
      </c>
      <c r="C67" s="133" t="s">
        <v>175</v>
      </c>
      <c r="D67" s="133" t="s">
        <v>1063</v>
      </c>
      <c r="E67" s="133" t="s">
        <v>1064</v>
      </c>
      <c r="F67" s="133" t="s">
        <v>1065</v>
      </c>
      <c r="G67" s="133" t="s">
        <v>1066</v>
      </c>
      <c r="H67" s="133" t="s">
        <v>1067</v>
      </c>
      <c r="I67" s="133" t="s">
        <v>1040</v>
      </c>
      <c r="J67" s="133" t="s">
        <v>283</v>
      </c>
      <c r="K67" s="133" t="s">
        <v>153</v>
      </c>
      <c r="M67" s="133" t="s">
        <v>1068</v>
      </c>
      <c r="N67" s="133" t="s">
        <v>921</v>
      </c>
      <c r="O67" s="133" t="s">
        <v>1069</v>
      </c>
    </row>
    <row r="68" spans="1:15">
      <c r="A68" s="130">
        <v>45743.450532581017</v>
      </c>
      <c r="B68" s="131" t="s">
        <v>904</v>
      </c>
      <c r="C68" s="131" t="s">
        <v>1070</v>
      </c>
      <c r="D68" s="131" t="s">
        <v>1071</v>
      </c>
      <c r="E68" s="131" t="s">
        <v>1072</v>
      </c>
      <c r="F68" s="131" t="s">
        <v>1014</v>
      </c>
      <c r="G68" s="131" t="s">
        <v>1073</v>
      </c>
      <c r="H68" s="131" t="s">
        <v>1074</v>
      </c>
      <c r="I68" s="131" t="s">
        <v>1075</v>
      </c>
      <c r="J68" s="131" t="s">
        <v>283</v>
      </c>
      <c r="K68" s="131" t="s">
        <v>153</v>
      </c>
      <c r="M68" s="131" t="s">
        <v>911</v>
      </c>
      <c r="N68" s="131" t="s">
        <v>912</v>
      </c>
      <c r="O68" s="131" t="s">
        <v>1076</v>
      </c>
    </row>
    <row r="69" spans="1:15">
      <c r="A69" s="132">
        <v>45743.502782118056</v>
      </c>
      <c r="B69" s="133" t="s">
        <v>904</v>
      </c>
      <c r="C69" s="133" t="s">
        <v>180</v>
      </c>
      <c r="D69" s="133" t="s">
        <v>1077</v>
      </c>
      <c r="E69" s="133" t="s">
        <v>1078</v>
      </c>
      <c r="F69" s="133" t="s">
        <v>1037</v>
      </c>
      <c r="G69" s="133" t="s">
        <v>1079</v>
      </c>
      <c r="H69" s="133" t="s">
        <v>1080</v>
      </c>
      <c r="I69" s="133" t="s">
        <v>1081</v>
      </c>
      <c r="J69" s="133" t="s">
        <v>283</v>
      </c>
      <c r="K69" s="133" t="s">
        <v>153</v>
      </c>
      <c r="M69" s="133" t="s">
        <v>992</v>
      </c>
      <c r="N69" s="133" t="s">
        <v>921</v>
      </c>
      <c r="O69" s="133" t="s">
        <v>1082</v>
      </c>
    </row>
    <row r="70" spans="1:15">
      <c r="A70" s="130">
        <v>45743.506096516205</v>
      </c>
      <c r="B70" s="131" t="s">
        <v>904</v>
      </c>
      <c r="C70" s="131" t="s">
        <v>185</v>
      </c>
      <c r="D70" s="131" t="s">
        <v>1083</v>
      </c>
      <c r="E70" s="131" t="s">
        <v>1084</v>
      </c>
      <c r="F70" s="131" t="s">
        <v>1085</v>
      </c>
      <c r="G70" s="131" t="s">
        <v>1086</v>
      </c>
      <c r="H70" s="131" t="s">
        <v>1087</v>
      </c>
      <c r="I70" s="131" t="s">
        <v>1088</v>
      </c>
      <c r="J70" s="131" t="s">
        <v>283</v>
      </c>
      <c r="K70" s="131" t="s">
        <v>153</v>
      </c>
      <c r="M70" s="131" t="s">
        <v>946</v>
      </c>
      <c r="N70" s="131" t="s">
        <v>1033</v>
      </c>
      <c r="O70" s="131" t="s">
        <v>1082</v>
      </c>
    </row>
    <row r="71" spans="1:15">
      <c r="A71" s="132">
        <v>45743.510226550927</v>
      </c>
      <c r="B71" s="133" t="s">
        <v>904</v>
      </c>
      <c r="C71" s="133" t="s">
        <v>1089</v>
      </c>
      <c r="D71" s="133" t="s">
        <v>1090</v>
      </c>
      <c r="E71" s="133" t="s">
        <v>1091</v>
      </c>
      <c r="F71" s="133" t="s">
        <v>1092</v>
      </c>
      <c r="G71" s="133" t="s">
        <v>1093</v>
      </c>
      <c r="H71" s="133" t="s">
        <v>1094</v>
      </c>
      <c r="I71" s="133" t="s">
        <v>1095</v>
      </c>
      <c r="J71" s="133" t="s">
        <v>283</v>
      </c>
      <c r="K71" s="133" t="s">
        <v>153</v>
      </c>
      <c r="M71" s="133" t="s">
        <v>992</v>
      </c>
      <c r="N71" s="133" t="s">
        <v>912</v>
      </c>
      <c r="O71" s="133" t="s">
        <v>1082</v>
      </c>
    </row>
    <row r="72" spans="1:15">
      <c r="A72" s="130">
        <v>45743.514034965279</v>
      </c>
      <c r="B72" s="131" t="s">
        <v>904</v>
      </c>
      <c r="C72" s="131" t="s">
        <v>1096</v>
      </c>
      <c r="D72" s="131" t="s">
        <v>1090</v>
      </c>
      <c r="E72" s="131" t="s">
        <v>1097</v>
      </c>
      <c r="F72" s="131" t="s">
        <v>1098</v>
      </c>
      <c r="G72" s="131" t="s">
        <v>1099</v>
      </c>
      <c r="H72" s="131" t="s">
        <v>1100</v>
      </c>
      <c r="I72" s="131" t="s">
        <v>1101</v>
      </c>
      <c r="J72" s="131" t="s">
        <v>936</v>
      </c>
      <c r="K72" s="131" t="s">
        <v>153</v>
      </c>
      <c r="M72" s="131" t="s">
        <v>946</v>
      </c>
      <c r="N72" s="131" t="s">
        <v>1102</v>
      </c>
      <c r="O72" s="131" t="s">
        <v>1103</v>
      </c>
    </row>
    <row r="73" spans="1:15">
      <c r="A73" s="132">
        <v>45743.516967627314</v>
      </c>
      <c r="B73" s="133" t="s">
        <v>1104</v>
      </c>
      <c r="C73" s="133" t="s">
        <v>196</v>
      </c>
      <c r="D73" s="133" t="s">
        <v>1105</v>
      </c>
      <c r="E73" s="133" t="s">
        <v>1106</v>
      </c>
      <c r="F73" s="133" t="s">
        <v>1037</v>
      </c>
      <c r="G73" s="133" t="s">
        <v>1107</v>
      </c>
      <c r="H73" s="133" t="s">
        <v>1108</v>
      </c>
      <c r="I73" s="133" t="s">
        <v>1109</v>
      </c>
      <c r="J73" s="133" t="s">
        <v>283</v>
      </c>
      <c r="K73" s="133" t="s">
        <v>153</v>
      </c>
      <c r="M73" s="133" t="s">
        <v>1110</v>
      </c>
      <c r="N73" s="133" t="s">
        <v>912</v>
      </c>
      <c r="O73" s="133" t="s">
        <v>1082</v>
      </c>
    </row>
    <row r="74" spans="1:15">
      <c r="A74" s="130">
        <v>45743.520414375002</v>
      </c>
      <c r="B74" s="131" t="s">
        <v>904</v>
      </c>
      <c r="C74" s="131" t="s">
        <v>187</v>
      </c>
      <c r="D74" s="131" t="s">
        <v>1111</v>
      </c>
      <c r="E74" s="131" t="s">
        <v>1112</v>
      </c>
      <c r="F74" s="131" t="s">
        <v>1113</v>
      </c>
      <c r="G74" s="131" t="s">
        <v>1114</v>
      </c>
      <c r="H74" s="131" t="s">
        <v>1115</v>
      </c>
      <c r="I74" s="131" t="s">
        <v>1116</v>
      </c>
      <c r="J74" s="131" t="s">
        <v>283</v>
      </c>
      <c r="K74" s="131" t="s">
        <v>153</v>
      </c>
      <c r="M74" s="131" t="s">
        <v>1117</v>
      </c>
      <c r="N74" s="131" t="s">
        <v>1009</v>
      </c>
      <c r="O74" s="131" t="s">
        <v>1082</v>
      </c>
    </row>
    <row r="75" spans="1:15">
      <c r="A75" s="132">
        <v>45743.523576932872</v>
      </c>
      <c r="B75" s="133" t="s">
        <v>904</v>
      </c>
      <c r="C75" s="133" t="s">
        <v>190</v>
      </c>
      <c r="D75" s="133" t="s">
        <v>1118</v>
      </c>
      <c r="E75" s="133" t="s">
        <v>1119</v>
      </c>
      <c r="F75" s="133" t="s">
        <v>1120</v>
      </c>
      <c r="G75" s="133" t="s">
        <v>1121</v>
      </c>
      <c r="H75" s="133" t="s">
        <v>1122</v>
      </c>
      <c r="I75" s="133" t="s">
        <v>1123</v>
      </c>
      <c r="J75" s="133" t="s">
        <v>936</v>
      </c>
      <c r="K75" s="133" t="s">
        <v>153</v>
      </c>
      <c r="M75" s="133" t="s">
        <v>946</v>
      </c>
      <c r="N75" s="133" t="s">
        <v>1009</v>
      </c>
      <c r="O75" s="133" t="s">
        <v>1082</v>
      </c>
    </row>
    <row r="76" spans="1:15">
      <c r="A76" s="130">
        <v>45743.527353599537</v>
      </c>
      <c r="B76" s="131" t="s">
        <v>904</v>
      </c>
      <c r="C76" s="131" t="s">
        <v>1124</v>
      </c>
      <c r="D76" s="131" t="s">
        <v>1125</v>
      </c>
      <c r="E76" s="131" t="s">
        <v>1126</v>
      </c>
      <c r="F76" s="131" t="s">
        <v>1127</v>
      </c>
      <c r="G76" s="131" t="s">
        <v>1128</v>
      </c>
      <c r="H76" s="131" t="s">
        <v>1129</v>
      </c>
      <c r="I76" s="131" t="s">
        <v>1130</v>
      </c>
      <c r="J76" s="131" t="s">
        <v>1131</v>
      </c>
      <c r="K76" s="131" t="s">
        <v>153</v>
      </c>
      <c r="M76" s="131" t="s">
        <v>992</v>
      </c>
      <c r="N76" s="131" t="s">
        <v>921</v>
      </c>
      <c r="O76" s="131" t="s">
        <v>1132</v>
      </c>
    </row>
    <row r="77" spans="1:15">
      <c r="A77" s="132">
        <v>45743.530271793978</v>
      </c>
      <c r="B77" s="133" t="s">
        <v>904</v>
      </c>
      <c r="C77" s="133" t="s">
        <v>1133</v>
      </c>
      <c r="D77" s="133" t="s">
        <v>1134</v>
      </c>
      <c r="E77" s="133" t="s">
        <v>1135</v>
      </c>
      <c r="F77" s="133" t="s">
        <v>1136</v>
      </c>
      <c r="G77" s="133" t="s">
        <v>1137</v>
      </c>
      <c r="H77" s="133" t="s">
        <v>1138</v>
      </c>
      <c r="I77" s="133" t="s">
        <v>1139</v>
      </c>
      <c r="J77" s="133" t="s">
        <v>283</v>
      </c>
      <c r="K77" s="133" t="s">
        <v>153</v>
      </c>
      <c r="M77" s="133" t="s">
        <v>911</v>
      </c>
      <c r="N77" s="133" t="s">
        <v>921</v>
      </c>
      <c r="O77" s="133" t="s">
        <v>1082</v>
      </c>
    </row>
    <row r="78" spans="1:15">
      <c r="A78" s="130">
        <v>45743.53256467593</v>
      </c>
      <c r="B78" s="131" t="s">
        <v>904</v>
      </c>
      <c r="C78" s="131" t="s">
        <v>1140</v>
      </c>
      <c r="D78" s="131" t="s">
        <v>1090</v>
      </c>
      <c r="E78" s="131" t="s">
        <v>1141</v>
      </c>
      <c r="F78" s="131" t="s">
        <v>1142</v>
      </c>
      <c r="G78" s="131" t="s">
        <v>1143</v>
      </c>
      <c r="H78" s="131" t="s">
        <v>1144</v>
      </c>
      <c r="I78" s="131" t="s">
        <v>1145</v>
      </c>
      <c r="J78" s="131" t="s">
        <v>936</v>
      </c>
      <c r="K78" s="131" t="s">
        <v>141</v>
      </c>
      <c r="L78" s="131" t="s">
        <v>969</v>
      </c>
      <c r="M78" s="131" t="s">
        <v>911</v>
      </c>
      <c r="N78" s="131" t="s">
        <v>912</v>
      </c>
      <c r="O78" s="131" t="s">
        <v>1082</v>
      </c>
    </row>
    <row r="79" spans="1:15">
      <c r="A79" s="132">
        <v>45743.536432013891</v>
      </c>
      <c r="B79" s="133" t="s">
        <v>1104</v>
      </c>
      <c r="C79" s="133" t="s">
        <v>1146</v>
      </c>
      <c r="D79" s="133" t="s">
        <v>1147</v>
      </c>
      <c r="E79" s="133" t="s">
        <v>1148</v>
      </c>
      <c r="F79" s="133" t="s">
        <v>1149</v>
      </c>
      <c r="G79" s="133" t="s">
        <v>1150</v>
      </c>
      <c r="H79" s="133" t="s">
        <v>1037</v>
      </c>
      <c r="I79" s="133" t="s">
        <v>1151</v>
      </c>
      <c r="J79" s="133" t="s">
        <v>283</v>
      </c>
      <c r="K79" s="133" t="s">
        <v>153</v>
      </c>
      <c r="M79" s="133" t="s">
        <v>1152</v>
      </c>
      <c r="N79" s="133" t="s">
        <v>921</v>
      </c>
      <c r="O79" s="133" t="s">
        <v>1153</v>
      </c>
    </row>
    <row r="80" spans="1:15">
      <c r="A80" s="130">
        <v>45743.539118842593</v>
      </c>
      <c r="B80" s="131" t="s">
        <v>904</v>
      </c>
      <c r="C80" s="131" t="s">
        <v>1154</v>
      </c>
      <c r="D80" s="131" t="s">
        <v>963</v>
      </c>
      <c r="E80" s="131" t="s">
        <v>1155</v>
      </c>
      <c r="F80" s="131" t="s">
        <v>1037</v>
      </c>
      <c r="G80" s="131" t="s">
        <v>1156</v>
      </c>
      <c r="H80" s="131" t="s">
        <v>1037</v>
      </c>
      <c r="I80" s="131" t="s">
        <v>1157</v>
      </c>
      <c r="J80" s="131" t="s">
        <v>936</v>
      </c>
      <c r="K80" s="131" t="s">
        <v>141</v>
      </c>
      <c r="L80" s="131" t="s">
        <v>969</v>
      </c>
      <c r="M80" s="131" t="s">
        <v>946</v>
      </c>
      <c r="N80" s="131" t="s">
        <v>912</v>
      </c>
      <c r="O80" s="131" t="s">
        <v>1082</v>
      </c>
    </row>
    <row r="81" spans="1:16">
      <c r="A81" s="132">
        <v>45743.541472951387</v>
      </c>
      <c r="B81" s="133" t="s">
        <v>904</v>
      </c>
      <c r="C81" s="133" t="s">
        <v>1158</v>
      </c>
      <c r="D81" s="133" t="s">
        <v>1159</v>
      </c>
      <c r="E81" s="133" t="s">
        <v>1160</v>
      </c>
      <c r="F81" s="133" t="s">
        <v>1161</v>
      </c>
      <c r="G81" s="133" t="s">
        <v>1162</v>
      </c>
      <c r="H81" s="133" t="s">
        <v>1163</v>
      </c>
      <c r="I81" s="133" t="s">
        <v>1040</v>
      </c>
      <c r="J81" s="133" t="s">
        <v>936</v>
      </c>
      <c r="K81" s="133" t="s">
        <v>141</v>
      </c>
      <c r="L81" s="133" t="s">
        <v>969</v>
      </c>
      <c r="M81" s="133" t="s">
        <v>992</v>
      </c>
      <c r="N81" s="133" t="s">
        <v>912</v>
      </c>
      <c r="O81" s="133" t="s">
        <v>1082</v>
      </c>
    </row>
    <row r="82" spans="1:16">
      <c r="A82" s="130">
        <v>45743.544979224534</v>
      </c>
      <c r="B82" s="131" t="s">
        <v>904</v>
      </c>
      <c r="C82" s="131" t="s">
        <v>1164</v>
      </c>
      <c r="D82" s="131" t="s">
        <v>1165</v>
      </c>
      <c r="E82" s="131" t="s">
        <v>1166</v>
      </c>
      <c r="F82" s="131" t="s">
        <v>1037</v>
      </c>
      <c r="G82" s="131" t="s">
        <v>1167</v>
      </c>
      <c r="H82" s="131" t="s">
        <v>1168</v>
      </c>
      <c r="I82" s="131" t="s">
        <v>1169</v>
      </c>
      <c r="J82" s="131" t="s">
        <v>283</v>
      </c>
      <c r="K82" s="131" t="s">
        <v>153</v>
      </c>
      <c r="M82" s="131" t="s">
        <v>1170</v>
      </c>
      <c r="N82" s="131" t="s">
        <v>921</v>
      </c>
      <c r="O82" s="131" t="s">
        <v>1103</v>
      </c>
    </row>
    <row r="83" spans="1:16">
      <c r="A83" s="132">
        <v>45743.5471497338</v>
      </c>
      <c r="B83" s="133" t="s">
        <v>904</v>
      </c>
      <c r="C83" s="133" t="s">
        <v>1171</v>
      </c>
      <c r="D83" s="133" t="s">
        <v>963</v>
      </c>
      <c r="E83" s="133" t="s">
        <v>1172</v>
      </c>
      <c r="F83" s="133" t="s">
        <v>1173</v>
      </c>
      <c r="G83" s="133" t="s">
        <v>1174</v>
      </c>
      <c r="H83" s="133" t="s">
        <v>1175</v>
      </c>
      <c r="I83" s="133" t="s">
        <v>1040</v>
      </c>
      <c r="J83" s="133" t="s">
        <v>283</v>
      </c>
      <c r="K83" s="133" t="s">
        <v>153</v>
      </c>
      <c r="M83" s="133" t="s">
        <v>992</v>
      </c>
      <c r="N83" s="133" t="s">
        <v>912</v>
      </c>
      <c r="O83" s="133" t="s">
        <v>1082</v>
      </c>
    </row>
    <row r="84" spans="1:16">
      <c r="A84" s="130">
        <v>45743.549621597223</v>
      </c>
      <c r="B84" s="131" t="s">
        <v>904</v>
      </c>
      <c r="C84" s="131" t="s">
        <v>1176</v>
      </c>
      <c r="D84" s="131" t="s">
        <v>1177</v>
      </c>
      <c r="E84" s="131" t="s">
        <v>1178</v>
      </c>
      <c r="F84" s="131" t="s">
        <v>1179</v>
      </c>
      <c r="G84" s="131" t="s">
        <v>1180</v>
      </c>
      <c r="H84" s="131" t="s">
        <v>1181</v>
      </c>
      <c r="I84" s="131" t="s">
        <v>1182</v>
      </c>
      <c r="J84" s="131" t="s">
        <v>283</v>
      </c>
      <c r="K84" s="131" t="s">
        <v>153</v>
      </c>
      <c r="M84" s="131" t="s">
        <v>920</v>
      </c>
      <c r="N84" s="131" t="s">
        <v>912</v>
      </c>
      <c r="O84" s="131" t="s">
        <v>1183</v>
      </c>
    </row>
    <row r="85" spans="1:16">
      <c r="A85" s="132">
        <v>45743.551860937499</v>
      </c>
      <c r="B85" s="133" t="s">
        <v>904</v>
      </c>
      <c r="C85" s="133" t="s">
        <v>1184</v>
      </c>
      <c r="D85" s="133" t="s">
        <v>1090</v>
      </c>
      <c r="E85" s="133" t="s">
        <v>1185</v>
      </c>
      <c r="F85" s="133" t="s">
        <v>1186</v>
      </c>
      <c r="G85" s="133" t="s">
        <v>1187</v>
      </c>
      <c r="H85" s="133" t="s">
        <v>1188</v>
      </c>
      <c r="I85" s="133" t="s">
        <v>1189</v>
      </c>
      <c r="J85" s="133" t="s">
        <v>283</v>
      </c>
      <c r="K85" s="133" t="s">
        <v>153</v>
      </c>
      <c r="M85" s="133" t="s">
        <v>992</v>
      </c>
      <c r="N85" s="133" t="s">
        <v>912</v>
      </c>
      <c r="O85" s="133" t="s">
        <v>1190</v>
      </c>
    </row>
    <row r="86" spans="1:16">
      <c r="A86" s="130">
        <v>45743.554954328705</v>
      </c>
      <c r="B86" s="131" t="s">
        <v>904</v>
      </c>
      <c r="C86" s="131" t="s">
        <v>1191</v>
      </c>
      <c r="D86" s="131" t="s">
        <v>1192</v>
      </c>
      <c r="E86" s="131" t="s">
        <v>1193</v>
      </c>
      <c r="F86" s="131" t="s">
        <v>1194</v>
      </c>
      <c r="G86" s="131" t="s">
        <v>1195</v>
      </c>
      <c r="H86" s="131" t="s">
        <v>1196</v>
      </c>
      <c r="I86" s="131" t="s">
        <v>1197</v>
      </c>
      <c r="J86" s="131" t="s">
        <v>936</v>
      </c>
      <c r="K86" s="131" t="s">
        <v>141</v>
      </c>
      <c r="L86" s="131" t="s">
        <v>937</v>
      </c>
      <c r="M86" s="131" t="s">
        <v>1198</v>
      </c>
      <c r="N86" s="131" t="s">
        <v>921</v>
      </c>
      <c r="O86" s="131" t="s">
        <v>1199</v>
      </c>
    </row>
    <row r="87" spans="1:16">
      <c r="A87" s="132">
        <v>45743.558384421296</v>
      </c>
      <c r="B87" s="133" t="s">
        <v>904</v>
      </c>
      <c r="C87" s="133" t="s">
        <v>1200</v>
      </c>
      <c r="D87" s="133" t="s">
        <v>1201</v>
      </c>
      <c r="E87" s="133" t="s">
        <v>1202</v>
      </c>
      <c r="F87" s="133" t="s">
        <v>1203</v>
      </c>
      <c r="G87" s="133" t="s">
        <v>1204</v>
      </c>
      <c r="H87" s="133" t="s">
        <v>92</v>
      </c>
      <c r="I87" s="133" t="s">
        <v>1205</v>
      </c>
      <c r="J87" s="133" t="s">
        <v>936</v>
      </c>
      <c r="K87" s="133" t="s">
        <v>141</v>
      </c>
      <c r="L87" s="133" t="s">
        <v>937</v>
      </c>
      <c r="M87" s="133" t="s">
        <v>1206</v>
      </c>
      <c r="N87" s="133" t="s">
        <v>1009</v>
      </c>
      <c r="O87" s="133" t="s">
        <v>1082</v>
      </c>
    </row>
    <row r="88" spans="1:16">
      <c r="A88" s="130">
        <v>45743.561222442135</v>
      </c>
      <c r="B88" s="131" t="s">
        <v>904</v>
      </c>
      <c r="C88" s="131" t="s">
        <v>1207</v>
      </c>
      <c r="D88" s="131" t="s">
        <v>1208</v>
      </c>
      <c r="E88" s="131" t="s">
        <v>1209</v>
      </c>
      <c r="F88" s="131" t="s">
        <v>1037</v>
      </c>
      <c r="G88" s="131" t="s">
        <v>1210</v>
      </c>
      <c r="H88" s="131" t="s">
        <v>1211</v>
      </c>
      <c r="I88" s="131" t="s">
        <v>1212</v>
      </c>
      <c r="J88" s="131" t="s">
        <v>936</v>
      </c>
      <c r="K88" s="131" t="s">
        <v>153</v>
      </c>
      <c r="M88" s="131" t="s">
        <v>1206</v>
      </c>
      <c r="N88" s="131" t="s">
        <v>1009</v>
      </c>
      <c r="O88" s="131" t="s">
        <v>1213</v>
      </c>
    </row>
    <row r="89" spans="1:16">
      <c r="A89" s="132">
        <v>45743.56504642361</v>
      </c>
      <c r="B89" s="133" t="s">
        <v>904</v>
      </c>
      <c r="C89" s="133" t="s">
        <v>1214</v>
      </c>
      <c r="D89" s="133" t="s">
        <v>1215</v>
      </c>
      <c r="E89" s="133" t="s">
        <v>1216</v>
      </c>
      <c r="F89" s="133" t="s">
        <v>1217</v>
      </c>
      <c r="G89" s="133" t="s">
        <v>1218</v>
      </c>
      <c r="H89" s="133" t="s">
        <v>1219</v>
      </c>
      <c r="I89" s="133" t="s">
        <v>1220</v>
      </c>
      <c r="J89" s="133" t="s">
        <v>936</v>
      </c>
      <c r="K89" s="133" t="s">
        <v>153</v>
      </c>
      <c r="M89" s="133" t="s">
        <v>992</v>
      </c>
      <c r="N89" s="133" t="s">
        <v>1221</v>
      </c>
      <c r="O89" s="133" t="s">
        <v>1222</v>
      </c>
    </row>
    <row r="90" spans="1:16">
      <c r="A90" s="136">
        <v>45743.59589113426</v>
      </c>
      <c r="B90" s="137" t="s">
        <v>1223</v>
      </c>
      <c r="C90" s="137" t="s">
        <v>1224</v>
      </c>
      <c r="D90" s="137" t="s">
        <v>1225</v>
      </c>
      <c r="E90" s="137" t="s">
        <v>1226</v>
      </c>
      <c r="F90" s="137" t="s">
        <v>1227</v>
      </c>
      <c r="G90" s="137" t="s">
        <v>1228</v>
      </c>
      <c r="H90" s="137" t="s">
        <v>92</v>
      </c>
      <c r="I90" s="137" t="s">
        <v>1229</v>
      </c>
      <c r="J90" s="137" t="s">
        <v>936</v>
      </c>
      <c r="K90" s="137" t="s">
        <v>153</v>
      </c>
      <c r="M90" s="137" t="s">
        <v>1230</v>
      </c>
      <c r="N90" s="137" t="s">
        <v>1231</v>
      </c>
      <c r="O90" s="137" t="s">
        <v>1232</v>
      </c>
    </row>
    <row r="91" spans="1:16">
      <c r="P91" s="6"/>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outlinePr summaryBelow="0" summaryRight="0"/>
  </sheetPr>
  <dimension ref="A1:BD1102"/>
  <sheetViews>
    <sheetView tabSelected="1" topLeftCell="AI1" workbookViewId="0">
      <selection activeCell="BA11" sqref="BA11"/>
    </sheetView>
  </sheetViews>
  <sheetFormatPr defaultColWidth="12.5703125" defaultRowHeight="15.75" customHeight="1"/>
  <cols>
    <col min="1" max="1" width="11.5703125" customWidth="1"/>
    <col min="2" max="2" width="13.140625" customWidth="1"/>
    <col min="3" max="3" width="11.42578125" customWidth="1"/>
    <col min="4" max="4" width="11.85546875" customWidth="1"/>
    <col min="5" max="5" width="11.140625" customWidth="1"/>
    <col min="6" max="6" width="11.42578125" customWidth="1"/>
    <col min="7" max="7" width="7.7109375" customWidth="1"/>
    <col min="8" max="8" width="13.140625" customWidth="1"/>
    <col min="9" max="9" width="14.140625" customWidth="1"/>
    <col min="10" max="10" width="19.140625" customWidth="1"/>
    <col min="11" max="12" width="23.42578125" customWidth="1"/>
    <col min="13" max="13" width="16.42578125" customWidth="1"/>
    <col min="14" max="17" width="14" customWidth="1"/>
    <col min="18" max="18" width="10.7109375" customWidth="1"/>
    <col min="19" max="19" width="21.85546875" customWidth="1"/>
    <col min="20" max="20" width="31.42578125" customWidth="1"/>
    <col min="21" max="22" width="26.5703125" customWidth="1"/>
    <col min="23" max="23" width="28.28515625" customWidth="1"/>
    <col min="24" max="24" width="28.42578125" customWidth="1"/>
    <col min="25" max="25" width="27.28515625" customWidth="1"/>
    <col min="26" max="27" width="22.5703125" customWidth="1"/>
    <col min="28" max="28" width="32.140625" customWidth="1"/>
    <col min="29" max="29" width="34" customWidth="1"/>
    <col min="30" max="31" width="23.42578125" customWidth="1"/>
    <col min="32" max="32" width="16.42578125" customWidth="1"/>
    <col min="33" max="36" width="14" customWidth="1"/>
    <col min="37" max="37" width="10.7109375" customWidth="1"/>
    <col min="38" max="38" width="23.28515625" customWidth="1"/>
    <col min="39" max="39" width="15.140625" customWidth="1"/>
    <col min="40" max="40" width="9.85546875" customWidth="1"/>
    <col min="41" max="41" width="13.140625" customWidth="1"/>
    <col min="42" max="42" width="10.42578125" customWidth="1"/>
    <col min="43" max="43" width="18.140625" customWidth="1"/>
    <col min="44" max="44" width="10.7109375" customWidth="1"/>
    <col min="45" max="45" width="16.28515625" customWidth="1"/>
    <col min="46" max="46" width="19" customWidth="1"/>
    <col min="47" max="47" width="28.7109375" customWidth="1"/>
    <col min="48" max="48" width="11.85546875" customWidth="1"/>
    <col min="49" max="49" width="13.42578125" customWidth="1"/>
    <col min="50" max="56" width="9" customWidth="1"/>
  </cols>
  <sheetData>
    <row r="1" spans="1:53">
      <c r="A1" s="200" t="s">
        <v>1233</v>
      </c>
      <c r="B1" s="200" t="s">
        <v>1234</v>
      </c>
      <c r="C1" s="200" t="s">
        <v>723</v>
      </c>
      <c r="D1" s="200" t="s">
        <v>721</v>
      </c>
      <c r="E1" s="200" t="s">
        <v>724</v>
      </c>
      <c r="F1" s="200" t="s">
        <v>104</v>
      </c>
      <c r="G1" s="6" t="s">
        <v>725</v>
      </c>
      <c r="H1" s="200" t="s">
        <v>726</v>
      </c>
      <c r="I1" s="6" t="s">
        <v>727</v>
      </c>
      <c r="J1" s="200" t="s">
        <v>1235</v>
      </c>
      <c r="K1" s="6" t="s">
        <v>1236</v>
      </c>
      <c r="L1" s="6" t="s">
        <v>1237</v>
      </c>
      <c r="M1" s="6" t="s">
        <v>1238</v>
      </c>
      <c r="N1" s="200" t="s">
        <v>731</v>
      </c>
      <c r="O1" s="200" t="s">
        <v>732</v>
      </c>
      <c r="P1" s="200" t="s">
        <v>733</v>
      </c>
      <c r="Q1" s="200" t="s">
        <v>734</v>
      </c>
      <c r="R1" s="6" t="s">
        <v>46</v>
      </c>
      <c r="S1" s="200" t="s">
        <v>1239</v>
      </c>
      <c r="T1" s="200" t="s">
        <v>1240</v>
      </c>
      <c r="U1" s="6" t="s">
        <v>1241</v>
      </c>
      <c r="V1" s="6" t="s">
        <v>1242</v>
      </c>
      <c r="W1" s="6" t="s">
        <v>1243</v>
      </c>
      <c r="X1" s="6" t="s">
        <v>1244</v>
      </c>
      <c r="Y1" s="6" t="s">
        <v>1245</v>
      </c>
      <c r="Z1" s="6" t="s">
        <v>1246</v>
      </c>
      <c r="AA1" s="200" t="s">
        <v>731</v>
      </c>
      <c r="AB1" s="200" t="s">
        <v>732</v>
      </c>
      <c r="AC1" s="200" t="s">
        <v>733</v>
      </c>
      <c r="AD1" s="200" t="s">
        <v>734</v>
      </c>
      <c r="AE1" s="200" t="s">
        <v>1247</v>
      </c>
      <c r="AF1" s="200" t="s">
        <v>1248</v>
      </c>
      <c r="AG1" s="6" t="s">
        <v>1249</v>
      </c>
      <c r="AH1" s="6" t="s">
        <v>1250</v>
      </c>
      <c r="AI1" s="6" t="s">
        <v>1251</v>
      </c>
      <c r="AJ1" s="6" t="s">
        <v>1252</v>
      </c>
      <c r="AK1" s="201" t="s">
        <v>747</v>
      </c>
      <c r="AL1" s="200" t="s">
        <v>748</v>
      </c>
      <c r="AM1" s="6" t="s">
        <v>749</v>
      </c>
      <c r="AN1" s="200" t="s">
        <v>1253</v>
      </c>
      <c r="AO1" s="200" t="s">
        <v>751</v>
      </c>
      <c r="AP1" s="200" t="s">
        <v>759</v>
      </c>
      <c r="AQ1" s="6" t="s">
        <v>753</v>
      </c>
      <c r="AR1" s="6" t="s">
        <v>754</v>
      </c>
      <c r="AS1" s="200" t="s">
        <v>1254</v>
      </c>
      <c r="AT1" s="200" t="s">
        <v>1255</v>
      </c>
      <c r="AU1" s="200" t="s">
        <v>1256</v>
      </c>
      <c r="AV1" s="200" t="s">
        <v>39</v>
      </c>
    </row>
    <row r="2" spans="1:53">
      <c r="A2" s="6" t="s">
        <v>1257</v>
      </c>
      <c r="B2" s="6" t="s">
        <v>1258</v>
      </c>
      <c r="C2" s="6" t="s">
        <v>0</v>
      </c>
      <c r="D2" s="6">
        <v>1</v>
      </c>
      <c r="E2" s="6" t="s">
        <v>1259</v>
      </c>
      <c r="F2" s="6">
        <v>8570</v>
      </c>
      <c r="G2" s="6" t="b">
        <v>0</v>
      </c>
      <c r="H2" s="6" t="s">
        <v>1260</v>
      </c>
      <c r="I2" s="6" t="b">
        <v>1</v>
      </c>
      <c r="J2" s="6" t="b">
        <v>1</v>
      </c>
      <c r="K2" s="6">
        <v>1</v>
      </c>
      <c r="L2" s="6">
        <v>0</v>
      </c>
      <c r="M2" s="6">
        <v>0</v>
      </c>
      <c r="N2" s="6">
        <v>0</v>
      </c>
      <c r="O2" s="6">
        <v>2</v>
      </c>
      <c r="P2" s="6">
        <v>0</v>
      </c>
      <c r="Q2" s="6">
        <v>0</v>
      </c>
      <c r="R2" s="6">
        <v>0</v>
      </c>
      <c r="S2" s="6">
        <v>0</v>
      </c>
      <c r="T2" s="6">
        <v>0</v>
      </c>
      <c r="U2" s="6">
        <v>0</v>
      </c>
      <c r="V2" s="6">
        <v>1</v>
      </c>
      <c r="W2" s="6">
        <v>0</v>
      </c>
      <c r="X2" s="6" t="b">
        <v>1</v>
      </c>
      <c r="Y2" s="6" t="b">
        <v>0</v>
      </c>
      <c r="Z2" s="6">
        <v>0</v>
      </c>
      <c r="AA2" s="6">
        <v>0</v>
      </c>
      <c r="AB2" s="6">
        <v>5</v>
      </c>
      <c r="AC2" s="6">
        <v>4</v>
      </c>
      <c r="AD2" s="6">
        <v>0</v>
      </c>
      <c r="AE2" s="6">
        <v>1</v>
      </c>
      <c r="AF2" s="6">
        <v>0</v>
      </c>
      <c r="AG2" s="6">
        <v>0</v>
      </c>
      <c r="AH2" s="6">
        <v>0</v>
      </c>
      <c r="AI2" s="6">
        <v>0</v>
      </c>
      <c r="AJ2" s="6">
        <v>1</v>
      </c>
      <c r="AK2" s="6" t="s">
        <v>85</v>
      </c>
      <c r="AL2" s="6">
        <v>0</v>
      </c>
      <c r="AM2" s="6" t="b">
        <v>0</v>
      </c>
      <c r="AN2" s="6" t="s">
        <v>85</v>
      </c>
      <c r="AO2" s="6" t="s">
        <v>1261</v>
      </c>
      <c r="AP2" s="6" t="s">
        <v>1262</v>
      </c>
      <c r="AQ2" s="6" t="b">
        <v>0</v>
      </c>
      <c r="AR2" s="6" t="b">
        <v>0</v>
      </c>
      <c r="AS2" s="6" t="b">
        <v>0</v>
      </c>
      <c r="AT2" s="6" t="s">
        <v>1262</v>
      </c>
      <c r="AU2" s="6" t="s">
        <v>1263</v>
      </c>
      <c r="AV2" s="6" t="s">
        <v>1264</v>
      </c>
      <c r="BA2" t="str">
        <f>IF(ISBLANK(C2),"","insert into nm_RawMatchData values ('"&amp;A2&amp;"', '"&amp;B2&amp;"', '"&amp;C2&amp;"', "&amp;D2&amp;", '"&amp;E2&amp;"', "&amp;F2&amp;", '"&amp;H2&amp;"', '"&amp;IF(J2=TRUE,"Yes","No")&amp;"', "&amp;N2&amp;", "&amp;O2&amp;", "&amp;P2&amp;", "&amp;Q2&amp;", "&amp;S2&amp;", "&amp;T2&amp;", "&amp;AE2&amp;", "&amp;AF2&amp;", "&amp;AA2&amp;", "&amp;AB2&amp;", "&amp;AC2&amp;", "&amp;AD2&amp;", "&amp;AL2&amp;", '"&amp;AN2&amp;"', '"&amp;SUBSTITUTE(AO2,"'","''")&amp;"', '"&amp;AP2&amp;"', '"&amp;IF(AS2=TRUE,"Yes","No")&amp;"', '"&amp;AT2&amp;"', '"&amp;AU2&amp;"', '"&amp;SUBSTITUTE(AV2,"'","''")&amp;"', null, null, null);")</f>
        <v>insert into nm_RawMatchData values ('Margo Zimmerman', 'NoMythic', 'Practice', 1, 'R2', 8570, 'Red Barge', 'Yes', 0, 2, 0, 0, 0, 0, 1, 0, 0, 5, 4, 0, 0, 'Dc', 'very fast climb', 'x', 'No', 'x', 'No Card', 'slower movement, but very well controlled.', null, null, null);</v>
      </c>
    </row>
    <row r="3" spans="1:53">
      <c r="A3" s="6" t="s">
        <v>1265</v>
      </c>
      <c r="B3" s="6" t="s">
        <v>1258</v>
      </c>
      <c r="C3" s="6" t="s">
        <v>0</v>
      </c>
      <c r="D3" s="6">
        <v>1</v>
      </c>
      <c r="E3" s="6" t="s">
        <v>1266</v>
      </c>
      <c r="F3" s="6">
        <v>4687</v>
      </c>
      <c r="G3" s="6" t="b">
        <v>0</v>
      </c>
      <c r="H3" s="6" t="s">
        <v>58</v>
      </c>
      <c r="I3" s="6" t="b">
        <v>1</v>
      </c>
      <c r="J3" s="6" t="b">
        <v>0</v>
      </c>
      <c r="K3" s="6">
        <v>0</v>
      </c>
      <c r="L3" s="6">
        <v>0</v>
      </c>
      <c r="M3" s="6">
        <v>0</v>
      </c>
      <c r="N3" s="6">
        <v>0</v>
      </c>
      <c r="O3" s="6">
        <v>0</v>
      </c>
      <c r="P3" s="6">
        <v>0</v>
      </c>
      <c r="Q3" s="6">
        <v>0</v>
      </c>
      <c r="R3" s="6">
        <v>0</v>
      </c>
      <c r="S3" s="6">
        <v>0</v>
      </c>
      <c r="T3" s="6">
        <v>0</v>
      </c>
      <c r="U3" s="6">
        <v>0</v>
      </c>
      <c r="V3" s="6">
        <v>0</v>
      </c>
      <c r="W3" s="6">
        <v>0</v>
      </c>
      <c r="X3" s="6" t="b">
        <v>1</v>
      </c>
      <c r="Y3" s="6" t="b">
        <v>0</v>
      </c>
      <c r="Z3" s="6">
        <v>0</v>
      </c>
      <c r="AA3" s="6">
        <v>0</v>
      </c>
      <c r="AB3" s="6">
        <v>0</v>
      </c>
      <c r="AC3" s="6">
        <v>1</v>
      </c>
      <c r="AD3" s="6">
        <v>1</v>
      </c>
      <c r="AE3" s="6">
        <v>1</v>
      </c>
      <c r="AF3" s="6">
        <v>0</v>
      </c>
      <c r="AG3" s="6">
        <v>0</v>
      </c>
      <c r="AH3" s="6">
        <v>2</v>
      </c>
      <c r="AI3" s="6">
        <v>0</v>
      </c>
      <c r="AJ3" s="6">
        <v>0</v>
      </c>
      <c r="AK3" s="6" t="s">
        <v>86</v>
      </c>
      <c r="AL3" s="6">
        <v>0</v>
      </c>
      <c r="AM3" s="6" t="b">
        <v>0</v>
      </c>
      <c r="AN3" s="6" t="s">
        <v>86</v>
      </c>
      <c r="AP3" s="6" t="s">
        <v>1262</v>
      </c>
      <c r="AQ3" s="6" t="b">
        <v>0</v>
      </c>
      <c r="AR3" s="6" t="b">
        <v>0</v>
      </c>
      <c r="AS3" s="6" t="b">
        <v>0</v>
      </c>
      <c r="AT3" s="6" t="s">
        <v>1262</v>
      </c>
      <c r="AU3" s="6" t="s">
        <v>1263</v>
      </c>
      <c r="AV3" s="6" t="s">
        <v>1267</v>
      </c>
      <c r="BA3" t="str">
        <f t="shared" ref="BA3:BA66" si="0">IF(ISBLANK(C3),"","insert into nm_RawMatchData values ('"&amp;A3&amp;"', '"&amp;B3&amp;"', '"&amp;C3&amp;"', "&amp;D3&amp;", '"&amp;E3&amp;"', "&amp;F3&amp;", '"&amp;H3&amp;"', '"&amp;IF(J3=TRUE,"Yes","No")&amp;"', "&amp;N3&amp;", "&amp;O3&amp;", "&amp;P3&amp;", "&amp;Q3&amp;", "&amp;S3&amp;", "&amp;T3&amp;", "&amp;AE3&amp;", "&amp;AF3&amp;", "&amp;AA3&amp;", "&amp;AB3&amp;", "&amp;AC3&amp;", "&amp;AD3&amp;", "&amp;AL3&amp;", '"&amp;AN3&amp;"', '"&amp;SUBSTITUTE(AO3,"'","''")&amp;"', '"&amp;AP3&amp;"', '"&amp;IF(AS3=TRUE,"Yes","No")&amp;"', '"&amp;AT3&amp;"', '"&amp;AU3&amp;"', '"&amp;SUBSTITUTE(AV3,"'","''")&amp;"', null, null, null);")</f>
        <v>insert into nm_RawMatchData values ('Augie', 'NoMythic', 'Practice', 1, 'B1', 4687, 'Middle', 'No', 0, 0, 0, 0, 0, 0, 1, 0, 0, 0, 1, 1, 0, 'P', '', 'x', 'No', 'x', 'No Card', 'Robot moves slowly, dropped several peices of coral, and dropped an algae.', null, null, null);</v>
      </c>
    </row>
    <row r="4" spans="1:53">
      <c r="A4" s="6" t="s">
        <v>1268</v>
      </c>
      <c r="B4" s="6" t="s">
        <v>1258</v>
      </c>
      <c r="C4" s="6" t="s">
        <v>0</v>
      </c>
      <c r="D4" s="6">
        <v>1</v>
      </c>
      <c r="E4" s="6" t="s">
        <v>1269</v>
      </c>
      <c r="F4" s="148">
        <v>4174</v>
      </c>
      <c r="G4" s="6" t="b">
        <v>0</v>
      </c>
      <c r="I4" s="6" t="b">
        <v>1</v>
      </c>
      <c r="J4" s="6" t="b">
        <v>1</v>
      </c>
      <c r="K4" s="6">
        <v>0</v>
      </c>
      <c r="L4" s="6">
        <v>2</v>
      </c>
      <c r="M4" s="6">
        <v>0</v>
      </c>
      <c r="N4" s="6">
        <v>2</v>
      </c>
      <c r="O4" s="6">
        <v>0</v>
      </c>
      <c r="P4" s="6">
        <v>0</v>
      </c>
      <c r="Q4" s="6">
        <v>0</v>
      </c>
      <c r="R4" s="6">
        <v>0</v>
      </c>
      <c r="S4" s="6">
        <v>0</v>
      </c>
      <c r="T4" s="6">
        <v>0</v>
      </c>
      <c r="U4" s="6">
        <v>0</v>
      </c>
      <c r="V4" s="6">
        <v>0</v>
      </c>
      <c r="W4" s="6">
        <v>0</v>
      </c>
      <c r="X4" s="6" t="b">
        <v>1</v>
      </c>
      <c r="Y4" s="6" t="b">
        <v>0</v>
      </c>
      <c r="Z4" s="6">
        <v>0</v>
      </c>
      <c r="AA4" s="6">
        <v>8</v>
      </c>
      <c r="AB4" s="6">
        <v>1</v>
      </c>
      <c r="AC4" s="6">
        <v>0</v>
      </c>
      <c r="AD4" s="6">
        <v>0</v>
      </c>
      <c r="AE4" s="6">
        <v>0</v>
      </c>
      <c r="AF4" s="6">
        <v>0</v>
      </c>
      <c r="AG4" s="6">
        <v>0</v>
      </c>
      <c r="AH4" s="6">
        <v>0</v>
      </c>
      <c r="AI4" s="6">
        <v>0</v>
      </c>
      <c r="AJ4" s="6">
        <v>0</v>
      </c>
      <c r="AK4" s="6" t="s">
        <v>85</v>
      </c>
      <c r="AL4" s="6">
        <v>0</v>
      </c>
      <c r="AM4" s="6" t="b">
        <v>0</v>
      </c>
      <c r="AN4" s="6" t="s">
        <v>86</v>
      </c>
      <c r="AP4" s="6" t="s">
        <v>1262</v>
      </c>
      <c r="AQ4" s="6" t="b">
        <v>0</v>
      </c>
      <c r="AR4" s="6" t="b">
        <v>0</v>
      </c>
      <c r="AS4" s="6" t="b">
        <v>0</v>
      </c>
      <c r="AT4" s="6" t="s">
        <v>1262</v>
      </c>
      <c r="AU4" s="6" t="s">
        <v>1263</v>
      </c>
      <c r="BA4" t="str">
        <f t="shared" si="0"/>
        <v>insert into nm_RawMatchData values ('Max', 'NoMythic', 'Practice', 1, 'B3', 4174, '', 'Yes', 2, 0, 0, 0, 0, 0, 0, 0, 8, 1, 0, 0, 0, 'P', '', 'x', 'No', 'x', 'No Card', '', null, null, null);</v>
      </c>
    </row>
    <row r="5" spans="1:53">
      <c r="A5" s="6" t="s">
        <v>1270</v>
      </c>
      <c r="B5" s="6" t="s">
        <v>1271</v>
      </c>
      <c r="C5" s="6" t="s">
        <v>0</v>
      </c>
      <c r="D5" s="6">
        <v>2</v>
      </c>
      <c r="E5" s="6" t="s">
        <v>1272</v>
      </c>
      <c r="F5" s="6">
        <v>7849</v>
      </c>
      <c r="G5" s="6" t="b">
        <v>0</v>
      </c>
      <c r="H5" s="6" t="s">
        <v>1260</v>
      </c>
      <c r="I5" s="6" t="b">
        <v>1</v>
      </c>
      <c r="J5" s="6" t="b">
        <v>1</v>
      </c>
      <c r="K5" s="6">
        <v>0</v>
      </c>
      <c r="L5" s="6">
        <v>0</v>
      </c>
      <c r="M5" s="6">
        <v>0</v>
      </c>
      <c r="N5" s="6">
        <v>0</v>
      </c>
      <c r="O5" s="6">
        <v>0</v>
      </c>
      <c r="P5" s="6">
        <v>0</v>
      </c>
      <c r="Q5" s="6">
        <v>0</v>
      </c>
      <c r="R5" s="6">
        <v>0</v>
      </c>
      <c r="S5" s="6">
        <v>0</v>
      </c>
      <c r="T5" s="6">
        <v>0</v>
      </c>
      <c r="U5" s="6">
        <v>0</v>
      </c>
      <c r="V5" s="6">
        <v>0</v>
      </c>
      <c r="W5" s="6">
        <v>0</v>
      </c>
      <c r="X5" s="6" t="b">
        <v>0</v>
      </c>
      <c r="Y5" s="6" t="b">
        <v>0</v>
      </c>
      <c r="Z5" s="6">
        <v>0</v>
      </c>
      <c r="AA5" s="6">
        <v>0</v>
      </c>
      <c r="AB5" s="6">
        <v>0</v>
      </c>
      <c r="AC5" s="6">
        <v>0</v>
      </c>
      <c r="AD5" s="6">
        <v>0</v>
      </c>
      <c r="AE5" s="6">
        <v>0</v>
      </c>
      <c r="AF5" s="6">
        <v>0</v>
      </c>
      <c r="AG5" s="6">
        <v>0</v>
      </c>
      <c r="AH5" s="6">
        <v>0</v>
      </c>
      <c r="AI5" s="6">
        <v>0</v>
      </c>
      <c r="AJ5" s="6">
        <v>0</v>
      </c>
      <c r="AK5" s="6" t="s">
        <v>153</v>
      </c>
      <c r="AL5" s="6">
        <v>0</v>
      </c>
      <c r="AM5" s="6" t="b">
        <v>0</v>
      </c>
      <c r="AN5" s="6" t="s">
        <v>153</v>
      </c>
      <c r="AP5" s="6" t="s">
        <v>1262</v>
      </c>
      <c r="AQ5" s="6" t="b">
        <v>0</v>
      </c>
      <c r="AR5" s="6" t="b">
        <v>0</v>
      </c>
      <c r="AS5" s="6" t="b">
        <v>0</v>
      </c>
      <c r="AT5" s="6" t="s">
        <v>1262</v>
      </c>
      <c r="AU5" s="6" t="s">
        <v>1263</v>
      </c>
      <c r="AV5" s="6" t="s">
        <v>1273</v>
      </c>
      <c r="BA5" t="str">
        <f t="shared" si="0"/>
        <v>insert into nm_RawMatchData values ('Samaya', 'MPArors', 'Practice', 2, 'R1', 7849, 'Red Barge', 'Yes', 0, 0, 0, 0, 0, 0, 0, 0, 0, 0, 0, 0, 0, 'No', '', 'x', 'No', 'x', 'No Card', 'Stopped moving during Auto', null, null, null);</v>
      </c>
    </row>
    <row r="6" spans="1:53">
      <c r="A6" s="6" t="s">
        <v>1274</v>
      </c>
      <c r="B6" s="6" t="s">
        <v>1271</v>
      </c>
      <c r="C6" s="6" t="s">
        <v>0</v>
      </c>
      <c r="D6" s="6">
        <v>2</v>
      </c>
      <c r="E6" s="6" t="s">
        <v>1259</v>
      </c>
      <c r="F6" s="6">
        <v>5464</v>
      </c>
      <c r="G6" s="6" t="b">
        <v>0</v>
      </c>
      <c r="H6" s="6" t="s">
        <v>58</v>
      </c>
      <c r="I6" s="6" t="b">
        <v>1</v>
      </c>
      <c r="J6" s="6" t="b">
        <v>0</v>
      </c>
      <c r="K6" s="6">
        <v>0</v>
      </c>
      <c r="L6" s="6">
        <v>0</v>
      </c>
      <c r="M6" s="6">
        <v>0</v>
      </c>
      <c r="N6" s="6">
        <v>0</v>
      </c>
      <c r="O6" s="6">
        <v>0</v>
      </c>
      <c r="P6" s="6">
        <v>0</v>
      </c>
      <c r="Q6" s="6">
        <v>0</v>
      </c>
      <c r="R6" s="6">
        <v>1</v>
      </c>
      <c r="S6" s="6">
        <v>0</v>
      </c>
      <c r="T6" s="6">
        <v>0</v>
      </c>
      <c r="U6" s="6">
        <v>0</v>
      </c>
      <c r="V6" s="6">
        <v>0</v>
      </c>
      <c r="W6" s="6">
        <v>0</v>
      </c>
      <c r="X6" s="6" t="b">
        <v>1</v>
      </c>
      <c r="Y6" s="6" t="b">
        <v>0</v>
      </c>
      <c r="Z6" s="6">
        <v>1</v>
      </c>
      <c r="AA6" s="6">
        <v>6</v>
      </c>
      <c r="AB6" s="6">
        <v>0</v>
      </c>
      <c r="AC6" s="6">
        <v>0</v>
      </c>
      <c r="AD6" s="6">
        <v>0</v>
      </c>
      <c r="AE6" s="6">
        <v>0</v>
      </c>
      <c r="AF6" s="6">
        <v>0</v>
      </c>
      <c r="AG6" s="6">
        <v>0</v>
      </c>
      <c r="AH6" s="6">
        <v>0</v>
      </c>
      <c r="AI6" s="6">
        <v>0</v>
      </c>
      <c r="AJ6" s="6">
        <v>0</v>
      </c>
      <c r="AK6" s="6" t="s">
        <v>85</v>
      </c>
      <c r="AL6" s="6">
        <v>0</v>
      </c>
      <c r="AM6" s="6" t="b">
        <v>0</v>
      </c>
      <c r="AN6" s="6" t="s">
        <v>86</v>
      </c>
      <c r="AO6" s="6" t="s">
        <v>1275</v>
      </c>
      <c r="AP6" s="6" t="s">
        <v>1262</v>
      </c>
      <c r="AQ6" s="6" t="b">
        <v>0</v>
      </c>
      <c r="AR6" s="6" t="b">
        <v>0</v>
      </c>
      <c r="AS6" s="6" t="b">
        <v>0</v>
      </c>
      <c r="AT6" s="6" t="s">
        <v>1262</v>
      </c>
      <c r="AU6" s="6" t="s">
        <v>1263</v>
      </c>
      <c r="BA6" t="str">
        <f t="shared" si="0"/>
        <v>insert into nm_RawMatchData values ('evelyn', 'MPArors', 'Practice', 2, 'R2', 5464, 'Middle', 'No', 0, 0, 0, 0, 0, 0, 0, 0, 6, 0, 0, 0, 0, 'P', 'needed more time to climb', 'x', 'No', 'x', 'No Card', '', null, null, null);</v>
      </c>
    </row>
    <row r="7" spans="1:53">
      <c r="A7" s="6" t="s">
        <v>1268</v>
      </c>
      <c r="B7" s="6" t="s">
        <v>1258</v>
      </c>
      <c r="C7" s="6" t="s">
        <v>0</v>
      </c>
      <c r="D7" s="6">
        <v>2</v>
      </c>
      <c r="E7" s="6" t="s">
        <v>1269</v>
      </c>
      <c r="F7" s="6">
        <v>2220</v>
      </c>
      <c r="G7" s="6" t="b">
        <v>0</v>
      </c>
      <c r="H7" s="6" t="s">
        <v>57</v>
      </c>
      <c r="I7" s="6" t="b">
        <v>1</v>
      </c>
      <c r="J7" s="6" t="b">
        <v>1</v>
      </c>
      <c r="K7" s="6">
        <v>0</v>
      </c>
      <c r="L7" s="6">
        <v>1</v>
      </c>
      <c r="M7" s="6">
        <v>0</v>
      </c>
      <c r="N7" s="6">
        <v>2</v>
      </c>
      <c r="O7" s="6">
        <v>0</v>
      </c>
      <c r="P7" s="6">
        <v>0</v>
      </c>
      <c r="Q7" s="6">
        <v>0</v>
      </c>
      <c r="R7" s="6">
        <v>0</v>
      </c>
      <c r="S7" s="6">
        <v>0</v>
      </c>
      <c r="T7" s="6">
        <v>0</v>
      </c>
      <c r="U7" s="6">
        <v>0</v>
      </c>
      <c r="V7" s="6">
        <v>0</v>
      </c>
      <c r="W7" s="6">
        <v>0</v>
      </c>
      <c r="X7" s="6" t="b">
        <v>1</v>
      </c>
      <c r="Y7" s="6" t="b">
        <v>0</v>
      </c>
      <c r="Z7" s="6">
        <v>2</v>
      </c>
      <c r="AA7" s="6">
        <v>3</v>
      </c>
      <c r="AB7" s="6">
        <v>4</v>
      </c>
      <c r="AC7" s="6">
        <v>3</v>
      </c>
      <c r="AD7" s="6">
        <v>0</v>
      </c>
      <c r="AE7" s="6">
        <v>0</v>
      </c>
      <c r="AF7" s="6">
        <v>0</v>
      </c>
      <c r="AG7" s="6">
        <v>0</v>
      </c>
      <c r="AH7" s="6">
        <v>0</v>
      </c>
      <c r="AI7" s="6">
        <v>2</v>
      </c>
      <c r="AJ7" s="6">
        <v>0</v>
      </c>
      <c r="AK7" s="6" t="s">
        <v>86</v>
      </c>
      <c r="AL7" s="6">
        <v>0</v>
      </c>
      <c r="AM7" s="6" t="b">
        <v>0</v>
      </c>
      <c r="AN7" s="6" t="s">
        <v>86</v>
      </c>
      <c r="AP7" s="6" t="s">
        <v>1262</v>
      </c>
      <c r="AQ7" s="6" t="b">
        <v>0</v>
      </c>
      <c r="AR7" s="6" t="b">
        <v>0</v>
      </c>
      <c r="AS7" s="6" t="b">
        <v>0</v>
      </c>
      <c r="AT7" s="6" t="s">
        <v>1262</v>
      </c>
      <c r="AU7" s="6" t="s">
        <v>1263</v>
      </c>
      <c r="BA7" t="str">
        <f t="shared" si="0"/>
        <v>insert into nm_RawMatchData values ('Max', 'NoMythic', 'Practice', 2, 'B3', 2220, 'Blue Barge', 'Yes', 2, 0, 0, 0, 0, 0, 0, 0, 3, 4, 3, 0, 0, 'P', '', 'x', 'No', 'x', 'No Card', '', null, null, null);</v>
      </c>
    </row>
    <row r="8" spans="1:53">
      <c r="A8" s="6" t="s">
        <v>1257</v>
      </c>
      <c r="B8" s="6" t="s">
        <v>1258</v>
      </c>
      <c r="C8" s="6" t="s">
        <v>0</v>
      </c>
      <c r="D8" s="6">
        <v>2</v>
      </c>
      <c r="E8" s="6" t="s">
        <v>1276</v>
      </c>
      <c r="F8" s="6">
        <v>2502</v>
      </c>
      <c r="G8" s="6" t="b">
        <v>0</v>
      </c>
      <c r="H8" s="6" t="s">
        <v>58</v>
      </c>
      <c r="I8" s="6" t="b">
        <v>1</v>
      </c>
      <c r="J8" s="6" t="b">
        <v>1</v>
      </c>
      <c r="K8" s="6">
        <v>0</v>
      </c>
      <c r="L8" s="6">
        <v>0</v>
      </c>
      <c r="M8" s="6">
        <v>0</v>
      </c>
      <c r="N8" s="6">
        <v>0</v>
      </c>
      <c r="O8" s="6">
        <v>0</v>
      </c>
      <c r="P8" s="6">
        <v>0</v>
      </c>
      <c r="Q8" s="6">
        <v>0</v>
      </c>
      <c r="R8" s="6">
        <v>0</v>
      </c>
      <c r="S8" s="6">
        <v>0</v>
      </c>
      <c r="T8" s="6">
        <v>0</v>
      </c>
      <c r="U8" s="6">
        <v>0</v>
      </c>
      <c r="V8" s="6">
        <v>0</v>
      </c>
      <c r="W8" s="6">
        <v>0</v>
      </c>
      <c r="X8" s="6" t="b">
        <v>1</v>
      </c>
      <c r="Y8" s="6" t="b">
        <v>0</v>
      </c>
      <c r="Z8" s="6">
        <v>3</v>
      </c>
      <c r="AA8" s="6">
        <v>3</v>
      </c>
      <c r="AB8" s="6">
        <v>0</v>
      </c>
      <c r="AC8" s="6">
        <v>1</v>
      </c>
      <c r="AD8" s="6">
        <v>0</v>
      </c>
      <c r="AE8" s="6">
        <v>0</v>
      </c>
      <c r="AF8" s="6">
        <v>0</v>
      </c>
      <c r="AG8" s="6">
        <v>0</v>
      </c>
      <c r="AH8" s="6">
        <v>0</v>
      </c>
      <c r="AI8" s="6">
        <v>1</v>
      </c>
      <c r="AJ8" s="6">
        <v>0</v>
      </c>
      <c r="AK8" s="6" t="s">
        <v>85</v>
      </c>
      <c r="AL8" s="6">
        <v>0</v>
      </c>
      <c r="AM8" s="6" t="b">
        <v>0</v>
      </c>
      <c r="AN8" s="6" t="s">
        <v>86</v>
      </c>
      <c r="AP8" s="6" t="s">
        <v>1262</v>
      </c>
      <c r="AQ8" s="6" t="b">
        <v>0</v>
      </c>
      <c r="AR8" s="6" t="b">
        <v>0</v>
      </c>
      <c r="AS8" s="6" t="b">
        <v>0</v>
      </c>
      <c r="AT8" s="6" t="s">
        <v>1262</v>
      </c>
      <c r="AU8" s="6" t="s">
        <v>1263</v>
      </c>
      <c r="AV8" s="6" t="s">
        <v>1277</v>
      </c>
      <c r="BA8" t="str">
        <f t="shared" si="0"/>
        <v>insert into nm_RawMatchData values ('Margo Zimmerman', 'NoMythic', 'Practice', 2, 'B2', 2502, 'Middle', 'Yes', 0, 0, 0, 0, 0, 0, 0, 0, 3, 0, 1, 0, 0, 'P', '', 'x', 'No', 'x', 'No Card', 'very slow moving, struggled to reliably score coral.', null, null, null);</v>
      </c>
    </row>
    <row r="9" spans="1:53">
      <c r="A9" s="6" t="s">
        <v>1265</v>
      </c>
      <c r="B9" s="6" t="s">
        <v>1258</v>
      </c>
      <c r="C9" s="6" t="s">
        <v>0</v>
      </c>
      <c r="D9" s="6">
        <v>2</v>
      </c>
      <c r="E9" s="6" t="s">
        <v>1266</v>
      </c>
      <c r="F9" s="6">
        <v>2847</v>
      </c>
      <c r="G9" s="6" t="b">
        <v>0</v>
      </c>
      <c r="H9" s="6" t="s">
        <v>1260</v>
      </c>
      <c r="I9" s="6" t="b">
        <v>1</v>
      </c>
      <c r="J9" s="6" t="b">
        <v>1</v>
      </c>
      <c r="K9" s="6">
        <v>1</v>
      </c>
      <c r="L9" s="6">
        <v>0</v>
      </c>
      <c r="M9" s="6">
        <v>0</v>
      </c>
      <c r="N9" s="6">
        <v>0</v>
      </c>
      <c r="O9" s="6">
        <v>0</v>
      </c>
      <c r="P9" s="6">
        <v>0</v>
      </c>
      <c r="Q9" s="6">
        <v>0</v>
      </c>
      <c r="R9" s="6">
        <v>1</v>
      </c>
      <c r="S9" s="6">
        <v>0</v>
      </c>
      <c r="T9" s="6">
        <v>0</v>
      </c>
      <c r="U9" s="6">
        <v>0</v>
      </c>
      <c r="V9" s="6">
        <v>0</v>
      </c>
      <c r="W9" s="6">
        <v>0</v>
      </c>
      <c r="X9" s="6" t="b">
        <v>1</v>
      </c>
      <c r="Y9" s="6" t="b">
        <v>0</v>
      </c>
      <c r="Z9" s="6">
        <v>3</v>
      </c>
      <c r="AA9" s="6">
        <v>4</v>
      </c>
      <c r="AB9" s="6">
        <v>3</v>
      </c>
      <c r="AC9" s="6">
        <v>4</v>
      </c>
      <c r="AD9" s="6">
        <v>0</v>
      </c>
      <c r="AE9" s="6">
        <v>0</v>
      </c>
      <c r="AF9" s="6">
        <v>0</v>
      </c>
      <c r="AG9" s="6">
        <v>0</v>
      </c>
      <c r="AH9" s="6">
        <v>1</v>
      </c>
      <c r="AI9" s="6">
        <v>1</v>
      </c>
      <c r="AJ9" s="6">
        <v>0</v>
      </c>
      <c r="AK9" s="6" t="s">
        <v>86</v>
      </c>
      <c r="AL9" s="6">
        <v>0</v>
      </c>
      <c r="AM9" s="6" t="b">
        <v>0</v>
      </c>
      <c r="AN9" s="6" t="s">
        <v>86</v>
      </c>
      <c r="AP9" s="6" t="s">
        <v>1262</v>
      </c>
      <c r="AQ9" s="6" t="b">
        <v>0</v>
      </c>
      <c r="AR9" s="6" t="b">
        <v>0</v>
      </c>
      <c r="AS9" s="6" t="b">
        <v>0</v>
      </c>
      <c r="AT9" s="6" t="s">
        <v>1262</v>
      </c>
      <c r="AU9" s="6" t="s">
        <v>1263</v>
      </c>
      <c r="AV9" s="6" t="s">
        <v>1278</v>
      </c>
      <c r="BA9" t="str">
        <f t="shared" si="0"/>
        <v>insert into nm_RawMatchData values ('Augie', 'NoMythic', 'Practice', 2, 'B1', 2847, 'Red Barge', 'Yes', 0, 0, 0, 0, 0, 0, 0, 0, 4, 3, 4, 0, 0, 'P', '', 'x', 'No', 'x', 'No Card', 'Fast but erratic. Might have been planning on climbing but I couldn''t tell.', null, null, null);</v>
      </c>
    </row>
    <row r="10" spans="1:53">
      <c r="A10" s="6" t="s">
        <v>1279</v>
      </c>
      <c r="B10" s="6" t="s">
        <v>1280</v>
      </c>
      <c r="C10" s="6" t="s">
        <v>0</v>
      </c>
      <c r="D10" s="6">
        <v>2</v>
      </c>
      <c r="E10" s="6" t="s">
        <v>1281</v>
      </c>
      <c r="F10" s="6">
        <v>2181</v>
      </c>
      <c r="G10" s="6" t="b">
        <v>0</v>
      </c>
      <c r="H10" s="6" t="s">
        <v>57</v>
      </c>
      <c r="I10" s="6" t="b">
        <v>1</v>
      </c>
      <c r="J10" s="6" t="b">
        <v>1</v>
      </c>
      <c r="K10" s="6">
        <v>0</v>
      </c>
      <c r="L10" s="6">
        <v>0</v>
      </c>
      <c r="M10" s="6">
        <v>0</v>
      </c>
      <c r="N10" s="6">
        <v>0</v>
      </c>
      <c r="O10" s="6">
        <v>0</v>
      </c>
      <c r="P10" s="6">
        <v>0</v>
      </c>
      <c r="Q10" s="6">
        <v>0</v>
      </c>
      <c r="R10" s="6">
        <v>0</v>
      </c>
      <c r="S10" s="6">
        <v>0</v>
      </c>
      <c r="T10" s="6">
        <v>0</v>
      </c>
      <c r="U10" s="6">
        <v>0</v>
      </c>
      <c r="V10" s="6">
        <v>0</v>
      </c>
      <c r="W10" s="6">
        <v>0</v>
      </c>
      <c r="X10" s="6" t="b">
        <v>0</v>
      </c>
      <c r="Y10" s="6" t="b">
        <v>0</v>
      </c>
      <c r="Z10" s="6">
        <v>0</v>
      </c>
      <c r="AA10" s="6">
        <v>0</v>
      </c>
      <c r="AB10" s="6">
        <v>0</v>
      </c>
      <c r="AC10" s="6">
        <v>0</v>
      </c>
      <c r="AD10" s="6">
        <v>0</v>
      </c>
      <c r="AE10" s="6">
        <v>0</v>
      </c>
      <c r="AF10" s="6">
        <v>0</v>
      </c>
      <c r="AG10" s="6">
        <v>0</v>
      </c>
      <c r="AH10" s="6">
        <v>0</v>
      </c>
      <c r="AI10" s="6">
        <v>0</v>
      </c>
      <c r="AJ10" s="6">
        <v>0</v>
      </c>
      <c r="AK10" s="6" t="s">
        <v>153</v>
      </c>
      <c r="AL10" s="6">
        <v>0</v>
      </c>
      <c r="AM10" s="6" t="b">
        <v>0</v>
      </c>
      <c r="AN10" s="6" t="s">
        <v>153</v>
      </c>
      <c r="AO10" s="6" t="s">
        <v>1282</v>
      </c>
      <c r="AP10" s="6" t="s">
        <v>1262</v>
      </c>
      <c r="AQ10" s="6" t="b">
        <v>0</v>
      </c>
      <c r="AR10" s="6" t="b">
        <v>1</v>
      </c>
      <c r="AS10" s="6" t="b">
        <v>1</v>
      </c>
      <c r="AT10" s="6" t="s">
        <v>1262</v>
      </c>
      <c r="AU10" s="6" t="s">
        <v>1263</v>
      </c>
      <c r="BA10" t="str">
        <f t="shared" si="0"/>
        <v>insert into nm_RawMatchData values ('James', 'Open Circuits', 'Practice', 2, 'R3', 2181, 'Blue Barge', 'Yes', 0, 0, 0, 0, 0, 0, 0, 0, 0, 0, 0, 0, 0, 'No', 'The robot stopped functioning almost as soon as it left the starting line', 'x', 'Yes', 'x', 'No Card', '', null, null, null);</v>
      </c>
    </row>
    <row r="11" spans="1:53">
      <c r="A11" s="6" t="s">
        <v>1265</v>
      </c>
      <c r="B11" s="6" t="s">
        <v>1258</v>
      </c>
      <c r="C11" s="6" t="s">
        <v>0</v>
      </c>
      <c r="D11" s="6">
        <v>3</v>
      </c>
      <c r="E11" s="6" t="s">
        <v>1266</v>
      </c>
      <c r="F11" s="6">
        <v>2823</v>
      </c>
      <c r="G11" s="6" t="b">
        <v>0</v>
      </c>
      <c r="H11" s="6" t="s">
        <v>57</v>
      </c>
      <c r="I11" s="6" t="b">
        <v>1</v>
      </c>
      <c r="J11" s="6" t="b">
        <v>1</v>
      </c>
      <c r="K11" s="6">
        <v>0</v>
      </c>
      <c r="L11" s="6">
        <v>1</v>
      </c>
      <c r="M11" s="6">
        <v>1</v>
      </c>
      <c r="N11" s="6">
        <v>1</v>
      </c>
      <c r="O11" s="6">
        <v>0</v>
      </c>
      <c r="P11" s="6">
        <v>0</v>
      </c>
      <c r="Q11" s="6">
        <v>0</v>
      </c>
      <c r="R11" s="6">
        <v>1</v>
      </c>
      <c r="S11" s="6">
        <v>0</v>
      </c>
      <c r="T11" s="6">
        <v>0</v>
      </c>
      <c r="U11" s="6">
        <v>0</v>
      </c>
      <c r="V11" s="6">
        <v>0</v>
      </c>
      <c r="W11" s="6">
        <v>0</v>
      </c>
      <c r="X11" s="6" t="b">
        <v>1</v>
      </c>
      <c r="Y11" s="6" t="b">
        <v>0</v>
      </c>
      <c r="Z11" s="6">
        <v>5</v>
      </c>
      <c r="AA11" s="6">
        <v>2</v>
      </c>
      <c r="AB11" s="6">
        <v>3</v>
      </c>
      <c r="AC11" s="6">
        <v>1</v>
      </c>
      <c r="AD11" s="6">
        <v>0</v>
      </c>
      <c r="AE11" s="6">
        <v>0</v>
      </c>
      <c r="AF11" s="6">
        <v>0</v>
      </c>
      <c r="AG11" s="6">
        <v>0</v>
      </c>
      <c r="AH11" s="6">
        <v>0</v>
      </c>
      <c r="AI11" s="6">
        <v>1</v>
      </c>
      <c r="AJ11" s="6">
        <v>0</v>
      </c>
      <c r="AK11" s="6" t="s">
        <v>85</v>
      </c>
      <c r="AL11" s="6">
        <v>0</v>
      </c>
      <c r="AM11" s="6" t="b">
        <v>0</v>
      </c>
      <c r="AN11" s="6" t="s">
        <v>86</v>
      </c>
      <c r="AP11" s="6" t="s">
        <v>1262</v>
      </c>
      <c r="AQ11" s="6" t="b">
        <v>0</v>
      </c>
      <c r="AR11" s="6" t="b">
        <v>0</v>
      </c>
      <c r="AS11" s="6" t="b">
        <v>0</v>
      </c>
      <c r="AT11" s="6" t="s">
        <v>1262</v>
      </c>
      <c r="AU11" s="6" t="s">
        <v>1263</v>
      </c>
      <c r="BA11" t="str">
        <f t="shared" si="0"/>
        <v>insert into nm_RawMatchData values ('Augie', 'NoMythic', 'Practice', 3, 'B1', 2823, 'Blue Barge', 'Yes', 1, 0, 0, 0, 0, 0, 0, 0, 2, 3, 1, 0, 0, 'P', '', 'x', 'No', 'x', 'No Card', '', null, null, null);</v>
      </c>
    </row>
    <row r="12" spans="1:53">
      <c r="A12" s="6" t="s">
        <v>1257</v>
      </c>
      <c r="B12" s="6" t="s">
        <v>1258</v>
      </c>
      <c r="C12" s="6" t="s">
        <v>0</v>
      </c>
      <c r="D12" s="6">
        <v>3</v>
      </c>
      <c r="E12" s="6" t="s">
        <v>1276</v>
      </c>
      <c r="F12" s="6">
        <v>2855</v>
      </c>
      <c r="G12" s="6" t="b">
        <v>0</v>
      </c>
      <c r="H12" s="6" t="s">
        <v>1260</v>
      </c>
      <c r="I12" s="6" t="b">
        <v>1</v>
      </c>
      <c r="J12" s="6" t="b">
        <v>1</v>
      </c>
      <c r="K12" s="6">
        <v>1</v>
      </c>
      <c r="L12" s="6">
        <v>0</v>
      </c>
      <c r="M12" s="6">
        <v>0</v>
      </c>
      <c r="N12" s="6">
        <v>0</v>
      </c>
      <c r="O12" s="6">
        <v>0</v>
      </c>
      <c r="P12" s="6">
        <v>0</v>
      </c>
      <c r="Q12" s="6">
        <v>0</v>
      </c>
      <c r="R12" s="6">
        <v>1</v>
      </c>
      <c r="S12" s="6">
        <v>0</v>
      </c>
      <c r="T12" s="6">
        <v>0</v>
      </c>
      <c r="U12" s="6">
        <v>0</v>
      </c>
      <c r="V12" s="6">
        <v>0</v>
      </c>
      <c r="W12" s="6">
        <v>0</v>
      </c>
      <c r="X12" s="6" t="b">
        <v>1</v>
      </c>
      <c r="Y12" s="6" t="b">
        <v>0</v>
      </c>
      <c r="Z12" s="6">
        <v>1</v>
      </c>
      <c r="AA12" s="6">
        <v>4</v>
      </c>
      <c r="AB12" s="6">
        <v>1</v>
      </c>
      <c r="AC12" s="6">
        <v>0</v>
      </c>
      <c r="AD12" s="6">
        <v>0</v>
      </c>
      <c r="AE12" s="6">
        <v>0</v>
      </c>
      <c r="AF12" s="6">
        <v>0</v>
      </c>
      <c r="AG12" s="6">
        <v>0</v>
      </c>
      <c r="AH12" s="6">
        <v>0</v>
      </c>
      <c r="AI12" s="6">
        <v>1</v>
      </c>
      <c r="AJ12" s="6">
        <v>0</v>
      </c>
      <c r="AK12" s="6" t="s">
        <v>85</v>
      </c>
      <c r="AL12" s="6">
        <v>0</v>
      </c>
      <c r="AM12" s="6" t="b">
        <v>1</v>
      </c>
      <c r="AN12" s="6" t="s">
        <v>86</v>
      </c>
      <c r="AO12" s="6" t="s">
        <v>1283</v>
      </c>
      <c r="AP12" s="6" t="s">
        <v>1262</v>
      </c>
      <c r="AQ12" s="6" t="b">
        <v>0</v>
      </c>
      <c r="AR12" s="6" t="b">
        <v>0</v>
      </c>
      <c r="AS12" s="6" t="b">
        <v>0</v>
      </c>
      <c r="AT12" s="6">
        <v>1</v>
      </c>
      <c r="AU12" s="6" t="s">
        <v>1263</v>
      </c>
      <c r="BA12" t="str">
        <f t="shared" si="0"/>
        <v>insert into nm_RawMatchData values ('Margo Zimmerman', 'NoMythic', 'Practice', 3, 'B2', 2855, 'Red Barge', 'Yes', 0, 0, 0, 0, 0, 0, 0, 0, 4, 1, 0, 0, 0, 'P', 'attempted to climb, was not able to before match end', 'x', 'No', '1', 'No Card', '', null, null, null);</v>
      </c>
    </row>
    <row r="13" spans="1:53">
      <c r="A13" s="6" t="s">
        <v>1270</v>
      </c>
      <c r="B13" s="6" t="s">
        <v>1271</v>
      </c>
      <c r="C13" s="6" t="s">
        <v>0</v>
      </c>
      <c r="D13" s="6">
        <v>3</v>
      </c>
      <c r="E13" s="6" t="s">
        <v>1272</v>
      </c>
      <c r="F13" s="6">
        <v>2207</v>
      </c>
      <c r="G13" s="6" t="b">
        <v>0</v>
      </c>
      <c r="H13" s="6" t="s">
        <v>1260</v>
      </c>
      <c r="I13" s="6" t="b">
        <v>1</v>
      </c>
      <c r="J13" s="6" t="b">
        <v>1</v>
      </c>
      <c r="K13" s="6">
        <v>0</v>
      </c>
      <c r="L13" s="6">
        <v>0</v>
      </c>
      <c r="M13" s="6">
        <v>0</v>
      </c>
      <c r="N13" s="6">
        <v>0</v>
      </c>
      <c r="O13" s="6">
        <v>0</v>
      </c>
      <c r="P13" s="6">
        <v>0</v>
      </c>
      <c r="Q13" s="6">
        <v>0</v>
      </c>
      <c r="R13" s="6">
        <v>1</v>
      </c>
      <c r="S13" s="6">
        <v>0</v>
      </c>
      <c r="T13" s="6">
        <v>0</v>
      </c>
      <c r="U13" s="6">
        <v>0</v>
      </c>
      <c r="V13" s="6">
        <v>0</v>
      </c>
      <c r="W13" s="6">
        <v>0</v>
      </c>
      <c r="X13" s="6" t="b">
        <v>0</v>
      </c>
      <c r="Y13" s="6" t="b">
        <v>0</v>
      </c>
      <c r="Z13" s="6">
        <v>0</v>
      </c>
      <c r="AA13" s="6">
        <v>0</v>
      </c>
      <c r="AB13" s="6">
        <v>0</v>
      </c>
      <c r="AC13" s="6">
        <v>0</v>
      </c>
      <c r="AD13" s="6">
        <v>0</v>
      </c>
      <c r="AE13" s="6">
        <v>0</v>
      </c>
      <c r="AF13" s="6">
        <v>0</v>
      </c>
      <c r="AG13" s="6">
        <v>0</v>
      </c>
      <c r="AH13" s="6">
        <v>0</v>
      </c>
      <c r="AI13" s="6">
        <v>0</v>
      </c>
      <c r="AJ13" s="6">
        <v>0</v>
      </c>
      <c r="AK13" s="6" t="s">
        <v>86</v>
      </c>
      <c r="AL13" s="6">
        <v>0</v>
      </c>
      <c r="AM13" s="6" t="b">
        <v>0</v>
      </c>
      <c r="AN13" s="6" t="s">
        <v>86</v>
      </c>
      <c r="AO13" s="6" t="s">
        <v>1284</v>
      </c>
      <c r="AP13" s="6">
        <v>1</v>
      </c>
      <c r="AQ13" s="6" t="b">
        <v>1</v>
      </c>
      <c r="AR13" s="6" t="b">
        <v>0</v>
      </c>
      <c r="AS13" s="6" t="b">
        <v>0</v>
      </c>
      <c r="AT13" s="6" t="s">
        <v>1262</v>
      </c>
      <c r="AU13" s="6" t="s">
        <v>1263</v>
      </c>
      <c r="BA13" t="str">
        <f t="shared" si="0"/>
        <v>insert into nm_RawMatchData values ('Samaya', 'MPArors', 'Practice', 3, 'R1', 2207, 'Red Barge', 'Yes', 0, 0, 0, 0, 0, 0, 0, 0, 0, 0, 0, 0, 0, 'P', 'Looked like trying to climb but failed', '1', 'No', 'x', 'No Card', '', null, null, null);</v>
      </c>
    </row>
    <row r="14" spans="1:53">
      <c r="A14" s="6" t="s">
        <v>1274</v>
      </c>
      <c r="B14" s="6" t="s">
        <v>1271</v>
      </c>
      <c r="C14" s="6" t="s">
        <v>0</v>
      </c>
      <c r="D14" s="6">
        <v>3</v>
      </c>
      <c r="E14" s="6" t="s">
        <v>1259</v>
      </c>
      <c r="F14" s="6">
        <v>2513</v>
      </c>
      <c r="G14" s="6" t="b">
        <v>0</v>
      </c>
      <c r="H14" s="6" t="s">
        <v>57</v>
      </c>
      <c r="I14" s="6" t="b">
        <v>1</v>
      </c>
      <c r="J14" s="6" t="b">
        <v>0</v>
      </c>
      <c r="K14" s="6">
        <v>1</v>
      </c>
      <c r="L14" s="6">
        <v>0</v>
      </c>
      <c r="M14" s="6">
        <v>0</v>
      </c>
      <c r="N14" s="6">
        <v>0</v>
      </c>
      <c r="O14" s="6">
        <v>0</v>
      </c>
      <c r="P14" s="6">
        <v>0</v>
      </c>
      <c r="Q14" s="6">
        <v>0</v>
      </c>
      <c r="R14" s="6">
        <v>1</v>
      </c>
      <c r="S14" s="6">
        <v>0</v>
      </c>
      <c r="T14" s="6">
        <v>0</v>
      </c>
      <c r="U14" s="6">
        <v>0</v>
      </c>
      <c r="V14" s="6">
        <v>0</v>
      </c>
      <c r="W14" s="6">
        <v>0</v>
      </c>
      <c r="X14" s="6" t="b">
        <v>0</v>
      </c>
      <c r="Y14" s="6" t="b">
        <v>0</v>
      </c>
      <c r="Z14" s="6">
        <v>0</v>
      </c>
      <c r="AA14" s="6">
        <v>6</v>
      </c>
      <c r="AB14" s="6">
        <v>2</v>
      </c>
      <c r="AC14" s="6">
        <v>0</v>
      </c>
      <c r="AD14" s="6">
        <v>0</v>
      </c>
      <c r="AE14" s="6">
        <v>0</v>
      </c>
      <c r="AF14" s="6">
        <v>0</v>
      </c>
      <c r="AG14" s="6">
        <v>0</v>
      </c>
      <c r="AH14" s="6">
        <v>0</v>
      </c>
      <c r="AI14" s="6">
        <v>1</v>
      </c>
      <c r="AJ14" s="6">
        <v>0</v>
      </c>
      <c r="AK14" s="6" t="s">
        <v>85</v>
      </c>
      <c r="AL14" s="6">
        <v>0</v>
      </c>
      <c r="AM14" s="6" t="b">
        <v>0</v>
      </c>
      <c r="AN14" s="6" t="s">
        <v>86</v>
      </c>
      <c r="AP14" s="6" t="s">
        <v>1262</v>
      </c>
      <c r="AQ14" s="6" t="b">
        <v>0</v>
      </c>
      <c r="AR14" s="6" t="b">
        <v>0</v>
      </c>
      <c r="AS14" s="6" t="b">
        <v>0</v>
      </c>
      <c r="AT14" s="6" t="s">
        <v>1262</v>
      </c>
      <c r="AU14" s="6" t="s">
        <v>1263</v>
      </c>
      <c r="BA14" t="str">
        <f t="shared" si="0"/>
        <v>insert into nm_RawMatchData values ('evelyn', 'MPArors', 'Practice', 3, 'R2', 2513, 'Blue Barge', 'No', 0, 0, 0, 0, 0, 0, 0, 0, 6, 2, 0, 0, 0, 'P', '', 'x', 'No', 'x', 'No Card', '', null, null, null);</v>
      </c>
    </row>
    <row r="15" spans="1:53">
      <c r="A15" s="6" t="s">
        <v>1279</v>
      </c>
      <c r="B15" s="6" t="s">
        <v>1280</v>
      </c>
      <c r="C15" s="6" t="s">
        <v>0</v>
      </c>
      <c r="D15" s="6">
        <v>3</v>
      </c>
      <c r="E15" s="6" t="s">
        <v>1281</v>
      </c>
      <c r="F15" s="6">
        <v>3883</v>
      </c>
      <c r="G15" s="6" t="b">
        <v>0</v>
      </c>
      <c r="H15" s="6" t="s">
        <v>57</v>
      </c>
      <c r="I15" s="6" t="b">
        <v>1</v>
      </c>
      <c r="J15" s="6" t="b">
        <v>1</v>
      </c>
      <c r="K15" s="6">
        <v>1</v>
      </c>
      <c r="L15" s="6">
        <v>0</v>
      </c>
      <c r="M15" s="6">
        <v>0</v>
      </c>
      <c r="N15" s="6">
        <v>1</v>
      </c>
      <c r="O15" s="6">
        <v>0</v>
      </c>
      <c r="P15" s="6">
        <v>0</v>
      </c>
      <c r="Q15" s="6">
        <v>0</v>
      </c>
      <c r="R15" s="6">
        <v>0</v>
      </c>
      <c r="S15" s="6">
        <v>0</v>
      </c>
      <c r="T15" s="6">
        <v>0</v>
      </c>
      <c r="U15" s="6">
        <v>0</v>
      </c>
      <c r="V15" s="6">
        <v>0</v>
      </c>
      <c r="W15" s="6">
        <v>0</v>
      </c>
      <c r="X15" s="6" t="b">
        <v>1</v>
      </c>
      <c r="Y15" s="6" t="b">
        <v>0</v>
      </c>
      <c r="Z15" s="6">
        <v>1</v>
      </c>
      <c r="AA15" s="6">
        <v>6</v>
      </c>
      <c r="AB15" s="6">
        <v>0</v>
      </c>
      <c r="AC15" s="6">
        <v>0</v>
      </c>
      <c r="AD15" s="6">
        <v>0</v>
      </c>
      <c r="AE15" s="6">
        <v>0</v>
      </c>
      <c r="AF15" s="6">
        <v>0</v>
      </c>
      <c r="AG15" s="6">
        <v>0</v>
      </c>
      <c r="AH15" s="6">
        <v>0</v>
      </c>
      <c r="AI15" s="6">
        <v>0</v>
      </c>
      <c r="AJ15" s="6">
        <v>0</v>
      </c>
      <c r="AK15" s="6" t="s">
        <v>86</v>
      </c>
      <c r="AL15" s="6">
        <v>0</v>
      </c>
      <c r="AM15" s="6" t="b">
        <v>0</v>
      </c>
      <c r="AN15" s="6" t="s">
        <v>86</v>
      </c>
      <c r="AP15" s="6" t="s">
        <v>1262</v>
      </c>
      <c r="AQ15" s="6" t="b">
        <v>0</v>
      </c>
      <c r="AR15" s="6" t="b">
        <v>0</v>
      </c>
      <c r="AS15" s="6" t="b">
        <v>0</v>
      </c>
      <c r="AT15" s="6" t="s">
        <v>1262</v>
      </c>
      <c r="AU15" s="6" t="s">
        <v>1263</v>
      </c>
      <c r="BA15" t="str">
        <f t="shared" si="0"/>
        <v>insert into nm_RawMatchData values ('James', 'Open Circuits', 'Practice', 3, 'R3', 3883, 'Blue Barge', 'Yes', 1, 0, 0, 0, 0, 0, 0, 0, 6, 0, 0, 0, 0, 'P', '', 'x', 'No', 'x', 'No Card', '', null, null, null);</v>
      </c>
    </row>
    <row r="16" spans="1:53">
      <c r="A16" s="6" t="s">
        <v>1268</v>
      </c>
      <c r="B16" s="6" t="s">
        <v>1258</v>
      </c>
      <c r="C16" s="6" t="s">
        <v>0</v>
      </c>
      <c r="D16" s="6">
        <v>3</v>
      </c>
      <c r="E16" s="6" t="s">
        <v>1269</v>
      </c>
      <c r="F16" s="6">
        <v>4229</v>
      </c>
      <c r="G16" s="6" t="b">
        <v>0</v>
      </c>
      <c r="H16" s="6" t="s">
        <v>58</v>
      </c>
      <c r="I16" s="6" t="b">
        <v>1</v>
      </c>
      <c r="J16" s="6" t="b">
        <v>1</v>
      </c>
      <c r="K16" s="6">
        <v>0</v>
      </c>
      <c r="L16" s="6">
        <v>0</v>
      </c>
      <c r="M16" s="6">
        <v>0</v>
      </c>
      <c r="N16" s="6">
        <v>0</v>
      </c>
      <c r="O16" s="6">
        <v>0</v>
      </c>
      <c r="P16" s="6">
        <v>0</v>
      </c>
      <c r="Q16" s="6">
        <v>0</v>
      </c>
      <c r="R16" s="6">
        <v>0</v>
      </c>
      <c r="S16" s="6">
        <v>0</v>
      </c>
      <c r="T16" s="6">
        <v>0</v>
      </c>
      <c r="U16" s="6">
        <v>0</v>
      </c>
      <c r="V16" s="6">
        <v>0</v>
      </c>
      <c r="W16" s="6">
        <v>0</v>
      </c>
      <c r="X16" s="6" t="b">
        <v>0</v>
      </c>
      <c r="Y16" s="6" t="b">
        <v>0</v>
      </c>
      <c r="Z16" s="6">
        <v>0</v>
      </c>
      <c r="AA16" s="6">
        <v>0</v>
      </c>
      <c r="AB16" s="6">
        <v>0</v>
      </c>
      <c r="AC16" s="6">
        <v>0</v>
      </c>
      <c r="AD16" s="6">
        <v>0</v>
      </c>
      <c r="AE16" s="6">
        <v>0</v>
      </c>
      <c r="AF16" s="6">
        <v>0</v>
      </c>
      <c r="AG16" s="6">
        <v>0</v>
      </c>
      <c r="AH16" s="6">
        <v>0</v>
      </c>
      <c r="AI16" s="6">
        <v>0</v>
      </c>
      <c r="AJ16" s="6">
        <v>0</v>
      </c>
      <c r="AK16" s="6" t="s">
        <v>153</v>
      </c>
      <c r="AL16" s="6">
        <v>0</v>
      </c>
      <c r="AM16" s="6" t="b">
        <v>0</v>
      </c>
      <c r="AN16" s="6" t="s">
        <v>153</v>
      </c>
      <c r="AP16" s="6" t="s">
        <v>1262</v>
      </c>
      <c r="AQ16" s="6" t="b">
        <v>0</v>
      </c>
      <c r="AR16" s="6" t="b">
        <v>0</v>
      </c>
      <c r="AS16" s="6" t="b">
        <v>1</v>
      </c>
      <c r="AT16" s="6" t="s">
        <v>1262</v>
      </c>
      <c r="AU16" s="6" t="s">
        <v>1263</v>
      </c>
      <c r="AV16" s="6" t="s">
        <v>1285</v>
      </c>
      <c r="BA16" t="str">
        <f t="shared" si="0"/>
        <v>insert into nm_RawMatchData values ('Max', 'NoMythic', 'Practice', 3, 'B3', 4229, 'Middle', 'Yes', 0, 0, 0, 0, 0, 0, 0, 0, 0, 0, 0, 0, 0, 'No', '', 'x', 'Yes', 'x', 'No Card', '                                                                              ', null, null, null);</v>
      </c>
    </row>
    <row r="17" spans="1:56">
      <c r="A17" s="6" t="s">
        <v>1279</v>
      </c>
      <c r="B17" s="6" t="s">
        <v>1280</v>
      </c>
      <c r="C17" s="6" t="s">
        <v>0</v>
      </c>
      <c r="D17" s="6">
        <v>4</v>
      </c>
      <c r="E17" s="6" t="s">
        <v>1281</v>
      </c>
      <c r="F17" s="6">
        <v>7850</v>
      </c>
      <c r="G17" s="6" t="b">
        <v>0</v>
      </c>
      <c r="H17" s="6" t="s">
        <v>1260</v>
      </c>
      <c r="I17" s="6" t="b">
        <v>1</v>
      </c>
      <c r="J17" s="6" t="b">
        <v>0</v>
      </c>
      <c r="K17" s="6">
        <v>0</v>
      </c>
      <c r="L17" s="6">
        <v>0</v>
      </c>
      <c r="M17" s="6">
        <v>0</v>
      </c>
      <c r="N17" s="6">
        <v>0</v>
      </c>
      <c r="O17" s="6">
        <v>0</v>
      </c>
      <c r="P17" s="6">
        <v>0</v>
      </c>
      <c r="Q17" s="6">
        <v>0</v>
      </c>
      <c r="R17" s="6">
        <v>0</v>
      </c>
      <c r="S17" s="6">
        <v>0</v>
      </c>
      <c r="T17" s="6">
        <v>0</v>
      </c>
      <c r="U17" s="6">
        <v>0</v>
      </c>
      <c r="V17" s="6">
        <v>0</v>
      </c>
      <c r="W17" s="6">
        <v>0</v>
      </c>
      <c r="X17" s="6" t="b">
        <v>0</v>
      </c>
      <c r="Y17" s="6" t="b">
        <v>0</v>
      </c>
      <c r="Z17" s="6">
        <v>0</v>
      </c>
      <c r="AA17" s="6">
        <v>0</v>
      </c>
      <c r="AB17" s="6">
        <v>0</v>
      </c>
      <c r="AC17" s="6">
        <v>0</v>
      </c>
      <c r="AD17" s="6">
        <v>0</v>
      </c>
      <c r="AE17" s="6">
        <v>0</v>
      </c>
      <c r="AF17" s="6">
        <v>0</v>
      </c>
      <c r="AG17" s="6">
        <v>2</v>
      </c>
      <c r="AH17" s="6">
        <v>2</v>
      </c>
      <c r="AI17" s="6">
        <v>0</v>
      </c>
      <c r="AJ17" s="6">
        <v>1</v>
      </c>
      <c r="AK17" s="6" t="s">
        <v>153</v>
      </c>
      <c r="AL17" s="6">
        <v>0</v>
      </c>
      <c r="AM17" s="6" t="b">
        <v>0</v>
      </c>
      <c r="AN17" s="6" t="s">
        <v>153</v>
      </c>
      <c r="AO17" s="6" t="s">
        <v>1286</v>
      </c>
      <c r="AP17" s="6" t="s">
        <v>1262</v>
      </c>
      <c r="AQ17" s="6" t="b">
        <v>0</v>
      </c>
      <c r="AR17" s="6" t="b">
        <v>1</v>
      </c>
      <c r="AS17" s="6" t="b">
        <v>0</v>
      </c>
      <c r="AT17" s="6" t="s">
        <v>1262</v>
      </c>
      <c r="AU17" s="6" t="s">
        <v>1263</v>
      </c>
      <c r="BA17" t="str">
        <f t="shared" si="0"/>
        <v>insert into nm_RawMatchData values ('James', 'Open Circuits', 'Practice', 4, 'R3', 7850, 'Red Barge', 'No', 0, 0, 0, 0, 0, 0, 0, 0, 0, 0, 0, 0, 0, 'No', 'Froze with ~50 seconds left', 'x', 'No', 'x', 'No Card', '', null, null, null);</v>
      </c>
    </row>
    <row r="18" spans="1:56">
      <c r="A18" s="6" t="s">
        <v>1270</v>
      </c>
      <c r="B18" s="6" t="s">
        <v>1271</v>
      </c>
      <c r="C18" s="6" t="s">
        <v>0</v>
      </c>
      <c r="D18" s="6">
        <v>4</v>
      </c>
      <c r="E18" s="6" t="s">
        <v>1272</v>
      </c>
      <c r="F18" s="6">
        <v>3891</v>
      </c>
      <c r="G18" s="6" t="b">
        <v>0</v>
      </c>
      <c r="H18" s="6" t="s">
        <v>57</v>
      </c>
      <c r="I18" s="6" t="b">
        <v>1</v>
      </c>
      <c r="J18" s="6" t="b">
        <v>1</v>
      </c>
      <c r="K18" s="6">
        <v>0</v>
      </c>
      <c r="L18" s="6">
        <v>0</v>
      </c>
      <c r="M18" s="6">
        <v>0</v>
      </c>
      <c r="N18" s="6">
        <v>1</v>
      </c>
      <c r="O18" s="6">
        <v>0</v>
      </c>
      <c r="P18" s="6">
        <v>0</v>
      </c>
      <c r="Q18" s="6">
        <v>0</v>
      </c>
      <c r="R18" s="6">
        <v>0</v>
      </c>
      <c r="S18" s="6">
        <v>0</v>
      </c>
      <c r="T18" s="6">
        <v>0</v>
      </c>
      <c r="U18" s="6">
        <v>0</v>
      </c>
      <c r="V18" s="6">
        <v>0</v>
      </c>
      <c r="W18" s="6">
        <v>0</v>
      </c>
      <c r="X18" s="6" t="b">
        <v>1</v>
      </c>
      <c r="Y18" s="6" t="b">
        <v>0</v>
      </c>
      <c r="Z18" s="6">
        <v>4</v>
      </c>
      <c r="AA18" s="6">
        <v>3</v>
      </c>
      <c r="AB18" s="6">
        <v>0</v>
      </c>
      <c r="AC18" s="6">
        <v>0</v>
      </c>
      <c r="AD18" s="6">
        <v>0</v>
      </c>
      <c r="AE18" s="6">
        <v>0</v>
      </c>
      <c r="AF18" s="6">
        <v>0</v>
      </c>
      <c r="AG18" s="6">
        <v>0</v>
      </c>
      <c r="AH18" s="6">
        <v>0</v>
      </c>
      <c r="AI18" s="6">
        <v>0</v>
      </c>
      <c r="AJ18" s="6">
        <v>0</v>
      </c>
      <c r="AK18" s="6" t="s">
        <v>153</v>
      </c>
      <c r="AL18" s="6">
        <v>0</v>
      </c>
      <c r="AM18" s="6" t="b">
        <v>0</v>
      </c>
      <c r="AN18" s="6" t="s">
        <v>153</v>
      </c>
      <c r="AP18" s="6" t="s">
        <v>1262</v>
      </c>
      <c r="AQ18" s="6" t="b">
        <v>0</v>
      </c>
      <c r="AR18" s="6" t="b">
        <v>0</v>
      </c>
      <c r="AS18" s="6" t="b">
        <v>0</v>
      </c>
      <c r="AT18" s="6" t="s">
        <v>1262</v>
      </c>
      <c r="AU18" s="6" t="s">
        <v>1263</v>
      </c>
      <c r="BA18" t="str">
        <f t="shared" si="0"/>
        <v>insert into nm_RawMatchData values ('Samaya', 'MPArors', 'Practice', 4, 'R1', 3891, 'Blue Barge', 'Yes', 1, 0, 0, 0, 0, 0, 0, 0, 3, 0, 0, 0, 0, 'No', '', 'x', 'No', 'x', 'No Card', '', null, null, null);</v>
      </c>
    </row>
    <row r="19" spans="1:56">
      <c r="A19" s="6" t="s">
        <v>1274</v>
      </c>
      <c r="B19" s="6" t="s">
        <v>1271</v>
      </c>
      <c r="C19" s="6" t="s">
        <v>0</v>
      </c>
      <c r="D19" s="6">
        <v>4</v>
      </c>
      <c r="E19" s="6" t="s">
        <v>1259</v>
      </c>
      <c r="F19" s="6">
        <v>3745</v>
      </c>
      <c r="G19" s="6" t="b">
        <v>0</v>
      </c>
      <c r="H19" s="6" t="s">
        <v>1260</v>
      </c>
      <c r="I19" s="6" t="b">
        <v>1</v>
      </c>
      <c r="J19" s="6" t="b">
        <v>0</v>
      </c>
      <c r="K19" s="6">
        <v>0</v>
      </c>
      <c r="L19" s="6">
        <v>0</v>
      </c>
      <c r="M19" s="6">
        <v>0</v>
      </c>
      <c r="N19" s="6">
        <v>0</v>
      </c>
      <c r="O19" s="6">
        <v>0</v>
      </c>
      <c r="P19" s="6">
        <v>0</v>
      </c>
      <c r="Q19" s="6">
        <v>0</v>
      </c>
      <c r="R19" s="6">
        <v>1</v>
      </c>
      <c r="S19" s="6">
        <v>0</v>
      </c>
      <c r="T19" s="6">
        <v>0</v>
      </c>
      <c r="U19" s="6">
        <v>0</v>
      </c>
      <c r="V19" s="6">
        <v>0</v>
      </c>
      <c r="W19" s="6">
        <v>0</v>
      </c>
      <c r="X19" s="6" t="b">
        <v>1</v>
      </c>
      <c r="Y19" s="6" t="b">
        <v>0</v>
      </c>
      <c r="Z19" s="6">
        <v>0</v>
      </c>
      <c r="AA19" s="6">
        <v>0</v>
      </c>
      <c r="AB19" s="6">
        <v>0</v>
      </c>
      <c r="AC19" s="6">
        <v>0</v>
      </c>
      <c r="AD19" s="6">
        <v>0</v>
      </c>
      <c r="AE19" s="6">
        <v>0</v>
      </c>
      <c r="AF19" s="6">
        <v>0</v>
      </c>
      <c r="AG19" s="6">
        <v>0</v>
      </c>
      <c r="AH19" s="6">
        <v>0</v>
      </c>
      <c r="AI19" s="6">
        <v>0</v>
      </c>
      <c r="AJ19" s="6">
        <v>0</v>
      </c>
      <c r="AK19" s="6" t="s">
        <v>86</v>
      </c>
      <c r="AL19" s="6">
        <v>0</v>
      </c>
      <c r="AM19" s="6" t="b">
        <v>0</v>
      </c>
      <c r="AN19" s="6" t="s">
        <v>86</v>
      </c>
      <c r="AP19" s="6" t="s">
        <v>1262</v>
      </c>
      <c r="AQ19" s="6" t="b">
        <v>0</v>
      </c>
      <c r="AR19" s="6" t="b">
        <v>0</v>
      </c>
      <c r="AS19" s="6" t="b">
        <v>0</v>
      </c>
      <c r="AT19" s="6" t="s">
        <v>1262</v>
      </c>
      <c r="AU19" s="6" t="s">
        <v>1263</v>
      </c>
      <c r="BA19" t="str">
        <f t="shared" si="0"/>
        <v>insert into nm_RawMatchData values ('evelyn', 'MPArors', 'Practice', 4, 'R2', 3745, 'Red Barge', 'No', 0, 0, 0, 0, 0, 0, 0, 0, 0, 0, 0, 0, 0, 'P', '', 'x', 'No', 'x', 'No Card', '', null, null, null);</v>
      </c>
    </row>
    <row r="20" spans="1:56">
      <c r="A20" s="6" t="s">
        <v>1268</v>
      </c>
      <c r="B20" s="6" t="s">
        <v>1258</v>
      </c>
      <c r="C20" s="6" t="s">
        <v>0</v>
      </c>
      <c r="D20" s="6">
        <v>4</v>
      </c>
      <c r="E20" s="6" t="s">
        <v>1269</v>
      </c>
      <c r="F20" s="6">
        <v>3630</v>
      </c>
      <c r="G20" s="6" t="b">
        <v>0</v>
      </c>
      <c r="H20" s="6" t="s">
        <v>1260</v>
      </c>
      <c r="I20" s="6" t="b">
        <v>1</v>
      </c>
      <c r="J20" s="6" t="b">
        <v>1</v>
      </c>
      <c r="K20" s="6">
        <v>0</v>
      </c>
      <c r="L20" s="6">
        <v>0</v>
      </c>
      <c r="M20" s="6">
        <v>0</v>
      </c>
      <c r="N20" s="6">
        <v>0</v>
      </c>
      <c r="O20" s="6">
        <v>0</v>
      </c>
      <c r="P20" s="6">
        <v>0</v>
      </c>
      <c r="Q20" s="6">
        <v>0</v>
      </c>
      <c r="R20" s="6">
        <v>0</v>
      </c>
      <c r="S20" s="6">
        <v>0</v>
      </c>
      <c r="T20" s="6">
        <v>0</v>
      </c>
      <c r="U20" s="6">
        <v>0</v>
      </c>
      <c r="V20" s="6">
        <v>0</v>
      </c>
      <c r="W20" s="6">
        <v>0</v>
      </c>
      <c r="X20" s="6" t="b">
        <v>1</v>
      </c>
      <c r="Y20" s="6" t="b">
        <v>0</v>
      </c>
      <c r="Z20" s="6">
        <v>1</v>
      </c>
      <c r="AA20" s="6">
        <v>3</v>
      </c>
      <c r="AB20" s="6">
        <v>0</v>
      </c>
      <c r="AC20" s="6">
        <v>0</v>
      </c>
      <c r="AD20" s="6">
        <v>0</v>
      </c>
      <c r="AE20" s="6">
        <v>0</v>
      </c>
      <c r="AF20" s="6">
        <v>0</v>
      </c>
      <c r="AG20" s="6">
        <v>0</v>
      </c>
      <c r="AH20" s="6">
        <v>0</v>
      </c>
      <c r="AI20" s="6">
        <v>0</v>
      </c>
      <c r="AJ20" s="6">
        <v>0</v>
      </c>
      <c r="AK20" s="6" t="s">
        <v>85</v>
      </c>
      <c r="AL20" s="6">
        <v>0</v>
      </c>
      <c r="AM20" s="6" t="b">
        <v>0</v>
      </c>
      <c r="AN20" s="6" t="s">
        <v>85</v>
      </c>
      <c r="AP20" s="6" t="s">
        <v>1262</v>
      </c>
      <c r="AQ20" s="6" t="b">
        <v>0</v>
      </c>
      <c r="AR20" s="6" t="b">
        <v>0</v>
      </c>
      <c r="AS20" s="6" t="b">
        <v>0</v>
      </c>
      <c r="AT20" s="6" t="s">
        <v>1262</v>
      </c>
      <c r="AU20" s="6" t="s">
        <v>1263</v>
      </c>
      <c r="BA20" t="str">
        <f t="shared" si="0"/>
        <v>insert into nm_RawMatchData values ('Max', 'NoMythic', 'Practice', 4, 'B3', 3630, 'Red Barge', 'Yes', 0, 0, 0, 0, 0, 0, 0, 0, 3, 0, 0, 0, 0, 'Dc', '', 'x', 'No', 'x', 'No Card', '', null, null, null);</v>
      </c>
    </row>
    <row r="21" spans="1:56">
      <c r="A21" s="6" t="s">
        <v>1265</v>
      </c>
      <c r="B21" s="6" t="s">
        <v>1258</v>
      </c>
      <c r="C21" s="6" t="s">
        <v>0</v>
      </c>
      <c r="D21" s="6">
        <v>4</v>
      </c>
      <c r="E21" s="6" t="s">
        <v>1266</v>
      </c>
      <c r="F21" s="6">
        <v>2502</v>
      </c>
      <c r="G21" s="6" t="b">
        <v>0</v>
      </c>
      <c r="H21" s="6" t="s">
        <v>57</v>
      </c>
      <c r="I21" s="6" t="b">
        <v>1</v>
      </c>
      <c r="J21" s="6" t="b">
        <v>1</v>
      </c>
      <c r="K21" s="6">
        <v>0</v>
      </c>
      <c r="L21" s="6">
        <v>1</v>
      </c>
      <c r="M21" s="6">
        <v>0</v>
      </c>
      <c r="N21" s="6">
        <v>0</v>
      </c>
      <c r="O21" s="6">
        <v>0</v>
      </c>
      <c r="P21" s="6">
        <v>0</v>
      </c>
      <c r="Q21" s="6">
        <v>0</v>
      </c>
      <c r="R21" s="6">
        <v>1</v>
      </c>
      <c r="S21" s="6">
        <v>0</v>
      </c>
      <c r="T21" s="6">
        <v>0</v>
      </c>
      <c r="U21" s="6">
        <v>0</v>
      </c>
      <c r="V21" s="6">
        <v>0</v>
      </c>
      <c r="W21" s="6">
        <v>0</v>
      </c>
      <c r="X21" s="6" t="b">
        <v>1</v>
      </c>
      <c r="Y21" s="6" t="b">
        <v>0</v>
      </c>
      <c r="Z21" s="6">
        <v>4</v>
      </c>
      <c r="AA21" s="6">
        <v>6</v>
      </c>
      <c r="AB21" s="6">
        <v>0</v>
      </c>
      <c r="AC21" s="6">
        <v>0</v>
      </c>
      <c r="AD21" s="6">
        <v>0</v>
      </c>
      <c r="AE21" s="6">
        <v>0</v>
      </c>
      <c r="AF21" s="6">
        <v>0</v>
      </c>
      <c r="AG21" s="6">
        <v>0</v>
      </c>
      <c r="AH21" s="6">
        <v>0</v>
      </c>
      <c r="AI21" s="6">
        <v>2</v>
      </c>
      <c r="AJ21" s="6">
        <v>0</v>
      </c>
      <c r="AK21" s="6" t="s">
        <v>85</v>
      </c>
      <c r="AL21" s="6">
        <v>0</v>
      </c>
      <c r="AM21" s="6" t="b">
        <v>0</v>
      </c>
      <c r="AN21" s="6" t="s">
        <v>86</v>
      </c>
      <c r="AP21" s="6" t="s">
        <v>1262</v>
      </c>
      <c r="AQ21" s="6" t="b">
        <v>0</v>
      </c>
      <c r="AR21" s="6" t="b">
        <v>0</v>
      </c>
      <c r="AS21" s="6" t="b">
        <v>0</v>
      </c>
      <c r="AT21" s="6" t="s">
        <v>1262</v>
      </c>
      <c r="AU21" s="6" t="s">
        <v>1263</v>
      </c>
      <c r="AV21" s="6"/>
      <c r="AW21" s="6"/>
      <c r="AX21" s="6"/>
      <c r="AY21" s="6"/>
      <c r="AZ21" s="6"/>
      <c r="BA21" t="str">
        <f t="shared" si="0"/>
        <v>insert into nm_RawMatchData values ('Augie', 'NoMythic', 'Practice', 4, 'B1', 2502, 'Blue Barge', 'Yes', 0, 0, 0, 0, 0, 0, 0, 0, 6, 0, 0, 0, 0, 'P', '', 'x', 'No', 'x', 'No Card', '', null, null, null);</v>
      </c>
      <c r="BB21" s="6"/>
      <c r="BC21" s="6"/>
      <c r="BD21" s="6"/>
    </row>
    <row r="22" spans="1:56">
      <c r="A22" s="6" t="s">
        <v>1257</v>
      </c>
      <c r="B22" s="6" t="s">
        <v>1258</v>
      </c>
      <c r="C22" s="6" t="s">
        <v>0</v>
      </c>
      <c r="D22" s="6">
        <v>4</v>
      </c>
      <c r="E22" s="6" t="s">
        <v>1276</v>
      </c>
      <c r="F22" s="6">
        <v>3454</v>
      </c>
      <c r="G22" s="6" t="b">
        <v>0</v>
      </c>
      <c r="H22" s="6" t="s">
        <v>58</v>
      </c>
      <c r="I22" s="6" t="b">
        <v>1</v>
      </c>
      <c r="J22" s="6" t="b">
        <v>1</v>
      </c>
      <c r="K22" s="6">
        <v>0</v>
      </c>
      <c r="L22" s="6">
        <v>0</v>
      </c>
      <c r="M22" s="6">
        <v>0</v>
      </c>
      <c r="N22" s="6">
        <v>0</v>
      </c>
      <c r="O22" s="6">
        <v>0</v>
      </c>
      <c r="P22" s="6">
        <v>0</v>
      </c>
      <c r="Q22" s="6">
        <v>0</v>
      </c>
      <c r="R22" s="6">
        <v>0</v>
      </c>
      <c r="S22" s="6">
        <v>0</v>
      </c>
      <c r="T22" s="6">
        <v>0</v>
      </c>
      <c r="U22" s="6">
        <v>0</v>
      </c>
      <c r="V22" s="6">
        <v>0</v>
      </c>
      <c r="W22" s="6">
        <v>0</v>
      </c>
      <c r="X22" s="6" t="b">
        <v>1</v>
      </c>
      <c r="Y22" s="6" t="b">
        <v>0</v>
      </c>
      <c r="Z22" s="6">
        <v>2</v>
      </c>
      <c r="AA22" s="6">
        <v>1</v>
      </c>
      <c r="AB22" s="6">
        <v>0</v>
      </c>
      <c r="AC22" s="6">
        <v>0</v>
      </c>
      <c r="AD22" s="6">
        <v>1</v>
      </c>
      <c r="AE22" s="6">
        <v>0</v>
      </c>
      <c r="AF22" s="6">
        <v>0</v>
      </c>
      <c r="AG22" s="6">
        <v>0</v>
      </c>
      <c r="AH22" s="6">
        <v>0</v>
      </c>
      <c r="AI22" s="6">
        <v>0</v>
      </c>
      <c r="AJ22" s="6">
        <v>0</v>
      </c>
      <c r="AK22" s="6" t="s">
        <v>86</v>
      </c>
      <c r="AL22" s="6">
        <v>0</v>
      </c>
      <c r="AM22" s="6" t="b">
        <v>0</v>
      </c>
      <c r="AN22" s="6" t="s">
        <v>86</v>
      </c>
      <c r="AP22" s="6" t="s">
        <v>1262</v>
      </c>
      <c r="AQ22" s="6" t="b">
        <v>0</v>
      </c>
      <c r="AR22" s="6" t="b">
        <v>0</v>
      </c>
      <c r="AS22" s="6" t="b">
        <v>0</v>
      </c>
      <c r="AT22" s="6" t="s">
        <v>1262</v>
      </c>
      <c r="AU22" s="6" t="s">
        <v>1263</v>
      </c>
      <c r="AV22" s="6" t="s">
        <v>1287</v>
      </c>
      <c r="BA22" t="str">
        <f t="shared" si="0"/>
        <v>insert into nm_RawMatchData values ('Margo Zimmerman', 'NoMythic', 'Practice', 4, 'B2', 3454, 'Middle', 'Yes', 0, 0, 0, 0, 0, 0, 0, 0, 1, 0, 0, 1, 0, 'P', '', 'x', 'No', 'x', 'No Card', 'very slow elevator, unreliable intake.', null, null, null);</v>
      </c>
    </row>
    <row r="23" spans="1:56">
      <c r="A23" s="6" t="s">
        <v>1265</v>
      </c>
      <c r="B23" s="149" t="s">
        <v>1258</v>
      </c>
      <c r="C23" s="149" t="s">
        <v>0</v>
      </c>
      <c r="D23" s="150">
        <v>5</v>
      </c>
      <c r="E23" s="149" t="s">
        <v>1266</v>
      </c>
      <c r="F23" s="150">
        <v>3792</v>
      </c>
      <c r="G23" s="151" t="b">
        <v>0</v>
      </c>
      <c r="H23" s="149" t="s">
        <v>1260</v>
      </c>
      <c r="I23" s="151" t="b">
        <v>1</v>
      </c>
      <c r="J23" s="151" t="b">
        <v>0</v>
      </c>
      <c r="K23" s="150">
        <v>1</v>
      </c>
      <c r="L23" s="150">
        <v>0</v>
      </c>
      <c r="M23" s="150">
        <v>0</v>
      </c>
      <c r="N23" s="150">
        <v>0</v>
      </c>
      <c r="O23" s="150">
        <v>0</v>
      </c>
      <c r="P23" s="150">
        <v>0</v>
      </c>
      <c r="Q23" s="150">
        <v>1</v>
      </c>
      <c r="R23" s="150">
        <v>0</v>
      </c>
      <c r="S23" s="150">
        <v>0</v>
      </c>
      <c r="T23" s="150">
        <v>0</v>
      </c>
      <c r="U23" s="150">
        <v>0</v>
      </c>
      <c r="V23" s="150">
        <v>0</v>
      </c>
      <c r="W23" s="150">
        <v>0</v>
      </c>
      <c r="X23" s="151" t="b">
        <v>1</v>
      </c>
      <c r="Y23" s="151" t="b">
        <v>0</v>
      </c>
      <c r="Z23" s="150">
        <v>0</v>
      </c>
      <c r="AA23" s="150">
        <v>0</v>
      </c>
      <c r="AB23" s="150">
        <v>0</v>
      </c>
      <c r="AC23" s="150">
        <v>0</v>
      </c>
      <c r="AD23" s="150">
        <v>0</v>
      </c>
      <c r="AE23" s="150">
        <v>8</v>
      </c>
      <c r="AF23" s="150">
        <v>0</v>
      </c>
      <c r="AG23" s="150">
        <v>0</v>
      </c>
      <c r="AH23" s="150">
        <v>0</v>
      </c>
      <c r="AI23" s="150">
        <v>2</v>
      </c>
      <c r="AJ23" s="150">
        <v>8</v>
      </c>
      <c r="AK23" s="149" t="s">
        <v>85</v>
      </c>
      <c r="AL23" s="150">
        <v>0</v>
      </c>
      <c r="AM23" s="151" t="b">
        <v>1</v>
      </c>
      <c r="AN23" s="149" t="s">
        <v>85</v>
      </c>
      <c r="AO23" s="149"/>
      <c r="AP23" s="149" t="s">
        <v>1262</v>
      </c>
      <c r="AQ23" s="151" t="b">
        <v>1</v>
      </c>
      <c r="AR23" s="151" t="b">
        <v>0</v>
      </c>
      <c r="AS23" s="151" t="b">
        <v>0</v>
      </c>
      <c r="AT23" s="149" t="s">
        <v>1262</v>
      </c>
      <c r="AU23" s="149" t="s">
        <v>1263</v>
      </c>
      <c r="AV23" s="149" t="s">
        <v>1288</v>
      </c>
      <c r="AW23" s="149"/>
      <c r="AX23" s="149"/>
      <c r="AY23" s="149"/>
      <c r="AZ23" s="149"/>
      <c r="BA23" t="str">
        <f t="shared" si="0"/>
        <v>insert into nm_RawMatchData values ('Augie', 'NoMythic', 'Practice', 5, 'B1', 3792, 'Red Barge', 'No', 0, 0, 0, 1, 0, 0, 8, 0, 0, 0, 0, 0, 0, 'Dc', '', 'x', 'No', 'x', 'No Card', 'One of the most effective algae bots I have ever seen. ', null, null, null);</v>
      </c>
      <c r="BB23" s="149"/>
      <c r="BC23" s="149"/>
      <c r="BD23" s="149"/>
    </row>
    <row r="24" spans="1:56">
      <c r="A24" s="6" t="s">
        <v>1257</v>
      </c>
      <c r="B24" s="6" t="s">
        <v>1258</v>
      </c>
      <c r="C24" s="6" t="s">
        <v>0</v>
      </c>
      <c r="D24" s="6">
        <v>5</v>
      </c>
      <c r="E24" s="6" t="s">
        <v>1276</v>
      </c>
      <c r="F24" s="6">
        <v>2498</v>
      </c>
      <c r="G24" s="6" t="b">
        <v>0</v>
      </c>
      <c r="H24" s="6" t="s">
        <v>58</v>
      </c>
      <c r="I24" s="6" t="b">
        <v>1</v>
      </c>
      <c r="J24" s="6" t="b">
        <v>0</v>
      </c>
      <c r="K24" s="6">
        <v>0</v>
      </c>
      <c r="L24" s="6">
        <v>0</v>
      </c>
      <c r="M24" s="6">
        <v>0</v>
      </c>
      <c r="N24" s="6">
        <v>0</v>
      </c>
      <c r="O24" s="6">
        <v>0</v>
      </c>
      <c r="P24" s="6">
        <v>0</v>
      </c>
      <c r="Q24" s="6">
        <v>0</v>
      </c>
      <c r="R24" s="6">
        <v>0</v>
      </c>
      <c r="S24" s="6">
        <v>0</v>
      </c>
      <c r="T24" s="6">
        <v>0</v>
      </c>
      <c r="U24" s="6">
        <v>0</v>
      </c>
      <c r="V24" s="6">
        <v>0</v>
      </c>
      <c r="W24" s="6">
        <v>0</v>
      </c>
      <c r="X24" s="6" t="b">
        <v>1</v>
      </c>
      <c r="Y24" s="6" t="b">
        <v>0</v>
      </c>
      <c r="Z24" s="6">
        <v>3</v>
      </c>
      <c r="AA24" s="6">
        <v>0</v>
      </c>
      <c r="AB24" s="6">
        <v>0</v>
      </c>
      <c r="AC24" s="6">
        <v>0</v>
      </c>
      <c r="AD24" s="6">
        <v>0</v>
      </c>
      <c r="AE24" s="6">
        <v>0</v>
      </c>
      <c r="AF24" s="6">
        <v>0</v>
      </c>
      <c r="AG24" s="6">
        <v>0</v>
      </c>
      <c r="AH24" s="6">
        <v>0</v>
      </c>
      <c r="AI24" s="6">
        <v>0</v>
      </c>
      <c r="AJ24" s="6">
        <v>0</v>
      </c>
      <c r="AK24" s="6" t="s">
        <v>86</v>
      </c>
      <c r="AL24" s="6">
        <v>0</v>
      </c>
      <c r="AM24" s="6" t="b">
        <v>0</v>
      </c>
      <c r="AN24" s="6" t="s">
        <v>86</v>
      </c>
      <c r="AP24" s="6" t="s">
        <v>1262</v>
      </c>
      <c r="AQ24" s="6" t="b">
        <v>0</v>
      </c>
      <c r="AR24" s="6" t="b">
        <v>0</v>
      </c>
      <c r="AS24" s="6" t="b">
        <v>0</v>
      </c>
      <c r="AT24" s="6">
        <v>1</v>
      </c>
      <c r="AU24" s="6" t="s">
        <v>1263</v>
      </c>
      <c r="AV24" s="6" t="s">
        <v>1289</v>
      </c>
      <c r="BA24" t="str">
        <f t="shared" si="0"/>
        <v>insert into nm_RawMatchData values ('Margo Zimmerman', 'NoMythic', 'Practice', 5, 'B2', 2498, 'Middle', 'No', 0, 0, 0, 0, 0, 0, 0, 0, 0, 0, 0, 0, 0, 'P', '', 'x', 'No', '1', 'No Card', 'got a coral stuck in drivetrain mid match and had to go park', null, null, null);</v>
      </c>
    </row>
    <row r="25" spans="1:56">
      <c r="A25" s="152" t="s">
        <v>1274</v>
      </c>
      <c r="B25" s="152" t="s">
        <v>1271</v>
      </c>
      <c r="C25" s="152" t="s">
        <v>0</v>
      </c>
      <c r="D25" s="152">
        <v>5</v>
      </c>
      <c r="E25" s="152" t="s">
        <v>1259</v>
      </c>
      <c r="F25" s="152">
        <v>3297</v>
      </c>
      <c r="G25" s="152" t="b">
        <v>0</v>
      </c>
      <c r="H25" s="152" t="s">
        <v>57</v>
      </c>
      <c r="I25" s="152" t="b">
        <v>1</v>
      </c>
      <c r="J25" s="152" t="b">
        <v>1</v>
      </c>
      <c r="K25" s="152">
        <v>0</v>
      </c>
      <c r="L25" s="152">
        <v>0</v>
      </c>
      <c r="M25" s="152">
        <v>1</v>
      </c>
      <c r="N25" s="152">
        <v>1</v>
      </c>
      <c r="O25" s="152">
        <v>0</v>
      </c>
      <c r="P25" s="152">
        <v>0</v>
      </c>
      <c r="Q25" s="152">
        <v>0</v>
      </c>
      <c r="R25" s="152">
        <v>1</v>
      </c>
      <c r="S25" s="152">
        <v>0</v>
      </c>
      <c r="T25" s="152">
        <v>0</v>
      </c>
      <c r="U25" s="152">
        <v>0</v>
      </c>
      <c r="V25" s="152">
        <v>0</v>
      </c>
      <c r="W25" s="152">
        <v>0</v>
      </c>
      <c r="X25" s="152" t="b">
        <v>0</v>
      </c>
      <c r="Y25" s="152" t="b">
        <v>1</v>
      </c>
      <c r="Z25" s="152">
        <v>0</v>
      </c>
      <c r="AA25" s="152">
        <v>0</v>
      </c>
      <c r="AB25" s="152">
        <v>0</v>
      </c>
      <c r="AC25" s="152">
        <v>1</v>
      </c>
      <c r="AD25" s="152">
        <v>2</v>
      </c>
      <c r="AE25" s="152">
        <v>0</v>
      </c>
      <c r="AF25" s="152">
        <v>1</v>
      </c>
      <c r="AG25" s="152">
        <v>0</v>
      </c>
      <c r="AH25" s="152">
        <v>0</v>
      </c>
      <c r="AI25" s="152">
        <v>0</v>
      </c>
      <c r="AJ25" s="152">
        <v>0</v>
      </c>
      <c r="AK25" s="152" t="s">
        <v>153</v>
      </c>
      <c r="AL25" s="152">
        <v>0</v>
      </c>
      <c r="AM25" s="152" t="b">
        <v>0</v>
      </c>
      <c r="AN25" s="152" t="s">
        <v>153</v>
      </c>
      <c r="AO25" s="152"/>
      <c r="AP25" s="152" t="s">
        <v>1262</v>
      </c>
      <c r="AQ25" s="152" t="b">
        <v>0</v>
      </c>
      <c r="AR25" s="152" t="b">
        <v>0</v>
      </c>
      <c r="AS25" s="152" t="b">
        <v>0</v>
      </c>
      <c r="AT25" s="152">
        <v>3</v>
      </c>
      <c r="AU25" s="152" t="s">
        <v>1263</v>
      </c>
      <c r="AV25" s="152"/>
      <c r="AW25" s="152"/>
      <c r="AX25" s="152"/>
      <c r="AY25" s="152"/>
      <c r="AZ25" s="152"/>
      <c r="BA25" t="str">
        <f t="shared" si="0"/>
        <v>insert into nm_RawMatchData values ('evelyn', 'MPArors', 'Practice', 5, 'R2', 3297, 'Blue Barge', 'Yes', 1, 0, 0, 0, 0, 0, 0, 1, 0, 0, 1, 2, 0, 'No', '', 'x', 'No', '3', 'No Card', '', null, null, null);</v>
      </c>
      <c r="BB25" s="152"/>
      <c r="BC25" s="152"/>
      <c r="BD25" s="152"/>
    </row>
    <row r="26" spans="1:56">
      <c r="A26" s="6" t="s">
        <v>1268</v>
      </c>
      <c r="B26" s="6" t="s">
        <v>1258</v>
      </c>
      <c r="C26" s="6" t="s">
        <v>0</v>
      </c>
      <c r="D26" s="6">
        <v>5</v>
      </c>
      <c r="E26" s="6" t="s">
        <v>1269</v>
      </c>
      <c r="F26" s="6">
        <v>2549</v>
      </c>
      <c r="G26" s="6" t="b">
        <v>0</v>
      </c>
      <c r="H26" s="6" t="s">
        <v>57</v>
      </c>
      <c r="I26" s="6" t="b">
        <v>1</v>
      </c>
      <c r="J26" s="6" t="b">
        <v>0</v>
      </c>
      <c r="K26" s="6">
        <v>0</v>
      </c>
      <c r="L26" s="6">
        <v>0</v>
      </c>
      <c r="M26" s="6">
        <v>0</v>
      </c>
      <c r="N26" s="6">
        <v>0</v>
      </c>
      <c r="O26" s="6">
        <v>0</v>
      </c>
      <c r="P26" s="6">
        <v>0</v>
      </c>
      <c r="Q26" s="6">
        <v>0</v>
      </c>
      <c r="R26" s="6">
        <v>0</v>
      </c>
      <c r="S26" s="6">
        <v>0</v>
      </c>
      <c r="T26" s="6">
        <v>0</v>
      </c>
      <c r="U26" s="6">
        <v>0</v>
      </c>
      <c r="V26" s="6">
        <v>0</v>
      </c>
      <c r="W26" s="6">
        <v>0</v>
      </c>
      <c r="X26" s="6" t="b">
        <v>0</v>
      </c>
      <c r="Y26" s="6" t="b">
        <v>0</v>
      </c>
      <c r="Z26" s="6">
        <v>0</v>
      </c>
      <c r="AA26" s="6">
        <v>0</v>
      </c>
      <c r="AB26" s="6">
        <v>0</v>
      </c>
      <c r="AC26" s="6">
        <v>0</v>
      </c>
      <c r="AD26" s="6">
        <v>0</v>
      </c>
      <c r="AE26" s="6">
        <v>0</v>
      </c>
      <c r="AF26" s="6">
        <v>0</v>
      </c>
      <c r="AG26" s="6">
        <v>0</v>
      </c>
      <c r="AH26" s="6">
        <v>0</v>
      </c>
      <c r="AI26" s="6">
        <v>0</v>
      </c>
      <c r="AJ26" s="6">
        <v>0</v>
      </c>
      <c r="AK26" s="6" t="s">
        <v>153</v>
      </c>
      <c r="AL26" s="6">
        <v>0</v>
      </c>
      <c r="AM26" s="6" t="b">
        <v>0</v>
      </c>
      <c r="AN26" s="6" t="s">
        <v>86</v>
      </c>
      <c r="AP26" s="6" t="s">
        <v>1262</v>
      </c>
      <c r="AQ26" s="6" t="b">
        <v>0</v>
      </c>
      <c r="AR26" s="6" t="b">
        <v>1</v>
      </c>
      <c r="AS26" s="6" t="b">
        <v>0</v>
      </c>
      <c r="AT26" s="6" t="s">
        <v>1262</v>
      </c>
      <c r="AU26" s="6" t="s">
        <v>1263</v>
      </c>
      <c r="BA26" t="str">
        <f t="shared" si="0"/>
        <v>insert into nm_RawMatchData values ('Max', 'NoMythic', 'Practice', 5, 'B3', 2549, 'Blue Barge', 'No', 0, 0, 0, 0, 0, 0, 0, 0, 0, 0, 0, 0, 0, 'P', '', 'x', 'No', 'x', 'No Card', '', null, null, null);</v>
      </c>
    </row>
    <row r="27" spans="1:56">
      <c r="A27" s="6" t="s">
        <v>1270</v>
      </c>
      <c r="B27" s="6" t="s">
        <v>1271</v>
      </c>
      <c r="C27" s="6" t="s">
        <v>0</v>
      </c>
      <c r="D27" s="6">
        <v>5</v>
      </c>
      <c r="E27" s="6" t="s">
        <v>1272</v>
      </c>
      <c r="F27" s="6">
        <v>8570</v>
      </c>
      <c r="G27" s="6" t="b">
        <v>0</v>
      </c>
      <c r="H27" s="6" t="s">
        <v>1260</v>
      </c>
      <c r="I27" s="6" t="b">
        <v>1</v>
      </c>
      <c r="J27" s="6" t="b">
        <v>1</v>
      </c>
      <c r="K27" s="6">
        <v>2</v>
      </c>
      <c r="L27" s="6">
        <v>0</v>
      </c>
      <c r="M27" s="6">
        <v>0</v>
      </c>
      <c r="N27" s="6">
        <v>0</v>
      </c>
      <c r="O27" s="6">
        <v>0</v>
      </c>
      <c r="P27" s="6">
        <v>0</v>
      </c>
      <c r="Q27" s="6">
        <v>2</v>
      </c>
      <c r="R27" s="6">
        <v>1</v>
      </c>
      <c r="S27" s="6">
        <v>0</v>
      </c>
      <c r="T27" s="6">
        <v>0</v>
      </c>
      <c r="U27" s="6">
        <v>0</v>
      </c>
      <c r="V27" s="6">
        <v>0</v>
      </c>
      <c r="W27" s="6">
        <v>0</v>
      </c>
      <c r="X27" s="6" t="b">
        <v>1</v>
      </c>
      <c r="Y27" s="6" t="b">
        <v>0</v>
      </c>
      <c r="Z27" s="6">
        <v>0</v>
      </c>
      <c r="AA27" s="6">
        <v>0</v>
      </c>
      <c r="AB27" s="6">
        <v>0</v>
      </c>
      <c r="AC27" s="6">
        <v>1</v>
      </c>
      <c r="AD27" s="6">
        <v>0</v>
      </c>
      <c r="AE27" s="6">
        <v>3</v>
      </c>
      <c r="AF27" s="6">
        <v>0</v>
      </c>
      <c r="AG27" s="6">
        <v>0</v>
      </c>
      <c r="AH27" s="6">
        <v>0</v>
      </c>
      <c r="AI27" s="6">
        <v>0</v>
      </c>
      <c r="AJ27" s="6">
        <v>3</v>
      </c>
      <c r="AK27" s="6" t="s">
        <v>85</v>
      </c>
      <c r="AL27" s="6">
        <v>0</v>
      </c>
      <c r="AM27" s="6" t="b">
        <v>0</v>
      </c>
      <c r="AN27" s="6" t="s">
        <v>85</v>
      </c>
      <c r="AP27" s="6" t="s">
        <v>1262</v>
      </c>
      <c r="AQ27" s="6" t="b">
        <v>0</v>
      </c>
      <c r="AR27" s="6" t="b">
        <v>0</v>
      </c>
      <c r="AS27" s="6" t="b">
        <v>0</v>
      </c>
      <c r="AT27" s="6" t="s">
        <v>1262</v>
      </c>
      <c r="AU27" s="6" t="s">
        <v>1263</v>
      </c>
      <c r="BA27" t="str">
        <f t="shared" si="0"/>
        <v>insert into nm_RawMatchData values ('Samaya', 'MPArors', 'Practice', 5, 'R1', 8570, 'Red Barge', 'Yes', 0, 0, 0, 2, 0, 0, 3, 0, 0, 0, 1, 0, 0, 'Dc', '', 'x', 'No', 'x', 'No Card', '', null, null, null);</v>
      </c>
    </row>
    <row r="28" spans="1:56">
      <c r="A28" s="6" t="s">
        <v>1279</v>
      </c>
      <c r="B28" s="6" t="s">
        <v>1280</v>
      </c>
      <c r="C28" s="6" t="s">
        <v>0</v>
      </c>
      <c r="D28" s="6">
        <v>5</v>
      </c>
      <c r="E28" s="6" t="s">
        <v>1281</v>
      </c>
      <c r="F28" s="6">
        <v>2667</v>
      </c>
      <c r="G28" s="6" t="b">
        <v>0</v>
      </c>
      <c r="H28" s="6" t="s">
        <v>58</v>
      </c>
      <c r="I28" s="6" t="b">
        <v>0</v>
      </c>
      <c r="J28" s="6" t="b">
        <v>0</v>
      </c>
      <c r="K28" s="6">
        <v>0</v>
      </c>
      <c r="L28" s="6">
        <v>0</v>
      </c>
      <c r="M28" s="6">
        <v>0</v>
      </c>
      <c r="N28" s="6">
        <v>0</v>
      </c>
      <c r="O28" s="6">
        <v>0</v>
      </c>
      <c r="P28" s="6">
        <v>0</v>
      </c>
      <c r="Q28" s="6">
        <v>0</v>
      </c>
      <c r="R28" s="6">
        <v>0</v>
      </c>
      <c r="S28" s="6">
        <v>0</v>
      </c>
      <c r="T28" s="6">
        <v>0</v>
      </c>
      <c r="U28" s="6">
        <v>0</v>
      </c>
      <c r="V28" s="6">
        <v>0</v>
      </c>
      <c r="W28" s="6">
        <v>0</v>
      </c>
      <c r="X28" s="6" t="b">
        <v>0</v>
      </c>
      <c r="Y28" s="6" t="b">
        <v>0</v>
      </c>
      <c r="Z28" s="6">
        <v>0</v>
      </c>
      <c r="AA28" s="6">
        <v>0</v>
      </c>
      <c r="AB28" s="6">
        <v>0</v>
      </c>
      <c r="AC28" s="6">
        <v>0</v>
      </c>
      <c r="AD28" s="6">
        <v>0</v>
      </c>
      <c r="AE28" s="6">
        <v>1</v>
      </c>
      <c r="AF28" s="6">
        <v>2</v>
      </c>
      <c r="AG28" s="6">
        <v>0</v>
      </c>
      <c r="AH28" s="6">
        <v>2</v>
      </c>
      <c r="AI28" s="6">
        <v>1</v>
      </c>
      <c r="AJ28" s="6">
        <v>1</v>
      </c>
      <c r="AK28" s="6" t="s">
        <v>86</v>
      </c>
      <c r="AL28" s="6">
        <v>0</v>
      </c>
      <c r="AM28" s="6" t="b">
        <v>0</v>
      </c>
      <c r="AN28" s="6" t="s">
        <v>86</v>
      </c>
      <c r="AO28" s="6" t="s">
        <v>1290</v>
      </c>
      <c r="AP28" s="6" t="s">
        <v>1262</v>
      </c>
      <c r="AQ28" s="6" t="b">
        <v>1</v>
      </c>
      <c r="AR28" s="6" t="b">
        <v>0</v>
      </c>
      <c r="AS28" s="6" t="b">
        <v>0</v>
      </c>
      <c r="AT28" s="6" t="s">
        <v>1262</v>
      </c>
      <c r="AU28" s="6" t="s">
        <v>1263</v>
      </c>
      <c r="BA28" t="str">
        <f t="shared" si="0"/>
        <v>insert into nm_RawMatchData values ('James', 'Open Circuits', 'Practice', 5, 'R3', 2667, 'Middle', 'No', 0, 0, 0, 0, 0, 0, 1, 2, 0, 0, 0, 0, 0, 'P', 'No auto phase', 'x', 'No', 'x', 'No Card', '', null, null, null);</v>
      </c>
    </row>
    <row r="29" spans="1:56">
      <c r="A29" s="6" t="s">
        <v>1291</v>
      </c>
      <c r="B29" s="6" t="s">
        <v>1258</v>
      </c>
      <c r="C29" s="6" t="s">
        <v>0</v>
      </c>
      <c r="D29" s="6">
        <v>6</v>
      </c>
      <c r="E29" s="6" t="s">
        <v>1276</v>
      </c>
      <c r="F29" s="6">
        <v>3082</v>
      </c>
      <c r="G29" s="6" t="b">
        <v>0</v>
      </c>
      <c r="H29" s="6" t="s">
        <v>1260</v>
      </c>
      <c r="I29" s="6" t="b">
        <v>1</v>
      </c>
      <c r="J29" s="6" t="b">
        <v>1</v>
      </c>
      <c r="K29" s="6">
        <v>2</v>
      </c>
      <c r="L29" s="6">
        <v>0</v>
      </c>
      <c r="M29" s="6">
        <v>0</v>
      </c>
      <c r="N29" s="6">
        <v>2</v>
      </c>
      <c r="O29" s="6">
        <v>0</v>
      </c>
      <c r="P29" s="6">
        <v>0</v>
      </c>
      <c r="Q29" s="6">
        <v>0</v>
      </c>
      <c r="R29" s="6">
        <v>1</v>
      </c>
      <c r="S29" s="6">
        <v>0</v>
      </c>
      <c r="T29" s="6">
        <v>0</v>
      </c>
      <c r="U29" s="6">
        <v>0</v>
      </c>
      <c r="V29" s="6">
        <v>0</v>
      </c>
      <c r="W29" s="6">
        <v>0</v>
      </c>
      <c r="X29" s="6" t="b">
        <v>1</v>
      </c>
      <c r="Y29" s="6" t="b">
        <v>0</v>
      </c>
      <c r="Z29" s="6">
        <v>0</v>
      </c>
      <c r="AA29" s="6">
        <v>4</v>
      </c>
      <c r="AB29" s="6">
        <v>0</v>
      </c>
      <c r="AC29" s="6">
        <v>0</v>
      </c>
      <c r="AD29" s="6">
        <v>0</v>
      </c>
      <c r="AE29" s="6">
        <v>0</v>
      </c>
      <c r="AF29" s="6">
        <v>0</v>
      </c>
      <c r="AG29" s="6">
        <v>0</v>
      </c>
      <c r="AH29" s="6">
        <v>0</v>
      </c>
      <c r="AI29" s="6">
        <v>0</v>
      </c>
      <c r="AJ29" s="6">
        <v>0</v>
      </c>
      <c r="AK29" s="6" t="s">
        <v>86</v>
      </c>
      <c r="AL29" s="6">
        <v>0</v>
      </c>
      <c r="AM29" s="6" t="b">
        <v>0</v>
      </c>
      <c r="AN29" s="6" t="s">
        <v>86</v>
      </c>
      <c r="AP29" s="6">
        <v>2</v>
      </c>
      <c r="AQ29" s="6" t="b">
        <v>1</v>
      </c>
      <c r="AR29" s="6" t="b">
        <v>0</v>
      </c>
      <c r="AS29" s="6" t="b">
        <v>0</v>
      </c>
      <c r="AT29" s="6" t="s">
        <v>1262</v>
      </c>
      <c r="AU29" s="6" t="s">
        <v>1263</v>
      </c>
      <c r="AV29" s="6" t="s">
        <v>1292</v>
      </c>
      <c r="BA29" t="str">
        <f t="shared" si="0"/>
        <v>insert into nm_RawMatchData values ('Erik', 'NoMythic', 'Practice', 6, 'B2', 3082, 'Red Barge', 'Yes', 2, 0, 0, 0, 0, 0, 0, 0, 4, 0, 0, 0, 0, 'P', '', '2', 'No', 'x', 'No Card', 'very good auto', null, null, null);</v>
      </c>
    </row>
    <row r="30" spans="1:56">
      <c r="A30" s="6" t="s">
        <v>1265</v>
      </c>
      <c r="B30" s="6" t="s">
        <v>1258</v>
      </c>
      <c r="C30" s="6" t="s">
        <v>0</v>
      </c>
      <c r="D30" s="6">
        <v>6</v>
      </c>
      <c r="E30" s="6" t="s">
        <v>1266</v>
      </c>
      <c r="F30" s="6">
        <v>2491</v>
      </c>
      <c r="G30" s="6" t="b">
        <v>0</v>
      </c>
      <c r="H30" s="6" t="s">
        <v>57</v>
      </c>
      <c r="I30" s="6" t="b">
        <v>1</v>
      </c>
      <c r="J30" s="6" t="b">
        <v>1</v>
      </c>
      <c r="K30" s="6">
        <v>0</v>
      </c>
      <c r="L30" s="6">
        <v>2</v>
      </c>
      <c r="M30" s="6">
        <v>0</v>
      </c>
      <c r="N30" s="6">
        <v>1</v>
      </c>
      <c r="O30" s="6">
        <v>0</v>
      </c>
      <c r="P30" s="6">
        <v>0</v>
      </c>
      <c r="Q30" s="6">
        <v>0</v>
      </c>
      <c r="R30" s="6">
        <v>2</v>
      </c>
      <c r="S30" s="6">
        <v>0</v>
      </c>
      <c r="T30" s="6">
        <v>0</v>
      </c>
      <c r="U30" s="6">
        <v>0</v>
      </c>
      <c r="V30" s="6">
        <v>0</v>
      </c>
      <c r="W30" s="6">
        <v>0</v>
      </c>
      <c r="X30" s="6" t="b">
        <v>1</v>
      </c>
      <c r="Y30" s="6" t="b">
        <v>0</v>
      </c>
      <c r="Z30" s="6">
        <v>4</v>
      </c>
      <c r="AA30" s="6">
        <v>1</v>
      </c>
      <c r="AB30" s="6">
        <v>1</v>
      </c>
      <c r="AC30" s="6">
        <v>1</v>
      </c>
      <c r="AD30" s="6">
        <v>2</v>
      </c>
      <c r="AE30" s="6">
        <v>0</v>
      </c>
      <c r="AF30" s="6">
        <v>1</v>
      </c>
      <c r="AG30" s="6">
        <v>0</v>
      </c>
      <c r="AH30" s="6">
        <v>1</v>
      </c>
      <c r="AI30" s="6">
        <v>0</v>
      </c>
      <c r="AJ30" s="6">
        <v>0</v>
      </c>
      <c r="AK30" s="6" t="s">
        <v>85</v>
      </c>
      <c r="AL30" s="6">
        <v>0</v>
      </c>
      <c r="AM30" s="6" t="b">
        <v>0</v>
      </c>
      <c r="AN30" s="6" t="s">
        <v>85</v>
      </c>
      <c r="AO30" s="6" t="s">
        <v>1293</v>
      </c>
      <c r="AP30" s="6" t="s">
        <v>1262</v>
      </c>
      <c r="AQ30" s="6" t="b">
        <v>0</v>
      </c>
      <c r="AR30" s="6" t="b">
        <v>0</v>
      </c>
      <c r="AS30" s="6" t="b">
        <v>0</v>
      </c>
      <c r="AT30" s="6" t="s">
        <v>1262</v>
      </c>
      <c r="AU30" s="6" t="s">
        <v>1263</v>
      </c>
      <c r="AV30" s="6" t="s">
        <v>1294</v>
      </c>
      <c r="BA30" t="str">
        <f t="shared" si="0"/>
        <v>insert into nm_RawMatchData values ('Augie', 'NoMythic', 'Practice', 6, 'B1', 2491, 'Blue Barge', 'Yes', 1, 0, 0, 0, 0, 0, 0, 1, 1, 1, 1, 2, 0, 'Dc', 'YESSSSSSSSSSSSS!', 'x', 'No', 'x', 'No Card', 'TWO! FOUR! NINE! ONE! NOMYTHIC!', null, null, null);</v>
      </c>
    </row>
    <row r="31" spans="1:56">
      <c r="A31" s="6" t="s">
        <v>1268</v>
      </c>
      <c r="B31" s="6" t="s">
        <v>1258</v>
      </c>
      <c r="C31" s="6" t="s">
        <v>0</v>
      </c>
      <c r="D31" s="6">
        <v>6</v>
      </c>
      <c r="E31" s="6" t="s">
        <v>1269</v>
      </c>
      <c r="F31" s="6">
        <v>4225</v>
      </c>
      <c r="G31" s="6" t="b">
        <v>0</v>
      </c>
      <c r="H31" s="6" t="s">
        <v>58</v>
      </c>
      <c r="I31" s="6" t="b">
        <v>1</v>
      </c>
      <c r="J31" s="6" t="b">
        <v>1</v>
      </c>
      <c r="K31" s="6">
        <v>0</v>
      </c>
      <c r="L31" s="6">
        <v>0</v>
      </c>
      <c r="M31" s="6">
        <v>0</v>
      </c>
      <c r="N31" s="6">
        <v>0</v>
      </c>
      <c r="O31" s="6">
        <v>0</v>
      </c>
      <c r="P31" s="6">
        <v>0</v>
      </c>
      <c r="Q31" s="6">
        <v>0</v>
      </c>
      <c r="R31" s="6">
        <v>0</v>
      </c>
      <c r="S31" s="6">
        <v>0</v>
      </c>
      <c r="T31" s="6">
        <v>0</v>
      </c>
      <c r="U31" s="6">
        <v>0</v>
      </c>
      <c r="V31" s="6">
        <v>0</v>
      </c>
      <c r="W31" s="6">
        <v>0</v>
      </c>
      <c r="X31" s="6" t="b">
        <v>1</v>
      </c>
      <c r="Y31" s="6" t="b">
        <v>0</v>
      </c>
      <c r="Z31" s="6">
        <v>3</v>
      </c>
      <c r="AA31" s="6">
        <v>0</v>
      </c>
      <c r="AB31" s="6">
        <v>0</v>
      </c>
      <c r="AC31" s="6">
        <v>0</v>
      </c>
      <c r="AD31" s="6">
        <v>1</v>
      </c>
      <c r="AE31" s="6">
        <v>0</v>
      </c>
      <c r="AF31" s="6">
        <v>0</v>
      </c>
      <c r="AG31" s="6">
        <v>0</v>
      </c>
      <c r="AH31" s="6">
        <v>0</v>
      </c>
      <c r="AI31" s="6">
        <v>0</v>
      </c>
      <c r="AJ31" s="6">
        <v>0</v>
      </c>
      <c r="AK31" s="6" t="s">
        <v>86</v>
      </c>
      <c r="AL31" s="6">
        <v>0</v>
      </c>
      <c r="AM31" s="6" t="b">
        <v>0</v>
      </c>
      <c r="AN31" s="6" t="s">
        <v>86</v>
      </c>
      <c r="AP31" s="6" t="s">
        <v>1262</v>
      </c>
      <c r="AQ31" s="6" t="b">
        <v>0</v>
      </c>
      <c r="AR31" s="6" t="b">
        <v>0</v>
      </c>
      <c r="AS31" s="6" t="b">
        <v>0</v>
      </c>
      <c r="AT31" s="6" t="s">
        <v>1262</v>
      </c>
      <c r="AU31" s="6" t="s">
        <v>1263</v>
      </c>
      <c r="BA31" t="str">
        <f t="shared" si="0"/>
        <v>insert into nm_RawMatchData values ('Max', 'NoMythic', 'Practice', 6, 'B3', 4225, 'Middle', 'Yes', 0, 0, 0, 0, 0, 0, 0, 0, 0, 0, 0, 1, 0, 'P', '', 'x', 'No', 'x', 'No Card', '', null, null, null);</v>
      </c>
    </row>
    <row r="32" spans="1:56">
      <c r="A32" s="6" t="s">
        <v>1279</v>
      </c>
      <c r="B32" s="6" t="s">
        <v>1280</v>
      </c>
      <c r="C32" s="6" t="s">
        <v>0</v>
      </c>
      <c r="D32" s="6">
        <v>6</v>
      </c>
      <c r="E32" s="6" t="s">
        <v>1281</v>
      </c>
      <c r="F32" s="6">
        <v>4778</v>
      </c>
      <c r="G32" s="6" t="b">
        <v>0</v>
      </c>
      <c r="H32" s="6" t="s">
        <v>57</v>
      </c>
      <c r="I32" s="6" t="b">
        <v>0</v>
      </c>
      <c r="J32" s="6" t="b">
        <v>1</v>
      </c>
      <c r="K32" s="6">
        <v>0</v>
      </c>
      <c r="L32" s="6">
        <v>0</v>
      </c>
      <c r="M32" s="6">
        <v>0</v>
      </c>
      <c r="N32" s="6">
        <v>0</v>
      </c>
      <c r="O32" s="6">
        <v>0</v>
      </c>
      <c r="P32" s="6">
        <v>0</v>
      </c>
      <c r="Q32" s="6">
        <v>0</v>
      </c>
      <c r="R32" s="6">
        <v>0</v>
      </c>
      <c r="S32" s="6">
        <v>0</v>
      </c>
      <c r="T32" s="6">
        <v>0</v>
      </c>
      <c r="U32" s="6">
        <v>0</v>
      </c>
      <c r="V32" s="6">
        <v>0</v>
      </c>
      <c r="W32" s="6">
        <v>1</v>
      </c>
      <c r="X32" s="6" t="b">
        <v>0</v>
      </c>
      <c r="Y32" s="6" t="b">
        <v>0</v>
      </c>
      <c r="Z32" s="6">
        <v>0</v>
      </c>
      <c r="AA32" s="6">
        <v>0</v>
      </c>
      <c r="AB32" s="6">
        <v>0</v>
      </c>
      <c r="AC32" s="6">
        <v>0</v>
      </c>
      <c r="AD32" s="6">
        <v>0</v>
      </c>
      <c r="AE32" s="6">
        <v>0</v>
      </c>
      <c r="AF32" s="6">
        <v>0</v>
      </c>
      <c r="AG32" s="6">
        <v>0</v>
      </c>
      <c r="AH32" s="6">
        <v>0</v>
      </c>
      <c r="AI32" s="6">
        <v>1</v>
      </c>
      <c r="AJ32" s="6">
        <v>0</v>
      </c>
      <c r="AK32" s="6" t="s">
        <v>86</v>
      </c>
      <c r="AL32" s="6">
        <v>0</v>
      </c>
      <c r="AM32" s="6" t="b">
        <v>0</v>
      </c>
      <c r="AN32" s="6" t="s">
        <v>86</v>
      </c>
      <c r="AO32" s="6" t="s">
        <v>1295</v>
      </c>
      <c r="AP32" s="6" t="s">
        <v>1262</v>
      </c>
      <c r="AQ32" s="6" t="b">
        <v>0</v>
      </c>
      <c r="AR32" s="6" t="b">
        <v>1</v>
      </c>
      <c r="AS32" s="6" t="b">
        <v>0</v>
      </c>
      <c r="AT32" s="6" t="s">
        <v>1262</v>
      </c>
      <c r="AU32" s="6" t="s">
        <v>1263</v>
      </c>
      <c r="BA32" t="str">
        <f t="shared" si="0"/>
        <v>insert into nm_RawMatchData values ('James', 'Open Circuits', 'Practice', 6, 'R3', 4778, 'Blue Barge', 'Yes', 0, 0, 0, 0, 0, 0, 0, 0, 0, 0, 0, 0, 0, 'P', 'Parked in the barge about half way through the match', 'x', 'No', 'x', 'No Card', '', null, null, null);</v>
      </c>
    </row>
    <row r="33" spans="1:56">
      <c r="A33" s="6" t="s">
        <v>1270</v>
      </c>
      <c r="B33" s="6" t="s">
        <v>1271</v>
      </c>
      <c r="C33" s="6" t="s">
        <v>0</v>
      </c>
      <c r="D33" s="6">
        <v>6</v>
      </c>
      <c r="E33" s="6" t="s">
        <v>1272</v>
      </c>
      <c r="F33" s="6">
        <v>2472</v>
      </c>
      <c r="G33" s="6" t="b">
        <v>0</v>
      </c>
      <c r="H33" s="6" t="s">
        <v>1260</v>
      </c>
      <c r="I33" s="6" t="b">
        <v>1</v>
      </c>
      <c r="J33" s="6" t="b">
        <v>0</v>
      </c>
      <c r="K33" s="6">
        <v>0</v>
      </c>
      <c r="L33" s="6">
        <v>0</v>
      </c>
      <c r="M33" s="6">
        <v>0</v>
      </c>
      <c r="N33" s="6">
        <v>0</v>
      </c>
      <c r="O33" s="6">
        <v>0</v>
      </c>
      <c r="P33" s="6">
        <v>0</v>
      </c>
      <c r="Q33" s="6">
        <v>0</v>
      </c>
      <c r="R33" s="6">
        <v>1</v>
      </c>
      <c r="S33" s="6">
        <v>0</v>
      </c>
      <c r="T33" s="6">
        <v>0</v>
      </c>
      <c r="U33" s="6">
        <v>0</v>
      </c>
      <c r="V33" s="6">
        <v>0</v>
      </c>
      <c r="W33" s="6">
        <v>0</v>
      </c>
      <c r="X33" s="6" t="b">
        <v>1</v>
      </c>
      <c r="Y33" s="6" t="b">
        <v>0</v>
      </c>
      <c r="Z33" s="6">
        <v>5</v>
      </c>
      <c r="AA33" s="6">
        <v>8</v>
      </c>
      <c r="AB33" s="6">
        <v>0</v>
      </c>
      <c r="AC33" s="6">
        <v>0</v>
      </c>
      <c r="AD33" s="6">
        <v>0</v>
      </c>
      <c r="AE33" s="6">
        <v>1</v>
      </c>
      <c r="AF33" s="6">
        <v>0</v>
      </c>
      <c r="AG33" s="6">
        <v>0</v>
      </c>
      <c r="AH33" s="6">
        <v>0</v>
      </c>
      <c r="AI33" s="6">
        <v>0</v>
      </c>
      <c r="AJ33" s="6">
        <v>1</v>
      </c>
      <c r="AK33" s="6" t="s">
        <v>86</v>
      </c>
      <c r="AL33" s="6">
        <v>0</v>
      </c>
      <c r="AM33" s="6" t="b">
        <v>0</v>
      </c>
      <c r="AN33" s="6" t="s">
        <v>153</v>
      </c>
      <c r="AP33" s="6" t="s">
        <v>1262</v>
      </c>
      <c r="AQ33" s="6" t="b">
        <v>0</v>
      </c>
      <c r="AR33" s="6" t="b">
        <v>0</v>
      </c>
      <c r="AS33" s="6" t="b">
        <v>0</v>
      </c>
      <c r="AT33" s="6" t="s">
        <v>1262</v>
      </c>
      <c r="AU33" s="6" t="s">
        <v>1263</v>
      </c>
      <c r="BA33" t="str">
        <f t="shared" si="0"/>
        <v>insert into nm_RawMatchData values ('Samaya', 'MPArors', 'Practice', 6, 'R1', 2472, 'Red Barge', 'No', 0, 0, 0, 0, 0, 0, 1, 0, 8, 0, 0, 0, 0, 'No', '', 'x', 'No', 'x', 'No Card', '', null, null, null);</v>
      </c>
    </row>
    <row r="34" spans="1:56">
      <c r="A34" s="6" t="s">
        <v>1274</v>
      </c>
      <c r="B34" s="6" t="s">
        <v>1271</v>
      </c>
      <c r="C34" s="6" t="s">
        <v>0</v>
      </c>
      <c r="D34" s="6">
        <v>6</v>
      </c>
      <c r="E34" s="6" t="s">
        <v>1259</v>
      </c>
      <c r="F34" s="6">
        <v>4663</v>
      </c>
      <c r="G34" s="6" t="b">
        <v>0</v>
      </c>
      <c r="H34" s="6" t="s">
        <v>58</v>
      </c>
      <c r="I34" s="6" t="b">
        <v>1</v>
      </c>
      <c r="J34" s="6" t="b">
        <v>0</v>
      </c>
      <c r="K34" s="6">
        <v>0</v>
      </c>
      <c r="L34" s="6">
        <v>0</v>
      </c>
      <c r="M34" s="6">
        <v>0</v>
      </c>
      <c r="N34" s="6">
        <v>0</v>
      </c>
      <c r="O34" s="6">
        <v>0</v>
      </c>
      <c r="P34" s="6">
        <v>0</v>
      </c>
      <c r="Q34" s="6">
        <v>1</v>
      </c>
      <c r="R34" s="6">
        <v>0</v>
      </c>
      <c r="S34" s="6">
        <v>0</v>
      </c>
      <c r="T34" s="6">
        <v>0</v>
      </c>
      <c r="U34" s="6">
        <v>0</v>
      </c>
      <c r="V34" s="6">
        <v>1</v>
      </c>
      <c r="W34" s="6">
        <v>0</v>
      </c>
      <c r="X34" s="6" t="b">
        <v>0</v>
      </c>
      <c r="Y34" s="6" t="b">
        <v>0</v>
      </c>
      <c r="Z34" s="6">
        <v>0</v>
      </c>
      <c r="AA34" s="6">
        <v>1</v>
      </c>
      <c r="AB34" s="6">
        <v>0</v>
      </c>
      <c r="AC34" s="6">
        <v>0</v>
      </c>
      <c r="AD34" s="6">
        <v>0</v>
      </c>
      <c r="AE34" s="6">
        <v>3</v>
      </c>
      <c r="AF34" s="6">
        <v>3</v>
      </c>
      <c r="AG34" s="6">
        <v>0</v>
      </c>
      <c r="AH34" s="6">
        <v>0</v>
      </c>
      <c r="AI34" s="6">
        <v>0</v>
      </c>
      <c r="AJ34" s="6">
        <v>0</v>
      </c>
      <c r="AK34" s="6" t="s">
        <v>85</v>
      </c>
      <c r="AL34" s="6">
        <v>0</v>
      </c>
      <c r="AM34" s="6" t="b">
        <v>0</v>
      </c>
      <c r="AN34" s="6" t="s">
        <v>86</v>
      </c>
      <c r="AP34" s="6" t="s">
        <v>1262</v>
      </c>
      <c r="AQ34" s="6" t="b">
        <v>0</v>
      </c>
      <c r="AR34" s="6" t="b">
        <v>0</v>
      </c>
      <c r="AS34" s="6" t="b">
        <v>0</v>
      </c>
      <c r="AT34" s="6" t="s">
        <v>1262</v>
      </c>
      <c r="AU34" s="6" t="s">
        <v>1263</v>
      </c>
      <c r="AV34" s="6"/>
      <c r="AW34" s="6"/>
      <c r="AX34" s="6"/>
      <c r="AY34" s="6"/>
      <c r="AZ34" s="6"/>
      <c r="BA34" t="str">
        <f t="shared" si="0"/>
        <v>insert into nm_RawMatchData values ('evelyn', 'MPArors', 'Practice', 6, 'R2', 4663, 'Middle', 'No', 0, 0, 0, 1, 0, 0, 3, 3, 1, 0, 0, 0, 0, 'P', '', 'x', 'No', 'x', 'No Card', '', null, null, null);</v>
      </c>
      <c r="BB34" s="6"/>
      <c r="BC34" s="6"/>
      <c r="BD34" s="6"/>
    </row>
    <row r="35" spans="1:56">
      <c r="A35" s="6" t="s">
        <v>1296</v>
      </c>
      <c r="B35" s="6" t="s">
        <v>1271</v>
      </c>
      <c r="C35" s="6" t="s">
        <v>0</v>
      </c>
      <c r="D35" s="6">
        <v>6</v>
      </c>
      <c r="E35" s="6" t="s">
        <v>1272</v>
      </c>
      <c r="F35" s="6">
        <v>3082</v>
      </c>
      <c r="G35" s="6" t="b">
        <v>0</v>
      </c>
      <c r="H35" s="6" t="s">
        <v>1260</v>
      </c>
      <c r="I35" s="6" t="b">
        <v>1</v>
      </c>
      <c r="J35" s="6" t="b">
        <v>0</v>
      </c>
      <c r="K35" s="6">
        <v>2</v>
      </c>
      <c r="L35" s="6">
        <v>0</v>
      </c>
      <c r="M35" s="6">
        <v>0</v>
      </c>
      <c r="N35" s="6">
        <v>2</v>
      </c>
      <c r="O35" s="6">
        <v>0</v>
      </c>
      <c r="P35" s="6">
        <v>0</v>
      </c>
      <c r="Q35" s="6">
        <v>0</v>
      </c>
      <c r="R35" s="6">
        <v>1</v>
      </c>
      <c r="S35" s="6">
        <v>0</v>
      </c>
      <c r="T35" s="6">
        <v>0</v>
      </c>
      <c r="U35" s="6">
        <v>0</v>
      </c>
      <c r="V35" s="6">
        <v>0</v>
      </c>
      <c r="W35" s="6">
        <v>0</v>
      </c>
      <c r="X35" s="6" t="b">
        <v>1</v>
      </c>
      <c r="Y35" s="6" t="b">
        <v>0</v>
      </c>
      <c r="Z35" s="6">
        <v>1</v>
      </c>
      <c r="AA35" s="6">
        <v>4</v>
      </c>
      <c r="AB35" s="6">
        <v>0</v>
      </c>
      <c r="AC35" s="6">
        <v>0</v>
      </c>
      <c r="AD35" s="6">
        <v>0</v>
      </c>
      <c r="AE35" s="6">
        <v>0</v>
      </c>
      <c r="AF35" s="6">
        <v>0</v>
      </c>
      <c r="AG35" s="6">
        <v>0</v>
      </c>
      <c r="AH35" s="6">
        <v>0</v>
      </c>
      <c r="AI35" s="6">
        <v>0</v>
      </c>
      <c r="AJ35" s="6">
        <v>0</v>
      </c>
      <c r="AK35" s="6" t="s">
        <v>153</v>
      </c>
      <c r="AL35" s="6">
        <v>0</v>
      </c>
      <c r="AM35" s="6" t="b">
        <v>0</v>
      </c>
      <c r="AN35" s="6" t="s">
        <v>1297</v>
      </c>
      <c r="AO35" s="6" t="s">
        <v>1298</v>
      </c>
      <c r="AP35" s="6">
        <v>2</v>
      </c>
      <c r="AQ35" s="6" t="b">
        <v>1</v>
      </c>
      <c r="AR35" s="6" t="b">
        <v>0</v>
      </c>
      <c r="AS35" s="6" t="b">
        <v>0</v>
      </c>
      <c r="AT35" s="6" t="s">
        <v>1262</v>
      </c>
      <c r="AU35" s="6" t="s">
        <v>1263</v>
      </c>
      <c r="BA35" t="str">
        <f t="shared" si="0"/>
        <v>insert into nm_RawMatchData values ('Hannabella ', 'MPArors', 'Practice', 6, 'R1', 3082, 'Red Barge', 'No', 2, 0, 0, 0, 0, 0, 0, 0, 4, 0, 0, 0, 0, 'Sc', 'climb not successful', '2', 'No', 'x', 'No Card', '', null, null, null);</v>
      </c>
    </row>
    <row r="36" spans="1:56">
      <c r="A36" s="6" t="s">
        <v>1291</v>
      </c>
      <c r="B36" s="6" t="s">
        <v>1258</v>
      </c>
      <c r="C36" s="6" t="s">
        <v>0</v>
      </c>
      <c r="D36" s="6">
        <v>7</v>
      </c>
      <c r="E36" s="6" t="s">
        <v>1276</v>
      </c>
      <c r="F36" s="6">
        <v>3883</v>
      </c>
      <c r="G36" s="6" t="b">
        <v>0</v>
      </c>
      <c r="H36" s="6" t="s">
        <v>57</v>
      </c>
      <c r="I36" s="6" t="b">
        <v>1</v>
      </c>
      <c r="J36" s="6" t="b">
        <v>1</v>
      </c>
      <c r="K36" s="6">
        <v>0</v>
      </c>
      <c r="L36" s="6">
        <v>0</v>
      </c>
      <c r="M36" s="6">
        <v>0</v>
      </c>
      <c r="N36" s="6">
        <v>0</v>
      </c>
      <c r="O36" s="6">
        <v>0</v>
      </c>
      <c r="P36" s="6">
        <v>0</v>
      </c>
      <c r="Q36" s="6">
        <v>0</v>
      </c>
      <c r="R36" s="6">
        <v>1</v>
      </c>
      <c r="S36" s="6">
        <v>0</v>
      </c>
      <c r="T36" s="6">
        <v>0</v>
      </c>
      <c r="U36" s="6">
        <v>0</v>
      </c>
      <c r="V36" s="6">
        <v>0</v>
      </c>
      <c r="W36" s="6">
        <v>0</v>
      </c>
      <c r="X36" s="6" t="b">
        <v>1</v>
      </c>
      <c r="Y36" s="6" t="b">
        <v>0</v>
      </c>
      <c r="Z36" s="6">
        <v>1</v>
      </c>
      <c r="AA36" s="6">
        <v>1</v>
      </c>
      <c r="AB36" s="6">
        <v>3</v>
      </c>
      <c r="AC36" s="6">
        <v>3</v>
      </c>
      <c r="AD36" s="6">
        <v>0</v>
      </c>
      <c r="AE36" s="6">
        <v>0</v>
      </c>
      <c r="AF36" s="6">
        <v>0</v>
      </c>
      <c r="AG36" s="6">
        <v>0</v>
      </c>
      <c r="AH36" s="6">
        <v>0</v>
      </c>
      <c r="AI36" s="6">
        <v>0</v>
      </c>
      <c r="AJ36" s="6">
        <v>0</v>
      </c>
      <c r="AK36" s="6" t="s">
        <v>85</v>
      </c>
      <c r="AL36" s="6">
        <v>0</v>
      </c>
      <c r="AM36" s="6" t="b">
        <v>0</v>
      </c>
      <c r="AN36" s="6" t="s">
        <v>153</v>
      </c>
      <c r="AP36" s="6" t="s">
        <v>1262</v>
      </c>
      <c r="AQ36" s="6" t="b">
        <v>0</v>
      </c>
      <c r="AR36" s="6" t="b">
        <v>0</v>
      </c>
      <c r="AS36" s="6" t="b">
        <v>0</v>
      </c>
      <c r="AT36" s="6" t="s">
        <v>1262</v>
      </c>
      <c r="AU36" s="6" t="s">
        <v>1263</v>
      </c>
      <c r="AV36" s="6" t="s">
        <v>1299</v>
      </c>
      <c r="BA36" t="str">
        <f t="shared" si="0"/>
        <v>insert into nm_RawMatchData values ('Erik', 'NoMythic', 'Practice', 7, 'B2', 3883, 'Blue Barge', 'Yes', 0, 0, 0, 0, 0, 0, 0, 0, 1, 3, 3, 0, 0, 'No', '', 'x', 'No', 'x', 'No Card', 'Not entirely accurate data didnot gather much in auto ', null, null, null);</v>
      </c>
    </row>
    <row r="37" spans="1:56">
      <c r="A37" s="6" t="s">
        <v>1300</v>
      </c>
      <c r="B37" s="6" t="s">
        <v>1301</v>
      </c>
      <c r="C37" s="6" t="s">
        <v>0</v>
      </c>
      <c r="D37" s="6">
        <v>7</v>
      </c>
      <c r="E37" s="6" t="s">
        <v>1266</v>
      </c>
      <c r="F37" s="6">
        <v>2264</v>
      </c>
      <c r="G37" s="6" t="b">
        <v>0</v>
      </c>
      <c r="I37" s="6" t="b">
        <v>1</v>
      </c>
      <c r="J37" s="6" t="b">
        <v>0</v>
      </c>
      <c r="K37" s="6">
        <v>0</v>
      </c>
      <c r="L37" s="6">
        <v>0</v>
      </c>
      <c r="M37" s="6">
        <v>0</v>
      </c>
      <c r="N37" s="6">
        <v>0</v>
      </c>
      <c r="O37" s="6">
        <v>0</v>
      </c>
      <c r="P37" s="6">
        <v>0</v>
      </c>
      <c r="Q37" s="6">
        <v>0</v>
      </c>
      <c r="R37" s="6">
        <v>0</v>
      </c>
      <c r="S37" s="6">
        <v>0</v>
      </c>
      <c r="T37" s="6">
        <v>0</v>
      </c>
      <c r="U37" s="6">
        <v>0</v>
      </c>
      <c r="V37" s="6">
        <v>0</v>
      </c>
      <c r="W37" s="6">
        <v>0</v>
      </c>
      <c r="X37" s="6" t="b">
        <v>1</v>
      </c>
      <c r="Y37" s="6" t="b">
        <v>0</v>
      </c>
      <c r="Z37" s="6">
        <v>3</v>
      </c>
      <c r="AA37" s="6">
        <v>1</v>
      </c>
      <c r="AB37" s="6">
        <v>1</v>
      </c>
      <c r="AC37" s="6">
        <v>0</v>
      </c>
      <c r="AD37" s="6">
        <v>0</v>
      </c>
      <c r="AE37" s="6">
        <v>0</v>
      </c>
      <c r="AF37" s="6">
        <v>0</v>
      </c>
      <c r="AG37" s="6">
        <v>0</v>
      </c>
      <c r="AH37" s="6">
        <v>2</v>
      </c>
      <c r="AI37" s="6">
        <v>0</v>
      </c>
      <c r="AJ37" s="6">
        <v>0</v>
      </c>
      <c r="AK37" s="6" t="s">
        <v>85</v>
      </c>
      <c r="AL37" s="6">
        <v>0</v>
      </c>
      <c r="AM37" s="6" t="b">
        <v>0</v>
      </c>
      <c r="AN37" s="6" t="s">
        <v>85</v>
      </c>
      <c r="AP37" s="6" t="s">
        <v>1262</v>
      </c>
      <c r="AQ37" s="6" t="b">
        <v>0</v>
      </c>
      <c r="AR37" s="6" t="b">
        <v>0</v>
      </c>
      <c r="AS37" s="6" t="b">
        <v>0</v>
      </c>
      <c r="AT37" s="6" t="s">
        <v>1262</v>
      </c>
      <c r="AU37" s="6" t="s">
        <v>1263</v>
      </c>
      <c r="AV37" s="6" t="s">
        <v>1302</v>
      </c>
      <c r="BA37" t="str">
        <f t="shared" si="0"/>
        <v>insert into nm_RawMatchData values ('Hannah', 'Wind Chill', 'Practice', 7, 'B1', 2264, '', 'No', 0, 0, 0, 0, 0, 0, 0, 0, 1, 1, 0, 0, 0, 'Dc', '', 'x', 'No', 'x', 'No Card', 'I didn''t see auto because I just got here', null, null, null);</v>
      </c>
    </row>
    <row r="38" spans="1:56">
      <c r="A38" s="6" t="s">
        <v>1296</v>
      </c>
      <c r="B38" s="6" t="s">
        <v>1271</v>
      </c>
      <c r="C38" s="6" t="s">
        <v>0</v>
      </c>
      <c r="D38" s="6">
        <v>7</v>
      </c>
      <c r="E38" s="6" t="s">
        <v>1259</v>
      </c>
      <c r="F38" s="6">
        <v>6909</v>
      </c>
      <c r="G38" s="6" t="b">
        <v>0</v>
      </c>
      <c r="H38" s="6" t="s">
        <v>1260</v>
      </c>
      <c r="I38" s="6" t="b">
        <v>1</v>
      </c>
      <c r="J38" s="6" t="b">
        <v>1</v>
      </c>
      <c r="K38" s="6">
        <v>0</v>
      </c>
      <c r="L38" s="6">
        <v>0</v>
      </c>
      <c r="M38" s="6">
        <v>0</v>
      </c>
      <c r="N38" s="6">
        <v>0</v>
      </c>
      <c r="O38" s="6">
        <v>0</v>
      </c>
      <c r="P38" s="6">
        <v>0</v>
      </c>
      <c r="Q38" s="6">
        <v>0</v>
      </c>
      <c r="R38" s="6">
        <v>0</v>
      </c>
      <c r="S38" s="6">
        <v>0</v>
      </c>
      <c r="T38" s="6">
        <v>0</v>
      </c>
      <c r="U38" s="6">
        <v>0</v>
      </c>
      <c r="V38" s="6">
        <v>0</v>
      </c>
      <c r="W38" s="6">
        <v>0</v>
      </c>
      <c r="X38" s="6" t="b">
        <v>1</v>
      </c>
      <c r="Y38" s="6" t="b">
        <v>0</v>
      </c>
      <c r="Z38" s="6">
        <v>5</v>
      </c>
      <c r="AA38" s="6">
        <v>0</v>
      </c>
      <c r="AB38" s="6">
        <v>0</v>
      </c>
      <c r="AC38" s="6">
        <v>3</v>
      </c>
      <c r="AD38" s="6">
        <v>2</v>
      </c>
      <c r="AE38" s="6">
        <v>0</v>
      </c>
      <c r="AF38" s="6">
        <v>0</v>
      </c>
      <c r="AG38" s="6">
        <v>0</v>
      </c>
      <c r="AH38" s="6">
        <v>0</v>
      </c>
      <c r="AI38" s="6">
        <v>0</v>
      </c>
      <c r="AJ38" s="6">
        <v>0</v>
      </c>
      <c r="AK38" s="6" t="s">
        <v>1297</v>
      </c>
      <c r="AL38" s="6">
        <v>0</v>
      </c>
      <c r="AM38" s="6" t="b">
        <v>0</v>
      </c>
      <c r="AN38" s="6" t="s">
        <v>86</v>
      </c>
      <c r="AO38" s="6" t="s">
        <v>1303</v>
      </c>
      <c r="AP38" s="6" t="s">
        <v>1262</v>
      </c>
      <c r="AQ38" s="6" t="b">
        <v>0</v>
      </c>
      <c r="AR38" s="6" t="b">
        <v>0</v>
      </c>
      <c r="AS38" s="6" t="b">
        <v>0</v>
      </c>
      <c r="AT38" s="6" t="s">
        <v>1262</v>
      </c>
      <c r="AU38" s="6" t="s">
        <v>1263</v>
      </c>
      <c r="AV38" s="6" t="s">
        <v>1304</v>
      </c>
      <c r="BA38" t="str">
        <f t="shared" si="0"/>
        <v>insert into nm_RawMatchData values ('Hannabella ', 'MPArors', 'Practice', 7, 'R2', 6909, 'Red Barge', 'Yes', 0, 0, 0, 0, 0, 0, 0, 0, 0, 0, 3, 2, 0, 'P', 'Tried to Shallow Climb, ran out of time', 'x', 'No', 'x', 'No Card', 'Doesn''t seem to be able to go over level 2...', null, null, null);</v>
      </c>
    </row>
    <row r="39" spans="1:56">
      <c r="A39" s="6" t="s">
        <v>1279</v>
      </c>
      <c r="B39" s="6" t="s">
        <v>1280</v>
      </c>
      <c r="C39" s="6" t="s">
        <v>0</v>
      </c>
      <c r="D39" s="6">
        <v>7</v>
      </c>
      <c r="E39" s="6" t="s">
        <v>1281</v>
      </c>
      <c r="F39" s="6">
        <v>6217</v>
      </c>
      <c r="G39" s="6" t="b">
        <v>0</v>
      </c>
      <c r="H39" s="6" t="s">
        <v>58</v>
      </c>
      <c r="I39" s="6" t="b">
        <v>0</v>
      </c>
      <c r="J39" s="6" t="b">
        <v>0</v>
      </c>
      <c r="K39" s="6">
        <v>0</v>
      </c>
      <c r="L39" s="6">
        <v>0</v>
      </c>
      <c r="M39" s="6">
        <v>0</v>
      </c>
      <c r="N39" s="6">
        <v>0</v>
      </c>
      <c r="O39" s="6">
        <v>0</v>
      </c>
      <c r="P39" s="6">
        <v>0</v>
      </c>
      <c r="Q39" s="6">
        <v>0</v>
      </c>
      <c r="R39" s="6">
        <v>0</v>
      </c>
      <c r="S39" s="6">
        <v>0</v>
      </c>
      <c r="T39" s="6">
        <v>0</v>
      </c>
      <c r="U39" s="6">
        <v>0</v>
      </c>
      <c r="V39" s="6">
        <v>0</v>
      </c>
      <c r="W39" s="6">
        <v>0</v>
      </c>
      <c r="X39" s="6" t="b">
        <v>1</v>
      </c>
      <c r="Y39" s="6" t="b">
        <v>0</v>
      </c>
      <c r="Z39" s="6">
        <v>0</v>
      </c>
      <c r="AA39" s="6">
        <v>4</v>
      </c>
      <c r="AB39" s="6">
        <v>0</v>
      </c>
      <c r="AC39" s="6">
        <v>0</v>
      </c>
      <c r="AD39" s="6">
        <v>0</v>
      </c>
      <c r="AE39" s="6">
        <v>0</v>
      </c>
      <c r="AF39" s="6">
        <v>0</v>
      </c>
      <c r="AG39" s="6">
        <v>0</v>
      </c>
      <c r="AH39" s="6">
        <v>0</v>
      </c>
      <c r="AI39" s="6">
        <v>0</v>
      </c>
      <c r="AJ39" s="6">
        <v>0</v>
      </c>
      <c r="AK39" s="6" t="s">
        <v>86</v>
      </c>
      <c r="AL39" s="6">
        <v>0</v>
      </c>
      <c r="AM39" s="6" t="b">
        <v>0</v>
      </c>
      <c r="AN39" s="6" t="s">
        <v>86</v>
      </c>
      <c r="AO39" s="6" t="s">
        <v>1305</v>
      </c>
      <c r="AP39" s="6" t="s">
        <v>1262</v>
      </c>
      <c r="AQ39" s="6" t="b">
        <v>0</v>
      </c>
      <c r="AR39" s="6" t="b">
        <v>0</v>
      </c>
      <c r="AS39" s="6" t="b">
        <v>0</v>
      </c>
      <c r="AT39" s="6" t="s">
        <v>1262</v>
      </c>
      <c r="AU39" s="6" t="s">
        <v>1263</v>
      </c>
      <c r="BA39" t="str">
        <f t="shared" si="0"/>
        <v>insert into nm_RawMatchData values ('James', 'Open Circuits', 'Practice', 7, 'R3', 6217, 'Middle', 'No', 0, 0, 0, 0, 0, 0, 0, 0, 4, 0, 0, 0, 0, 'P', 'No auto', 'x', 'No', 'x', 'No Card', '', null, null, null);</v>
      </c>
    </row>
    <row r="40" spans="1:56">
      <c r="A40" s="6" t="s">
        <v>1306</v>
      </c>
      <c r="B40" s="6" t="s">
        <v>1271</v>
      </c>
      <c r="C40" s="6" t="s">
        <v>0</v>
      </c>
      <c r="D40" s="6">
        <v>7</v>
      </c>
      <c r="E40" s="6" t="s">
        <v>1272</v>
      </c>
      <c r="F40" s="6">
        <v>3891</v>
      </c>
      <c r="G40" s="6" t="b">
        <v>0</v>
      </c>
      <c r="H40" s="6" t="s">
        <v>57</v>
      </c>
      <c r="I40" s="6" t="b">
        <v>1</v>
      </c>
      <c r="J40" s="6" t="b">
        <v>0</v>
      </c>
      <c r="K40" s="6">
        <v>0</v>
      </c>
      <c r="L40" s="6">
        <v>0</v>
      </c>
      <c r="M40" s="6">
        <v>0</v>
      </c>
      <c r="N40" s="6">
        <v>0</v>
      </c>
      <c r="O40" s="6">
        <v>0</v>
      </c>
      <c r="P40" s="6">
        <v>0</v>
      </c>
      <c r="Q40" s="6">
        <v>0</v>
      </c>
      <c r="R40" s="6">
        <v>1</v>
      </c>
      <c r="S40" s="6">
        <v>0</v>
      </c>
      <c r="T40" s="6">
        <v>0</v>
      </c>
      <c r="U40" s="6">
        <v>0</v>
      </c>
      <c r="V40" s="6">
        <v>0</v>
      </c>
      <c r="W40" s="6">
        <v>0</v>
      </c>
      <c r="X40" s="6" t="b">
        <v>1</v>
      </c>
      <c r="Y40" s="6" t="b">
        <v>0</v>
      </c>
      <c r="Z40" s="6">
        <v>4</v>
      </c>
      <c r="AA40" s="6">
        <v>5</v>
      </c>
      <c r="AB40" s="6">
        <v>0</v>
      </c>
      <c r="AC40" s="6">
        <v>0</v>
      </c>
      <c r="AD40" s="6">
        <v>0</v>
      </c>
      <c r="AE40" s="6">
        <v>0</v>
      </c>
      <c r="AF40" s="6">
        <v>0</v>
      </c>
      <c r="AG40" s="6">
        <v>0</v>
      </c>
      <c r="AH40" s="6">
        <v>0</v>
      </c>
      <c r="AI40" s="6">
        <v>0</v>
      </c>
      <c r="AJ40" s="6">
        <v>0</v>
      </c>
      <c r="AK40" s="6" t="s">
        <v>86</v>
      </c>
      <c r="AL40" s="6">
        <v>0</v>
      </c>
      <c r="AM40" s="6" t="b">
        <v>0</v>
      </c>
      <c r="AN40" s="6" t="s">
        <v>86</v>
      </c>
      <c r="AP40" s="6" t="s">
        <v>1262</v>
      </c>
      <c r="AQ40" s="6" t="b">
        <v>0</v>
      </c>
      <c r="AR40" s="6" t="b">
        <v>0</v>
      </c>
      <c r="AS40" s="6" t="b">
        <v>0</v>
      </c>
      <c r="AT40" s="6" t="s">
        <v>1262</v>
      </c>
      <c r="AU40" s="6" t="s">
        <v>1263</v>
      </c>
      <c r="BA40" t="str">
        <f t="shared" si="0"/>
        <v>insert into nm_RawMatchData values ('Jenny', 'MPArors', 'Practice', 7, 'R1', 3891, 'Blue Barge', 'No', 0, 0, 0, 0, 0, 0, 0, 0, 5, 0, 0, 0, 0, 'P', '', 'x', 'No', 'x', 'No Card', '', null, null, null);</v>
      </c>
    </row>
    <row r="41" spans="1:56">
      <c r="A41" s="6" t="s">
        <v>1307</v>
      </c>
      <c r="B41" s="6" t="s">
        <v>1258</v>
      </c>
      <c r="C41" s="6" t="s">
        <v>0</v>
      </c>
      <c r="D41" s="6">
        <v>7</v>
      </c>
      <c r="E41" s="6" t="s">
        <v>1269</v>
      </c>
      <c r="F41" s="6">
        <v>2823</v>
      </c>
      <c r="G41" s="6" t="b">
        <v>0</v>
      </c>
      <c r="H41" s="6" t="s">
        <v>1260</v>
      </c>
      <c r="I41" s="6" t="b">
        <v>1</v>
      </c>
      <c r="J41" s="6" t="b">
        <v>1</v>
      </c>
      <c r="K41" s="6">
        <v>2</v>
      </c>
      <c r="L41" s="6">
        <v>0</v>
      </c>
      <c r="M41" s="6">
        <v>0</v>
      </c>
      <c r="N41" s="6">
        <v>2</v>
      </c>
      <c r="O41" s="6">
        <v>0</v>
      </c>
      <c r="P41" s="6">
        <v>0</v>
      </c>
      <c r="Q41" s="6">
        <v>0</v>
      </c>
      <c r="R41" s="6">
        <v>0</v>
      </c>
      <c r="S41" s="6">
        <v>0</v>
      </c>
      <c r="T41" s="6">
        <v>0</v>
      </c>
      <c r="U41" s="6">
        <v>0</v>
      </c>
      <c r="V41" s="6">
        <v>0</v>
      </c>
      <c r="W41" s="6">
        <v>0</v>
      </c>
      <c r="X41" s="6" t="b">
        <v>1</v>
      </c>
      <c r="Y41" s="6" t="b">
        <v>0</v>
      </c>
      <c r="Z41" s="6">
        <v>0</v>
      </c>
      <c r="AA41" s="6">
        <v>4</v>
      </c>
      <c r="AB41" s="6">
        <v>1</v>
      </c>
      <c r="AC41" s="6">
        <v>4</v>
      </c>
      <c r="AD41" s="6">
        <v>0</v>
      </c>
      <c r="AE41" s="6">
        <v>0</v>
      </c>
      <c r="AF41" s="6">
        <v>0</v>
      </c>
      <c r="AG41" s="6">
        <v>0</v>
      </c>
      <c r="AH41" s="6">
        <v>0</v>
      </c>
      <c r="AI41" s="6">
        <v>0</v>
      </c>
      <c r="AJ41" s="6">
        <v>0</v>
      </c>
      <c r="AK41" s="6" t="s">
        <v>85</v>
      </c>
      <c r="AL41" s="6">
        <v>0</v>
      </c>
      <c r="AM41" s="6" t="b">
        <v>1</v>
      </c>
      <c r="AN41" s="6" t="s">
        <v>86</v>
      </c>
      <c r="AP41" s="6" t="s">
        <v>1262</v>
      </c>
      <c r="AQ41" s="6" t="b">
        <v>0</v>
      </c>
      <c r="AR41" s="6" t="b">
        <v>0</v>
      </c>
      <c r="AS41" s="6" t="b">
        <v>0</v>
      </c>
      <c r="AT41" s="6" t="s">
        <v>1262</v>
      </c>
      <c r="AU41" s="6" t="s">
        <v>1263</v>
      </c>
      <c r="BA41" t="str">
        <f t="shared" si="0"/>
        <v>insert into nm_RawMatchData values ('Graham', 'NoMythic', 'Practice', 7, 'B3', 2823, 'Red Barge', 'Yes', 2, 0, 0, 0, 0, 0, 0, 0, 4, 1, 4, 0, 0, 'P', '', 'x', 'No', 'x', 'No Card', '', null, null, null);</v>
      </c>
    </row>
    <row r="42" spans="1:56">
      <c r="A42" s="6" t="s">
        <v>1279</v>
      </c>
      <c r="B42" s="6" t="s">
        <v>1280</v>
      </c>
      <c r="C42" s="6" t="s">
        <v>0</v>
      </c>
      <c r="D42" s="6">
        <v>8</v>
      </c>
      <c r="E42" s="6" t="s">
        <v>1272</v>
      </c>
      <c r="F42" s="6">
        <v>3926</v>
      </c>
      <c r="G42" s="6" t="b">
        <v>0</v>
      </c>
      <c r="H42" s="6" t="s">
        <v>1260</v>
      </c>
      <c r="I42" s="6" t="b">
        <v>1</v>
      </c>
      <c r="J42" s="6" t="b">
        <v>1</v>
      </c>
      <c r="K42" s="6">
        <v>0</v>
      </c>
      <c r="L42" s="6">
        <v>0</v>
      </c>
      <c r="M42" s="6">
        <v>0</v>
      </c>
      <c r="N42" s="6">
        <v>0</v>
      </c>
      <c r="O42" s="6">
        <v>0</v>
      </c>
      <c r="P42" s="6">
        <v>0</v>
      </c>
      <c r="Q42" s="6">
        <v>0</v>
      </c>
      <c r="R42" s="6">
        <v>0</v>
      </c>
      <c r="S42" s="6">
        <v>0</v>
      </c>
      <c r="T42" s="6">
        <v>0</v>
      </c>
      <c r="U42" s="6">
        <v>0</v>
      </c>
      <c r="V42" s="6">
        <v>0</v>
      </c>
      <c r="W42" s="6">
        <v>0</v>
      </c>
      <c r="X42" s="6" t="b">
        <v>1</v>
      </c>
      <c r="Y42" s="6" t="b">
        <v>0</v>
      </c>
      <c r="Z42" s="6">
        <v>1</v>
      </c>
      <c r="AA42" s="6">
        <v>0</v>
      </c>
      <c r="AB42" s="6">
        <v>0</v>
      </c>
      <c r="AC42" s="6">
        <v>1</v>
      </c>
      <c r="AD42" s="6">
        <v>0</v>
      </c>
      <c r="AE42" s="6">
        <v>0</v>
      </c>
      <c r="AF42" s="6">
        <v>0</v>
      </c>
      <c r="AG42" s="6">
        <v>0</v>
      </c>
      <c r="AH42" s="6">
        <v>0</v>
      </c>
      <c r="AI42" s="6">
        <v>0</v>
      </c>
      <c r="AJ42" s="6">
        <v>0</v>
      </c>
      <c r="AK42" s="6" t="s">
        <v>86</v>
      </c>
      <c r="AL42" s="6">
        <v>0</v>
      </c>
      <c r="AM42" s="6" t="b">
        <v>0</v>
      </c>
      <c r="AN42" s="6" t="s">
        <v>86</v>
      </c>
      <c r="AP42" s="6" t="s">
        <v>1262</v>
      </c>
      <c r="AQ42" s="6" t="b">
        <v>0</v>
      </c>
      <c r="AR42" s="6" t="b">
        <v>0</v>
      </c>
      <c r="AS42" s="6" t="b">
        <v>0</v>
      </c>
      <c r="AT42" s="6" t="s">
        <v>1262</v>
      </c>
      <c r="AU42" s="6" t="s">
        <v>1263</v>
      </c>
      <c r="BA42" t="str">
        <f t="shared" si="0"/>
        <v>insert into nm_RawMatchData values ('James', 'Open Circuits', 'Practice', 8, 'R1', 3926, 'Red Barge', 'Yes', 0, 0, 0, 0, 0, 0, 0, 0, 0, 0, 1, 0, 0, 'P', '', 'x', 'No', 'x', 'No Card', '', null, null, null);</v>
      </c>
    </row>
    <row r="43" spans="1:56">
      <c r="A43" s="6" t="s">
        <v>1300</v>
      </c>
      <c r="B43" s="6" t="s">
        <v>1301</v>
      </c>
      <c r="C43" s="6" t="s">
        <v>0</v>
      </c>
      <c r="D43" s="6">
        <v>8</v>
      </c>
      <c r="E43" s="6" t="s">
        <v>1266</v>
      </c>
      <c r="F43" s="6">
        <v>2450</v>
      </c>
      <c r="G43" s="6" t="b">
        <v>0</v>
      </c>
      <c r="H43" s="6" t="s">
        <v>57</v>
      </c>
      <c r="I43" s="6" t="b">
        <v>1</v>
      </c>
      <c r="J43" s="6" t="b">
        <v>0</v>
      </c>
      <c r="K43" s="6">
        <v>0</v>
      </c>
      <c r="L43" s="6">
        <v>0</v>
      </c>
      <c r="M43" s="6">
        <v>0</v>
      </c>
      <c r="N43" s="6">
        <v>0</v>
      </c>
      <c r="O43" s="6">
        <v>0</v>
      </c>
      <c r="P43" s="6">
        <v>0</v>
      </c>
      <c r="Q43" s="6">
        <v>0</v>
      </c>
      <c r="R43" s="6">
        <v>0</v>
      </c>
      <c r="S43" s="6">
        <v>0</v>
      </c>
      <c r="T43" s="6">
        <v>0</v>
      </c>
      <c r="U43" s="6">
        <v>0</v>
      </c>
      <c r="V43" s="6">
        <v>0</v>
      </c>
      <c r="W43" s="6">
        <v>0</v>
      </c>
      <c r="X43" s="6" t="b">
        <v>0</v>
      </c>
      <c r="Y43" s="6" t="b">
        <v>0</v>
      </c>
      <c r="Z43" s="6">
        <v>2</v>
      </c>
      <c r="AA43" s="6">
        <v>0</v>
      </c>
      <c r="AB43" s="6">
        <v>0</v>
      </c>
      <c r="AC43" s="6">
        <v>0</v>
      </c>
      <c r="AD43" s="6">
        <v>0</v>
      </c>
      <c r="AE43" s="6">
        <v>0</v>
      </c>
      <c r="AF43" s="6">
        <v>0</v>
      </c>
      <c r="AG43" s="6">
        <v>0</v>
      </c>
      <c r="AH43" s="6">
        <v>0</v>
      </c>
      <c r="AI43" s="6">
        <v>2</v>
      </c>
      <c r="AJ43" s="6">
        <v>0</v>
      </c>
      <c r="AK43" s="6" t="s">
        <v>153</v>
      </c>
      <c r="AL43" s="6">
        <v>0</v>
      </c>
      <c r="AM43" s="6" t="b">
        <v>0</v>
      </c>
      <c r="AN43" s="6" t="s">
        <v>86</v>
      </c>
      <c r="AP43" s="6" t="s">
        <v>1262</v>
      </c>
      <c r="AQ43" s="6" t="b">
        <v>0</v>
      </c>
      <c r="AR43" s="6" t="b">
        <v>0</v>
      </c>
      <c r="AS43" s="6" t="b">
        <v>0</v>
      </c>
      <c r="AT43" s="6" t="s">
        <v>1262</v>
      </c>
      <c r="AU43" s="6" t="s">
        <v>1263</v>
      </c>
      <c r="AV43" s="6" t="s">
        <v>1308</v>
      </c>
      <c r="BA43" t="str">
        <f t="shared" si="0"/>
        <v>insert into nm_RawMatchData values ('Hannah', 'Wind Chill', 'Practice', 8, 'B1', 2450, 'Blue Barge', 'No', 0, 0, 0, 0, 0, 0, 0, 0, 0, 0, 0, 0, 0, 'P', '', 'x', 'No', 'x', 'No Card', 'Got coral stuck in elevator while elevator is up so couldn''t do much for part of the match', null, null, null);</v>
      </c>
    </row>
    <row r="44" spans="1:56">
      <c r="A44" s="6" t="s">
        <v>1309</v>
      </c>
      <c r="B44" s="6" t="s">
        <v>1258</v>
      </c>
      <c r="C44" s="6" t="s">
        <v>0</v>
      </c>
      <c r="D44" s="6">
        <v>8</v>
      </c>
      <c r="E44" s="6" t="s">
        <v>1269</v>
      </c>
      <c r="F44" s="6">
        <v>5271</v>
      </c>
      <c r="G44" s="6" t="b">
        <v>0</v>
      </c>
      <c r="H44" s="6" t="s">
        <v>1260</v>
      </c>
      <c r="I44" s="6" t="b">
        <v>1</v>
      </c>
      <c r="J44" s="6" t="b">
        <v>0</v>
      </c>
      <c r="K44" s="6">
        <v>0</v>
      </c>
      <c r="L44" s="6">
        <v>0</v>
      </c>
      <c r="M44" s="6">
        <v>0</v>
      </c>
      <c r="N44" s="6">
        <v>0</v>
      </c>
      <c r="O44" s="6">
        <v>0</v>
      </c>
      <c r="P44" s="6">
        <v>0</v>
      </c>
      <c r="Q44" s="6">
        <v>0</v>
      </c>
      <c r="R44" s="6">
        <v>0</v>
      </c>
      <c r="S44" s="6">
        <v>0</v>
      </c>
      <c r="T44" s="6">
        <v>0</v>
      </c>
      <c r="U44" s="6">
        <v>0</v>
      </c>
      <c r="V44" s="6">
        <v>0</v>
      </c>
      <c r="W44" s="6">
        <v>0</v>
      </c>
      <c r="X44" s="6" t="b">
        <v>1</v>
      </c>
      <c r="Y44" s="6" t="b">
        <v>0</v>
      </c>
      <c r="Z44" s="6">
        <v>2</v>
      </c>
      <c r="AA44" s="6">
        <v>0</v>
      </c>
      <c r="AB44" s="6">
        <v>0</v>
      </c>
      <c r="AC44" s="6">
        <v>0</v>
      </c>
      <c r="AD44" s="6">
        <v>1</v>
      </c>
      <c r="AE44" s="6">
        <v>0</v>
      </c>
      <c r="AF44" s="6">
        <v>0</v>
      </c>
      <c r="AG44" s="6">
        <v>0</v>
      </c>
      <c r="AH44" s="6">
        <v>0</v>
      </c>
      <c r="AI44" s="6">
        <v>0</v>
      </c>
      <c r="AJ44" s="6">
        <v>0</v>
      </c>
      <c r="AK44" s="6" t="s">
        <v>86</v>
      </c>
      <c r="AL44" s="6">
        <v>0</v>
      </c>
      <c r="AM44" s="6" t="b">
        <v>0</v>
      </c>
      <c r="AN44" s="6" t="s">
        <v>86</v>
      </c>
      <c r="AP44" s="6" t="s">
        <v>1262</v>
      </c>
      <c r="AQ44" s="6" t="b">
        <v>0</v>
      </c>
      <c r="AR44" s="6" t="b">
        <v>0</v>
      </c>
      <c r="AS44" s="6" t="b">
        <v>0</v>
      </c>
      <c r="AT44" s="6" t="s">
        <v>1262</v>
      </c>
      <c r="AU44" s="6" t="s">
        <v>1263</v>
      </c>
      <c r="BA44" t="str">
        <f t="shared" si="0"/>
        <v>insert into nm_RawMatchData values ('graham ', 'NoMythic', 'Practice', 8, 'B3', 5271, 'Red Barge', 'No', 0, 0, 0, 0, 0, 0, 0, 0, 0, 0, 0, 1, 0, 'P', '', 'x', 'No', 'x', 'No Card', '', null, null, null);</v>
      </c>
    </row>
    <row r="45" spans="1:56">
      <c r="A45" s="6" t="s">
        <v>1306</v>
      </c>
      <c r="B45" s="6" t="s">
        <v>1271</v>
      </c>
      <c r="C45" s="6" t="s">
        <v>0</v>
      </c>
      <c r="D45" s="6">
        <v>8</v>
      </c>
      <c r="E45" s="6" t="s">
        <v>1272</v>
      </c>
      <c r="F45" s="6">
        <v>7068</v>
      </c>
      <c r="G45" s="6" t="b">
        <v>0</v>
      </c>
      <c r="H45" s="6" t="s">
        <v>1260</v>
      </c>
      <c r="I45" s="6" t="b">
        <v>0</v>
      </c>
      <c r="J45" s="6" t="b">
        <v>1</v>
      </c>
      <c r="K45" s="6">
        <v>0</v>
      </c>
      <c r="L45" s="6">
        <v>0</v>
      </c>
      <c r="M45" s="6">
        <v>0</v>
      </c>
      <c r="N45" s="6">
        <v>0</v>
      </c>
      <c r="O45" s="6">
        <v>0</v>
      </c>
      <c r="P45" s="6">
        <v>0</v>
      </c>
      <c r="Q45" s="6">
        <v>0</v>
      </c>
      <c r="R45" s="6">
        <v>0</v>
      </c>
      <c r="S45" s="6">
        <v>0</v>
      </c>
      <c r="T45" s="6">
        <v>0</v>
      </c>
      <c r="U45" s="6">
        <v>0</v>
      </c>
      <c r="V45" s="6">
        <v>0</v>
      </c>
      <c r="W45" s="6">
        <v>0</v>
      </c>
      <c r="X45" s="6" t="b">
        <v>1</v>
      </c>
      <c r="Y45" s="6" t="b">
        <v>0</v>
      </c>
      <c r="Z45" s="6">
        <v>0</v>
      </c>
      <c r="AA45" s="6">
        <v>1</v>
      </c>
      <c r="AB45" s="6">
        <v>0</v>
      </c>
      <c r="AC45" s="6">
        <v>0</v>
      </c>
      <c r="AD45" s="6">
        <v>0</v>
      </c>
      <c r="AE45" s="6">
        <v>0</v>
      </c>
      <c r="AF45" s="6">
        <v>0</v>
      </c>
      <c r="AG45" s="6">
        <v>0</v>
      </c>
      <c r="AH45" s="6">
        <v>1</v>
      </c>
      <c r="AI45" s="6">
        <v>0</v>
      </c>
      <c r="AJ45" s="6">
        <v>0</v>
      </c>
      <c r="AK45" s="6" t="s">
        <v>1297</v>
      </c>
      <c r="AL45" s="6">
        <v>0</v>
      </c>
      <c r="AM45" s="6" t="b">
        <v>0</v>
      </c>
      <c r="AN45" s="6" t="s">
        <v>86</v>
      </c>
      <c r="AP45" s="6" t="s">
        <v>1262</v>
      </c>
      <c r="AQ45" s="6" t="b">
        <v>0</v>
      </c>
      <c r="AR45" s="6" t="b">
        <v>0</v>
      </c>
      <c r="AS45" s="6" t="b">
        <v>0</v>
      </c>
      <c r="AT45" s="6" t="s">
        <v>1262</v>
      </c>
      <c r="AU45" s="6" t="s">
        <v>1263</v>
      </c>
      <c r="BA45" t="str">
        <f t="shared" si="0"/>
        <v>insert into nm_RawMatchData values ('Jenny', 'MPArors', 'Practice', 8, 'R1', 7068, 'Red Barge', 'Yes', 0, 0, 0, 0, 0, 0, 0, 0, 1, 0, 0, 0, 0, 'P', '', 'x', 'No', 'x', 'No Card', '', null, null, null);</v>
      </c>
    </row>
    <row r="46" spans="1:56">
      <c r="A46" s="6" t="s">
        <v>1296</v>
      </c>
      <c r="B46" s="6" t="s">
        <v>1271</v>
      </c>
      <c r="C46" s="6" t="s">
        <v>0</v>
      </c>
      <c r="D46" s="6">
        <v>8</v>
      </c>
      <c r="E46" s="6" t="s">
        <v>1259</v>
      </c>
      <c r="F46" s="6">
        <v>2220</v>
      </c>
      <c r="G46" s="6" t="b">
        <v>0</v>
      </c>
      <c r="H46" s="6" t="s">
        <v>57</v>
      </c>
      <c r="I46" s="6" t="b">
        <v>1</v>
      </c>
      <c r="J46" s="6" t="b">
        <v>1</v>
      </c>
      <c r="K46" s="6">
        <v>2</v>
      </c>
      <c r="L46" s="6">
        <v>0</v>
      </c>
      <c r="M46" s="6">
        <v>0</v>
      </c>
      <c r="N46" s="6">
        <v>4</v>
      </c>
      <c r="O46" s="6">
        <v>0</v>
      </c>
      <c r="P46" s="6">
        <v>0</v>
      </c>
      <c r="Q46" s="6">
        <v>0</v>
      </c>
      <c r="R46" s="6">
        <v>1</v>
      </c>
      <c r="S46" s="6">
        <v>0</v>
      </c>
      <c r="T46" s="6">
        <v>0</v>
      </c>
      <c r="U46" s="6">
        <v>0</v>
      </c>
      <c r="V46" s="6">
        <v>0</v>
      </c>
      <c r="W46" s="6">
        <v>0</v>
      </c>
      <c r="X46" s="6" t="b">
        <v>1</v>
      </c>
      <c r="Y46" s="6" t="b">
        <v>0</v>
      </c>
      <c r="Z46" s="6">
        <v>1</v>
      </c>
      <c r="AA46" s="6">
        <v>3</v>
      </c>
      <c r="AB46" s="6">
        <v>4</v>
      </c>
      <c r="AC46" s="6">
        <v>4</v>
      </c>
      <c r="AD46" s="6">
        <v>0</v>
      </c>
      <c r="AE46" s="6">
        <v>0</v>
      </c>
      <c r="AF46" s="6">
        <v>2</v>
      </c>
      <c r="AG46" s="6">
        <v>0</v>
      </c>
      <c r="AH46" s="6">
        <v>0</v>
      </c>
      <c r="AI46" s="6">
        <v>3</v>
      </c>
      <c r="AJ46" s="6">
        <v>0</v>
      </c>
      <c r="AK46" s="6" t="s">
        <v>153</v>
      </c>
      <c r="AL46" s="6">
        <v>0</v>
      </c>
      <c r="AM46" s="6" t="b">
        <v>0</v>
      </c>
      <c r="AN46" s="6" t="s">
        <v>86</v>
      </c>
      <c r="AP46" s="6" t="s">
        <v>1262</v>
      </c>
      <c r="AQ46" s="6" t="b">
        <v>0</v>
      </c>
      <c r="AR46" s="6" t="b">
        <v>0</v>
      </c>
      <c r="AS46" s="6" t="b">
        <v>0</v>
      </c>
      <c r="AT46" s="6" t="s">
        <v>1262</v>
      </c>
      <c r="AU46" s="6" t="s">
        <v>1263</v>
      </c>
      <c r="AV46" s="6" t="s">
        <v>1310</v>
      </c>
      <c r="BA46" t="str">
        <f t="shared" si="0"/>
        <v>insert into nm_RawMatchData values ('Hannabella ', 'MPArors', 'Practice', 8, 'R2', 2220, 'Blue Barge', 'Yes', 4, 0, 0, 0, 0, 0, 0, 2, 3, 4, 4, 0, 0, 'P', '', 'x', 'No', 'x', 'No Card', 'slayed cooked super efficient robot and clearly a lot of driving/strategy practices :)))', null, null, null);</v>
      </c>
    </row>
    <row r="47" spans="1:56">
      <c r="A47" s="6" t="s">
        <v>1291</v>
      </c>
      <c r="B47" s="6" t="s">
        <v>1258</v>
      </c>
      <c r="C47" s="6" t="s">
        <v>0</v>
      </c>
      <c r="D47" s="6">
        <v>9</v>
      </c>
      <c r="E47" s="6" t="s">
        <v>1276</v>
      </c>
      <c r="F47" s="6">
        <v>2227</v>
      </c>
      <c r="G47" s="6" t="b">
        <v>0</v>
      </c>
      <c r="H47" s="6" t="s">
        <v>1260</v>
      </c>
      <c r="I47" s="6" t="b">
        <v>1</v>
      </c>
      <c r="J47" s="6" t="b">
        <v>1</v>
      </c>
      <c r="K47" s="6">
        <v>1</v>
      </c>
      <c r="L47" s="6">
        <v>0</v>
      </c>
      <c r="M47" s="6">
        <v>0</v>
      </c>
      <c r="N47" s="6">
        <v>0</v>
      </c>
      <c r="O47" s="6">
        <v>0</v>
      </c>
      <c r="P47" s="6">
        <v>0</v>
      </c>
      <c r="Q47" s="6">
        <v>0</v>
      </c>
      <c r="R47" s="6">
        <v>1</v>
      </c>
      <c r="S47" s="6">
        <v>0</v>
      </c>
      <c r="T47" s="6">
        <v>0</v>
      </c>
      <c r="U47" s="6">
        <v>0</v>
      </c>
      <c r="V47" s="6">
        <v>0</v>
      </c>
      <c r="W47" s="6">
        <v>0</v>
      </c>
      <c r="X47" s="6" t="b">
        <v>0</v>
      </c>
      <c r="Y47" s="6" t="b">
        <v>0</v>
      </c>
      <c r="Z47" s="6">
        <v>0</v>
      </c>
      <c r="AA47" s="6">
        <v>0</v>
      </c>
      <c r="AB47" s="6">
        <v>0</v>
      </c>
      <c r="AC47" s="6">
        <v>0</v>
      </c>
      <c r="AD47" s="6">
        <v>0</v>
      </c>
      <c r="AE47" s="6">
        <v>0</v>
      </c>
      <c r="AF47" s="6">
        <v>0</v>
      </c>
      <c r="AG47" s="6">
        <v>0</v>
      </c>
      <c r="AH47" s="6">
        <v>0</v>
      </c>
      <c r="AI47" s="6">
        <v>0</v>
      </c>
      <c r="AJ47" s="6">
        <v>0</v>
      </c>
      <c r="AK47" s="6" t="s">
        <v>153</v>
      </c>
      <c r="AL47" s="6">
        <v>0</v>
      </c>
      <c r="AM47" s="6" t="b">
        <v>0</v>
      </c>
      <c r="AN47" s="6" t="s">
        <v>153</v>
      </c>
      <c r="AP47" s="6" t="s">
        <v>1262</v>
      </c>
      <c r="AQ47" s="6" t="b">
        <v>0</v>
      </c>
      <c r="AR47" s="6" t="b">
        <v>0</v>
      </c>
      <c r="AS47" s="6" t="b">
        <v>0</v>
      </c>
      <c r="AT47" s="6" t="s">
        <v>1262</v>
      </c>
      <c r="AU47" s="6" t="s">
        <v>1263</v>
      </c>
      <c r="AV47" s="6" t="s">
        <v>1311</v>
      </c>
      <c r="BA47" t="str">
        <f t="shared" si="0"/>
        <v>insert into nm_RawMatchData values ('Erik', 'NoMythic', 'Practice', 9, 'B2', 2227, 'Red Barge', 'Yes', 0, 0, 0, 0, 0, 0, 0, 0, 0, 0, 0, 0, 0, 'No', '', 'x', 'No', 'x', 'No Card', '2227 tigers browned out? fully in auto and attempted L1 missed and is near the blue reef ', null, null, null);</v>
      </c>
    </row>
    <row r="48" spans="1:56">
      <c r="A48" s="6" t="s">
        <v>1300</v>
      </c>
      <c r="B48" s="6" t="s">
        <v>1301</v>
      </c>
      <c r="C48" s="6" t="s">
        <v>0</v>
      </c>
      <c r="D48" s="6">
        <v>9</v>
      </c>
      <c r="E48" s="6" t="s">
        <v>1266</v>
      </c>
      <c r="F48" s="6">
        <v>2538</v>
      </c>
      <c r="G48" s="6" t="b">
        <v>0</v>
      </c>
      <c r="I48" s="6" t="b">
        <v>1</v>
      </c>
      <c r="J48" s="6" t="b">
        <v>0</v>
      </c>
      <c r="K48" s="6">
        <v>0</v>
      </c>
      <c r="L48" s="6">
        <v>0</v>
      </c>
      <c r="M48" s="6">
        <v>0</v>
      </c>
      <c r="N48" s="6">
        <v>0</v>
      </c>
      <c r="O48" s="6">
        <v>0</v>
      </c>
      <c r="P48" s="6">
        <v>0</v>
      </c>
      <c r="Q48" s="6">
        <v>0</v>
      </c>
      <c r="R48" s="6">
        <v>0</v>
      </c>
      <c r="S48" s="6">
        <v>0</v>
      </c>
      <c r="T48" s="6">
        <v>0</v>
      </c>
      <c r="U48" s="6">
        <v>0</v>
      </c>
      <c r="V48" s="6">
        <v>0</v>
      </c>
      <c r="W48" s="6">
        <v>0</v>
      </c>
      <c r="X48" s="6" t="b">
        <v>1</v>
      </c>
      <c r="Y48" s="6" t="b">
        <v>0</v>
      </c>
      <c r="Z48" s="6">
        <v>2</v>
      </c>
      <c r="AA48" s="6">
        <v>0</v>
      </c>
      <c r="AB48" s="6">
        <v>0</v>
      </c>
      <c r="AC48" s="6">
        <v>0</v>
      </c>
      <c r="AD48" s="6">
        <v>2</v>
      </c>
      <c r="AE48" s="6">
        <v>0</v>
      </c>
      <c r="AF48" s="6">
        <v>0</v>
      </c>
      <c r="AG48" s="6">
        <v>0</v>
      </c>
      <c r="AH48" s="6">
        <v>0</v>
      </c>
      <c r="AI48" s="6">
        <v>0</v>
      </c>
      <c r="AJ48" s="6">
        <v>0</v>
      </c>
      <c r="AK48" s="6" t="s">
        <v>153</v>
      </c>
      <c r="AL48" s="6">
        <v>0</v>
      </c>
      <c r="AM48" s="6" t="b">
        <v>0</v>
      </c>
      <c r="AN48" s="6" t="s">
        <v>153</v>
      </c>
      <c r="AP48" s="6" t="s">
        <v>1262</v>
      </c>
      <c r="AQ48" s="6" t="b">
        <v>0</v>
      </c>
      <c r="AR48" s="6" t="b">
        <v>0</v>
      </c>
      <c r="AS48" s="6" t="b">
        <v>0</v>
      </c>
      <c r="AT48" s="6">
        <v>1</v>
      </c>
      <c r="AU48" s="6" t="s">
        <v>1263</v>
      </c>
      <c r="AV48" s="6" t="s">
        <v>1312</v>
      </c>
      <c r="BA48" t="str">
        <f t="shared" si="0"/>
        <v>insert into nm_RawMatchData values ('Hannah', 'Wind Chill', 'Practice', 9, 'B1', 2538, '', 'No', 0, 0, 0, 0, 0, 0, 0, 0, 0, 0, 0, 2, 0, 'No', '', 'x', 'No', '1', 'No Card', 'Moving around very slow and shaky, looked like maybe a power issue? Brown outs?', null, null, null);</v>
      </c>
    </row>
    <row r="49" spans="1:56">
      <c r="A49" s="6" t="s">
        <v>1296</v>
      </c>
      <c r="B49" s="6" t="s">
        <v>1271</v>
      </c>
      <c r="C49" s="6" t="s">
        <v>0</v>
      </c>
      <c r="D49" s="6">
        <v>9</v>
      </c>
      <c r="E49" s="6" t="s">
        <v>1259</v>
      </c>
      <c r="F49" s="6">
        <v>3018</v>
      </c>
      <c r="G49" s="6" t="b">
        <v>0</v>
      </c>
      <c r="H49" s="6" t="s">
        <v>1260</v>
      </c>
      <c r="I49" s="6" t="b">
        <v>1</v>
      </c>
      <c r="J49" s="6" t="b">
        <v>1</v>
      </c>
      <c r="K49" s="6">
        <v>0</v>
      </c>
      <c r="L49" s="6">
        <v>1</v>
      </c>
      <c r="M49" s="6">
        <v>0</v>
      </c>
      <c r="N49" s="6">
        <v>0</v>
      </c>
      <c r="O49" s="6">
        <v>0</v>
      </c>
      <c r="P49" s="6">
        <v>1</v>
      </c>
      <c r="Q49" s="6">
        <v>0</v>
      </c>
      <c r="R49" s="6">
        <v>0</v>
      </c>
      <c r="S49" s="6">
        <v>0</v>
      </c>
      <c r="T49" s="6">
        <v>0</v>
      </c>
      <c r="U49" s="6">
        <v>0</v>
      </c>
      <c r="V49" s="6">
        <v>0</v>
      </c>
      <c r="W49" s="6">
        <v>0</v>
      </c>
      <c r="X49" s="6" t="b">
        <v>1</v>
      </c>
      <c r="Y49" s="6" t="b">
        <v>0</v>
      </c>
      <c r="Z49" s="6">
        <v>2</v>
      </c>
      <c r="AA49" s="6">
        <v>6</v>
      </c>
      <c r="AB49" s="6">
        <v>1</v>
      </c>
      <c r="AC49" s="6">
        <v>0</v>
      </c>
      <c r="AD49" s="6">
        <v>0</v>
      </c>
      <c r="AE49" s="6">
        <v>0</v>
      </c>
      <c r="AF49" s="6">
        <v>0</v>
      </c>
      <c r="AG49" s="6">
        <v>0</v>
      </c>
      <c r="AH49" s="6">
        <v>0</v>
      </c>
      <c r="AI49" s="6">
        <v>0</v>
      </c>
      <c r="AJ49" s="6">
        <v>0</v>
      </c>
      <c r="AK49" s="6" t="s">
        <v>85</v>
      </c>
      <c r="AL49" s="6">
        <v>0</v>
      </c>
      <c r="AM49" s="6" t="b">
        <v>0</v>
      </c>
      <c r="AN49" s="6" t="s">
        <v>86</v>
      </c>
      <c r="AO49" s="6" t="s">
        <v>1313</v>
      </c>
      <c r="AP49" s="6" t="s">
        <v>1262</v>
      </c>
      <c r="AQ49" s="6" t="b">
        <v>0</v>
      </c>
      <c r="AR49" s="6" t="b">
        <v>0</v>
      </c>
      <c r="AS49" s="6" t="b">
        <v>0</v>
      </c>
      <c r="AT49" s="6">
        <v>1</v>
      </c>
      <c r="AU49" s="6" t="s">
        <v>1263</v>
      </c>
      <c r="AV49" s="6" t="s">
        <v>1314</v>
      </c>
      <c r="BA49" t="str">
        <f t="shared" si="0"/>
        <v>insert into nm_RawMatchData values ('Hannabella ', 'MPArors', 'Practice', 9, 'R2', 3018, 'Red Barge', 'Yes', 0, 0, 1, 0, 0, 0, 0, 0, 6, 1, 0, 0, 0, 'P', 'tried to deep climb', 'x', 'No', '1', 'No Card', 'really versatile robot, works well with alliance partners, and SMOOTH intake, really great funneling', null, null, null);</v>
      </c>
    </row>
    <row r="50" spans="1:56">
      <c r="A50" s="6" t="s">
        <v>1315</v>
      </c>
      <c r="B50" s="6" t="s">
        <v>1280</v>
      </c>
      <c r="C50" s="6" t="s">
        <v>0</v>
      </c>
      <c r="D50" s="6">
        <v>9</v>
      </c>
      <c r="E50" s="6" t="s">
        <v>1281</v>
      </c>
      <c r="F50" s="6">
        <v>2847</v>
      </c>
      <c r="G50" s="6" t="b">
        <v>0</v>
      </c>
      <c r="H50" s="6" t="s">
        <v>57</v>
      </c>
      <c r="I50" s="6" t="b">
        <v>1</v>
      </c>
      <c r="J50" s="6" t="b">
        <v>1</v>
      </c>
      <c r="K50" s="6">
        <v>0</v>
      </c>
      <c r="L50" s="6">
        <v>0</v>
      </c>
      <c r="M50" s="6">
        <v>0</v>
      </c>
      <c r="N50" s="6">
        <v>0</v>
      </c>
      <c r="O50" s="6">
        <v>0</v>
      </c>
      <c r="P50" s="6">
        <v>0</v>
      </c>
      <c r="Q50" s="6">
        <v>0</v>
      </c>
      <c r="R50" s="6">
        <v>0</v>
      </c>
      <c r="S50" s="6">
        <v>0</v>
      </c>
      <c r="T50" s="6">
        <v>0</v>
      </c>
      <c r="U50" s="6">
        <v>0</v>
      </c>
      <c r="V50" s="6">
        <v>0</v>
      </c>
      <c r="W50" s="6">
        <v>0</v>
      </c>
      <c r="X50" s="6" t="b">
        <v>0</v>
      </c>
      <c r="Y50" s="6" t="b">
        <v>0</v>
      </c>
      <c r="Z50" s="6">
        <v>3</v>
      </c>
      <c r="AA50" s="6">
        <v>4</v>
      </c>
      <c r="AB50" s="6">
        <v>4</v>
      </c>
      <c r="AC50" s="6">
        <v>2</v>
      </c>
      <c r="AD50" s="6">
        <v>0</v>
      </c>
      <c r="AE50" s="6">
        <v>0</v>
      </c>
      <c r="AF50" s="6">
        <v>0</v>
      </c>
      <c r="AG50" s="6">
        <v>0</v>
      </c>
      <c r="AH50" s="6">
        <v>3</v>
      </c>
      <c r="AI50" s="6">
        <v>0</v>
      </c>
      <c r="AJ50" s="6">
        <v>0</v>
      </c>
      <c r="AK50" s="6" t="s">
        <v>86</v>
      </c>
      <c r="AL50" s="6">
        <v>0</v>
      </c>
      <c r="AM50" s="6" t="b">
        <v>0</v>
      </c>
      <c r="AN50" s="6" t="s">
        <v>86</v>
      </c>
      <c r="AO50" s="6" t="s">
        <v>1316</v>
      </c>
      <c r="AP50" s="6" t="s">
        <v>1262</v>
      </c>
      <c r="AQ50" s="6" t="b">
        <v>0</v>
      </c>
      <c r="AR50" s="6" t="b">
        <v>0</v>
      </c>
      <c r="AS50" s="6" t="b">
        <v>0</v>
      </c>
      <c r="AT50" s="6" t="s">
        <v>1262</v>
      </c>
      <c r="AU50" s="6" t="s">
        <v>1263</v>
      </c>
      <c r="BA50" t="str">
        <f t="shared" si="0"/>
        <v>insert into nm_RawMatchData values ('M', 'Open Circuits', 'Practice', 9, 'R3', 2847, 'Blue Barge', 'Yes', 0, 0, 0, 0, 0, 0, 0, 0, 4, 4, 2, 0, 0, 'P', 'Very fast park', 'x', 'No', 'x', 'No Card', '', null, null, null);</v>
      </c>
    </row>
    <row r="51" spans="1:56">
      <c r="A51" s="6" t="s">
        <v>1317</v>
      </c>
      <c r="B51" s="6" t="s">
        <v>1258</v>
      </c>
      <c r="C51" s="6" t="s">
        <v>0</v>
      </c>
      <c r="D51" s="6">
        <v>9</v>
      </c>
      <c r="E51" s="6" t="s">
        <v>1269</v>
      </c>
      <c r="F51" s="6">
        <v>3454</v>
      </c>
      <c r="G51" s="6" t="b">
        <v>0</v>
      </c>
      <c r="H51" s="6" t="s">
        <v>57</v>
      </c>
      <c r="I51" s="6" t="b">
        <v>1</v>
      </c>
      <c r="J51" s="6" t="b">
        <v>1</v>
      </c>
      <c r="K51" s="6">
        <v>0</v>
      </c>
      <c r="L51" s="6">
        <v>0</v>
      </c>
      <c r="M51" s="6">
        <v>0</v>
      </c>
      <c r="N51" s="6">
        <v>0</v>
      </c>
      <c r="O51" s="6">
        <v>0</v>
      </c>
      <c r="P51" s="6">
        <v>0</v>
      </c>
      <c r="Q51" s="6">
        <v>1</v>
      </c>
      <c r="R51" s="6">
        <v>0</v>
      </c>
      <c r="S51" s="6">
        <v>0</v>
      </c>
      <c r="T51" s="6">
        <v>0</v>
      </c>
      <c r="U51" s="6">
        <v>0</v>
      </c>
      <c r="V51" s="6">
        <v>0</v>
      </c>
      <c r="W51" s="6">
        <v>0</v>
      </c>
      <c r="X51" s="6" t="b">
        <v>1</v>
      </c>
      <c r="Y51" s="6" t="b">
        <v>0</v>
      </c>
      <c r="Z51" s="6">
        <v>0</v>
      </c>
      <c r="AA51" s="6">
        <v>1</v>
      </c>
      <c r="AB51" s="6">
        <v>0</v>
      </c>
      <c r="AC51" s="6">
        <v>0</v>
      </c>
      <c r="AD51" s="6">
        <v>0</v>
      </c>
      <c r="AE51" s="6">
        <v>1</v>
      </c>
      <c r="AF51" s="6">
        <v>0</v>
      </c>
      <c r="AG51" s="6">
        <v>0</v>
      </c>
      <c r="AH51" s="6">
        <v>0</v>
      </c>
      <c r="AI51" s="6">
        <v>0</v>
      </c>
      <c r="AJ51" s="6">
        <v>0</v>
      </c>
      <c r="AK51" s="6" t="s">
        <v>86</v>
      </c>
      <c r="AL51" s="6">
        <v>0</v>
      </c>
      <c r="AM51" s="6" t="b">
        <v>0</v>
      </c>
      <c r="AN51" s="6" t="s">
        <v>86</v>
      </c>
      <c r="AO51" s="6" t="s">
        <v>1318</v>
      </c>
      <c r="AP51" s="6" t="s">
        <v>1262</v>
      </c>
      <c r="AQ51" s="6" t="b">
        <v>0</v>
      </c>
      <c r="AR51" s="6" t="b">
        <v>1</v>
      </c>
      <c r="AS51" s="6" t="b">
        <v>0</v>
      </c>
      <c r="AT51" s="6" t="s">
        <v>1262</v>
      </c>
      <c r="AU51" s="6" t="s">
        <v>1263</v>
      </c>
      <c r="BA51" t="str">
        <f t="shared" si="0"/>
        <v>insert into nm_RawMatchData values ('Graham ', 'NoMythic', 'Practice', 9, 'B3', 3454, 'Blue Barge', 'Yes', 0, 0, 0, 1, 0, 0, 1, 0, 1, 0, 0, 0, 0, 'P', 'seems like intake bent witch caused elevator to not work', 'x', 'No', 'x', 'No Card', '', null, null, null);</v>
      </c>
    </row>
    <row r="52" spans="1:56">
      <c r="A52" s="6" t="s">
        <v>1306</v>
      </c>
      <c r="B52" s="6" t="s">
        <v>1271</v>
      </c>
      <c r="C52" s="6" t="s">
        <v>0</v>
      </c>
      <c r="D52" s="6">
        <v>9</v>
      </c>
      <c r="E52" s="6" t="s">
        <v>1272</v>
      </c>
      <c r="F52" s="6">
        <v>2846</v>
      </c>
      <c r="G52" s="6" t="b">
        <v>0</v>
      </c>
      <c r="H52" s="6" t="s">
        <v>58</v>
      </c>
      <c r="I52" s="6" t="b">
        <v>1</v>
      </c>
      <c r="J52" s="6" t="b">
        <v>1</v>
      </c>
      <c r="K52" s="6">
        <v>0</v>
      </c>
      <c r="L52" s="6">
        <v>0</v>
      </c>
      <c r="M52" s="6">
        <v>0</v>
      </c>
      <c r="N52" s="6">
        <v>0</v>
      </c>
      <c r="O52" s="6">
        <v>0</v>
      </c>
      <c r="P52" s="6">
        <v>0</v>
      </c>
      <c r="Q52" s="6">
        <v>0</v>
      </c>
      <c r="R52" s="6">
        <v>1</v>
      </c>
      <c r="S52" s="6">
        <v>0</v>
      </c>
      <c r="T52" s="6">
        <v>0</v>
      </c>
      <c r="U52" s="6">
        <v>0</v>
      </c>
      <c r="V52" s="6">
        <v>0</v>
      </c>
      <c r="W52" s="6">
        <v>0</v>
      </c>
      <c r="X52" s="6" t="b">
        <v>1</v>
      </c>
      <c r="Y52" s="6" t="b">
        <v>0</v>
      </c>
      <c r="Z52" s="6">
        <v>1</v>
      </c>
      <c r="AA52" s="6">
        <v>0</v>
      </c>
      <c r="AB52" s="6">
        <v>0</v>
      </c>
      <c r="AC52" s="6">
        <v>0</v>
      </c>
      <c r="AD52" s="6">
        <v>0</v>
      </c>
      <c r="AE52" s="6">
        <v>0</v>
      </c>
      <c r="AF52" s="6">
        <v>0</v>
      </c>
      <c r="AG52" s="6">
        <v>1</v>
      </c>
      <c r="AH52" s="6">
        <v>0</v>
      </c>
      <c r="AI52" s="6">
        <v>0</v>
      </c>
      <c r="AJ52" s="6">
        <v>0</v>
      </c>
      <c r="AK52" s="6" t="s">
        <v>85</v>
      </c>
      <c r="AL52" s="6">
        <v>0</v>
      </c>
      <c r="AM52" s="6" t="b">
        <v>0</v>
      </c>
      <c r="AN52" s="6" t="s">
        <v>153</v>
      </c>
      <c r="AO52" s="6" t="s">
        <v>1319</v>
      </c>
      <c r="AP52" s="6" t="s">
        <v>1262</v>
      </c>
      <c r="AQ52" s="6" t="b">
        <v>0</v>
      </c>
      <c r="AR52" s="6" t="b">
        <v>0</v>
      </c>
      <c r="AS52" s="6" t="b">
        <v>0</v>
      </c>
      <c r="AT52" s="6" t="s">
        <v>1262</v>
      </c>
      <c r="AU52" s="6" t="s">
        <v>1263</v>
      </c>
      <c r="AV52" s="6" t="s">
        <v>1320</v>
      </c>
      <c r="BA52" t="str">
        <f t="shared" si="0"/>
        <v>insert into nm_RawMatchData values ('Jenny', 'MPArors', 'Practice', 9, 'R1', 2846, 'Middle', 'Yes', 0, 0, 0, 0, 0, 0, 0, 0, 0, 0, 0, 0, 0, 'No', 'The robot ran out of power halfway through match.', 'x', 'No', 'x', 'No Card', 'A coral was stuck in the robot.', null, null, null);</v>
      </c>
    </row>
    <row r="53" spans="1:56">
      <c r="A53" s="6" t="s">
        <v>1317</v>
      </c>
      <c r="B53" s="6" t="s">
        <v>1258</v>
      </c>
      <c r="C53" s="6" t="s">
        <v>0</v>
      </c>
      <c r="D53" s="6">
        <v>10</v>
      </c>
      <c r="E53" s="6" t="s">
        <v>1269</v>
      </c>
      <c r="F53" s="6">
        <v>5464</v>
      </c>
      <c r="G53" s="6" t="b">
        <v>0</v>
      </c>
      <c r="H53" s="6" t="s">
        <v>58</v>
      </c>
      <c r="I53" s="6" t="b">
        <v>1</v>
      </c>
      <c r="J53" s="6" t="b">
        <v>1</v>
      </c>
      <c r="K53" s="6">
        <v>1</v>
      </c>
      <c r="L53" s="6">
        <v>0</v>
      </c>
      <c r="M53" s="6">
        <v>0</v>
      </c>
      <c r="N53" s="6">
        <v>1</v>
      </c>
      <c r="O53" s="6">
        <v>0</v>
      </c>
      <c r="P53" s="6">
        <v>0</v>
      </c>
      <c r="Q53" s="6">
        <v>0</v>
      </c>
      <c r="R53" s="6">
        <v>0</v>
      </c>
      <c r="S53" s="6">
        <v>0</v>
      </c>
      <c r="T53" s="6">
        <v>0</v>
      </c>
      <c r="U53" s="6">
        <v>0</v>
      </c>
      <c r="V53" s="6">
        <v>0</v>
      </c>
      <c r="W53" s="6">
        <v>0</v>
      </c>
      <c r="X53" s="6" t="b">
        <v>1</v>
      </c>
      <c r="Y53" s="6" t="b">
        <v>0</v>
      </c>
      <c r="Z53" s="6">
        <v>1</v>
      </c>
      <c r="AA53" s="6">
        <v>6</v>
      </c>
      <c r="AB53" s="6">
        <v>0</v>
      </c>
      <c r="AC53" s="6">
        <v>0</v>
      </c>
      <c r="AD53" s="6">
        <v>0</v>
      </c>
      <c r="AE53" s="6">
        <v>0</v>
      </c>
      <c r="AF53" s="6">
        <v>0</v>
      </c>
      <c r="AG53" s="6">
        <v>0</v>
      </c>
      <c r="AH53" s="6">
        <v>0</v>
      </c>
      <c r="AI53" s="6">
        <v>0</v>
      </c>
      <c r="AJ53" s="6">
        <v>0</v>
      </c>
      <c r="AK53" s="6" t="s">
        <v>85</v>
      </c>
      <c r="AL53" s="6">
        <v>0</v>
      </c>
      <c r="AM53" s="6" t="b">
        <v>0</v>
      </c>
      <c r="AN53" s="6" t="s">
        <v>86</v>
      </c>
      <c r="AP53" s="6" t="s">
        <v>1262</v>
      </c>
      <c r="AQ53" s="6" t="b">
        <v>0</v>
      </c>
      <c r="AR53" s="6" t="b">
        <v>0</v>
      </c>
      <c r="AS53" s="6" t="b">
        <v>0</v>
      </c>
      <c r="AT53" s="6" t="s">
        <v>1262</v>
      </c>
      <c r="AU53" s="6" t="s">
        <v>1263</v>
      </c>
      <c r="BA53" t="str">
        <f t="shared" si="0"/>
        <v>insert into nm_RawMatchData values ('Graham ', 'NoMythic', 'Practice', 10, 'B3', 5464, 'Middle', 'Yes', 1, 0, 0, 0, 0, 0, 0, 0, 6, 0, 0, 0, 0, 'P', '', 'x', 'No', 'x', 'No Card', '', null, null, null);</v>
      </c>
    </row>
    <row r="54" spans="1:56">
      <c r="A54" s="6" t="s">
        <v>1306</v>
      </c>
      <c r="B54" s="6" t="s">
        <v>1271</v>
      </c>
      <c r="C54" s="6" t="s">
        <v>0</v>
      </c>
      <c r="D54" s="6">
        <v>10</v>
      </c>
      <c r="E54" s="6" t="s">
        <v>1272</v>
      </c>
      <c r="F54" s="6">
        <v>3630</v>
      </c>
      <c r="G54" s="6" t="b">
        <v>0</v>
      </c>
      <c r="H54" s="6" t="s">
        <v>1260</v>
      </c>
      <c r="I54" s="6" t="b">
        <v>1</v>
      </c>
      <c r="J54" s="6" t="b">
        <v>1</v>
      </c>
      <c r="K54" s="6">
        <v>0</v>
      </c>
      <c r="L54" s="6">
        <v>1</v>
      </c>
      <c r="M54" s="6">
        <v>0</v>
      </c>
      <c r="N54" s="6">
        <v>1</v>
      </c>
      <c r="O54" s="6">
        <v>0</v>
      </c>
      <c r="P54" s="6">
        <v>0</v>
      </c>
      <c r="Q54" s="6">
        <v>0</v>
      </c>
      <c r="R54" s="6">
        <v>1</v>
      </c>
      <c r="S54" s="6">
        <v>0</v>
      </c>
      <c r="T54" s="6">
        <v>0</v>
      </c>
      <c r="U54" s="6">
        <v>0</v>
      </c>
      <c r="V54" s="6">
        <v>0</v>
      </c>
      <c r="W54" s="6">
        <v>0</v>
      </c>
      <c r="X54" s="6" t="b">
        <v>1</v>
      </c>
      <c r="Y54" s="6" t="b">
        <v>0</v>
      </c>
      <c r="Z54" s="6">
        <v>3</v>
      </c>
      <c r="AA54" s="6">
        <v>5</v>
      </c>
      <c r="AB54" s="6">
        <v>1</v>
      </c>
      <c r="AC54" s="6">
        <v>0</v>
      </c>
      <c r="AD54" s="6">
        <v>0</v>
      </c>
      <c r="AE54" s="6">
        <v>0</v>
      </c>
      <c r="AF54" s="6">
        <v>0</v>
      </c>
      <c r="AG54" s="6">
        <v>0</v>
      </c>
      <c r="AH54" s="6">
        <v>0</v>
      </c>
      <c r="AI54" s="6">
        <v>0</v>
      </c>
      <c r="AJ54" s="6">
        <v>0</v>
      </c>
      <c r="AK54" s="6" t="s">
        <v>85</v>
      </c>
      <c r="AL54" s="6">
        <v>0</v>
      </c>
      <c r="AM54" s="6" t="b">
        <v>0</v>
      </c>
      <c r="AN54" s="6" t="s">
        <v>85</v>
      </c>
      <c r="AP54" s="6" t="s">
        <v>1262</v>
      </c>
      <c r="AQ54" s="6" t="b">
        <v>0</v>
      </c>
      <c r="AR54" s="6" t="b">
        <v>0</v>
      </c>
      <c r="AS54" s="6" t="b">
        <v>0</v>
      </c>
      <c r="AT54" s="6" t="s">
        <v>1262</v>
      </c>
      <c r="AU54" s="6" t="s">
        <v>1263</v>
      </c>
      <c r="AV54" s="6"/>
      <c r="AW54" s="6"/>
      <c r="AX54" s="6"/>
      <c r="AY54" s="6"/>
      <c r="AZ54" s="6"/>
      <c r="BA54" t="str">
        <f t="shared" si="0"/>
        <v>insert into nm_RawMatchData values ('Jenny', 'MPArors', 'Practice', 10, 'R1', 3630, 'Red Barge', 'Yes', 1, 0, 0, 0, 0, 0, 0, 0, 5, 1, 0, 0, 0, 'Dc', '', 'x', 'No', 'x', 'No Card', '', null, null, null);</v>
      </c>
      <c r="BB54" s="6"/>
      <c r="BC54" s="6"/>
      <c r="BD54" s="6"/>
    </row>
    <row r="55" spans="1:56">
      <c r="A55" s="6" t="s">
        <v>1315</v>
      </c>
      <c r="B55" s="6" t="s">
        <v>1280</v>
      </c>
      <c r="C55" s="6" t="s">
        <v>0</v>
      </c>
      <c r="D55" s="6">
        <v>10</v>
      </c>
      <c r="E55" s="6" t="s">
        <v>1281</v>
      </c>
      <c r="F55" s="6">
        <v>7849</v>
      </c>
      <c r="G55" s="6" t="b">
        <v>0</v>
      </c>
      <c r="H55" s="6" t="s">
        <v>57</v>
      </c>
      <c r="I55" s="6" t="b">
        <v>1</v>
      </c>
      <c r="J55" s="6" t="b">
        <v>1</v>
      </c>
      <c r="K55" s="6">
        <v>1</v>
      </c>
      <c r="L55" s="6">
        <v>0</v>
      </c>
      <c r="M55" s="6">
        <v>0</v>
      </c>
      <c r="N55" s="6">
        <v>0</v>
      </c>
      <c r="O55" s="6">
        <v>0</v>
      </c>
      <c r="P55" s="6">
        <v>0</v>
      </c>
      <c r="Q55" s="6">
        <v>1</v>
      </c>
      <c r="R55" s="6">
        <v>0</v>
      </c>
      <c r="S55" s="6">
        <v>0</v>
      </c>
      <c r="T55" s="6">
        <v>0</v>
      </c>
      <c r="U55" s="6">
        <v>0</v>
      </c>
      <c r="V55" s="6">
        <v>0</v>
      </c>
      <c r="W55" s="6">
        <v>0</v>
      </c>
      <c r="X55" s="6" t="b">
        <v>1</v>
      </c>
      <c r="Y55" s="6" t="b">
        <v>0</v>
      </c>
      <c r="Z55" s="6">
        <v>3</v>
      </c>
      <c r="AA55" s="6">
        <v>0</v>
      </c>
      <c r="AB55" s="6">
        <v>3</v>
      </c>
      <c r="AC55" s="6">
        <v>0</v>
      </c>
      <c r="AD55" s="6">
        <v>0</v>
      </c>
      <c r="AE55" s="6">
        <v>0</v>
      </c>
      <c r="AF55" s="6">
        <v>0</v>
      </c>
      <c r="AG55" s="6">
        <v>0</v>
      </c>
      <c r="AH55" s="6">
        <v>0</v>
      </c>
      <c r="AI55" s="6">
        <v>0</v>
      </c>
      <c r="AJ55" s="6">
        <v>0</v>
      </c>
      <c r="AK55" s="6" t="s">
        <v>86</v>
      </c>
      <c r="AL55" s="6">
        <v>0</v>
      </c>
      <c r="AM55" s="6" t="b">
        <v>0</v>
      </c>
      <c r="AN55" s="6" t="s">
        <v>86</v>
      </c>
      <c r="AO55" s="6" t="s">
        <v>1321</v>
      </c>
      <c r="AP55" s="6" t="s">
        <v>1262</v>
      </c>
      <c r="AQ55" s="6" t="b">
        <v>0</v>
      </c>
      <c r="AR55" s="6" t="b">
        <v>0</v>
      </c>
      <c r="AS55" s="6" t="b">
        <v>0</v>
      </c>
      <c r="AT55" s="6" t="s">
        <v>1262</v>
      </c>
      <c r="AU55" s="6" t="s">
        <v>1263</v>
      </c>
      <c r="BA55" t="str">
        <f t="shared" si="0"/>
        <v>insert into nm_RawMatchData values ('M', 'Open Circuits', 'Practice', 10, 'R3', 7849, 'Blue Barge', 'Yes', 0, 0, 0, 1, 0, 0, 0, 0, 0, 3, 0, 0, 0, 'P', 'Early park (20s)', 'x', 'No', 'x', 'No Card', '', null, null, null);</v>
      </c>
    </row>
    <row r="56" spans="1:56">
      <c r="A56" s="6" t="s">
        <v>1291</v>
      </c>
      <c r="B56" s="6" t="s">
        <v>1258</v>
      </c>
      <c r="C56" s="6" t="s">
        <v>0</v>
      </c>
      <c r="D56" s="6">
        <v>10</v>
      </c>
      <c r="E56" s="6" t="s">
        <v>1276</v>
      </c>
      <c r="F56" s="6">
        <v>8570</v>
      </c>
      <c r="G56" s="6" t="b">
        <v>0</v>
      </c>
      <c r="H56" s="6" t="s">
        <v>57</v>
      </c>
      <c r="I56" s="6" t="b">
        <v>1</v>
      </c>
      <c r="J56" s="6" t="b">
        <v>1</v>
      </c>
      <c r="K56" s="6">
        <v>0</v>
      </c>
      <c r="L56" s="6">
        <v>1</v>
      </c>
      <c r="M56" s="6">
        <v>0</v>
      </c>
      <c r="N56" s="6">
        <v>0</v>
      </c>
      <c r="O56" s="6">
        <v>0</v>
      </c>
      <c r="P56" s="6">
        <v>1</v>
      </c>
      <c r="Q56" s="6">
        <v>0</v>
      </c>
      <c r="R56" s="6">
        <v>1</v>
      </c>
      <c r="S56" s="6">
        <v>0</v>
      </c>
      <c r="T56" s="6">
        <v>0</v>
      </c>
      <c r="U56" s="6">
        <v>0</v>
      </c>
      <c r="V56" s="6">
        <v>0</v>
      </c>
      <c r="W56" s="6">
        <v>0</v>
      </c>
      <c r="X56" s="6" t="b">
        <v>1</v>
      </c>
      <c r="Y56" s="6" t="b">
        <v>1</v>
      </c>
      <c r="Z56" s="6">
        <v>0</v>
      </c>
      <c r="AA56" s="6">
        <v>0</v>
      </c>
      <c r="AB56" s="6">
        <v>1</v>
      </c>
      <c r="AC56" s="6">
        <v>3</v>
      </c>
      <c r="AD56" s="6">
        <v>5</v>
      </c>
      <c r="AE56" s="6">
        <v>1</v>
      </c>
      <c r="AF56" s="6">
        <v>0</v>
      </c>
      <c r="AG56" s="6">
        <v>0</v>
      </c>
      <c r="AH56" s="6">
        <v>0</v>
      </c>
      <c r="AI56" s="6">
        <v>1</v>
      </c>
      <c r="AJ56" s="6">
        <v>1</v>
      </c>
      <c r="AK56" s="6" t="s">
        <v>85</v>
      </c>
      <c r="AL56" s="6">
        <v>0</v>
      </c>
      <c r="AM56" s="6" t="b">
        <v>0</v>
      </c>
      <c r="AN56" s="6" t="s">
        <v>153</v>
      </c>
      <c r="AO56" s="6" t="s">
        <v>1322</v>
      </c>
      <c r="AP56" s="6" t="s">
        <v>1262</v>
      </c>
      <c r="AQ56" s="6" t="b">
        <v>0</v>
      </c>
      <c r="AR56" s="6" t="b">
        <v>0</v>
      </c>
      <c r="AS56" s="6" t="b">
        <v>0</v>
      </c>
      <c r="AT56" s="6" t="s">
        <v>1262</v>
      </c>
      <c r="AU56" s="6" t="s">
        <v>1263</v>
      </c>
      <c r="AV56" s="6" t="s">
        <v>1323</v>
      </c>
      <c r="BA56" t="str">
        <f t="shared" si="0"/>
        <v>insert into nm_RawMatchData values ('Erik', 'NoMythic', 'Practice', 10, 'B2', 8570, 'Blue Barge', 'Yes', 0, 0, 1, 0, 0, 0, 1, 0, 0, 1, 3, 5, 0, 'No', 'possibly no point ', 'x', 'No', 'x', 'No Card', 'impressive floor coral pickup and got high centered on alge', null, null, null);</v>
      </c>
    </row>
    <row r="57" spans="1:56">
      <c r="A57" s="6" t="s">
        <v>1324</v>
      </c>
      <c r="B57" s="6" t="s">
        <v>1301</v>
      </c>
      <c r="C57" s="6" t="s">
        <v>0</v>
      </c>
      <c r="D57" s="6">
        <v>10</v>
      </c>
      <c r="E57" s="6" t="s">
        <v>1266</v>
      </c>
      <c r="F57" s="6">
        <v>4229</v>
      </c>
      <c r="G57" s="6" t="b">
        <v>0</v>
      </c>
      <c r="H57" s="6" t="s">
        <v>1260</v>
      </c>
      <c r="I57" s="6" t="b">
        <v>1</v>
      </c>
      <c r="J57" s="6" t="b">
        <v>0</v>
      </c>
      <c r="K57" s="6">
        <v>0</v>
      </c>
      <c r="L57" s="6">
        <v>0</v>
      </c>
      <c r="M57" s="6">
        <v>0</v>
      </c>
      <c r="N57" s="6">
        <v>0</v>
      </c>
      <c r="O57" s="6">
        <v>0</v>
      </c>
      <c r="P57" s="6">
        <v>0</v>
      </c>
      <c r="Q57" s="6">
        <v>0</v>
      </c>
      <c r="R57" s="6">
        <v>0</v>
      </c>
      <c r="S57" s="6">
        <v>0</v>
      </c>
      <c r="T57" s="6">
        <v>0</v>
      </c>
      <c r="U57" s="6">
        <v>0</v>
      </c>
      <c r="V57" s="6">
        <v>0</v>
      </c>
      <c r="W57" s="6">
        <v>0</v>
      </c>
      <c r="X57" s="6" t="b">
        <v>0</v>
      </c>
      <c r="Y57" s="6" t="b">
        <v>0</v>
      </c>
      <c r="Z57" s="6">
        <v>0</v>
      </c>
      <c r="AA57" s="6">
        <v>0</v>
      </c>
      <c r="AB57" s="6">
        <v>0</v>
      </c>
      <c r="AC57" s="6">
        <v>0</v>
      </c>
      <c r="AD57" s="6">
        <v>0</v>
      </c>
      <c r="AE57" s="6">
        <v>0</v>
      </c>
      <c r="AF57" s="6">
        <v>0</v>
      </c>
      <c r="AG57" s="6">
        <v>0</v>
      </c>
      <c r="AH57" s="6">
        <v>0</v>
      </c>
      <c r="AI57" s="6">
        <v>0</v>
      </c>
      <c r="AJ57" s="6">
        <v>1</v>
      </c>
      <c r="AK57" s="6" t="s">
        <v>153</v>
      </c>
      <c r="AL57" s="6">
        <v>0</v>
      </c>
      <c r="AM57" s="6" t="b">
        <v>0</v>
      </c>
      <c r="AN57" s="6" t="s">
        <v>153</v>
      </c>
      <c r="AO57" s="6" t="s">
        <v>1325</v>
      </c>
      <c r="AP57" s="6" t="s">
        <v>1262</v>
      </c>
      <c r="AQ57" s="6" t="b">
        <v>0</v>
      </c>
      <c r="AR57" s="6" t="b">
        <v>0</v>
      </c>
      <c r="AS57" s="6" t="b">
        <v>0</v>
      </c>
      <c r="AT57" s="6" t="s">
        <v>1262</v>
      </c>
      <c r="AU57" s="6" t="s">
        <v>1263</v>
      </c>
      <c r="BA57" t="str">
        <f t="shared" si="0"/>
        <v>insert into nm_RawMatchData values ('Annika', 'Wind Chill', 'Practice', 10, 'B1', 4229, 'Red Barge', 'No', 0, 0, 0, 0, 0, 0, 0, 0, 0, 0, 0, 0, 0, 'No', 'was in the red barge zone at the very beginning of end game ', 'x', 'No', 'x', 'No Card', '', null, null, null);</v>
      </c>
    </row>
    <row r="58" spans="1:56">
      <c r="A58" s="6" t="s">
        <v>1291</v>
      </c>
      <c r="B58" s="6" t="s">
        <v>1258</v>
      </c>
      <c r="C58" s="6" t="s">
        <v>0</v>
      </c>
      <c r="D58" s="6">
        <v>11</v>
      </c>
      <c r="E58" s="6" t="s">
        <v>1276</v>
      </c>
      <c r="F58" s="6">
        <v>2207</v>
      </c>
      <c r="G58" s="6" t="b">
        <v>0</v>
      </c>
      <c r="H58" s="6" t="s">
        <v>1260</v>
      </c>
      <c r="I58" s="6" t="b">
        <v>1</v>
      </c>
      <c r="J58" s="6" t="b">
        <v>1</v>
      </c>
      <c r="K58" s="6">
        <v>0</v>
      </c>
      <c r="L58" s="6">
        <v>0</v>
      </c>
      <c r="M58" s="6">
        <v>0</v>
      </c>
      <c r="N58" s="6">
        <v>0</v>
      </c>
      <c r="O58" s="6">
        <v>0</v>
      </c>
      <c r="P58" s="6">
        <v>0</v>
      </c>
      <c r="Q58" s="6">
        <v>0</v>
      </c>
      <c r="R58" s="6">
        <v>2</v>
      </c>
      <c r="S58" s="6">
        <v>0</v>
      </c>
      <c r="T58" s="6">
        <v>0</v>
      </c>
      <c r="U58" s="6">
        <v>0</v>
      </c>
      <c r="V58" s="6">
        <v>0</v>
      </c>
      <c r="W58" s="6">
        <v>0</v>
      </c>
      <c r="X58" s="6" t="b">
        <v>0</v>
      </c>
      <c r="Y58" s="6" t="b">
        <v>0</v>
      </c>
      <c r="Z58" s="6">
        <v>0</v>
      </c>
      <c r="AA58" s="6">
        <v>0</v>
      </c>
      <c r="AB58" s="6">
        <v>0</v>
      </c>
      <c r="AC58" s="6">
        <v>0</v>
      </c>
      <c r="AD58" s="6">
        <v>0</v>
      </c>
      <c r="AE58" s="6">
        <v>0</v>
      </c>
      <c r="AF58" s="6">
        <v>0</v>
      </c>
      <c r="AG58" s="6">
        <v>1</v>
      </c>
      <c r="AH58" s="6">
        <v>1</v>
      </c>
      <c r="AI58" s="6">
        <v>1</v>
      </c>
      <c r="AJ58" s="6">
        <v>0</v>
      </c>
      <c r="AK58" s="6" t="s">
        <v>85</v>
      </c>
      <c r="AL58" s="6">
        <v>0</v>
      </c>
      <c r="AM58" s="6" t="b">
        <v>0</v>
      </c>
      <c r="AN58" s="6" t="s">
        <v>153</v>
      </c>
      <c r="AO58" s="6" t="s">
        <v>1326</v>
      </c>
      <c r="AP58" s="6" t="s">
        <v>1262</v>
      </c>
      <c r="AQ58" s="6" t="b">
        <v>0</v>
      </c>
      <c r="AR58" s="6" t="b">
        <v>0</v>
      </c>
      <c r="AS58" s="6" t="b">
        <v>0</v>
      </c>
      <c r="AT58" s="6" t="s">
        <v>1262</v>
      </c>
      <c r="AU58" s="6" t="s">
        <v>1263</v>
      </c>
      <c r="AV58" s="6" t="s">
        <v>1327</v>
      </c>
      <c r="BA58" t="str">
        <f t="shared" si="0"/>
        <v>insert into nm_RawMatchData values ('Erik', 'NoMythic', 'Practice', 11, 'B2', 2207, 'Red Barge', 'Yes', 0, 0, 0, 0, 0, 0, 0, 0, 0, 0, 0, 0, 0, 'No', 'no deep climb', 'x', 'No', 'x', 'No Card', 'looks like comms issues or robot issues', null, null, null);</v>
      </c>
    </row>
    <row r="59" spans="1:56">
      <c r="A59" s="6" t="s">
        <v>1324</v>
      </c>
      <c r="B59" s="6" t="s">
        <v>1301</v>
      </c>
      <c r="C59" s="6" t="s">
        <v>0</v>
      </c>
      <c r="D59" s="6">
        <v>11</v>
      </c>
      <c r="E59" s="6" t="s">
        <v>1266</v>
      </c>
      <c r="F59" s="6">
        <v>2511</v>
      </c>
      <c r="G59" s="6" t="b">
        <v>0</v>
      </c>
      <c r="H59" s="6" t="s">
        <v>58</v>
      </c>
      <c r="I59" s="6" t="b">
        <v>0</v>
      </c>
      <c r="J59" s="6" t="b">
        <v>0</v>
      </c>
      <c r="K59" s="6">
        <v>0</v>
      </c>
      <c r="L59" s="6">
        <v>0</v>
      </c>
      <c r="M59" s="6">
        <v>0</v>
      </c>
      <c r="N59" s="6">
        <v>0</v>
      </c>
      <c r="O59" s="6">
        <v>0</v>
      </c>
      <c r="P59" s="6">
        <v>0</v>
      </c>
      <c r="Q59" s="6">
        <v>0</v>
      </c>
      <c r="R59" s="6">
        <v>0</v>
      </c>
      <c r="S59" s="6">
        <v>0</v>
      </c>
      <c r="T59" s="6">
        <v>0</v>
      </c>
      <c r="U59" s="6">
        <v>0</v>
      </c>
      <c r="V59" s="6">
        <v>0</v>
      </c>
      <c r="W59" s="6">
        <v>0</v>
      </c>
      <c r="X59" s="6" t="b">
        <v>0</v>
      </c>
      <c r="Y59" s="6" t="b">
        <v>0</v>
      </c>
      <c r="Z59" s="6">
        <v>0</v>
      </c>
      <c r="AA59" s="6">
        <v>0</v>
      </c>
      <c r="AB59" s="6">
        <v>0</v>
      </c>
      <c r="AC59" s="6">
        <v>0</v>
      </c>
      <c r="AD59" s="6">
        <v>0</v>
      </c>
      <c r="AE59" s="6">
        <v>0</v>
      </c>
      <c r="AF59" s="6">
        <v>0</v>
      </c>
      <c r="AG59" s="6">
        <v>0</v>
      </c>
      <c r="AH59" s="6">
        <v>0</v>
      </c>
      <c r="AI59" s="6">
        <v>0</v>
      </c>
      <c r="AJ59" s="6">
        <v>0</v>
      </c>
      <c r="AK59" s="6" t="s">
        <v>153</v>
      </c>
      <c r="AL59" s="6">
        <v>0</v>
      </c>
      <c r="AM59" s="6" t="b">
        <v>0</v>
      </c>
      <c r="AN59" s="6" t="s">
        <v>153</v>
      </c>
      <c r="AP59" s="6" t="s">
        <v>1262</v>
      </c>
      <c r="AQ59" s="6" t="b">
        <v>0</v>
      </c>
      <c r="AR59" s="6" t="b">
        <v>0</v>
      </c>
      <c r="AS59" s="6" t="b">
        <v>1</v>
      </c>
      <c r="AT59" s="6" t="s">
        <v>1262</v>
      </c>
      <c r="AU59" s="6" t="s">
        <v>1263</v>
      </c>
      <c r="AV59" s="6" t="s">
        <v>1328</v>
      </c>
      <c r="BA59" t="str">
        <f t="shared" si="0"/>
        <v>insert into nm_RawMatchData values ('Annika', 'Wind Chill', 'Practice', 11, 'B1', 2511, 'Middle', 'No', 0, 0, 0, 0, 0, 0, 0, 0, 0, 0, 0, 0, 0, 'No', '', 'x', 'Yes', 'x', 'No Card', 'ran into barge', null, null, null);</v>
      </c>
    </row>
    <row r="60" spans="1:56">
      <c r="A60" s="6" t="s">
        <v>1317</v>
      </c>
      <c r="B60" s="6" t="s">
        <v>1258</v>
      </c>
      <c r="C60" s="6" t="s">
        <v>0</v>
      </c>
      <c r="D60" s="6">
        <v>11</v>
      </c>
      <c r="E60" s="6" t="s">
        <v>1269</v>
      </c>
      <c r="F60" s="6">
        <v>2472</v>
      </c>
      <c r="G60" s="6" t="b">
        <v>0</v>
      </c>
      <c r="H60" s="6" t="s">
        <v>58</v>
      </c>
      <c r="I60" s="6" t="b">
        <v>1</v>
      </c>
      <c r="J60" s="6" t="b">
        <v>1</v>
      </c>
      <c r="K60" s="6">
        <v>1</v>
      </c>
      <c r="L60" s="6">
        <v>0</v>
      </c>
      <c r="M60" s="6">
        <v>0</v>
      </c>
      <c r="N60" s="6">
        <v>1</v>
      </c>
      <c r="O60" s="6">
        <v>0</v>
      </c>
      <c r="P60" s="6">
        <v>0</v>
      </c>
      <c r="Q60" s="6">
        <v>0</v>
      </c>
      <c r="R60" s="6">
        <v>0</v>
      </c>
      <c r="S60" s="6">
        <v>0</v>
      </c>
      <c r="T60" s="6">
        <v>0</v>
      </c>
      <c r="U60" s="6">
        <v>0</v>
      </c>
      <c r="V60" s="6">
        <v>0</v>
      </c>
      <c r="W60" s="6">
        <v>0</v>
      </c>
      <c r="X60" s="6" t="b">
        <v>1</v>
      </c>
      <c r="Y60" s="6" t="b">
        <v>0</v>
      </c>
      <c r="Z60" s="6">
        <v>0</v>
      </c>
      <c r="AA60" s="6">
        <v>5</v>
      </c>
      <c r="AB60" s="6">
        <v>0</v>
      </c>
      <c r="AC60" s="6">
        <v>0</v>
      </c>
      <c r="AD60" s="6">
        <v>1</v>
      </c>
      <c r="AE60" s="6">
        <v>2</v>
      </c>
      <c r="AF60" s="6">
        <v>0</v>
      </c>
      <c r="AG60" s="6">
        <v>0</v>
      </c>
      <c r="AH60" s="6">
        <v>0</v>
      </c>
      <c r="AI60" s="6">
        <v>0</v>
      </c>
      <c r="AJ60" s="6">
        <v>3</v>
      </c>
      <c r="AK60" s="6" t="s">
        <v>86</v>
      </c>
      <c r="AL60" s="6">
        <v>0</v>
      </c>
      <c r="AM60" s="6" t="b">
        <v>0</v>
      </c>
      <c r="AN60" s="6" t="s">
        <v>86</v>
      </c>
      <c r="AP60" s="6" t="s">
        <v>1262</v>
      </c>
      <c r="AQ60" s="6" t="b">
        <v>0</v>
      </c>
      <c r="AR60" s="6" t="b">
        <v>0</v>
      </c>
      <c r="AS60" s="6" t="b">
        <v>0</v>
      </c>
      <c r="AT60" s="6" t="s">
        <v>1262</v>
      </c>
      <c r="AU60" s="6" t="s">
        <v>1263</v>
      </c>
      <c r="BA60" t="str">
        <f t="shared" si="0"/>
        <v>insert into nm_RawMatchData values ('Graham ', 'NoMythic', 'Practice', 11, 'B3', 2472, 'Middle', 'Yes', 1, 0, 0, 0, 0, 0, 2, 0, 5, 0, 0, 1, 0, 'P', '', 'x', 'No', 'x', 'No Card', '', null, null, null);</v>
      </c>
    </row>
    <row r="61" spans="1:56">
      <c r="A61" s="6" t="s">
        <v>1296</v>
      </c>
      <c r="B61" s="6" t="s">
        <v>1271</v>
      </c>
      <c r="C61" s="6" t="s">
        <v>0</v>
      </c>
      <c r="D61" s="6">
        <v>11</v>
      </c>
      <c r="E61" s="6" t="s">
        <v>1259</v>
      </c>
      <c r="F61" s="6">
        <v>3297</v>
      </c>
      <c r="G61" s="6" t="b">
        <v>0</v>
      </c>
      <c r="H61" s="6" t="s">
        <v>57</v>
      </c>
      <c r="I61" s="6" t="b">
        <v>1</v>
      </c>
      <c r="J61" s="6" t="b">
        <v>1</v>
      </c>
      <c r="K61" s="6">
        <v>0</v>
      </c>
      <c r="L61" s="6">
        <v>0</v>
      </c>
      <c r="M61" s="6">
        <v>1</v>
      </c>
      <c r="N61" s="6">
        <v>1</v>
      </c>
      <c r="O61" s="6">
        <v>0</v>
      </c>
      <c r="P61" s="6">
        <v>0</v>
      </c>
      <c r="Q61" s="6">
        <v>0</v>
      </c>
      <c r="R61" s="6">
        <v>0</v>
      </c>
      <c r="S61" s="6">
        <v>0</v>
      </c>
      <c r="T61" s="6">
        <v>0</v>
      </c>
      <c r="U61" s="6">
        <v>0</v>
      </c>
      <c r="V61" s="6">
        <v>0</v>
      </c>
      <c r="W61" s="6">
        <v>0</v>
      </c>
      <c r="X61" s="6" t="b">
        <v>0</v>
      </c>
      <c r="Y61" s="6" t="b">
        <v>1</v>
      </c>
      <c r="Z61" s="6">
        <v>1</v>
      </c>
      <c r="AA61" s="6">
        <v>3</v>
      </c>
      <c r="AB61" s="6">
        <v>0</v>
      </c>
      <c r="AC61" s="6">
        <v>0</v>
      </c>
      <c r="AD61" s="6">
        <v>0</v>
      </c>
      <c r="AE61" s="6">
        <v>1</v>
      </c>
      <c r="AF61" s="6">
        <v>2</v>
      </c>
      <c r="AG61" s="6">
        <v>1</v>
      </c>
      <c r="AH61" s="6">
        <v>0</v>
      </c>
      <c r="AI61" s="6">
        <v>0</v>
      </c>
      <c r="AJ61" s="6">
        <v>4</v>
      </c>
      <c r="AK61" s="6" t="s">
        <v>85</v>
      </c>
      <c r="AL61" s="6">
        <v>0</v>
      </c>
      <c r="AM61" s="6" t="b">
        <v>1</v>
      </c>
      <c r="AN61" s="6" t="s">
        <v>85</v>
      </c>
      <c r="AO61" s="6" t="s">
        <v>1329</v>
      </c>
      <c r="AP61" s="6" t="s">
        <v>1262</v>
      </c>
      <c r="AQ61" s="6" t="b">
        <v>0</v>
      </c>
      <c r="AR61" s="6" t="b">
        <v>0</v>
      </c>
      <c r="AS61" s="6" t="b">
        <v>0</v>
      </c>
      <c r="AT61" s="6" t="s">
        <v>1262</v>
      </c>
      <c r="AU61" s="6" t="s">
        <v>1263</v>
      </c>
      <c r="AV61" s="6" t="s">
        <v>1330</v>
      </c>
      <c r="BA61" t="str">
        <f t="shared" si="0"/>
        <v>insert into nm_RawMatchData values ('Hannabella ', 'MPArors', 'Practice', 11, 'R2', 3297, 'Blue Barge', 'Yes', 1, 0, 0, 0, 0, 0, 1, 2, 3, 0, 0, 0, 0, 'Dc', 'wow', 'x', 'No', 'x', 'No Card', 'versatile!!! really cool ground intake!!! its so tall!! :)', null, null, null);</v>
      </c>
    </row>
    <row r="62" spans="1:56">
      <c r="A62" s="6" t="s">
        <v>1315</v>
      </c>
      <c r="B62" s="6" t="s">
        <v>1280</v>
      </c>
      <c r="C62" s="6" t="s">
        <v>0</v>
      </c>
      <c r="D62" s="6">
        <v>11</v>
      </c>
      <c r="E62" s="6" t="s">
        <v>1281</v>
      </c>
      <c r="F62" s="6">
        <v>2502</v>
      </c>
      <c r="G62" s="6" t="b">
        <v>0</v>
      </c>
      <c r="H62" s="6" t="s">
        <v>58</v>
      </c>
      <c r="I62" s="6" t="b">
        <v>1</v>
      </c>
      <c r="J62" s="6" t="b">
        <v>1</v>
      </c>
      <c r="K62" s="6">
        <v>0</v>
      </c>
      <c r="L62" s="6">
        <v>0</v>
      </c>
      <c r="M62" s="6">
        <v>0</v>
      </c>
      <c r="N62" s="6">
        <v>0</v>
      </c>
      <c r="O62" s="6">
        <v>0</v>
      </c>
      <c r="P62" s="6">
        <v>0</v>
      </c>
      <c r="Q62" s="6">
        <v>0</v>
      </c>
      <c r="R62" s="6">
        <v>0</v>
      </c>
      <c r="S62" s="6">
        <v>0</v>
      </c>
      <c r="T62" s="6">
        <v>0</v>
      </c>
      <c r="U62" s="6">
        <v>0</v>
      </c>
      <c r="V62" s="6">
        <v>0</v>
      </c>
      <c r="W62" s="6">
        <v>0</v>
      </c>
      <c r="X62" s="6" t="b">
        <v>1</v>
      </c>
      <c r="Y62" s="6" t="b">
        <v>0</v>
      </c>
      <c r="Z62" s="6">
        <v>6</v>
      </c>
      <c r="AA62" s="6">
        <v>3</v>
      </c>
      <c r="AB62" s="6">
        <v>1</v>
      </c>
      <c r="AC62" s="6">
        <v>0</v>
      </c>
      <c r="AD62" s="6">
        <v>1</v>
      </c>
      <c r="AE62" s="6">
        <v>0</v>
      </c>
      <c r="AF62" s="6">
        <v>0</v>
      </c>
      <c r="AG62" s="6">
        <v>0</v>
      </c>
      <c r="AH62" s="6">
        <v>0</v>
      </c>
      <c r="AI62" s="6">
        <v>1</v>
      </c>
      <c r="AJ62" s="6">
        <v>0</v>
      </c>
      <c r="AK62" s="6" t="s">
        <v>85</v>
      </c>
      <c r="AL62" s="6">
        <v>11.88</v>
      </c>
      <c r="AM62" s="6" t="b">
        <v>0</v>
      </c>
      <c r="AN62" s="6" t="s">
        <v>85</v>
      </c>
      <c r="AP62" s="6" t="s">
        <v>1262</v>
      </c>
      <c r="AQ62" s="6" t="b">
        <v>0</v>
      </c>
      <c r="AR62" s="6" t="b">
        <v>0</v>
      </c>
      <c r="AS62" s="6" t="b">
        <v>0</v>
      </c>
      <c r="AT62" s="6" t="s">
        <v>1262</v>
      </c>
      <c r="AU62" s="6" t="s">
        <v>1263</v>
      </c>
      <c r="BA62" t="str">
        <f t="shared" si="0"/>
        <v>insert into nm_RawMatchData values ('M', 'Open Circuits', 'Practice', 11, 'R3', 2502, 'Middle', 'Yes', 0, 0, 0, 0, 0, 0, 0, 0, 3, 1, 0, 1, 11.88, 'Dc', '', 'x', 'No', 'x', 'No Card', '', null, null, null);</v>
      </c>
    </row>
    <row r="63" spans="1:56">
      <c r="A63" s="6" t="s">
        <v>1324</v>
      </c>
      <c r="B63" s="6" t="s">
        <v>1301</v>
      </c>
      <c r="C63" s="6" t="s">
        <v>0</v>
      </c>
      <c r="D63" s="6">
        <v>12</v>
      </c>
      <c r="E63" s="6" t="s">
        <v>1266</v>
      </c>
      <c r="F63" s="6">
        <v>2498</v>
      </c>
      <c r="G63" s="6" t="b">
        <v>1</v>
      </c>
      <c r="I63" s="6" t="b">
        <v>1</v>
      </c>
      <c r="J63" s="6" t="b">
        <v>0</v>
      </c>
      <c r="K63" s="6">
        <v>0</v>
      </c>
      <c r="L63" s="6">
        <v>0</v>
      </c>
      <c r="M63" s="6">
        <v>0</v>
      </c>
      <c r="N63" s="6">
        <v>0</v>
      </c>
      <c r="O63" s="6">
        <v>0</v>
      </c>
      <c r="P63" s="6">
        <v>0</v>
      </c>
      <c r="Q63" s="6">
        <v>0</v>
      </c>
      <c r="R63" s="6">
        <v>0</v>
      </c>
      <c r="S63" s="6">
        <v>0</v>
      </c>
      <c r="T63" s="6">
        <v>0</v>
      </c>
      <c r="U63" s="6">
        <v>0</v>
      </c>
      <c r="V63" s="6">
        <v>0</v>
      </c>
      <c r="W63" s="6">
        <v>0</v>
      </c>
      <c r="X63" s="6" t="b">
        <v>0</v>
      </c>
      <c r="Y63" s="6" t="b">
        <v>0</v>
      </c>
      <c r="Z63" s="6">
        <v>0</v>
      </c>
      <c r="AA63" s="6">
        <v>0</v>
      </c>
      <c r="AB63" s="6">
        <v>0</v>
      </c>
      <c r="AC63" s="6">
        <v>0</v>
      </c>
      <c r="AD63" s="6">
        <v>0</v>
      </c>
      <c r="AE63" s="6">
        <v>0</v>
      </c>
      <c r="AF63" s="6">
        <v>0</v>
      </c>
      <c r="AG63" s="6">
        <v>0</v>
      </c>
      <c r="AH63" s="6">
        <v>0</v>
      </c>
      <c r="AI63" s="6">
        <v>0</v>
      </c>
      <c r="AJ63" s="6">
        <v>0</v>
      </c>
      <c r="AK63" s="6" t="s">
        <v>153</v>
      </c>
      <c r="AL63" s="6">
        <v>0</v>
      </c>
      <c r="AM63" s="6" t="b">
        <v>0</v>
      </c>
      <c r="AN63" s="6" t="s">
        <v>153</v>
      </c>
      <c r="AO63" s="6" t="s">
        <v>0</v>
      </c>
      <c r="AP63" s="6" t="s">
        <v>1262</v>
      </c>
      <c r="AQ63" s="6" t="b">
        <v>0</v>
      </c>
      <c r="AR63" s="6" t="b">
        <v>0</v>
      </c>
      <c r="AS63" s="6" t="b">
        <v>0</v>
      </c>
      <c r="AT63" s="6" t="s">
        <v>1262</v>
      </c>
      <c r="AU63" s="6" t="s">
        <v>1263</v>
      </c>
      <c r="AV63" s="6"/>
      <c r="AW63" s="6"/>
      <c r="AX63" s="6"/>
      <c r="AY63" s="6"/>
      <c r="AZ63" s="6"/>
      <c r="BA63" t="str">
        <f t="shared" si="0"/>
        <v>insert into nm_RawMatchData values ('Annika', 'Wind Chill', 'Practice', 12, 'B1', 2498, '', 'No', 0, 0, 0, 0, 0, 0, 0, 0, 0, 0, 0, 0, 0, 'No', 'Practice', 'x', 'No', 'x', 'No Card', '', null, null, null);</v>
      </c>
      <c r="BB63" s="6"/>
      <c r="BC63" s="6"/>
      <c r="BD63" s="6"/>
    </row>
    <row r="64" spans="1:56">
      <c r="A64" s="6" t="s">
        <v>1317</v>
      </c>
      <c r="B64" s="6" t="s">
        <v>1258</v>
      </c>
      <c r="C64" s="6" t="s">
        <v>0</v>
      </c>
      <c r="D64" s="6">
        <v>12</v>
      </c>
      <c r="E64" s="6" t="s">
        <v>1269</v>
      </c>
      <c r="F64" s="6">
        <v>6909</v>
      </c>
      <c r="G64" s="6" t="b">
        <v>0</v>
      </c>
      <c r="H64" s="6" t="s">
        <v>1260</v>
      </c>
      <c r="I64" s="6" t="b">
        <v>1</v>
      </c>
      <c r="J64" s="6" t="b">
        <v>1</v>
      </c>
      <c r="K64" s="6">
        <v>1</v>
      </c>
      <c r="L64" s="6">
        <v>0</v>
      </c>
      <c r="M64" s="6">
        <v>0</v>
      </c>
      <c r="N64" s="6">
        <v>1</v>
      </c>
      <c r="O64" s="6">
        <v>0</v>
      </c>
      <c r="P64" s="6">
        <v>0</v>
      </c>
      <c r="Q64" s="6">
        <v>0</v>
      </c>
      <c r="R64" s="6">
        <v>0</v>
      </c>
      <c r="S64" s="6">
        <v>0</v>
      </c>
      <c r="T64" s="6">
        <v>0</v>
      </c>
      <c r="U64" s="6">
        <v>0</v>
      </c>
      <c r="V64" s="6">
        <v>0</v>
      </c>
      <c r="W64" s="6">
        <v>0</v>
      </c>
      <c r="X64" s="6" t="b">
        <v>1</v>
      </c>
      <c r="Y64" s="6" t="b">
        <v>0</v>
      </c>
      <c r="Z64" s="6">
        <v>0</v>
      </c>
      <c r="AA64" s="6">
        <v>3</v>
      </c>
      <c r="AB64" s="6">
        <v>2</v>
      </c>
      <c r="AC64" s="6">
        <v>0</v>
      </c>
      <c r="AD64" s="6">
        <v>0</v>
      </c>
      <c r="AE64" s="6">
        <v>0</v>
      </c>
      <c r="AF64" s="6">
        <v>0</v>
      </c>
      <c r="AG64" s="6">
        <v>0</v>
      </c>
      <c r="AH64" s="6">
        <v>0</v>
      </c>
      <c r="AI64" s="6">
        <v>0</v>
      </c>
      <c r="AJ64" s="6">
        <v>0</v>
      </c>
      <c r="AK64" s="6" t="s">
        <v>85</v>
      </c>
      <c r="AL64" s="6">
        <v>0</v>
      </c>
      <c r="AM64" s="6" t="b">
        <v>0</v>
      </c>
      <c r="AN64" s="6" t="s">
        <v>85</v>
      </c>
      <c r="AP64" s="6" t="s">
        <v>1262</v>
      </c>
      <c r="AQ64" s="6" t="b">
        <v>0</v>
      </c>
      <c r="AR64" s="6" t="b">
        <v>0</v>
      </c>
      <c r="AS64" s="6" t="b">
        <v>0</v>
      </c>
      <c r="AT64" s="6" t="s">
        <v>1262</v>
      </c>
      <c r="AU64" s="6" t="s">
        <v>1263</v>
      </c>
      <c r="BA64" t="str">
        <f t="shared" si="0"/>
        <v>insert into nm_RawMatchData values ('Graham ', 'NoMythic', 'Practice', 12, 'B3', 6909, 'Red Barge', 'Yes', 1, 0, 0, 0, 0, 0, 0, 0, 3, 2, 0, 0, 0, 'Dc', '', 'x', 'No', 'x', 'No Card', '', null, null, null);</v>
      </c>
    </row>
    <row r="65" spans="1:56">
      <c r="A65" s="6" t="s">
        <v>1306</v>
      </c>
      <c r="B65" s="6" t="s">
        <v>1271</v>
      </c>
      <c r="C65" s="6" t="s">
        <v>0</v>
      </c>
      <c r="D65" s="6">
        <v>12</v>
      </c>
      <c r="E65" s="6" t="s">
        <v>1272</v>
      </c>
      <c r="F65" s="6">
        <v>2220</v>
      </c>
      <c r="G65" s="6" t="b">
        <v>0</v>
      </c>
      <c r="H65" s="6" t="s">
        <v>1260</v>
      </c>
      <c r="I65" s="6" t="b">
        <v>1</v>
      </c>
      <c r="J65" s="6" t="b">
        <v>1</v>
      </c>
      <c r="K65" s="6">
        <v>0</v>
      </c>
      <c r="L65" s="6">
        <v>1</v>
      </c>
      <c r="M65" s="6">
        <v>0</v>
      </c>
      <c r="N65" s="6">
        <v>3</v>
      </c>
      <c r="O65" s="6">
        <v>0</v>
      </c>
      <c r="P65" s="6">
        <v>0</v>
      </c>
      <c r="Q65" s="6">
        <v>0</v>
      </c>
      <c r="R65" s="6">
        <v>0</v>
      </c>
      <c r="S65" s="6">
        <v>0</v>
      </c>
      <c r="T65" s="6">
        <v>0</v>
      </c>
      <c r="U65" s="6">
        <v>0</v>
      </c>
      <c r="V65" s="6">
        <v>0</v>
      </c>
      <c r="W65" s="6">
        <v>0</v>
      </c>
      <c r="X65" s="6" t="b">
        <v>1</v>
      </c>
      <c r="Y65" s="6" t="b">
        <v>0</v>
      </c>
      <c r="Z65" s="6">
        <v>1</v>
      </c>
      <c r="AA65" s="6">
        <v>0</v>
      </c>
      <c r="AB65" s="6">
        <v>7</v>
      </c>
      <c r="AC65" s="6">
        <v>6</v>
      </c>
      <c r="AD65" s="6">
        <v>0</v>
      </c>
      <c r="AE65" s="6">
        <v>0</v>
      </c>
      <c r="AF65" s="6">
        <v>0</v>
      </c>
      <c r="AG65" s="6">
        <v>0</v>
      </c>
      <c r="AH65" s="6">
        <v>2</v>
      </c>
      <c r="AI65" s="6">
        <v>0</v>
      </c>
      <c r="AJ65" s="6">
        <v>0</v>
      </c>
      <c r="AK65" s="6" t="s">
        <v>85</v>
      </c>
      <c r="AL65" s="6">
        <v>0</v>
      </c>
      <c r="AM65" s="6" t="b">
        <v>0</v>
      </c>
      <c r="AN65" s="6" t="s">
        <v>153</v>
      </c>
      <c r="AP65" s="6" t="s">
        <v>1262</v>
      </c>
      <c r="AQ65" s="6" t="b">
        <v>0</v>
      </c>
      <c r="AR65" s="6" t="b">
        <v>0</v>
      </c>
      <c r="AS65" s="6" t="b">
        <v>0</v>
      </c>
      <c r="AT65" s="6" t="s">
        <v>1262</v>
      </c>
      <c r="AU65" s="6" t="s">
        <v>1263</v>
      </c>
      <c r="BA65" t="str">
        <f t="shared" si="0"/>
        <v>insert into nm_RawMatchData values ('Jenny', 'MPArors', 'Practice', 12, 'R1', 2220, 'Red Barge', 'Yes', 3, 0, 0, 0, 0, 0, 0, 0, 0, 7, 6, 0, 0, 'No', '', 'x', 'No', 'x', 'No Card', '', null, null, null);</v>
      </c>
    </row>
    <row r="66" spans="1:56">
      <c r="A66" s="6" t="s">
        <v>1296</v>
      </c>
      <c r="B66" s="6" t="s">
        <v>1271</v>
      </c>
      <c r="C66" s="6" t="s">
        <v>0</v>
      </c>
      <c r="D66" s="6">
        <v>12</v>
      </c>
      <c r="E66" s="6" t="s">
        <v>1259</v>
      </c>
      <c r="F66" s="6">
        <v>4174</v>
      </c>
      <c r="G66" s="6" t="b">
        <v>0</v>
      </c>
      <c r="H66" s="6" t="s">
        <v>57</v>
      </c>
      <c r="I66" s="6" t="b">
        <v>1</v>
      </c>
      <c r="J66" s="6" t="b">
        <v>1</v>
      </c>
      <c r="K66" s="6">
        <v>1</v>
      </c>
      <c r="L66" s="6">
        <v>0</v>
      </c>
      <c r="M66" s="6">
        <v>0</v>
      </c>
      <c r="N66" s="6">
        <v>2</v>
      </c>
      <c r="O66" s="6">
        <v>0</v>
      </c>
      <c r="P66" s="6">
        <v>0</v>
      </c>
      <c r="Q66" s="6">
        <v>0</v>
      </c>
      <c r="R66" s="6">
        <v>0</v>
      </c>
      <c r="S66" s="6">
        <v>0</v>
      </c>
      <c r="T66" s="6">
        <v>0</v>
      </c>
      <c r="U66" s="6">
        <v>0</v>
      </c>
      <c r="V66" s="6">
        <v>0</v>
      </c>
      <c r="W66" s="6">
        <v>0</v>
      </c>
      <c r="X66" s="6" t="b">
        <v>1</v>
      </c>
      <c r="Y66" s="6" t="b">
        <v>0</v>
      </c>
      <c r="Z66" s="6">
        <v>2</v>
      </c>
      <c r="AA66" s="6">
        <v>3</v>
      </c>
      <c r="AB66" s="6">
        <v>3</v>
      </c>
      <c r="AC66" s="6">
        <v>1</v>
      </c>
      <c r="AD66" s="6">
        <v>0</v>
      </c>
      <c r="AE66" s="6">
        <v>0</v>
      </c>
      <c r="AF66" s="6">
        <v>0</v>
      </c>
      <c r="AG66" s="6">
        <v>0</v>
      </c>
      <c r="AH66" s="6">
        <v>0</v>
      </c>
      <c r="AI66" s="6">
        <v>2</v>
      </c>
      <c r="AJ66" s="6">
        <v>0</v>
      </c>
      <c r="AK66" s="6" t="s">
        <v>85</v>
      </c>
      <c r="AL66" s="6">
        <v>0</v>
      </c>
      <c r="AM66" s="6" t="b">
        <v>1</v>
      </c>
      <c r="AN66" s="6" t="s">
        <v>85</v>
      </c>
      <c r="AP66" s="6" t="s">
        <v>1262</v>
      </c>
      <c r="AQ66" s="6" t="b">
        <v>0</v>
      </c>
      <c r="AR66" s="6" t="b">
        <v>0</v>
      </c>
      <c r="AS66" s="6" t="b">
        <v>0</v>
      </c>
      <c r="AT66" s="6" t="s">
        <v>1262</v>
      </c>
      <c r="AU66" s="6" t="s">
        <v>1263</v>
      </c>
      <c r="AV66" s="6" t="s">
        <v>1331</v>
      </c>
      <c r="BA66" t="str">
        <f t="shared" si="0"/>
        <v>insert into nm_RawMatchData values ('Hannabella ', 'MPArors', 'Practice', 12, 'R2', 4174, 'Blue Barge', 'Yes', 2, 0, 0, 0, 0, 0, 0, 0, 3, 3, 1, 0, 0, 'Dc', '', 'x', 'No', 'x', 'No Card', 'they have really crispy bumpers', null, null, null);</v>
      </c>
    </row>
    <row r="67" spans="1:56">
      <c r="A67" s="6" t="s">
        <v>1315</v>
      </c>
      <c r="B67" s="6" t="s">
        <v>1280</v>
      </c>
      <c r="C67" s="6" t="s">
        <v>0</v>
      </c>
      <c r="D67" s="6">
        <v>12</v>
      </c>
      <c r="E67" s="6" t="s">
        <v>1281</v>
      </c>
      <c r="F67" s="6">
        <v>2181</v>
      </c>
      <c r="G67" s="6" t="b">
        <v>0</v>
      </c>
      <c r="I67" s="6" t="b">
        <v>1</v>
      </c>
      <c r="J67" s="6" t="b">
        <v>1</v>
      </c>
      <c r="K67" s="6">
        <v>0</v>
      </c>
      <c r="L67" s="6">
        <v>0</v>
      </c>
      <c r="M67" s="6">
        <v>0</v>
      </c>
      <c r="N67" s="6">
        <v>1</v>
      </c>
      <c r="O67" s="6">
        <v>0</v>
      </c>
      <c r="P67" s="6">
        <v>0</v>
      </c>
      <c r="Q67" s="6">
        <v>0</v>
      </c>
      <c r="R67" s="6">
        <v>0</v>
      </c>
      <c r="S67" s="6">
        <v>0</v>
      </c>
      <c r="T67" s="6">
        <v>0</v>
      </c>
      <c r="U67" s="6">
        <v>0</v>
      </c>
      <c r="V67" s="6">
        <v>0</v>
      </c>
      <c r="W67" s="6">
        <v>0</v>
      </c>
      <c r="X67" s="6" t="b">
        <v>1</v>
      </c>
      <c r="Y67" s="6" t="b">
        <v>0</v>
      </c>
      <c r="Z67" s="6">
        <v>2</v>
      </c>
      <c r="AA67" s="6">
        <v>1</v>
      </c>
      <c r="AB67" s="6">
        <v>0</v>
      </c>
      <c r="AC67" s="6">
        <v>0</v>
      </c>
      <c r="AD67" s="6">
        <v>0</v>
      </c>
      <c r="AE67" s="6">
        <v>1</v>
      </c>
      <c r="AF67" s="6">
        <v>0</v>
      </c>
      <c r="AG67" s="6">
        <v>1</v>
      </c>
      <c r="AH67" s="6">
        <v>2</v>
      </c>
      <c r="AI67" s="6">
        <v>0</v>
      </c>
      <c r="AJ67" s="6">
        <v>0</v>
      </c>
      <c r="AK67" s="6" t="s">
        <v>85</v>
      </c>
      <c r="AL67" s="6">
        <v>7.15</v>
      </c>
      <c r="AM67" s="6" t="b">
        <v>0</v>
      </c>
      <c r="AN67" s="6" t="s">
        <v>85</v>
      </c>
      <c r="AP67" s="6" t="s">
        <v>1262</v>
      </c>
      <c r="AQ67" s="6" t="b">
        <v>0</v>
      </c>
      <c r="AR67" s="6" t="b">
        <v>0</v>
      </c>
      <c r="AS67" s="6" t="b">
        <v>0</v>
      </c>
      <c r="AT67" s="6" t="s">
        <v>1262</v>
      </c>
      <c r="AU67" s="6" t="s">
        <v>1263</v>
      </c>
      <c r="BA67" t="str">
        <f t="shared" ref="BA67:BA119" si="1">IF(ISBLANK(C67),"","insert into nm_RawMatchData values ('"&amp;A67&amp;"', '"&amp;B67&amp;"', '"&amp;C67&amp;"', "&amp;D67&amp;", '"&amp;E67&amp;"', "&amp;F67&amp;", '"&amp;H67&amp;"', '"&amp;IF(J67=TRUE,"Yes","No")&amp;"', "&amp;N67&amp;", "&amp;O67&amp;", "&amp;P67&amp;", "&amp;Q67&amp;", "&amp;S67&amp;", "&amp;T67&amp;", "&amp;AE67&amp;", "&amp;AF67&amp;", "&amp;AA67&amp;", "&amp;AB67&amp;", "&amp;AC67&amp;", "&amp;AD67&amp;", "&amp;AL67&amp;", '"&amp;AN67&amp;"', '"&amp;SUBSTITUTE(AO67,"'","''")&amp;"', '"&amp;AP67&amp;"', '"&amp;IF(AS67=TRUE,"Yes","No")&amp;"', '"&amp;AT67&amp;"', '"&amp;AU67&amp;"', '"&amp;SUBSTITUTE(AV67,"'","''")&amp;"', null, null, null);")</f>
        <v>insert into nm_RawMatchData values ('M', 'Open Circuits', 'Practice', 12, 'R3', 2181, '', 'Yes', 1, 0, 0, 0, 0, 0, 1, 0, 1, 0, 0, 0, 7.15, 'Dc', '', 'x', 'No', 'x', 'No Card', '', null, null, null);</v>
      </c>
    </row>
    <row r="68" spans="1:56">
      <c r="A68" s="149" t="s">
        <v>1257</v>
      </c>
      <c r="B68" s="149" t="s">
        <v>1258</v>
      </c>
      <c r="C68" s="149" t="s">
        <v>0</v>
      </c>
      <c r="D68" s="150">
        <v>13</v>
      </c>
      <c r="E68" s="149" t="s">
        <v>1276</v>
      </c>
      <c r="F68" s="150">
        <v>4687</v>
      </c>
      <c r="G68" s="151" t="b">
        <v>0</v>
      </c>
      <c r="H68" s="149" t="s">
        <v>58</v>
      </c>
      <c r="I68" s="151" t="b">
        <v>1</v>
      </c>
      <c r="J68" s="151" t="b">
        <v>1</v>
      </c>
      <c r="K68" s="150">
        <v>0</v>
      </c>
      <c r="L68" s="150">
        <v>0</v>
      </c>
      <c r="M68" s="150">
        <v>0</v>
      </c>
      <c r="N68" s="150">
        <v>0</v>
      </c>
      <c r="O68" s="150">
        <v>0</v>
      </c>
      <c r="P68" s="150">
        <v>0</v>
      </c>
      <c r="Q68" s="150">
        <v>0</v>
      </c>
      <c r="R68" s="150">
        <v>0</v>
      </c>
      <c r="S68" s="150">
        <v>0</v>
      </c>
      <c r="T68" s="150">
        <v>0</v>
      </c>
      <c r="U68" s="150">
        <v>0</v>
      </c>
      <c r="V68" s="150">
        <v>0</v>
      </c>
      <c r="W68" s="150">
        <v>0</v>
      </c>
      <c r="X68" s="151" t="b">
        <v>1</v>
      </c>
      <c r="Y68" s="151" t="b">
        <v>0</v>
      </c>
      <c r="Z68" s="150">
        <v>0</v>
      </c>
      <c r="AA68" s="150">
        <v>3</v>
      </c>
      <c r="AB68" s="150">
        <v>0</v>
      </c>
      <c r="AC68" s="150">
        <v>0</v>
      </c>
      <c r="AD68" s="150">
        <v>1</v>
      </c>
      <c r="AE68" s="150">
        <v>0</v>
      </c>
      <c r="AF68" s="150">
        <v>0</v>
      </c>
      <c r="AG68" s="150">
        <v>0</v>
      </c>
      <c r="AH68" s="150">
        <v>0</v>
      </c>
      <c r="AI68" s="150">
        <v>0</v>
      </c>
      <c r="AJ68" s="150">
        <v>0</v>
      </c>
      <c r="AK68" s="149" t="s">
        <v>86</v>
      </c>
      <c r="AL68" s="150">
        <v>0</v>
      </c>
      <c r="AM68" s="151" t="b">
        <v>0</v>
      </c>
      <c r="AN68" s="149" t="s">
        <v>86</v>
      </c>
      <c r="AO68" s="149"/>
      <c r="AP68" s="149" t="s">
        <v>1262</v>
      </c>
      <c r="AQ68" s="151" t="b">
        <v>0</v>
      </c>
      <c r="AR68" s="151" t="b">
        <v>0</v>
      </c>
      <c r="AS68" s="151" t="b">
        <v>0</v>
      </c>
      <c r="AT68" s="149" t="s">
        <v>1262</v>
      </c>
      <c r="AU68" s="149" t="s">
        <v>1263</v>
      </c>
      <c r="AV68" s="149" t="s">
        <v>1332</v>
      </c>
      <c r="AW68" s="149"/>
      <c r="AX68" s="149"/>
      <c r="AY68" s="149"/>
      <c r="AZ68" s="149"/>
      <c r="BA68" t="str">
        <f t="shared" si="1"/>
        <v>insert into nm_RawMatchData values ('Margo Zimmerman', 'NoMythic', 'Practice', 13, 'B2', 4687, 'Middle', 'Yes', 0, 0, 0, 0, 0, 0, 0, 0, 3, 0, 0, 1, 0, 'P', '', 'x', 'No', 'x', 'No Card', 'pretty slowly moving', null, null, null);</v>
      </c>
      <c r="BB68" s="149"/>
      <c r="BC68" s="149"/>
      <c r="BD68" s="149"/>
    </row>
    <row r="69" spans="1:56">
      <c r="A69" s="6" t="s">
        <v>1324</v>
      </c>
      <c r="B69" s="6" t="s">
        <v>1301</v>
      </c>
      <c r="C69" s="6" t="s">
        <v>0</v>
      </c>
      <c r="D69" s="6">
        <v>13</v>
      </c>
      <c r="E69" s="6" t="s">
        <v>1266</v>
      </c>
      <c r="F69" s="6">
        <v>3082</v>
      </c>
      <c r="G69" s="6" t="b">
        <v>0</v>
      </c>
      <c r="H69" s="6" t="s">
        <v>1260</v>
      </c>
      <c r="I69" s="6" t="b">
        <v>1</v>
      </c>
      <c r="J69" s="6" t="b">
        <v>1</v>
      </c>
      <c r="K69" s="6">
        <v>0</v>
      </c>
      <c r="L69" s="6">
        <v>1</v>
      </c>
      <c r="M69" s="6">
        <v>0</v>
      </c>
      <c r="N69" s="6">
        <v>0</v>
      </c>
      <c r="O69" s="6">
        <v>0</v>
      </c>
      <c r="P69" s="6">
        <v>0</v>
      </c>
      <c r="Q69" s="6">
        <v>0</v>
      </c>
      <c r="R69" s="6">
        <v>1</v>
      </c>
      <c r="S69" s="6">
        <v>0</v>
      </c>
      <c r="T69" s="6">
        <v>0</v>
      </c>
      <c r="U69" s="6">
        <v>0</v>
      </c>
      <c r="V69" s="6">
        <v>0</v>
      </c>
      <c r="W69" s="6">
        <v>0</v>
      </c>
      <c r="X69" s="6" t="b">
        <v>1</v>
      </c>
      <c r="Y69" s="6" t="b">
        <v>0</v>
      </c>
      <c r="Z69" s="6">
        <v>3</v>
      </c>
      <c r="AA69" s="6">
        <v>4</v>
      </c>
      <c r="AB69" s="6">
        <v>0</v>
      </c>
      <c r="AC69" s="6">
        <v>0</v>
      </c>
      <c r="AD69" s="6">
        <v>0</v>
      </c>
      <c r="AE69" s="6">
        <v>0</v>
      </c>
      <c r="AF69" s="6">
        <v>0</v>
      </c>
      <c r="AG69" s="6">
        <v>0</v>
      </c>
      <c r="AH69" s="6">
        <v>0</v>
      </c>
      <c r="AI69" s="6">
        <v>0</v>
      </c>
      <c r="AJ69" s="6">
        <v>0</v>
      </c>
      <c r="AK69" s="6" t="s">
        <v>86</v>
      </c>
      <c r="AL69" s="6">
        <v>0</v>
      </c>
      <c r="AM69" s="6" t="b">
        <v>0</v>
      </c>
      <c r="AN69" s="6" t="s">
        <v>153</v>
      </c>
      <c r="AP69" s="6">
        <v>2</v>
      </c>
      <c r="AQ69" s="6" t="b">
        <v>1</v>
      </c>
      <c r="AR69" s="6" t="b">
        <v>0</v>
      </c>
      <c r="AS69" s="6" t="b">
        <v>0</v>
      </c>
      <c r="AT69" s="6" t="s">
        <v>1262</v>
      </c>
      <c r="AU69" s="6" t="s">
        <v>1263</v>
      </c>
      <c r="BA69" t="str">
        <f t="shared" si="1"/>
        <v>insert into nm_RawMatchData values ('Annika', 'Wind Chill', 'Practice', 13, 'B1', 3082, 'Red Barge', 'Yes', 0, 0, 0, 0, 0, 0, 0, 0, 4, 0, 0, 0, 0, 'No', '', '2', 'No', 'x', 'No Card', '', null, null, null);</v>
      </c>
    </row>
    <row r="70" spans="1:56">
      <c r="A70" s="6" t="s">
        <v>1333</v>
      </c>
      <c r="B70" s="6" t="s">
        <v>1258</v>
      </c>
      <c r="C70" s="6" t="s">
        <v>0</v>
      </c>
      <c r="D70" s="6">
        <v>13</v>
      </c>
      <c r="E70" s="6" t="s">
        <v>1269</v>
      </c>
      <c r="F70" s="6">
        <v>3755</v>
      </c>
      <c r="G70" s="6" t="b">
        <v>0</v>
      </c>
      <c r="I70" s="6" t="b">
        <v>1</v>
      </c>
      <c r="J70" s="6" t="b">
        <v>0</v>
      </c>
      <c r="K70" s="6">
        <v>0</v>
      </c>
      <c r="L70" s="6">
        <v>0</v>
      </c>
      <c r="M70" s="6">
        <v>0</v>
      </c>
      <c r="N70" s="6">
        <v>0</v>
      </c>
      <c r="O70" s="6">
        <v>0</v>
      </c>
      <c r="P70" s="6">
        <v>0</v>
      </c>
      <c r="Q70" s="6">
        <v>0</v>
      </c>
      <c r="R70" s="6">
        <v>0</v>
      </c>
      <c r="S70" s="6">
        <v>0</v>
      </c>
      <c r="T70" s="6">
        <v>0</v>
      </c>
      <c r="U70" s="6">
        <v>0</v>
      </c>
      <c r="V70" s="6">
        <v>0</v>
      </c>
      <c r="W70" s="6">
        <v>0</v>
      </c>
      <c r="X70" s="6" t="b">
        <v>0</v>
      </c>
      <c r="Y70" s="6" t="b">
        <v>0</v>
      </c>
      <c r="Z70" s="6">
        <v>0</v>
      </c>
      <c r="AA70" s="6">
        <v>0</v>
      </c>
      <c r="AB70" s="6">
        <v>0</v>
      </c>
      <c r="AC70" s="6">
        <v>0</v>
      </c>
      <c r="AD70" s="6">
        <v>0</v>
      </c>
      <c r="AE70" s="6">
        <v>4</v>
      </c>
      <c r="AF70" s="6">
        <v>0</v>
      </c>
      <c r="AG70" s="6">
        <v>0</v>
      </c>
      <c r="AH70" s="6">
        <v>0</v>
      </c>
      <c r="AI70" s="6">
        <v>0</v>
      </c>
      <c r="AJ70" s="6">
        <v>0</v>
      </c>
      <c r="AK70" s="6" t="s">
        <v>153</v>
      </c>
      <c r="AL70" s="6">
        <v>0</v>
      </c>
      <c r="AM70" s="6" t="b">
        <v>0</v>
      </c>
      <c r="AN70" s="6" t="s">
        <v>86</v>
      </c>
      <c r="AP70" s="6" t="s">
        <v>1262</v>
      </c>
      <c r="AQ70" s="6" t="b">
        <v>0</v>
      </c>
      <c r="AR70" s="6" t="b">
        <v>0</v>
      </c>
      <c r="AS70" s="6" t="b">
        <v>0</v>
      </c>
      <c r="AT70" s="6" t="s">
        <v>1262</v>
      </c>
      <c r="AU70" s="6" t="s">
        <v>1263</v>
      </c>
      <c r="BA70" t="str">
        <f t="shared" si="1"/>
        <v>insert into nm_RawMatchData values ('isaac', 'NoMythic', 'Practice', 13, 'B3', 3755, '', 'No', 0, 0, 0, 0, 0, 0, 4, 0, 0, 0, 0, 0, 0, 'P', '', 'x', 'No', 'x', 'No Card', '', null, null, null);</v>
      </c>
    </row>
    <row r="71" spans="1:56">
      <c r="A71" s="6" t="s">
        <v>1334</v>
      </c>
      <c r="B71" s="6" t="s">
        <v>1271</v>
      </c>
      <c r="C71" s="6" t="s">
        <v>0</v>
      </c>
      <c r="D71" s="6">
        <v>13</v>
      </c>
      <c r="E71" s="6" t="s">
        <v>1272</v>
      </c>
      <c r="F71" s="6">
        <v>3038</v>
      </c>
      <c r="G71" s="6" t="b">
        <v>0</v>
      </c>
      <c r="H71" s="6" t="s">
        <v>58</v>
      </c>
      <c r="I71" s="6" t="b">
        <v>1</v>
      </c>
      <c r="J71" s="6" t="b">
        <v>0</v>
      </c>
      <c r="K71" s="6">
        <v>0</v>
      </c>
      <c r="L71" s="6">
        <v>0</v>
      </c>
      <c r="M71" s="6">
        <v>0</v>
      </c>
      <c r="N71" s="6">
        <v>0</v>
      </c>
      <c r="O71" s="6">
        <v>0</v>
      </c>
      <c r="P71" s="6">
        <v>0</v>
      </c>
      <c r="Q71" s="6">
        <v>0</v>
      </c>
      <c r="R71" s="6">
        <v>0</v>
      </c>
      <c r="S71" s="6">
        <v>0</v>
      </c>
      <c r="T71" s="6">
        <v>0</v>
      </c>
      <c r="U71" s="6">
        <v>0</v>
      </c>
      <c r="V71" s="6">
        <v>0</v>
      </c>
      <c r="W71" s="6">
        <v>0</v>
      </c>
      <c r="X71" s="6" t="b">
        <v>1</v>
      </c>
      <c r="Y71" s="6" t="b">
        <v>0</v>
      </c>
      <c r="Z71" s="6">
        <v>2</v>
      </c>
      <c r="AA71" s="6">
        <v>0</v>
      </c>
      <c r="AB71" s="6">
        <v>0</v>
      </c>
      <c r="AC71" s="6">
        <v>3</v>
      </c>
      <c r="AD71" s="6">
        <v>1</v>
      </c>
      <c r="AE71" s="6">
        <v>0</v>
      </c>
      <c r="AF71" s="6">
        <v>0</v>
      </c>
      <c r="AG71" s="6">
        <v>0</v>
      </c>
      <c r="AH71" s="6">
        <v>0</v>
      </c>
      <c r="AI71" s="6">
        <v>0</v>
      </c>
      <c r="AJ71" s="6">
        <v>0</v>
      </c>
      <c r="AK71" s="6" t="s">
        <v>86</v>
      </c>
      <c r="AL71" s="6">
        <v>0</v>
      </c>
      <c r="AM71" s="6" t="b">
        <v>1</v>
      </c>
      <c r="AN71" s="6" t="s">
        <v>86</v>
      </c>
      <c r="AO71" s="6" t="s">
        <v>1335</v>
      </c>
      <c r="AP71" s="6" t="s">
        <v>1262</v>
      </c>
      <c r="AQ71" s="6" t="b">
        <v>1</v>
      </c>
      <c r="AR71" s="6" t="b">
        <v>0</v>
      </c>
      <c r="AS71" s="6" t="b">
        <v>0</v>
      </c>
      <c r="AT71" s="6" t="s">
        <v>1262</v>
      </c>
      <c r="AU71" s="6" t="s">
        <v>1263</v>
      </c>
      <c r="BA71" t="str">
        <f t="shared" si="1"/>
        <v>insert into nm_RawMatchData values ('Gavin', 'MPArors', 'Practice', 13, 'R1', 3038, 'Middle', 'No', 0, 0, 0, 0, 0, 0, 0, 0, 0, 0, 3, 1, 0, 'P', 'just attempted to park and crossed center line doing so', 'x', 'No', 'x', 'No Card', '', null, null, null);</v>
      </c>
    </row>
    <row r="72" spans="1:56">
      <c r="A72" s="6" t="s">
        <v>1336</v>
      </c>
      <c r="B72" s="6" t="s">
        <v>1271</v>
      </c>
      <c r="C72" s="6" t="s">
        <v>0</v>
      </c>
      <c r="D72" s="6">
        <v>13</v>
      </c>
      <c r="E72" s="6" t="s">
        <v>1259</v>
      </c>
      <c r="F72" s="6">
        <v>3891</v>
      </c>
      <c r="G72" s="6" t="b">
        <v>0</v>
      </c>
      <c r="H72" s="6" t="s">
        <v>1260</v>
      </c>
      <c r="I72" s="6" t="b">
        <v>1</v>
      </c>
      <c r="J72" s="6" t="b">
        <v>1</v>
      </c>
      <c r="K72" s="6">
        <v>0</v>
      </c>
      <c r="L72" s="6">
        <v>0</v>
      </c>
      <c r="M72" s="6">
        <v>0</v>
      </c>
      <c r="N72" s="6">
        <v>0</v>
      </c>
      <c r="O72" s="6">
        <v>0</v>
      </c>
      <c r="P72" s="6">
        <v>0</v>
      </c>
      <c r="Q72" s="6">
        <v>0</v>
      </c>
      <c r="R72" s="6">
        <v>0</v>
      </c>
      <c r="S72" s="6">
        <v>0</v>
      </c>
      <c r="T72" s="6">
        <v>0</v>
      </c>
      <c r="U72" s="6">
        <v>0</v>
      </c>
      <c r="V72" s="6">
        <v>0</v>
      </c>
      <c r="W72" s="6">
        <v>0</v>
      </c>
      <c r="X72" s="6" t="b">
        <v>1</v>
      </c>
      <c r="Y72" s="6" t="b">
        <v>0</v>
      </c>
      <c r="Z72" s="6">
        <v>2</v>
      </c>
      <c r="AA72" s="6">
        <v>3</v>
      </c>
      <c r="AB72" s="6">
        <v>0</v>
      </c>
      <c r="AC72" s="6">
        <v>0</v>
      </c>
      <c r="AD72" s="6">
        <v>2</v>
      </c>
      <c r="AE72" s="6">
        <v>0</v>
      </c>
      <c r="AF72" s="6">
        <v>0</v>
      </c>
      <c r="AG72" s="6">
        <v>0</v>
      </c>
      <c r="AH72" s="6">
        <v>0</v>
      </c>
      <c r="AI72" s="6">
        <v>0</v>
      </c>
      <c r="AJ72" s="6">
        <v>0</v>
      </c>
      <c r="AK72" s="6" t="s">
        <v>153</v>
      </c>
      <c r="AL72" s="6">
        <v>0</v>
      </c>
      <c r="AM72" s="6" t="b">
        <v>0</v>
      </c>
      <c r="AN72" s="6" t="s">
        <v>86</v>
      </c>
      <c r="AO72" s="6" t="s">
        <v>1337</v>
      </c>
      <c r="AP72" s="6" t="s">
        <v>1262</v>
      </c>
      <c r="AQ72" s="6" t="b">
        <v>0</v>
      </c>
      <c r="AR72" s="6" t="b">
        <v>0</v>
      </c>
      <c r="AS72" s="6" t="b">
        <v>0</v>
      </c>
      <c r="AT72" s="6" t="s">
        <v>1262</v>
      </c>
      <c r="AU72" s="6" t="s">
        <v>1263</v>
      </c>
      <c r="BA72" t="str">
        <f t="shared" si="1"/>
        <v>insert into nm_RawMatchData values ('Leo ', 'MPArors', 'Practice', 13, 'R2', 3891, 'Red Barge', 'Yes', 0, 0, 0, 0, 0, 0, 0, 0, 3, 0, 0, 2, 0, 'P', 'waited until ~3 sec to go and park/potential climb attempt?', 'x', 'No', 'x', 'No Card', '', null, null, null);</v>
      </c>
    </row>
    <row r="73" spans="1:56">
      <c r="A73" s="6" t="s">
        <v>1324</v>
      </c>
      <c r="B73" s="6" t="s">
        <v>1301</v>
      </c>
      <c r="C73" s="6" t="s">
        <v>0</v>
      </c>
      <c r="D73" s="6">
        <v>14</v>
      </c>
      <c r="E73" s="6" t="s">
        <v>1266</v>
      </c>
      <c r="F73" s="6">
        <v>4664</v>
      </c>
      <c r="G73" s="6" t="b">
        <v>1</v>
      </c>
      <c r="I73" s="6" t="b">
        <v>1</v>
      </c>
      <c r="J73" s="6" t="b">
        <v>0</v>
      </c>
      <c r="K73" s="6">
        <v>0</v>
      </c>
      <c r="L73" s="6">
        <v>0</v>
      </c>
      <c r="M73" s="6">
        <v>0</v>
      </c>
      <c r="N73" s="6">
        <v>0</v>
      </c>
      <c r="O73" s="6">
        <v>0</v>
      </c>
      <c r="P73" s="6">
        <v>0</v>
      </c>
      <c r="Q73" s="6">
        <v>0</v>
      </c>
      <c r="R73" s="6">
        <v>0</v>
      </c>
      <c r="S73" s="6">
        <v>0</v>
      </c>
      <c r="T73" s="6">
        <v>0</v>
      </c>
      <c r="U73" s="6">
        <v>0</v>
      </c>
      <c r="V73" s="6">
        <v>0</v>
      </c>
      <c r="W73" s="6">
        <v>0</v>
      </c>
      <c r="X73" s="6" t="b">
        <v>0</v>
      </c>
      <c r="Y73" s="6" t="b">
        <v>0</v>
      </c>
      <c r="Z73" s="6">
        <v>0</v>
      </c>
      <c r="AA73" s="6">
        <v>0</v>
      </c>
      <c r="AB73" s="6">
        <v>0</v>
      </c>
      <c r="AC73" s="6">
        <v>0</v>
      </c>
      <c r="AD73" s="6">
        <v>0</v>
      </c>
      <c r="AE73" s="6">
        <v>0</v>
      </c>
      <c r="AF73" s="6">
        <v>0</v>
      </c>
      <c r="AG73" s="6">
        <v>0</v>
      </c>
      <c r="AH73" s="6">
        <v>0</v>
      </c>
      <c r="AI73" s="6">
        <v>0</v>
      </c>
      <c r="AJ73" s="6">
        <v>0</v>
      </c>
      <c r="AK73" s="6" t="s">
        <v>153</v>
      </c>
      <c r="AL73" s="6">
        <v>0</v>
      </c>
      <c r="AM73" s="6" t="b">
        <v>0</v>
      </c>
      <c r="AN73" s="6" t="s">
        <v>153</v>
      </c>
      <c r="AP73" s="6" t="s">
        <v>1262</v>
      </c>
      <c r="AQ73" s="6" t="b">
        <v>0</v>
      </c>
      <c r="AR73" s="6" t="b">
        <v>0</v>
      </c>
      <c r="AS73" s="6" t="b">
        <v>0</v>
      </c>
      <c r="AT73" s="6" t="s">
        <v>1262</v>
      </c>
      <c r="AU73" s="6" t="s">
        <v>1263</v>
      </c>
      <c r="BA73" t="str">
        <f t="shared" si="1"/>
        <v>insert into nm_RawMatchData values ('Annika', 'Wind Chill', 'Practice', 14, 'B1', 4664, '', 'No', 0, 0, 0, 0, 0, 0, 0, 0, 0, 0, 0, 0, 0, 'No', '', 'x', 'No', 'x', 'No Card', '', null, null, null);</v>
      </c>
    </row>
    <row r="74" spans="1:56">
      <c r="A74" s="149" t="s">
        <v>1257</v>
      </c>
      <c r="B74" s="149" t="s">
        <v>1258</v>
      </c>
      <c r="C74" s="149" t="s">
        <v>0</v>
      </c>
      <c r="D74" s="150">
        <v>14</v>
      </c>
      <c r="E74" s="149" t="s">
        <v>1276</v>
      </c>
      <c r="F74" s="150">
        <v>6045</v>
      </c>
      <c r="G74" s="151" t="b">
        <v>0</v>
      </c>
      <c r="H74" s="149" t="s">
        <v>58</v>
      </c>
      <c r="I74" s="151" t="b">
        <v>1</v>
      </c>
      <c r="J74" s="151" t="b">
        <v>0</v>
      </c>
      <c r="K74" s="150">
        <v>0</v>
      </c>
      <c r="L74" s="150">
        <v>0</v>
      </c>
      <c r="M74" s="150">
        <v>0</v>
      </c>
      <c r="N74" s="150">
        <v>0</v>
      </c>
      <c r="O74" s="150">
        <v>0</v>
      </c>
      <c r="P74" s="150">
        <v>0</v>
      </c>
      <c r="Q74" s="150">
        <v>0</v>
      </c>
      <c r="R74" s="150">
        <v>0</v>
      </c>
      <c r="S74" s="150">
        <v>0</v>
      </c>
      <c r="T74" s="150">
        <v>0</v>
      </c>
      <c r="U74" s="150">
        <v>0</v>
      </c>
      <c r="V74" s="150">
        <v>0</v>
      </c>
      <c r="W74" s="150">
        <v>0</v>
      </c>
      <c r="X74" s="151" t="b">
        <v>1</v>
      </c>
      <c r="Y74" s="151" t="b">
        <v>0</v>
      </c>
      <c r="Z74" s="150">
        <v>0</v>
      </c>
      <c r="AA74" s="150">
        <v>3</v>
      </c>
      <c r="AB74" s="150">
        <v>0</v>
      </c>
      <c r="AC74" s="150">
        <v>0</v>
      </c>
      <c r="AD74" s="150">
        <v>2</v>
      </c>
      <c r="AE74" s="150">
        <v>1</v>
      </c>
      <c r="AF74" s="150">
        <v>2</v>
      </c>
      <c r="AG74" s="150">
        <v>1</v>
      </c>
      <c r="AH74" s="150">
        <v>4</v>
      </c>
      <c r="AI74" s="150">
        <v>1</v>
      </c>
      <c r="AJ74" s="150">
        <v>0</v>
      </c>
      <c r="AK74" s="149" t="s">
        <v>86</v>
      </c>
      <c r="AL74" s="150">
        <v>0</v>
      </c>
      <c r="AM74" s="151" t="b">
        <v>0</v>
      </c>
      <c r="AN74" s="149" t="s">
        <v>86</v>
      </c>
      <c r="AO74" s="149"/>
      <c r="AP74" s="149" t="s">
        <v>1262</v>
      </c>
      <c r="AQ74" s="151" t="b">
        <v>0</v>
      </c>
      <c r="AR74" s="151" t="b">
        <v>0</v>
      </c>
      <c r="AS74" s="151" t="b">
        <v>0</v>
      </c>
      <c r="AT74" s="150">
        <v>1</v>
      </c>
      <c r="AU74" s="149" t="s">
        <v>1263</v>
      </c>
      <c r="AV74" s="149"/>
      <c r="AW74" s="149"/>
      <c r="AX74" s="149"/>
      <c r="AY74" s="149"/>
      <c r="AZ74" s="149"/>
      <c r="BA74" t="str">
        <f t="shared" si="1"/>
        <v>insert into nm_RawMatchData values ('Margo Zimmerman', 'NoMythic', 'Practice', 14, 'B2', 6045, 'Middle', 'No', 0, 0, 0, 0, 0, 0, 1, 2, 3, 0, 0, 2, 0, 'P', '', 'x', 'No', '1', 'No Card', '', null, null, null);</v>
      </c>
      <c r="BB74" s="149"/>
      <c r="BC74" s="149"/>
      <c r="BD74" s="149"/>
    </row>
    <row r="75" spans="1:56">
      <c r="A75" s="6" t="s">
        <v>1334</v>
      </c>
      <c r="B75" s="6" t="s">
        <v>1271</v>
      </c>
      <c r="C75" s="6" t="s">
        <v>0</v>
      </c>
      <c r="D75" s="6">
        <v>14</v>
      </c>
      <c r="E75" s="6" t="s">
        <v>1272</v>
      </c>
      <c r="F75" s="6">
        <v>5996</v>
      </c>
      <c r="G75" s="6" t="b">
        <v>1</v>
      </c>
      <c r="H75" s="6" t="s">
        <v>57</v>
      </c>
      <c r="I75" s="6" t="b">
        <v>0</v>
      </c>
      <c r="J75" s="6" t="b">
        <v>0</v>
      </c>
      <c r="K75" s="6">
        <v>0</v>
      </c>
      <c r="L75" s="6">
        <v>0</v>
      </c>
      <c r="M75" s="6">
        <v>0</v>
      </c>
      <c r="N75" s="6">
        <v>0</v>
      </c>
      <c r="O75" s="6">
        <v>0</v>
      </c>
      <c r="P75" s="6">
        <v>0</v>
      </c>
      <c r="Q75" s="6">
        <v>0</v>
      </c>
      <c r="R75" s="6">
        <v>0</v>
      </c>
      <c r="S75" s="6">
        <v>0</v>
      </c>
      <c r="T75" s="6">
        <v>0</v>
      </c>
      <c r="U75" s="6">
        <v>0</v>
      </c>
      <c r="V75" s="6">
        <v>0</v>
      </c>
      <c r="W75" s="6">
        <v>0</v>
      </c>
      <c r="X75" s="6" t="b">
        <v>0</v>
      </c>
      <c r="Y75" s="6" t="b">
        <v>0</v>
      </c>
      <c r="Z75" s="6">
        <v>0</v>
      </c>
      <c r="AA75" s="6">
        <v>0</v>
      </c>
      <c r="AB75" s="6">
        <v>0</v>
      </c>
      <c r="AC75" s="6">
        <v>0</v>
      </c>
      <c r="AD75" s="6">
        <v>0</v>
      </c>
      <c r="AE75" s="6">
        <v>0</v>
      </c>
      <c r="AF75" s="6">
        <v>0</v>
      </c>
      <c r="AG75" s="6">
        <v>0</v>
      </c>
      <c r="AH75" s="6">
        <v>0</v>
      </c>
      <c r="AI75" s="6">
        <v>0</v>
      </c>
      <c r="AJ75" s="6">
        <v>0</v>
      </c>
      <c r="AK75" s="6" t="s">
        <v>153</v>
      </c>
      <c r="AL75" s="6">
        <v>0</v>
      </c>
      <c r="AM75" s="6" t="b">
        <v>0</v>
      </c>
      <c r="AN75" s="6" t="s">
        <v>153</v>
      </c>
      <c r="AP75" s="6" t="s">
        <v>1262</v>
      </c>
      <c r="AQ75" s="6" t="b">
        <v>0</v>
      </c>
      <c r="AR75" s="6" t="b">
        <v>0</v>
      </c>
      <c r="AS75" s="6" t="b">
        <v>0</v>
      </c>
      <c r="AT75" s="6" t="s">
        <v>1262</v>
      </c>
      <c r="AU75" s="6" t="s">
        <v>1263</v>
      </c>
      <c r="BA75" t="str">
        <f t="shared" si="1"/>
        <v>insert into nm_RawMatchData values ('Gavin', 'MPArors', 'Practice', 14, 'R1', 5996, 'Blue Barge', 'No', 0, 0, 0, 0, 0, 0, 0, 0, 0, 0, 0, 0, 0, 'No', '', 'x', 'No', 'x', 'No Card', '', null, null, null);</v>
      </c>
    </row>
    <row r="76" spans="1:56">
      <c r="A76" s="6" t="s">
        <v>1333</v>
      </c>
      <c r="B76" s="6" t="s">
        <v>1258</v>
      </c>
      <c r="C76" s="6" t="s">
        <v>0</v>
      </c>
      <c r="D76" s="6">
        <v>14</v>
      </c>
      <c r="E76" s="6" t="s">
        <v>1269</v>
      </c>
      <c r="F76" s="6">
        <v>2264</v>
      </c>
      <c r="G76" s="6" t="b">
        <v>0</v>
      </c>
      <c r="I76" s="6" t="b">
        <v>1</v>
      </c>
      <c r="J76" s="6" t="b">
        <v>0</v>
      </c>
      <c r="K76" s="6">
        <v>0</v>
      </c>
      <c r="L76" s="6">
        <v>0</v>
      </c>
      <c r="M76" s="6">
        <v>0</v>
      </c>
      <c r="N76" s="6">
        <v>0</v>
      </c>
      <c r="O76" s="6">
        <v>0</v>
      </c>
      <c r="P76" s="6">
        <v>0</v>
      </c>
      <c r="Q76" s="6">
        <v>0</v>
      </c>
      <c r="R76" s="6">
        <v>0</v>
      </c>
      <c r="S76" s="6">
        <v>0</v>
      </c>
      <c r="T76" s="6">
        <v>0</v>
      </c>
      <c r="U76" s="6">
        <v>0</v>
      </c>
      <c r="V76" s="6">
        <v>0</v>
      </c>
      <c r="W76" s="6">
        <v>0</v>
      </c>
      <c r="X76" s="6" t="b">
        <v>0</v>
      </c>
      <c r="Y76" s="6" t="b">
        <v>0</v>
      </c>
      <c r="Z76" s="6">
        <v>0</v>
      </c>
      <c r="AA76" s="6">
        <v>0</v>
      </c>
      <c r="AB76" s="6">
        <v>0</v>
      </c>
      <c r="AC76" s="6">
        <v>0</v>
      </c>
      <c r="AD76" s="6">
        <v>0</v>
      </c>
      <c r="AE76" s="6">
        <v>0</v>
      </c>
      <c r="AF76" s="6">
        <v>0</v>
      </c>
      <c r="AG76" s="6">
        <v>0</v>
      </c>
      <c r="AH76" s="6">
        <v>0</v>
      </c>
      <c r="AI76" s="6">
        <v>0</v>
      </c>
      <c r="AJ76" s="6">
        <v>0</v>
      </c>
      <c r="AK76" s="6" t="s">
        <v>153</v>
      </c>
      <c r="AL76" s="6">
        <v>0</v>
      </c>
      <c r="AM76" s="6" t="b">
        <v>0</v>
      </c>
      <c r="AN76" s="6" t="s">
        <v>153</v>
      </c>
      <c r="AP76" s="6" t="s">
        <v>1262</v>
      </c>
      <c r="AQ76" s="6" t="b">
        <v>0</v>
      </c>
      <c r="AR76" s="6" t="b">
        <v>0</v>
      </c>
      <c r="AS76" s="6" t="b">
        <v>0</v>
      </c>
      <c r="AT76" s="6" t="s">
        <v>1262</v>
      </c>
      <c r="AU76" s="6" t="s">
        <v>1263</v>
      </c>
      <c r="BA76" t="str">
        <f t="shared" si="1"/>
        <v>insert into nm_RawMatchData values ('isaac', 'NoMythic', 'Practice', 14, 'B3', 2264, '', 'No', 0, 0, 0, 0, 0, 0, 0, 0, 0, 0, 0, 0, 0, 'No', '', 'x', 'No', 'x', 'No Card', '', null, null, null);</v>
      </c>
    </row>
    <row r="77" spans="1:56">
      <c r="A77" s="6" t="s">
        <v>1336</v>
      </c>
      <c r="B77" s="6" t="s">
        <v>1271</v>
      </c>
      <c r="C77" s="6" t="s">
        <v>0</v>
      </c>
      <c r="D77" s="6">
        <v>14</v>
      </c>
      <c r="E77" s="6" t="s">
        <v>1259</v>
      </c>
      <c r="F77" s="6">
        <v>2450</v>
      </c>
      <c r="G77" s="6" t="b">
        <v>0</v>
      </c>
      <c r="H77" s="6" t="s">
        <v>1260</v>
      </c>
      <c r="I77" s="6" t="b">
        <v>1</v>
      </c>
      <c r="J77" s="6" t="b">
        <v>1</v>
      </c>
      <c r="K77" s="6">
        <v>0</v>
      </c>
      <c r="L77" s="6">
        <v>0</v>
      </c>
      <c r="M77" s="6">
        <v>0</v>
      </c>
      <c r="N77" s="6">
        <v>0</v>
      </c>
      <c r="O77" s="6">
        <v>0</v>
      </c>
      <c r="P77" s="6">
        <v>0</v>
      </c>
      <c r="Q77" s="6">
        <v>0</v>
      </c>
      <c r="R77" s="6">
        <v>0</v>
      </c>
      <c r="S77" s="6">
        <v>0</v>
      </c>
      <c r="T77" s="6">
        <v>0</v>
      </c>
      <c r="U77" s="6">
        <v>0</v>
      </c>
      <c r="V77" s="6">
        <v>0</v>
      </c>
      <c r="W77" s="6">
        <v>0</v>
      </c>
      <c r="X77" s="6" t="b">
        <v>1</v>
      </c>
      <c r="Y77" s="6" t="b">
        <v>0</v>
      </c>
      <c r="Z77" s="6">
        <v>1</v>
      </c>
      <c r="AA77" s="6">
        <v>0</v>
      </c>
      <c r="AB77" s="6">
        <v>0</v>
      </c>
      <c r="AC77" s="6">
        <v>1</v>
      </c>
      <c r="AD77" s="6">
        <v>0</v>
      </c>
      <c r="AE77" s="6">
        <v>0</v>
      </c>
      <c r="AF77" s="6">
        <v>0</v>
      </c>
      <c r="AG77" s="6">
        <v>0</v>
      </c>
      <c r="AH77" s="6">
        <v>3</v>
      </c>
      <c r="AI77" s="6">
        <v>0</v>
      </c>
      <c r="AJ77" s="6">
        <v>0</v>
      </c>
      <c r="AK77" s="6" t="s">
        <v>1297</v>
      </c>
      <c r="AL77" s="6">
        <v>0</v>
      </c>
      <c r="AM77" s="6" t="b">
        <v>0</v>
      </c>
      <c r="AN77" s="6" t="s">
        <v>86</v>
      </c>
      <c r="AO77" s="6" t="s">
        <v>1338</v>
      </c>
      <c r="AP77" s="6" t="s">
        <v>1262</v>
      </c>
      <c r="AQ77" s="6" t="b">
        <v>0</v>
      </c>
      <c r="AR77" s="6" t="b">
        <v>0</v>
      </c>
      <c r="AS77" s="6" t="b">
        <v>0</v>
      </c>
      <c r="AT77" s="6" t="s">
        <v>1262</v>
      </c>
      <c r="AU77" s="6" t="s">
        <v>1263</v>
      </c>
      <c r="BA77" t="str">
        <f t="shared" si="1"/>
        <v>insert into nm_RawMatchData values ('Leo ', 'MPArors', 'Practice', 14, 'R2', 2450, 'Red Barge', 'Yes', 0, 0, 0, 0, 0, 0, 0, 0, 0, 0, 1, 0, 0, 'P', 'tried to climb', 'x', 'No', 'x', 'No Card', '', null, null, null);</v>
      </c>
    </row>
    <row r="78" spans="1:56">
      <c r="A78" s="6" t="s">
        <v>1339</v>
      </c>
      <c r="B78" s="6" t="s">
        <v>1258</v>
      </c>
      <c r="C78" s="6" t="s">
        <v>0</v>
      </c>
      <c r="D78" s="6">
        <v>14</v>
      </c>
      <c r="E78" s="6" t="s">
        <v>1281</v>
      </c>
      <c r="F78" s="6">
        <v>2491</v>
      </c>
      <c r="G78" s="6" t="b">
        <v>0</v>
      </c>
      <c r="H78" s="6" t="s">
        <v>57</v>
      </c>
      <c r="I78" s="6" t="b">
        <v>1</v>
      </c>
      <c r="J78" s="6" t="b">
        <v>1</v>
      </c>
      <c r="K78" s="6">
        <v>0</v>
      </c>
      <c r="L78" s="6">
        <v>0</v>
      </c>
      <c r="M78" s="6">
        <v>0</v>
      </c>
      <c r="N78" s="6">
        <v>0</v>
      </c>
      <c r="O78" s="6">
        <v>0</v>
      </c>
      <c r="P78" s="6">
        <v>0</v>
      </c>
      <c r="Q78" s="6">
        <v>0</v>
      </c>
      <c r="R78" s="6">
        <v>0</v>
      </c>
      <c r="S78" s="6">
        <v>0</v>
      </c>
      <c r="T78" s="6">
        <v>0</v>
      </c>
      <c r="U78" s="6">
        <v>0</v>
      </c>
      <c r="V78" s="6">
        <v>0</v>
      </c>
      <c r="W78" s="6">
        <v>0</v>
      </c>
      <c r="X78" s="6" t="b">
        <v>0</v>
      </c>
      <c r="Y78" s="6" t="b">
        <v>0</v>
      </c>
      <c r="Z78" s="6">
        <v>7</v>
      </c>
      <c r="AA78" s="6">
        <v>2</v>
      </c>
      <c r="AB78" s="6">
        <v>2</v>
      </c>
      <c r="AC78" s="6">
        <v>1</v>
      </c>
      <c r="AD78" s="6">
        <v>0</v>
      </c>
      <c r="AE78" s="6">
        <v>0</v>
      </c>
      <c r="AF78" s="6">
        <v>1</v>
      </c>
      <c r="AG78" s="6">
        <v>0</v>
      </c>
      <c r="AH78" s="6">
        <v>1</v>
      </c>
      <c r="AI78" s="6">
        <v>0</v>
      </c>
      <c r="AJ78" s="6">
        <v>0</v>
      </c>
      <c r="AK78" s="6" t="s">
        <v>85</v>
      </c>
      <c r="AL78" s="6">
        <v>0</v>
      </c>
      <c r="AM78" s="6" t="b">
        <v>0</v>
      </c>
      <c r="AN78" s="6" t="s">
        <v>1297</v>
      </c>
      <c r="AP78" s="6" t="s">
        <v>1262</v>
      </c>
      <c r="AQ78" s="6" t="b">
        <v>0</v>
      </c>
      <c r="AR78" s="6" t="b">
        <v>0</v>
      </c>
      <c r="AS78" s="6" t="b">
        <v>0</v>
      </c>
      <c r="AT78" s="6" t="s">
        <v>1262</v>
      </c>
      <c r="AU78" s="6" t="s">
        <v>1263</v>
      </c>
      <c r="BA78" t="str">
        <f t="shared" si="1"/>
        <v>insert into nm_RawMatchData values ('Tim A', 'NoMythic', 'Practice', 14, 'R3', 2491, 'Blue Barge', 'Yes', 0, 0, 0, 0, 0, 0, 0, 1, 2, 2, 1, 0, 0, 'Sc', '', 'x', 'No', 'x', 'No Card', '', null, null, null);</v>
      </c>
    </row>
    <row r="79" spans="1:56">
      <c r="A79" s="6" t="s">
        <v>1257</v>
      </c>
      <c r="B79" s="6" t="s">
        <v>1258</v>
      </c>
      <c r="C79" s="6" t="s">
        <v>0</v>
      </c>
      <c r="D79" s="6">
        <v>15</v>
      </c>
      <c r="E79" s="6" t="s">
        <v>1276</v>
      </c>
      <c r="F79" s="6">
        <v>3018</v>
      </c>
      <c r="G79" s="6" t="b">
        <v>0</v>
      </c>
      <c r="H79" s="6" t="s">
        <v>1260</v>
      </c>
      <c r="I79" s="6" t="b">
        <v>1</v>
      </c>
      <c r="J79" s="6" t="b">
        <v>0</v>
      </c>
      <c r="K79" s="6">
        <v>0</v>
      </c>
      <c r="L79" s="6">
        <v>0</v>
      </c>
      <c r="M79" s="6">
        <v>0</v>
      </c>
      <c r="N79" s="6">
        <v>0</v>
      </c>
      <c r="O79" s="6">
        <v>0</v>
      </c>
      <c r="P79" s="6">
        <v>0</v>
      </c>
      <c r="Q79" s="6">
        <v>0</v>
      </c>
      <c r="R79" s="6">
        <v>0</v>
      </c>
      <c r="S79" s="6">
        <v>0</v>
      </c>
      <c r="T79" s="6">
        <v>0</v>
      </c>
      <c r="U79" s="6">
        <v>0</v>
      </c>
      <c r="V79" s="6">
        <v>0</v>
      </c>
      <c r="W79" s="6">
        <v>0</v>
      </c>
      <c r="X79" s="6" t="b">
        <v>1</v>
      </c>
      <c r="Y79" s="6" t="b">
        <v>0</v>
      </c>
      <c r="Z79" s="6">
        <v>0</v>
      </c>
      <c r="AA79" s="6">
        <v>4</v>
      </c>
      <c r="AB79" s="6">
        <v>0</v>
      </c>
      <c r="AC79" s="6">
        <v>0</v>
      </c>
      <c r="AD79" s="6">
        <v>0</v>
      </c>
      <c r="AE79" s="6">
        <v>0</v>
      </c>
      <c r="AF79" s="6">
        <v>0</v>
      </c>
      <c r="AG79" s="6">
        <v>0</v>
      </c>
      <c r="AH79" s="6">
        <v>0</v>
      </c>
      <c r="AI79" s="6">
        <v>0</v>
      </c>
      <c r="AJ79" s="6">
        <v>0</v>
      </c>
      <c r="AK79" s="6" t="s">
        <v>86</v>
      </c>
      <c r="AL79" s="6">
        <v>0</v>
      </c>
      <c r="AM79" s="6" t="b">
        <v>0</v>
      </c>
      <c r="AN79" s="6" t="s">
        <v>86</v>
      </c>
      <c r="AP79" s="6" t="s">
        <v>1262</v>
      </c>
      <c r="AQ79" s="6" t="b">
        <v>0</v>
      </c>
      <c r="AR79" s="6" t="b">
        <v>0</v>
      </c>
      <c r="AS79" s="6" t="b">
        <v>0</v>
      </c>
      <c r="AT79" s="6">
        <v>1</v>
      </c>
      <c r="AU79" s="6" t="s">
        <v>1263</v>
      </c>
      <c r="BA79" t="str">
        <f t="shared" si="1"/>
        <v>insert into nm_RawMatchData values ('Margo Zimmerman', 'NoMythic', 'Practice', 15, 'B2', 3018, 'Red Barge', 'No', 0, 0, 0, 0, 0, 0, 0, 0, 4, 0, 0, 0, 0, 'P', '', 'x', 'No', '1', 'No Card', '', null, null, null);</v>
      </c>
    </row>
    <row r="80" spans="1:56">
      <c r="A80" s="6" t="s">
        <v>1324</v>
      </c>
      <c r="B80" s="6" t="s">
        <v>1301</v>
      </c>
      <c r="C80" s="6" t="s">
        <v>0</v>
      </c>
      <c r="D80" s="6">
        <v>15</v>
      </c>
      <c r="E80" s="6" t="s">
        <v>1266</v>
      </c>
      <c r="F80" s="6">
        <v>2855</v>
      </c>
      <c r="G80" s="6" t="b">
        <v>0</v>
      </c>
      <c r="H80" s="6" t="s">
        <v>1260</v>
      </c>
      <c r="I80" s="6" t="b">
        <v>1</v>
      </c>
      <c r="J80" s="6" t="b">
        <v>1</v>
      </c>
      <c r="K80" s="6">
        <v>0</v>
      </c>
      <c r="L80" s="6">
        <v>0</v>
      </c>
      <c r="M80" s="6">
        <v>0</v>
      </c>
      <c r="N80" s="6">
        <v>0</v>
      </c>
      <c r="O80" s="6">
        <v>0</v>
      </c>
      <c r="P80" s="6">
        <v>0</v>
      </c>
      <c r="Q80" s="6">
        <v>0</v>
      </c>
      <c r="R80" s="6">
        <v>1</v>
      </c>
      <c r="S80" s="6">
        <v>0</v>
      </c>
      <c r="T80" s="6">
        <v>0</v>
      </c>
      <c r="U80" s="6">
        <v>0</v>
      </c>
      <c r="V80" s="6">
        <v>0</v>
      </c>
      <c r="W80" s="6">
        <v>0</v>
      </c>
      <c r="X80" s="6" t="b">
        <v>1</v>
      </c>
      <c r="Y80" s="6" t="b">
        <v>0</v>
      </c>
      <c r="Z80" s="6">
        <v>2</v>
      </c>
      <c r="AA80" s="6">
        <v>2</v>
      </c>
      <c r="AB80" s="6">
        <v>2</v>
      </c>
      <c r="AC80" s="6">
        <v>0</v>
      </c>
      <c r="AD80" s="6">
        <v>0</v>
      </c>
      <c r="AE80" s="6">
        <v>0</v>
      </c>
      <c r="AF80" s="6">
        <v>0</v>
      </c>
      <c r="AG80" s="6">
        <v>0</v>
      </c>
      <c r="AH80" s="6">
        <v>0</v>
      </c>
      <c r="AI80" s="6">
        <v>1</v>
      </c>
      <c r="AJ80" s="6">
        <v>0</v>
      </c>
      <c r="AK80" s="6" t="s">
        <v>85</v>
      </c>
      <c r="AL80" s="6">
        <v>0</v>
      </c>
      <c r="AM80" s="6" t="b">
        <v>0</v>
      </c>
      <c r="AN80" s="6" t="s">
        <v>153</v>
      </c>
      <c r="AO80" s="6" t="s">
        <v>1340</v>
      </c>
      <c r="AP80" s="6" t="s">
        <v>1262</v>
      </c>
      <c r="AQ80" s="6" t="b">
        <v>0</v>
      </c>
      <c r="AR80" s="6" t="b">
        <v>0</v>
      </c>
      <c r="AS80" s="6" t="b">
        <v>0</v>
      </c>
      <c r="AT80" s="6" t="s">
        <v>1262</v>
      </c>
      <c r="AU80" s="6" t="s">
        <v>1263</v>
      </c>
      <c r="BA80" t="str">
        <f t="shared" si="1"/>
        <v>insert into nm_RawMatchData values ('Annika', 'Wind Chill', 'Practice', 15, 'B1', 2855, 'Red Barge', 'Yes', 0, 0, 0, 0, 0, 0, 0, 0, 2, 2, 0, 0, 0, 'No', 'Did not get a hold of cage', 'x', 'No', 'x', 'No Card', '', null, null, null);</v>
      </c>
    </row>
    <row r="81" spans="1:56">
      <c r="A81" s="6" t="s">
        <v>1336</v>
      </c>
      <c r="B81" s="6" t="s">
        <v>1271</v>
      </c>
      <c r="C81" s="6" t="s">
        <v>0</v>
      </c>
      <c r="D81" s="6">
        <v>15</v>
      </c>
      <c r="E81" s="6" t="s">
        <v>1259</v>
      </c>
      <c r="F81" s="6">
        <v>6217</v>
      </c>
      <c r="G81" s="6" t="b">
        <v>0</v>
      </c>
      <c r="H81" s="6" t="s">
        <v>57</v>
      </c>
      <c r="I81" s="6" t="b">
        <v>1</v>
      </c>
      <c r="J81" s="6" t="b">
        <v>0</v>
      </c>
      <c r="K81" s="6">
        <v>0</v>
      </c>
      <c r="L81" s="6">
        <v>0</v>
      </c>
      <c r="M81" s="6">
        <v>0</v>
      </c>
      <c r="N81" s="6">
        <v>1</v>
      </c>
      <c r="O81" s="6">
        <v>0</v>
      </c>
      <c r="P81" s="6">
        <v>0</v>
      </c>
      <c r="Q81" s="6">
        <v>0</v>
      </c>
      <c r="R81" s="6">
        <v>0</v>
      </c>
      <c r="S81" s="6">
        <v>0</v>
      </c>
      <c r="T81" s="6">
        <v>0</v>
      </c>
      <c r="U81" s="6">
        <v>0</v>
      </c>
      <c r="V81" s="6">
        <v>0</v>
      </c>
      <c r="W81" s="6">
        <v>0</v>
      </c>
      <c r="X81" s="6" t="b">
        <v>1</v>
      </c>
      <c r="Y81" s="6" t="b">
        <v>0</v>
      </c>
      <c r="Z81" s="6">
        <v>1</v>
      </c>
      <c r="AA81" s="6">
        <v>3</v>
      </c>
      <c r="AB81" s="6">
        <v>2</v>
      </c>
      <c r="AC81" s="6">
        <v>2</v>
      </c>
      <c r="AD81" s="6">
        <v>0</v>
      </c>
      <c r="AE81" s="6">
        <v>0</v>
      </c>
      <c r="AF81" s="6">
        <v>0</v>
      </c>
      <c r="AG81" s="6">
        <v>0</v>
      </c>
      <c r="AH81" s="6">
        <v>1</v>
      </c>
      <c r="AI81" s="6">
        <v>0</v>
      </c>
      <c r="AJ81" s="6">
        <v>0</v>
      </c>
      <c r="AK81" s="6" t="s">
        <v>86</v>
      </c>
      <c r="AL81" s="6">
        <v>0</v>
      </c>
      <c r="AM81" s="6" t="b">
        <v>1</v>
      </c>
      <c r="AN81" s="6" t="s">
        <v>86</v>
      </c>
      <c r="AO81" s="6" t="s">
        <v>1341</v>
      </c>
      <c r="AP81" s="6" t="s">
        <v>1262</v>
      </c>
      <c r="AQ81" s="6" t="b">
        <v>0</v>
      </c>
      <c r="AR81" s="6" t="b">
        <v>0</v>
      </c>
      <c r="AS81" s="6" t="b">
        <v>0</v>
      </c>
      <c r="AT81" s="6" t="s">
        <v>1262</v>
      </c>
      <c r="AU81" s="6" t="s">
        <v>1263</v>
      </c>
      <c r="AV81" s="6" t="s">
        <v>1342</v>
      </c>
      <c r="BA81" t="str">
        <f t="shared" si="1"/>
        <v>insert into nm_RawMatchData values ('Leo ', 'MPArors', 'Practice', 15, 'R2', 6217, 'Blue Barge', 'No', 1, 0, 0, 0, 0, 0, 0, 0, 3, 2, 2, 0, 0, 'P', 'failed to deep climb, ', 'x', 'No', 'x', 'No Card', 'a coral was briefly stuck on top of their robot''s drive base after a failed L4 attempt', null, null, null);</v>
      </c>
    </row>
    <row r="82" spans="1:56">
      <c r="A82" s="6" t="s">
        <v>1333</v>
      </c>
      <c r="B82" s="6" t="s">
        <v>1258</v>
      </c>
      <c r="C82" s="6" t="s">
        <v>0</v>
      </c>
      <c r="D82" s="6">
        <v>15</v>
      </c>
      <c r="E82" s="6" t="s">
        <v>1269</v>
      </c>
      <c r="F82" s="6">
        <v>5541</v>
      </c>
      <c r="G82" s="6" t="b">
        <v>1</v>
      </c>
      <c r="I82" s="6" t="b">
        <v>1</v>
      </c>
      <c r="J82" s="6" t="b">
        <v>0</v>
      </c>
      <c r="K82" s="6">
        <v>0</v>
      </c>
      <c r="L82" s="6">
        <v>0</v>
      </c>
      <c r="M82" s="6">
        <v>0</v>
      </c>
      <c r="N82" s="6">
        <v>0</v>
      </c>
      <c r="O82" s="6">
        <v>0</v>
      </c>
      <c r="P82" s="6">
        <v>0</v>
      </c>
      <c r="Q82" s="6">
        <v>0</v>
      </c>
      <c r="R82" s="6">
        <v>0</v>
      </c>
      <c r="S82" s="6">
        <v>0</v>
      </c>
      <c r="T82" s="6">
        <v>0</v>
      </c>
      <c r="U82" s="6">
        <v>0</v>
      </c>
      <c r="V82" s="6">
        <v>0</v>
      </c>
      <c r="W82" s="6">
        <v>0</v>
      </c>
      <c r="X82" s="6" t="b">
        <v>0</v>
      </c>
      <c r="Y82" s="6" t="b">
        <v>0</v>
      </c>
      <c r="Z82" s="6">
        <v>0</v>
      </c>
      <c r="AA82" s="6">
        <v>0</v>
      </c>
      <c r="AB82" s="6">
        <v>0</v>
      </c>
      <c r="AC82" s="6">
        <v>0</v>
      </c>
      <c r="AD82" s="6">
        <v>0</v>
      </c>
      <c r="AE82" s="6">
        <v>0</v>
      </c>
      <c r="AF82" s="6">
        <v>0</v>
      </c>
      <c r="AG82" s="6">
        <v>0</v>
      </c>
      <c r="AH82" s="6">
        <v>0</v>
      </c>
      <c r="AI82" s="6">
        <v>0</v>
      </c>
      <c r="AJ82" s="6">
        <v>0</v>
      </c>
      <c r="AK82" s="6" t="s">
        <v>153</v>
      </c>
      <c r="AL82" s="6">
        <v>0</v>
      </c>
      <c r="AM82" s="6" t="b">
        <v>0</v>
      </c>
      <c r="AN82" s="6" t="s">
        <v>153</v>
      </c>
      <c r="AP82" s="6" t="s">
        <v>1262</v>
      </c>
      <c r="AQ82" s="6" t="b">
        <v>0</v>
      </c>
      <c r="AR82" s="6" t="b">
        <v>0</v>
      </c>
      <c r="AS82" s="6" t="b">
        <v>0</v>
      </c>
      <c r="AT82" s="6" t="s">
        <v>1262</v>
      </c>
      <c r="AU82" s="6" t="s">
        <v>1263</v>
      </c>
      <c r="BA82" t="str">
        <f t="shared" si="1"/>
        <v>insert into nm_RawMatchData values ('isaac', 'NoMythic', 'Practice', 15, 'B3', 5541, '', 'No', 0, 0, 0, 0, 0, 0, 0, 0, 0, 0, 0, 0, 0, 'No', '', 'x', 'No', 'x', 'No Card', '', null, null, null);</v>
      </c>
    </row>
    <row r="83" spans="1:56">
      <c r="A83" s="6" t="s">
        <v>1339</v>
      </c>
      <c r="B83" s="6" t="s">
        <v>1258</v>
      </c>
      <c r="C83" s="6" t="s">
        <v>0</v>
      </c>
      <c r="D83" s="6">
        <v>15</v>
      </c>
      <c r="E83" s="6" t="s">
        <v>1281</v>
      </c>
      <c r="F83" s="6">
        <v>4663</v>
      </c>
      <c r="G83" s="6" t="b">
        <v>0</v>
      </c>
      <c r="H83" s="6" t="s">
        <v>58</v>
      </c>
      <c r="I83" s="6" t="b">
        <v>1</v>
      </c>
      <c r="J83" s="6" t="b">
        <v>1</v>
      </c>
      <c r="K83" s="6">
        <v>0</v>
      </c>
      <c r="L83" s="6">
        <v>0</v>
      </c>
      <c r="M83" s="6">
        <v>0</v>
      </c>
      <c r="N83" s="6">
        <v>0</v>
      </c>
      <c r="O83" s="6">
        <v>0</v>
      </c>
      <c r="P83" s="6">
        <v>0</v>
      </c>
      <c r="Q83" s="6">
        <v>1</v>
      </c>
      <c r="R83" s="6">
        <v>0</v>
      </c>
      <c r="S83" s="6">
        <v>0</v>
      </c>
      <c r="T83" s="6">
        <v>0</v>
      </c>
      <c r="U83" s="6">
        <v>0</v>
      </c>
      <c r="V83" s="6">
        <v>0</v>
      </c>
      <c r="W83" s="6">
        <v>0</v>
      </c>
      <c r="X83" s="6" t="b">
        <v>1</v>
      </c>
      <c r="Y83" s="6" t="b">
        <v>0</v>
      </c>
      <c r="Z83" s="6">
        <v>0</v>
      </c>
      <c r="AA83" s="6">
        <v>1</v>
      </c>
      <c r="AB83" s="6">
        <v>0</v>
      </c>
      <c r="AC83" s="6">
        <v>0</v>
      </c>
      <c r="AD83" s="6">
        <v>0</v>
      </c>
      <c r="AE83" s="6">
        <v>1</v>
      </c>
      <c r="AF83" s="6">
        <v>3</v>
      </c>
      <c r="AG83" s="6">
        <v>0</v>
      </c>
      <c r="AH83" s="6">
        <v>3</v>
      </c>
      <c r="AI83" s="6">
        <v>0</v>
      </c>
      <c r="AJ83" s="6">
        <v>1</v>
      </c>
      <c r="AK83" s="6" t="s">
        <v>1297</v>
      </c>
      <c r="AL83" s="6">
        <v>0</v>
      </c>
      <c r="AM83" s="6" t="b">
        <v>0</v>
      </c>
      <c r="AN83" s="6" t="s">
        <v>86</v>
      </c>
      <c r="AP83" s="6" t="s">
        <v>1262</v>
      </c>
      <c r="AQ83" s="6" t="b">
        <v>0</v>
      </c>
      <c r="AR83" s="6" t="b">
        <v>0</v>
      </c>
      <c r="AS83" s="6" t="b">
        <v>0</v>
      </c>
      <c r="AT83" s="6" t="s">
        <v>1262</v>
      </c>
      <c r="AU83" s="6" t="s">
        <v>1263</v>
      </c>
      <c r="BA83" t="str">
        <f t="shared" si="1"/>
        <v>insert into nm_RawMatchData values ('Tim A', 'NoMythic', 'Practice', 15, 'R3', 4663, 'Middle', 'Yes', 0, 0, 0, 1, 0, 0, 1, 3, 1, 0, 0, 0, 0, 'P', '', 'x', 'No', 'x', 'No Card', '', null, null, null);</v>
      </c>
    </row>
    <row r="84" spans="1:56">
      <c r="A84" s="6" t="s">
        <v>1334</v>
      </c>
      <c r="B84" s="6" t="s">
        <v>1271</v>
      </c>
      <c r="C84" s="6" t="s">
        <v>0</v>
      </c>
      <c r="D84" s="6">
        <v>15</v>
      </c>
      <c r="E84" s="6" t="s">
        <v>1272</v>
      </c>
      <c r="F84" s="6">
        <v>5271</v>
      </c>
      <c r="G84" s="6" t="b">
        <v>0</v>
      </c>
      <c r="H84" s="6" t="s">
        <v>1260</v>
      </c>
      <c r="I84" s="6" t="b">
        <v>1</v>
      </c>
      <c r="J84" s="6" t="b">
        <v>0</v>
      </c>
      <c r="K84" s="6">
        <v>0</v>
      </c>
      <c r="L84" s="6">
        <v>0</v>
      </c>
      <c r="M84" s="6">
        <v>0</v>
      </c>
      <c r="N84" s="6">
        <v>0</v>
      </c>
      <c r="O84" s="6">
        <v>0</v>
      </c>
      <c r="P84" s="6">
        <v>0</v>
      </c>
      <c r="Q84" s="6">
        <v>0</v>
      </c>
      <c r="R84" s="6">
        <v>0</v>
      </c>
      <c r="S84" s="6">
        <v>0</v>
      </c>
      <c r="T84" s="6">
        <v>0</v>
      </c>
      <c r="U84" s="6">
        <v>0</v>
      </c>
      <c r="V84" s="6">
        <v>0</v>
      </c>
      <c r="W84" s="6">
        <v>0</v>
      </c>
      <c r="X84" s="6" t="b">
        <v>0</v>
      </c>
      <c r="Y84" s="6" t="b">
        <v>0</v>
      </c>
      <c r="Z84" s="6">
        <v>1</v>
      </c>
      <c r="AA84" s="6">
        <v>0</v>
      </c>
      <c r="AB84" s="6">
        <v>0</v>
      </c>
      <c r="AC84" s="6">
        <v>0</v>
      </c>
      <c r="AD84" s="6">
        <v>0</v>
      </c>
      <c r="AE84" s="6">
        <v>0</v>
      </c>
      <c r="AF84" s="6">
        <v>0</v>
      </c>
      <c r="AG84" s="6">
        <v>0</v>
      </c>
      <c r="AH84" s="6">
        <v>0</v>
      </c>
      <c r="AI84" s="6">
        <v>0</v>
      </c>
      <c r="AJ84" s="6">
        <v>0</v>
      </c>
      <c r="AK84" s="6" t="s">
        <v>86</v>
      </c>
      <c r="AL84" s="6">
        <v>0</v>
      </c>
      <c r="AM84" s="6" t="b">
        <v>0</v>
      </c>
      <c r="AN84" s="6" t="s">
        <v>86</v>
      </c>
      <c r="AO84" s="6" t="s">
        <v>1343</v>
      </c>
      <c r="AP84" s="6" t="s">
        <v>1262</v>
      </c>
      <c r="AQ84" s="6" t="b">
        <v>0</v>
      </c>
      <c r="AR84" s="6" t="b">
        <v>0</v>
      </c>
      <c r="AS84" s="6" t="b">
        <v>0</v>
      </c>
      <c r="AT84" s="6" t="s">
        <v>1262</v>
      </c>
      <c r="AU84" s="6" t="s">
        <v>1263</v>
      </c>
      <c r="BA84" t="str">
        <f t="shared" si="1"/>
        <v>insert into nm_RawMatchData values ('Gavin', 'MPArors', 'Practice', 15, 'R1', 5271, 'Red Barge', 'No', 0, 0, 0, 0, 0, 0, 0, 0, 0, 0, 0, 0, 0, 'P', 'they might have attempted shallow climb but I don''t think they did.', 'x', 'No', 'x', 'No Card', '', null, null, null);</v>
      </c>
    </row>
    <row r="85" spans="1:56">
      <c r="A85" s="6" t="s">
        <v>1257</v>
      </c>
      <c r="B85" s="6" t="s">
        <v>1258</v>
      </c>
      <c r="C85" s="6" t="s">
        <v>0</v>
      </c>
      <c r="D85" s="6">
        <v>16</v>
      </c>
      <c r="E85" s="6" t="s">
        <v>1276</v>
      </c>
      <c r="F85" s="6">
        <v>3883</v>
      </c>
      <c r="G85" s="6" t="b">
        <v>0</v>
      </c>
      <c r="H85" s="6" t="s">
        <v>1260</v>
      </c>
      <c r="I85" s="6" t="b">
        <v>1</v>
      </c>
      <c r="J85" s="6" t="b">
        <v>1</v>
      </c>
      <c r="K85" s="6">
        <v>1</v>
      </c>
      <c r="L85" s="6">
        <v>0</v>
      </c>
      <c r="M85" s="6">
        <v>0</v>
      </c>
      <c r="N85" s="6">
        <v>2</v>
      </c>
      <c r="O85" s="6">
        <v>0</v>
      </c>
      <c r="P85" s="6">
        <v>0</v>
      </c>
      <c r="Q85" s="6">
        <v>0</v>
      </c>
      <c r="R85" s="6">
        <v>0</v>
      </c>
      <c r="S85" s="6">
        <v>0</v>
      </c>
      <c r="T85" s="6">
        <v>0</v>
      </c>
      <c r="U85" s="6">
        <v>0</v>
      </c>
      <c r="V85" s="6">
        <v>1</v>
      </c>
      <c r="W85" s="6">
        <v>0</v>
      </c>
      <c r="X85" s="6" t="b">
        <v>1</v>
      </c>
      <c r="Y85" s="6" t="b">
        <v>0</v>
      </c>
      <c r="Z85" s="6">
        <v>0</v>
      </c>
      <c r="AA85" s="6">
        <v>5</v>
      </c>
      <c r="AB85" s="6">
        <v>2</v>
      </c>
      <c r="AC85" s="6">
        <v>0</v>
      </c>
      <c r="AD85" s="6">
        <v>0</v>
      </c>
      <c r="AE85" s="6">
        <v>0</v>
      </c>
      <c r="AF85" s="6">
        <v>0</v>
      </c>
      <c r="AG85" s="6">
        <v>0</v>
      </c>
      <c r="AH85" s="6">
        <v>0</v>
      </c>
      <c r="AI85" s="6">
        <v>0</v>
      </c>
      <c r="AJ85" s="6">
        <v>0</v>
      </c>
      <c r="AK85" s="6" t="s">
        <v>85</v>
      </c>
      <c r="AL85" s="6">
        <v>0</v>
      </c>
      <c r="AM85" s="6" t="b">
        <v>0</v>
      </c>
      <c r="AN85" s="6" t="s">
        <v>85</v>
      </c>
      <c r="AP85" s="6" t="s">
        <v>1262</v>
      </c>
      <c r="AQ85" s="6" t="b">
        <v>0</v>
      </c>
      <c r="AR85" s="6" t="b">
        <v>0</v>
      </c>
      <c r="AS85" s="6" t="b">
        <v>0</v>
      </c>
      <c r="AT85" s="6" t="s">
        <v>1262</v>
      </c>
      <c r="AU85" s="6" t="s">
        <v>1263</v>
      </c>
      <c r="BA85" t="str">
        <f t="shared" si="1"/>
        <v>insert into nm_RawMatchData values ('Margo Zimmerman', 'NoMythic', 'Practice', 16, 'B2', 3883, 'Red Barge', 'Yes', 2, 0, 0, 0, 0, 0, 0, 0, 5, 2, 0, 0, 0, 'Dc', '', 'x', 'No', 'x', 'No Card', '', null, null, null);</v>
      </c>
    </row>
    <row r="86" spans="1:56">
      <c r="A86" s="6" t="s">
        <v>1324</v>
      </c>
      <c r="B86" s="6" t="s">
        <v>1301</v>
      </c>
      <c r="C86" s="6" t="s">
        <v>0</v>
      </c>
      <c r="D86" s="6">
        <v>16</v>
      </c>
      <c r="E86" s="6" t="s">
        <v>1266</v>
      </c>
      <c r="F86" s="6">
        <v>4225</v>
      </c>
      <c r="G86" s="6" t="b">
        <v>0</v>
      </c>
      <c r="H86" s="6" t="s">
        <v>58</v>
      </c>
      <c r="I86" s="6" t="b">
        <v>1</v>
      </c>
      <c r="J86" s="6" t="b">
        <v>1</v>
      </c>
      <c r="K86" s="6">
        <v>0</v>
      </c>
      <c r="L86" s="6">
        <v>0</v>
      </c>
      <c r="M86" s="6">
        <v>0</v>
      </c>
      <c r="N86" s="6">
        <v>0</v>
      </c>
      <c r="O86" s="6">
        <v>0</v>
      </c>
      <c r="P86" s="6">
        <v>0</v>
      </c>
      <c r="Q86" s="6">
        <v>0</v>
      </c>
      <c r="R86" s="6">
        <v>0</v>
      </c>
      <c r="S86" s="6">
        <v>0</v>
      </c>
      <c r="T86" s="6">
        <v>0</v>
      </c>
      <c r="U86" s="6">
        <v>0</v>
      </c>
      <c r="V86" s="6">
        <v>0</v>
      </c>
      <c r="W86" s="6">
        <v>0</v>
      </c>
      <c r="X86" s="6" t="b">
        <v>1</v>
      </c>
      <c r="Y86" s="6" t="b">
        <v>0</v>
      </c>
      <c r="Z86" s="6">
        <v>4</v>
      </c>
      <c r="AA86" s="6">
        <v>0</v>
      </c>
      <c r="AB86" s="6">
        <v>0</v>
      </c>
      <c r="AC86" s="6">
        <v>0</v>
      </c>
      <c r="AD86" s="6">
        <v>2</v>
      </c>
      <c r="AE86" s="6">
        <v>0</v>
      </c>
      <c r="AF86" s="6">
        <v>0</v>
      </c>
      <c r="AG86" s="6">
        <v>0</v>
      </c>
      <c r="AH86" s="6">
        <v>0</v>
      </c>
      <c r="AI86" s="6">
        <v>0</v>
      </c>
      <c r="AJ86" s="6">
        <v>0</v>
      </c>
      <c r="AK86" s="6" t="s">
        <v>86</v>
      </c>
      <c r="AL86" s="6">
        <v>0</v>
      </c>
      <c r="AM86" s="6" t="b">
        <v>0</v>
      </c>
      <c r="AN86" s="6" t="s">
        <v>153</v>
      </c>
      <c r="AP86" s="6" t="s">
        <v>1262</v>
      </c>
      <c r="AQ86" s="6" t="b">
        <v>0</v>
      </c>
      <c r="AR86" s="6" t="b">
        <v>0</v>
      </c>
      <c r="AS86" s="6" t="b">
        <v>0</v>
      </c>
      <c r="AT86" s="6" t="s">
        <v>1262</v>
      </c>
      <c r="AU86" s="6" t="s">
        <v>1263</v>
      </c>
      <c r="BA86" t="str">
        <f t="shared" si="1"/>
        <v>insert into nm_RawMatchData values ('Annika', 'Wind Chill', 'Practice', 16, 'B1', 4225, 'Middle', 'Yes', 0, 0, 0, 0, 0, 0, 0, 0, 0, 0, 0, 2, 0, 'No', '', 'x', 'No', 'x', 'No Card', '', null, null, null);</v>
      </c>
    </row>
    <row r="87" spans="1:56">
      <c r="A87" s="6" t="s">
        <v>1279</v>
      </c>
      <c r="B87" s="6" t="s">
        <v>1280</v>
      </c>
      <c r="C87" s="6" t="s">
        <v>0</v>
      </c>
      <c r="D87" s="6">
        <v>16</v>
      </c>
      <c r="E87" s="6" t="s">
        <v>1281</v>
      </c>
      <c r="F87" s="6">
        <v>8234</v>
      </c>
      <c r="G87" s="6" t="b">
        <v>0</v>
      </c>
      <c r="H87" s="6" t="s">
        <v>57</v>
      </c>
      <c r="I87" s="6" t="b">
        <v>1</v>
      </c>
      <c r="J87" s="6" t="b">
        <v>1</v>
      </c>
      <c r="K87" s="6">
        <v>0</v>
      </c>
      <c r="L87" s="6">
        <v>0</v>
      </c>
      <c r="M87" s="6">
        <v>0</v>
      </c>
      <c r="N87" s="6">
        <v>0</v>
      </c>
      <c r="O87" s="6">
        <v>0</v>
      </c>
      <c r="P87" s="6">
        <v>0</v>
      </c>
      <c r="Q87" s="6">
        <v>0</v>
      </c>
      <c r="R87" s="6">
        <v>0</v>
      </c>
      <c r="S87" s="6">
        <v>0</v>
      </c>
      <c r="T87" s="6">
        <v>0</v>
      </c>
      <c r="U87" s="6">
        <v>0</v>
      </c>
      <c r="V87" s="6">
        <v>0</v>
      </c>
      <c r="W87" s="6">
        <v>0</v>
      </c>
      <c r="X87" s="6" t="b">
        <v>0</v>
      </c>
      <c r="Y87" s="6" t="b">
        <v>0</v>
      </c>
      <c r="Z87" s="6">
        <v>0</v>
      </c>
      <c r="AA87" s="6">
        <v>0</v>
      </c>
      <c r="AB87" s="6">
        <v>0</v>
      </c>
      <c r="AC87" s="6">
        <v>0</v>
      </c>
      <c r="AD87" s="6">
        <v>0</v>
      </c>
      <c r="AE87" s="6">
        <v>0</v>
      </c>
      <c r="AF87" s="6">
        <v>0</v>
      </c>
      <c r="AG87" s="6">
        <v>0</v>
      </c>
      <c r="AH87" s="6">
        <v>0</v>
      </c>
      <c r="AI87" s="6">
        <v>0</v>
      </c>
      <c r="AJ87" s="6">
        <v>0</v>
      </c>
      <c r="AK87" s="6" t="s">
        <v>153</v>
      </c>
      <c r="AL87" s="6">
        <v>0</v>
      </c>
      <c r="AM87" s="6" t="b">
        <v>0</v>
      </c>
      <c r="AN87" s="6" t="s">
        <v>153</v>
      </c>
      <c r="AO87" s="6" t="s">
        <v>1344</v>
      </c>
      <c r="AP87" s="6" t="s">
        <v>1262</v>
      </c>
      <c r="AQ87" s="6" t="b">
        <v>0</v>
      </c>
      <c r="AR87" s="6" t="b">
        <v>1</v>
      </c>
      <c r="AS87" s="6" t="b">
        <v>1</v>
      </c>
      <c r="AT87" s="6" t="s">
        <v>1262</v>
      </c>
      <c r="AU87" s="6" t="s">
        <v>1263</v>
      </c>
      <c r="BA87" t="str">
        <f t="shared" si="1"/>
        <v>insert into nm_RawMatchData values ('James', 'Open Circuits', 'Practice', 16, 'R3', 8234, 'Blue Barge', 'Yes', 0, 0, 0, 0, 0, 0, 0, 0, 0, 0, 0, 0, 0, 'No', 'Robot disabled midway through placing coral on the reef.', 'x', 'Yes', 'x', 'No Card', '', null, null, null);</v>
      </c>
    </row>
    <row r="88" spans="1:56">
      <c r="A88" s="6" t="s">
        <v>1333</v>
      </c>
      <c r="B88" s="6" t="s">
        <v>1258</v>
      </c>
      <c r="C88" s="6" t="s">
        <v>0</v>
      </c>
      <c r="D88" s="6">
        <v>16</v>
      </c>
      <c r="E88" s="6" t="s">
        <v>1269</v>
      </c>
      <c r="F88" s="6">
        <v>3926</v>
      </c>
      <c r="G88" s="6" t="b">
        <v>0</v>
      </c>
      <c r="I88" s="6" t="b">
        <v>1</v>
      </c>
      <c r="J88" s="6" t="b">
        <v>0</v>
      </c>
      <c r="K88" s="6">
        <v>0</v>
      </c>
      <c r="L88" s="6">
        <v>0</v>
      </c>
      <c r="M88" s="6">
        <v>0</v>
      </c>
      <c r="N88" s="6">
        <v>0</v>
      </c>
      <c r="O88" s="6">
        <v>0</v>
      </c>
      <c r="P88" s="6">
        <v>0</v>
      </c>
      <c r="Q88" s="6">
        <v>0</v>
      </c>
      <c r="R88" s="6">
        <v>0</v>
      </c>
      <c r="S88" s="6">
        <v>0</v>
      </c>
      <c r="T88" s="6">
        <v>0</v>
      </c>
      <c r="U88" s="6">
        <v>0</v>
      </c>
      <c r="V88" s="6">
        <v>0</v>
      </c>
      <c r="W88" s="6">
        <v>0</v>
      </c>
      <c r="X88" s="6" t="b">
        <v>0</v>
      </c>
      <c r="Y88" s="6" t="b">
        <v>0</v>
      </c>
      <c r="Z88" s="6">
        <v>0</v>
      </c>
      <c r="AA88" s="6">
        <v>3</v>
      </c>
      <c r="AB88" s="6">
        <v>0</v>
      </c>
      <c r="AC88" s="6">
        <v>2</v>
      </c>
      <c r="AD88" s="6">
        <v>0</v>
      </c>
      <c r="AE88" s="6">
        <v>0</v>
      </c>
      <c r="AF88" s="6">
        <v>0</v>
      </c>
      <c r="AG88" s="6">
        <v>0</v>
      </c>
      <c r="AH88" s="6">
        <v>0</v>
      </c>
      <c r="AI88" s="6">
        <v>0</v>
      </c>
      <c r="AJ88" s="6">
        <v>0</v>
      </c>
      <c r="AK88" s="6" t="s">
        <v>153</v>
      </c>
      <c r="AL88" s="6">
        <v>0</v>
      </c>
      <c r="AM88" s="6" t="b">
        <v>0</v>
      </c>
      <c r="AN88" s="6" t="s">
        <v>86</v>
      </c>
      <c r="AP88" s="6">
        <v>2</v>
      </c>
      <c r="AQ88" s="6" t="b">
        <v>0</v>
      </c>
      <c r="AR88" s="6" t="b">
        <v>0</v>
      </c>
      <c r="AS88" s="6" t="b">
        <v>0</v>
      </c>
      <c r="AT88" s="6" t="s">
        <v>1262</v>
      </c>
      <c r="AU88" s="6" t="s">
        <v>1263</v>
      </c>
      <c r="BA88" t="str">
        <f t="shared" si="1"/>
        <v>insert into nm_RawMatchData values ('isaac', 'NoMythic', 'Practice', 16, 'B3', 3926, '', 'No', 0, 0, 0, 0, 0, 0, 0, 0, 3, 0, 2, 0, 0, 'P', '', '2', 'No', 'x', 'No Card', '', null, null, null);</v>
      </c>
    </row>
    <row r="89" spans="1:56">
      <c r="A89" s="6" t="s">
        <v>1334</v>
      </c>
      <c r="B89" s="6" t="s">
        <v>1271</v>
      </c>
      <c r="C89" s="6" t="s">
        <v>0</v>
      </c>
      <c r="D89" s="6">
        <v>16</v>
      </c>
      <c r="E89" s="6" t="s">
        <v>1272</v>
      </c>
      <c r="F89" s="6">
        <v>2227</v>
      </c>
      <c r="G89" s="6" t="b">
        <v>0</v>
      </c>
      <c r="H89" s="6" t="s">
        <v>1260</v>
      </c>
      <c r="I89" s="6" t="b">
        <v>1</v>
      </c>
      <c r="J89" s="6" t="b">
        <v>0</v>
      </c>
      <c r="K89" s="6">
        <v>0</v>
      </c>
      <c r="L89" s="6">
        <v>0</v>
      </c>
      <c r="M89" s="6">
        <v>0</v>
      </c>
      <c r="N89" s="6">
        <v>0</v>
      </c>
      <c r="O89" s="6">
        <v>0</v>
      </c>
      <c r="P89" s="6">
        <v>0</v>
      </c>
      <c r="Q89" s="6">
        <v>1</v>
      </c>
      <c r="R89" s="6">
        <v>0</v>
      </c>
      <c r="S89" s="6">
        <v>0</v>
      </c>
      <c r="T89" s="6">
        <v>0</v>
      </c>
      <c r="U89" s="6">
        <v>0</v>
      </c>
      <c r="V89" s="6">
        <v>0</v>
      </c>
      <c r="W89" s="6">
        <v>0</v>
      </c>
      <c r="X89" s="6" t="b">
        <v>1</v>
      </c>
      <c r="Y89" s="6" t="b">
        <v>0</v>
      </c>
      <c r="Z89" s="6">
        <v>3</v>
      </c>
      <c r="AA89" s="6">
        <v>1</v>
      </c>
      <c r="AB89" s="6">
        <v>0</v>
      </c>
      <c r="AC89" s="6">
        <v>0</v>
      </c>
      <c r="AD89" s="6">
        <v>0</v>
      </c>
      <c r="AE89" s="6">
        <v>0</v>
      </c>
      <c r="AF89" s="6">
        <v>0</v>
      </c>
      <c r="AG89" s="6">
        <v>0</v>
      </c>
      <c r="AH89" s="6">
        <v>0</v>
      </c>
      <c r="AI89" s="6">
        <v>0</v>
      </c>
      <c r="AJ89" s="6">
        <v>0</v>
      </c>
      <c r="AK89" s="6" t="s">
        <v>85</v>
      </c>
      <c r="AL89" s="6">
        <v>0</v>
      </c>
      <c r="AM89" s="6" t="b">
        <v>0</v>
      </c>
      <c r="AN89" s="6" t="s">
        <v>86</v>
      </c>
      <c r="AO89" s="6" t="s">
        <v>1345</v>
      </c>
      <c r="AP89" s="6" t="s">
        <v>1262</v>
      </c>
      <c r="AQ89" s="6" t="b">
        <v>1</v>
      </c>
      <c r="AR89" s="6" t="b">
        <v>0</v>
      </c>
      <c r="AS89" s="6" t="b">
        <v>0</v>
      </c>
      <c r="AT89" s="6">
        <v>1</v>
      </c>
      <c r="AU89" s="6" t="s">
        <v>1263</v>
      </c>
      <c r="BA89" t="str">
        <f t="shared" si="1"/>
        <v>insert into nm_RawMatchData values ('Gavin', 'MPArors', 'Practice', 16, 'R1', 2227, 'Red Barge', 'No', 0, 0, 0, 1, 0, 0, 0, 0, 1, 0, 0, 0, 0, 'P', 'attemped deep climb, crossed center line, struggled', 'x', 'No', '1', 'No Card', '', null, null, null);</v>
      </c>
    </row>
    <row r="90" spans="1:56">
      <c r="A90" s="6" t="s">
        <v>1336</v>
      </c>
      <c r="B90" s="6" t="s">
        <v>1271</v>
      </c>
      <c r="C90" s="6" t="s">
        <v>0</v>
      </c>
      <c r="D90" s="6">
        <v>16</v>
      </c>
      <c r="E90" s="6" t="s">
        <v>1259</v>
      </c>
      <c r="F90" s="6">
        <v>7850</v>
      </c>
      <c r="G90" s="6" t="b">
        <v>0</v>
      </c>
      <c r="H90" s="6" t="s">
        <v>58</v>
      </c>
      <c r="I90" s="6" t="b">
        <v>0</v>
      </c>
      <c r="J90" s="6" t="b">
        <v>1</v>
      </c>
      <c r="K90" s="6">
        <v>0</v>
      </c>
      <c r="L90" s="6">
        <v>0</v>
      </c>
      <c r="M90" s="6">
        <v>0</v>
      </c>
      <c r="N90" s="6">
        <v>0</v>
      </c>
      <c r="O90" s="6">
        <v>0</v>
      </c>
      <c r="P90" s="6">
        <v>0</v>
      </c>
      <c r="Q90" s="6">
        <v>0</v>
      </c>
      <c r="R90" s="6">
        <v>0</v>
      </c>
      <c r="S90" s="6">
        <v>0</v>
      </c>
      <c r="T90" s="6">
        <v>0</v>
      </c>
      <c r="U90" s="6">
        <v>0</v>
      </c>
      <c r="V90" s="6">
        <v>0</v>
      </c>
      <c r="W90" s="6">
        <v>0</v>
      </c>
      <c r="X90" s="6" t="b">
        <v>0</v>
      </c>
      <c r="Y90" s="6" t="b">
        <v>0</v>
      </c>
      <c r="Z90" s="6">
        <v>0</v>
      </c>
      <c r="AA90" s="6">
        <v>0</v>
      </c>
      <c r="AB90" s="6">
        <v>0</v>
      </c>
      <c r="AC90" s="6">
        <v>0</v>
      </c>
      <c r="AD90" s="6">
        <v>0</v>
      </c>
      <c r="AE90" s="6">
        <v>0</v>
      </c>
      <c r="AF90" s="6">
        <v>0</v>
      </c>
      <c r="AG90" s="6">
        <v>0</v>
      </c>
      <c r="AH90" s="6">
        <v>2</v>
      </c>
      <c r="AI90" s="6">
        <v>0</v>
      </c>
      <c r="AJ90" s="6">
        <v>0</v>
      </c>
      <c r="AK90" s="6" t="s">
        <v>85</v>
      </c>
      <c r="AL90" s="6">
        <v>0</v>
      </c>
      <c r="AM90" s="6" t="b">
        <v>0</v>
      </c>
      <c r="AN90" s="6" t="s">
        <v>86</v>
      </c>
      <c r="AP90" s="6" t="s">
        <v>1262</v>
      </c>
      <c r="AQ90" s="6" t="b">
        <v>0</v>
      </c>
      <c r="AR90" s="6" t="b">
        <v>0</v>
      </c>
      <c r="AS90" s="6" t="b">
        <v>0</v>
      </c>
      <c r="AT90" s="6" t="s">
        <v>1262</v>
      </c>
      <c r="AU90" s="6" t="s">
        <v>1346</v>
      </c>
      <c r="AV90" s="6" t="s">
        <v>1347</v>
      </c>
      <c r="BA90" t="str">
        <f t="shared" si="1"/>
        <v>insert into nm_RawMatchData values ('Leo ', 'MPArors', 'Practice', 16, 'R2', 7850, 'Middle', 'Yes', 0, 0, 0, 0, 0, 0, 0, 0, 0, 0, 0, 0, 0, 'P', '', 'x', 'No', 'x', 'Yellow', 'deflated an algae while trying to climb', null, null, null);</v>
      </c>
    </row>
    <row r="91" spans="1:56">
      <c r="A91" s="6" t="s">
        <v>1257</v>
      </c>
      <c r="B91" s="149" t="s">
        <v>1258</v>
      </c>
      <c r="C91" s="149" t="s">
        <v>0</v>
      </c>
      <c r="D91" s="150">
        <v>17</v>
      </c>
      <c r="E91" s="149" t="s">
        <v>1276</v>
      </c>
      <c r="F91" s="150">
        <v>4778</v>
      </c>
      <c r="G91" s="151" t="b">
        <v>0</v>
      </c>
      <c r="H91" s="149" t="s">
        <v>58</v>
      </c>
      <c r="I91" s="151" t="b">
        <v>1</v>
      </c>
      <c r="J91" s="151" t="b">
        <v>0</v>
      </c>
      <c r="K91" s="150">
        <v>0</v>
      </c>
      <c r="L91" s="150">
        <v>0</v>
      </c>
      <c r="M91" s="150">
        <v>0</v>
      </c>
      <c r="N91" s="150">
        <v>0</v>
      </c>
      <c r="O91" s="150">
        <v>0</v>
      </c>
      <c r="P91" s="150">
        <v>0</v>
      </c>
      <c r="Q91" s="150">
        <v>0</v>
      </c>
      <c r="R91" s="150">
        <v>0</v>
      </c>
      <c r="S91" s="150">
        <v>0</v>
      </c>
      <c r="T91" s="150">
        <v>0</v>
      </c>
      <c r="U91" s="150">
        <v>1</v>
      </c>
      <c r="V91" s="150">
        <v>1</v>
      </c>
      <c r="W91" s="150">
        <v>0</v>
      </c>
      <c r="X91" s="151" t="b">
        <v>1</v>
      </c>
      <c r="Y91" s="151" t="b">
        <v>0</v>
      </c>
      <c r="Z91" s="150">
        <v>1</v>
      </c>
      <c r="AA91" s="150">
        <v>1</v>
      </c>
      <c r="AB91" s="150">
        <v>5</v>
      </c>
      <c r="AC91" s="150">
        <v>1</v>
      </c>
      <c r="AD91" s="150">
        <v>0</v>
      </c>
      <c r="AE91" s="150">
        <v>0</v>
      </c>
      <c r="AF91" s="150">
        <v>1</v>
      </c>
      <c r="AG91" s="150">
        <v>2</v>
      </c>
      <c r="AH91" s="150">
        <v>3</v>
      </c>
      <c r="AI91" s="150">
        <v>0</v>
      </c>
      <c r="AJ91" s="150">
        <v>0</v>
      </c>
      <c r="AK91" s="149" t="s">
        <v>153</v>
      </c>
      <c r="AL91" s="150">
        <v>0</v>
      </c>
      <c r="AM91" s="151" t="b">
        <v>0</v>
      </c>
      <c r="AN91" s="149" t="s">
        <v>153</v>
      </c>
      <c r="AO91" s="149"/>
      <c r="AP91" s="149" t="s">
        <v>1262</v>
      </c>
      <c r="AQ91" s="151" t="b">
        <v>0</v>
      </c>
      <c r="AR91" s="151" t="b">
        <v>0</v>
      </c>
      <c r="AS91" s="151" t="b">
        <v>0</v>
      </c>
      <c r="AT91" s="149" t="s">
        <v>1262</v>
      </c>
      <c r="AU91" s="149" t="s">
        <v>1263</v>
      </c>
      <c r="AV91" s="149" t="s">
        <v>1348</v>
      </c>
      <c r="AW91" s="149"/>
      <c r="AX91" s="149"/>
      <c r="AY91" s="149"/>
      <c r="AZ91" s="149"/>
      <c r="BA91" t="str">
        <f t="shared" si="1"/>
        <v>insert into nm_RawMatchData values ('Margo Zimmerman', 'NoMythic', 'Practice', 17, 'B2', 4778, 'Middle', 'No', 0, 0, 0, 0, 0, 0, 0, 1, 1, 5, 1, 0, 0, 'No', '', 'x', 'No', 'x', 'No Card', 'very fast and efficient ', null, null, null);</v>
      </c>
      <c r="BB91" s="149"/>
      <c r="BC91" s="149"/>
      <c r="BD91" s="149"/>
    </row>
    <row r="92" spans="1:56">
      <c r="A92" s="6" t="s">
        <v>1334</v>
      </c>
      <c r="B92" s="6" t="s">
        <v>1271</v>
      </c>
      <c r="C92" s="6" t="s">
        <v>0</v>
      </c>
      <c r="D92" s="6">
        <v>17</v>
      </c>
      <c r="E92" s="6" t="s">
        <v>1272</v>
      </c>
      <c r="F92" s="6">
        <v>2823</v>
      </c>
      <c r="G92" s="6" t="b">
        <v>0</v>
      </c>
      <c r="H92" s="6" t="s">
        <v>1260</v>
      </c>
      <c r="I92" s="6" t="b">
        <v>1</v>
      </c>
      <c r="J92" s="6" t="b">
        <v>1</v>
      </c>
      <c r="K92" s="6">
        <v>1</v>
      </c>
      <c r="L92" s="6">
        <v>0</v>
      </c>
      <c r="M92" s="6">
        <v>0</v>
      </c>
      <c r="N92" s="6">
        <v>0</v>
      </c>
      <c r="O92" s="6">
        <v>0</v>
      </c>
      <c r="P92" s="6">
        <v>0</v>
      </c>
      <c r="Q92" s="6">
        <v>0</v>
      </c>
      <c r="R92" s="6">
        <v>2</v>
      </c>
      <c r="S92" s="6">
        <v>0</v>
      </c>
      <c r="T92" s="6">
        <v>0</v>
      </c>
      <c r="U92" s="6">
        <v>0</v>
      </c>
      <c r="V92" s="6">
        <v>0</v>
      </c>
      <c r="W92" s="6">
        <v>0</v>
      </c>
      <c r="X92" s="6" t="b">
        <v>1</v>
      </c>
      <c r="Y92" s="6" t="b">
        <v>0</v>
      </c>
      <c r="Z92" s="6">
        <v>5</v>
      </c>
      <c r="AA92" s="6">
        <v>3</v>
      </c>
      <c r="AB92" s="6">
        <v>0</v>
      </c>
      <c r="AC92" s="6">
        <v>0</v>
      </c>
      <c r="AD92" s="6">
        <v>0</v>
      </c>
      <c r="AE92" s="6">
        <v>0</v>
      </c>
      <c r="AF92" s="6">
        <v>0</v>
      </c>
      <c r="AG92" s="6">
        <v>0</v>
      </c>
      <c r="AH92" s="6">
        <v>0</v>
      </c>
      <c r="AI92" s="6">
        <v>0</v>
      </c>
      <c r="AJ92" s="6">
        <v>0</v>
      </c>
      <c r="AK92" s="6" t="s">
        <v>85</v>
      </c>
      <c r="AL92" s="6">
        <v>0</v>
      </c>
      <c r="AM92" s="6" t="b">
        <v>0</v>
      </c>
      <c r="AN92" s="6" t="s">
        <v>86</v>
      </c>
      <c r="AO92" s="6" t="s">
        <v>1349</v>
      </c>
      <c r="AP92" s="6" t="s">
        <v>1262</v>
      </c>
      <c r="AQ92" s="6" t="b">
        <v>0</v>
      </c>
      <c r="AR92" s="6" t="b">
        <v>0</v>
      </c>
      <c r="AS92" s="6" t="b">
        <v>0</v>
      </c>
      <c r="AT92" s="6">
        <v>1</v>
      </c>
      <c r="AU92" s="6" t="s">
        <v>1263</v>
      </c>
      <c r="BA92" t="str">
        <f t="shared" si="1"/>
        <v>insert into nm_RawMatchData values ('Gavin', 'MPArors', 'Practice', 17, 'R1', 2823, 'Red Barge', 'Yes', 0, 0, 0, 0, 0, 0, 0, 0, 3, 0, 0, 0, 0, 'P', 'attempted to deep climb, was close', 'x', 'No', '1', 'No Card', '', null, null, null);</v>
      </c>
    </row>
    <row r="93" spans="1:56">
      <c r="A93" s="6" t="s">
        <v>1336</v>
      </c>
      <c r="B93" s="6" t="s">
        <v>1271</v>
      </c>
      <c r="C93" s="6" t="s">
        <v>0</v>
      </c>
      <c r="D93" s="6">
        <v>17</v>
      </c>
      <c r="E93" s="6" t="s">
        <v>1259</v>
      </c>
      <c r="F93" s="6">
        <v>3792</v>
      </c>
      <c r="G93" s="6" t="b">
        <v>0</v>
      </c>
      <c r="H93" s="6" t="s">
        <v>57</v>
      </c>
      <c r="I93" s="6" t="b">
        <v>1</v>
      </c>
      <c r="J93" s="6" t="b">
        <v>1</v>
      </c>
      <c r="K93" s="6">
        <v>2</v>
      </c>
      <c r="L93" s="6">
        <v>0</v>
      </c>
      <c r="M93" s="6">
        <v>0</v>
      </c>
      <c r="N93" s="6">
        <v>0</v>
      </c>
      <c r="O93" s="6">
        <v>0</v>
      </c>
      <c r="P93" s="6">
        <v>0</v>
      </c>
      <c r="Q93" s="6">
        <v>2</v>
      </c>
      <c r="R93" s="6">
        <v>0</v>
      </c>
      <c r="S93" s="6">
        <v>0</v>
      </c>
      <c r="T93" s="6">
        <v>0</v>
      </c>
      <c r="U93" s="6">
        <v>0</v>
      </c>
      <c r="V93" s="6">
        <v>0</v>
      </c>
      <c r="W93" s="6">
        <v>0</v>
      </c>
      <c r="X93" s="6" t="b">
        <v>1</v>
      </c>
      <c r="Y93" s="6" t="b">
        <v>0</v>
      </c>
      <c r="Z93" s="6">
        <v>1</v>
      </c>
      <c r="AA93" s="6">
        <v>0</v>
      </c>
      <c r="AB93" s="6">
        <v>0</v>
      </c>
      <c r="AC93" s="6">
        <v>0</v>
      </c>
      <c r="AD93" s="6">
        <v>2</v>
      </c>
      <c r="AE93" s="6">
        <v>6</v>
      </c>
      <c r="AF93" s="6">
        <v>0</v>
      </c>
      <c r="AG93" s="6">
        <v>0</v>
      </c>
      <c r="AH93" s="6">
        <v>2</v>
      </c>
      <c r="AI93" s="6">
        <v>0</v>
      </c>
      <c r="AJ93" s="6">
        <v>4</v>
      </c>
      <c r="AK93" s="6" t="s">
        <v>85</v>
      </c>
      <c r="AL93" s="6">
        <v>0</v>
      </c>
      <c r="AM93" s="6" t="b">
        <v>0</v>
      </c>
      <c r="AN93" s="6" t="s">
        <v>86</v>
      </c>
      <c r="AO93" s="6" t="s">
        <v>1350</v>
      </c>
      <c r="AP93" s="6" t="s">
        <v>1262</v>
      </c>
      <c r="AQ93" s="6" t="b">
        <v>0</v>
      </c>
      <c r="AR93" s="6" t="b">
        <v>0</v>
      </c>
      <c r="AS93" s="6" t="b">
        <v>0</v>
      </c>
      <c r="AT93" s="6" t="s">
        <v>1262</v>
      </c>
      <c r="AU93" s="6" t="s">
        <v>1263</v>
      </c>
      <c r="BA93" t="str">
        <f t="shared" si="1"/>
        <v>insert into nm_RawMatchData values ('Leo ', 'MPArors', 'Practice', 17, 'R2', 3792, 'Blue Barge', 'Yes', 0, 0, 0, 2, 0, 0, 6, 0, 0, 0, 0, 2, 0, 'P', 'attempted climb, two wheels off the ground', 'x', 'No', 'x', 'No Card', '', null, null, null);</v>
      </c>
    </row>
    <row r="94" spans="1:56">
      <c r="A94" s="6" t="s">
        <v>1333</v>
      </c>
      <c r="B94" s="6" t="s">
        <v>1258</v>
      </c>
      <c r="C94" s="6" t="s">
        <v>0</v>
      </c>
      <c r="D94" s="6">
        <v>16</v>
      </c>
      <c r="E94" s="6" t="s">
        <v>1269</v>
      </c>
      <c r="F94" s="6">
        <v>4778</v>
      </c>
      <c r="G94" s="6" t="b">
        <v>0</v>
      </c>
      <c r="I94" s="6" t="b">
        <v>1</v>
      </c>
      <c r="J94" s="6" t="b">
        <v>0</v>
      </c>
      <c r="K94" s="6">
        <v>0</v>
      </c>
      <c r="L94" s="6">
        <v>0</v>
      </c>
      <c r="M94" s="6">
        <v>0</v>
      </c>
      <c r="N94" s="6">
        <v>0</v>
      </c>
      <c r="O94" s="6">
        <v>0</v>
      </c>
      <c r="P94" s="6">
        <v>0</v>
      </c>
      <c r="Q94" s="6">
        <v>0</v>
      </c>
      <c r="R94" s="6">
        <v>0</v>
      </c>
      <c r="S94" s="6">
        <v>0</v>
      </c>
      <c r="T94" s="6">
        <v>0</v>
      </c>
      <c r="U94" s="6">
        <v>0</v>
      </c>
      <c r="V94" s="6">
        <v>0</v>
      </c>
      <c r="W94" s="6">
        <v>0</v>
      </c>
      <c r="X94" s="6" t="b">
        <v>0</v>
      </c>
      <c r="Y94" s="6" t="b">
        <v>0</v>
      </c>
      <c r="Z94" s="6">
        <v>0</v>
      </c>
      <c r="AA94" s="6">
        <v>1</v>
      </c>
      <c r="AB94" s="6">
        <v>2</v>
      </c>
      <c r="AC94" s="6">
        <v>2</v>
      </c>
      <c r="AD94" s="6">
        <v>0</v>
      </c>
      <c r="AE94" s="6">
        <v>0</v>
      </c>
      <c r="AF94" s="6">
        <v>2</v>
      </c>
      <c r="AG94" s="6">
        <v>0</v>
      </c>
      <c r="AH94" s="6">
        <v>0</v>
      </c>
      <c r="AI94" s="6">
        <v>0</v>
      </c>
      <c r="AJ94" s="6">
        <v>0</v>
      </c>
      <c r="AK94" s="6" t="s">
        <v>86</v>
      </c>
      <c r="AL94" s="6">
        <v>0</v>
      </c>
      <c r="AM94" s="6" t="b">
        <v>0</v>
      </c>
      <c r="AN94" s="6" t="s">
        <v>153</v>
      </c>
      <c r="AP94" s="6" t="s">
        <v>1262</v>
      </c>
      <c r="AQ94" s="6" t="b">
        <v>0</v>
      </c>
      <c r="AR94" s="6" t="b">
        <v>0</v>
      </c>
      <c r="AS94" s="6" t="b">
        <v>0</v>
      </c>
      <c r="AT94" s="6" t="s">
        <v>1262</v>
      </c>
      <c r="AU94" s="6" t="s">
        <v>1263</v>
      </c>
      <c r="BA94" t="str">
        <f t="shared" si="1"/>
        <v>insert into nm_RawMatchData values ('isaac', 'NoMythic', 'Practice', 16, 'B3', 4778, '', 'No', 0, 0, 0, 0, 0, 0, 0, 2, 1, 2, 2, 0, 0, 'No', '', 'x', 'No', 'x', 'No Card', '', null, null, null);</v>
      </c>
    </row>
    <row r="95" spans="1:56">
      <c r="A95" s="149" t="s">
        <v>1324</v>
      </c>
      <c r="B95" s="149" t="s">
        <v>1301</v>
      </c>
      <c r="C95" s="149" t="s">
        <v>0</v>
      </c>
      <c r="D95" s="150">
        <v>17</v>
      </c>
      <c r="E95" s="149" t="s">
        <v>1266</v>
      </c>
      <c r="F95" s="150">
        <v>7068</v>
      </c>
      <c r="G95" s="151" t="b">
        <v>1</v>
      </c>
      <c r="H95" s="149" t="s">
        <v>1260</v>
      </c>
      <c r="I95" s="151" t="b">
        <v>1</v>
      </c>
      <c r="J95" s="151" t="b">
        <v>0</v>
      </c>
      <c r="K95" s="150">
        <v>0</v>
      </c>
      <c r="L95" s="150">
        <v>0</v>
      </c>
      <c r="M95" s="150">
        <v>0</v>
      </c>
      <c r="N95" s="150">
        <v>0</v>
      </c>
      <c r="O95" s="150">
        <v>0</v>
      </c>
      <c r="P95" s="150">
        <v>0</v>
      </c>
      <c r="Q95" s="150">
        <v>0</v>
      </c>
      <c r="R95" s="150">
        <v>0</v>
      </c>
      <c r="S95" s="150">
        <v>0</v>
      </c>
      <c r="T95" s="150">
        <v>0</v>
      </c>
      <c r="U95" s="150">
        <v>0</v>
      </c>
      <c r="V95" s="150">
        <v>0</v>
      </c>
      <c r="W95" s="150">
        <v>0</v>
      </c>
      <c r="X95" s="151" t="b">
        <v>0</v>
      </c>
      <c r="Y95" s="151" t="b">
        <v>0</v>
      </c>
      <c r="Z95" s="150">
        <v>0</v>
      </c>
      <c r="AA95" s="150">
        <v>0</v>
      </c>
      <c r="AB95" s="150">
        <v>0</v>
      </c>
      <c r="AC95" s="150">
        <v>0</v>
      </c>
      <c r="AD95" s="150">
        <v>0</v>
      </c>
      <c r="AE95" s="150">
        <v>0</v>
      </c>
      <c r="AF95" s="150">
        <v>0</v>
      </c>
      <c r="AG95" s="150">
        <v>0</v>
      </c>
      <c r="AH95" s="150">
        <v>0</v>
      </c>
      <c r="AI95" s="150">
        <v>0</v>
      </c>
      <c r="AJ95" s="150">
        <v>0</v>
      </c>
      <c r="AK95" s="149" t="s">
        <v>153</v>
      </c>
      <c r="AL95" s="150">
        <v>0</v>
      </c>
      <c r="AM95" s="151" t="b">
        <v>0</v>
      </c>
      <c r="AN95" s="149" t="s">
        <v>153</v>
      </c>
      <c r="AO95" s="149" t="s">
        <v>1343</v>
      </c>
      <c r="AP95" s="149" t="s">
        <v>1262</v>
      </c>
      <c r="AQ95" s="151" t="b">
        <v>0</v>
      </c>
      <c r="AR95" s="151" t="b">
        <v>0</v>
      </c>
      <c r="AS95" s="151" t="b">
        <v>0</v>
      </c>
      <c r="AT95" s="149" t="s">
        <v>1262</v>
      </c>
      <c r="AU95" s="149" t="s">
        <v>1263</v>
      </c>
      <c r="AV95" s="149"/>
      <c r="AW95" s="149"/>
      <c r="AX95" s="149"/>
      <c r="AY95" s="149"/>
      <c r="AZ95" s="149"/>
      <c r="BA95" t="str">
        <f t="shared" si="1"/>
        <v>insert into nm_RawMatchData values ('Annika', 'Wind Chill', 'Practice', 17, 'B1', 7068, 'Red Barge', 'No', 0, 0, 0, 0, 0, 0, 0, 0, 0, 0, 0, 0, 0, 'No', 'they might have attempted shallow climb but I don''t think they did.', 'x', 'No', 'x', 'No Card', '', null, null, null);</v>
      </c>
      <c r="BB95" s="149"/>
      <c r="BC95" s="149"/>
      <c r="BD95" s="149"/>
    </row>
    <row r="96" spans="1:56">
      <c r="A96" s="6" t="s">
        <v>1351</v>
      </c>
      <c r="B96" s="6" t="s">
        <v>1258</v>
      </c>
      <c r="C96" s="6" t="s">
        <v>0</v>
      </c>
      <c r="D96" s="6">
        <v>18</v>
      </c>
      <c r="E96" s="6" t="s">
        <v>1276</v>
      </c>
      <c r="F96" s="6">
        <v>2502</v>
      </c>
      <c r="G96" s="6" t="b">
        <v>0</v>
      </c>
      <c r="H96" s="6" t="s">
        <v>58</v>
      </c>
      <c r="I96" s="6" t="b">
        <v>1</v>
      </c>
      <c r="J96" s="6" t="b">
        <v>0</v>
      </c>
      <c r="K96" s="6">
        <v>0</v>
      </c>
      <c r="L96" s="6">
        <v>0</v>
      </c>
      <c r="M96" s="6">
        <v>0</v>
      </c>
      <c r="N96" s="6">
        <v>0</v>
      </c>
      <c r="O96" s="6">
        <v>0</v>
      </c>
      <c r="P96" s="6">
        <v>0</v>
      </c>
      <c r="Q96" s="6">
        <v>0</v>
      </c>
      <c r="R96" s="6">
        <v>1</v>
      </c>
      <c r="S96" s="6">
        <v>0</v>
      </c>
      <c r="T96" s="6">
        <v>0</v>
      </c>
      <c r="U96" s="6">
        <v>0</v>
      </c>
      <c r="V96" s="6">
        <v>0</v>
      </c>
      <c r="W96" s="6">
        <v>0</v>
      </c>
      <c r="X96" s="6" t="b">
        <v>0</v>
      </c>
      <c r="Y96" s="6" t="b">
        <v>0</v>
      </c>
      <c r="Z96" s="6">
        <v>3</v>
      </c>
      <c r="AA96" s="6">
        <v>5</v>
      </c>
      <c r="AB96" s="6">
        <v>2</v>
      </c>
      <c r="AC96" s="6">
        <v>0</v>
      </c>
      <c r="AD96" s="6">
        <v>0</v>
      </c>
      <c r="AE96" s="6">
        <v>0</v>
      </c>
      <c r="AF96" s="6">
        <v>0</v>
      </c>
      <c r="AG96" s="6">
        <v>0</v>
      </c>
      <c r="AH96" s="6">
        <v>0</v>
      </c>
      <c r="AI96" s="6">
        <v>0</v>
      </c>
      <c r="AJ96" s="6">
        <v>0</v>
      </c>
      <c r="AK96" s="6" t="s">
        <v>85</v>
      </c>
      <c r="AL96" s="6">
        <v>0</v>
      </c>
      <c r="AM96" s="6" t="b">
        <v>0</v>
      </c>
      <c r="AN96" s="6" t="s">
        <v>86</v>
      </c>
      <c r="AP96" s="6" t="s">
        <v>1262</v>
      </c>
      <c r="AQ96" s="6" t="b">
        <v>0</v>
      </c>
      <c r="AR96" s="6" t="b">
        <v>0</v>
      </c>
      <c r="AS96" s="6" t="b">
        <v>0</v>
      </c>
      <c r="AT96" s="6" t="s">
        <v>1262</v>
      </c>
      <c r="AU96" s="6" t="s">
        <v>1263</v>
      </c>
      <c r="BA96" t="str">
        <f t="shared" si="1"/>
        <v>insert into nm_RawMatchData values ('turi', 'NoMythic', 'Practice', 18, 'B2', 2502, 'Middle', 'No', 0, 0, 0, 0, 0, 0, 0, 0, 5, 2, 0, 0, 0, 'P', '', 'x', 'No', 'x', 'No Card', '', null, null, null);</v>
      </c>
    </row>
    <row r="97" spans="1:53">
      <c r="A97" s="6" t="s">
        <v>1324</v>
      </c>
      <c r="B97" s="6" t="s">
        <v>1301</v>
      </c>
      <c r="C97" s="6" t="s">
        <v>0</v>
      </c>
      <c r="D97" s="6">
        <v>18</v>
      </c>
      <c r="E97" s="6" t="s">
        <v>1266</v>
      </c>
      <c r="F97" s="6">
        <v>2472</v>
      </c>
      <c r="G97" s="6" t="b">
        <v>0</v>
      </c>
      <c r="H97" s="6" t="s">
        <v>57</v>
      </c>
      <c r="I97" s="6" t="b">
        <v>1</v>
      </c>
      <c r="J97" s="6" t="b">
        <v>1</v>
      </c>
      <c r="K97" s="6">
        <v>0</v>
      </c>
      <c r="L97" s="6">
        <v>0</v>
      </c>
      <c r="M97" s="6">
        <v>0</v>
      </c>
      <c r="N97" s="6">
        <v>1</v>
      </c>
      <c r="O97" s="6">
        <v>0</v>
      </c>
      <c r="P97" s="6">
        <v>0</v>
      </c>
      <c r="Q97" s="6">
        <v>0</v>
      </c>
      <c r="R97" s="6">
        <v>0</v>
      </c>
      <c r="S97" s="6">
        <v>0</v>
      </c>
      <c r="T97" s="6">
        <v>0</v>
      </c>
      <c r="U97" s="6">
        <v>0</v>
      </c>
      <c r="V97" s="6">
        <v>0</v>
      </c>
      <c r="W97" s="6">
        <v>0</v>
      </c>
      <c r="X97" s="6" t="b">
        <v>1</v>
      </c>
      <c r="Y97" s="6" t="b">
        <v>0</v>
      </c>
      <c r="Z97" s="6">
        <v>2</v>
      </c>
      <c r="AA97" s="6">
        <v>6</v>
      </c>
      <c r="AB97" s="6">
        <v>5</v>
      </c>
      <c r="AC97" s="6">
        <v>2</v>
      </c>
      <c r="AD97" s="6">
        <v>0</v>
      </c>
      <c r="AE97" s="6">
        <v>1</v>
      </c>
      <c r="AF97" s="6">
        <v>0</v>
      </c>
      <c r="AG97" s="6">
        <v>0</v>
      </c>
      <c r="AH97" s="6">
        <v>0</v>
      </c>
      <c r="AI97" s="6">
        <v>0</v>
      </c>
      <c r="AJ97" s="6">
        <v>1</v>
      </c>
      <c r="AK97" s="6" t="s">
        <v>86</v>
      </c>
      <c r="AL97" s="6">
        <v>0</v>
      </c>
      <c r="AM97" s="6" t="b">
        <v>0</v>
      </c>
      <c r="AN97" s="6" t="s">
        <v>86</v>
      </c>
      <c r="AP97" s="6" t="s">
        <v>1262</v>
      </c>
      <c r="AQ97" s="6" t="b">
        <v>0</v>
      </c>
      <c r="AR97" s="6" t="b">
        <v>0</v>
      </c>
      <c r="AS97" s="6" t="b">
        <v>0</v>
      </c>
      <c r="AT97" s="6" t="s">
        <v>1262</v>
      </c>
      <c r="AU97" s="6" t="s">
        <v>1263</v>
      </c>
      <c r="BA97" t="str">
        <f t="shared" si="1"/>
        <v>insert into nm_RawMatchData values ('Annika', 'Wind Chill', 'Practice', 18, 'B1', 2472, 'Blue Barge', 'Yes', 1, 0, 0, 0, 0, 0, 1, 0, 6, 5, 2, 0, 0, 'P', '', 'x', 'No', 'x', 'No Card', '', null, null, null);</v>
      </c>
    </row>
    <row r="98" spans="1:53">
      <c r="A98" s="6" t="s">
        <v>1334</v>
      </c>
      <c r="B98" s="6" t="s">
        <v>1271</v>
      </c>
      <c r="C98" s="6" t="s">
        <v>0</v>
      </c>
      <c r="D98" s="6">
        <v>18</v>
      </c>
      <c r="E98" s="6" t="s">
        <v>1272</v>
      </c>
      <c r="F98" s="6">
        <v>5464</v>
      </c>
      <c r="G98" s="6" t="b">
        <v>0</v>
      </c>
      <c r="H98" s="6" t="s">
        <v>58</v>
      </c>
      <c r="I98" s="6" t="b">
        <v>1</v>
      </c>
      <c r="J98" s="6" t="b">
        <v>1</v>
      </c>
      <c r="K98" s="6">
        <v>1</v>
      </c>
      <c r="L98" s="6">
        <v>0</v>
      </c>
      <c r="M98" s="6">
        <v>0</v>
      </c>
      <c r="N98" s="6">
        <v>0</v>
      </c>
      <c r="O98" s="6">
        <v>0</v>
      </c>
      <c r="P98" s="6">
        <v>0</v>
      </c>
      <c r="Q98" s="6">
        <v>0</v>
      </c>
      <c r="R98" s="6">
        <v>2</v>
      </c>
      <c r="S98" s="6">
        <v>0</v>
      </c>
      <c r="T98" s="6">
        <v>0</v>
      </c>
      <c r="U98" s="6">
        <v>0</v>
      </c>
      <c r="V98" s="6">
        <v>0</v>
      </c>
      <c r="W98" s="6">
        <v>0</v>
      </c>
      <c r="X98" s="6" t="b">
        <v>1</v>
      </c>
      <c r="Y98" s="6" t="b">
        <v>0</v>
      </c>
      <c r="Z98" s="6">
        <v>3</v>
      </c>
      <c r="AA98" s="6">
        <v>2</v>
      </c>
      <c r="AB98" s="6">
        <v>0</v>
      </c>
      <c r="AC98" s="6">
        <v>0</v>
      </c>
      <c r="AD98" s="6">
        <v>0</v>
      </c>
      <c r="AE98" s="6">
        <v>0</v>
      </c>
      <c r="AF98" s="6">
        <v>0</v>
      </c>
      <c r="AG98" s="6">
        <v>0</v>
      </c>
      <c r="AH98" s="6">
        <v>0</v>
      </c>
      <c r="AI98" s="6">
        <v>0</v>
      </c>
      <c r="AJ98" s="6">
        <v>0</v>
      </c>
      <c r="AK98" s="6" t="s">
        <v>85</v>
      </c>
      <c r="AL98" s="6">
        <v>0</v>
      </c>
      <c r="AM98" s="6" t="b">
        <v>0</v>
      </c>
      <c r="AN98" s="6" t="s">
        <v>85</v>
      </c>
      <c r="AO98" s="6" t="s">
        <v>1352</v>
      </c>
      <c r="AP98" s="6" t="s">
        <v>1262</v>
      </c>
      <c r="AQ98" s="6" t="b">
        <v>0</v>
      </c>
      <c r="AR98" s="6" t="b">
        <v>0</v>
      </c>
      <c r="AS98" s="6" t="b">
        <v>0</v>
      </c>
      <c r="AT98" s="6">
        <v>1</v>
      </c>
      <c r="AU98" s="6" t="s">
        <v>1263</v>
      </c>
      <c r="BA98" t="str">
        <f t="shared" si="1"/>
        <v>insert into nm_RawMatchData values ('Gavin', 'MPArors', 'Practice', 18, 'R1', 5464, 'Middle', 'Yes', 0, 0, 0, 0, 0, 0, 0, 0, 2, 0, 0, 0, 0, 'Dc', 'climbed early because some plastic ramp part of their robot was hanging off', 'x', 'No', '1', 'No Card', '', null, null, null);</v>
      </c>
    </row>
    <row r="99" spans="1:53">
      <c r="A99" s="6" t="s">
        <v>1336</v>
      </c>
      <c r="B99" s="6" t="s">
        <v>1271</v>
      </c>
      <c r="C99" s="6" t="s">
        <v>0</v>
      </c>
      <c r="D99" s="6">
        <v>18</v>
      </c>
      <c r="E99" s="6" t="s">
        <v>1259</v>
      </c>
      <c r="F99" s="6">
        <v>2538</v>
      </c>
      <c r="G99" s="6" t="b">
        <v>1</v>
      </c>
      <c r="I99" s="6" t="b">
        <v>1</v>
      </c>
      <c r="J99" s="6" t="b">
        <v>0</v>
      </c>
      <c r="K99" s="6">
        <v>0</v>
      </c>
      <c r="L99" s="6">
        <v>0</v>
      </c>
      <c r="M99" s="6">
        <v>0</v>
      </c>
      <c r="N99" s="6">
        <v>0</v>
      </c>
      <c r="O99" s="6">
        <v>0</v>
      </c>
      <c r="P99" s="6">
        <v>0</v>
      </c>
      <c r="Q99" s="6">
        <v>0</v>
      </c>
      <c r="R99" s="6">
        <v>0</v>
      </c>
      <c r="S99" s="6">
        <v>0</v>
      </c>
      <c r="T99" s="6">
        <v>0</v>
      </c>
      <c r="U99" s="6">
        <v>0</v>
      </c>
      <c r="V99" s="6">
        <v>0</v>
      </c>
      <c r="W99" s="6">
        <v>0</v>
      </c>
      <c r="X99" s="6" t="b">
        <v>0</v>
      </c>
      <c r="Y99" s="6" t="b">
        <v>0</v>
      </c>
      <c r="Z99" s="6">
        <v>0</v>
      </c>
      <c r="AA99" s="6">
        <v>0</v>
      </c>
      <c r="AB99" s="6">
        <v>0</v>
      </c>
      <c r="AC99" s="6">
        <v>0</v>
      </c>
      <c r="AD99" s="6">
        <v>0</v>
      </c>
      <c r="AE99" s="6">
        <v>0</v>
      </c>
      <c r="AF99" s="6">
        <v>0</v>
      </c>
      <c r="AG99" s="6">
        <v>0</v>
      </c>
      <c r="AH99" s="6">
        <v>0</v>
      </c>
      <c r="AI99" s="6">
        <v>0</v>
      </c>
      <c r="AJ99" s="6">
        <v>0</v>
      </c>
      <c r="AK99" s="6" t="s">
        <v>153</v>
      </c>
      <c r="AL99" s="6">
        <v>0</v>
      </c>
      <c r="AM99" s="6" t="b">
        <v>0</v>
      </c>
      <c r="AN99" s="6" t="s">
        <v>153</v>
      </c>
      <c r="AP99" s="6" t="s">
        <v>1262</v>
      </c>
      <c r="AQ99" s="6" t="b">
        <v>0</v>
      </c>
      <c r="AR99" s="6" t="b">
        <v>0</v>
      </c>
      <c r="AS99" s="6" t="b">
        <v>0</v>
      </c>
      <c r="AT99" s="6" t="s">
        <v>1262</v>
      </c>
      <c r="AU99" s="6" t="s">
        <v>1263</v>
      </c>
      <c r="BA99" t="str">
        <f t="shared" si="1"/>
        <v>insert into nm_RawMatchData values ('Leo ', 'MPArors', 'Practice', 18, 'R2', 2538, '', 'No', 0, 0, 0, 0, 0, 0, 0, 0, 0, 0, 0, 0, 0, 'No', '', 'x', 'No', 'x', 'No Card', '', null, null, null);</v>
      </c>
    </row>
    <row r="100" spans="1:53">
      <c r="A100" s="6" t="s">
        <v>1315</v>
      </c>
      <c r="B100" s="6" t="s">
        <v>1280</v>
      </c>
      <c r="C100" s="6" t="s">
        <v>0</v>
      </c>
      <c r="D100" s="6">
        <v>18</v>
      </c>
      <c r="E100" s="6" t="s">
        <v>1281</v>
      </c>
      <c r="F100" s="6">
        <v>3297</v>
      </c>
      <c r="G100" s="6" t="b">
        <v>0</v>
      </c>
      <c r="H100" s="6" t="s">
        <v>1260</v>
      </c>
      <c r="I100" s="6" t="b">
        <v>1</v>
      </c>
      <c r="J100" s="6" t="b">
        <v>0</v>
      </c>
      <c r="K100" s="6">
        <v>0</v>
      </c>
      <c r="L100" s="6">
        <v>0</v>
      </c>
      <c r="M100" s="6">
        <v>0</v>
      </c>
      <c r="N100" s="6">
        <v>1</v>
      </c>
      <c r="O100" s="6">
        <v>0</v>
      </c>
      <c r="P100" s="6">
        <v>0</v>
      </c>
      <c r="Q100" s="6">
        <v>0</v>
      </c>
      <c r="R100" s="6">
        <v>0</v>
      </c>
      <c r="S100" s="6">
        <v>0</v>
      </c>
      <c r="T100" s="6">
        <v>0</v>
      </c>
      <c r="U100" s="6">
        <v>0</v>
      </c>
      <c r="V100" s="6">
        <v>0</v>
      </c>
      <c r="W100" s="6">
        <v>0</v>
      </c>
      <c r="X100" s="6" t="b">
        <v>0</v>
      </c>
      <c r="Y100" s="6" t="b">
        <v>1</v>
      </c>
      <c r="Z100" s="6">
        <v>1</v>
      </c>
      <c r="AA100" s="6">
        <v>6</v>
      </c>
      <c r="AB100" s="6">
        <v>0</v>
      </c>
      <c r="AC100" s="6">
        <v>0</v>
      </c>
      <c r="AD100" s="6">
        <v>0</v>
      </c>
      <c r="AE100" s="6">
        <v>0</v>
      </c>
      <c r="AF100" s="6">
        <v>1</v>
      </c>
      <c r="AG100" s="6">
        <v>1</v>
      </c>
      <c r="AH100" s="6">
        <v>0</v>
      </c>
      <c r="AI100" s="6">
        <v>0</v>
      </c>
      <c r="AJ100" s="6">
        <v>2</v>
      </c>
      <c r="AK100" s="6" t="s">
        <v>86</v>
      </c>
      <c r="AL100" s="6">
        <v>0</v>
      </c>
      <c r="AM100" s="6" t="b">
        <v>0</v>
      </c>
      <c r="AN100" s="6" t="s">
        <v>86</v>
      </c>
      <c r="AO100" s="6" t="s">
        <v>1353</v>
      </c>
      <c r="AP100" s="6" t="s">
        <v>1262</v>
      </c>
      <c r="AQ100" s="6" t="b">
        <v>0</v>
      </c>
      <c r="AR100" s="6" t="b">
        <v>0</v>
      </c>
      <c r="AS100" s="6" t="b">
        <v>0</v>
      </c>
      <c r="AT100" s="6" t="s">
        <v>1262</v>
      </c>
      <c r="AU100" s="6" t="s">
        <v>1263</v>
      </c>
      <c r="BA100" t="str">
        <f t="shared" si="1"/>
        <v>insert into nm_RawMatchData values ('M', 'Open Circuits', 'Practice', 18, 'R3', 3297, 'Red Barge', 'No', 1, 0, 0, 0, 0, 0, 0, 1, 6, 0, 0, 0, 0, 'P', 'Scored an algae in the net with 20 seconds left and then parked within the last 5 seconds', 'x', 'No', 'x', 'No Card', '', null, null, null);</v>
      </c>
    </row>
    <row r="101" spans="1:53">
      <c r="A101" s="6" t="s">
        <v>1333</v>
      </c>
      <c r="B101" s="6" t="s">
        <v>1258</v>
      </c>
      <c r="C101" s="6" t="s">
        <v>0</v>
      </c>
      <c r="D101" s="6">
        <v>18</v>
      </c>
      <c r="E101" s="6" t="s">
        <v>1269</v>
      </c>
      <c r="F101" s="6">
        <v>6045</v>
      </c>
      <c r="G101" s="6" t="b">
        <v>1</v>
      </c>
      <c r="I101" s="6" t="b">
        <v>1</v>
      </c>
      <c r="J101" s="6" t="b">
        <v>0</v>
      </c>
      <c r="K101" s="6">
        <v>0</v>
      </c>
      <c r="L101" s="6">
        <v>0</v>
      </c>
      <c r="M101" s="6">
        <v>0</v>
      </c>
      <c r="N101" s="6">
        <v>0</v>
      </c>
      <c r="O101" s="6">
        <v>0</v>
      </c>
      <c r="P101" s="6">
        <v>0</v>
      </c>
      <c r="Q101" s="6">
        <v>0</v>
      </c>
      <c r="R101" s="6">
        <v>0</v>
      </c>
      <c r="S101" s="6">
        <v>0</v>
      </c>
      <c r="T101" s="6">
        <v>0</v>
      </c>
      <c r="U101" s="6">
        <v>0</v>
      </c>
      <c r="V101" s="6">
        <v>0</v>
      </c>
      <c r="W101" s="6">
        <v>0</v>
      </c>
      <c r="X101" s="6" t="b">
        <v>0</v>
      </c>
      <c r="Y101" s="6" t="b">
        <v>0</v>
      </c>
      <c r="Z101" s="6">
        <v>0</v>
      </c>
      <c r="AA101" s="6">
        <v>0</v>
      </c>
      <c r="AB101" s="6">
        <v>0</v>
      </c>
      <c r="AC101" s="6">
        <v>0</v>
      </c>
      <c r="AD101" s="6">
        <v>0</v>
      </c>
      <c r="AE101" s="6">
        <v>0</v>
      </c>
      <c r="AF101" s="6">
        <v>0</v>
      </c>
      <c r="AG101" s="6">
        <v>0</v>
      </c>
      <c r="AH101" s="6">
        <v>0</v>
      </c>
      <c r="AI101" s="6">
        <v>0</v>
      </c>
      <c r="AJ101" s="6">
        <v>0</v>
      </c>
      <c r="AK101" s="6" t="s">
        <v>153</v>
      </c>
      <c r="AL101" s="6">
        <v>0</v>
      </c>
      <c r="AM101" s="6" t="b">
        <v>0</v>
      </c>
      <c r="AN101" s="6" t="s">
        <v>86</v>
      </c>
      <c r="AP101" s="6" t="s">
        <v>1262</v>
      </c>
      <c r="AQ101" s="6" t="b">
        <v>0</v>
      </c>
      <c r="AR101" s="6" t="b">
        <v>0</v>
      </c>
      <c r="AS101" s="6" t="b">
        <v>0</v>
      </c>
      <c r="AT101" s="6" t="s">
        <v>1262</v>
      </c>
      <c r="AU101" s="6" t="s">
        <v>1263</v>
      </c>
      <c r="BA101" t="str">
        <f t="shared" si="1"/>
        <v>insert into nm_RawMatchData values ('isaac', 'NoMythic', 'Practice', 18, 'B3', 6045, '', 'No', 0, 0, 0, 0, 0, 0, 0, 0, 0, 0, 0, 0, 0, 'P', '', 'x', 'No', 'x', 'No Card', '', null, null, null);</v>
      </c>
    </row>
    <row r="102" spans="1:53">
      <c r="A102" s="6" t="s">
        <v>1324</v>
      </c>
      <c r="B102" s="6" t="s">
        <v>1301</v>
      </c>
      <c r="C102" s="6" t="s">
        <v>0</v>
      </c>
      <c r="D102" s="6">
        <v>19</v>
      </c>
      <c r="E102" s="6" t="s">
        <v>1266</v>
      </c>
      <c r="F102" s="6">
        <v>2667</v>
      </c>
      <c r="G102" s="6" t="b">
        <v>1</v>
      </c>
      <c r="I102" s="6" t="b">
        <v>1</v>
      </c>
      <c r="J102" s="6" t="b">
        <v>0</v>
      </c>
      <c r="K102" s="6">
        <v>0</v>
      </c>
      <c r="L102" s="6">
        <v>0</v>
      </c>
      <c r="M102" s="6">
        <v>0</v>
      </c>
      <c r="N102" s="6">
        <v>0</v>
      </c>
      <c r="O102" s="6">
        <v>0</v>
      </c>
      <c r="P102" s="6">
        <v>0</v>
      </c>
      <c r="Q102" s="6">
        <v>0</v>
      </c>
      <c r="R102" s="6">
        <v>0</v>
      </c>
      <c r="S102" s="6">
        <v>0</v>
      </c>
      <c r="T102" s="6">
        <v>0</v>
      </c>
      <c r="U102" s="6">
        <v>0</v>
      </c>
      <c r="V102" s="6">
        <v>0</v>
      </c>
      <c r="W102" s="6">
        <v>0</v>
      </c>
      <c r="X102" s="6" t="b">
        <v>0</v>
      </c>
      <c r="Y102" s="6" t="b">
        <v>0</v>
      </c>
      <c r="Z102" s="6">
        <v>0</v>
      </c>
      <c r="AA102" s="6">
        <v>0</v>
      </c>
      <c r="AB102" s="6">
        <v>0</v>
      </c>
      <c r="AC102" s="6">
        <v>0</v>
      </c>
      <c r="AD102" s="6">
        <v>0</v>
      </c>
      <c r="AE102" s="6">
        <v>0</v>
      </c>
      <c r="AF102" s="6">
        <v>0</v>
      </c>
      <c r="AG102" s="6">
        <v>0</v>
      </c>
      <c r="AH102" s="6">
        <v>0</v>
      </c>
      <c r="AI102" s="6">
        <v>0</v>
      </c>
      <c r="AJ102" s="6">
        <v>0</v>
      </c>
      <c r="AK102" s="6" t="s">
        <v>153</v>
      </c>
      <c r="AL102" s="6">
        <v>0</v>
      </c>
      <c r="AM102" s="6" t="b">
        <v>0</v>
      </c>
      <c r="AN102" s="6" t="s">
        <v>153</v>
      </c>
      <c r="AP102" s="6" t="s">
        <v>1262</v>
      </c>
      <c r="AQ102" s="6" t="b">
        <v>0</v>
      </c>
      <c r="AR102" s="6" t="b">
        <v>0</v>
      </c>
      <c r="AS102" s="6" t="b">
        <v>0</v>
      </c>
      <c r="AT102" s="6" t="s">
        <v>1262</v>
      </c>
      <c r="AU102" s="6" t="s">
        <v>1263</v>
      </c>
      <c r="BA102" t="str">
        <f t="shared" si="1"/>
        <v>insert into nm_RawMatchData values ('Annika', 'Wind Chill', 'Practice', 19, 'B1', 2667, '', 'No', 0, 0, 0, 0, 0, 0, 0, 0, 0, 0, 0, 0, 0, 'No', '', 'x', 'No', 'x', 'No Card', '', null, null, null);</v>
      </c>
    </row>
    <row r="103" spans="1:53">
      <c r="A103" s="6" t="s">
        <v>1334</v>
      </c>
      <c r="B103" s="6" t="s">
        <v>1271</v>
      </c>
      <c r="C103" s="6" t="s">
        <v>0</v>
      </c>
      <c r="D103" s="6">
        <v>19</v>
      </c>
      <c r="E103" s="6" t="s">
        <v>1272</v>
      </c>
      <c r="F103" s="6">
        <v>6909</v>
      </c>
      <c r="G103" s="6" t="b">
        <v>0</v>
      </c>
      <c r="H103" s="6" t="s">
        <v>58</v>
      </c>
      <c r="I103" s="6" t="b">
        <v>1</v>
      </c>
      <c r="J103" s="6" t="b">
        <v>1</v>
      </c>
      <c r="K103" s="6">
        <v>0</v>
      </c>
      <c r="L103" s="6">
        <v>0</v>
      </c>
      <c r="M103" s="6">
        <v>0</v>
      </c>
      <c r="N103" s="6">
        <v>0</v>
      </c>
      <c r="O103" s="6">
        <v>0</v>
      </c>
      <c r="P103" s="6">
        <v>0</v>
      </c>
      <c r="Q103" s="6">
        <v>0</v>
      </c>
      <c r="R103" s="6">
        <v>0</v>
      </c>
      <c r="S103" s="6">
        <v>0</v>
      </c>
      <c r="T103" s="6">
        <v>0</v>
      </c>
      <c r="U103" s="6">
        <v>0</v>
      </c>
      <c r="V103" s="6">
        <v>0</v>
      </c>
      <c r="W103" s="6">
        <v>0</v>
      </c>
      <c r="X103" s="6" t="b">
        <v>0</v>
      </c>
      <c r="Y103" s="6" t="b">
        <v>0</v>
      </c>
      <c r="Z103" s="6">
        <v>0</v>
      </c>
      <c r="AA103" s="6">
        <v>0</v>
      </c>
      <c r="AB103" s="6">
        <v>0</v>
      </c>
      <c r="AC103" s="6">
        <v>0</v>
      </c>
      <c r="AD103" s="6">
        <v>0</v>
      </c>
      <c r="AE103" s="6">
        <v>0</v>
      </c>
      <c r="AF103" s="6">
        <v>0</v>
      </c>
      <c r="AG103" s="6">
        <v>0</v>
      </c>
      <c r="AH103" s="6">
        <v>0</v>
      </c>
      <c r="AI103" s="6">
        <v>0</v>
      </c>
      <c r="AJ103" s="6">
        <v>0</v>
      </c>
      <c r="AK103" s="6" t="s">
        <v>153</v>
      </c>
      <c r="AL103" s="6">
        <v>0</v>
      </c>
      <c r="AM103" s="6" t="b">
        <v>0</v>
      </c>
      <c r="AN103" s="6" t="s">
        <v>153</v>
      </c>
      <c r="AO103" s="6" t="s">
        <v>1354</v>
      </c>
      <c r="AP103" s="6" t="s">
        <v>1262</v>
      </c>
      <c r="AQ103" s="6" t="b">
        <v>0</v>
      </c>
      <c r="AR103" s="6" t="b">
        <v>0</v>
      </c>
      <c r="AS103" s="6" t="b">
        <v>0</v>
      </c>
      <c r="AT103" s="6" t="s">
        <v>1262</v>
      </c>
      <c r="AU103" s="6" t="s">
        <v>1263</v>
      </c>
      <c r="BA103" t="str">
        <f t="shared" si="1"/>
        <v>insert into nm_RawMatchData values ('Gavin', 'MPArors', 'Practice', 19, 'R1', 6909, 'Middle', 'Yes', 0, 0, 0, 0, 0, 0, 0, 0, 0, 0, 0, 0, 0, 'No', 'struggle', 'x', 'No', 'x', 'No Card', '', null, null, null);</v>
      </c>
    </row>
    <row r="104" spans="1:53">
      <c r="A104" s="6" t="s">
        <v>1315</v>
      </c>
      <c r="B104" s="6" t="s">
        <v>1280</v>
      </c>
      <c r="C104" s="6" t="s">
        <v>0</v>
      </c>
      <c r="D104" s="6">
        <v>19</v>
      </c>
      <c r="E104" s="6" t="s">
        <v>1281</v>
      </c>
      <c r="F104" s="6">
        <v>2207</v>
      </c>
      <c r="G104" s="6" t="b">
        <v>0</v>
      </c>
      <c r="H104" s="6" t="s">
        <v>1260</v>
      </c>
      <c r="I104" s="6" t="b">
        <v>1</v>
      </c>
      <c r="J104" s="6" t="b">
        <v>1</v>
      </c>
      <c r="K104" s="6">
        <v>0</v>
      </c>
      <c r="L104" s="6">
        <v>0</v>
      </c>
      <c r="M104" s="6">
        <v>0</v>
      </c>
      <c r="N104" s="6">
        <v>0</v>
      </c>
      <c r="O104" s="6">
        <v>0</v>
      </c>
      <c r="P104" s="6">
        <v>0</v>
      </c>
      <c r="Q104" s="6">
        <v>0</v>
      </c>
      <c r="R104" s="6">
        <v>0</v>
      </c>
      <c r="S104" s="6">
        <v>0</v>
      </c>
      <c r="T104" s="6">
        <v>0</v>
      </c>
      <c r="U104" s="6">
        <v>0</v>
      </c>
      <c r="V104" s="6">
        <v>0</v>
      </c>
      <c r="W104" s="6">
        <v>0</v>
      </c>
      <c r="X104" s="6" t="b">
        <v>1</v>
      </c>
      <c r="Y104" s="6" t="b">
        <v>0</v>
      </c>
      <c r="Z104" s="6">
        <v>1</v>
      </c>
      <c r="AA104" s="6">
        <v>0</v>
      </c>
      <c r="AB104" s="6">
        <v>0</v>
      </c>
      <c r="AC104" s="6">
        <v>0</v>
      </c>
      <c r="AD104" s="6">
        <v>0</v>
      </c>
      <c r="AE104" s="6">
        <v>1</v>
      </c>
      <c r="AF104" s="6">
        <v>0</v>
      </c>
      <c r="AG104" s="6">
        <v>0</v>
      </c>
      <c r="AH104" s="6">
        <v>1</v>
      </c>
      <c r="AI104" s="6">
        <v>0</v>
      </c>
      <c r="AJ104" s="6">
        <v>0</v>
      </c>
      <c r="AK104" s="6" t="s">
        <v>86</v>
      </c>
      <c r="AL104" s="6">
        <v>0</v>
      </c>
      <c r="AM104" s="6" t="b">
        <v>0</v>
      </c>
      <c r="AN104" s="6" t="s">
        <v>86</v>
      </c>
      <c r="AP104" s="6" t="s">
        <v>1262</v>
      </c>
      <c r="AQ104" s="6" t="b">
        <v>0</v>
      </c>
      <c r="AR104" s="6" t="b">
        <v>0</v>
      </c>
      <c r="AS104" s="6" t="b">
        <v>0</v>
      </c>
      <c r="AT104" s="6" t="s">
        <v>1262</v>
      </c>
      <c r="AU104" s="6" t="s">
        <v>1263</v>
      </c>
      <c r="BA104" t="str">
        <f t="shared" si="1"/>
        <v>insert into nm_RawMatchData values ('M', 'Open Circuits', 'Practice', 19, 'R3', 2207, 'Red Barge', 'Yes', 0, 0, 0, 0, 0, 0, 1, 0, 0, 0, 0, 0, 0, 'P', '', 'x', 'No', 'x', 'No Card', '', null, null, null);</v>
      </c>
    </row>
    <row r="105" spans="1:53">
      <c r="A105" s="6" t="s">
        <v>1336</v>
      </c>
      <c r="B105" s="6" t="s">
        <v>1271</v>
      </c>
      <c r="C105" s="6" t="s">
        <v>0</v>
      </c>
      <c r="D105" s="6">
        <v>19</v>
      </c>
      <c r="E105" s="6" t="s">
        <v>1259</v>
      </c>
      <c r="F105" s="6">
        <v>2847</v>
      </c>
      <c r="G105" s="6" t="b">
        <v>0</v>
      </c>
      <c r="H105" s="6" t="s">
        <v>57</v>
      </c>
      <c r="I105" s="6" t="b">
        <v>1</v>
      </c>
      <c r="J105" s="6" t="b">
        <v>0</v>
      </c>
      <c r="K105" s="6">
        <v>1</v>
      </c>
      <c r="L105" s="6">
        <v>0</v>
      </c>
      <c r="M105" s="6">
        <v>0</v>
      </c>
      <c r="N105" s="6">
        <v>1</v>
      </c>
      <c r="O105" s="6">
        <v>0</v>
      </c>
      <c r="P105" s="6">
        <v>0</v>
      </c>
      <c r="Q105" s="6">
        <v>0</v>
      </c>
      <c r="R105" s="6">
        <v>2</v>
      </c>
      <c r="S105" s="6">
        <v>0</v>
      </c>
      <c r="T105" s="6">
        <v>0</v>
      </c>
      <c r="U105" s="6">
        <v>0</v>
      </c>
      <c r="V105" s="6">
        <v>0</v>
      </c>
      <c r="W105" s="6">
        <v>0</v>
      </c>
      <c r="X105" s="6" t="b">
        <v>1</v>
      </c>
      <c r="Y105" s="6" t="b">
        <v>0</v>
      </c>
      <c r="Z105" s="6">
        <v>3</v>
      </c>
      <c r="AA105" s="6">
        <v>5</v>
      </c>
      <c r="AB105" s="6">
        <v>0</v>
      </c>
      <c r="AC105" s="6">
        <v>0</v>
      </c>
      <c r="AD105" s="6">
        <v>2</v>
      </c>
      <c r="AE105" s="6">
        <v>1</v>
      </c>
      <c r="AF105" s="6">
        <v>0</v>
      </c>
      <c r="AG105" s="6">
        <v>0</v>
      </c>
      <c r="AH105" s="6">
        <v>1</v>
      </c>
      <c r="AI105" s="6">
        <v>0</v>
      </c>
      <c r="AJ105" s="6">
        <v>0</v>
      </c>
      <c r="AK105" s="6" t="s">
        <v>85</v>
      </c>
      <c r="AL105" s="6">
        <v>0</v>
      </c>
      <c r="AM105" s="6" t="b">
        <v>0</v>
      </c>
      <c r="AN105" s="6" t="s">
        <v>86</v>
      </c>
      <c r="AP105" s="6" t="s">
        <v>1262</v>
      </c>
      <c r="AQ105" s="6" t="b">
        <v>0</v>
      </c>
      <c r="AR105" s="6" t="b">
        <v>0</v>
      </c>
      <c r="AS105" s="6" t="b">
        <v>0</v>
      </c>
      <c r="AT105" s="6" t="s">
        <v>1262</v>
      </c>
      <c r="AU105" s="6" t="s">
        <v>1263</v>
      </c>
      <c r="BA105" t="str">
        <f t="shared" si="1"/>
        <v>insert into nm_RawMatchData values ('Leo ', 'MPArors', 'Practice', 19, 'R2', 2847, 'Blue Barge', 'No', 1, 0, 0, 0, 0, 0, 1, 0, 5, 0, 0, 2, 0, 'P', '', 'x', 'No', 'x', 'No Card', '', null, null, null);</v>
      </c>
    </row>
    <row r="106" spans="1:53">
      <c r="A106" s="6" t="s">
        <v>1355</v>
      </c>
      <c r="B106" s="6" t="s">
        <v>1258</v>
      </c>
      <c r="C106" s="6" t="s">
        <v>0</v>
      </c>
      <c r="D106" s="6">
        <v>19</v>
      </c>
      <c r="E106" s="6" t="s">
        <v>1269</v>
      </c>
      <c r="F106" s="6">
        <v>6045</v>
      </c>
      <c r="G106" s="6" t="b">
        <v>0</v>
      </c>
      <c r="H106" s="6" t="s">
        <v>58</v>
      </c>
      <c r="I106" s="6" t="b">
        <v>1</v>
      </c>
      <c r="J106" s="6" t="b">
        <v>1</v>
      </c>
      <c r="K106" s="6">
        <v>0</v>
      </c>
      <c r="L106" s="6">
        <v>0</v>
      </c>
      <c r="M106" s="6">
        <v>0</v>
      </c>
      <c r="N106" s="6">
        <v>0</v>
      </c>
      <c r="O106" s="6">
        <v>0</v>
      </c>
      <c r="P106" s="6">
        <v>0</v>
      </c>
      <c r="Q106" s="6">
        <v>0</v>
      </c>
      <c r="R106" s="6">
        <v>0</v>
      </c>
      <c r="S106" s="6">
        <v>0</v>
      </c>
      <c r="T106" s="6">
        <v>0</v>
      </c>
      <c r="U106" s="6">
        <v>0</v>
      </c>
      <c r="V106" s="6">
        <v>0</v>
      </c>
      <c r="W106" s="6">
        <v>0</v>
      </c>
      <c r="X106" s="6" t="b">
        <v>0</v>
      </c>
      <c r="Y106" s="6" t="b">
        <v>0</v>
      </c>
      <c r="Z106" s="6">
        <v>0</v>
      </c>
      <c r="AA106" s="6">
        <v>6</v>
      </c>
      <c r="AB106" s="6">
        <v>0</v>
      </c>
      <c r="AC106" s="6">
        <v>0</v>
      </c>
      <c r="AD106" s="6">
        <v>0</v>
      </c>
      <c r="AE106" s="6">
        <v>2</v>
      </c>
      <c r="AF106" s="6">
        <v>0</v>
      </c>
      <c r="AG106" s="6">
        <v>1</v>
      </c>
      <c r="AH106" s="6">
        <v>0</v>
      </c>
      <c r="AI106" s="6">
        <v>0</v>
      </c>
      <c r="AJ106" s="6">
        <v>0</v>
      </c>
      <c r="AK106" s="6" t="s">
        <v>153</v>
      </c>
      <c r="AL106" s="6">
        <v>0</v>
      </c>
      <c r="AM106" s="6" t="b">
        <v>0</v>
      </c>
      <c r="AN106" s="6" t="s">
        <v>86</v>
      </c>
      <c r="AP106" s="6" t="s">
        <v>1262</v>
      </c>
      <c r="AQ106" s="6" t="b">
        <v>0</v>
      </c>
      <c r="AR106" s="6" t="b">
        <v>0</v>
      </c>
      <c r="AS106" s="6" t="b">
        <v>0</v>
      </c>
      <c r="AT106" s="6" t="s">
        <v>1262</v>
      </c>
      <c r="AU106" s="6" t="s">
        <v>1263</v>
      </c>
      <c r="BA106" t="str">
        <f t="shared" si="1"/>
        <v>insert into nm_RawMatchData values ('madi', 'NoMythic', 'Practice', 19, 'B3', 6045, 'Middle', 'Yes', 0, 0, 0, 0, 0, 0, 2, 0, 6, 0, 0, 0, 0, 'P', '', 'x', 'No', 'x', 'No Card', '', null, null, null);</v>
      </c>
    </row>
    <row r="107" spans="1:53">
      <c r="A107" s="6" t="s">
        <v>1351</v>
      </c>
      <c r="B107" s="6" t="s">
        <v>1258</v>
      </c>
      <c r="C107" s="6" t="s">
        <v>0</v>
      </c>
      <c r="D107" s="6">
        <v>19</v>
      </c>
      <c r="E107" s="6" t="s">
        <v>1276</v>
      </c>
      <c r="F107" s="6">
        <v>3038</v>
      </c>
      <c r="G107" s="6" t="b">
        <v>0</v>
      </c>
      <c r="H107" s="6" t="s">
        <v>1260</v>
      </c>
      <c r="I107" s="6" t="b">
        <v>1</v>
      </c>
      <c r="J107" s="6" t="b">
        <v>0</v>
      </c>
      <c r="K107" s="6">
        <v>0</v>
      </c>
      <c r="L107" s="6">
        <v>0</v>
      </c>
      <c r="M107" s="6">
        <v>0</v>
      </c>
      <c r="N107" s="6">
        <v>0</v>
      </c>
      <c r="O107" s="6">
        <v>0</v>
      </c>
      <c r="P107" s="6">
        <v>0</v>
      </c>
      <c r="Q107" s="6">
        <v>0</v>
      </c>
      <c r="R107" s="6">
        <v>0</v>
      </c>
      <c r="S107" s="6">
        <v>0</v>
      </c>
      <c r="T107" s="6">
        <v>0</v>
      </c>
      <c r="U107" s="6">
        <v>0</v>
      </c>
      <c r="V107" s="6">
        <v>0</v>
      </c>
      <c r="W107" s="6">
        <v>0</v>
      </c>
      <c r="X107" s="6" t="b">
        <v>1</v>
      </c>
      <c r="Y107" s="6" t="b">
        <v>0</v>
      </c>
      <c r="Z107" s="6">
        <v>0</v>
      </c>
      <c r="AA107" s="6">
        <v>0</v>
      </c>
      <c r="AB107" s="6">
        <v>0</v>
      </c>
      <c r="AC107" s="6">
        <v>0</v>
      </c>
      <c r="AD107" s="6">
        <v>2</v>
      </c>
      <c r="AE107" s="6">
        <v>0</v>
      </c>
      <c r="AF107" s="6">
        <v>0</v>
      </c>
      <c r="AG107" s="6">
        <v>0</v>
      </c>
      <c r="AH107" s="6">
        <v>0</v>
      </c>
      <c r="AI107" s="6">
        <v>0</v>
      </c>
      <c r="AJ107" s="6">
        <v>0</v>
      </c>
      <c r="AK107" s="6" t="s">
        <v>1297</v>
      </c>
      <c r="AL107" s="6">
        <v>0</v>
      </c>
      <c r="AM107" s="6" t="b">
        <v>0</v>
      </c>
      <c r="AN107" s="6" t="s">
        <v>86</v>
      </c>
      <c r="AP107" s="6">
        <v>2</v>
      </c>
      <c r="AQ107" s="6" t="b">
        <v>1</v>
      </c>
      <c r="AR107" s="6" t="b">
        <v>0</v>
      </c>
      <c r="AS107" s="6" t="b">
        <v>0</v>
      </c>
      <c r="AT107" s="6" t="s">
        <v>1262</v>
      </c>
      <c r="AU107" s="6" t="s">
        <v>1263</v>
      </c>
      <c r="BA107" t="str">
        <f t="shared" si="1"/>
        <v>insert into nm_RawMatchData values ('turi', 'NoMythic', 'Practice', 19, 'B2', 3038, 'Red Barge', 'No', 0, 0, 0, 0, 0, 0, 0, 0, 0, 0, 0, 2, 0, 'P', '', '2', 'No', 'x', 'No Card', '', null, null, null);</v>
      </c>
    </row>
    <row r="108" spans="1:53">
      <c r="A108" s="6" t="s">
        <v>1356</v>
      </c>
      <c r="B108" s="6" t="s">
        <v>1258</v>
      </c>
      <c r="C108" s="6" t="s">
        <v>0</v>
      </c>
      <c r="D108" s="6">
        <v>20</v>
      </c>
      <c r="E108" s="6" t="s">
        <v>1276</v>
      </c>
      <c r="F108" s="6">
        <v>3082</v>
      </c>
      <c r="G108" s="6" t="b">
        <v>0</v>
      </c>
      <c r="H108" s="6" t="s">
        <v>58</v>
      </c>
      <c r="I108" s="6" t="b">
        <v>1</v>
      </c>
      <c r="J108" s="6" t="b">
        <v>0</v>
      </c>
      <c r="K108" s="6">
        <v>0</v>
      </c>
      <c r="L108" s="6">
        <v>0</v>
      </c>
      <c r="M108" s="6">
        <v>0</v>
      </c>
      <c r="N108" s="6">
        <v>1</v>
      </c>
      <c r="O108" s="6">
        <v>0</v>
      </c>
      <c r="P108" s="6">
        <v>0</v>
      </c>
      <c r="Q108" s="6">
        <v>0</v>
      </c>
      <c r="R108" s="6">
        <v>1</v>
      </c>
      <c r="S108" s="6">
        <v>0</v>
      </c>
      <c r="T108" s="6">
        <v>0</v>
      </c>
      <c r="U108" s="6">
        <v>0</v>
      </c>
      <c r="V108" s="6">
        <v>0</v>
      </c>
      <c r="W108" s="6">
        <v>0</v>
      </c>
      <c r="X108" s="6" t="b">
        <v>1</v>
      </c>
      <c r="Y108" s="6" t="b">
        <v>0</v>
      </c>
      <c r="Z108" s="6">
        <v>2</v>
      </c>
      <c r="AA108" s="6">
        <v>3</v>
      </c>
      <c r="AB108" s="6">
        <v>4</v>
      </c>
      <c r="AC108" s="6">
        <v>3</v>
      </c>
      <c r="AD108" s="6">
        <v>1</v>
      </c>
      <c r="AE108" s="6">
        <v>0</v>
      </c>
      <c r="AF108" s="6">
        <v>0</v>
      </c>
      <c r="AG108" s="6">
        <v>0</v>
      </c>
      <c r="AH108" s="6">
        <v>0</v>
      </c>
      <c r="AI108" s="6">
        <v>2</v>
      </c>
      <c r="AJ108" s="6">
        <v>0</v>
      </c>
      <c r="AK108" s="6" t="s">
        <v>86</v>
      </c>
      <c r="AL108" s="6">
        <v>0</v>
      </c>
      <c r="AM108" s="6" t="b">
        <v>0</v>
      </c>
      <c r="AN108" s="6" t="s">
        <v>86</v>
      </c>
      <c r="AP108" s="6" t="s">
        <v>1262</v>
      </c>
      <c r="AQ108" s="6" t="b">
        <v>0</v>
      </c>
      <c r="AR108" s="6" t="b">
        <v>0</v>
      </c>
      <c r="AS108" s="6" t="b">
        <v>0</v>
      </c>
      <c r="AT108" s="6" t="s">
        <v>1262</v>
      </c>
      <c r="AU108" s="6" t="s">
        <v>1263</v>
      </c>
      <c r="BA108" t="str">
        <f t="shared" si="1"/>
        <v>insert into nm_RawMatchData values ('Turi', 'NoMythic', 'Practice', 20, 'B2', 3082, 'Middle', 'No', 1, 0, 0, 0, 0, 0, 0, 0, 3, 4, 3, 1, 0, 'P', '', 'x', 'No', 'x', 'No Card', '', null, null, null);</v>
      </c>
    </row>
    <row r="109" spans="1:53">
      <c r="A109" s="6" t="s">
        <v>1279</v>
      </c>
      <c r="B109" s="6" t="s">
        <v>1280</v>
      </c>
      <c r="C109" s="6" t="s">
        <v>0</v>
      </c>
      <c r="D109" s="6">
        <v>20</v>
      </c>
      <c r="E109" s="6" t="s">
        <v>1281</v>
      </c>
      <c r="F109" s="6">
        <v>2450</v>
      </c>
      <c r="G109" s="6" t="b">
        <v>0</v>
      </c>
      <c r="H109" s="6" t="s">
        <v>58</v>
      </c>
      <c r="I109" s="6" t="b">
        <v>1</v>
      </c>
      <c r="J109" s="6" t="b">
        <v>1</v>
      </c>
      <c r="K109" s="6">
        <v>0</v>
      </c>
      <c r="L109" s="6">
        <v>0</v>
      </c>
      <c r="M109" s="6">
        <v>0</v>
      </c>
      <c r="N109" s="6">
        <v>0</v>
      </c>
      <c r="O109" s="6">
        <v>0</v>
      </c>
      <c r="P109" s="6">
        <v>0</v>
      </c>
      <c r="Q109" s="6">
        <v>0</v>
      </c>
      <c r="R109" s="6">
        <v>0</v>
      </c>
      <c r="S109" s="6">
        <v>0</v>
      </c>
      <c r="T109" s="6">
        <v>0</v>
      </c>
      <c r="U109" s="6">
        <v>0</v>
      </c>
      <c r="V109" s="6">
        <v>0</v>
      </c>
      <c r="W109" s="6">
        <v>0</v>
      </c>
      <c r="X109" s="6" t="b">
        <v>1</v>
      </c>
      <c r="Y109" s="6" t="b">
        <v>0</v>
      </c>
      <c r="Z109" s="6">
        <v>1</v>
      </c>
      <c r="AA109" s="6">
        <v>0</v>
      </c>
      <c r="AB109" s="6">
        <v>5</v>
      </c>
      <c r="AC109" s="6">
        <v>1</v>
      </c>
      <c r="AD109" s="6">
        <v>1</v>
      </c>
      <c r="AE109" s="6">
        <v>0</v>
      </c>
      <c r="AF109" s="6">
        <v>0</v>
      </c>
      <c r="AG109" s="6">
        <v>0</v>
      </c>
      <c r="AH109" s="6">
        <v>0</v>
      </c>
      <c r="AI109" s="6">
        <v>0</v>
      </c>
      <c r="AJ109" s="6">
        <v>0</v>
      </c>
      <c r="AK109" s="6" t="s">
        <v>86</v>
      </c>
      <c r="AL109" s="6">
        <v>0</v>
      </c>
      <c r="AM109" s="6" t="b">
        <v>0</v>
      </c>
      <c r="AN109" s="6" t="s">
        <v>153</v>
      </c>
      <c r="AO109" s="6" t="s">
        <v>1357</v>
      </c>
      <c r="AP109" s="6" t="s">
        <v>1262</v>
      </c>
      <c r="AQ109" s="6" t="b">
        <v>0</v>
      </c>
      <c r="AR109" s="6" t="b">
        <v>0</v>
      </c>
      <c r="AS109" s="6" t="b">
        <v>0</v>
      </c>
      <c r="AT109" s="6" t="s">
        <v>1262</v>
      </c>
      <c r="AU109" s="6" t="s">
        <v>1263</v>
      </c>
      <c r="BA109" t="str">
        <f t="shared" si="1"/>
        <v>insert into nm_RawMatchData values ('James', 'Open Circuits', 'Practice', 20, 'R3', 2450, 'Middle', 'Yes', 0, 0, 0, 0, 0, 0, 0, 0, 0, 5, 1, 1, 0, 'No', 'Auto moved but didn''t do anything else', 'x', 'No', 'x', 'No Card', '', null, null, null);</v>
      </c>
    </row>
    <row r="110" spans="1:53">
      <c r="A110" s="6" t="s">
        <v>1355</v>
      </c>
      <c r="B110" s="6" t="s">
        <v>1258</v>
      </c>
      <c r="C110" s="6" t="s">
        <v>0</v>
      </c>
      <c r="D110" s="6">
        <v>20</v>
      </c>
      <c r="E110" s="6" t="s">
        <v>1269</v>
      </c>
      <c r="F110" s="6">
        <v>6217</v>
      </c>
      <c r="G110" s="6" t="b">
        <v>0</v>
      </c>
      <c r="H110" s="6" t="s">
        <v>58</v>
      </c>
      <c r="I110" s="6" t="b">
        <v>1</v>
      </c>
      <c r="J110" s="6" t="b">
        <v>1</v>
      </c>
      <c r="K110" s="6">
        <v>0</v>
      </c>
      <c r="L110" s="6">
        <v>0</v>
      </c>
      <c r="M110" s="6">
        <v>0</v>
      </c>
      <c r="N110" s="6">
        <v>0</v>
      </c>
      <c r="O110" s="6">
        <v>0</v>
      </c>
      <c r="P110" s="6">
        <v>0</v>
      </c>
      <c r="Q110" s="6">
        <v>0</v>
      </c>
      <c r="R110" s="6">
        <v>0</v>
      </c>
      <c r="S110" s="6">
        <v>0</v>
      </c>
      <c r="T110" s="6">
        <v>0</v>
      </c>
      <c r="U110" s="6">
        <v>0</v>
      </c>
      <c r="V110" s="6">
        <v>0</v>
      </c>
      <c r="W110" s="6">
        <v>0</v>
      </c>
      <c r="X110" s="6" t="b">
        <v>1</v>
      </c>
      <c r="Y110" s="6" t="b">
        <v>0</v>
      </c>
      <c r="Z110" s="6">
        <v>0</v>
      </c>
      <c r="AA110" s="6">
        <v>0</v>
      </c>
      <c r="AB110" s="6">
        <v>1</v>
      </c>
      <c r="AC110" s="6">
        <v>2</v>
      </c>
      <c r="AD110" s="6">
        <v>0</v>
      </c>
      <c r="AE110" s="6">
        <v>0</v>
      </c>
      <c r="AF110" s="6">
        <v>0</v>
      </c>
      <c r="AG110" s="6">
        <v>0</v>
      </c>
      <c r="AH110" s="6">
        <v>0</v>
      </c>
      <c r="AI110" s="6">
        <v>0</v>
      </c>
      <c r="AJ110" s="6">
        <v>0</v>
      </c>
      <c r="AK110" s="6" t="s">
        <v>153</v>
      </c>
      <c r="AL110" s="6">
        <v>0</v>
      </c>
      <c r="AM110" s="6" t="b">
        <v>0</v>
      </c>
      <c r="AN110" s="6" t="s">
        <v>86</v>
      </c>
      <c r="AP110" s="6" t="s">
        <v>1262</v>
      </c>
      <c r="AQ110" s="6" t="b">
        <v>0</v>
      </c>
      <c r="AR110" s="6" t="b">
        <v>0</v>
      </c>
      <c r="AS110" s="6" t="b">
        <v>0</v>
      </c>
      <c r="AT110" s="6" t="s">
        <v>1262</v>
      </c>
      <c r="AU110" s="6" t="s">
        <v>1263</v>
      </c>
      <c r="BA110" t="str">
        <f t="shared" si="1"/>
        <v>insert into nm_RawMatchData values ('madi', 'NoMythic', 'Practice', 20, 'B3', 6217, 'Middle', 'Yes', 0, 0, 0, 0, 0, 0, 0, 0, 0, 1, 2, 0, 0, 'P', '', 'x', 'No', 'x', 'No Card', '', null, null, null);</v>
      </c>
    </row>
    <row r="111" spans="1:53">
      <c r="A111" s="6" t="s">
        <v>1358</v>
      </c>
      <c r="B111" s="6" t="s">
        <v>1271</v>
      </c>
      <c r="C111" s="6" t="s">
        <v>0</v>
      </c>
      <c r="D111" s="6">
        <v>20</v>
      </c>
      <c r="E111" s="6" t="s">
        <v>1272</v>
      </c>
      <c r="F111" s="6">
        <v>3454</v>
      </c>
      <c r="G111" s="6" t="b">
        <v>0</v>
      </c>
      <c r="H111" s="6" t="s">
        <v>1260</v>
      </c>
      <c r="I111" s="6" t="b">
        <v>1</v>
      </c>
      <c r="J111" s="6" t="b">
        <v>1</v>
      </c>
      <c r="K111" s="6">
        <v>0</v>
      </c>
      <c r="L111" s="6">
        <v>0</v>
      </c>
      <c r="M111" s="6">
        <v>0</v>
      </c>
      <c r="N111" s="6">
        <v>0</v>
      </c>
      <c r="O111" s="6">
        <v>0</v>
      </c>
      <c r="P111" s="6">
        <v>0</v>
      </c>
      <c r="Q111" s="6">
        <v>0</v>
      </c>
      <c r="R111" s="6">
        <v>0</v>
      </c>
      <c r="S111" s="6">
        <v>0</v>
      </c>
      <c r="T111" s="6">
        <v>0</v>
      </c>
      <c r="U111" s="6">
        <v>0</v>
      </c>
      <c r="V111" s="6">
        <v>0</v>
      </c>
      <c r="W111" s="6">
        <v>0</v>
      </c>
      <c r="X111" s="6" t="b">
        <v>1</v>
      </c>
      <c r="Y111" s="6" t="b">
        <v>0</v>
      </c>
      <c r="Z111" s="6">
        <v>2</v>
      </c>
      <c r="AA111" s="6">
        <v>0</v>
      </c>
      <c r="AB111" s="6">
        <v>0</v>
      </c>
      <c r="AC111" s="6">
        <v>0</v>
      </c>
      <c r="AD111" s="6">
        <v>1</v>
      </c>
      <c r="AE111" s="6">
        <v>0</v>
      </c>
      <c r="AF111" s="6">
        <v>0</v>
      </c>
      <c r="AG111" s="6">
        <v>0</v>
      </c>
      <c r="AH111" s="6">
        <v>0</v>
      </c>
      <c r="AI111" s="6">
        <v>0</v>
      </c>
      <c r="AJ111" s="6">
        <v>0</v>
      </c>
      <c r="AK111" s="6" t="s">
        <v>153</v>
      </c>
      <c r="AL111" s="6">
        <v>0</v>
      </c>
      <c r="AM111" s="6" t="b">
        <v>0</v>
      </c>
      <c r="AN111" s="6" t="s">
        <v>153</v>
      </c>
      <c r="AP111" s="6" t="s">
        <v>1262</v>
      </c>
      <c r="AQ111" s="6" t="b">
        <v>0</v>
      </c>
      <c r="AR111" s="6" t="b">
        <v>0</v>
      </c>
      <c r="AS111" s="6" t="b">
        <v>0</v>
      </c>
      <c r="AT111" s="6" t="s">
        <v>1262</v>
      </c>
      <c r="AU111" s="6" t="s">
        <v>1263</v>
      </c>
      <c r="AV111" s="6" t="s">
        <v>1359</v>
      </c>
      <c r="BA111" t="str">
        <f t="shared" si="1"/>
        <v>insert into nm_RawMatchData values ('Lilly L', 'MPArors', 'Practice', 20, 'R1', 3454, 'Red Barge', 'Yes', 0, 0, 0, 0, 0, 0, 0, 0, 0, 0, 0, 1, 0, 'No', '', 'x', 'No', 'x', 'No Card', 'stopped moving mid match but started working again at the end', null, null, null);</v>
      </c>
    </row>
    <row r="112" spans="1:53">
      <c r="A112" s="6" t="s">
        <v>1279</v>
      </c>
      <c r="B112" s="6" t="s">
        <v>1301</v>
      </c>
      <c r="C112" s="6" t="s">
        <v>0</v>
      </c>
      <c r="D112" s="6">
        <v>20</v>
      </c>
      <c r="E112" s="6" t="s">
        <v>1266</v>
      </c>
      <c r="F112" s="6">
        <v>4174</v>
      </c>
      <c r="G112" s="6" t="b">
        <v>0</v>
      </c>
      <c r="H112" s="6" t="s">
        <v>57</v>
      </c>
      <c r="I112" s="6" t="b">
        <v>1</v>
      </c>
      <c r="J112" s="6" t="b">
        <v>1</v>
      </c>
      <c r="K112" s="6">
        <v>0</v>
      </c>
      <c r="L112" s="6">
        <v>2</v>
      </c>
      <c r="M112" s="6">
        <v>0</v>
      </c>
      <c r="N112" s="6">
        <v>2</v>
      </c>
      <c r="O112" s="6">
        <v>0</v>
      </c>
      <c r="P112" s="6">
        <v>0</v>
      </c>
      <c r="Q112" s="6">
        <v>0</v>
      </c>
      <c r="R112" s="6">
        <v>0</v>
      </c>
      <c r="S112" s="6">
        <v>0</v>
      </c>
      <c r="T112" s="6">
        <v>0</v>
      </c>
      <c r="U112" s="6">
        <v>0</v>
      </c>
      <c r="V112" s="6">
        <v>0</v>
      </c>
      <c r="W112" s="6">
        <v>0</v>
      </c>
      <c r="X112" s="6" t="b">
        <v>1</v>
      </c>
      <c r="Y112" s="6" t="b">
        <v>0</v>
      </c>
      <c r="Z112" s="6">
        <v>1</v>
      </c>
      <c r="AA112" s="6">
        <v>5</v>
      </c>
      <c r="AB112" s="6">
        <v>3</v>
      </c>
      <c r="AC112" s="6">
        <v>0</v>
      </c>
      <c r="AD112" s="6">
        <v>0</v>
      </c>
      <c r="AE112" s="6">
        <v>0</v>
      </c>
      <c r="AF112" s="6">
        <v>0</v>
      </c>
      <c r="AG112" s="6">
        <v>0</v>
      </c>
      <c r="AH112" s="6">
        <v>0</v>
      </c>
      <c r="AI112" s="6">
        <v>3</v>
      </c>
      <c r="AJ112" s="6">
        <v>0</v>
      </c>
      <c r="AK112" s="6" t="s">
        <v>85</v>
      </c>
      <c r="AL112" s="6">
        <v>0</v>
      </c>
      <c r="AM112" s="6" t="b">
        <v>0</v>
      </c>
      <c r="AN112" s="6" t="s">
        <v>86</v>
      </c>
      <c r="AO112" s="6" t="s">
        <v>1360</v>
      </c>
      <c r="AP112" s="6" t="s">
        <v>1262</v>
      </c>
      <c r="AQ112" s="6" t="b">
        <v>0</v>
      </c>
      <c r="AR112" s="6" t="b">
        <v>0</v>
      </c>
      <c r="AS112" s="6" t="b">
        <v>0</v>
      </c>
      <c r="AT112" s="6" t="s">
        <v>1262</v>
      </c>
      <c r="AU112" s="6" t="s">
        <v>1263</v>
      </c>
      <c r="AV112" s="6" t="s">
        <v>1361</v>
      </c>
      <c r="BA112" t="str">
        <f t="shared" si="1"/>
        <v>insert into nm_RawMatchData values ('James', 'Wind Chill', 'Practice', 20, 'B1', 4174, 'Blue Barge', 'Yes', 2, 0, 0, 0, 0, 0, 0, 0, 5, 3, 0, 0, 0, 'P', 'Clamped onto cage, no actual climb happened', 'x', 'No', 'x', 'No Card', 'Started in a diagonal orientation - probably for vision to see reef apriltags', null, null, null);</v>
      </c>
    </row>
    <row r="113" spans="1:56">
      <c r="A113" s="6" t="s">
        <v>1362</v>
      </c>
      <c r="B113" s="6" t="s">
        <v>1271</v>
      </c>
      <c r="C113" s="6" t="s">
        <v>0</v>
      </c>
      <c r="D113" s="6">
        <v>20</v>
      </c>
      <c r="E113" s="6" t="s">
        <v>1259</v>
      </c>
      <c r="F113" s="6">
        <v>2450</v>
      </c>
      <c r="G113" s="6" t="b">
        <v>0</v>
      </c>
      <c r="H113" s="6" t="s">
        <v>58</v>
      </c>
      <c r="I113" s="6" t="b">
        <v>1</v>
      </c>
      <c r="J113" s="6" t="b">
        <v>0</v>
      </c>
      <c r="K113" s="6">
        <v>0</v>
      </c>
      <c r="L113" s="6">
        <v>0</v>
      </c>
      <c r="M113" s="6">
        <v>0</v>
      </c>
      <c r="N113" s="6">
        <v>0</v>
      </c>
      <c r="O113" s="6">
        <v>0</v>
      </c>
      <c r="P113" s="6">
        <v>0</v>
      </c>
      <c r="Q113" s="6">
        <v>0</v>
      </c>
      <c r="R113" s="6">
        <v>0</v>
      </c>
      <c r="S113" s="6">
        <v>0</v>
      </c>
      <c r="T113" s="6">
        <v>0</v>
      </c>
      <c r="U113" s="6">
        <v>0</v>
      </c>
      <c r="V113" s="6">
        <v>0</v>
      </c>
      <c r="W113" s="6">
        <v>0</v>
      </c>
      <c r="X113" s="6" t="b">
        <v>1</v>
      </c>
      <c r="Y113" s="6" t="b">
        <v>0</v>
      </c>
      <c r="Z113" s="6">
        <v>1</v>
      </c>
      <c r="AA113" s="6">
        <v>0</v>
      </c>
      <c r="AB113" s="6">
        <v>3</v>
      </c>
      <c r="AC113" s="6">
        <v>2</v>
      </c>
      <c r="AD113" s="6">
        <v>1</v>
      </c>
      <c r="AE113" s="6">
        <v>0</v>
      </c>
      <c r="AF113" s="6">
        <v>0</v>
      </c>
      <c r="AG113" s="6">
        <v>0</v>
      </c>
      <c r="AH113" s="6">
        <v>2</v>
      </c>
      <c r="AI113" s="6">
        <v>0</v>
      </c>
      <c r="AJ113" s="6">
        <v>0</v>
      </c>
      <c r="AK113" s="6" t="s">
        <v>86</v>
      </c>
      <c r="AL113" s="6">
        <v>0</v>
      </c>
      <c r="AM113" s="6" t="b">
        <v>0</v>
      </c>
      <c r="AN113" s="6" t="s">
        <v>86</v>
      </c>
      <c r="AP113" s="6" t="s">
        <v>1262</v>
      </c>
      <c r="AQ113" s="6" t="b">
        <v>0</v>
      </c>
      <c r="AR113" s="6" t="b">
        <v>0</v>
      </c>
      <c r="AS113" s="6" t="b">
        <v>0</v>
      </c>
      <c r="AT113" s="6" t="s">
        <v>1262</v>
      </c>
      <c r="AU113" s="6" t="s">
        <v>1263</v>
      </c>
      <c r="BA113" t="str">
        <f t="shared" si="1"/>
        <v>insert into nm_RawMatchData values ('Nicole Chen', 'MPArors', 'Practice', 20, 'R2', 2450, 'Middle', 'No', 0, 0, 0, 0, 0, 0, 0, 0, 0, 3, 2, 1, 0, 'P', '', 'x', 'No', 'x', 'No Card', '', null, null, null);</v>
      </c>
    </row>
    <row r="114" spans="1:56">
      <c r="A114" s="6" t="s">
        <v>1356</v>
      </c>
      <c r="B114" s="6" t="s">
        <v>1258</v>
      </c>
      <c r="C114" s="6" t="s">
        <v>0</v>
      </c>
      <c r="D114" s="6">
        <v>21</v>
      </c>
      <c r="E114" s="6" t="s">
        <v>1276</v>
      </c>
      <c r="F114" s="6">
        <v>3891</v>
      </c>
      <c r="G114" s="6" t="b">
        <v>0</v>
      </c>
      <c r="H114" s="6" t="s">
        <v>57</v>
      </c>
      <c r="I114" s="6" t="b">
        <v>1</v>
      </c>
      <c r="J114" s="6" t="b">
        <v>1</v>
      </c>
      <c r="K114" s="6">
        <v>0</v>
      </c>
      <c r="L114" s="6">
        <v>1</v>
      </c>
      <c r="M114" s="6">
        <v>0</v>
      </c>
      <c r="N114" s="6">
        <v>1</v>
      </c>
      <c r="O114" s="6">
        <v>0</v>
      </c>
      <c r="P114" s="6">
        <v>0</v>
      </c>
      <c r="Q114" s="6">
        <v>0</v>
      </c>
      <c r="R114" s="6">
        <v>1</v>
      </c>
      <c r="S114" s="6">
        <v>0</v>
      </c>
      <c r="T114" s="6">
        <v>0</v>
      </c>
      <c r="U114" s="6">
        <v>0</v>
      </c>
      <c r="V114" s="6">
        <v>0</v>
      </c>
      <c r="W114" s="6">
        <v>0</v>
      </c>
      <c r="X114" s="6" t="b">
        <v>1</v>
      </c>
      <c r="Y114" s="6" t="b">
        <v>0</v>
      </c>
      <c r="Z114" s="6">
        <v>2</v>
      </c>
      <c r="AA114" s="6">
        <v>2</v>
      </c>
      <c r="AB114" s="6">
        <v>5</v>
      </c>
      <c r="AC114" s="6">
        <v>2</v>
      </c>
      <c r="AD114" s="6">
        <v>0</v>
      </c>
      <c r="AE114" s="6">
        <v>0</v>
      </c>
      <c r="AF114" s="6">
        <v>0</v>
      </c>
      <c r="AG114" s="6">
        <v>0</v>
      </c>
      <c r="AH114" s="6">
        <v>0</v>
      </c>
      <c r="AI114" s="6">
        <v>0</v>
      </c>
      <c r="AJ114" s="6">
        <v>0</v>
      </c>
      <c r="AK114" s="6" t="s">
        <v>153</v>
      </c>
      <c r="AL114" s="6">
        <v>0</v>
      </c>
      <c r="AM114" s="6" t="b">
        <v>0</v>
      </c>
      <c r="AN114" s="6" t="s">
        <v>153</v>
      </c>
      <c r="AP114" s="6" t="s">
        <v>1262</v>
      </c>
      <c r="AQ114" s="6" t="b">
        <v>0</v>
      </c>
      <c r="AR114" s="6" t="b">
        <v>0</v>
      </c>
      <c r="AS114" s="6" t="b">
        <v>0</v>
      </c>
      <c r="AT114" s="6" t="s">
        <v>1262</v>
      </c>
      <c r="AU114" s="6" t="s">
        <v>1263</v>
      </c>
      <c r="BA114" t="str">
        <f t="shared" si="1"/>
        <v>insert into nm_RawMatchData values ('Turi', 'NoMythic', 'Practice', 21, 'B2', 3891, 'Blue Barge', 'Yes', 1, 0, 0, 0, 0, 0, 0, 0, 2, 5, 2, 0, 0, 'No', '', 'x', 'No', 'x', 'No Card', '', null, null, null);</v>
      </c>
    </row>
    <row r="115" spans="1:56">
      <c r="A115" s="6" t="s">
        <v>1362</v>
      </c>
      <c r="B115" s="6" t="s">
        <v>1271</v>
      </c>
      <c r="C115" s="6" t="s">
        <v>0</v>
      </c>
      <c r="D115" s="6">
        <v>21</v>
      </c>
      <c r="E115" s="6" t="s">
        <v>1259</v>
      </c>
      <c r="F115" s="6">
        <v>7849</v>
      </c>
      <c r="G115" s="6" t="b">
        <v>0</v>
      </c>
      <c r="H115" s="6" t="s">
        <v>1260</v>
      </c>
      <c r="I115" s="6" t="b">
        <v>1</v>
      </c>
      <c r="J115" s="6" t="b">
        <v>1</v>
      </c>
      <c r="K115" s="6">
        <v>0</v>
      </c>
      <c r="L115" s="6">
        <v>0</v>
      </c>
      <c r="M115" s="6">
        <v>0</v>
      </c>
      <c r="N115" s="6">
        <v>0</v>
      </c>
      <c r="O115" s="6">
        <v>0</v>
      </c>
      <c r="P115" s="6">
        <v>0</v>
      </c>
      <c r="Q115" s="6">
        <v>0</v>
      </c>
      <c r="R115" s="6">
        <v>1</v>
      </c>
      <c r="S115" s="6">
        <v>0</v>
      </c>
      <c r="T115" s="6">
        <v>0</v>
      </c>
      <c r="U115" s="6">
        <v>0</v>
      </c>
      <c r="V115" s="6">
        <v>0</v>
      </c>
      <c r="W115" s="6">
        <v>0</v>
      </c>
      <c r="X115" s="6" t="b">
        <v>1</v>
      </c>
      <c r="Y115" s="6" t="b">
        <v>0</v>
      </c>
      <c r="Z115" s="6">
        <v>3</v>
      </c>
      <c r="AA115" s="6">
        <v>0</v>
      </c>
      <c r="AB115" s="6">
        <v>2</v>
      </c>
      <c r="AC115" s="6">
        <v>0</v>
      </c>
      <c r="AD115" s="6">
        <v>0</v>
      </c>
      <c r="AE115" s="6">
        <v>0</v>
      </c>
      <c r="AF115" s="6">
        <v>0</v>
      </c>
      <c r="AG115" s="6">
        <v>0</v>
      </c>
      <c r="AH115" s="6">
        <v>0</v>
      </c>
      <c r="AI115" s="6">
        <v>0</v>
      </c>
      <c r="AJ115" s="6">
        <v>0</v>
      </c>
      <c r="AK115" s="6" t="s">
        <v>153</v>
      </c>
      <c r="AL115" s="6">
        <v>0</v>
      </c>
      <c r="AM115" s="6" t="b">
        <v>0</v>
      </c>
      <c r="AN115" s="6" t="s">
        <v>153</v>
      </c>
      <c r="AP115" s="6" t="s">
        <v>1262</v>
      </c>
      <c r="AQ115" s="6" t="b">
        <v>0</v>
      </c>
      <c r="AR115" s="6" t="b">
        <v>0</v>
      </c>
      <c r="AS115" s="6" t="b">
        <v>1</v>
      </c>
      <c r="AT115" s="6">
        <v>1</v>
      </c>
      <c r="AU115" s="6" t="s">
        <v>1263</v>
      </c>
      <c r="BA115" t="str">
        <f t="shared" si="1"/>
        <v>insert into nm_RawMatchData values ('Nicole Chen', 'MPArors', 'Practice', 21, 'R2', 7849, 'Red Barge', 'Yes', 0, 0, 0, 0, 0, 0, 0, 0, 0, 2, 0, 0, 0, 'No', '', 'x', 'Yes', '1', 'No Card', '', null, null, null);</v>
      </c>
    </row>
    <row r="116" spans="1:56">
      <c r="A116" s="6" t="s">
        <v>1358</v>
      </c>
      <c r="B116" s="6" t="s">
        <v>1271</v>
      </c>
      <c r="C116" s="6" t="s">
        <v>0</v>
      </c>
      <c r="D116" s="6">
        <v>21</v>
      </c>
      <c r="E116" s="6" t="s">
        <v>1259</v>
      </c>
      <c r="F116" s="6">
        <v>7850</v>
      </c>
      <c r="G116" s="6" t="b">
        <v>0</v>
      </c>
      <c r="H116" s="6" t="s">
        <v>58</v>
      </c>
      <c r="I116" s="6" t="b">
        <v>1</v>
      </c>
      <c r="J116" s="6" t="b">
        <v>1</v>
      </c>
      <c r="K116" s="6">
        <v>0</v>
      </c>
      <c r="L116" s="6">
        <v>0</v>
      </c>
      <c r="M116" s="6">
        <v>0</v>
      </c>
      <c r="N116" s="6">
        <v>0</v>
      </c>
      <c r="O116" s="6">
        <v>0</v>
      </c>
      <c r="P116" s="6">
        <v>0</v>
      </c>
      <c r="Q116" s="6">
        <v>0</v>
      </c>
      <c r="R116" s="6">
        <v>0</v>
      </c>
      <c r="S116" s="6">
        <v>0</v>
      </c>
      <c r="T116" s="6">
        <v>0</v>
      </c>
      <c r="U116" s="6">
        <v>0</v>
      </c>
      <c r="V116" s="6">
        <v>0</v>
      </c>
      <c r="W116" s="6">
        <v>0</v>
      </c>
      <c r="X116" s="6" t="b">
        <v>0</v>
      </c>
      <c r="Y116" s="6" t="b">
        <v>0</v>
      </c>
      <c r="Z116" s="6">
        <v>0</v>
      </c>
      <c r="AA116" s="6">
        <v>0</v>
      </c>
      <c r="AB116" s="6">
        <v>0</v>
      </c>
      <c r="AC116" s="6">
        <v>0</v>
      </c>
      <c r="AD116" s="6">
        <v>0</v>
      </c>
      <c r="AE116" s="6">
        <v>0</v>
      </c>
      <c r="AF116" s="6">
        <v>4</v>
      </c>
      <c r="AG116" s="6">
        <v>3</v>
      </c>
      <c r="AH116" s="6">
        <v>5</v>
      </c>
      <c r="AI116" s="6">
        <v>0</v>
      </c>
      <c r="AJ116" s="6">
        <v>2</v>
      </c>
      <c r="AK116" s="6" t="s">
        <v>153</v>
      </c>
      <c r="AL116" s="6">
        <v>0</v>
      </c>
      <c r="AM116" s="6" t="b">
        <v>0</v>
      </c>
      <c r="AN116" s="6" t="s">
        <v>153</v>
      </c>
      <c r="AO116" s="6" t="s">
        <v>1363</v>
      </c>
      <c r="AP116" s="6" t="s">
        <v>1262</v>
      </c>
      <c r="AQ116" s="6" t="b">
        <v>0</v>
      </c>
      <c r="AR116" s="6" t="b">
        <v>0</v>
      </c>
      <c r="AS116" s="6" t="b">
        <v>0</v>
      </c>
      <c r="AT116" s="6" t="s">
        <v>1262</v>
      </c>
      <c r="AU116" s="6" t="s">
        <v>1263</v>
      </c>
      <c r="AV116" s="6"/>
      <c r="AW116" s="6"/>
      <c r="AX116" s="6"/>
      <c r="AY116" s="6"/>
      <c r="AZ116" s="6"/>
      <c r="BA116" t="str">
        <f t="shared" si="1"/>
        <v>insert into nm_RawMatchData values ('Lilly L', 'MPArors', 'Practice', 21, 'R2', 7850, 'Middle', 'Yes', 0, 0, 0, 0, 0, 0, 0, 4, 0, 0, 0, 0, 0, 'No', 'during endgame the robot got stuck on an algae ball ', 'x', 'No', 'x', 'No Card', '', null, null, null);</v>
      </c>
      <c r="BB116" s="6"/>
      <c r="BC116" s="6"/>
      <c r="BD116" s="6"/>
    </row>
    <row r="117" spans="1:56">
      <c r="A117" s="6" t="s">
        <v>869</v>
      </c>
      <c r="B117" s="6" t="s">
        <v>1301</v>
      </c>
      <c r="C117" s="6" t="s">
        <v>0</v>
      </c>
      <c r="D117" s="6">
        <v>21</v>
      </c>
      <c r="E117" s="6" t="s">
        <v>1266</v>
      </c>
      <c r="F117" s="6">
        <v>4663</v>
      </c>
      <c r="G117" s="6" t="b">
        <v>0</v>
      </c>
      <c r="H117" s="6" t="s">
        <v>58</v>
      </c>
      <c r="I117" s="6" t="b">
        <v>1</v>
      </c>
      <c r="J117" s="6" t="b">
        <v>0</v>
      </c>
      <c r="K117" s="6">
        <v>0</v>
      </c>
      <c r="L117" s="6">
        <v>0</v>
      </c>
      <c r="M117" s="6">
        <v>0</v>
      </c>
      <c r="N117" s="6">
        <v>0</v>
      </c>
      <c r="O117" s="6">
        <v>0</v>
      </c>
      <c r="P117" s="6">
        <v>0</v>
      </c>
      <c r="Q117" s="6">
        <v>0</v>
      </c>
      <c r="R117" s="6">
        <v>0</v>
      </c>
      <c r="S117" s="6">
        <v>0</v>
      </c>
      <c r="T117" s="6">
        <v>0</v>
      </c>
      <c r="U117" s="6">
        <v>0</v>
      </c>
      <c r="V117" s="6">
        <v>0</v>
      </c>
      <c r="W117" s="6">
        <v>0</v>
      </c>
      <c r="X117" s="6" t="b">
        <v>0</v>
      </c>
      <c r="Y117" s="6" t="b">
        <v>1</v>
      </c>
      <c r="Z117" s="6">
        <v>0</v>
      </c>
      <c r="AA117" s="6">
        <v>0</v>
      </c>
      <c r="AB117" s="6">
        <v>0</v>
      </c>
      <c r="AC117" s="6">
        <v>1</v>
      </c>
      <c r="AD117" s="6">
        <v>0</v>
      </c>
      <c r="AE117" s="6">
        <v>0</v>
      </c>
      <c r="AF117" s="6">
        <v>4</v>
      </c>
      <c r="AG117" s="6">
        <v>1</v>
      </c>
      <c r="AH117" s="6">
        <v>2</v>
      </c>
      <c r="AI117" s="6">
        <v>0</v>
      </c>
      <c r="AJ117" s="6">
        <v>3</v>
      </c>
      <c r="AK117" s="6" t="s">
        <v>85</v>
      </c>
      <c r="AL117" s="6">
        <v>0</v>
      </c>
      <c r="AM117" s="6" t="b">
        <v>0</v>
      </c>
      <c r="AN117" s="6" t="s">
        <v>86</v>
      </c>
      <c r="AO117" s="6" t="s">
        <v>1364</v>
      </c>
      <c r="AP117" s="6" t="s">
        <v>1262</v>
      </c>
      <c r="AQ117" s="6" t="b">
        <v>0</v>
      </c>
      <c r="AR117" s="6" t="b">
        <v>0</v>
      </c>
      <c r="AS117" s="6" t="b">
        <v>0</v>
      </c>
      <c r="AT117" s="6">
        <v>1</v>
      </c>
      <c r="AU117" s="6" t="s">
        <v>1263</v>
      </c>
      <c r="AV117" s="6" t="s">
        <v>1365</v>
      </c>
      <c r="BA117" t="str">
        <f t="shared" si="1"/>
        <v>insert into nm_RawMatchData values ('J', 'Wind Chill', 'Practice', 21, 'B1', 4663, 'Middle', 'No', 0, 0, 0, 0, 0, 0, 0, 4, 0, 0, 1, 0, 0, 'P', 'Grabbed cage, didn''t climb, also went to cage before endgame start', 'x', 'No', '1', 'No Card', 'Auto seemed to get stuck on cage? Pretty consistent in tele, a bit slower paced', null, null, null);</v>
      </c>
    </row>
    <row r="118" spans="1:56">
      <c r="A118" s="6" t="s">
        <v>1366</v>
      </c>
      <c r="B118" s="6" t="s">
        <v>1280</v>
      </c>
      <c r="C118" s="6" t="s">
        <v>0</v>
      </c>
      <c r="D118" s="6">
        <v>21</v>
      </c>
      <c r="E118" s="6" t="s">
        <v>1281</v>
      </c>
      <c r="F118" s="6">
        <v>3297</v>
      </c>
      <c r="G118" s="6" t="b">
        <v>0</v>
      </c>
      <c r="H118" s="6" t="s">
        <v>57</v>
      </c>
      <c r="I118" s="6" t="b">
        <v>1</v>
      </c>
      <c r="J118" s="6" t="b">
        <v>1</v>
      </c>
      <c r="K118" s="6">
        <v>0</v>
      </c>
      <c r="L118" s="6">
        <v>0</v>
      </c>
      <c r="M118" s="6">
        <v>1</v>
      </c>
      <c r="N118" s="6">
        <v>2</v>
      </c>
      <c r="O118" s="6">
        <v>0</v>
      </c>
      <c r="P118" s="6">
        <v>0</v>
      </c>
      <c r="Q118" s="6">
        <v>0</v>
      </c>
      <c r="R118" s="6">
        <v>0</v>
      </c>
      <c r="S118" s="6">
        <v>0</v>
      </c>
      <c r="T118" s="6">
        <v>0</v>
      </c>
      <c r="U118" s="6">
        <v>0</v>
      </c>
      <c r="V118" s="6">
        <v>0</v>
      </c>
      <c r="W118" s="6">
        <v>0</v>
      </c>
      <c r="X118" s="6" t="b">
        <v>0</v>
      </c>
      <c r="Y118" s="6" t="b">
        <v>1</v>
      </c>
      <c r="Z118" s="6">
        <v>3</v>
      </c>
      <c r="AA118" s="6">
        <v>4</v>
      </c>
      <c r="AB118" s="6">
        <v>0</v>
      </c>
      <c r="AC118" s="6">
        <v>0</v>
      </c>
      <c r="AD118" s="6">
        <v>0</v>
      </c>
      <c r="AE118" s="6">
        <v>0</v>
      </c>
      <c r="AF118" s="6">
        <v>0</v>
      </c>
      <c r="AG118" s="6">
        <v>0</v>
      </c>
      <c r="AH118" s="6">
        <v>0</v>
      </c>
      <c r="AI118" s="6">
        <v>0</v>
      </c>
      <c r="AJ118" s="6">
        <v>0</v>
      </c>
      <c r="AK118" s="6" t="s">
        <v>86</v>
      </c>
      <c r="AL118" s="6">
        <v>0</v>
      </c>
      <c r="AM118" s="6" t="b">
        <v>0</v>
      </c>
      <c r="AN118" s="6" t="s">
        <v>86</v>
      </c>
      <c r="AO118" s="6" t="s">
        <v>1316</v>
      </c>
      <c r="AP118" s="6" t="s">
        <v>1262</v>
      </c>
      <c r="AQ118" s="6" t="b">
        <v>0</v>
      </c>
      <c r="AR118" s="6" t="b">
        <v>0</v>
      </c>
      <c r="AS118" s="6" t="b">
        <v>0</v>
      </c>
      <c r="AT118" s="6" t="s">
        <v>1262</v>
      </c>
      <c r="AU118" s="6" t="s">
        <v>1263</v>
      </c>
      <c r="BA118" t="str">
        <f t="shared" si="1"/>
        <v>insert into nm_RawMatchData values ('Ansons', 'Open Circuits', 'Practice', 21, 'R3', 3297, 'Blue Barge', 'Yes', 2, 0, 0, 0, 0, 0, 0, 0, 4, 0, 0, 0, 0, 'P', 'Very fast park', 'x', 'No', 'x', 'No Card', '', null, null, null);</v>
      </c>
    </row>
    <row r="119" spans="1:56">
      <c r="A119" s="6" t="s">
        <v>1355</v>
      </c>
      <c r="B119" s="6" t="s">
        <v>1258</v>
      </c>
      <c r="C119" s="6" t="s">
        <v>0</v>
      </c>
      <c r="D119" s="6">
        <v>21</v>
      </c>
      <c r="E119" s="6" t="s">
        <v>1269</v>
      </c>
      <c r="F119" s="6">
        <v>5996</v>
      </c>
      <c r="G119" s="6" t="b">
        <v>1</v>
      </c>
      <c r="I119" s="6" t="b">
        <v>1</v>
      </c>
      <c r="J119" s="6" t="b">
        <v>0</v>
      </c>
      <c r="K119" s="6">
        <v>0</v>
      </c>
      <c r="L119" s="6">
        <v>0</v>
      </c>
      <c r="M119" s="6">
        <v>0</v>
      </c>
      <c r="N119" s="6">
        <v>0</v>
      </c>
      <c r="O119" s="6">
        <v>0</v>
      </c>
      <c r="P119" s="6">
        <v>0</v>
      </c>
      <c r="Q119" s="6">
        <v>0</v>
      </c>
      <c r="R119" s="6">
        <v>0</v>
      </c>
      <c r="S119" s="6">
        <v>0</v>
      </c>
      <c r="T119" s="6">
        <v>0</v>
      </c>
      <c r="U119" s="6">
        <v>0</v>
      </c>
      <c r="V119" s="6">
        <v>0</v>
      </c>
      <c r="W119" s="6">
        <v>0</v>
      </c>
      <c r="X119" s="6" t="b">
        <v>0</v>
      </c>
      <c r="Y119" s="6" t="b">
        <v>0</v>
      </c>
      <c r="Z119" s="6">
        <v>0</v>
      </c>
      <c r="AA119" s="6">
        <v>0</v>
      </c>
      <c r="AB119" s="6">
        <v>0</v>
      </c>
      <c r="AC119" s="6">
        <v>0</v>
      </c>
      <c r="AD119" s="6">
        <v>0</v>
      </c>
      <c r="AE119" s="6">
        <v>0</v>
      </c>
      <c r="AF119" s="6">
        <v>0</v>
      </c>
      <c r="AG119" s="6">
        <v>0</v>
      </c>
      <c r="AH119" s="6">
        <v>0</v>
      </c>
      <c r="AI119" s="6">
        <v>0</v>
      </c>
      <c r="AJ119" s="6">
        <v>0</v>
      </c>
      <c r="AK119" s="6" t="s">
        <v>153</v>
      </c>
      <c r="AL119" s="6">
        <v>0</v>
      </c>
      <c r="AM119" s="6" t="b">
        <v>0</v>
      </c>
      <c r="AN119" s="6" t="s">
        <v>153</v>
      </c>
      <c r="AP119" s="6" t="s">
        <v>1262</v>
      </c>
      <c r="AQ119" s="6" t="b">
        <v>0</v>
      </c>
      <c r="AR119" s="6" t="b">
        <v>0</v>
      </c>
      <c r="AS119" s="6" t="b">
        <v>0</v>
      </c>
      <c r="AT119" s="6" t="s">
        <v>1262</v>
      </c>
      <c r="AU119" s="6" t="s">
        <v>1263</v>
      </c>
      <c r="BA119" t="str">
        <f t="shared" si="1"/>
        <v>insert into nm_RawMatchData values ('madi', 'NoMythic', 'Practice', 21, 'B3', 5996, '', 'No', 0, 0, 0, 0, 0, 0, 0, 0, 0, 0, 0, 0, 0, 'No', '', 'x', 'No', 'x', 'No Card', '', null, null, null);</v>
      </c>
    </row>
    <row r="183" spans="1:56">
      <c r="A183" s="149"/>
      <c r="B183" s="149"/>
      <c r="C183" s="149"/>
      <c r="D183" s="150"/>
      <c r="E183" s="149"/>
      <c r="F183" s="150"/>
      <c r="G183" s="151"/>
      <c r="H183" s="149"/>
      <c r="I183" s="151"/>
      <c r="J183" s="151"/>
      <c r="K183" s="150"/>
      <c r="L183" s="150"/>
      <c r="M183" s="150"/>
      <c r="N183" s="150"/>
      <c r="O183" s="150"/>
      <c r="P183" s="150"/>
      <c r="Q183" s="150"/>
      <c r="R183" s="150"/>
      <c r="S183" s="151"/>
      <c r="T183" s="150"/>
      <c r="U183" s="150"/>
      <c r="V183" s="150"/>
      <c r="W183" s="150"/>
      <c r="X183" s="150"/>
      <c r="Y183" s="150"/>
      <c r="Z183" s="150"/>
      <c r="AA183" s="150"/>
      <c r="AB183" s="150"/>
      <c r="AC183" s="150"/>
      <c r="AD183" s="150"/>
      <c r="AE183" s="150"/>
      <c r="AF183" s="150"/>
      <c r="AG183" s="150"/>
      <c r="AH183" s="150"/>
      <c r="AI183" s="150"/>
      <c r="AJ183" s="150"/>
      <c r="AK183" s="150"/>
      <c r="AL183" s="151"/>
      <c r="AM183" s="149"/>
      <c r="AN183" s="150"/>
      <c r="AO183" s="151"/>
      <c r="AP183" s="149"/>
      <c r="AQ183" s="149"/>
      <c r="AR183" s="149"/>
      <c r="AS183" s="151"/>
      <c r="AT183" s="151"/>
      <c r="AU183" s="151"/>
      <c r="AV183" s="149"/>
      <c r="AW183" s="149"/>
      <c r="AX183" s="149"/>
      <c r="AY183" s="149"/>
      <c r="AZ183" s="149"/>
      <c r="BA183" s="149"/>
      <c r="BB183" s="149"/>
      <c r="BC183" s="149"/>
      <c r="BD183" s="149"/>
    </row>
    <row r="203" spans="1:56">
      <c r="AQ203" s="149"/>
      <c r="AR203" s="149"/>
      <c r="AS203" s="151"/>
      <c r="AT203" s="151"/>
      <c r="AU203" s="151"/>
      <c r="AV203" s="149"/>
      <c r="AW203" s="149"/>
      <c r="AX203" s="149"/>
      <c r="AY203" s="149"/>
      <c r="AZ203" s="149"/>
      <c r="BA203" s="149"/>
      <c r="BB203" s="149"/>
      <c r="BC203" s="149"/>
      <c r="BD203" s="149"/>
    </row>
    <row r="206" spans="1:56">
      <c r="A206" s="149"/>
      <c r="B206" s="149"/>
      <c r="C206" s="149"/>
      <c r="D206" s="150"/>
      <c r="E206" s="149"/>
      <c r="F206" s="150"/>
      <c r="G206" s="151"/>
      <c r="H206" s="149"/>
      <c r="I206" s="151"/>
      <c r="J206" s="151"/>
      <c r="K206" s="150"/>
      <c r="L206" s="150"/>
      <c r="M206" s="150"/>
      <c r="N206" s="150"/>
      <c r="O206" s="150"/>
      <c r="P206" s="150"/>
      <c r="Q206" s="150"/>
      <c r="R206" s="150"/>
      <c r="S206" s="151"/>
      <c r="T206" s="150"/>
      <c r="U206" s="150"/>
      <c r="V206" s="150"/>
      <c r="W206" s="150"/>
      <c r="X206" s="150"/>
      <c r="Y206" s="150"/>
      <c r="Z206" s="150"/>
      <c r="AA206" s="150"/>
      <c r="AB206" s="150"/>
      <c r="AC206" s="150"/>
      <c r="AD206" s="150"/>
      <c r="AE206" s="150"/>
      <c r="AF206" s="150"/>
      <c r="AG206" s="150"/>
      <c r="AH206" s="150"/>
      <c r="AI206" s="150"/>
      <c r="AJ206" s="150"/>
      <c r="AK206" s="150"/>
      <c r="AL206" s="151"/>
      <c r="AM206" s="149"/>
      <c r="AN206" s="150"/>
      <c r="AO206" s="151"/>
      <c r="AP206" s="149"/>
      <c r="AQ206" s="149"/>
      <c r="AR206" s="149"/>
      <c r="AS206" s="151"/>
      <c r="AT206" s="151"/>
      <c r="AU206" s="151"/>
      <c r="AV206" s="149"/>
      <c r="AW206" s="149"/>
      <c r="AX206" s="149"/>
      <c r="AY206" s="149"/>
      <c r="AZ206" s="149"/>
      <c r="BA206" s="149"/>
      <c r="BB206" s="149"/>
      <c r="BC206" s="149"/>
      <c r="BD206" s="149"/>
    </row>
    <row r="221" spans="1:42">
      <c r="A221" s="149"/>
      <c r="B221" s="149"/>
      <c r="C221" s="149"/>
      <c r="D221" s="150"/>
      <c r="E221" s="149"/>
      <c r="F221" s="150"/>
      <c r="G221" s="151"/>
      <c r="H221" s="149"/>
      <c r="I221" s="151"/>
      <c r="J221" s="151"/>
      <c r="K221" s="150"/>
      <c r="L221" s="150"/>
      <c r="M221" s="150"/>
      <c r="N221" s="150"/>
      <c r="O221" s="150"/>
      <c r="P221" s="150"/>
      <c r="Q221" s="150"/>
      <c r="R221" s="150"/>
      <c r="S221" s="151"/>
      <c r="T221" s="150"/>
      <c r="U221" s="150"/>
      <c r="V221" s="150"/>
      <c r="W221" s="150"/>
      <c r="X221" s="150"/>
      <c r="Y221" s="150"/>
      <c r="Z221" s="150"/>
      <c r="AA221" s="150"/>
      <c r="AB221" s="150"/>
      <c r="AC221" s="150"/>
      <c r="AD221" s="150"/>
      <c r="AE221" s="150"/>
      <c r="AF221" s="150"/>
      <c r="AG221" s="150"/>
      <c r="AH221" s="150"/>
      <c r="AI221" s="150"/>
      <c r="AJ221" s="150"/>
      <c r="AK221" s="150"/>
      <c r="AL221" s="151"/>
      <c r="AM221" s="149"/>
      <c r="AN221" s="150"/>
      <c r="AO221" s="151"/>
      <c r="AP221" s="149"/>
    </row>
    <row r="258" spans="1:52">
      <c r="A258" s="149"/>
      <c r="B258" s="149"/>
      <c r="C258" s="149"/>
      <c r="D258" s="150"/>
      <c r="E258" s="149"/>
      <c r="F258" s="150"/>
      <c r="G258" s="151"/>
      <c r="H258" s="149"/>
      <c r="I258" s="151"/>
      <c r="J258" s="151"/>
      <c r="K258" s="150"/>
      <c r="L258" s="150"/>
      <c r="M258" s="150"/>
      <c r="N258" s="150"/>
      <c r="O258" s="150"/>
      <c r="P258" s="150"/>
      <c r="Q258" s="150"/>
      <c r="R258" s="150"/>
      <c r="S258" s="151"/>
      <c r="T258" s="150"/>
      <c r="U258" s="150"/>
      <c r="V258" s="150"/>
      <c r="W258" s="150"/>
      <c r="X258" s="150"/>
      <c r="Y258" s="150"/>
      <c r="Z258" s="150"/>
      <c r="AA258" s="150"/>
      <c r="AB258" s="150"/>
      <c r="AC258" s="150"/>
      <c r="AD258" s="150"/>
      <c r="AE258" s="150"/>
      <c r="AF258" s="150"/>
      <c r="AG258" s="150"/>
      <c r="AH258" s="150"/>
      <c r="AI258" s="150"/>
      <c r="AJ258" s="150"/>
      <c r="AK258" s="150"/>
      <c r="AL258" s="151"/>
      <c r="AM258" s="149"/>
      <c r="AN258" s="150"/>
      <c r="AO258" s="151"/>
      <c r="AP258" s="149"/>
      <c r="AQ258" s="149"/>
      <c r="AR258" s="149"/>
      <c r="AS258" s="151"/>
      <c r="AT258" s="151"/>
      <c r="AU258" s="151"/>
      <c r="AV258" s="149"/>
      <c r="AW258" s="149"/>
      <c r="AX258" s="149"/>
      <c r="AY258" s="149"/>
      <c r="AZ258" s="149"/>
    </row>
    <row r="259" spans="1:52">
      <c r="A259" s="149"/>
      <c r="B259" s="149"/>
      <c r="C259" s="149"/>
      <c r="D259" s="150"/>
      <c r="E259" s="149"/>
      <c r="F259" s="150"/>
      <c r="G259" s="151"/>
      <c r="H259" s="149"/>
      <c r="I259" s="151"/>
      <c r="J259" s="151"/>
      <c r="K259" s="150"/>
      <c r="L259" s="150"/>
      <c r="M259" s="150"/>
      <c r="N259" s="150"/>
      <c r="O259" s="150"/>
      <c r="P259" s="150"/>
      <c r="Q259" s="150"/>
      <c r="R259" s="150"/>
      <c r="S259" s="151"/>
      <c r="T259" s="150"/>
      <c r="U259" s="150"/>
      <c r="V259" s="150"/>
      <c r="W259" s="150"/>
      <c r="X259" s="150"/>
      <c r="Y259" s="150"/>
      <c r="Z259" s="150"/>
      <c r="AA259" s="150"/>
      <c r="AB259" s="150"/>
      <c r="AC259" s="150"/>
      <c r="AD259" s="150"/>
      <c r="AE259" s="150"/>
      <c r="AF259" s="150"/>
      <c r="AG259" s="150"/>
      <c r="AH259" s="150"/>
      <c r="AI259" s="150"/>
      <c r="AJ259" s="150"/>
      <c r="AK259" s="150"/>
      <c r="AL259" s="151"/>
      <c r="AM259" s="149"/>
      <c r="AN259" s="150"/>
      <c r="AO259" s="151"/>
      <c r="AP259" s="149"/>
      <c r="AQ259" s="149"/>
      <c r="AR259" s="149"/>
      <c r="AS259" s="151"/>
      <c r="AT259" s="151"/>
      <c r="AU259" s="151"/>
      <c r="AV259" s="149"/>
      <c r="AW259" s="149"/>
      <c r="AX259" s="149"/>
      <c r="AY259" s="149"/>
      <c r="AZ259" s="149"/>
    </row>
    <row r="425" spans="2:56">
      <c r="B425" s="149"/>
      <c r="C425" s="149"/>
      <c r="D425" s="150"/>
      <c r="E425" s="149"/>
      <c r="F425" s="150"/>
      <c r="G425" s="151"/>
      <c r="H425" s="149"/>
      <c r="I425" s="151"/>
      <c r="J425" s="151"/>
      <c r="K425" s="150"/>
      <c r="L425" s="150"/>
      <c r="M425" s="150"/>
      <c r="N425" s="150"/>
      <c r="O425" s="150"/>
      <c r="P425" s="150"/>
      <c r="Q425" s="150"/>
      <c r="R425" s="150"/>
      <c r="S425" s="151"/>
      <c r="T425" s="150"/>
      <c r="U425" s="150"/>
      <c r="V425" s="150"/>
      <c r="W425" s="150"/>
      <c r="X425" s="150"/>
      <c r="Y425" s="150"/>
      <c r="Z425" s="150"/>
      <c r="AA425" s="150"/>
      <c r="AB425" s="150"/>
      <c r="AC425" s="150"/>
      <c r="AD425" s="150"/>
      <c r="AE425" s="150"/>
      <c r="AF425" s="150"/>
      <c r="AG425" s="150"/>
      <c r="AH425" s="150"/>
      <c r="AI425" s="150"/>
      <c r="AJ425" s="150"/>
      <c r="AK425" s="150"/>
      <c r="AL425" s="151"/>
      <c r="AM425" s="149"/>
      <c r="AN425" s="150"/>
      <c r="AO425" s="151"/>
      <c r="AP425" s="149"/>
      <c r="AQ425" s="149"/>
      <c r="AR425" s="149"/>
      <c r="AS425" s="151"/>
      <c r="AT425" s="151"/>
      <c r="AU425" s="151"/>
      <c r="AV425" s="150"/>
      <c r="AW425" s="149"/>
      <c r="AX425" s="149"/>
      <c r="AY425" s="149"/>
      <c r="AZ425" s="149"/>
      <c r="BA425" s="149"/>
      <c r="BB425" s="149"/>
      <c r="BC425" s="149"/>
      <c r="BD425" s="149"/>
    </row>
    <row r="575" spans="1:49">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R575" s="6"/>
      <c r="AS575" s="6"/>
      <c r="AT575" s="6"/>
      <c r="AU575" s="6"/>
      <c r="AV575" s="6"/>
      <c r="AW575" s="6"/>
    </row>
    <row r="576" spans="1:49">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R576" s="6"/>
      <c r="AS576" s="6"/>
      <c r="AT576" s="6"/>
      <c r="AU576" s="6"/>
      <c r="AV576" s="6"/>
      <c r="AW576" s="6"/>
    </row>
    <row r="577" spans="1:49">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R577" s="6"/>
      <c r="AS577" s="6"/>
      <c r="AT577" s="6"/>
      <c r="AU577" s="6"/>
      <c r="AV577" s="6"/>
      <c r="AW577" s="6"/>
    </row>
    <row r="578" spans="1:49">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R578" s="6"/>
      <c r="AS578" s="6"/>
      <c r="AT578" s="6"/>
      <c r="AU578" s="6"/>
      <c r="AV578" s="6"/>
      <c r="AW578" s="6"/>
    </row>
    <row r="579" spans="1:4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R579" s="6"/>
      <c r="AS579" s="6"/>
      <c r="AT579" s="6"/>
      <c r="AU579" s="6"/>
      <c r="AV579" s="6"/>
      <c r="AW579" s="6"/>
    </row>
    <row r="580" spans="1:49">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R580" s="6"/>
      <c r="AS580" s="6"/>
      <c r="AT580" s="6"/>
      <c r="AU580" s="6"/>
      <c r="AV580" s="6"/>
      <c r="AW580" s="6"/>
    </row>
    <row r="581" spans="1:49">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R581" s="6"/>
      <c r="AS581" s="6"/>
      <c r="AT581" s="6"/>
      <c r="AU581" s="6"/>
      <c r="AV581" s="6"/>
      <c r="AW581" s="6"/>
    </row>
    <row r="582" spans="1:49">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R582" s="6"/>
      <c r="AS582" s="6"/>
      <c r="AT582" s="6"/>
      <c r="AU582" s="6"/>
      <c r="AV582" s="6"/>
      <c r="AW582" s="6"/>
    </row>
    <row r="583" spans="1:49">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R583" s="6"/>
      <c r="AS583" s="6"/>
      <c r="AT583" s="6"/>
      <c r="AU583" s="6"/>
      <c r="AV583" s="6"/>
      <c r="AW583" s="6"/>
    </row>
    <row r="584" spans="1:49">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R584" s="6"/>
      <c r="AS584" s="6"/>
      <c r="AT584" s="6"/>
      <c r="AU584" s="6"/>
      <c r="AV584" s="6"/>
      <c r="AW584" s="6"/>
    </row>
    <row r="585" spans="1:49">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R585" s="6"/>
      <c r="AS585" s="6"/>
      <c r="AT585" s="6"/>
      <c r="AU585" s="6"/>
      <c r="AV585" s="6"/>
      <c r="AW585" s="6"/>
    </row>
    <row r="586" spans="1:49">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R586" s="6"/>
      <c r="AS586" s="6"/>
      <c r="AT586" s="6"/>
      <c r="AU586" s="6"/>
      <c r="AV586" s="6"/>
      <c r="AW586" s="6"/>
    </row>
    <row r="587" spans="1:49">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R587" s="6"/>
      <c r="AS587" s="6"/>
      <c r="AT587" s="6"/>
      <c r="AU587" s="6"/>
      <c r="AV587" s="6"/>
      <c r="AW587" s="6"/>
    </row>
    <row r="588" spans="1:49">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R588" s="6"/>
      <c r="AS588" s="6"/>
      <c r="AT588" s="6"/>
      <c r="AU588" s="6"/>
      <c r="AV588" s="6"/>
      <c r="AW588" s="6"/>
    </row>
    <row r="589" spans="1:4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R589" s="6"/>
      <c r="AS589" s="6"/>
      <c r="AT589" s="6"/>
      <c r="AU589" s="6"/>
      <c r="AV589" s="6"/>
      <c r="AW589" s="6"/>
    </row>
    <row r="590" spans="1:49">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R590" s="6"/>
      <c r="AS590" s="6"/>
      <c r="AT590" s="6"/>
      <c r="AU590" s="6"/>
      <c r="AV590" s="6"/>
      <c r="AW590" s="6"/>
    </row>
    <row r="591" spans="1:49">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R591" s="6"/>
      <c r="AS591" s="6"/>
      <c r="AT591" s="6"/>
      <c r="AU591" s="6"/>
      <c r="AV591" s="6"/>
      <c r="AW591" s="6"/>
    </row>
    <row r="592" spans="1:49">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R592" s="6"/>
      <c r="AS592" s="6"/>
      <c r="AT592" s="6"/>
      <c r="AU592" s="6"/>
      <c r="AV592" s="6"/>
      <c r="AW592" s="6"/>
    </row>
    <row r="593" spans="1:49">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R593" s="6"/>
      <c r="AS593" s="6"/>
      <c r="AT593" s="6"/>
      <c r="AU593" s="6"/>
      <c r="AV593" s="6"/>
      <c r="AW593" s="6"/>
    </row>
    <row r="594" spans="1:49">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R594" s="6"/>
      <c r="AS594" s="6"/>
      <c r="AT594" s="6"/>
      <c r="AU594" s="6"/>
      <c r="AV594" s="6"/>
      <c r="AW594" s="6"/>
    </row>
    <row r="595" spans="1:49">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R595" s="6"/>
      <c r="AS595" s="6"/>
      <c r="AT595" s="6"/>
      <c r="AU595" s="6"/>
      <c r="AV595" s="6"/>
      <c r="AW595" s="6"/>
    </row>
    <row r="596" spans="1:49">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R596" s="6"/>
      <c r="AS596" s="6"/>
      <c r="AT596" s="6"/>
      <c r="AU596" s="6"/>
      <c r="AV596" s="6"/>
      <c r="AW596" s="6"/>
    </row>
    <row r="597" spans="1:49">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R597" s="6"/>
      <c r="AS597" s="6"/>
      <c r="AT597" s="6"/>
      <c r="AU597" s="6"/>
      <c r="AV597" s="6"/>
      <c r="AW597" s="6"/>
    </row>
    <row r="598" spans="1:49">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R598" s="6"/>
      <c r="AS598" s="6"/>
      <c r="AT598" s="6"/>
      <c r="AU598" s="6"/>
      <c r="AV598" s="6"/>
      <c r="AW598" s="6"/>
    </row>
    <row r="599" spans="1:4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R599" s="6"/>
      <c r="AS599" s="6"/>
      <c r="AT599" s="6"/>
      <c r="AU599" s="6"/>
      <c r="AV599" s="6"/>
      <c r="AW599" s="6"/>
    </row>
    <row r="600" spans="1:49">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R600" s="6"/>
      <c r="AS600" s="6"/>
      <c r="AT600" s="6"/>
      <c r="AU600" s="6"/>
      <c r="AV600" s="6"/>
      <c r="AW600" s="6"/>
    </row>
    <row r="601" spans="1:49">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R601" s="6"/>
      <c r="AS601" s="6"/>
      <c r="AT601" s="6"/>
      <c r="AU601" s="6"/>
      <c r="AV601" s="6"/>
      <c r="AW601" s="6"/>
    </row>
    <row r="602" spans="1:49">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R602" s="6"/>
      <c r="AS602" s="6"/>
      <c r="AT602" s="6"/>
      <c r="AU602" s="6"/>
      <c r="AV602" s="6"/>
      <c r="AW602" s="6"/>
    </row>
    <row r="603" spans="1:49">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R603" s="6"/>
      <c r="AS603" s="6"/>
      <c r="AT603" s="6"/>
      <c r="AU603" s="6"/>
      <c r="AV603" s="6"/>
      <c r="AW603" s="6"/>
    </row>
    <row r="604" spans="1:49">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R604" s="6"/>
      <c r="AS604" s="6"/>
      <c r="AT604" s="6"/>
      <c r="AU604" s="6"/>
      <c r="AV604" s="6"/>
      <c r="AW604" s="6"/>
    </row>
    <row r="605" spans="1:49">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R605" s="6"/>
      <c r="AS605" s="6"/>
      <c r="AT605" s="6"/>
      <c r="AU605" s="6"/>
      <c r="AV605" s="6"/>
      <c r="AW605" s="6"/>
    </row>
    <row r="606" spans="1:49">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R606" s="6"/>
      <c r="AS606" s="6"/>
      <c r="AT606" s="6"/>
      <c r="AU606" s="6"/>
      <c r="AV606" s="6"/>
      <c r="AW606" s="6"/>
    </row>
    <row r="607" spans="1:49">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R607" s="6"/>
      <c r="AS607" s="6"/>
      <c r="AT607" s="6"/>
      <c r="AU607" s="6"/>
      <c r="AV607" s="6"/>
      <c r="AW607" s="6"/>
    </row>
    <row r="608" spans="1:49">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R608" s="6"/>
      <c r="AS608" s="6"/>
      <c r="AT608" s="6"/>
      <c r="AU608" s="6"/>
      <c r="AV608" s="6"/>
      <c r="AW608" s="6"/>
    </row>
    <row r="609" spans="1:4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R609" s="6"/>
      <c r="AS609" s="6"/>
      <c r="AT609" s="6"/>
      <c r="AU609" s="6"/>
      <c r="AV609" s="6"/>
      <c r="AW609" s="6"/>
    </row>
    <row r="610" spans="1:49">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R610" s="6"/>
      <c r="AS610" s="6"/>
      <c r="AT610" s="6"/>
      <c r="AU610" s="6"/>
      <c r="AV610" s="6"/>
      <c r="AW610" s="6"/>
    </row>
    <row r="611" spans="1:49">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R611" s="6"/>
      <c r="AS611" s="6"/>
      <c r="AT611" s="6"/>
      <c r="AU611" s="6"/>
      <c r="AV611" s="6"/>
      <c r="AW611" s="6"/>
    </row>
    <row r="612" spans="1:49">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R612" s="6"/>
      <c r="AS612" s="6"/>
      <c r="AT612" s="6"/>
      <c r="AU612" s="6"/>
      <c r="AV612" s="6"/>
      <c r="AW612" s="6"/>
    </row>
    <row r="613" spans="1:49">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R613" s="6"/>
      <c r="AS613" s="6"/>
      <c r="AT613" s="6"/>
      <c r="AU613" s="6"/>
      <c r="AV613" s="6"/>
      <c r="AW613" s="6"/>
    </row>
    <row r="614" spans="1:49">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R614" s="6"/>
      <c r="AS614" s="6"/>
      <c r="AT614" s="6"/>
      <c r="AU614" s="6"/>
      <c r="AV614" s="6"/>
      <c r="AW614" s="6"/>
    </row>
    <row r="615" spans="1:49">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R615" s="6"/>
      <c r="AS615" s="6"/>
      <c r="AT615" s="6"/>
      <c r="AU615" s="6"/>
      <c r="AV615" s="6"/>
      <c r="AW615" s="6"/>
    </row>
    <row r="616" spans="1:49">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R616" s="6"/>
      <c r="AS616" s="6"/>
      <c r="AT616" s="6"/>
      <c r="AU616" s="6"/>
      <c r="AV616" s="6"/>
      <c r="AW616" s="6"/>
    </row>
    <row r="617" spans="1:49">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R617" s="6"/>
      <c r="AS617" s="6"/>
      <c r="AT617" s="6"/>
      <c r="AU617" s="6"/>
      <c r="AV617" s="6"/>
      <c r="AW617" s="6"/>
    </row>
    <row r="618" spans="1:49">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R618" s="6"/>
      <c r="AS618" s="6"/>
      <c r="AT618" s="6"/>
      <c r="AU618" s="6"/>
      <c r="AV618" s="6"/>
      <c r="AW618" s="6"/>
    </row>
    <row r="619" spans="1:4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R619" s="6"/>
      <c r="AS619" s="6"/>
      <c r="AT619" s="6"/>
      <c r="AU619" s="6"/>
      <c r="AV619" s="6"/>
      <c r="AW619" s="6"/>
    </row>
    <row r="620" spans="1:49">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R620" s="6"/>
      <c r="AS620" s="6"/>
      <c r="AT620" s="6"/>
      <c r="AU620" s="6"/>
      <c r="AV620" s="6"/>
      <c r="AW620" s="6"/>
    </row>
    <row r="621" spans="1:49">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R621" s="6"/>
      <c r="AS621" s="6"/>
      <c r="AT621" s="6"/>
      <c r="AU621" s="6"/>
      <c r="AV621" s="6"/>
      <c r="AW621" s="6"/>
    </row>
    <row r="622" spans="1:49">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R622" s="6"/>
      <c r="AS622" s="6"/>
      <c r="AT622" s="6"/>
      <c r="AU622" s="6"/>
      <c r="AV622" s="6"/>
      <c r="AW622" s="6"/>
    </row>
    <row r="623" spans="1:49">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R623" s="6"/>
      <c r="AS623" s="6"/>
      <c r="AT623" s="6"/>
      <c r="AU623" s="6"/>
      <c r="AV623" s="6"/>
      <c r="AW623" s="6"/>
    </row>
    <row r="624" spans="1:49">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R624" s="6"/>
      <c r="AS624" s="6"/>
      <c r="AT624" s="6"/>
      <c r="AU624" s="6"/>
      <c r="AV624" s="6"/>
      <c r="AW624" s="6"/>
    </row>
    <row r="625" spans="1:49">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R625" s="6"/>
      <c r="AS625" s="6"/>
      <c r="AT625" s="6"/>
      <c r="AU625" s="6"/>
      <c r="AV625" s="6"/>
      <c r="AW625" s="6"/>
    </row>
    <row r="626" spans="1:49">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R626" s="6"/>
      <c r="AS626" s="6"/>
      <c r="AT626" s="6"/>
      <c r="AU626" s="6"/>
      <c r="AV626" s="6"/>
      <c r="AW626" s="6"/>
    </row>
    <row r="627" spans="1:49">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R627" s="6"/>
      <c r="AS627" s="6"/>
      <c r="AT627" s="6"/>
      <c r="AU627" s="6"/>
      <c r="AV627" s="6"/>
      <c r="AW627" s="6"/>
    </row>
    <row r="628" spans="1:49">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R628" s="6"/>
      <c r="AS628" s="6"/>
      <c r="AT628" s="6"/>
      <c r="AU628" s="6"/>
      <c r="AV628" s="6"/>
      <c r="AW628" s="6"/>
    </row>
    <row r="629" spans="1:4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R629" s="6"/>
      <c r="AS629" s="6"/>
      <c r="AT629" s="6"/>
      <c r="AU629" s="6"/>
      <c r="AV629" s="6"/>
      <c r="AW629" s="6"/>
    </row>
    <row r="630" spans="1:49">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R630" s="6"/>
      <c r="AS630" s="6"/>
      <c r="AT630" s="6"/>
      <c r="AU630" s="6"/>
      <c r="AV630" s="6"/>
      <c r="AW630" s="6"/>
    </row>
    <row r="631" spans="1:49">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R631" s="6"/>
      <c r="AS631" s="6"/>
      <c r="AT631" s="6"/>
      <c r="AU631" s="6"/>
      <c r="AV631" s="6"/>
      <c r="AW631" s="6"/>
    </row>
    <row r="632" spans="1:49">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R632" s="6"/>
      <c r="AS632" s="6"/>
      <c r="AT632" s="6"/>
      <c r="AU632" s="6"/>
      <c r="AV632" s="6"/>
      <c r="AW632" s="6"/>
    </row>
    <row r="633" spans="1:49">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R633" s="6"/>
      <c r="AS633" s="6"/>
      <c r="AT633" s="6"/>
      <c r="AU633" s="6"/>
      <c r="AV633" s="6"/>
      <c r="AW633" s="6"/>
    </row>
    <row r="634" spans="1:49">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R634" s="6"/>
      <c r="AS634" s="6"/>
      <c r="AT634" s="6"/>
      <c r="AU634" s="6"/>
      <c r="AV634" s="6"/>
      <c r="AW634" s="6"/>
    </row>
    <row r="635" spans="1:49">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R635" s="6"/>
      <c r="AS635" s="6"/>
      <c r="AT635" s="6"/>
      <c r="AU635" s="6"/>
      <c r="AV635" s="6"/>
      <c r="AW635" s="6"/>
    </row>
    <row r="636" spans="1:49">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R636" s="6"/>
      <c r="AS636" s="6"/>
      <c r="AT636" s="6"/>
      <c r="AU636" s="6"/>
      <c r="AV636" s="6"/>
      <c r="AW636" s="6"/>
    </row>
    <row r="637" spans="1:49">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R637" s="6"/>
      <c r="AS637" s="6"/>
      <c r="AT637" s="6"/>
      <c r="AU637" s="6"/>
      <c r="AV637" s="6"/>
      <c r="AW637" s="6"/>
    </row>
    <row r="638" spans="1:49">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R638" s="6"/>
      <c r="AS638" s="6"/>
      <c r="AT638" s="6"/>
      <c r="AU638" s="6"/>
      <c r="AV638" s="6"/>
      <c r="AW638" s="6"/>
    </row>
    <row r="639" spans="1:4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R639" s="6"/>
      <c r="AS639" s="6"/>
      <c r="AT639" s="6"/>
      <c r="AU639" s="6"/>
      <c r="AV639" s="6"/>
      <c r="AW639" s="6"/>
    </row>
    <row r="640" spans="1:49">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R640" s="6"/>
      <c r="AS640" s="6"/>
      <c r="AT640" s="6"/>
      <c r="AU640" s="6"/>
      <c r="AV640" s="6"/>
      <c r="AW640" s="6"/>
    </row>
    <row r="641" spans="1:49">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R641" s="6"/>
      <c r="AS641" s="6"/>
      <c r="AT641" s="6"/>
      <c r="AU641" s="6"/>
      <c r="AV641" s="6"/>
      <c r="AW641" s="6"/>
    </row>
    <row r="642" spans="1:49">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R642" s="6"/>
      <c r="AS642" s="6"/>
      <c r="AT642" s="6"/>
      <c r="AU642" s="6"/>
      <c r="AV642" s="6"/>
      <c r="AW642" s="6"/>
    </row>
    <row r="643" spans="1:49">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R643" s="6"/>
      <c r="AS643" s="6"/>
      <c r="AT643" s="6"/>
      <c r="AU643" s="6"/>
      <c r="AV643" s="6"/>
      <c r="AW643" s="6"/>
    </row>
    <row r="644" spans="1:49">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R644" s="6"/>
      <c r="AS644" s="6"/>
      <c r="AT644" s="6"/>
      <c r="AU644" s="6"/>
      <c r="AV644" s="6"/>
      <c r="AW644" s="6"/>
    </row>
    <row r="645" spans="1:49">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R645" s="6"/>
      <c r="AS645" s="6"/>
      <c r="AT645" s="6"/>
      <c r="AU645" s="6"/>
      <c r="AV645" s="6"/>
      <c r="AW645" s="6"/>
    </row>
    <row r="646" spans="1:49">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R646" s="6"/>
      <c r="AS646" s="6"/>
      <c r="AT646" s="6"/>
      <c r="AU646" s="6"/>
      <c r="AV646" s="6"/>
      <c r="AW646" s="6"/>
    </row>
    <row r="647" spans="1:49">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R647" s="6"/>
      <c r="AS647" s="6"/>
      <c r="AT647" s="6"/>
      <c r="AU647" s="6"/>
      <c r="AV647" s="6"/>
      <c r="AW647" s="6"/>
    </row>
    <row r="648" spans="1:49">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R648" s="6"/>
      <c r="AS648" s="6"/>
      <c r="AT648" s="6"/>
      <c r="AU648" s="6"/>
      <c r="AV648" s="6"/>
      <c r="AW648" s="6"/>
    </row>
    <row r="649" spans="1: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R649" s="6"/>
      <c r="AS649" s="6"/>
      <c r="AT649" s="6"/>
      <c r="AU649" s="6"/>
      <c r="AV649" s="6"/>
      <c r="AW649" s="6"/>
    </row>
    <row r="650" spans="1:49">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R650" s="6"/>
      <c r="AS650" s="6"/>
      <c r="AT650" s="6"/>
      <c r="AU650" s="6"/>
      <c r="AV650" s="6"/>
      <c r="AW650" s="6"/>
    </row>
    <row r="651" spans="1:49">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R651" s="6"/>
      <c r="AS651" s="6"/>
      <c r="AT651" s="6"/>
      <c r="AU651" s="6"/>
      <c r="AV651" s="6"/>
      <c r="AW651" s="6"/>
    </row>
    <row r="652" spans="1:49">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R652" s="6"/>
      <c r="AS652" s="6"/>
      <c r="AT652" s="6"/>
      <c r="AU652" s="6"/>
      <c r="AV652" s="6"/>
      <c r="AW652" s="6"/>
    </row>
    <row r="653" spans="1:49">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R653" s="6"/>
      <c r="AS653" s="6"/>
      <c r="AT653" s="6"/>
      <c r="AU653" s="6"/>
      <c r="AV653" s="6"/>
      <c r="AW653" s="6"/>
    </row>
    <row r="654" spans="1:49">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R654" s="6"/>
      <c r="AS654" s="6"/>
      <c r="AT654" s="6"/>
      <c r="AU654" s="6"/>
      <c r="AV654" s="6"/>
      <c r="AW654" s="6"/>
    </row>
    <row r="655" spans="1:49">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R655" s="6"/>
      <c r="AS655" s="6"/>
      <c r="AT655" s="6"/>
      <c r="AU655" s="6"/>
      <c r="AV655" s="6"/>
      <c r="AW655" s="6"/>
    </row>
    <row r="656" spans="1:49">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R656" s="6"/>
      <c r="AS656" s="6"/>
      <c r="AT656" s="6"/>
      <c r="AU656" s="6"/>
      <c r="AV656" s="6"/>
      <c r="AW656" s="6"/>
    </row>
    <row r="657" spans="1:49">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R657" s="6"/>
      <c r="AS657" s="6"/>
      <c r="AT657" s="6"/>
      <c r="AU657" s="6"/>
      <c r="AV657" s="6"/>
      <c r="AW657" s="6"/>
    </row>
    <row r="658" spans="1:49">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R658" s="6"/>
      <c r="AS658" s="6"/>
      <c r="AT658" s="6"/>
      <c r="AU658" s="6"/>
      <c r="AV658" s="6"/>
      <c r="AW658" s="6"/>
    </row>
    <row r="659" spans="1:4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R659" s="6"/>
      <c r="AS659" s="6"/>
      <c r="AT659" s="6"/>
      <c r="AU659" s="6"/>
      <c r="AV659" s="6"/>
      <c r="AW659" s="6"/>
    </row>
    <row r="660" spans="1:49">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R660" s="6"/>
      <c r="AS660" s="6"/>
      <c r="AT660" s="6"/>
      <c r="AU660" s="6"/>
      <c r="AV660" s="6"/>
      <c r="AW660" s="6"/>
    </row>
    <row r="661" spans="1:49">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R661" s="6"/>
      <c r="AS661" s="6"/>
      <c r="AT661" s="6"/>
      <c r="AU661" s="6"/>
      <c r="AV661" s="6"/>
      <c r="AW661" s="6"/>
    </row>
    <row r="662" spans="1:49">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R662" s="6"/>
      <c r="AS662" s="6"/>
      <c r="AT662" s="6"/>
      <c r="AU662" s="6"/>
      <c r="AV662" s="6"/>
      <c r="AW662" s="6"/>
    </row>
    <row r="663" spans="1:49">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R663" s="6"/>
      <c r="AS663" s="6"/>
      <c r="AT663" s="6"/>
      <c r="AU663" s="6"/>
      <c r="AV663" s="6"/>
      <c r="AW663" s="6"/>
    </row>
    <row r="664" spans="1:49">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R664" s="6"/>
      <c r="AS664" s="6"/>
      <c r="AT664" s="6"/>
      <c r="AU664" s="6"/>
      <c r="AV664" s="6"/>
      <c r="AW664" s="6"/>
    </row>
    <row r="665" spans="1:49">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R665" s="6"/>
      <c r="AS665" s="6"/>
      <c r="AT665" s="6"/>
      <c r="AU665" s="6"/>
      <c r="AV665" s="6"/>
      <c r="AW665" s="6"/>
    </row>
    <row r="666" spans="1:49">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R666" s="6"/>
      <c r="AS666" s="6"/>
      <c r="AT666" s="6"/>
      <c r="AU666" s="6"/>
      <c r="AV666" s="6"/>
      <c r="AW666" s="6"/>
    </row>
    <row r="667" spans="1:49">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R667" s="6"/>
      <c r="AS667" s="6"/>
      <c r="AT667" s="6"/>
      <c r="AU667" s="6"/>
      <c r="AV667" s="6"/>
      <c r="AW667" s="6"/>
    </row>
    <row r="668" spans="1:49">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R668" s="6"/>
      <c r="AS668" s="6"/>
      <c r="AT668" s="6"/>
      <c r="AU668" s="6"/>
      <c r="AV668" s="6"/>
      <c r="AW668" s="6"/>
    </row>
    <row r="669" spans="1:4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R669" s="6"/>
      <c r="AS669" s="6"/>
      <c r="AT669" s="6"/>
      <c r="AU669" s="6"/>
      <c r="AV669" s="6"/>
      <c r="AW669" s="6"/>
    </row>
    <row r="670" spans="1:49">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R670" s="6"/>
      <c r="AS670" s="6"/>
      <c r="AT670" s="6"/>
      <c r="AU670" s="6"/>
      <c r="AV670" s="6"/>
      <c r="AW670" s="6"/>
    </row>
    <row r="671" spans="1:49">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R671" s="6"/>
      <c r="AS671" s="6"/>
      <c r="AT671" s="6"/>
      <c r="AU671" s="6"/>
      <c r="AV671" s="6"/>
      <c r="AW671" s="6"/>
    </row>
    <row r="672" spans="1:49">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R672" s="6"/>
      <c r="AS672" s="6"/>
      <c r="AT672" s="6"/>
      <c r="AU672" s="6"/>
      <c r="AV672" s="6"/>
      <c r="AW672" s="6"/>
    </row>
    <row r="673" spans="1:49">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R673" s="6"/>
      <c r="AS673" s="6"/>
      <c r="AT673" s="6"/>
      <c r="AU673" s="6"/>
      <c r="AV673" s="6"/>
      <c r="AW673" s="6"/>
    </row>
    <row r="674" spans="1:49">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R674" s="6"/>
      <c r="AS674" s="6"/>
      <c r="AT674" s="6"/>
      <c r="AU674" s="6"/>
      <c r="AV674" s="6"/>
      <c r="AW674" s="6"/>
    </row>
    <row r="675" spans="1:49">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R675" s="6"/>
      <c r="AS675" s="6"/>
      <c r="AT675" s="6"/>
      <c r="AU675" s="6"/>
      <c r="AV675" s="6"/>
      <c r="AW675" s="6"/>
    </row>
    <row r="676" spans="1:49">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R676" s="6"/>
      <c r="AS676" s="6"/>
      <c r="AT676" s="6"/>
      <c r="AU676" s="6"/>
      <c r="AV676" s="6"/>
      <c r="AW676" s="6"/>
    </row>
    <row r="677" spans="1:49">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R677" s="6"/>
      <c r="AS677" s="6"/>
      <c r="AT677" s="6"/>
      <c r="AU677" s="6"/>
      <c r="AV677" s="6"/>
      <c r="AW677" s="6"/>
    </row>
    <row r="678" spans="1:49">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R678" s="6"/>
      <c r="AS678" s="6"/>
      <c r="AT678" s="6"/>
      <c r="AU678" s="6"/>
      <c r="AV678" s="6"/>
      <c r="AW678" s="6"/>
    </row>
    <row r="679" spans="1:4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R679" s="6"/>
      <c r="AS679" s="6"/>
      <c r="AT679" s="6"/>
      <c r="AU679" s="6"/>
      <c r="AV679" s="6"/>
      <c r="AW679" s="6"/>
    </row>
    <row r="680" spans="1:49">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R680" s="6"/>
      <c r="AS680" s="6"/>
      <c r="AT680" s="6"/>
      <c r="AU680" s="6"/>
      <c r="AV680" s="6"/>
      <c r="AW680" s="6"/>
    </row>
    <row r="681" spans="1:49">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R681" s="6"/>
      <c r="AS681" s="6"/>
      <c r="AT681" s="6"/>
      <c r="AU681" s="6"/>
      <c r="AV681" s="6"/>
      <c r="AW681" s="6"/>
    </row>
    <row r="682" spans="1:49">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R682" s="6"/>
      <c r="AS682" s="6"/>
      <c r="AT682" s="6"/>
      <c r="AU682" s="6"/>
      <c r="AV682" s="6"/>
      <c r="AW682" s="6"/>
    </row>
    <row r="683" spans="1:49">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R683" s="6"/>
      <c r="AS683" s="6"/>
      <c r="AT683" s="6"/>
      <c r="AU683" s="6"/>
      <c r="AV683" s="6"/>
      <c r="AW683" s="6"/>
    </row>
    <row r="684" spans="1:49">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R684" s="6"/>
      <c r="AS684" s="6"/>
      <c r="AT684" s="6"/>
      <c r="AU684" s="6"/>
      <c r="AV684" s="6"/>
      <c r="AW684" s="6"/>
    </row>
    <row r="685" spans="1:49">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R685" s="6"/>
      <c r="AS685" s="6"/>
      <c r="AT685" s="6"/>
      <c r="AU685" s="6"/>
      <c r="AV685" s="6"/>
      <c r="AW685" s="6"/>
    </row>
    <row r="686" spans="1:49">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R686" s="6"/>
      <c r="AS686" s="6"/>
      <c r="AT686" s="6"/>
      <c r="AU686" s="6"/>
      <c r="AV686" s="6"/>
      <c r="AW686" s="6"/>
    </row>
    <row r="687" spans="1:49">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R687" s="6"/>
      <c r="AS687" s="6"/>
      <c r="AT687" s="6"/>
      <c r="AU687" s="6"/>
      <c r="AV687" s="6"/>
      <c r="AW687" s="6"/>
    </row>
    <row r="688" spans="1:49">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R688" s="6"/>
      <c r="AS688" s="6"/>
      <c r="AT688" s="6"/>
      <c r="AU688" s="6"/>
      <c r="AV688" s="6"/>
      <c r="AW688" s="6"/>
    </row>
    <row r="689" spans="1:4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R689" s="6"/>
      <c r="AS689" s="6"/>
      <c r="AT689" s="6"/>
      <c r="AU689" s="6"/>
      <c r="AV689" s="6"/>
      <c r="AW689" s="6"/>
    </row>
    <row r="690" spans="1:49">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R690" s="6"/>
      <c r="AS690" s="6"/>
      <c r="AT690" s="6"/>
      <c r="AU690" s="6"/>
      <c r="AV690" s="6"/>
      <c r="AW690" s="6"/>
    </row>
    <row r="691" spans="1:49">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R691" s="6"/>
      <c r="AS691" s="6"/>
      <c r="AT691" s="6"/>
      <c r="AU691" s="6"/>
      <c r="AV691" s="6"/>
      <c r="AW691" s="6"/>
    </row>
    <row r="692" spans="1:49">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R692" s="6"/>
      <c r="AS692" s="6"/>
      <c r="AT692" s="6"/>
      <c r="AU692" s="6"/>
      <c r="AV692" s="6"/>
      <c r="AW692" s="6"/>
    </row>
    <row r="693" spans="1:49">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R693" s="6"/>
      <c r="AS693" s="6"/>
      <c r="AT693" s="6"/>
      <c r="AU693" s="6"/>
      <c r="AV693" s="6"/>
      <c r="AW693" s="6"/>
    </row>
    <row r="694" spans="1:49">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R694" s="6"/>
      <c r="AS694" s="6"/>
      <c r="AT694" s="6"/>
      <c r="AU694" s="6"/>
      <c r="AV694" s="6"/>
      <c r="AW694" s="6"/>
    </row>
    <row r="695" spans="1:49">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R695" s="6"/>
      <c r="AS695" s="6"/>
      <c r="AT695" s="6"/>
      <c r="AU695" s="6"/>
      <c r="AV695" s="6"/>
      <c r="AW695" s="6"/>
    </row>
    <row r="696" spans="1:49">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R696" s="6"/>
      <c r="AS696" s="6"/>
      <c r="AT696" s="6"/>
      <c r="AU696" s="6"/>
      <c r="AV696" s="6"/>
      <c r="AW696" s="6"/>
    </row>
    <row r="697" spans="1:49">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R697" s="6"/>
      <c r="AS697" s="6"/>
      <c r="AT697" s="6"/>
      <c r="AU697" s="6"/>
      <c r="AV697" s="6"/>
      <c r="AW697" s="6"/>
    </row>
    <row r="698" spans="1:49">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R698" s="6"/>
      <c r="AS698" s="6"/>
      <c r="AT698" s="6"/>
      <c r="AU698" s="6"/>
      <c r="AV698" s="6"/>
      <c r="AW698" s="6"/>
    </row>
    <row r="699" spans="1:4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R699" s="6"/>
      <c r="AS699" s="6"/>
      <c r="AT699" s="6"/>
      <c r="AU699" s="6"/>
      <c r="AV699" s="6"/>
      <c r="AW699" s="6"/>
    </row>
    <row r="700" spans="1:49">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R700" s="6"/>
      <c r="AS700" s="6"/>
      <c r="AT700" s="6"/>
      <c r="AU700" s="6"/>
      <c r="AV700" s="6"/>
      <c r="AW700" s="6"/>
    </row>
    <row r="701" spans="1:49">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R701" s="6"/>
      <c r="AS701" s="6"/>
      <c r="AT701" s="6"/>
      <c r="AU701" s="6"/>
      <c r="AV701" s="6"/>
      <c r="AW701" s="6"/>
    </row>
    <row r="702" spans="1:49">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R702" s="6"/>
      <c r="AS702" s="6"/>
      <c r="AT702" s="6"/>
      <c r="AU702" s="6"/>
      <c r="AV702" s="6"/>
      <c r="AW702" s="6"/>
    </row>
    <row r="703" spans="1:49">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R703" s="6"/>
      <c r="AS703" s="6"/>
      <c r="AT703" s="6"/>
      <c r="AU703" s="6"/>
      <c r="AV703" s="6"/>
      <c r="AW703" s="6"/>
    </row>
    <row r="704" spans="1:49">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R704" s="6"/>
      <c r="AS704" s="6"/>
      <c r="AT704" s="6"/>
      <c r="AU704" s="6"/>
      <c r="AV704" s="6"/>
      <c r="AW704" s="6"/>
    </row>
    <row r="705" spans="1:49">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R705" s="6"/>
      <c r="AS705" s="6"/>
      <c r="AT705" s="6"/>
      <c r="AU705" s="6"/>
      <c r="AV705" s="6"/>
      <c r="AW705" s="6"/>
    </row>
    <row r="706" spans="1:49">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R706" s="6"/>
      <c r="AS706" s="6"/>
      <c r="AT706" s="6"/>
      <c r="AU706" s="6"/>
      <c r="AV706" s="6"/>
      <c r="AW706" s="6"/>
    </row>
    <row r="707" spans="1:49">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R707" s="6"/>
      <c r="AS707" s="6"/>
      <c r="AT707" s="6"/>
      <c r="AU707" s="6"/>
      <c r="AV707" s="6"/>
      <c r="AW707" s="6"/>
    </row>
    <row r="708" spans="1:49">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R708" s="6"/>
      <c r="AS708" s="6"/>
      <c r="AT708" s="6"/>
      <c r="AU708" s="6"/>
      <c r="AV708" s="6"/>
      <c r="AW708" s="6"/>
    </row>
    <row r="709" spans="1:4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R709" s="6"/>
      <c r="AS709" s="6"/>
      <c r="AT709" s="6"/>
      <c r="AU709" s="6"/>
      <c r="AV709" s="6"/>
      <c r="AW709" s="6"/>
    </row>
    <row r="710" spans="1:49">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R710" s="6"/>
      <c r="AS710" s="6"/>
      <c r="AT710" s="6"/>
      <c r="AU710" s="6"/>
      <c r="AV710" s="6"/>
      <c r="AW710" s="6"/>
    </row>
    <row r="711" spans="1:49">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R711" s="6"/>
      <c r="AS711" s="6"/>
      <c r="AT711" s="6"/>
      <c r="AU711" s="6"/>
      <c r="AV711" s="6"/>
      <c r="AW711" s="6"/>
    </row>
    <row r="712" spans="1:49">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R712" s="6"/>
      <c r="AS712" s="6"/>
      <c r="AT712" s="6"/>
      <c r="AU712" s="6"/>
      <c r="AV712" s="6"/>
      <c r="AW712" s="6"/>
    </row>
    <row r="713" spans="1:49">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R713" s="6"/>
      <c r="AS713" s="6"/>
      <c r="AT713" s="6"/>
      <c r="AU713" s="6"/>
      <c r="AV713" s="6"/>
      <c r="AW713" s="6"/>
    </row>
    <row r="714" spans="1:49">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R714" s="6"/>
      <c r="AS714" s="6"/>
      <c r="AT714" s="6"/>
      <c r="AU714" s="6"/>
      <c r="AV714" s="6"/>
      <c r="AW714" s="6"/>
    </row>
    <row r="715" spans="1:49">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R715" s="6"/>
      <c r="AS715" s="6"/>
      <c r="AT715" s="6"/>
      <c r="AU715" s="6"/>
      <c r="AV715" s="6"/>
      <c r="AW715" s="6"/>
    </row>
    <row r="716" spans="1:49">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R716" s="6"/>
      <c r="AS716" s="6"/>
      <c r="AT716" s="6"/>
      <c r="AU716" s="6"/>
      <c r="AV716" s="6"/>
      <c r="AW716" s="6"/>
    </row>
    <row r="717" spans="1:49">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R717" s="6"/>
      <c r="AS717" s="6"/>
      <c r="AT717" s="6"/>
      <c r="AU717" s="6"/>
      <c r="AV717" s="6"/>
      <c r="AW717" s="6"/>
    </row>
    <row r="718" spans="1:49">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R718" s="6"/>
      <c r="AS718" s="6"/>
      <c r="AT718" s="6"/>
      <c r="AU718" s="6"/>
      <c r="AV718" s="6"/>
      <c r="AW718" s="6"/>
    </row>
    <row r="719" spans="1:4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R719" s="6"/>
      <c r="AS719" s="6"/>
      <c r="AT719" s="6"/>
      <c r="AU719" s="6"/>
      <c r="AV719" s="6"/>
      <c r="AW719" s="6"/>
    </row>
    <row r="720" spans="1:49">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R720" s="6"/>
      <c r="AS720" s="6"/>
      <c r="AT720" s="6"/>
      <c r="AU720" s="6"/>
      <c r="AV720" s="6"/>
      <c r="AW720" s="6"/>
    </row>
    <row r="721" spans="1:49">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R721" s="6"/>
      <c r="AS721" s="6"/>
      <c r="AT721" s="6"/>
      <c r="AU721" s="6"/>
      <c r="AV721" s="6"/>
      <c r="AW721" s="6"/>
    </row>
    <row r="722" spans="1:49">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R722" s="6"/>
      <c r="AS722" s="6"/>
      <c r="AT722" s="6"/>
      <c r="AU722" s="6"/>
      <c r="AV722" s="6"/>
      <c r="AW722" s="6"/>
    </row>
    <row r="723" spans="1:49">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R723" s="6"/>
      <c r="AS723" s="6"/>
      <c r="AT723" s="6"/>
      <c r="AU723" s="6"/>
      <c r="AV723" s="6"/>
      <c r="AW723" s="6"/>
    </row>
    <row r="724" spans="1:49">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R724" s="6"/>
      <c r="AS724" s="6"/>
      <c r="AT724" s="6"/>
      <c r="AU724" s="6"/>
      <c r="AV724" s="6"/>
      <c r="AW724" s="6"/>
    </row>
    <row r="725" spans="1:49">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R725" s="6"/>
      <c r="AS725" s="6"/>
      <c r="AT725" s="6"/>
      <c r="AU725" s="6"/>
      <c r="AV725" s="6"/>
      <c r="AW725" s="6"/>
    </row>
    <row r="726" spans="1:49">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R726" s="6"/>
      <c r="AS726" s="6"/>
      <c r="AT726" s="6"/>
      <c r="AU726" s="6"/>
      <c r="AV726" s="6"/>
      <c r="AW726" s="6"/>
    </row>
    <row r="727" spans="1:49">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R727" s="6"/>
      <c r="AS727" s="6"/>
      <c r="AT727" s="6"/>
      <c r="AU727" s="6"/>
      <c r="AV727" s="6"/>
      <c r="AW727" s="6"/>
    </row>
    <row r="728" spans="1:49">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R728" s="6"/>
      <c r="AS728" s="6"/>
      <c r="AT728" s="6"/>
      <c r="AU728" s="6"/>
      <c r="AV728" s="6"/>
      <c r="AW728" s="6"/>
    </row>
    <row r="729" spans="1:4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R729" s="6"/>
      <c r="AS729" s="6"/>
      <c r="AT729" s="6"/>
      <c r="AU729" s="6"/>
      <c r="AV729" s="6"/>
      <c r="AW729" s="6"/>
    </row>
    <row r="730" spans="1:49">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R730" s="6"/>
      <c r="AS730" s="6"/>
      <c r="AT730" s="6"/>
      <c r="AU730" s="6"/>
      <c r="AV730" s="6"/>
      <c r="AW730" s="6"/>
    </row>
    <row r="731" spans="1:49">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R731" s="6"/>
      <c r="AS731" s="6"/>
      <c r="AT731" s="6"/>
      <c r="AU731" s="6"/>
      <c r="AV731" s="6"/>
      <c r="AW731" s="6"/>
    </row>
    <row r="732" spans="1:49">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R732" s="6"/>
      <c r="AS732" s="6"/>
      <c r="AT732" s="6"/>
      <c r="AU732" s="6"/>
      <c r="AV732" s="6"/>
      <c r="AW732" s="6"/>
    </row>
    <row r="733" spans="1:49">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R733" s="6"/>
      <c r="AS733" s="6"/>
      <c r="AT733" s="6"/>
      <c r="AU733" s="6"/>
      <c r="AV733" s="6"/>
      <c r="AW733" s="6"/>
    </row>
    <row r="734" spans="1:49">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R734" s="6"/>
      <c r="AS734" s="6"/>
      <c r="AT734" s="6"/>
      <c r="AU734" s="6"/>
      <c r="AV734" s="6"/>
      <c r="AW734" s="6"/>
    </row>
    <row r="735" spans="1:49">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R735" s="6"/>
      <c r="AS735" s="6"/>
      <c r="AT735" s="6"/>
      <c r="AU735" s="6"/>
      <c r="AV735" s="6"/>
      <c r="AW735" s="6"/>
    </row>
    <row r="736" spans="1:49">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R736" s="6"/>
      <c r="AS736" s="6"/>
      <c r="AT736" s="6"/>
      <c r="AU736" s="6"/>
      <c r="AV736" s="6"/>
      <c r="AW736" s="6"/>
    </row>
    <row r="737" spans="1:49">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R737" s="6"/>
      <c r="AS737" s="6"/>
      <c r="AT737" s="6"/>
      <c r="AU737" s="6"/>
      <c r="AV737" s="6"/>
      <c r="AW737" s="6"/>
    </row>
    <row r="738" spans="1:49">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R738" s="6"/>
      <c r="AS738" s="6"/>
      <c r="AT738" s="6"/>
      <c r="AU738" s="6"/>
      <c r="AV738" s="6"/>
      <c r="AW738" s="6"/>
    </row>
    <row r="739" spans="1:4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R739" s="6"/>
      <c r="AS739" s="6"/>
      <c r="AT739" s="6"/>
      <c r="AU739" s="6"/>
      <c r="AV739" s="6"/>
      <c r="AW739" s="6"/>
    </row>
    <row r="740" spans="1:49">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R740" s="6"/>
      <c r="AS740" s="6"/>
      <c r="AT740" s="6"/>
      <c r="AU740" s="6"/>
      <c r="AV740" s="6"/>
      <c r="AW740" s="6"/>
    </row>
    <row r="741" spans="1:49">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R741" s="6"/>
      <c r="AS741" s="6"/>
      <c r="AT741" s="6"/>
      <c r="AU741" s="6"/>
      <c r="AV741" s="6"/>
      <c r="AW741" s="6"/>
    </row>
    <row r="742" spans="1:49">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R742" s="6"/>
      <c r="AS742" s="6"/>
      <c r="AT742" s="6"/>
      <c r="AU742" s="6"/>
      <c r="AV742" s="6"/>
      <c r="AW742" s="6"/>
    </row>
    <row r="743" spans="1:49">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R743" s="6"/>
      <c r="AS743" s="6"/>
      <c r="AT743" s="6"/>
      <c r="AU743" s="6"/>
      <c r="AV743" s="6"/>
      <c r="AW743" s="6"/>
    </row>
    <row r="744" spans="1:49">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R744" s="6"/>
      <c r="AS744" s="6"/>
      <c r="AT744" s="6"/>
      <c r="AU744" s="6"/>
      <c r="AV744" s="6"/>
      <c r="AW744" s="6"/>
    </row>
    <row r="745" spans="1:49">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R745" s="6"/>
      <c r="AS745" s="6"/>
      <c r="AT745" s="6"/>
      <c r="AU745" s="6"/>
      <c r="AV745" s="6"/>
      <c r="AW745" s="6"/>
    </row>
    <row r="746" spans="1:49">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R746" s="6"/>
      <c r="AS746" s="6"/>
      <c r="AT746" s="6"/>
      <c r="AU746" s="6"/>
      <c r="AV746" s="6"/>
      <c r="AW746" s="6"/>
    </row>
    <row r="747" spans="1:49">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R747" s="6"/>
      <c r="AS747" s="6"/>
      <c r="AT747" s="6"/>
      <c r="AU747" s="6"/>
      <c r="AV747" s="6"/>
      <c r="AW747" s="6"/>
    </row>
    <row r="748" spans="1:49">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R748" s="6"/>
      <c r="AS748" s="6"/>
      <c r="AT748" s="6"/>
      <c r="AU748" s="6"/>
      <c r="AV748" s="6"/>
      <c r="AW748" s="6"/>
    </row>
    <row r="749" spans="1: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R749" s="6"/>
      <c r="AS749" s="6"/>
      <c r="AT749" s="6"/>
      <c r="AU749" s="6"/>
      <c r="AV749" s="6"/>
      <c r="AW749" s="6"/>
    </row>
    <row r="750" spans="1:49">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R750" s="6"/>
      <c r="AS750" s="6"/>
      <c r="AT750" s="6"/>
      <c r="AU750" s="6"/>
      <c r="AV750" s="6"/>
      <c r="AW750" s="6"/>
    </row>
    <row r="751" spans="1:49">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R751" s="6"/>
      <c r="AS751" s="6"/>
      <c r="AT751" s="6"/>
      <c r="AU751" s="6"/>
      <c r="AV751" s="6"/>
      <c r="AW751" s="6"/>
    </row>
    <row r="752" spans="1:49">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R752" s="6"/>
      <c r="AS752" s="6"/>
      <c r="AT752" s="6"/>
      <c r="AU752" s="6"/>
      <c r="AV752" s="6"/>
      <c r="AW752" s="6"/>
    </row>
    <row r="753" spans="1:49">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R753" s="6"/>
      <c r="AS753" s="6"/>
      <c r="AT753" s="6"/>
      <c r="AU753" s="6"/>
      <c r="AV753" s="6"/>
      <c r="AW753" s="6"/>
    </row>
    <row r="754" spans="1:49">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R754" s="6"/>
      <c r="AS754" s="6"/>
      <c r="AT754" s="6"/>
      <c r="AU754" s="6"/>
      <c r="AV754" s="6"/>
      <c r="AW754" s="6"/>
    </row>
    <row r="755" spans="1:49">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R755" s="6"/>
      <c r="AS755" s="6"/>
      <c r="AT755" s="6"/>
      <c r="AU755" s="6"/>
      <c r="AV755" s="6"/>
      <c r="AW755" s="6"/>
    </row>
    <row r="756" spans="1:49">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R756" s="6"/>
      <c r="AS756" s="6"/>
      <c r="AT756" s="6"/>
      <c r="AU756" s="6"/>
      <c r="AV756" s="6"/>
      <c r="AW756" s="6"/>
    </row>
    <row r="757" spans="1:49">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R757" s="6"/>
      <c r="AS757" s="6"/>
      <c r="AT757" s="6"/>
      <c r="AU757" s="6"/>
      <c r="AV757" s="6"/>
      <c r="AW757" s="6"/>
    </row>
    <row r="758" spans="1:49">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R758" s="6"/>
      <c r="AS758" s="6"/>
      <c r="AT758" s="6"/>
      <c r="AU758" s="6"/>
      <c r="AV758" s="6"/>
      <c r="AW758" s="6"/>
    </row>
    <row r="759" spans="1:4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R759" s="6"/>
      <c r="AS759" s="6"/>
      <c r="AT759" s="6"/>
      <c r="AU759" s="6"/>
      <c r="AV759" s="6"/>
      <c r="AW759" s="6"/>
    </row>
    <row r="760" spans="1:49">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R760" s="6"/>
      <c r="AS760" s="6"/>
      <c r="AT760" s="6"/>
      <c r="AU760" s="6"/>
      <c r="AV760" s="6"/>
      <c r="AW760" s="6"/>
    </row>
    <row r="761" spans="1:49">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R761" s="6"/>
      <c r="AS761" s="6"/>
      <c r="AT761" s="6"/>
      <c r="AU761" s="6"/>
      <c r="AV761" s="6"/>
      <c r="AW761" s="6"/>
    </row>
    <row r="762" spans="1:49">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R762" s="6"/>
      <c r="AS762" s="6"/>
      <c r="AT762" s="6"/>
      <c r="AU762" s="6"/>
      <c r="AV762" s="6"/>
      <c r="AW762" s="6"/>
    </row>
    <row r="763" spans="1:49">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R763" s="6"/>
      <c r="AS763" s="6"/>
      <c r="AT763" s="6"/>
      <c r="AU763" s="6"/>
      <c r="AV763" s="6"/>
      <c r="AW763" s="6"/>
    </row>
    <row r="764" spans="1:49">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R764" s="6"/>
      <c r="AS764" s="6"/>
      <c r="AT764" s="6"/>
      <c r="AU764" s="6"/>
      <c r="AV764" s="6"/>
      <c r="AW764" s="6"/>
    </row>
    <row r="765" spans="1:49">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R765" s="6"/>
      <c r="AS765" s="6"/>
      <c r="AT765" s="6"/>
      <c r="AU765" s="6"/>
      <c r="AV765" s="6"/>
      <c r="AW765" s="6"/>
    </row>
    <row r="766" spans="1:49">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R766" s="6"/>
      <c r="AS766" s="6"/>
      <c r="AT766" s="6"/>
      <c r="AU766" s="6"/>
      <c r="AV766" s="6"/>
      <c r="AW766" s="6"/>
    </row>
    <row r="767" spans="1:49">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R767" s="6"/>
      <c r="AS767" s="6"/>
      <c r="AT767" s="6"/>
      <c r="AU767" s="6"/>
      <c r="AV767" s="6"/>
      <c r="AW767" s="6"/>
    </row>
    <row r="768" spans="1:49">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R768" s="6"/>
      <c r="AS768" s="6"/>
      <c r="AT768" s="6"/>
      <c r="AU768" s="6"/>
      <c r="AV768" s="6"/>
      <c r="AW768" s="6"/>
    </row>
    <row r="769" spans="1:4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R769" s="6"/>
      <c r="AS769" s="6"/>
      <c r="AT769" s="6"/>
      <c r="AU769" s="6"/>
      <c r="AV769" s="6"/>
      <c r="AW769" s="6"/>
    </row>
    <row r="770" spans="1:49">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R770" s="6"/>
      <c r="AS770" s="6"/>
      <c r="AT770" s="6"/>
      <c r="AU770" s="6"/>
      <c r="AV770" s="6"/>
      <c r="AW770" s="6"/>
    </row>
    <row r="771" spans="1:49">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R771" s="6"/>
      <c r="AS771" s="6"/>
      <c r="AT771" s="6"/>
      <c r="AU771" s="6"/>
      <c r="AV771" s="6"/>
      <c r="AW771" s="6"/>
    </row>
    <row r="772" spans="1:49">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R772" s="6"/>
      <c r="AS772" s="6"/>
      <c r="AT772" s="6"/>
      <c r="AU772" s="6"/>
      <c r="AV772" s="6"/>
      <c r="AW772" s="6"/>
    </row>
    <row r="773" spans="1:49">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R773" s="6"/>
      <c r="AS773" s="6"/>
      <c r="AT773" s="6"/>
      <c r="AU773" s="6"/>
      <c r="AV773" s="6"/>
      <c r="AW773" s="6"/>
    </row>
    <row r="774" spans="1:49">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R774" s="6"/>
      <c r="AS774" s="6"/>
      <c r="AT774" s="6"/>
      <c r="AU774" s="6"/>
      <c r="AV774" s="6"/>
      <c r="AW774" s="6"/>
    </row>
    <row r="775" spans="1:49">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R775" s="6"/>
      <c r="AS775" s="6"/>
      <c r="AT775" s="6"/>
      <c r="AU775" s="6"/>
      <c r="AV775" s="6"/>
      <c r="AW775" s="6"/>
    </row>
    <row r="776" spans="1:49">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R776" s="6"/>
      <c r="AS776" s="6"/>
      <c r="AT776" s="6"/>
      <c r="AU776" s="6"/>
      <c r="AV776" s="6"/>
      <c r="AW776" s="6"/>
    </row>
    <row r="777" spans="1:49">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R777" s="6"/>
      <c r="AS777" s="6"/>
      <c r="AT777" s="6"/>
      <c r="AU777" s="6"/>
      <c r="AV777" s="6"/>
      <c r="AW777" s="6"/>
    </row>
    <row r="778" spans="1:49">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R778" s="6"/>
      <c r="AS778" s="6"/>
      <c r="AT778" s="6"/>
      <c r="AU778" s="6"/>
      <c r="AV778" s="6"/>
      <c r="AW778" s="6"/>
    </row>
    <row r="779" spans="1:4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R779" s="6"/>
      <c r="AS779" s="6"/>
      <c r="AT779" s="6"/>
      <c r="AU779" s="6"/>
      <c r="AV779" s="6"/>
      <c r="AW779" s="6"/>
    </row>
    <row r="780" spans="1:49">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R780" s="6"/>
      <c r="AS780" s="6"/>
      <c r="AT780" s="6"/>
      <c r="AU780" s="6"/>
      <c r="AV780" s="6"/>
      <c r="AW780" s="6"/>
    </row>
    <row r="781" spans="1:49">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R781" s="6"/>
      <c r="AS781" s="6"/>
      <c r="AT781" s="6"/>
      <c r="AU781" s="6"/>
      <c r="AV781" s="6"/>
      <c r="AW781" s="6"/>
    </row>
    <row r="782" spans="1:49">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R782" s="6"/>
      <c r="AS782" s="6"/>
      <c r="AT782" s="6"/>
      <c r="AU782" s="6"/>
      <c r="AV782" s="6"/>
      <c r="AW782" s="6"/>
    </row>
    <row r="783" spans="1:49">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R783" s="6"/>
      <c r="AS783" s="6"/>
      <c r="AT783" s="6"/>
      <c r="AU783" s="6"/>
      <c r="AV783" s="6"/>
      <c r="AW783" s="6"/>
    </row>
    <row r="784" spans="1:49">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R784" s="6"/>
      <c r="AS784" s="6"/>
      <c r="AT784" s="6"/>
      <c r="AU784" s="6"/>
      <c r="AV784" s="6"/>
      <c r="AW784" s="6"/>
    </row>
    <row r="785" spans="1:49">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R785" s="6"/>
      <c r="AS785" s="6"/>
      <c r="AT785" s="6"/>
      <c r="AU785" s="6"/>
      <c r="AV785" s="6"/>
      <c r="AW785" s="6"/>
    </row>
    <row r="786" spans="1:49">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R786" s="6"/>
      <c r="AS786" s="6"/>
      <c r="AT786" s="6"/>
      <c r="AU786" s="6"/>
      <c r="AV786" s="6"/>
      <c r="AW786" s="6"/>
    </row>
    <row r="787" spans="1:49">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R787" s="6"/>
      <c r="AS787" s="6"/>
      <c r="AT787" s="6"/>
      <c r="AU787" s="6"/>
      <c r="AV787" s="6"/>
      <c r="AW787" s="6"/>
    </row>
    <row r="788" spans="1:49">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R788" s="6"/>
      <c r="AS788" s="6"/>
      <c r="AT788" s="6"/>
      <c r="AU788" s="6"/>
      <c r="AV788" s="6"/>
      <c r="AW788" s="6"/>
    </row>
    <row r="789" spans="1:4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R789" s="6"/>
      <c r="AS789" s="6"/>
      <c r="AT789" s="6"/>
      <c r="AU789" s="6"/>
      <c r="AV789" s="6"/>
      <c r="AW789" s="6"/>
    </row>
    <row r="790" spans="1:49">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R790" s="6"/>
      <c r="AS790" s="6"/>
      <c r="AT790" s="6"/>
      <c r="AU790" s="6"/>
      <c r="AV790" s="6"/>
      <c r="AW790" s="6"/>
    </row>
    <row r="791" spans="1:49">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R791" s="6"/>
      <c r="AS791" s="6"/>
      <c r="AT791" s="6"/>
      <c r="AU791" s="6"/>
      <c r="AV791" s="6"/>
      <c r="AW791" s="6"/>
    </row>
    <row r="792" spans="1:49">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R792" s="6"/>
      <c r="AS792" s="6"/>
      <c r="AT792" s="6"/>
      <c r="AU792" s="6"/>
      <c r="AV792" s="6"/>
      <c r="AW792" s="6"/>
    </row>
    <row r="793" spans="1:49">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R793" s="6"/>
      <c r="AS793" s="6"/>
      <c r="AT793" s="6"/>
      <c r="AU793" s="6"/>
      <c r="AV793" s="6"/>
      <c r="AW793" s="6"/>
    </row>
    <row r="794" spans="1:49">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R794" s="6"/>
      <c r="AS794" s="6"/>
      <c r="AT794" s="6"/>
      <c r="AU794" s="6"/>
      <c r="AV794" s="6"/>
      <c r="AW794" s="6"/>
    </row>
    <row r="795" spans="1:49">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R795" s="6"/>
      <c r="AS795" s="6"/>
      <c r="AT795" s="6"/>
      <c r="AU795" s="6"/>
      <c r="AV795" s="6"/>
      <c r="AW795" s="6"/>
    </row>
    <row r="796" spans="1:49">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R796" s="6"/>
      <c r="AS796" s="6"/>
      <c r="AT796" s="6"/>
      <c r="AU796" s="6"/>
      <c r="AV796" s="6"/>
      <c r="AW796" s="6"/>
    </row>
    <row r="797" spans="1:49">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R797" s="6"/>
      <c r="AS797" s="6"/>
      <c r="AT797" s="6"/>
      <c r="AU797" s="6"/>
      <c r="AV797" s="6"/>
      <c r="AW797" s="6"/>
    </row>
    <row r="798" spans="1:49">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R798" s="6"/>
      <c r="AS798" s="6"/>
      <c r="AT798" s="6"/>
      <c r="AU798" s="6"/>
      <c r="AV798" s="6"/>
      <c r="AW798" s="6"/>
    </row>
    <row r="799" spans="1:4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R799" s="6"/>
      <c r="AS799" s="6"/>
      <c r="AT799" s="6"/>
      <c r="AU799" s="6"/>
      <c r="AV799" s="6"/>
      <c r="AW799" s="6"/>
    </row>
    <row r="800" spans="1:49">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R800" s="6"/>
      <c r="AS800" s="6"/>
      <c r="AT800" s="6"/>
      <c r="AU800" s="6"/>
      <c r="AV800" s="6"/>
      <c r="AW800" s="6"/>
    </row>
    <row r="801" spans="1:49">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R801" s="6"/>
      <c r="AS801" s="6"/>
      <c r="AT801" s="6"/>
      <c r="AU801" s="6"/>
      <c r="AV801" s="6"/>
      <c r="AW801" s="6"/>
    </row>
    <row r="802" spans="1:49">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R802" s="6"/>
      <c r="AS802" s="6"/>
      <c r="AT802" s="6"/>
      <c r="AU802" s="6"/>
      <c r="AV802" s="6"/>
      <c r="AW802" s="6"/>
    </row>
    <row r="803" spans="1:49">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R803" s="6"/>
      <c r="AS803" s="6"/>
      <c r="AT803" s="6"/>
      <c r="AU803" s="6"/>
      <c r="AV803" s="6"/>
      <c r="AW803" s="6"/>
    </row>
    <row r="804" spans="1:49">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R804" s="6"/>
      <c r="AS804" s="6"/>
      <c r="AT804" s="6"/>
      <c r="AU804" s="6"/>
      <c r="AV804" s="6"/>
      <c r="AW804" s="6"/>
    </row>
    <row r="805" spans="1:49">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R805" s="6"/>
      <c r="AS805" s="6"/>
      <c r="AT805" s="6"/>
      <c r="AU805" s="6"/>
      <c r="AV805" s="6"/>
      <c r="AW805" s="6"/>
    </row>
    <row r="806" spans="1:49">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R806" s="6"/>
      <c r="AS806" s="6"/>
      <c r="AT806" s="6"/>
      <c r="AU806" s="6"/>
      <c r="AV806" s="6"/>
      <c r="AW806" s="6"/>
    </row>
    <row r="807" spans="1:49">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R807" s="6"/>
      <c r="AS807" s="6"/>
      <c r="AT807" s="6"/>
      <c r="AU807" s="6"/>
      <c r="AV807" s="6"/>
      <c r="AW807" s="6"/>
    </row>
    <row r="808" spans="1:49">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R808" s="6"/>
      <c r="AS808" s="6"/>
      <c r="AT808" s="6"/>
      <c r="AU808" s="6"/>
      <c r="AV808" s="6"/>
      <c r="AW808" s="6"/>
    </row>
    <row r="809" spans="1:4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R809" s="6"/>
      <c r="AS809" s="6"/>
      <c r="AT809" s="6"/>
      <c r="AU809" s="6"/>
      <c r="AV809" s="6"/>
      <c r="AW809" s="6"/>
    </row>
    <row r="810" spans="1:49">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R810" s="6"/>
      <c r="AS810" s="6"/>
      <c r="AT810" s="6"/>
      <c r="AU810" s="6"/>
      <c r="AV810" s="6"/>
      <c r="AW810" s="6"/>
    </row>
    <row r="811" spans="1:49">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R811" s="6"/>
      <c r="AS811" s="6"/>
      <c r="AT811" s="6"/>
      <c r="AU811" s="6"/>
      <c r="AV811" s="6"/>
      <c r="AW811" s="6"/>
    </row>
    <row r="812" spans="1:49">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R812" s="6"/>
      <c r="AS812" s="6"/>
      <c r="AT812" s="6"/>
      <c r="AU812" s="6"/>
      <c r="AV812" s="6"/>
      <c r="AW812" s="6"/>
    </row>
    <row r="813" spans="1:49">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R813" s="6"/>
      <c r="AS813" s="6"/>
      <c r="AT813" s="6"/>
      <c r="AU813" s="6"/>
      <c r="AV813" s="6"/>
      <c r="AW813" s="6"/>
    </row>
    <row r="814" spans="1:49">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R814" s="6"/>
      <c r="AS814" s="6"/>
      <c r="AT814" s="6"/>
      <c r="AU814" s="6"/>
      <c r="AV814" s="6"/>
      <c r="AW814" s="6"/>
    </row>
    <row r="815" spans="1:49">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R815" s="6"/>
      <c r="AS815" s="6"/>
      <c r="AT815" s="6"/>
      <c r="AU815" s="6"/>
      <c r="AV815" s="6"/>
      <c r="AW815" s="6"/>
    </row>
    <row r="816" spans="1:49">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R816" s="6"/>
      <c r="AS816" s="6"/>
      <c r="AT816" s="6"/>
      <c r="AU816" s="6"/>
      <c r="AV816" s="6"/>
      <c r="AW816" s="6"/>
    </row>
    <row r="817" spans="1:49">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R817" s="6"/>
      <c r="AS817" s="6"/>
      <c r="AT817" s="6"/>
      <c r="AU817" s="6"/>
      <c r="AV817" s="6"/>
      <c r="AW817" s="6"/>
    </row>
    <row r="818" spans="1:49">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R818" s="6"/>
      <c r="AS818" s="6"/>
      <c r="AT818" s="6"/>
      <c r="AU818" s="6"/>
      <c r="AV818" s="6"/>
      <c r="AW818" s="6"/>
    </row>
    <row r="819" spans="1:4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R819" s="6"/>
      <c r="AS819" s="6"/>
      <c r="AT819" s="6"/>
      <c r="AU819" s="6"/>
      <c r="AV819" s="6"/>
      <c r="AW819" s="6"/>
    </row>
    <row r="820" spans="1:49">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R820" s="6"/>
      <c r="AS820" s="6"/>
      <c r="AT820" s="6"/>
      <c r="AU820" s="6"/>
      <c r="AV820" s="6"/>
      <c r="AW820" s="6"/>
    </row>
    <row r="821" spans="1:49">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R821" s="6"/>
      <c r="AS821" s="6"/>
      <c r="AT821" s="6"/>
      <c r="AU821" s="6"/>
      <c r="AV821" s="6"/>
      <c r="AW821" s="6"/>
    </row>
    <row r="822" spans="1:49">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R822" s="6"/>
      <c r="AS822" s="6"/>
      <c r="AT822" s="6"/>
      <c r="AU822" s="6"/>
      <c r="AV822" s="6"/>
      <c r="AW822" s="6"/>
    </row>
    <row r="823" spans="1:49">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R823" s="6"/>
      <c r="AS823" s="6"/>
      <c r="AT823" s="6"/>
      <c r="AU823" s="6"/>
      <c r="AV823" s="6"/>
      <c r="AW823" s="6"/>
    </row>
    <row r="824" spans="1:49">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R824" s="6"/>
      <c r="AS824" s="6"/>
      <c r="AT824" s="6"/>
      <c r="AU824" s="6"/>
      <c r="AV824" s="6"/>
      <c r="AW824" s="6"/>
    </row>
    <row r="825" spans="1:49">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R825" s="6"/>
      <c r="AS825" s="6"/>
      <c r="AT825" s="6"/>
      <c r="AU825" s="6"/>
      <c r="AV825" s="6"/>
      <c r="AW825" s="6"/>
    </row>
    <row r="826" spans="1:49">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R826" s="6"/>
      <c r="AS826" s="6"/>
      <c r="AT826" s="6"/>
      <c r="AU826" s="6"/>
      <c r="AV826" s="6"/>
      <c r="AW826" s="6"/>
    </row>
    <row r="827" spans="1:49">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R827" s="6"/>
      <c r="AS827" s="6"/>
      <c r="AT827" s="6"/>
      <c r="AU827" s="6"/>
      <c r="AV827" s="6"/>
      <c r="AW827" s="6"/>
    </row>
    <row r="828" spans="1:49">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R828" s="6"/>
      <c r="AS828" s="6"/>
      <c r="AT828" s="6"/>
      <c r="AU828" s="6"/>
      <c r="AV828" s="6"/>
      <c r="AW828" s="6"/>
    </row>
    <row r="829" spans="1:4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R829" s="6"/>
      <c r="AS829" s="6"/>
      <c r="AT829" s="6"/>
      <c r="AU829" s="6"/>
      <c r="AV829" s="6"/>
      <c r="AW829" s="6"/>
    </row>
    <row r="830" spans="1:49">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R830" s="6"/>
      <c r="AS830" s="6"/>
      <c r="AT830" s="6"/>
      <c r="AU830" s="6"/>
      <c r="AV830" s="6"/>
      <c r="AW830" s="6"/>
    </row>
    <row r="831" spans="1:49">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R831" s="6"/>
      <c r="AS831" s="6"/>
      <c r="AT831" s="6"/>
      <c r="AU831" s="6"/>
      <c r="AV831" s="6"/>
      <c r="AW831" s="6"/>
    </row>
    <row r="832" spans="1:49">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R832" s="6"/>
      <c r="AS832" s="6"/>
      <c r="AT832" s="6"/>
      <c r="AU832" s="6"/>
      <c r="AV832" s="6"/>
      <c r="AW832" s="6"/>
    </row>
    <row r="833" spans="1:49">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R833" s="6"/>
      <c r="AS833" s="6"/>
      <c r="AT833" s="6"/>
      <c r="AU833" s="6"/>
      <c r="AV833" s="6"/>
      <c r="AW833" s="6"/>
    </row>
    <row r="834" spans="1:49">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R834" s="6"/>
      <c r="AS834" s="6"/>
      <c r="AT834" s="6"/>
      <c r="AU834" s="6"/>
      <c r="AV834" s="6"/>
      <c r="AW834" s="6"/>
    </row>
    <row r="835" spans="1:49">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R835" s="6"/>
      <c r="AS835" s="6"/>
      <c r="AT835" s="6"/>
      <c r="AU835" s="6"/>
      <c r="AV835" s="6"/>
      <c r="AW835" s="6"/>
    </row>
    <row r="836" spans="1:49">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R836" s="6"/>
      <c r="AS836" s="6"/>
      <c r="AT836" s="6"/>
      <c r="AU836" s="6"/>
      <c r="AV836" s="6"/>
      <c r="AW836" s="6"/>
    </row>
    <row r="837" spans="1:49">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R837" s="6"/>
      <c r="AS837" s="6"/>
      <c r="AT837" s="6"/>
      <c r="AU837" s="6"/>
      <c r="AV837" s="6"/>
      <c r="AW837" s="6"/>
    </row>
    <row r="838" spans="1:49">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R838" s="6"/>
      <c r="AS838" s="6"/>
      <c r="AT838" s="6"/>
      <c r="AU838" s="6"/>
      <c r="AV838" s="6"/>
      <c r="AW838" s="6"/>
    </row>
    <row r="839" spans="1:4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R839" s="6"/>
      <c r="AS839" s="6"/>
      <c r="AT839" s="6"/>
      <c r="AU839" s="6"/>
      <c r="AV839" s="6"/>
      <c r="AW839" s="6"/>
    </row>
    <row r="840" spans="1:49">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R840" s="6"/>
      <c r="AS840" s="6"/>
      <c r="AT840" s="6"/>
      <c r="AU840" s="6"/>
      <c r="AV840" s="6"/>
      <c r="AW840" s="6"/>
    </row>
    <row r="841" spans="1:49">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R841" s="6"/>
      <c r="AS841" s="6"/>
      <c r="AT841" s="6"/>
      <c r="AU841" s="6"/>
      <c r="AV841" s="6"/>
      <c r="AW841" s="6"/>
    </row>
    <row r="842" spans="1:49">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R842" s="6"/>
      <c r="AS842" s="6"/>
      <c r="AT842" s="6"/>
      <c r="AU842" s="6"/>
      <c r="AV842" s="6"/>
      <c r="AW842" s="6"/>
    </row>
    <row r="843" spans="1:49">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R843" s="6"/>
      <c r="AS843" s="6"/>
      <c r="AT843" s="6"/>
      <c r="AU843" s="6"/>
      <c r="AV843" s="6"/>
      <c r="AW843" s="6"/>
    </row>
    <row r="844" spans="1:49">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R844" s="6"/>
      <c r="AS844" s="6"/>
      <c r="AT844" s="6"/>
      <c r="AU844" s="6"/>
      <c r="AV844" s="6"/>
      <c r="AW844" s="6"/>
    </row>
    <row r="845" spans="1:49">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R845" s="6"/>
      <c r="AS845" s="6"/>
      <c r="AT845" s="6"/>
      <c r="AU845" s="6"/>
      <c r="AV845" s="6"/>
      <c r="AW845" s="6"/>
    </row>
    <row r="846" spans="1:49">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R846" s="6"/>
      <c r="AS846" s="6"/>
      <c r="AT846" s="6"/>
      <c r="AU846" s="6"/>
      <c r="AV846" s="6"/>
      <c r="AW846" s="6"/>
    </row>
    <row r="847" spans="1:49">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R847" s="6"/>
      <c r="AS847" s="6"/>
      <c r="AT847" s="6"/>
      <c r="AU847" s="6"/>
      <c r="AV847" s="6"/>
      <c r="AW847" s="6"/>
    </row>
    <row r="848" spans="1:49">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R848" s="6"/>
      <c r="AS848" s="6"/>
      <c r="AT848" s="6"/>
      <c r="AU848" s="6"/>
      <c r="AV848" s="6"/>
      <c r="AW848" s="6"/>
    </row>
    <row r="849" spans="1: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R849" s="6"/>
      <c r="AS849" s="6"/>
      <c r="AT849" s="6"/>
      <c r="AU849" s="6"/>
      <c r="AV849" s="6"/>
      <c r="AW849" s="6"/>
    </row>
    <row r="850" spans="1:49">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R850" s="6"/>
      <c r="AS850" s="6"/>
      <c r="AT850" s="6"/>
      <c r="AU850" s="6"/>
      <c r="AV850" s="6"/>
      <c r="AW850" s="6"/>
    </row>
    <row r="851" spans="1:49">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R851" s="6"/>
      <c r="AS851" s="6"/>
      <c r="AT851" s="6"/>
      <c r="AU851" s="6"/>
      <c r="AV851" s="6"/>
      <c r="AW851" s="6"/>
    </row>
    <row r="852" spans="1:49">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R852" s="6"/>
      <c r="AS852" s="6"/>
      <c r="AT852" s="6"/>
      <c r="AU852" s="6"/>
      <c r="AV852" s="6"/>
      <c r="AW852" s="6"/>
    </row>
    <row r="853" spans="1:49">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R853" s="6"/>
      <c r="AS853" s="6"/>
      <c r="AT853" s="6"/>
      <c r="AU853" s="6"/>
      <c r="AV853" s="6"/>
      <c r="AW853" s="6"/>
    </row>
    <row r="854" spans="1:49">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R854" s="6"/>
      <c r="AS854" s="6"/>
      <c r="AT854" s="6"/>
      <c r="AU854" s="6"/>
      <c r="AV854" s="6"/>
      <c r="AW854" s="6"/>
    </row>
    <row r="855" spans="1:49">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R855" s="6"/>
      <c r="AS855" s="6"/>
      <c r="AT855" s="6"/>
      <c r="AU855" s="6"/>
      <c r="AV855" s="6"/>
      <c r="AW855" s="6"/>
    </row>
    <row r="856" spans="1:49">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R856" s="6"/>
      <c r="AS856" s="6"/>
      <c r="AT856" s="6"/>
      <c r="AU856" s="6"/>
      <c r="AV856" s="6"/>
      <c r="AW856" s="6"/>
    </row>
    <row r="857" spans="1:49">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R857" s="6"/>
      <c r="AS857" s="6"/>
      <c r="AT857" s="6"/>
      <c r="AU857" s="6"/>
      <c r="AV857" s="6"/>
      <c r="AW857" s="6"/>
    </row>
    <row r="858" spans="1:49">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R858" s="6"/>
      <c r="AS858" s="6"/>
      <c r="AT858" s="6"/>
      <c r="AU858" s="6"/>
      <c r="AV858" s="6"/>
      <c r="AW858" s="6"/>
    </row>
    <row r="859" spans="1:4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R859" s="6"/>
      <c r="AS859" s="6"/>
      <c r="AT859" s="6"/>
      <c r="AU859" s="6"/>
      <c r="AV859" s="6"/>
      <c r="AW859" s="6"/>
    </row>
    <row r="860" spans="1:49">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R860" s="6"/>
      <c r="AS860" s="6"/>
      <c r="AT860" s="6"/>
      <c r="AU860" s="6"/>
      <c r="AV860" s="6"/>
      <c r="AW860" s="6"/>
    </row>
    <row r="861" spans="1:49">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R861" s="6"/>
      <c r="AS861" s="6"/>
      <c r="AT861" s="6"/>
      <c r="AU861" s="6"/>
      <c r="AV861" s="6"/>
      <c r="AW861" s="6"/>
    </row>
    <row r="862" spans="1:49">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R862" s="6"/>
      <c r="AS862" s="6"/>
      <c r="AT862" s="6"/>
      <c r="AU862" s="6"/>
      <c r="AV862" s="6"/>
      <c r="AW862" s="6"/>
    </row>
    <row r="863" spans="1:49">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R863" s="6"/>
      <c r="AS863" s="6"/>
      <c r="AT863" s="6"/>
      <c r="AU863" s="6"/>
      <c r="AV863" s="6"/>
      <c r="AW863" s="6"/>
    </row>
    <row r="864" spans="1:49">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R864" s="6"/>
      <c r="AS864" s="6"/>
      <c r="AT864" s="6"/>
      <c r="AU864" s="6"/>
      <c r="AV864" s="6"/>
      <c r="AW864" s="6"/>
    </row>
    <row r="865" spans="1:49">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R865" s="6"/>
      <c r="AS865" s="6"/>
      <c r="AT865" s="6"/>
      <c r="AU865" s="6"/>
      <c r="AV865" s="6"/>
      <c r="AW865" s="6"/>
    </row>
    <row r="866" spans="1:49">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R866" s="6"/>
      <c r="AS866" s="6"/>
      <c r="AT866" s="6"/>
      <c r="AU866" s="6"/>
      <c r="AV866" s="6"/>
      <c r="AW866" s="6"/>
    </row>
    <row r="867" spans="1:49">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R867" s="6"/>
      <c r="AS867" s="6"/>
      <c r="AT867" s="6"/>
      <c r="AU867" s="6"/>
      <c r="AV867" s="6"/>
      <c r="AW867" s="6"/>
    </row>
    <row r="868" spans="1:49">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R868" s="6"/>
      <c r="AS868" s="6"/>
      <c r="AT868" s="6"/>
      <c r="AU868" s="6"/>
      <c r="AV868" s="6"/>
      <c r="AW868" s="6"/>
    </row>
    <row r="869" spans="1:4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R869" s="6"/>
      <c r="AS869" s="6"/>
      <c r="AT869" s="6"/>
      <c r="AU869" s="6"/>
      <c r="AV869" s="6"/>
      <c r="AW869" s="6"/>
    </row>
    <row r="870" spans="1:49">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R870" s="6"/>
      <c r="AS870" s="6"/>
      <c r="AT870" s="6"/>
      <c r="AU870" s="6"/>
      <c r="AV870" s="6"/>
      <c r="AW870" s="6"/>
    </row>
    <row r="871" spans="1:49">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R871" s="6"/>
      <c r="AS871" s="6"/>
      <c r="AT871" s="6"/>
      <c r="AU871" s="6"/>
      <c r="AV871" s="6"/>
      <c r="AW871" s="6"/>
    </row>
    <row r="872" spans="1:49">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R872" s="6"/>
      <c r="AS872" s="6"/>
      <c r="AT872" s="6"/>
      <c r="AU872" s="6"/>
      <c r="AV872" s="6"/>
      <c r="AW872" s="6"/>
    </row>
    <row r="873" spans="1:49">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R873" s="6"/>
      <c r="AS873" s="6"/>
      <c r="AT873" s="6"/>
      <c r="AU873" s="6"/>
      <c r="AV873" s="6"/>
      <c r="AW873" s="6"/>
    </row>
    <row r="874" spans="1:49">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R874" s="6"/>
      <c r="AS874" s="6"/>
      <c r="AT874" s="6"/>
      <c r="AU874" s="6"/>
      <c r="AV874" s="6"/>
      <c r="AW874" s="6"/>
    </row>
    <row r="875" spans="1:49">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R875" s="6"/>
      <c r="AS875" s="6"/>
      <c r="AT875" s="6"/>
      <c r="AU875" s="6"/>
      <c r="AV875" s="6"/>
      <c r="AW875" s="6"/>
    </row>
    <row r="876" spans="1:49">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R876" s="6"/>
      <c r="AS876" s="6"/>
      <c r="AT876" s="6"/>
      <c r="AU876" s="6"/>
      <c r="AV876" s="6"/>
      <c r="AW876" s="6"/>
    </row>
    <row r="877" spans="1:49">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R877" s="6"/>
      <c r="AS877" s="6"/>
      <c r="AT877" s="6"/>
      <c r="AU877" s="6"/>
      <c r="AV877" s="6"/>
      <c r="AW877" s="6"/>
    </row>
    <row r="878" spans="1:49">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R878" s="6"/>
      <c r="AS878" s="6"/>
      <c r="AT878" s="6"/>
      <c r="AU878" s="6"/>
      <c r="AV878" s="6"/>
      <c r="AW878" s="6"/>
    </row>
    <row r="879" spans="1:4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R879" s="6"/>
      <c r="AS879" s="6"/>
      <c r="AT879" s="6"/>
      <c r="AU879" s="6"/>
      <c r="AV879" s="6"/>
      <c r="AW879" s="6"/>
    </row>
    <row r="880" spans="1:49">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R880" s="6"/>
      <c r="AS880" s="6"/>
      <c r="AT880" s="6"/>
      <c r="AU880" s="6"/>
      <c r="AV880" s="6"/>
      <c r="AW880" s="6"/>
    </row>
    <row r="881" spans="1:49">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R881" s="6"/>
      <c r="AS881" s="6"/>
      <c r="AT881" s="6"/>
      <c r="AU881" s="6"/>
      <c r="AV881" s="6"/>
      <c r="AW881" s="6"/>
    </row>
    <row r="882" spans="1:49">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R882" s="6"/>
      <c r="AS882" s="6"/>
      <c r="AT882" s="6"/>
      <c r="AU882" s="6"/>
      <c r="AV882" s="6"/>
      <c r="AW882" s="6"/>
    </row>
    <row r="883" spans="1:49">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R883" s="6"/>
      <c r="AS883" s="6"/>
      <c r="AT883" s="6"/>
      <c r="AU883" s="6"/>
      <c r="AV883" s="6"/>
      <c r="AW883" s="6"/>
    </row>
    <row r="884" spans="1:49">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R884" s="6"/>
      <c r="AS884" s="6"/>
      <c r="AT884" s="6"/>
      <c r="AU884" s="6"/>
      <c r="AV884" s="6"/>
      <c r="AW884" s="6"/>
    </row>
    <row r="885" spans="1:49">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R885" s="6"/>
      <c r="AS885" s="6"/>
      <c r="AT885" s="6"/>
      <c r="AU885" s="6"/>
      <c r="AV885" s="6"/>
      <c r="AW885" s="6"/>
    </row>
    <row r="886" spans="1:49">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R886" s="6"/>
      <c r="AS886" s="6"/>
      <c r="AT886" s="6"/>
      <c r="AU886" s="6"/>
      <c r="AV886" s="6"/>
      <c r="AW886" s="6"/>
    </row>
    <row r="887" spans="1:49">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R887" s="6"/>
      <c r="AS887" s="6"/>
      <c r="AT887" s="6"/>
      <c r="AU887" s="6"/>
      <c r="AV887" s="6"/>
      <c r="AW887" s="6"/>
    </row>
    <row r="888" spans="1:49">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R888" s="6"/>
      <c r="AS888" s="6"/>
      <c r="AT888" s="6"/>
      <c r="AU888" s="6"/>
      <c r="AV888" s="6"/>
      <c r="AW888" s="6"/>
    </row>
    <row r="889" spans="1:4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R889" s="6"/>
      <c r="AS889" s="6"/>
      <c r="AT889" s="6"/>
      <c r="AU889" s="6"/>
      <c r="AV889" s="6"/>
      <c r="AW889" s="6"/>
    </row>
    <row r="890" spans="1:49">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R890" s="6"/>
      <c r="AS890" s="6"/>
      <c r="AT890" s="6"/>
      <c r="AU890" s="6"/>
      <c r="AV890" s="6"/>
      <c r="AW890" s="6"/>
    </row>
    <row r="891" spans="1:49">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R891" s="6"/>
      <c r="AS891" s="6"/>
      <c r="AT891" s="6"/>
      <c r="AU891" s="6"/>
      <c r="AV891" s="6"/>
      <c r="AW891" s="6"/>
    </row>
    <row r="892" spans="1:49">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R892" s="6"/>
      <c r="AS892" s="6"/>
      <c r="AT892" s="6"/>
      <c r="AU892" s="6"/>
      <c r="AV892" s="6"/>
      <c r="AW892" s="6"/>
    </row>
    <row r="893" spans="1:49">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R893" s="6"/>
      <c r="AS893" s="6"/>
      <c r="AT893" s="6"/>
      <c r="AU893" s="6"/>
      <c r="AV893" s="6"/>
      <c r="AW893" s="6"/>
    </row>
    <row r="894" spans="1:49">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R894" s="6"/>
      <c r="AS894" s="6"/>
      <c r="AT894" s="6"/>
      <c r="AU894" s="6"/>
      <c r="AV894" s="6"/>
      <c r="AW894" s="6"/>
    </row>
    <row r="895" spans="1:49">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R895" s="6"/>
      <c r="AS895" s="6"/>
      <c r="AT895" s="6"/>
      <c r="AU895" s="6"/>
      <c r="AV895" s="6"/>
      <c r="AW895" s="6"/>
    </row>
    <row r="896" spans="1:49">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R896" s="6"/>
      <c r="AS896" s="6"/>
      <c r="AT896" s="6"/>
      <c r="AU896" s="6"/>
      <c r="AV896" s="6"/>
      <c r="AW896" s="6"/>
    </row>
    <row r="897" spans="1:49">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R897" s="6"/>
      <c r="AS897" s="6"/>
      <c r="AT897" s="6"/>
      <c r="AU897" s="6"/>
      <c r="AV897" s="6"/>
      <c r="AW897" s="6"/>
    </row>
    <row r="898" spans="1:49">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R898" s="6"/>
      <c r="AS898" s="6"/>
      <c r="AT898" s="6"/>
      <c r="AU898" s="6"/>
      <c r="AV898" s="6"/>
      <c r="AW898" s="6"/>
    </row>
    <row r="899" spans="1:4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R899" s="6"/>
      <c r="AS899" s="6"/>
      <c r="AT899" s="6"/>
      <c r="AU899" s="6"/>
      <c r="AV899" s="6"/>
      <c r="AW899" s="6"/>
    </row>
    <row r="900" spans="1:49">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R900" s="6"/>
      <c r="AS900" s="6"/>
      <c r="AT900" s="6"/>
      <c r="AU900" s="6"/>
      <c r="AV900" s="6"/>
      <c r="AW900" s="6"/>
    </row>
    <row r="901" spans="1:49">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R901" s="6"/>
      <c r="AS901" s="6"/>
      <c r="AT901" s="6"/>
      <c r="AU901" s="6"/>
      <c r="AV901" s="6"/>
      <c r="AW901" s="6"/>
    </row>
    <row r="902" spans="1:49">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R902" s="6"/>
      <c r="AS902" s="6"/>
      <c r="AT902" s="6"/>
      <c r="AU902" s="6"/>
      <c r="AV902" s="6"/>
      <c r="AW902" s="6"/>
    </row>
    <row r="903" spans="1:49">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R903" s="6"/>
      <c r="AS903" s="6"/>
      <c r="AT903" s="6"/>
      <c r="AU903" s="6"/>
      <c r="AV903" s="6"/>
      <c r="AW903" s="6"/>
    </row>
    <row r="904" spans="1:49">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R904" s="6"/>
      <c r="AS904" s="6"/>
      <c r="AT904" s="6"/>
      <c r="AU904" s="6"/>
      <c r="AV904" s="6"/>
      <c r="AW904" s="6"/>
    </row>
    <row r="905" spans="1:49">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R905" s="6"/>
      <c r="AS905" s="6"/>
      <c r="AT905" s="6"/>
      <c r="AU905" s="6"/>
      <c r="AV905" s="6"/>
      <c r="AW905" s="6"/>
    </row>
    <row r="906" spans="1:49">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R906" s="6"/>
      <c r="AS906" s="6"/>
      <c r="AT906" s="6"/>
      <c r="AU906" s="6"/>
      <c r="AV906" s="6"/>
      <c r="AW906" s="6"/>
    </row>
    <row r="907" spans="1:49">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R907" s="6"/>
      <c r="AS907" s="6"/>
      <c r="AT907" s="6"/>
      <c r="AU907" s="6"/>
      <c r="AV907" s="6"/>
      <c r="AW907" s="6"/>
    </row>
    <row r="908" spans="1:49">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R908" s="6"/>
      <c r="AS908" s="6"/>
      <c r="AT908" s="6"/>
      <c r="AU908" s="6"/>
      <c r="AV908" s="6"/>
      <c r="AW908" s="6"/>
    </row>
    <row r="909" spans="1:4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R909" s="6"/>
      <c r="AS909" s="6"/>
      <c r="AT909" s="6"/>
      <c r="AU909" s="6"/>
      <c r="AV909" s="6"/>
      <c r="AW909" s="6"/>
    </row>
    <row r="910" spans="1:49">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R910" s="6"/>
      <c r="AS910" s="6"/>
      <c r="AT910" s="6"/>
      <c r="AU910" s="6"/>
      <c r="AV910" s="6"/>
      <c r="AW910" s="6"/>
    </row>
    <row r="911" spans="1:49">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R911" s="6"/>
      <c r="AS911" s="6"/>
      <c r="AT911" s="6"/>
      <c r="AU911" s="6"/>
      <c r="AV911" s="6"/>
      <c r="AW911" s="6"/>
    </row>
    <row r="912" spans="1:49">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R912" s="6"/>
      <c r="AS912" s="6"/>
      <c r="AT912" s="6"/>
      <c r="AU912" s="6"/>
      <c r="AV912" s="6"/>
      <c r="AW912" s="6"/>
    </row>
    <row r="913" spans="1:49">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R913" s="6"/>
      <c r="AS913" s="6"/>
      <c r="AT913" s="6"/>
      <c r="AU913" s="6"/>
      <c r="AV913" s="6"/>
      <c r="AW913" s="6"/>
    </row>
    <row r="914" spans="1:49">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R914" s="6"/>
      <c r="AS914" s="6"/>
      <c r="AT914" s="6"/>
      <c r="AU914" s="6"/>
      <c r="AV914" s="6"/>
      <c r="AW914" s="6"/>
    </row>
    <row r="915" spans="1:49">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R915" s="6"/>
      <c r="AS915" s="6"/>
      <c r="AT915" s="6"/>
      <c r="AU915" s="6"/>
      <c r="AV915" s="6"/>
      <c r="AW915" s="6"/>
    </row>
    <row r="916" spans="1:49">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R916" s="6"/>
      <c r="AS916" s="6"/>
      <c r="AT916" s="6"/>
      <c r="AU916" s="6"/>
      <c r="AV916" s="6"/>
      <c r="AW916" s="6"/>
    </row>
    <row r="917" spans="1:49">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R917" s="6"/>
      <c r="AS917" s="6"/>
      <c r="AT917" s="6"/>
      <c r="AU917" s="6"/>
      <c r="AV917" s="6"/>
      <c r="AW917" s="6"/>
    </row>
    <row r="918" spans="1:49">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R918" s="6"/>
      <c r="AS918" s="6"/>
      <c r="AT918" s="6"/>
      <c r="AU918" s="6"/>
      <c r="AV918" s="6"/>
      <c r="AW918" s="6"/>
    </row>
    <row r="919" spans="1:4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R919" s="6"/>
      <c r="AS919" s="6"/>
      <c r="AT919" s="6"/>
      <c r="AU919" s="6"/>
      <c r="AV919" s="6"/>
      <c r="AW919" s="6"/>
    </row>
    <row r="920" spans="1:49">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R920" s="6"/>
      <c r="AS920" s="6"/>
      <c r="AT920" s="6"/>
      <c r="AU920" s="6"/>
      <c r="AV920" s="6"/>
      <c r="AW920" s="6"/>
    </row>
    <row r="921" spans="1:49">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R921" s="6"/>
      <c r="AS921" s="6"/>
      <c r="AT921" s="6"/>
      <c r="AU921" s="6"/>
      <c r="AV921" s="6"/>
      <c r="AW921" s="6"/>
    </row>
    <row r="922" spans="1:49">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R922" s="6"/>
      <c r="AS922" s="6"/>
      <c r="AT922" s="6"/>
      <c r="AU922" s="6"/>
      <c r="AV922" s="6"/>
      <c r="AW922" s="6"/>
    </row>
    <row r="923" spans="1:49">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R923" s="6"/>
      <c r="AS923" s="6"/>
      <c r="AT923" s="6"/>
      <c r="AU923" s="6"/>
      <c r="AV923" s="6"/>
      <c r="AW923" s="6"/>
    </row>
    <row r="924" spans="1:49">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R924" s="6"/>
      <c r="AS924" s="6"/>
      <c r="AT924" s="6"/>
      <c r="AU924" s="6"/>
      <c r="AV924" s="6"/>
      <c r="AW924" s="6"/>
    </row>
    <row r="925" spans="1:49">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R925" s="6"/>
      <c r="AS925" s="6"/>
      <c r="AT925" s="6"/>
      <c r="AU925" s="6"/>
      <c r="AV925" s="6"/>
      <c r="AW925" s="6"/>
    </row>
    <row r="926" spans="1:49">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R926" s="6"/>
      <c r="AS926" s="6"/>
      <c r="AT926" s="6"/>
      <c r="AU926" s="6"/>
      <c r="AV926" s="6"/>
      <c r="AW926" s="6"/>
    </row>
    <row r="927" spans="1:49">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R927" s="6"/>
      <c r="AS927" s="6"/>
      <c r="AT927" s="6"/>
      <c r="AU927" s="6"/>
      <c r="AV927" s="6"/>
      <c r="AW927" s="6"/>
    </row>
    <row r="928" spans="1:49">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R928" s="6"/>
      <c r="AS928" s="6"/>
      <c r="AT928" s="6"/>
      <c r="AU928" s="6"/>
      <c r="AV928" s="6"/>
      <c r="AW928" s="6"/>
    </row>
    <row r="929" spans="1:4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R929" s="6"/>
      <c r="AS929" s="6"/>
      <c r="AT929" s="6"/>
      <c r="AU929" s="6"/>
      <c r="AV929" s="6"/>
      <c r="AW929" s="6"/>
    </row>
    <row r="930" spans="1:49">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R930" s="6"/>
      <c r="AS930" s="6"/>
      <c r="AT930" s="6"/>
      <c r="AU930" s="6"/>
      <c r="AV930" s="6"/>
      <c r="AW930" s="6"/>
    </row>
    <row r="931" spans="1:49">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R931" s="6"/>
      <c r="AS931" s="6"/>
      <c r="AT931" s="6"/>
      <c r="AU931" s="6"/>
      <c r="AV931" s="6"/>
      <c r="AW931" s="6"/>
    </row>
    <row r="932" spans="1:49">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R932" s="6"/>
      <c r="AS932" s="6"/>
      <c r="AT932" s="6"/>
      <c r="AU932" s="6"/>
      <c r="AV932" s="6"/>
      <c r="AW932" s="6"/>
    </row>
    <row r="933" spans="1:49">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R933" s="6"/>
      <c r="AS933" s="6"/>
      <c r="AT933" s="6"/>
      <c r="AU933" s="6"/>
      <c r="AV933" s="6"/>
      <c r="AW933" s="6"/>
    </row>
    <row r="934" spans="1:49">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R934" s="6"/>
      <c r="AS934" s="6"/>
      <c r="AT934" s="6"/>
      <c r="AU934" s="6"/>
      <c r="AV934" s="6"/>
      <c r="AW934" s="6"/>
    </row>
    <row r="935" spans="1:49">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R935" s="6"/>
      <c r="AS935" s="6"/>
      <c r="AT935" s="6"/>
      <c r="AU935" s="6"/>
      <c r="AV935" s="6"/>
      <c r="AW935" s="6"/>
    </row>
    <row r="936" spans="1:49">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R936" s="6"/>
      <c r="AS936" s="6"/>
      <c r="AT936" s="6"/>
      <c r="AU936" s="6"/>
      <c r="AV936" s="6"/>
      <c r="AW936" s="6"/>
    </row>
    <row r="937" spans="1:49">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R937" s="6"/>
      <c r="AS937" s="6"/>
      <c r="AT937" s="6"/>
      <c r="AU937" s="6"/>
      <c r="AV937" s="6"/>
      <c r="AW937" s="6"/>
    </row>
    <row r="938" spans="1:49">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R938" s="6"/>
      <c r="AS938" s="6"/>
      <c r="AT938" s="6"/>
      <c r="AU938" s="6"/>
      <c r="AV938" s="6"/>
      <c r="AW938" s="6"/>
    </row>
    <row r="939" spans="1:4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R939" s="6"/>
      <c r="AS939" s="6"/>
      <c r="AT939" s="6"/>
      <c r="AU939" s="6"/>
      <c r="AV939" s="6"/>
      <c r="AW939" s="6"/>
    </row>
    <row r="940" spans="1:49">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R940" s="6"/>
      <c r="AS940" s="6"/>
      <c r="AT940" s="6"/>
      <c r="AU940" s="6"/>
      <c r="AV940" s="6"/>
      <c r="AW940" s="6"/>
    </row>
    <row r="941" spans="1:49">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R941" s="6"/>
      <c r="AS941" s="6"/>
      <c r="AT941" s="6"/>
      <c r="AU941" s="6"/>
      <c r="AV941" s="6"/>
      <c r="AW941" s="6"/>
    </row>
    <row r="942" spans="1:49">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R942" s="6"/>
      <c r="AS942" s="6"/>
      <c r="AT942" s="6"/>
      <c r="AU942" s="6"/>
      <c r="AV942" s="6"/>
      <c r="AW942" s="6"/>
    </row>
    <row r="943" spans="1:49">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R943" s="6"/>
      <c r="AS943" s="6"/>
      <c r="AT943" s="6"/>
      <c r="AU943" s="6"/>
      <c r="AV943" s="6"/>
      <c r="AW943" s="6"/>
    </row>
    <row r="944" spans="1:49">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R944" s="6"/>
      <c r="AS944" s="6"/>
      <c r="AT944" s="6"/>
      <c r="AU944" s="6"/>
      <c r="AV944" s="6"/>
      <c r="AW944" s="6"/>
    </row>
    <row r="945" spans="1:49">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R945" s="6"/>
      <c r="AS945" s="6"/>
      <c r="AT945" s="6"/>
      <c r="AU945" s="6"/>
      <c r="AV945" s="6"/>
      <c r="AW945" s="6"/>
    </row>
    <row r="946" spans="1:49">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R946" s="6"/>
      <c r="AS946" s="6"/>
      <c r="AT946" s="6"/>
      <c r="AU946" s="6"/>
      <c r="AV946" s="6"/>
      <c r="AW946" s="6"/>
    </row>
    <row r="947" spans="1:49">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R947" s="6"/>
      <c r="AS947" s="6"/>
      <c r="AT947" s="6"/>
      <c r="AU947" s="6"/>
      <c r="AV947" s="6"/>
      <c r="AW947" s="6"/>
    </row>
    <row r="948" spans="1:49">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R948" s="6"/>
      <c r="AS948" s="6"/>
      <c r="AT948" s="6"/>
      <c r="AU948" s="6"/>
      <c r="AV948" s="6"/>
      <c r="AW948" s="6"/>
    </row>
    <row r="949" spans="1: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R949" s="6"/>
      <c r="AS949" s="6"/>
      <c r="AT949" s="6"/>
      <c r="AU949" s="6"/>
      <c r="AV949" s="6"/>
      <c r="AW949" s="6"/>
    </row>
    <row r="950" spans="1:49">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R950" s="6"/>
      <c r="AS950" s="6"/>
      <c r="AT950" s="6"/>
      <c r="AU950" s="6"/>
      <c r="AV950" s="6"/>
      <c r="AW950" s="6"/>
    </row>
    <row r="951" spans="1:49">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R951" s="6"/>
      <c r="AS951" s="6"/>
      <c r="AT951" s="6"/>
      <c r="AU951" s="6"/>
      <c r="AV951" s="6"/>
      <c r="AW951" s="6"/>
    </row>
    <row r="952" spans="1:49">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R952" s="6"/>
      <c r="AS952" s="6"/>
      <c r="AT952" s="6"/>
      <c r="AU952" s="6"/>
      <c r="AV952" s="6"/>
      <c r="AW952" s="6"/>
    </row>
    <row r="953" spans="1:49">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R953" s="6"/>
      <c r="AS953" s="6"/>
      <c r="AT953" s="6"/>
      <c r="AU953" s="6"/>
      <c r="AV953" s="6"/>
      <c r="AW953" s="6"/>
    </row>
    <row r="954" spans="1:49">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R954" s="6"/>
      <c r="AS954" s="6"/>
      <c r="AT954" s="6"/>
      <c r="AU954" s="6"/>
      <c r="AV954" s="6"/>
      <c r="AW954" s="6"/>
    </row>
    <row r="955" spans="1:49">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R955" s="6"/>
      <c r="AS955" s="6"/>
      <c r="AT955" s="6"/>
      <c r="AU955" s="6"/>
      <c r="AV955" s="6"/>
      <c r="AW955" s="6"/>
    </row>
    <row r="956" spans="1:49">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R956" s="6"/>
      <c r="AS956" s="6"/>
      <c r="AT956" s="6"/>
      <c r="AU956" s="6"/>
      <c r="AV956" s="6"/>
      <c r="AW956" s="6"/>
    </row>
    <row r="957" spans="1:49">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R957" s="6"/>
      <c r="AS957" s="6"/>
      <c r="AT957" s="6"/>
      <c r="AU957" s="6"/>
      <c r="AV957" s="6"/>
      <c r="AW957" s="6"/>
    </row>
    <row r="958" spans="1:49">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R958" s="6"/>
      <c r="AS958" s="6"/>
      <c r="AT958" s="6"/>
      <c r="AU958" s="6"/>
      <c r="AV958" s="6"/>
      <c r="AW958" s="6"/>
    </row>
    <row r="959" spans="1:4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R959" s="6"/>
      <c r="AS959" s="6"/>
      <c r="AT959" s="6"/>
      <c r="AU959" s="6"/>
      <c r="AV959" s="6"/>
      <c r="AW959" s="6"/>
    </row>
    <row r="960" spans="1:49">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R960" s="6"/>
      <c r="AS960" s="6"/>
      <c r="AT960" s="6"/>
      <c r="AU960" s="6"/>
      <c r="AV960" s="6"/>
      <c r="AW960" s="6"/>
    </row>
    <row r="961" spans="1:49">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R961" s="6"/>
      <c r="AS961" s="6"/>
      <c r="AT961" s="6"/>
      <c r="AU961" s="6"/>
      <c r="AV961" s="6"/>
      <c r="AW961" s="6"/>
    </row>
    <row r="962" spans="1:49">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R962" s="6"/>
      <c r="AS962" s="6"/>
      <c r="AT962" s="6"/>
      <c r="AU962" s="6"/>
      <c r="AV962" s="6"/>
      <c r="AW962" s="6"/>
    </row>
    <row r="963" spans="1:49">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R963" s="6"/>
      <c r="AS963" s="6"/>
      <c r="AT963" s="6"/>
      <c r="AU963" s="6"/>
      <c r="AV963" s="6"/>
      <c r="AW963" s="6"/>
    </row>
    <row r="964" spans="1:49">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R964" s="6"/>
      <c r="AS964" s="6"/>
      <c r="AT964" s="6"/>
      <c r="AU964" s="6"/>
      <c r="AV964" s="6"/>
      <c r="AW964" s="6"/>
    </row>
    <row r="965" spans="1:49">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R965" s="6"/>
      <c r="AS965" s="6"/>
      <c r="AT965" s="6"/>
      <c r="AU965" s="6"/>
      <c r="AV965" s="6"/>
      <c r="AW965" s="6"/>
    </row>
    <row r="966" spans="1:49">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R966" s="6"/>
      <c r="AS966" s="6"/>
      <c r="AT966" s="6"/>
      <c r="AU966" s="6"/>
      <c r="AV966" s="6"/>
      <c r="AW966" s="6"/>
    </row>
    <row r="967" spans="1:49">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R967" s="6"/>
      <c r="AS967" s="6"/>
      <c r="AT967" s="6"/>
      <c r="AU967" s="6"/>
      <c r="AV967" s="6"/>
      <c r="AW967" s="6"/>
    </row>
    <row r="968" spans="1:49">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R968" s="6"/>
      <c r="AS968" s="6"/>
      <c r="AT968" s="6"/>
      <c r="AU968" s="6"/>
      <c r="AV968" s="6"/>
      <c r="AW968" s="6"/>
    </row>
    <row r="969" spans="1:4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R969" s="6"/>
      <c r="AS969" s="6"/>
      <c r="AT969" s="6"/>
      <c r="AU969" s="6"/>
      <c r="AV969" s="6"/>
      <c r="AW969" s="6"/>
    </row>
    <row r="970" spans="1:49">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R970" s="6"/>
      <c r="AS970" s="6"/>
      <c r="AT970" s="6"/>
      <c r="AU970" s="6"/>
      <c r="AV970" s="6"/>
      <c r="AW970" s="6"/>
    </row>
    <row r="971" spans="1:49">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R971" s="6"/>
      <c r="AS971" s="6"/>
      <c r="AT971" s="6"/>
      <c r="AU971" s="6"/>
      <c r="AV971" s="6"/>
      <c r="AW971" s="6"/>
    </row>
    <row r="972" spans="1:49">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R972" s="6"/>
      <c r="AS972" s="6"/>
      <c r="AT972" s="6"/>
      <c r="AU972" s="6"/>
      <c r="AV972" s="6"/>
      <c r="AW972" s="6"/>
    </row>
    <row r="973" spans="1:49">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R973" s="6"/>
      <c r="AS973" s="6"/>
      <c r="AT973" s="6"/>
      <c r="AU973" s="6"/>
      <c r="AV973" s="6"/>
      <c r="AW973" s="6"/>
    </row>
    <row r="974" spans="1:49">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R974" s="6"/>
      <c r="AS974" s="6"/>
      <c r="AT974" s="6"/>
      <c r="AU974" s="6"/>
      <c r="AV974" s="6"/>
      <c r="AW974" s="6"/>
    </row>
    <row r="975" spans="1:49">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R975" s="6"/>
      <c r="AS975" s="6"/>
      <c r="AT975" s="6"/>
      <c r="AU975" s="6"/>
      <c r="AV975" s="6"/>
      <c r="AW975" s="6"/>
    </row>
    <row r="976" spans="1:49">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R976" s="6"/>
      <c r="AS976" s="6"/>
      <c r="AT976" s="6"/>
      <c r="AU976" s="6"/>
      <c r="AV976" s="6"/>
      <c r="AW976" s="6"/>
    </row>
    <row r="977" spans="1:49">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R977" s="6"/>
      <c r="AS977" s="6"/>
      <c r="AT977" s="6"/>
      <c r="AU977" s="6"/>
      <c r="AV977" s="6"/>
      <c r="AW977" s="6"/>
    </row>
    <row r="978" spans="1:49">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R978" s="6"/>
      <c r="AS978" s="6"/>
      <c r="AT978" s="6"/>
      <c r="AU978" s="6"/>
      <c r="AV978" s="6"/>
      <c r="AW978" s="6"/>
    </row>
    <row r="979" spans="1:4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R979" s="6"/>
      <c r="AS979" s="6"/>
      <c r="AT979" s="6"/>
      <c r="AU979" s="6"/>
      <c r="AV979" s="6"/>
      <c r="AW979" s="6"/>
    </row>
    <row r="980" spans="1:49">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R980" s="6"/>
      <c r="AS980" s="6"/>
      <c r="AT980" s="6"/>
      <c r="AU980" s="6"/>
      <c r="AV980" s="6"/>
      <c r="AW980" s="6"/>
    </row>
    <row r="981" spans="1:49">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R981" s="6"/>
      <c r="AS981" s="6"/>
      <c r="AT981" s="6"/>
      <c r="AU981" s="6"/>
      <c r="AV981" s="6"/>
      <c r="AW981" s="6"/>
    </row>
    <row r="982" spans="1:49">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R982" s="6"/>
      <c r="AS982" s="6"/>
      <c r="AT982" s="6"/>
      <c r="AU982" s="6"/>
      <c r="AV982" s="6"/>
      <c r="AW982" s="6"/>
    </row>
    <row r="983" spans="1:49">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R983" s="6"/>
      <c r="AS983" s="6"/>
      <c r="AT983" s="6"/>
      <c r="AU983" s="6"/>
      <c r="AV983" s="6"/>
      <c r="AW983" s="6"/>
    </row>
    <row r="984" spans="1:49">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R984" s="6"/>
      <c r="AS984" s="6"/>
      <c r="AT984" s="6"/>
      <c r="AU984" s="6"/>
      <c r="AV984" s="6"/>
      <c r="AW984" s="6"/>
    </row>
    <row r="985" spans="1:49">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R985" s="6"/>
      <c r="AS985" s="6"/>
      <c r="AT985" s="6"/>
      <c r="AU985" s="6"/>
      <c r="AV985" s="6"/>
      <c r="AW985" s="6"/>
    </row>
    <row r="986" spans="1:49">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R986" s="6"/>
      <c r="AS986" s="6"/>
      <c r="AT986" s="6"/>
      <c r="AU986" s="6"/>
      <c r="AV986" s="6"/>
      <c r="AW986" s="6"/>
    </row>
    <row r="987" spans="1:49">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R987" s="6"/>
      <c r="AS987" s="6"/>
      <c r="AT987" s="6"/>
      <c r="AU987" s="6"/>
      <c r="AV987" s="6"/>
      <c r="AW987" s="6"/>
    </row>
    <row r="988" spans="1:49">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R988" s="6"/>
      <c r="AS988" s="6"/>
      <c r="AT988" s="6"/>
      <c r="AU988" s="6"/>
      <c r="AV988" s="6"/>
      <c r="AW988" s="6"/>
    </row>
    <row r="989" spans="1:4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R989" s="6"/>
      <c r="AS989" s="6"/>
      <c r="AT989" s="6"/>
      <c r="AU989" s="6"/>
      <c r="AV989" s="6"/>
      <c r="AW989" s="6"/>
    </row>
    <row r="990" spans="1:49">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R990" s="6"/>
      <c r="AS990" s="6"/>
      <c r="AT990" s="6"/>
      <c r="AU990" s="6"/>
      <c r="AV990" s="6"/>
      <c r="AW990" s="6"/>
    </row>
    <row r="991" spans="1:49">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R991" s="6"/>
      <c r="AS991" s="6"/>
      <c r="AT991" s="6"/>
      <c r="AU991" s="6"/>
      <c r="AV991" s="6"/>
      <c r="AW991" s="6"/>
    </row>
    <row r="992" spans="1:49">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R992" s="6"/>
      <c r="AS992" s="6"/>
      <c r="AT992" s="6"/>
      <c r="AU992" s="6"/>
      <c r="AV992" s="6"/>
      <c r="AW992" s="6"/>
    </row>
    <row r="993" spans="1:49">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R993" s="6"/>
      <c r="AS993" s="6"/>
      <c r="AT993" s="6"/>
      <c r="AU993" s="6"/>
      <c r="AV993" s="6"/>
      <c r="AW993" s="6"/>
    </row>
    <row r="994" spans="1:49">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R994" s="6"/>
      <c r="AS994" s="6"/>
      <c r="AT994" s="6"/>
      <c r="AU994" s="6"/>
      <c r="AV994" s="6"/>
      <c r="AW994" s="6"/>
    </row>
    <row r="995" spans="1:49">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R995" s="6"/>
      <c r="AS995" s="6"/>
      <c r="AT995" s="6"/>
      <c r="AU995" s="6"/>
      <c r="AV995" s="6"/>
      <c r="AW995" s="6"/>
    </row>
    <row r="996" spans="1:49">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R996" s="6"/>
      <c r="AS996" s="6"/>
      <c r="AT996" s="6"/>
      <c r="AU996" s="6"/>
      <c r="AV996" s="6"/>
      <c r="AW996" s="6"/>
    </row>
    <row r="997" spans="1:49">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R997" s="6"/>
      <c r="AS997" s="6"/>
      <c r="AT997" s="6"/>
      <c r="AU997" s="6"/>
      <c r="AV997" s="6"/>
      <c r="AW997" s="6"/>
    </row>
    <row r="998" spans="1:49">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R998" s="6"/>
      <c r="AS998" s="6"/>
      <c r="AT998" s="6"/>
      <c r="AU998" s="6"/>
      <c r="AV998" s="6"/>
      <c r="AW998" s="6"/>
    </row>
    <row r="999" spans="1:4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R999" s="6"/>
      <c r="AS999" s="6"/>
      <c r="AT999" s="6"/>
      <c r="AU999" s="6"/>
      <c r="AV999" s="6"/>
      <c r="AW999" s="6"/>
    </row>
    <row r="1000" spans="1:49">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R1000" s="6"/>
      <c r="AS1000" s="6"/>
      <c r="AT1000" s="6"/>
      <c r="AU1000" s="6"/>
      <c r="AV1000" s="6"/>
      <c r="AW1000" s="6"/>
    </row>
    <row r="1001" spans="1:49">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R1001" s="6"/>
      <c r="AS1001" s="6"/>
      <c r="AT1001" s="6"/>
      <c r="AU1001" s="6"/>
      <c r="AV1001" s="6"/>
      <c r="AW1001" s="6"/>
    </row>
    <row r="1002" spans="1:49">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R1002" s="6"/>
      <c r="AS1002" s="6"/>
      <c r="AT1002" s="6"/>
      <c r="AU1002" s="6"/>
      <c r="AV1002" s="6"/>
      <c r="AW1002" s="6"/>
    </row>
    <row r="1003" spans="1:49">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R1003" s="6"/>
      <c r="AS1003" s="6"/>
      <c r="AT1003" s="6"/>
      <c r="AU1003" s="6"/>
      <c r="AV1003" s="6"/>
      <c r="AW1003" s="6"/>
    </row>
    <row r="1004" spans="1:49">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R1004" s="6"/>
      <c r="AS1004" s="6"/>
      <c r="AT1004" s="6"/>
      <c r="AU1004" s="6"/>
      <c r="AV1004" s="6"/>
      <c r="AW1004" s="6"/>
    </row>
    <row r="1005" spans="1:49">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R1005" s="6"/>
      <c r="AS1005" s="6"/>
      <c r="AT1005" s="6"/>
      <c r="AU1005" s="6"/>
      <c r="AV1005" s="6"/>
      <c r="AW1005" s="6"/>
    </row>
    <row r="1006" spans="1:49">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R1006" s="6"/>
      <c r="AS1006" s="6"/>
      <c r="AT1006" s="6"/>
      <c r="AU1006" s="6"/>
      <c r="AV1006" s="6"/>
      <c r="AW1006" s="6"/>
    </row>
    <row r="1007" spans="1:49">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R1007" s="6"/>
      <c r="AS1007" s="6"/>
      <c r="AT1007" s="6"/>
      <c r="AU1007" s="6"/>
      <c r="AV1007" s="6"/>
      <c r="AW1007" s="6"/>
    </row>
    <row r="1008" spans="1:49">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R1008" s="6"/>
      <c r="AS1008" s="6"/>
      <c r="AT1008" s="6"/>
      <c r="AU1008" s="6"/>
      <c r="AV1008" s="6"/>
      <c r="AW1008" s="6"/>
    </row>
    <row r="1009" spans="1:49">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R1009" s="6"/>
      <c r="AS1009" s="6"/>
      <c r="AT1009" s="6"/>
      <c r="AU1009" s="6"/>
      <c r="AV1009" s="6"/>
      <c r="AW1009" s="6"/>
    </row>
    <row r="1010" spans="1:49">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R1010" s="6"/>
      <c r="AS1010" s="6"/>
      <c r="AT1010" s="6"/>
      <c r="AU1010" s="6"/>
      <c r="AV1010" s="6"/>
      <c r="AW1010" s="6"/>
    </row>
    <row r="1011" spans="1:49">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R1011" s="6"/>
      <c r="AS1011" s="6"/>
      <c r="AT1011" s="6"/>
      <c r="AU1011" s="6"/>
      <c r="AV1011" s="6"/>
      <c r="AW1011" s="6"/>
    </row>
    <row r="1012" spans="1:49">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R1012" s="6"/>
      <c r="AS1012" s="6"/>
      <c r="AT1012" s="6"/>
      <c r="AU1012" s="6"/>
      <c r="AV1012" s="6"/>
      <c r="AW1012" s="6"/>
    </row>
    <row r="1013" spans="1:49">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R1013" s="6"/>
      <c r="AS1013" s="6"/>
      <c r="AT1013" s="6"/>
      <c r="AU1013" s="6"/>
      <c r="AV1013" s="6"/>
      <c r="AW1013" s="6"/>
    </row>
    <row r="1014" spans="1:49">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R1014" s="6"/>
      <c r="AS1014" s="6"/>
      <c r="AT1014" s="6"/>
      <c r="AU1014" s="6"/>
      <c r="AV1014" s="6"/>
      <c r="AW1014" s="6"/>
    </row>
    <row r="1015" spans="1:49">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R1015" s="6"/>
      <c r="AS1015" s="6"/>
      <c r="AT1015" s="6"/>
      <c r="AU1015" s="6"/>
      <c r="AV1015" s="6"/>
      <c r="AW1015" s="6"/>
    </row>
    <row r="1016" spans="1:49">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R1016" s="6"/>
      <c r="AS1016" s="6"/>
      <c r="AT1016" s="6"/>
      <c r="AU1016" s="6"/>
      <c r="AV1016" s="6"/>
      <c r="AW1016" s="6"/>
    </row>
    <row r="1017" spans="1:49">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R1017" s="6"/>
      <c r="AS1017" s="6"/>
      <c r="AT1017" s="6"/>
      <c r="AU1017" s="6"/>
      <c r="AV1017" s="6"/>
      <c r="AW1017" s="6"/>
    </row>
    <row r="1018" spans="1:49">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R1018" s="6"/>
      <c r="AS1018" s="6"/>
      <c r="AT1018" s="6"/>
      <c r="AU1018" s="6"/>
      <c r="AV1018" s="6"/>
      <c r="AW1018" s="6"/>
    </row>
    <row r="1019" spans="1:49">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R1019" s="6"/>
      <c r="AS1019" s="6"/>
      <c r="AT1019" s="6"/>
      <c r="AU1019" s="6"/>
      <c r="AV1019" s="6"/>
      <c r="AW1019" s="6"/>
    </row>
    <row r="1020" spans="1:49">
      <c r="A1020" s="6"/>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R1020" s="6"/>
      <c r="AS1020" s="6"/>
      <c r="AT1020" s="6"/>
      <c r="AU1020" s="6"/>
      <c r="AV1020" s="6"/>
      <c r="AW1020" s="6"/>
    </row>
    <row r="1021" spans="1:49">
      <c r="A1021" s="6"/>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R1021" s="6"/>
      <c r="AS1021" s="6"/>
      <c r="AT1021" s="6"/>
      <c r="AU1021" s="6"/>
      <c r="AV1021" s="6"/>
      <c r="AW1021" s="6"/>
    </row>
    <row r="1022" spans="1:49">
      <c r="A1022" s="6"/>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R1022" s="6"/>
      <c r="AS1022" s="6"/>
      <c r="AT1022" s="6"/>
      <c r="AU1022" s="6"/>
      <c r="AV1022" s="6"/>
      <c r="AW1022" s="6"/>
    </row>
    <row r="1023" spans="1:49">
      <c r="A1023" s="6"/>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R1023" s="6"/>
      <c r="AS1023" s="6"/>
      <c r="AT1023" s="6"/>
      <c r="AU1023" s="6"/>
      <c r="AV1023" s="6"/>
      <c r="AW1023" s="6"/>
    </row>
    <row r="1024" spans="1:49">
      <c r="A1024" s="6"/>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R1024" s="6"/>
      <c r="AS1024" s="6"/>
      <c r="AT1024" s="6"/>
      <c r="AU1024" s="6"/>
      <c r="AV1024" s="6"/>
      <c r="AW1024" s="6"/>
    </row>
    <row r="1025" spans="1:49">
      <c r="A1025" s="6"/>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R1025" s="6"/>
      <c r="AS1025" s="6"/>
      <c r="AT1025" s="6"/>
      <c r="AU1025" s="6"/>
      <c r="AV1025" s="6"/>
      <c r="AW1025" s="6"/>
    </row>
    <row r="1026" spans="1:49">
      <c r="A1026" s="6"/>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R1026" s="6"/>
      <c r="AS1026" s="6"/>
      <c r="AT1026" s="6"/>
      <c r="AU1026" s="6"/>
      <c r="AV1026" s="6"/>
      <c r="AW1026" s="6"/>
    </row>
    <row r="1027" spans="1:49">
      <c r="A1027" s="6"/>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R1027" s="6"/>
      <c r="AS1027" s="6"/>
      <c r="AT1027" s="6"/>
      <c r="AU1027" s="6"/>
      <c r="AV1027" s="6"/>
      <c r="AW1027" s="6"/>
    </row>
    <row r="1028" spans="1:49">
      <c r="A1028" s="6"/>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R1028" s="6"/>
      <c r="AS1028" s="6"/>
      <c r="AT1028" s="6"/>
      <c r="AU1028" s="6"/>
      <c r="AV1028" s="6"/>
      <c r="AW1028" s="6"/>
    </row>
    <row r="1029" spans="1:49">
      <c r="A1029" s="6"/>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R1029" s="6"/>
      <c r="AS1029" s="6"/>
      <c r="AT1029" s="6"/>
      <c r="AU1029" s="6"/>
      <c r="AV1029" s="6"/>
      <c r="AW1029" s="6"/>
    </row>
    <row r="1030" spans="1:49">
      <c r="A1030" s="6"/>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R1030" s="6"/>
      <c r="AS1030" s="6"/>
      <c r="AT1030" s="6"/>
      <c r="AU1030" s="6"/>
      <c r="AV1030" s="6"/>
      <c r="AW1030" s="6"/>
    </row>
    <row r="1031" spans="1:49">
      <c r="A1031" s="6"/>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R1031" s="6"/>
      <c r="AS1031" s="6"/>
      <c r="AT1031" s="6"/>
      <c r="AU1031" s="6"/>
      <c r="AV1031" s="6"/>
      <c r="AW1031" s="6"/>
    </row>
    <row r="1032" spans="1:49">
      <c r="A1032" s="6"/>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R1032" s="6"/>
      <c r="AS1032" s="6"/>
      <c r="AT1032" s="6"/>
      <c r="AU1032" s="6"/>
      <c r="AV1032" s="6"/>
      <c r="AW1032" s="6"/>
    </row>
    <row r="1033" spans="1:49">
      <c r="A1033" s="6"/>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R1033" s="6"/>
      <c r="AS1033" s="6"/>
      <c r="AT1033" s="6"/>
      <c r="AU1033" s="6"/>
      <c r="AV1033" s="6"/>
      <c r="AW1033" s="6"/>
    </row>
    <row r="1034" spans="1:49">
      <c r="A1034" s="6"/>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R1034" s="6"/>
      <c r="AS1034" s="6"/>
      <c r="AT1034" s="6"/>
      <c r="AU1034" s="6"/>
      <c r="AV1034" s="6"/>
      <c r="AW1034" s="6"/>
    </row>
    <row r="1035" spans="1:49">
      <c r="A1035" s="6"/>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R1035" s="6"/>
      <c r="AS1035" s="6"/>
      <c r="AT1035" s="6"/>
      <c r="AU1035" s="6"/>
      <c r="AV1035" s="6"/>
      <c r="AW1035" s="6"/>
    </row>
    <row r="1036" spans="1:49">
      <c r="A1036" s="6"/>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R1036" s="6"/>
      <c r="AS1036" s="6"/>
      <c r="AT1036" s="6"/>
      <c r="AU1036" s="6"/>
      <c r="AV1036" s="6"/>
      <c r="AW1036" s="6"/>
    </row>
    <row r="1037" spans="1:49">
      <c r="A1037" s="6"/>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R1037" s="6"/>
      <c r="AS1037" s="6"/>
      <c r="AT1037" s="6"/>
      <c r="AU1037" s="6"/>
      <c r="AV1037" s="6"/>
      <c r="AW1037" s="6"/>
    </row>
    <row r="1038" spans="1:49">
      <c r="A1038" s="6"/>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R1038" s="6"/>
      <c r="AS1038" s="6"/>
      <c r="AT1038" s="6"/>
      <c r="AU1038" s="6"/>
      <c r="AV1038" s="6"/>
      <c r="AW1038" s="6"/>
    </row>
    <row r="1039" spans="1:49">
      <c r="A1039" s="6"/>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R1039" s="6"/>
      <c r="AS1039" s="6"/>
      <c r="AT1039" s="6"/>
      <c r="AU1039" s="6"/>
      <c r="AV1039" s="6"/>
      <c r="AW1039" s="6"/>
    </row>
    <row r="1040" spans="1:49">
      <c r="A1040" s="6"/>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R1040" s="6"/>
      <c r="AS1040" s="6"/>
      <c r="AT1040" s="6"/>
      <c r="AU1040" s="6"/>
      <c r="AV1040" s="6"/>
      <c r="AW1040" s="6"/>
    </row>
    <row r="1041" spans="1:49">
      <c r="A1041" s="6"/>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R1041" s="6"/>
      <c r="AS1041" s="6"/>
      <c r="AT1041" s="6"/>
      <c r="AU1041" s="6"/>
      <c r="AV1041" s="6"/>
      <c r="AW1041" s="6"/>
    </row>
    <row r="1042" spans="1:49">
      <c r="A1042" s="6"/>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R1042" s="6"/>
      <c r="AS1042" s="6"/>
      <c r="AT1042" s="6"/>
      <c r="AU1042" s="6"/>
      <c r="AV1042" s="6"/>
      <c r="AW1042" s="6"/>
    </row>
    <row r="1043" spans="1:49">
      <c r="A1043" s="6"/>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R1043" s="6"/>
      <c r="AS1043" s="6"/>
      <c r="AT1043" s="6"/>
      <c r="AU1043" s="6"/>
      <c r="AV1043" s="6"/>
      <c r="AW1043" s="6"/>
    </row>
    <row r="1044" spans="1:49">
      <c r="A1044" s="6"/>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R1044" s="6"/>
      <c r="AS1044" s="6"/>
      <c r="AT1044" s="6"/>
      <c r="AU1044" s="6"/>
      <c r="AV1044" s="6"/>
      <c r="AW1044" s="6"/>
    </row>
    <row r="1045" spans="1:49">
      <c r="A1045" s="6"/>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R1045" s="6"/>
      <c r="AS1045" s="6"/>
      <c r="AT1045" s="6"/>
      <c r="AU1045" s="6"/>
      <c r="AV1045" s="6"/>
      <c r="AW1045" s="6"/>
    </row>
    <row r="1046" spans="1:49">
      <c r="A1046" s="6"/>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R1046" s="6"/>
      <c r="AS1046" s="6"/>
      <c r="AT1046" s="6"/>
      <c r="AU1046" s="6"/>
      <c r="AV1046" s="6"/>
      <c r="AW1046" s="6"/>
    </row>
    <row r="1047" spans="1:49">
      <c r="A1047" s="6"/>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R1047" s="6"/>
      <c r="AS1047" s="6"/>
      <c r="AT1047" s="6"/>
      <c r="AU1047" s="6"/>
      <c r="AV1047" s="6"/>
      <c r="AW1047" s="6"/>
    </row>
    <row r="1048" spans="1:49">
      <c r="A1048" s="6"/>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R1048" s="6"/>
      <c r="AS1048" s="6"/>
      <c r="AT1048" s="6"/>
      <c r="AU1048" s="6"/>
      <c r="AV1048" s="6"/>
      <c r="AW1048" s="6"/>
    </row>
    <row r="1049" spans="1:49">
      <c r="A1049" s="6"/>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R1049" s="6"/>
      <c r="AS1049" s="6"/>
      <c r="AT1049" s="6"/>
      <c r="AU1049" s="6"/>
      <c r="AV1049" s="6"/>
      <c r="AW1049" s="6"/>
    </row>
    <row r="1050" spans="1:49">
      <c r="A1050" s="6"/>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R1050" s="6"/>
      <c r="AS1050" s="6"/>
      <c r="AT1050" s="6"/>
      <c r="AU1050" s="6"/>
      <c r="AV1050" s="6"/>
      <c r="AW1050" s="6"/>
    </row>
    <row r="1051" spans="1:49">
      <c r="A1051" s="6"/>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R1051" s="6"/>
      <c r="AS1051" s="6"/>
      <c r="AT1051" s="6"/>
      <c r="AU1051" s="6"/>
      <c r="AV1051" s="6"/>
      <c r="AW1051" s="6"/>
    </row>
    <row r="1052" spans="1:49">
      <c r="A1052" s="6"/>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R1052" s="6"/>
      <c r="AS1052" s="6"/>
      <c r="AT1052" s="6"/>
      <c r="AU1052" s="6"/>
      <c r="AV1052" s="6"/>
      <c r="AW1052" s="6"/>
    </row>
    <row r="1053" spans="1:49">
      <c r="A1053" s="6"/>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R1053" s="6"/>
      <c r="AS1053" s="6"/>
      <c r="AT1053" s="6"/>
      <c r="AU1053" s="6"/>
      <c r="AV1053" s="6"/>
      <c r="AW1053" s="6"/>
    </row>
    <row r="1054" spans="1:49">
      <c r="A1054" s="6"/>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R1054" s="6"/>
      <c r="AS1054" s="6"/>
      <c r="AT1054" s="6"/>
      <c r="AU1054" s="6"/>
      <c r="AV1054" s="6"/>
      <c r="AW1054" s="6"/>
    </row>
    <row r="1055" spans="1:49">
      <c r="A1055" s="6"/>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R1055" s="6"/>
      <c r="AS1055" s="6"/>
      <c r="AT1055" s="6"/>
      <c r="AU1055" s="6"/>
      <c r="AV1055" s="6"/>
      <c r="AW1055" s="6"/>
    </row>
    <row r="1056" spans="1:49">
      <c r="A1056" s="6"/>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R1056" s="6"/>
      <c r="AS1056" s="6"/>
      <c r="AT1056" s="6"/>
      <c r="AU1056" s="6"/>
      <c r="AV1056" s="6"/>
      <c r="AW1056" s="6"/>
    </row>
    <row r="1057" spans="1:49">
      <c r="A1057" s="6"/>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R1057" s="6"/>
      <c r="AS1057" s="6"/>
      <c r="AT1057" s="6"/>
      <c r="AU1057" s="6"/>
      <c r="AV1057" s="6"/>
      <c r="AW1057" s="6"/>
    </row>
    <row r="1058" spans="1:49">
      <c r="A1058" s="6"/>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R1058" s="6"/>
      <c r="AS1058" s="6"/>
      <c r="AT1058" s="6"/>
      <c r="AU1058" s="6"/>
      <c r="AV1058" s="6"/>
      <c r="AW1058" s="6"/>
    </row>
    <row r="1059" spans="1:49">
      <c r="A1059" s="6"/>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R1059" s="6"/>
      <c r="AS1059" s="6"/>
      <c r="AT1059" s="6"/>
      <c r="AU1059" s="6"/>
      <c r="AV1059" s="6"/>
      <c r="AW1059" s="6"/>
    </row>
    <row r="1060" spans="1:49">
      <c r="A1060" s="6"/>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R1060" s="6"/>
      <c r="AS1060" s="6"/>
      <c r="AT1060" s="6"/>
      <c r="AU1060" s="6"/>
      <c r="AV1060" s="6"/>
      <c r="AW1060" s="6"/>
    </row>
    <row r="1061" spans="1:49">
      <c r="A1061" s="6"/>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R1061" s="6"/>
      <c r="AS1061" s="6"/>
      <c r="AT1061" s="6"/>
      <c r="AU1061" s="6"/>
      <c r="AV1061" s="6"/>
      <c r="AW1061" s="6"/>
    </row>
    <row r="1062" spans="1:49">
      <c r="A1062" s="6"/>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R1062" s="6"/>
      <c r="AS1062" s="6"/>
      <c r="AT1062" s="6"/>
      <c r="AU1062" s="6"/>
      <c r="AV1062" s="6"/>
      <c r="AW1062" s="6"/>
    </row>
    <row r="1063" spans="1:49">
      <c r="A1063" s="6"/>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R1063" s="6"/>
      <c r="AS1063" s="6"/>
      <c r="AT1063" s="6"/>
      <c r="AU1063" s="6"/>
      <c r="AV1063" s="6"/>
      <c r="AW1063" s="6"/>
    </row>
    <row r="1064" spans="1:49">
      <c r="A1064" s="6"/>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R1064" s="6"/>
      <c r="AS1064" s="6"/>
      <c r="AT1064" s="6"/>
      <c r="AU1064" s="6"/>
      <c r="AV1064" s="6"/>
      <c r="AW1064" s="6"/>
    </row>
    <row r="1065" spans="1:49">
      <c r="A1065" s="6"/>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R1065" s="6"/>
      <c r="AS1065" s="6"/>
      <c r="AT1065" s="6"/>
      <c r="AU1065" s="6"/>
      <c r="AV1065" s="6"/>
      <c r="AW1065" s="6"/>
    </row>
    <row r="1066" spans="1:49">
      <c r="A1066" s="6"/>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R1066" s="6"/>
      <c r="AS1066" s="6"/>
      <c r="AT1066" s="6"/>
      <c r="AU1066" s="6"/>
      <c r="AV1066" s="6"/>
      <c r="AW1066" s="6"/>
    </row>
    <row r="1067" spans="1:49">
      <c r="A1067" s="6"/>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R1067" s="6"/>
      <c r="AS1067" s="6"/>
      <c r="AT1067" s="6"/>
      <c r="AU1067" s="6"/>
      <c r="AV1067" s="6"/>
      <c r="AW1067" s="6"/>
    </row>
    <row r="1068" spans="1:49">
      <c r="A1068" s="6"/>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R1068" s="6"/>
      <c r="AS1068" s="6"/>
      <c r="AT1068" s="6"/>
      <c r="AU1068" s="6"/>
      <c r="AV1068" s="6"/>
      <c r="AW1068" s="6"/>
    </row>
    <row r="1069" spans="1:49">
      <c r="A1069" s="6"/>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R1069" s="6"/>
      <c r="AS1069" s="6"/>
      <c r="AT1069" s="6"/>
      <c r="AU1069" s="6"/>
      <c r="AV1069" s="6"/>
      <c r="AW1069" s="6"/>
    </row>
    <row r="1070" spans="1:49">
      <c r="A1070" s="6"/>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R1070" s="6"/>
      <c r="AS1070" s="6"/>
      <c r="AT1070" s="6"/>
      <c r="AU1070" s="6"/>
      <c r="AV1070" s="6"/>
      <c r="AW1070" s="6"/>
    </row>
    <row r="1071" spans="1:49">
      <c r="A1071" s="6"/>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R1071" s="6"/>
      <c r="AS1071" s="6"/>
      <c r="AT1071" s="6"/>
      <c r="AU1071" s="6"/>
      <c r="AV1071" s="6"/>
      <c r="AW1071" s="6"/>
    </row>
    <row r="1072" spans="1:49">
      <c r="A1072" s="6"/>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R1072" s="6"/>
      <c r="AS1072" s="6"/>
      <c r="AT1072" s="6"/>
      <c r="AU1072" s="6"/>
      <c r="AV1072" s="6"/>
      <c r="AW1072" s="6"/>
    </row>
    <row r="1073" spans="1:49">
      <c r="A1073" s="6"/>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R1073" s="6"/>
      <c r="AS1073" s="6"/>
      <c r="AT1073" s="6"/>
      <c r="AU1073" s="6"/>
      <c r="AV1073" s="6"/>
      <c r="AW1073" s="6"/>
    </row>
    <row r="1074" spans="1:49">
      <c r="A1074" s="6"/>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R1074" s="6"/>
      <c r="AS1074" s="6"/>
      <c r="AT1074" s="6"/>
      <c r="AU1074" s="6"/>
      <c r="AV1074" s="6"/>
      <c r="AW1074" s="6"/>
    </row>
    <row r="1075" spans="1:49">
      <c r="A1075" s="6"/>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R1075" s="6"/>
      <c r="AS1075" s="6"/>
      <c r="AT1075" s="6"/>
      <c r="AU1075" s="6"/>
      <c r="AV1075" s="6"/>
      <c r="AW1075" s="6"/>
    </row>
    <row r="1076" spans="1:49">
      <c r="A1076" s="6"/>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R1076" s="6"/>
      <c r="AS1076" s="6"/>
      <c r="AT1076" s="6"/>
      <c r="AU1076" s="6"/>
      <c r="AV1076" s="6"/>
      <c r="AW1076" s="6"/>
    </row>
    <row r="1077" spans="1:49">
      <c r="A1077" s="6"/>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R1077" s="6"/>
      <c r="AS1077" s="6"/>
      <c r="AT1077" s="6"/>
      <c r="AU1077" s="6"/>
      <c r="AV1077" s="6"/>
      <c r="AW1077" s="6"/>
    </row>
    <row r="1078" spans="1:49">
      <c r="A1078" s="6"/>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R1078" s="6"/>
      <c r="AS1078" s="6"/>
      <c r="AT1078" s="6"/>
      <c r="AU1078" s="6"/>
      <c r="AV1078" s="6"/>
      <c r="AW1078" s="6"/>
    </row>
    <row r="1079" spans="1:49">
      <c r="A1079" s="6"/>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R1079" s="6"/>
      <c r="AS1079" s="6"/>
      <c r="AT1079" s="6"/>
      <c r="AU1079" s="6"/>
      <c r="AV1079" s="6"/>
      <c r="AW1079" s="6"/>
    </row>
    <row r="1080" spans="1:49">
      <c r="A1080" s="6"/>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R1080" s="6"/>
      <c r="AS1080" s="6"/>
      <c r="AT1080" s="6"/>
      <c r="AU1080" s="6"/>
      <c r="AV1080" s="6"/>
      <c r="AW1080" s="6"/>
    </row>
    <row r="1081" spans="1:49">
      <c r="A1081" s="6"/>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R1081" s="6"/>
      <c r="AS1081" s="6"/>
      <c r="AT1081" s="6"/>
      <c r="AU1081" s="6"/>
      <c r="AV1081" s="6"/>
      <c r="AW1081" s="6"/>
    </row>
    <row r="1082" spans="1:49">
      <c r="A1082" s="6"/>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R1082" s="6"/>
      <c r="AS1082" s="6"/>
      <c r="AT1082" s="6"/>
      <c r="AU1082" s="6"/>
      <c r="AV1082" s="6"/>
      <c r="AW1082" s="6"/>
    </row>
    <row r="1083" spans="1:49">
      <c r="A1083" s="6"/>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R1083" s="6"/>
      <c r="AS1083" s="6"/>
      <c r="AT1083" s="6"/>
      <c r="AU1083" s="6"/>
      <c r="AV1083" s="6"/>
      <c r="AW1083" s="6"/>
    </row>
    <row r="1084" spans="1:49">
      <c r="A1084" s="6"/>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R1084" s="6"/>
      <c r="AS1084" s="6"/>
      <c r="AT1084" s="6"/>
      <c r="AU1084" s="6"/>
      <c r="AV1084" s="6"/>
      <c r="AW1084" s="6"/>
    </row>
    <row r="1085" spans="1:49">
      <c r="A1085" s="6"/>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R1085" s="6"/>
      <c r="AS1085" s="6"/>
      <c r="AT1085" s="6"/>
      <c r="AU1085" s="6"/>
      <c r="AV1085" s="6"/>
      <c r="AW1085" s="6"/>
    </row>
    <row r="1086" spans="1:49">
      <c r="A1086" s="6"/>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R1086" s="6"/>
      <c r="AS1086" s="6"/>
      <c r="AT1086" s="6"/>
      <c r="AU1086" s="6"/>
      <c r="AV1086" s="6"/>
      <c r="AW1086" s="6"/>
    </row>
    <row r="1087" spans="1:49">
      <c r="A1087" s="6"/>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R1087" s="6"/>
      <c r="AS1087" s="6"/>
      <c r="AT1087" s="6"/>
      <c r="AU1087" s="6"/>
      <c r="AV1087" s="6"/>
      <c r="AW1087" s="6"/>
    </row>
    <row r="1088" spans="1:49">
      <c r="A1088" s="6"/>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R1088" s="6"/>
      <c r="AS1088" s="6"/>
      <c r="AT1088" s="6"/>
      <c r="AU1088" s="6"/>
      <c r="AV1088" s="6"/>
      <c r="AW1088" s="6"/>
    </row>
    <row r="1089" spans="1:49">
      <c r="A1089" s="6"/>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R1089" s="6"/>
      <c r="AS1089" s="6"/>
      <c r="AT1089" s="6"/>
      <c r="AU1089" s="6"/>
      <c r="AV1089" s="6"/>
      <c r="AW1089" s="6"/>
    </row>
    <row r="1090" spans="1:49">
      <c r="A1090" s="6"/>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R1090" s="6"/>
      <c r="AS1090" s="6"/>
      <c r="AT1090" s="6"/>
      <c r="AU1090" s="6"/>
      <c r="AV1090" s="6"/>
      <c r="AW1090" s="6"/>
    </row>
    <row r="1091" spans="1:49">
      <c r="A1091" s="6"/>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R1091" s="6"/>
      <c r="AS1091" s="6"/>
      <c r="AT1091" s="6"/>
      <c r="AU1091" s="6"/>
      <c r="AV1091" s="6"/>
      <c r="AW1091" s="6"/>
    </row>
    <row r="1092" spans="1:49">
      <c r="A1092" s="6"/>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R1092" s="6"/>
      <c r="AS1092" s="6"/>
      <c r="AT1092" s="6"/>
      <c r="AU1092" s="6"/>
      <c r="AV1092" s="6"/>
      <c r="AW1092" s="6"/>
    </row>
    <row r="1093" spans="1:49">
      <c r="A1093" s="6"/>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R1093" s="6"/>
      <c r="AS1093" s="6"/>
      <c r="AT1093" s="6"/>
      <c r="AU1093" s="6"/>
      <c r="AV1093" s="6"/>
      <c r="AW1093" s="6"/>
    </row>
    <row r="1094" spans="1:49">
      <c r="A1094" s="6"/>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R1094" s="6"/>
      <c r="AS1094" s="6"/>
      <c r="AT1094" s="6"/>
      <c r="AU1094" s="6"/>
      <c r="AV1094" s="6"/>
      <c r="AW1094" s="6"/>
    </row>
    <row r="1095" spans="1:49">
      <c r="A1095" s="6"/>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R1095" s="6"/>
      <c r="AS1095" s="6"/>
      <c r="AT1095" s="6"/>
      <c r="AU1095" s="6"/>
      <c r="AV1095" s="6"/>
      <c r="AW1095" s="6"/>
    </row>
    <row r="1096" spans="1:49">
      <c r="A1096" s="6"/>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R1096" s="6"/>
      <c r="AS1096" s="6"/>
      <c r="AT1096" s="6"/>
      <c r="AU1096" s="6"/>
      <c r="AV1096" s="6"/>
      <c r="AW1096" s="6"/>
    </row>
    <row r="1097" spans="1:49">
      <c r="A1097" s="6"/>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R1097" s="6"/>
      <c r="AS1097" s="6"/>
      <c r="AT1097" s="6"/>
      <c r="AU1097" s="6"/>
      <c r="AV1097" s="6"/>
      <c r="AW1097" s="6"/>
    </row>
    <row r="1098" spans="1:49">
      <c r="A1098" s="6"/>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R1098" s="6"/>
      <c r="AS1098" s="6"/>
      <c r="AT1098" s="6"/>
      <c r="AU1098" s="6"/>
      <c r="AV1098" s="6"/>
      <c r="AW1098" s="6"/>
    </row>
    <row r="1099" spans="1:49">
      <c r="A1099" s="6"/>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R1099" s="6"/>
      <c r="AS1099" s="6"/>
      <c r="AT1099" s="6"/>
      <c r="AU1099" s="6"/>
      <c r="AV1099" s="6"/>
      <c r="AW1099" s="6"/>
    </row>
    <row r="1100" spans="1:49">
      <c r="A1100" s="6"/>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R1100" s="6"/>
      <c r="AS1100" s="6"/>
      <c r="AT1100" s="6"/>
      <c r="AU1100" s="6"/>
      <c r="AV1100" s="6"/>
      <c r="AW1100" s="6"/>
    </row>
    <row r="1101" spans="1:49">
      <c r="A1101" s="6"/>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R1101" s="6"/>
      <c r="AS1101" s="6"/>
      <c r="AT1101" s="6"/>
      <c r="AU1101" s="6"/>
      <c r="AV1101" s="6"/>
      <c r="AW1101" s="6"/>
    </row>
    <row r="1102" spans="1:49">
      <c r="A1102" s="6"/>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R1102" s="6"/>
      <c r="AS1102" s="6"/>
      <c r="AT1102" s="6"/>
      <c r="AU1102" s="6"/>
      <c r="AV1102" s="6"/>
      <c r="AW1102" s="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9900"/>
    <outlinePr summaryBelow="0" summaryRight="0"/>
  </sheetPr>
  <dimension ref="A1:E55"/>
  <sheetViews>
    <sheetView workbookViewId="0"/>
  </sheetViews>
  <sheetFormatPr defaultColWidth="12.5703125" defaultRowHeight="15.75" customHeight="1"/>
  <cols>
    <col min="1" max="1" width="19" customWidth="1"/>
    <col min="2" max="2" width="26.28515625" customWidth="1"/>
    <col min="3" max="3" width="5.5703125" customWidth="1"/>
    <col min="4" max="4" width="11.42578125" customWidth="1"/>
    <col min="5" max="5" width="19" customWidth="1"/>
  </cols>
  <sheetData>
    <row r="1" spans="1:5">
      <c r="A1" s="6" t="str">
        <f ca="1">IFERROR(__xludf.DUMMYFUNCTION("IMPORTHTML(""https://www.thebluealliance.com/event/2025mnmi#teams"",""table"",2)"),"Team")</f>
        <v>Team</v>
      </c>
      <c r="B1" s="6" t="str">
        <f ca="1">IFERROR(__xludf.DUMMYFUNCTION("""COMPUTED_VALUE"""),"Location")</f>
        <v>Location</v>
      </c>
      <c r="C1" s="6" t="str">
        <f ca="1">IFERROR(__xludf.DUMMYFUNCTION("""COMPUTED_VALUE"""),"Image")</f>
        <v>Image</v>
      </c>
    </row>
    <row r="2" spans="1:5" ht="15.75" customHeight="1">
      <c r="A2" s="153" t="str">
        <f ca="1">IFERROR(__xludf.DUMMYFUNCTION("""COMPUTED_VALUE"""),"2181
GEARS")</f>
        <v>2181
GEARS</v>
      </c>
      <c r="B2" s="6" t="str">
        <f ca="1">IFERROR(__xludf.DUMMYFUNCTION("""COMPUTED_VALUE"""),"Blaine, Minnesota, USA")</f>
        <v>Blaine, Minnesota, USA</v>
      </c>
      <c r="C2" s="6"/>
      <c r="D2" s="151">
        <f ca="1">IFERROR(__xludf.DUMMYFUNCTION("VALUE(REGEXEXTRACT(A2,""\d+""))"),2181)</f>
        <v>2181</v>
      </c>
      <c r="E2" s="151" t="str">
        <f ca="1">IFERROR(__xludf.DUMMYFUNCTION("IF(D2="""","""",REGEXEXTRACT(A2,""[a-zA-Z .$-]+""))"),"GEARS")</f>
        <v>GEARS</v>
      </c>
    </row>
    <row r="3" spans="1:5" ht="15.75" customHeight="1">
      <c r="A3" s="153" t="str">
        <f ca="1">IFERROR(__xludf.DUMMYFUNCTION("""COMPUTED_VALUE"""),"2207
Bright Bears")</f>
        <v>2207
Bright Bears</v>
      </c>
      <c r="B3" s="6" t="str">
        <f ca="1">IFERROR(__xludf.DUMMYFUNCTION("""COMPUTED_VALUE"""),"White Bear Lake, Minnesota, USA")</f>
        <v>White Bear Lake, Minnesota, USA</v>
      </c>
      <c r="C3" s="6"/>
      <c r="D3" s="151">
        <f ca="1">IFERROR(__xludf.DUMMYFUNCTION("VALUE(REGEXEXTRACT(A3,""\d+""))"),2207)</f>
        <v>2207</v>
      </c>
      <c r="E3" s="151" t="str">
        <f ca="1">IFERROR(__xludf.DUMMYFUNCTION("IF(D3="""","""",REGEXEXTRACT(A3,""[a-zA-Z .$-]+""))"),"Bright Bears")</f>
        <v>Bright Bears</v>
      </c>
    </row>
    <row r="4" spans="1:5" ht="15.75" customHeight="1">
      <c r="A4" s="153" t="str">
        <f ca="1">IFERROR(__xludf.DUMMYFUNCTION("""COMPUTED_VALUE"""),"2220
Blue Twilight")</f>
        <v>2220
Blue Twilight</v>
      </c>
      <c r="B4" s="6" t="str">
        <f ca="1">IFERROR(__xludf.DUMMYFUNCTION("""COMPUTED_VALUE"""),"Eagan, Minnesota, USA")</f>
        <v>Eagan, Minnesota, USA</v>
      </c>
      <c r="C4" s="6"/>
      <c r="D4" s="151">
        <f ca="1">IFERROR(__xludf.DUMMYFUNCTION("VALUE(REGEXEXTRACT(A4,""\d+""))"),2220)</f>
        <v>2220</v>
      </c>
      <c r="E4" s="151" t="str">
        <f ca="1">IFERROR(__xludf.DUMMYFUNCTION("IF(D4="""","""",REGEXEXTRACT(A4,""[a-zA-Z .$-]+""))"),"Blue Twilight")</f>
        <v>Blue Twilight</v>
      </c>
    </row>
    <row r="5" spans="1:5" ht="15.75" customHeight="1">
      <c r="A5" s="153" t="str">
        <f ca="1">IFERROR(__xludf.DUMMYFUNCTION("""COMPUTED_VALUE"""),"2227
Tigers")</f>
        <v>2227
Tigers</v>
      </c>
      <c r="B5" s="6" t="str">
        <f ca="1">IFERROR(__xludf.DUMMYFUNCTION("""COMPUTED_VALUE"""),"Fridley, Minnesota, USA")</f>
        <v>Fridley, Minnesota, USA</v>
      </c>
      <c r="C5" s="6"/>
      <c r="D5" s="151">
        <f ca="1">IFERROR(__xludf.DUMMYFUNCTION("VALUE(REGEXEXTRACT(A5,""\d+""))"),2227)</f>
        <v>2227</v>
      </c>
      <c r="E5" s="151" t="str">
        <f ca="1">IFERROR(__xludf.DUMMYFUNCTION("IF(D5="""","""",REGEXEXTRACT(A5,""[a-zA-Z .$-]+""))"),"Tigers")</f>
        <v>Tigers</v>
      </c>
    </row>
    <row r="6" spans="1:5" ht="15.75" customHeight="1">
      <c r="A6" s="153" t="str">
        <f ca="1">IFERROR(__xludf.DUMMYFUNCTION("""COMPUTED_VALUE"""),"2264
Trojan Robotics")</f>
        <v>2264
Trojan Robotics</v>
      </c>
      <c r="B6" s="6" t="str">
        <f ca="1">IFERROR(__xludf.DUMMYFUNCTION("""COMPUTED_VALUE"""),"Minneapolis, Minnesota, USA")</f>
        <v>Minneapolis, Minnesota, USA</v>
      </c>
      <c r="C6" s="6"/>
      <c r="D6" s="151">
        <f ca="1">IFERROR(__xludf.DUMMYFUNCTION("VALUE(REGEXEXTRACT(A6,""\d+""))"),2264)</f>
        <v>2264</v>
      </c>
      <c r="E6" s="151" t="str">
        <f ca="1">IFERROR(__xludf.DUMMYFUNCTION("IF(D6="""","""",REGEXEXTRACT(A6,""[a-zA-Z .$-]+""))"),"Trojan Robotics")</f>
        <v>Trojan Robotics</v>
      </c>
    </row>
    <row r="7" spans="1:5" ht="15.75" customHeight="1">
      <c r="A7" s="153" t="str">
        <f ca="1">IFERROR(__xludf.DUMMYFUNCTION("""COMPUTED_VALUE"""),"2450
Wind Chill")</f>
        <v>2450
Wind Chill</v>
      </c>
      <c r="B7" s="6" t="str">
        <f ca="1">IFERROR(__xludf.DUMMYFUNCTION("""COMPUTED_VALUE"""),"Saint Paul, Minnesota, USA")</f>
        <v>Saint Paul, Minnesota, USA</v>
      </c>
      <c r="C7" s="6"/>
      <c r="D7" s="151">
        <f ca="1">IFERROR(__xludf.DUMMYFUNCTION("VALUE(REGEXEXTRACT(A7,""\d+""))"),2450)</f>
        <v>2450</v>
      </c>
      <c r="E7" s="151" t="str">
        <f ca="1">IFERROR(__xludf.DUMMYFUNCTION("IF(D7="""","""",REGEXEXTRACT(A7,""[a-zA-Z .$-]+""))"),"Wind Chill")</f>
        <v>Wind Chill</v>
      </c>
    </row>
    <row r="8" spans="1:5" ht="15.75" customHeight="1">
      <c r="A8" s="153" t="str">
        <f ca="1">IFERROR(__xludf.DUMMYFUNCTION("""COMPUTED_VALUE"""),"2472
Centurions")</f>
        <v>2472
Centurions</v>
      </c>
      <c r="B8" s="6" t="str">
        <f ca="1">IFERROR(__xludf.DUMMYFUNCTION("""COMPUTED_VALUE"""),"Circle Pines, Minnesota, USA")</f>
        <v>Circle Pines, Minnesota, USA</v>
      </c>
      <c r="C8" s="6"/>
      <c r="D8" s="151">
        <f ca="1">IFERROR(__xludf.DUMMYFUNCTION("VALUE(REGEXEXTRACT(A8,""\d+""))"),2472)</f>
        <v>2472</v>
      </c>
      <c r="E8" s="151" t="str">
        <f ca="1">IFERROR(__xludf.DUMMYFUNCTION("IF(D8="""","""",REGEXEXTRACT(A8,""[a-zA-Z .$-]+""))"),"Centurions")</f>
        <v>Centurions</v>
      </c>
    </row>
    <row r="9" spans="1:5" ht="15.75" customHeight="1">
      <c r="A9" s="153" t="str">
        <f ca="1">IFERROR(__xludf.DUMMYFUNCTION("""COMPUTED_VALUE"""),"2491
NoMythic")</f>
        <v>2491
NoMythic</v>
      </c>
      <c r="B9" s="6" t="str">
        <f ca="1">IFERROR(__xludf.DUMMYFUNCTION("""COMPUTED_VALUE"""),"Saint Paul, Minnesota, USA")</f>
        <v>Saint Paul, Minnesota, USA</v>
      </c>
      <c r="C9" s="6"/>
      <c r="D9" s="151">
        <f ca="1">IFERROR(__xludf.DUMMYFUNCTION("VALUE(REGEXEXTRACT(A9,""\d+""))"),2491)</f>
        <v>2491</v>
      </c>
      <c r="E9" s="151" t="str">
        <f ca="1">IFERROR(__xludf.DUMMYFUNCTION("IF(D9="""","""",REGEXEXTRACT(A9,""[a-zA-Z .$-]+""))"),"NoMythic")</f>
        <v>NoMythic</v>
      </c>
    </row>
    <row r="10" spans="1:5" ht="15.75" customHeight="1">
      <c r="A10" s="153" t="str">
        <f ca="1">IFERROR(__xludf.DUMMYFUNCTION("""COMPUTED_VALUE"""),"2498
BearBotics")</f>
        <v>2498
BearBotics</v>
      </c>
      <c r="B10" s="6" t="str">
        <f ca="1">IFERROR(__xludf.DUMMYFUNCTION("""COMPUTED_VALUE"""),"Minneapolis, Minnesota, USA")</f>
        <v>Minneapolis, Minnesota, USA</v>
      </c>
      <c r="C10" s="6"/>
      <c r="D10" s="151">
        <f ca="1">IFERROR(__xludf.DUMMYFUNCTION("VALUE(REGEXEXTRACT(A10,""\d+""))"),2498)</f>
        <v>2498</v>
      </c>
      <c r="E10" s="151" t="str">
        <f ca="1">IFERROR(__xludf.DUMMYFUNCTION("IF(D10="""","""",REGEXEXTRACT(A10,""[a-zA-Z .$-]+""))"),"BearBotics")</f>
        <v>BearBotics</v>
      </c>
    </row>
    <row r="11" spans="1:5" ht="15.75" customHeight="1">
      <c r="A11" s="153" t="str">
        <f ca="1">IFERROR(__xludf.DUMMYFUNCTION("""COMPUTED_VALUE"""),"2502
Talon Robotics")</f>
        <v>2502
Talon Robotics</v>
      </c>
      <c r="B11" s="6" t="str">
        <f ca="1">IFERROR(__xludf.DUMMYFUNCTION("""COMPUTED_VALUE"""),"Eden Prairie, Minnesota, USA")</f>
        <v>Eden Prairie, Minnesota, USA</v>
      </c>
      <c r="C11" s="6"/>
      <c r="D11" s="151">
        <f ca="1">IFERROR(__xludf.DUMMYFUNCTION("VALUE(REGEXEXTRACT(A11,""\d+""))"),2502)</f>
        <v>2502</v>
      </c>
      <c r="E11" s="151" t="str">
        <f ca="1">IFERROR(__xludf.DUMMYFUNCTION("IF(D11="""","""",REGEXEXTRACT(A11,""[a-zA-Z .$-]+""))"),"Talon Robotics")</f>
        <v>Talon Robotics</v>
      </c>
    </row>
    <row r="12" spans="1:5" ht="15.75" customHeight="1">
      <c r="A12" s="153" t="str">
        <f ca="1">IFERROR(__xludf.DUMMYFUNCTION("""COMPUTED_VALUE"""),"2511
Cougars")</f>
        <v>2511
Cougars</v>
      </c>
      <c r="B12" s="6" t="str">
        <f ca="1">IFERROR(__xludf.DUMMYFUNCTION("""COMPUTED_VALUE"""),"Lakeville, Minnesota, USA")</f>
        <v>Lakeville, Minnesota, USA</v>
      </c>
      <c r="C12" s="6"/>
      <c r="D12" s="151">
        <f ca="1">IFERROR(__xludf.DUMMYFUNCTION("VALUE(REGEXEXTRACT(A12,""\d+""))"),2511)</f>
        <v>2511</v>
      </c>
      <c r="E12" s="151" t="str">
        <f ca="1">IFERROR(__xludf.DUMMYFUNCTION("IF(D12="""","""",REGEXEXTRACT(A12,""[a-zA-Z .$-]+""))"),"Cougars")</f>
        <v>Cougars</v>
      </c>
    </row>
    <row r="13" spans="1:5" ht="15.75" customHeight="1">
      <c r="A13" s="153" t="str">
        <f ca="1">IFERROR(__xludf.DUMMYFUNCTION("""COMPUTED_VALUE"""),"2513
T.E.R.T.O.L.A.")</f>
        <v>2513
T.E.R.T.O.L.A.</v>
      </c>
      <c r="B13" s="6" t="str">
        <f ca="1">IFERROR(__xludf.DUMMYFUNCTION("""COMPUTED_VALUE"""),"Minneapolis, Minnesota, USA")</f>
        <v>Minneapolis, Minnesota, USA</v>
      </c>
      <c r="C13" s="6"/>
      <c r="D13" s="151">
        <f ca="1">IFERROR(__xludf.DUMMYFUNCTION("VALUE(REGEXEXTRACT(A13,""\d+""))"),2513)</f>
        <v>2513</v>
      </c>
      <c r="E13" s="151" t="str">
        <f ca="1">IFERROR(__xludf.DUMMYFUNCTION("IF(D13="""","""",REGEXEXTRACT(A13,""[a-zA-Z .$-]+""))"),"T.E.R.T.O.L.A.")</f>
        <v>T.E.R.T.O.L.A.</v>
      </c>
    </row>
    <row r="14" spans="1:5" ht="15.75" customHeight="1">
      <c r="A14" s="153" t="str">
        <f ca="1">IFERROR(__xludf.DUMMYFUNCTION("""COMPUTED_VALUE"""),"2538
The Plaid Pillagers")</f>
        <v>2538
The Plaid Pillagers</v>
      </c>
      <c r="B14" s="6" t="str">
        <f ca="1">IFERROR(__xludf.DUMMYFUNCTION("""COMPUTED_VALUE"""),"Morris, Minnesota, USA")</f>
        <v>Morris, Minnesota, USA</v>
      </c>
      <c r="C14" s="6"/>
      <c r="D14" s="151">
        <f ca="1">IFERROR(__xludf.DUMMYFUNCTION("VALUE(REGEXEXTRACT(A14,""\d+""))"),2538)</f>
        <v>2538</v>
      </c>
      <c r="E14" s="151" t="str">
        <f ca="1">IFERROR(__xludf.DUMMYFUNCTION("IF(D14="""","""",REGEXEXTRACT(A14,""[a-zA-Z .$-]+""))"),"The Plaid Pillagers")</f>
        <v>The Plaid Pillagers</v>
      </c>
    </row>
    <row r="15" spans="1:5" ht="15.75" customHeight="1">
      <c r="A15" s="153" t="str">
        <f ca="1">IFERROR(__xludf.DUMMYFUNCTION("""COMPUTED_VALUE"""),"2549
Millerbots")</f>
        <v>2549
Millerbots</v>
      </c>
      <c r="B15" s="6" t="str">
        <f ca="1">IFERROR(__xludf.DUMMYFUNCTION("""COMPUTED_VALUE"""),"Minneapolis, Minnesota, USA")</f>
        <v>Minneapolis, Minnesota, USA</v>
      </c>
      <c r="C15" s="6"/>
      <c r="D15" s="151">
        <f ca="1">IFERROR(__xludf.DUMMYFUNCTION("VALUE(REGEXEXTRACT(A15,""\d+""))"),2549)</f>
        <v>2549</v>
      </c>
      <c r="E15" s="151" t="str">
        <f ca="1">IFERROR(__xludf.DUMMYFUNCTION("IF(D15="""","""",REGEXEXTRACT(A15,""[a-zA-Z .$-]+""))"),"Millerbots")</f>
        <v>Millerbots</v>
      </c>
    </row>
    <row r="16" spans="1:5" ht="15.75" customHeight="1">
      <c r="A16" s="153" t="str">
        <f ca="1">IFERROR(__xludf.DUMMYFUNCTION("""COMPUTED_VALUE"""),"2667
Knights of the Valley")</f>
        <v>2667
Knights of the Valley</v>
      </c>
      <c r="B16" s="6" t="str">
        <f ca="1">IFERROR(__xludf.DUMMYFUNCTION("""COMPUTED_VALUE"""),"Apple Valley, Minnesota, USA")</f>
        <v>Apple Valley, Minnesota, USA</v>
      </c>
      <c r="C16" s="6"/>
      <c r="D16" s="151">
        <f ca="1">IFERROR(__xludf.DUMMYFUNCTION("VALUE(REGEXEXTRACT(A16,""\d+""))"),2667)</f>
        <v>2667</v>
      </c>
      <c r="E16" s="151" t="str">
        <f ca="1">IFERROR(__xludf.DUMMYFUNCTION("IF(D16="""","""",REGEXEXTRACT(A16,""[a-zA-Z .$-]+""))"),"Knights of the Valley")</f>
        <v>Knights of the Valley</v>
      </c>
    </row>
    <row r="17" spans="1:5" ht="15.75" customHeight="1">
      <c r="A17" s="153" t="str">
        <f ca="1">IFERROR(__xludf.DUMMYFUNCTION("""COMPUTED_VALUE"""),"2823
The Automatons")</f>
        <v>2823
The Automatons</v>
      </c>
      <c r="B17" s="6" t="str">
        <f ca="1">IFERROR(__xludf.DUMMYFUNCTION("""COMPUTED_VALUE"""),"Saint Paul, Minnesota, USA")</f>
        <v>Saint Paul, Minnesota, USA</v>
      </c>
      <c r="C17" s="6"/>
      <c r="D17" s="151">
        <f ca="1">IFERROR(__xludf.DUMMYFUNCTION("VALUE(REGEXEXTRACT(A17,""\d+""))"),2823)</f>
        <v>2823</v>
      </c>
      <c r="E17" s="151" t="str">
        <f ca="1">IFERROR(__xludf.DUMMYFUNCTION("IF(D17="""","""",REGEXEXTRACT(A17,""[a-zA-Z .$-]+""))"),"The Automatons")</f>
        <v>The Automatons</v>
      </c>
    </row>
    <row r="18" spans="1:5" ht="15.75" customHeight="1">
      <c r="A18" s="153" t="str">
        <f ca="1">IFERROR(__xludf.DUMMYFUNCTION("""COMPUTED_VALUE"""),"2846
FireBears")</f>
        <v>2846
FireBears</v>
      </c>
      <c r="B18" s="6" t="str">
        <f ca="1">IFERROR(__xludf.DUMMYFUNCTION("""COMPUTED_VALUE"""),"Roseville, Minnesota, USA")</f>
        <v>Roseville, Minnesota, USA</v>
      </c>
      <c r="C18" s="6"/>
      <c r="D18" s="151">
        <f ca="1">IFERROR(__xludf.DUMMYFUNCTION("VALUE(REGEXEXTRACT(A18,""\d+""))"),2846)</f>
        <v>2846</v>
      </c>
      <c r="E18" s="151" t="str">
        <f ca="1">IFERROR(__xludf.DUMMYFUNCTION("IF(D18="""","""",REGEXEXTRACT(A18,""[a-zA-Z .$-]+""))"),"FireBears")</f>
        <v>FireBears</v>
      </c>
    </row>
    <row r="19" spans="1:5" ht="15.75" customHeight="1">
      <c r="A19" s="153" t="str">
        <f ca="1">IFERROR(__xludf.DUMMYFUNCTION("""COMPUTED_VALUE"""),"2847
The MegaHertz")</f>
        <v>2847
The MegaHertz</v>
      </c>
      <c r="B19" s="6" t="str">
        <f ca="1">IFERROR(__xludf.DUMMYFUNCTION("""COMPUTED_VALUE"""),"Fairmont, Minnesota, USA")</f>
        <v>Fairmont, Minnesota, USA</v>
      </c>
      <c r="C19" s="6"/>
      <c r="D19" s="151">
        <f ca="1">IFERROR(__xludf.DUMMYFUNCTION("VALUE(REGEXEXTRACT(A19,""\d+""))"),2847)</f>
        <v>2847</v>
      </c>
      <c r="E19" s="151" t="str">
        <f ca="1">IFERROR(__xludf.DUMMYFUNCTION("IF(D19="""","""",REGEXEXTRACT(A19,""[a-zA-Z .$-]+""))"),"The MegaHertz")</f>
        <v>The MegaHertz</v>
      </c>
    </row>
    <row r="20" spans="1:5" ht="15.75" customHeight="1">
      <c r="A20" s="153" t="str">
        <f ca="1">IFERROR(__xludf.DUMMYFUNCTION("""COMPUTED_VALUE"""),"2855
BEASTBOT")</f>
        <v>2855
BEASTBOT</v>
      </c>
      <c r="B20" s="6" t="str">
        <f ca="1">IFERROR(__xludf.DUMMYFUNCTION("""COMPUTED_VALUE"""),"Saint Paul, Minnesota, USA")</f>
        <v>Saint Paul, Minnesota, USA</v>
      </c>
      <c r="C20" s="6"/>
      <c r="D20" s="151">
        <f ca="1">IFERROR(__xludf.DUMMYFUNCTION("VALUE(REGEXEXTRACT(A20,""\d+""))"),2855)</f>
        <v>2855</v>
      </c>
      <c r="E20" s="151" t="str">
        <f ca="1">IFERROR(__xludf.DUMMYFUNCTION("IF(D20="""","""",REGEXEXTRACT(A20,""[a-zA-Z .$-]+""))"),"BEASTBOT")</f>
        <v>BEASTBOT</v>
      </c>
    </row>
    <row r="21" spans="1:5" ht="15.75" customHeight="1">
      <c r="A21" s="153" t="str">
        <f ca="1">IFERROR(__xludf.DUMMYFUNCTION("""COMPUTED_VALUE"""),"3018
Nordic Storm")</f>
        <v>3018
Nordic Storm</v>
      </c>
      <c r="B21" s="6" t="str">
        <f ca="1">IFERROR(__xludf.DUMMYFUNCTION("""COMPUTED_VALUE"""),"Saint Peter, Minnesota, USA")</f>
        <v>Saint Peter, Minnesota, USA</v>
      </c>
      <c r="C21" s="6"/>
      <c r="D21" s="151">
        <f ca="1">IFERROR(__xludf.DUMMYFUNCTION("VALUE(REGEXEXTRACT(A21,""\d+""))"),3018)</f>
        <v>3018</v>
      </c>
      <c r="E21" s="151" t="str">
        <f ca="1">IFERROR(__xludf.DUMMYFUNCTION("IF(D21="""","""",REGEXEXTRACT(A21,""[a-zA-Z .$-]+""))"),"Nordic Storm")</f>
        <v>Nordic Storm</v>
      </c>
    </row>
    <row r="22" spans="1:5" ht="15.75" customHeight="1">
      <c r="A22" s="153" t="str">
        <f ca="1">IFERROR(__xludf.DUMMYFUNCTION("""COMPUTED_VALUE"""),"3038
ICE")</f>
        <v>3038
ICE</v>
      </c>
      <c r="B22" s="6" t="str">
        <f ca="1">IFERROR(__xludf.DUMMYFUNCTION("""COMPUTED_VALUE"""),"North Branch, Minnesota, USA")</f>
        <v>North Branch, Minnesota, USA</v>
      </c>
      <c r="C22" s="6"/>
      <c r="D22" s="151">
        <f ca="1">IFERROR(__xludf.DUMMYFUNCTION("VALUE(REGEXEXTRACT(A22,""\d+""))"),3038)</f>
        <v>3038</v>
      </c>
      <c r="E22" s="151" t="str">
        <f ca="1">IFERROR(__xludf.DUMMYFUNCTION("IF(D22="""","""",REGEXEXTRACT(A22,""[a-zA-Z .$-]+""))"),"ICE")</f>
        <v>ICE</v>
      </c>
    </row>
    <row r="23" spans="1:5" ht="15.75" customHeight="1">
      <c r="A23" s="153" t="str">
        <f ca="1">IFERROR(__xludf.DUMMYFUNCTION("""COMPUTED_VALUE"""),"3082
Chicken Bot Pie")</f>
        <v>3082
Chicken Bot Pie</v>
      </c>
      <c r="B23" s="6" t="str">
        <f ca="1">IFERROR(__xludf.DUMMYFUNCTION("""COMPUTED_VALUE"""),"Minnetonka, Minnesota, USA")</f>
        <v>Minnetonka, Minnesota, USA</v>
      </c>
      <c r="C23" s="6"/>
      <c r="D23" s="151">
        <f ca="1">IFERROR(__xludf.DUMMYFUNCTION("VALUE(REGEXEXTRACT(A23,""\d+""))"),3082)</f>
        <v>3082</v>
      </c>
      <c r="E23" s="151" t="str">
        <f ca="1">IFERROR(__xludf.DUMMYFUNCTION("IF(D23="""","""",REGEXEXTRACT(A23,""[a-zA-Z .$-]+""))"),"Chicken Bot Pie")</f>
        <v>Chicken Bot Pie</v>
      </c>
    </row>
    <row r="24" spans="1:5" ht="15.75" customHeight="1">
      <c r="A24" s="153" t="str">
        <f ca="1">IFERROR(__xludf.DUMMYFUNCTION("""COMPUTED_VALUE"""),"3297
Full Metal Jackets")</f>
        <v>3297
Full Metal Jackets</v>
      </c>
      <c r="B24" s="6" t="str">
        <f ca="1">IFERROR(__xludf.DUMMYFUNCTION("""COMPUTED_VALUE"""),"Perham, Minnesota, USA")</f>
        <v>Perham, Minnesota, USA</v>
      </c>
      <c r="C24" s="6"/>
      <c r="D24" s="151">
        <f ca="1">IFERROR(__xludf.DUMMYFUNCTION("VALUE(REGEXEXTRACT(A24,""\d+""))"),3297)</f>
        <v>3297</v>
      </c>
      <c r="E24" s="151" t="str">
        <f ca="1">IFERROR(__xludf.DUMMYFUNCTION("IF(D24="""","""",REGEXEXTRACT(A24,""[a-zA-Z .$-]+""))"),"Full Metal Jackets")</f>
        <v>Full Metal Jackets</v>
      </c>
    </row>
    <row r="25" spans="1:5" ht="15.75" customHeight="1">
      <c r="A25" s="153" t="str">
        <f ca="1">IFERROR(__xludf.DUMMYFUNCTION("""COMPUTED_VALUE"""),"3454
Z Bots")</f>
        <v>3454
Z Bots</v>
      </c>
      <c r="B25" s="6" t="str">
        <f ca="1">IFERROR(__xludf.DUMMYFUNCTION("""COMPUTED_VALUE"""),"Saint Paul, Minnesota, USA")</f>
        <v>Saint Paul, Minnesota, USA</v>
      </c>
      <c r="C25" s="6"/>
      <c r="D25" s="151">
        <f ca="1">IFERROR(__xludf.DUMMYFUNCTION("VALUE(REGEXEXTRACT(A25,""\d+""))"),3454)</f>
        <v>3454</v>
      </c>
      <c r="E25" s="151" t="str">
        <f ca="1">IFERROR(__xludf.DUMMYFUNCTION("IF(D25="""","""",REGEXEXTRACT(A25,""[a-zA-Z .$-]+""))"),"Z Bots")</f>
        <v>Z Bots</v>
      </c>
    </row>
    <row r="26" spans="1:5" ht="15.75" customHeight="1">
      <c r="A26" s="153" t="str">
        <f ca="1">IFERROR(__xludf.DUMMYFUNCTION("""COMPUTED_VALUE"""),"3630
Stampede")</f>
        <v>3630
Stampede</v>
      </c>
      <c r="B26" s="6" t="str">
        <f ca="1">IFERROR(__xludf.DUMMYFUNCTION("""COMPUTED_VALUE"""),"Minneapolis, Minnesota, USA")</f>
        <v>Minneapolis, Minnesota, USA</v>
      </c>
      <c r="C26" s="6"/>
      <c r="D26" s="151">
        <f ca="1">IFERROR(__xludf.DUMMYFUNCTION("VALUE(REGEXEXTRACT(A26,""\d+""))"),3630)</f>
        <v>3630</v>
      </c>
      <c r="E26" s="151" t="str">
        <f ca="1">IFERROR(__xludf.DUMMYFUNCTION("IF(D26="""","""",REGEXEXTRACT(A26,""[a-zA-Z .$-]+""))"),"Stampede")</f>
        <v>Stampede</v>
      </c>
    </row>
    <row r="27" spans="1:5" ht="15.75" customHeight="1">
      <c r="A27" s="153" t="str">
        <f ca="1">IFERROR(__xludf.DUMMYFUNCTION("""COMPUTED_VALUE"""),"3745
Governors")</f>
        <v>3745
Governors</v>
      </c>
      <c r="B27" s="6" t="str">
        <f ca="1">IFERROR(__xludf.DUMMYFUNCTION("""COMPUTED_VALUE"""),"Saint Paul, Minnesota, USA")</f>
        <v>Saint Paul, Minnesota, USA</v>
      </c>
      <c r="C27" s="6"/>
      <c r="D27" s="151">
        <f ca="1">IFERROR(__xludf.DUMMYFUNCTION("VALUE(REGEXEXTRACT(A27,""\d+""))"),3745)</f>
        <v>3745</v>
      </c>
      <c r="E27" s="151" t="str">
        <f ca="1">IFERROR(__xludf.DUMMYFUNCTION("IF(D27="""","""",REGEXEXTRACT(A27,""[a-zA-Z .$-]+""))"),"Governors")</f>
        <v>Governors</v>
      </c>
    </row>
    <row r="28" spans="1:5" ht="15.75" customHeight="1">
      <c r="A28" s="153" t="str">
        <f ca="1">IFERROR(__xludf.DUMMYFUNCTION("IMPORTHTML(""https://www.thebluealliance.com/event/2025mnmi#teams"",""table"",3)"),"Team")</f>
        <v>Team</v>
      </c>
      <c r="B28" s="6" t="str">
        <f ca="1">IFERROR(__xludf.DUMMYFUNCTION("""COMPUTED_VALUE"""),"Location")</f>
        <v>Location</v>
      </c>
      <c r="C28" s="6" t="str">
        <f ca="1">IFERROR(__xludf.DUMMYFUNCTION("""COMPUTED_VALUE"""),"Image")</f>
        <v>Image</v>
      </c>
      <c r="D28" s="151"/>
      <c r="E28" s="151"/>
    </row>
    <row r="29" spans="1:5" ht="15.75" customHeight="1">
      <c r="A29" s="153" t="str">
        <f ca="1">IFERROR(__xludf.DUMMYFUNCTION("""COMPUTED_VALUE"""),"3755
Dragon Robotics")</f>
        <v>3755
Dragon Robotics</v>
      </c>
      <c r="B29" s="6" t="str">
        <f ca="1">IFERROR(__xludf.DUMMYFUNCTION("""COMPUTED_VALUE"""),"Litchfield, Minnesota, USA")</f>
        <v>Litchfield, Minnesota, USA</v>
      </c>
      <c r="C29" s="6"/>
      <c r="D29" s="151">
        <f ca="1">IFERROR(__xludf.DUMMYFUNCTION("VALUE(REGEXEXTRACT(A29,""\d+""))"),3755)</f>
        <v>3755</v>
      </c>
      <c r="E29" s="151" t="str">
        <f ca="1">IFERROR(__xludf.DUMMYFUNCTION("IF(D29="""","""",REGEXEXTRACT(A29,""[a-zA-Z .$-]+""))"),"Dragon Robotics")</f>
        <v>Dragon Robotics</v>
      </c>
    </row>
    <row r="30" spans="1:5" ht="15.75" customHeight="1">
      <c r="A30" s="153" t="str">
        <f ca="1">IFERROR(__xludf.DUMMYFUNCTION("""COMPUTED_VALUE"""),"3792
Army Ants")</f>
        <v>3792
Army Ants</v>
      </c>
      <c r="B30" s="6" t="str">
        <f ca="1">IFERROR(__xludf.DUMMYFUNCTION("""COMPUTED_VALUE"""),"Columbia, Missouri, USA")</f>
        <v>Columbia, Missouri, USA</v>
      </c>
      <c r="C30" s="6"/>
      <c r="D30" s="151">
        <f ca="1">IFERROR(__xludf.DUMMYFUNCTION("VALUE(REGEXEXTRACT(A30,""\d+""))"),3792)</f>
        <v>3792</v>
      </c>
      <c r="E30" s="151" t="str">
        <f ca="1">IFERROR(__xludf.DUMMYFUNCTION("IF(D30="""","""",REGEXEXTRACT(A30,""[a-zA-Z .$-]+""))"),"Army Ants")</f>
        <v>Army Ants</v>
      </c>
    </row>
    <row r="31" spans="1:5" ht="15.75" customHeight="1">
      <c r="A31" s="153" t="str">
        <f ca="1">IFERROR(__xludf.DUMMYFUNCTION("""COMPUTED_VALUE"""),"3883
Data Bits")</f>
        <v>3883
Data Bits</v>
      </c>
      <c r="B31" s="6" t="str">
        <f ca="1">IFERROR(__xludf.DUMMYFUNCTION("""COMPUTED_VALUE"""),"Cottage Grove, Minnesota, USA")</f>
        <v>Cottage Grove, Minnesota, USA</v>
      </c>
      <c r="C31" s="6"/>
      <c r="D31" s="151">
        <f ca="1">IFERROR(__xludf.DUMMYFUNCTION("VALUE(REGEXEXTRACT(A31,""\d+""))"),3883)</f>
        <v>3883</v>
      </c>
      <c r="E31" s="151" t="str">
        <f ca="1">IFERROR(__xludf.DUMMYFUNCTION("IF(D31="""","""",REGEXEXTRACT(A31,""[a-zA-Z .$-]+""))"),"Data Bits")</f>
        <v>Data Bits</v>
      </c>
    </row>
    <row r="32" spans="1:5" ht="15.75" customHeight="1">
      <c r="A32" s="153" t="str">
        <f ca="1">IFERROR(__xludf.DUMMYFUNCTION("""COMPUTED_VALUE"""),"3891
Rodeo Robotics")</f>
        <v>3891
Rodeo Robotics</v>
      </c>
      <c r="B32" s="6" t="str">
        <f ca="1">IFERROR(__xludf.DUMMYFUNCTION("""COMPUTED_VALUE"""),"Golden Valley, Minnesota, USA")</f>
        <v>Golden Valley, Minnesota, USA</v>
      </c>
      <c r="C32" s="6"/>
      <c r="D32" s="151">
        <f ca="1">IFERROR(__xludf.DUMMYFUNCTION("VALUE(REGEXEXTRACT(A32,""\d+""))"),3891)</f>
        <v>3891</v>
      </c>
      <c r="E32" s="151" t="str">
        <f ca="1">IFERROR(__xludf.DUMMYFUNCTION("IF(D32="""","""",REGEXEXTRACT(A32,""[a-zA-Z .$-]+""))"),"Rodeo Robotics")</f>
        <v>Rodeo Robotics</v>
      </c>
    </row>
    <row r="33" spans="1:5" ht="15.75" customHeight="1">
      <c r="A33" s="153" t="str">
        <f ca="1">IFERROR(__xludf.DUMMYFUNCTION("""COMPUTED_VALUE"""),"3926
MPArors")</f>
        <v>3926
MPArors</v>
      </c>
      <c r="B33" s="6" t="str">
        <f ca="1">IFERROR(__xludf.DUMMYFUNCTION("""COMPUTED_VALUE"""),"Saint Paul, Minnesota, USA")</f>
        <v>Saint Paul, Minnesota, USA</v>
      </c>
      <c r="C33" s="6"/>
      <c r="D33" s="151">
        <f ca="1">IFERROR(__xludf.DUMMYFUNCTION("VALUE(REGEXEXTRACT(A33,""\d+""))"),3926)</f>
        <v>3926</v>
      </c>
      <c r="E33" s="151" t="str">
        <f ca="1">IFERROR(__xludf.DUMMYFUNCTION("IF(D33="""","""",REGEXEXTRACT(A33,""[a-zA-Z .$-]+""))"),"MPArors")</f>
        <v>MPArors</v>
      </c>
    </row>
    <row r="34" spans="1:5" ht="15.75" customHeight="1">
      <c r="A34" s="153" t="str">
        <f ca="1">IFERROR(__xludf.DUMMYFUNCTION("""COMPUTED_VALUE"""),"4174
Mustang Robotics")</f>
        <v>4174
Mustang Robotics</v>
      </c>
      <c r="B34" s="6" t="str">
        <f ca="1">IFERROR(__xludf.DUMMYFUNCTION("""COMPUTED_VALUE"""),"Hector, Minnesota, USA")</f>
        <v>Hector, Minnesota, USA</v>
      </c>
      <c r="C34" s="6"/>
      <c r="D34" s="151">
        <f ca="1">IFERROR(__xludf.DUMMYFUNCTION("VALUE(REGEXEXTRACT(A34,""\d+""))"),4174)</f>
        <v>4174</v>
      </c>
      <c r="E34" s="151" t="str">
        <f ca="1">IFERROR(__xludf.DUMMYFUNCTION("IF(D34="""","""",REGEXEXTRACT(A34,""[a-zA-Z .$-]+""))"),"Mustang Robotics")</f>
        <v>Mustang Robotics</v>
      </c>
    </row>
    <row r="35" spans="1:5" ht="36">
      <c r="A35" s="153" t="str">
        <f ca="1">IFERROR(__xludf.DUMMYFUNCTION("""COMPUTED_VALUE"""),"4225
RoboCats")</f>
        <v>4225
RoboCats</v>
      </c>
      <c r="B35" s="6" t="str">
        <f ca="1">IFERROR(__xludf.DUMMYFUNCTION("""COMPUTED_VALUE"""),"Saint Paul, Minnesota, USA")</f>
        <v>Saint Paul, Minnesota, USA</v>
      </c>
      <c r="C35" s="6"/>
      <c r="D35" s="151">
        <f ca="1">IFERROR(__xludf.DUMMYFUNCTION("VALUE(REGEXEXTRACT(A35,""\d+""))"),4225)</f>
        <v>4225</v>
      </c>
      <c r="E35" s="151" t="str">
        <f ca="1">IFERROR(__xludf.DUMMYFUNCTION("IF(D35="""","""",REGEXEXTRACT(A35,""[a-zA-Z .$-]+""))"),"RoboCats")</f>
        <v>RoboCats</v>
      </c>
    </row>
    <row r="36" spans="1:5" ht="36">
      <c r="A36" s="153" t="str">
        <f ca="1">IFERROR(__xludf.DUMMYFUNCTION("""COMPUTED_VALUE"""),"4229
Magnetech")</f>
        <v>4229
Magnetech</v>
      </c>
      <c r="B36" s="6" t="str">
        <f ca="1">IFERROR(__xludf.DUMMYFUNCTION("""COMPUTED_VALUE"""),"Saint Paul, Minnesota, USA")</f>
        <v>Saint Paul, Minnesota, USA</v>
      </c>
      <c r="C36" s="6"/>
      <c r="D36" s="151">
        <f ca="1">IFERROR(__xludf.DUMMYFUNCTION("VALUE(REGEXEXTRACT(A36,""\d+""))"),4229)</f>
        <v>4229</v>
      </c>
      <c r="E36" s="151" t="str">
        <f ca="1">IFERROR(__xludf.DUMMYFUNCTION("IF(D36="""","""",REGEXEXTRACT(A36,""[a-zA-Z .$-]+""))"),"Magnetech")</f>
        <v>Magnetech</v>
      </c>
    </row>
    <row r="37" spans="1:5" ht="36">
      <c r="A37" s="153" t="str">
        <f ca="1">IFERROR(__xludf.DUMMYFUNCTION("""COMPUTED_VALUE"""),"4663
Cyber Tigers")</f>
        <v>4663
Cyber Tigers</v>
      </c>
      <c r="B37" s="6" t="str">
        <f ca="1">IFERROR(__xludf.DUMMYFUNCTION("""COMPUTED_VALUE"""),"Belle Plaine, Minnesota, USA")</f>
        <v>Belle Plaine, Minnesota, USA</v>
      </c>
      <c r="C37" s="6"/>
      <c r="D37" s="151">
        <f ca="1">IFERROR(__xludf.DUMMYFUNCTION("VALUE(REGEXEXTRACT(A37,""\d+""))"),4663)</f>
        <v>4663</v>
      </c>
      <c r="E37" s="151" t="str">
        <f ca="1">IFERROR(__xludf.DUMMYFUNCTION("IF(D37="""","""",REGEXEXTRACT(A37,""[a-zA-Z .$-]+""))"),"Cyber Tigers")</f>
        <v>Cyber Tigers</v>
      </c>
    </row>
    <row r="38" spans="1:5" ht="36">
      <c r="A38" s="153" t="str">
        <f ca="1">IFERROR(__xludf.DUMMYFUNCTION("""COMPUTED_VALUE"""),"4664
Butler Bots")</f>
        <v>4664
Butler Bots</v>
      </c>
      <c r="B38" s="6" t="str">
        <f ca="1">IFERROR(__xludf.DUMMYFUNCTION("""COMPUTED_VALUE"""),"Andover, Minnesota, USA")</f>
        <v>Andover, Minnesota, USA</v>
      </c>
      <c r="C38" s="6"/>
      <c r="D38" s="151">
        <f ca="1">IFERROR(__xludf.DUMMYFUNCTION("VALUE(REGEXEXTRACT(A38,""\d+""))"),4664)</f>
        <v>4664</v>
      </c>
      <c r="E38" s="151" t="str">
        <f ca="1">IFERROR(__xludf.DUMMYFUNCTION("IF(D38="""","""",REGEXEXTRACT(A38,""[a-zA-Z .$-]+""))"),"Butler Bots")</f>
        <v>Butler Bots</v>
      </c>
    </row>
    <row r="39" spans="1:5" ht="36">
      <c r="A39" s="153" t="str">
        <f ca="1">IFERROR(__xludf.DUMMYFUNCTION("""COMPUTED_VALUE"""),"4687
Spartobots")</f>
        <v>4687
Spartobots</v>
      </c>
      <c r="B39" s="6" t="str">
        <f ca="1">IFERROR(__xludf.DUMMYFUNCTION("""COMPUTED_VALUE"""),"Orono, Minnesota, USA")</f>
        <v>Orono, Minnesota, USA</v>
      </c>
      <c r="C39" s="6"/>
      <c r="D39" s="151">
        <f ca="1">IFERROR(__xludf.DUMMYFUNCTION("VALUE(REGEXEXTRACT(A39,""\d+""))"),4687)</f>
        <v>4687</v>
      </c>
      <c r="E39" s="151" t="str">
        <f ca="1">IFERROR(__xludf.DUMMYFUNCTION("IF(D39="""","""",REGEXEXTRACT(A39,""[a-zA-Z .$-]+""))"),"Spartobots")</f>
        <v>Spartobots</v>
      </c>
    </row>
    <row r="40" spans="1:5" ht="36">
      <c r="A40" s="153" t="str">
        <f ca="1">IFERROR(__xludf.DUMMYFUNCTION("""COMPUTED_VALUE"""),"4778
Stormbots")</f>
        <v>4778
Stormbots</v>
      </c>
      <c r="B40" s="6" t="str">
        <f ca="1">IFERROR(__xludf.DUMMYFUNCTION("""COMPUTED_VALUE"""),"Chanhassen, Minnesota, USA")</f>
        <v>Chanhassen, Minnesota, USA</v>
      </c>
      <c r="C40" s="6"/>
      <c r="D40" s="151">
        <f ca="1">IFERROR(__xludf.DUMMYFUNCTION("VALUE(REGEXEXTRACT(A40,""\d+""))"),4778)</f>
        <v>4778</v>
      </c>
      <c r="E40" s="151" t="str">
        <f ca="1">IFERROR(__xludf.DUMMYFUNCTION("IF(D40="""","""",REGEXEXTRACT(A40,""[a-zA-Z .$-]+""))"),"Stormbots")</f>
        <v>Stormbots</v>
      </c>
    </row>
    <row r="41" spans="1:5" ht="36">
      <c r="A41" s="153" t="str">
        <f ca="1">IFERROR(__xludf.DUMMYFUNCTION("""COMPUTED_VALUE"""),"5271
Open Circuits")</f>
        <v>5271
Open Circuits</v>
      </c>
      <c r="B41" s="6" t="str">
        <f ca="1">IFERROR(__xludf.DUMMYFUNCTION("""COMPUTED_VALUE"""),"Saint Paul, Minnesota, USA")</f>
        <v>Saint Paul, Minnesota, USA</v>
      </c>
      <c r="C41" s="6"/>
      <c r="D41" s="151">
        <f ca="1">IFERROR(__xludf.DUMMYFUNCTION("VALUE(REGEXEXTRACT(A41,""\d+""))"),5271)</f>
        <v>5271</v>
      </c>
      <c r="E41" s="151" t="str">
        <f ca="1">IFERROR(__xludf.DUMMYFUNCTION("IF(D41="""","""",REGEXEXTRACT(A41,""[a-zA-Z .$-]+""))"),"Open Circuits")</f>
        <v>Open Circuits</v>
      </c>
    </row>
    <row r="42" spans="1:5" ht="36">
      <c r="A42" s="153" t="str">
        <f ca="1">IFERROR(__xludf.DUMMYFUNCTION("""COMPUTED_VALUE"""),"5464
Bluejacket Robotics")</f>
        <v>5464
Bluejacket Robotics</v>
      </c>
      <c r="B42" s="6" t="str">
        <f ca="1">IFERROR(__xludf.DUMMYFUNCTION("""COMPUTED_VALUE"""),"Cambridge, Minnesota, USA")</f>
        <v>Cambridge, Minnesota, USA</v>
      </c>
      <c r="C42" s="6"/>
      <c r="D42" s="151">
        <f ca="1">IFERROR(__xludf.DUMMYFUNCTION("VALUE(REGEXEXTRACT(A42,""\d+""))"),5464)</f>
        <v>5464</v>
      </c>
      <c r="E42" s="151" t="str">
        <f ca="1">IFERROR(__xludf.DUMMYFUNCTION("IF(D42="""","""",REGEXEXTRACT(A42,""[a-zA-Z .$-]+""))"),"Bluejacket Robotics")</f>
        <v>Bluejacket Robotics</v>
      </c>
    </row>
    <row r="43" spans="1:5" ht="36">
      <c r="A43" s="153" t="str">
        <f ca="1">IFERROR(__xludf.DUMMYFUNCTION("""COMPUTED_VALUE"""),"5541
Shakopee Sabers")</f>
        <v>5541
Shakopee Sabers</v>
      </c>
      <c r="B43" s="6" t="str">
        <f ca="1">IFERROR(__xludf.DUMMYFUNCTION("""COMPUTED_VALUE"""),"Shakopee, Minnesota, USA")</f>
        <v>Shakopee, Minnesota, USA</v>
      </c>
      <c r="C43" s="6"/>
      <c r="D43" s="151">
        <f ca="1">IFERROR(__xludf.DUMMYFUNCTION("VALUE(REGEXEXTRACT(A43,""\d+""))"),5541)</f>
        <v>5541</v>
      </c>
      <c r="E43" s="151" t="str">
        <f ca="1">IFERROR(__xludf.DUMMYFUNCTION("IF(D43="""","""",REGEXEXTRACT(A43,""[a-zA-Z .$-]+""))"),"Shakopee Sabers")</f>
        <v>Shakopee Sabers</v>
      </c>
    </row>
    <row r="44" spans="1:5" ht="36">
      <c r="A44" s="153" t="str">
        <f ca="1">IFERROR(__xludf.DUMMYFUNCTION("""COMPUTED_VALUE"""),"5996
R.U.R.")</f>
        <v>5996
R.U.R.</v>
      </c>
      <c r="B44" s="6" t="str">
        <f ca="1">IFERROR(__xludf.DUMMYFUNCTION("""COMPUTED_VALUE"""),"Prague, Praha, Hlavní město, Czech Republic")</f>
        <v>Prague, Praha, Hlavní město, Czech Republic</v>
      </c>
      <c r="C44" s="6"/>
      <c r="D44" s="151">
        <f ca="1">IFERROR(__xludf.DUMMYFUNCTION("VALUE(REGEXEXTRACT(A44,""\d+""))"),5996)</f>
        <v>5996</v>
      </c>
      <c r="E44" s="151" t="str">
        <f ca="1">IFERROR(__xludf.DUMMYFUNCTION("IF(D44="""","""",REGEXEXTRACT(A44,""[a-zA-Z .$-]+""))"),"R.U.R.")</f>
        <v>R.U.R.</v>
      </c>
    </row>
    <row r="45" spans="1:5" ht="36">
      <c r="A45" s="153" t="str">
        <f ca="1">IFERROR(__xludf.DUMMYFUNCTION("""COMPUTED_VALUE"""),"6045
Sabre Robotics")</f>
        <v>6045
Sabre Robotics</v>
      </c>
      <c r="B45" s="6" t="str">
        <f ca="1">IFERROR(__xludf.DUMMYFUNCTION("""COMPUTED_VALUE"""),"Sartell, Minnesota, USA")</f>
        <v>Sartell, Minnesota, USA</v>
      </c>
      <c r="C45" s="6"/>
      <c r="D45" s="151">
        <f ca="1">IFERROR(__xludf.DUMMYFUNCTION("VALUE(REGEXEXTRACT(A45,""\d+""))"),6045)</f>
        <v>6045</v>
      </c>
      <c r="E45" s="151" t="str">
        <f ca="1">IFERROR(__xludf.DUMMYFUNCTION("IF(D45="""","""",REGEXEXTRACT(A45,""[a-zA-Z .$-]+""))"),"Sabre Robotics")</f>
        <v>Sabre Robotics</v>
      </c>
    </row>
    <row r="46" spans="1:5" ht="36">
      <c r="A46" s="153" t="str">
        <f ca="1">IFERROR(__xludf.DUMMYFUNCTION("""COMPUTED_VALUE"""),"6217
Bomb-Botz")</f>
        <v>6217
Bomb-Botz</v>
      </c>
      <c r="B46" s="6" t="str">
        <f ca="1">IFERROR(__xludf.DUMMYFUNCTION("""COMPUTED_VALUE"""),"Cannon Falls, Minnesota, USA")</f>
        <v>Cannon Falls, Minnesota, USA</v>
      </c>
      <c r="C46" s="6"/>
      <c r="D46" s="151">
        <f ca="1">IFERROR(__xludf.DUMMYFUNCTION("VALUE(REGEXEXTRACT(A46,""\d+""))"),6217)</f>
        <v>6217</v>
      </c>
      <c r="E46" s="151" t="str">
        <f ca="1">IFERROR(__xludf.DUMMYFUNCTION("IF(D46="""","""",REGEXEXTRACT(A46,""[a-zA-Z .$-]+""))"),"Bomb-Botz")</f>
        <v>Bomb-Botz</v>
      </c>
    </row>
    <row r="47" spans="1:5" ht="36">
      <c r="A47" s="153" t="str">
        <f ca="1">IFERROR(__xludf.DUMMYFUNCTION("""COMPUTED_VALUE"""),"6909
SAKURA Tempesta")</f>
        <v>6909
SAKURA Tempesta</v>
      </c>
      <c r="B47" s="6" t="str">
        <f ca="1">IFERROR(__xludf.DUMMYFUNCTION("""COMPUTED_VALUE"""),"Chiba, Chiba, Japan")</f>
        <v>Chiba, Chiba, Japan</v>
      </c>
      <c r="C47" s="6"/>
      <c r="D47" s="151">
        <f ca="1">IFERROR(__xludf.DUMMYFUNCTION("VALUE(REGEXEXTRACT(A47,""\d+""))"),6909)</f>
        <v>6909</v>
      </c>
      <c r="E47" s="151" t="str">
        <f ca="1">IFERROR(__xludf.DUMMYFUNCTION("IF(D47="""","""",REGEXEXTRACT(A47,""[a-zA-Z .$-]+""))"),"SAKURA Tempesta")</f>
        <v>SAKURA Tempesta</v>
      </c>
    </row>
    <row r="48" spans="1:5" ht="54">
      <c r="A48" s="153" t="str">
        <f ca="1">IFERROR(__xludf.DUMMYFUNCTION("""COMPUTED_VALUE"""),"7068
Mechanical Masterminds")</f>
        <v>7068
Mechanical Masterminds</v>
      </c>
      <c r="B48" s="6" t="str">
        <f ca="1">IFERROR(__xludf.DUMMYFUNCTION("""COMPUTED_VALUE"""),"Saint Francis, Minnesota, USA")</f>
        <v>Saint Francis, Minnesota, USA</v>
      </c>
      <c r="C48" s="6"/>
      <c r="D48" s="151">
        <f ca="1">IFERROR(__xludf.DUMMYFUNCTION("VALUE(REGEXEXTRACT(A48,""\d+""))"),7068)</f>
        <v>7068</v>
      </c>
      <c r="E48" s="151" t="str">
        <f ca="1">IFERROR(__xludf.DUMMYFUNCTION("IF(D48="""","""",REGEXEXTRACT(A48,""[a-zA-Z .$-]+""))"),"Mechanical Masterminds")</f>
        <v>Mechanical Masterminds</v>
      </c>
    </row>
    <row r="49" spans="1:5" ht="36">
      <c r="A49" s="153" t="str">
        <f ca="1">IFERROR(__xludf.DUMMYFUNCTION("""COMPUTED_VALUE"""),"7594
Nautilus")</f>
        <v>7594
Nautilus</v>
      </c>
      <c r="B49" s="6" t="str">
        <f ca="1">IFERROR(__xludf.DUMMYFUNCTION("""COMPUTED_VALUE"""),"Shenzhen, Guangdong, China")</f>
        <v>Shenzhen, Guangdong, China</v>
      </c>
      <c r="C49" s="6"/>
      <c r="D49" s="151">
        <f ca="1">IFERROR(__xludf.DUMMYFUNCTION("VALUE(REGEXEXTRACT(A49,""\d+""))"),7594)</f>
        <v>7594</v>
      </c>
      <c r="E49" s="151" t="str">
        <f ca="1">IFERROR(__xludf.DUMMYFUNCTION("IF(D49="""","""",REGEXEXTRACT(A49,""[a-zA-Z .$-]+""))"),"Nautilus")</f>
        <v>Nautilus</v>
      </c>
    </row>
    <row r="50" spans="1:5" ht="36">
      <c r="A50" s="153" t="str">
        <f ca="1">IFERROR(__xludf.DUMMYFUNCTION("""COMPUTED_VALUE"""),"7849
Da Vinci's Creation")</f>
        <v>7849
Da Vinci's Creation</v>
      </c>
      <c r="B50" s="6" t="str">
        <f ca="1">IFERROR(__xludf.DUMMYFUNCTION("""COMPUTED_VALUE"""),"Saint Paul, Minnesota, USA")</f>
        <v>Saint Paul, Minnesota, USA</v>
      </c>
      <c r="C50" s="6"/>
      <c r="D50" s="151">
        <f ca="1">IFERROR(__xludf.DUMMYFUNCTION("VALUE(REGEXEXTRACT(A50,""\d+""))"),7849)</f>
        <v>7849</v>
      </c>
      <c r="E50" s="151" t="str">
        <f ca="1">IFERROR(__xludf.DUMMYFUNCTION("IF(D50="""","""",REGEXEXTRACT(A50,""[a-zA-Z' .$-]+""))"),"Da Vinci's Creation")</f>
        <v>Da Vinci's Creation</v>
      </c>
    </row>
    <row r="51" spans="1:5" ht="36">
      <c r="A51" s="153" t="str">
        <f ca="1">IFERROR(__xludf.DUMMYFUNCTION("""COMPUTED_VALUE"""),"7850
C.A.R.D.S.")</f>
        <v>7850
C.A.R.D.S.</v>
      </c>
      <c r="B51" s="6" t="str">
        <f ca="1">IFERROR(__xludf.DUMMYFUNCTION("""COMPUTED_VALUE"""),"Coon Rapids, Minnesota, USA")</f>
        <v>Coon Rapids, Minnesota, USA</v>
      </c>
      <c r="C51" s="6"/>
      <c r="D51" s="151">
        <f ca="1">IFERROR(__xludf.DUMMYFUNCTION("VALUE(REGEXEXTRACT(A51,""\d+""))"),7850)</f>
        <v>7850</v>
      </c>
      <c r="E51" s="151" t="str">
        <f ca="1">IFERROR(__xludf.DUMMYFUNCTION("IF(D51="""","""",REGEXEXTRACT(A51,""[a-zA-Z .$-]+""))"),"C.A.R.D.S.")</f>
        <v>C.A.R.D.S.</v>
      </c>
    </row>
    <row r="52" spans="1:5" ht="36">
      <c r="A52" s="153" t="str">
        <f ca="1">IFERROR(__xludf.DUMMYFUNCTION("""COMPUTED_VALUE"""),"8234
Panthinators")</f>
        <v>8234
Panthinators</v>
      </c>
      <c r="B52" s="6" t="str">
        <f ca="1">IFERROR(__xludf.DUMMYFUNCTION("""COMPUTED_VALUE"""),"Minneapolis, Minnesota, USA")</f>
        <v>Minneapolis, Minnesota, USA</v>
      </c>
      <c r="C52" s="6"/>
      <c r="D52" s="151">
        <f ca="1">IFERROR(__xludf.DUMMYFUNCTION("VALUE(REGEXEXTRACT(A52,""\d+""))"),8234)</f>
        <v>8234</v>
      </c>
      <c r="E52" s="151" t="str">
        <f ca="1">IFERROR(__xludf.DUMMYFUNCTION("IF(D52="""","""",REGEXEXTRACT(A52,""[a-zA-Z .$-]+""))"),"Panthinators")</f>
        <v>Panthinators</v>
      </c>
    </row>
    <row r="53" spans="1:5" ht="36">
      <c r="A53" s="153" t="str">
        <f ca="1">IFERROR(__xludf.DUMMYFUNCTION("""COMPUTED_VALUE"""),"8570
Binary-Bolts")</f>
        <v>8570
Binary-Bolts</v>
      </c>
      <c r="B53" s="6" t="str">
        <f ca="1">IFERROR(__xludf.DUMMYFUNCTION("""COMPUTED_VALUE"""),"Mumbai, Maharashtra, India")</f>
        <v>Mumbai, Maharashtra, India</v>
      </c>
      <c r="C53" s="6"/>
      <c r="D53" s="151">
        <f ca="1">IFERROR(__xludf.DUMMYFUNCTION("VALUE(REGEXEXTRACT(A53,""\d+""))"),8570)</f>
        <v>8570</v>
      </c>
      <c r="E53" s="151" t="str">
        <f ca="1">IFERROR(__xludf.DUMMYFUNCTION("IF(D53="""","""",REGEXEXTRACT(A53,""[a-zA-Z .$-]+""))"),"Binary-Bolts")</f>
        <v>Binary-Bolts</v>
      </c>
    </row>
    <row r="54" spans="1:5" ht="18">
      <c r="A54" s="153"/>
    </row>
    <row r="55" spans="1:5" ht="18">
      <c r="A55" s="15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9900"/>
    <outlinePr summaryBelow="0" summaryRight="0"/>
  </sheetPr>
  <dimension ref="A1:K55"/>
  <sheetViews>
    <sheetView workbookViewId="0"/>
  </sheetViews>
  <sheetFormatPr defaultColWidth="12.5703125" defaultRowHeight="15.75" customHeight="1"/>
  <cols>
    <col min="1" max="1" width="19" customWidth="1"/>
    <col min="2" max="2" width="26.28515625" customWidth="1"/>
    <col min="4" max="4" width="8.85546875" customWidth="1"/>
    <col min="5" max="5" width="15.42578125" customWidth="1"/>
    <col min="6" max="6" width="7.7109375" customWidth="1"/>
    <col min="10" max="10" width="11.42578125" customWidth="1"/>
  </cols>
  <sheetData>
    <row r="1" spans="1:11">
      <c r="A1" s="6" t="str">
        <f ca="1">IFERROR(__xludf.DUMMYFUNCTION("IMPORTHTML(""https://frc-events.firstinspires.org/2025/MNMI/rankings"",""table"",1)"),"Rank")</f>
        <v>Rank</v>
      </c>
      <c r="B1" s="6" t="str">
        <f ca="1">IFERROR(__xludf.DUMMYFUNCTION("""COMPUTED_VALUE"""),"Team")</f>
        <v>Team</v>
      </c>
      <c r="C1" s="6" t="str">
        <f ca="1">IFERROR(__xludf.DUMMYFUNCTION("""COMPUTED_VALUE"""),"Ranking Score")</f>
        <v>Ranking Score</v>
      </c>
      <c r="D1" s="6" t="str">
        <f ca="1">IFERROR(__xludf.DUMMYFUNCTION("""COMPUTED_VALUE"""),"Coop")</f>
        <v>Coop</v>
      </c>
      <c r="E1" s="6" t="str">
        <f ca="1">IFERROR(__xludf.DUMMYFUNCTION("""COMPUTED_VALUE"""),"Match")</f>
        <v>Match</v>
      </c>
      <c r="F1" s="6" t="str">
        <f ca="1">IFERROR(__xludf.DUMMYFUNCTION("""COMPUTED_VALUE"""),"Auto")</f>
        <v>Auto</v>
      </c>
      <c r="G1" s="6" t="str">
        <f ca="1">IFERROR(__xludf.DUMMYFUNCTION("""COMPUTED_VALUE"""),"Barge")</f>
        <v>Barge</v>
      </c>
      <c r="H1" s="6" t="str">
        <f ca="1">IFERROR(__xludf.DUMMYFUNCTION("""COMPUTED_VALUE"""),"W-L-T")</f>
        <v>W-L-T</v>
      </c>
      <c r="I1" s="6" t="str">
        <f ca="1">IFERROR(__xludf.DUMMYFUNCTION("""COMPUTED_VALUE"""),"Matches Played")</f>
        <v>Matches Played</v>
      </c>
    </row>
    <row r="2" spans="1:11">
      <c r="J2" s="151"/>
      <c r="K2" s="6" t="str">
        <f ca="1">IFERROR(__xludf.DUMMYFUNCTION("VALUE(REGEXEXTRACT(B2,""\d+""))"),"#N/A")</f>
        <v>#N/A</v>
      </c>
    </row>
    <row r="3" spans="1:11">
      <c r="J3" s="151"/>
      <c r="K3" s="6" t="str">
        <f ca="1">IFERROR(__xludf.DUMMYFUNCTION("VALUE(REGEXEXTRACT(B3,""\d+""))"),"#N/A")</f>
        <v>#N/A</v>
      </c>
    </row>
    <row r="4" spans="1:11">
      <c r="J4" s="151"/>
      <c r="K4" s="6" t="str">
        <f ca="1">IFERROR(__xludf.DUMMYFUNCTION("VALUE(REGEXEXTRACT(B4,""\d+""))"),"#N/A")</f>
        <v>#N/A</v>
      </c>
    </row>
    <row r="5" spans="1:11">
      <c r="J5" s="151"/>
      <c r="K5" s="6" t="str">
        <f ca="1">IFERROR(__xludf.DUMMYFUNCTION("VALUE(REGEXEXTRACT(B5,""\d+""))"),"#N/A")</f>
        <v>#N/A</v>
      </c>
    </row>
    <row r="6" spans="1:11">
      <c r="J6" s="151"/>
      <c r="K6" s="6" t="str">
        <f ca="1">IFERROR(__xludf.DUMMYFUNCTION("VALUE(REGEXEXTRACT(B6,""\d+""))"),"#N/A")</f>
        <v>#N/A</v>
      </c>
    </row>
    <row r="7" spans="1:11">
      <c r="J7" s="151"/>
      <c r="K7" s="6" t="str">
        <f ca="1">IFERROR(__xludf.DUMMYFUNCTION("VALUE(REGEXEXTRACT(B7,""\d+""))"),"#N/A")</f>
        <v>#N/A</v>
      </c>
    </row>
    <row r="8" spans="1:11">
      <c r="J8" s="151"/>
      <c r="K8" s="6" t="str">
        <f ca="1">IFERROR(__xludf.DUMMYFUNCTION("VALUE(REGEXEXTRACT(B8,""\d+""))"),"#N/A")</f>
        <v>#N/A</v>
      </c>
    </row>
    <row r="9" spans="1:11">
      <c r="J9" s="151"/>
      <c r="K9" s="6" t="str">
        <f ca="1">IFERROR(__xludf.DUMMYFUNCTION("VALUE(REGEXEXTRACT(B9,""\d+""))"),"#N/A")</f>
        <v>#N/A</v>
      </c>
    </row>
    <row r="10" spans="1:11">
      <c r="J10" s="151"/>
      <c r="K10" s="6" t="str">
        <f ca="1">IFERROR(__xludf.DUMMYFUNCTION("VALUE(REGEXEXTRACT(B10,""\d+""))"),"#N/A")</f>
        <v>#N/A</v>
      </c>
    </row>
    <row r="11" spans="1:11">
      <c r="J11" s="151"/>
      <c r="K11" s="6" t="str">
        <f ca="1">IFERROR(__xludf.DUMMYFUNCTION("VALUE(REGEXEXTRACT(B11,""\d+""))"),"#N/A")</f>
        <v>#N/A</v>
      </c>
    </row>
    <row r="12" spans="1:11">
      <c r="J12" s="151"/>
      <c r="K12" s="6" t="str">
        <f ca="1">IFERROR(__xludf.DUMMYFUNCTION("VALUE(REGEXEXTRACT(B12,""\d+""))"),"#N/A")</f>
        <v>#N/A</v>
      </c>
    </row>
    <row r="13" spans="1:11">
      <c r="J13" s="151"/>
      <c r="K13" s="6" t="str">
        <f ca="1">IFERROR(__xludf.DUMMYFUNCTION("VALUE(REGEXEXTRACT(B13,""\d+""))"),"#N/A")</f>
        <v>#N/A</v>
      </c>
    </row>
    <row r="14" spans="1:11">
      <c r="J14" s="151"/>
      <c r="K14" s="6" t="str">
        <f ca="1">IFERROR(__xludf.DUMMYFUNCTION("VALUE(REGEXEXTRACT(B14,""\d+""))"),"#N/A")</f>
        <v>#N/A</v>
      </c>
    </row>
    <row r="15" spans="1:11">
      <c r="J15" s="151"/>
      <c r="K15" s="6" t="str">
        <f ca="1">IFERROR(__xludf.DUMMYFUNCTION("VALUE(REGEXEXTRACT(B15,""\d+""))"),"#N/A")</f>
        <v>#N/A</v>
      </c>
    </row>
    <row r="16" spans="1:11">
      <c r="J16" s="151"/>
      <c r="K16" s="6" t="str">
        <f ca="1">IFERROR(__xludf.DUMMYFUNCTION("VALUE(REGEXEXTRACT(B16,""\d+""))"),"#N/A")</f>
        <v>#N/A</v>
      </c>
    </row>
    <row r="17" spans="10:11">
      <c r="J17" s="151"/>
      <c r="K17" s="6" t="str">
        <f ca="1">IFERROR(__xludf.DUMMYFUNCTION("VALUE(REGEXEXTRACT(B17,""\d+""))"),"#N/A")</f>
        <v>#N/A</v>
      </c>
    </row>
    <row r="18" spans="10:11">
      <c r="J18" s="151"/>
      <c r="K18" s="6" t="str">
        <f ca="1">IFERROR(__xludf.DUMMYFUNCTION("VALUE(REGEXEXTRACT(B18,""\d+""))"),"#N/A")</f>
        <v>#N/A</v>
      </c>
    </row>
    <row r="19" spans="10:11">
      <c r="J19" s="151"/>
      <c r="K19" s="6" t="str">
        <f ca="1">IFERROR(__xludf.DUMMYFUNCTION("VALUE(REGEXEXTRACT(B19,""\d+""))"),"#N/A")</f>
        <v>#N/A</v>
      </c>
    </row>
    <row r="20" spans="10:11">
      <c r="J20" s="151"/>
      <c r="K20" s="6" t="str">
        <f ca="1">IFERROR(__xludf.DUMMYFUNCTION("VALUE(REGEXEXTRACT(B20,""\d+""))"),"#N/A")</f>
        <v>#N/A</v>
      </c>
    </row>
    <row r="21" spans="10:11">
      <c r="J21" s="151"/>
      <c r="K21" s="6" t="str">
        <f ca="1">IFERROR(__xludf.DUMMYFUNCTION("VALUE(REGEXEXTRACT(B21,""\d+""))"),"#N/A")</f>
        <v>#N/A</v>
      </c>
    </row>
    <row r="22" spans="10:11">
      <c r="J22" s="151"/>
      <c r="K22" s="6" t="str">
        <f ca="1">IFERROR(__xludf.DUMMYFUNCTION("VALUE(REGEXEXTRACT(B22,""\d+""))"),"#N/A")</f>
        <v>#N/A</v>
      </c>
    </row>
    <row r="23" spans="10:11">
      <c r="J23" s="151"/>
      <c r="K23" s="6" t="str">
        <f ca="1">IFERROR(__xludf.DUMMYFUNCTION("VALUE(REGEXEXTRACT(B23,""\d+""))"),"#N/A")</f>
        <v>#N/A</v>
      </c>
    </row>
    <row r="24" spans="10:11">
      <c r="J24" s="151"/>
      <c r="K24" s="6" t="str">
        <f ca="1">IFERROR(__xludf.DUMMYFUNCTION("VALUE(REGEXEXTRACT(B24,""\d+""))"),"#N/A")</f>
        <v>#N/A</v>
      </c>
    </row>
    <row r="25" spans="10:11">
      <c r="J25" s="151"/>
      <c r="K25" s="6" t="str">
        <f ca="1">IFERROR(__xludf.DUMMYFUNCTION("VALUE(REGEXEXTRACT(B25,""\d+""))"),"#N/A")</f>
        <v>#N/A</v>
      </c>
    </row>
    <row r="26" spans="10:11">
      <c r="J26" s="151"/>
      <c r="K26" s="6" t="str">
        <f ca="1">IFERROR(__xludf.DUMMYFUNCTION("VALUE(REGEXEXTRACT(B26,""\d+""))"),"#N/A")</f>
        <v>#N/A</v>
      </c>
    </row>
    <row r="27" spans="10:11">
      <c r="J27" s="151"/>
      <c r="K27" s="6" t="str">
        <f ca="1">IFERROR(__xludf.DUMMYFUNCTION("VALUE(REGEXEXTRACT(B27,""\d+""))"),"#N/A")</f>
        <v>#N/A</v>
      </c>
    </row>
    <row r="28" spans="10:11">
      <c r="J28" s="151"/>
      <c r="K28" s="6" t="str">
        <f ca="1">IFERROR(__xludf.DUMMYFUNCTION("VALUE(REGEXEXTRACT(B28,""\d+""))"),"#N/A")</f>
        <v>#N/A</v>
      </c>
    </row>
    <row r="29" spans="10:11">
      <c r="J29" s="151"/>
      <c r="K29" s="6" t="str">
        <f ca="1">IFERROR(__xludf.DUMMYFUNCTION("VALUE(REGEXEXTRACT(B29,""\d+""))"),"#N/A")</f>
        <v>#N/A</v>
      </c>
    </row>
    <row r="30" spans="10:11">
      <c r="K30" s="6" t="str">
        <f ca="1">IFERROR(__xludf.DUMMYFUNCTION("VALUE(REGEXEXTRACT(B30,""\d+""))"),"#N/A")</f>
        <v>#N/A</v>
      </c>
    </row>
    <row r="31" spans="10:11">
      <c r="J31" s="151"/>
      <c r="K31" s="6" t="str">
        <f ca="1">IFERROR(__xludf.DUMMYFUNCTION("VALUE(REGEXEXTRACT(B31,""\d+""))"),"#N/A")</f>
        <v>#N/A</v>
      </c>
    </row>
    <row r="32" spans="10:11">
      <c r="J32" s="151"/>
      <c r="K32" s="6" t="str">
        <f ca="1">IFERROR(__xludf.DUMMYFUNCTION("VALUE(REGEXEXTRACT(B32,""\d+""))"),"#N/A")</f>
        <v>#N/A</v>
      </c>
    </row>
    <row r="33" spans="10:11">
      <c r="J33" s="151"/>
      <c r="K33" s="6" t="str">
        <f ca="1">IFERROR(__xludf.DUMMYFUNCTION("VALUE(REGEXEXTRACT(B33,""\d+""))"),"#N/A")</f>
        <v>#N/A</v>
      </c>
    </row>
    <row r="34" spans="10:11">
      <c r="J34" s="151"/>
      <c r="K34" s="6" t="str">
        <f ca="1">IFERROR(__xludf.DUMMYFUNCTION("VALUE(REGEXEXTRACT(B34,""\d+""))"),"#N/A")</f>
        <v>#N/A</v>
      </c>
    </row>
    <row r="35" spans="10:11">
      <c r="J35" s="151"/>
      <c r="K35" s="6" t="str">
        <f ca="1">IFERROR(__xludf.DUMMYFUNCTION("VALUE(REGEXEXTRACT(B35,""\d+""))"),"#N/A")</f>
        <v>#N/A</v>
      </c>
    </row>
    <row r="36" spans="10:11">
      <c r="J36" s="151"/>
      <c r="K36" s="6" t="str">
        <f ca="1">IFERROR(__xludf.DUMMYFUNCTION("VALUE(REGEXEXTRACT(B36,""\d+""))"),"#N/A")</f>
        <v>#N/A</v>
      </c>
    </row>
    <row r="37" spans="10:11">
      <c r="J37" s="151"/>
      <c r="K37" s="6" t="str">
        <f ca="1">IFERROR(__xludf.DUMMYFUNCTION("VALUE(REGEXEXTRACT(B37,""\d+""))"),"#N/A")</f>
        <v>#N/A</v>
      </c>
    </row>
    <row r="38" spans="10:11">
      <c r="J38" s="151"/>
      <c r="K38" s="6" t="str">
        <f ca="1">IFERROR(__xludf.DUMMYFUNCTION("VALUE(REGEXEXTRACT(B38,""\d+""))"),"#N/A")</f>
        <v>#N/A</v>
      </c>
    </row>
    <row r="39" spans="10:11">
      <c r="J39" s="151"/>
      <c r="K39" s="6" t="str">
        <f ca="1">IFERROR(__xludf.DUMMYFUNCTION("VALUE(REGEXEXTRACT(B39,""\d+""))"),"#N/A")</f>
        <v>#N/A</v>
      </c>
    </row>
    <row r="40" spans="10:11">
      <c r="J40" s="151"/>
      <c r="K40" s="6" t="str">
        <f ca="1">IFERROR(__xludf.DUMMYFUNCTION("VALUE(REGEXEXTRACT(B40,""\d+""))"),"#N/A")</f>
        <v>#N/A</v>
      </c>
    </row>
    <row r="41" spans="10:11">
      <c r="J41" s="151"/>
      <c r="K41" s="6" t="str">
        <f ca="1">IFERROR(__xludf.DUMMYFUNCTION("VALUE(REGEXEXTRACT(B41,""\d+""))"),"#N/A")</f>
        <v>#N/A</v>
      </c>
    </row>
    <row r="42" spans="10:11">
      <c r="J42" s="151"/>
      <c r="K42" s="6" t="str">
        <f ca="1">IFERROR(__xludf.DUMMYFUNCTION("VALUE(REGEXEXTRACT(B42,""\d+""))"),"#N/A")</f>
        <v>#N/A</v>
      </c>
    </row>
    <row r="43" spans="10:11">
      <c r="J43" s="151"/>
      <c r="K43" s="6" t="str">
        <f ca="1">IFERROR(__xludf.DUMMYFUNCTION("VALUE(REGEXEXTRACT(B43,""\d+""))"),"#N/A")</f>
        <v>#N/A</v>
      </c>
    </row>
    <row r="44" spans="10:11">
      <c r="J44" s="151"/>
      <c r="K44" s="6" t="str">
        <f ca="1">IFERROR(__xludf.DUMMYFUNCTION("VALUE(REGEXEXTRACT(B44,""\d+""))"),"#N/A")</f>
        <v>#N/A</v>
      </c>
    </row>
    <row r="45" spans="10:11">
      <c r="J45" s="151"/>
      <c r="K45" s="6" t="str">
        <f ca="1">IFERROR(__xludf.DUMMYFUNCTION("VALUE(REGEXEXTRACT(B45,""\d+""))"),"#N/A")</f>
        <v>#N/A</v>
      </c>
    </row>
    <row r="46" spans="10:11">
      <c r="J46" s="151"/>
      <c r="K46" s="6" t="str">
        <f ca="1">IFERROR(__xludf.DUMMYFUNCTION("VALUE(REGEXEXTRACT(B46,""\d+""))"),"#N/A")</f>
        <v>#N/A</v>
      </c>
    </row>
    <row r="47" spans="10:11">
      <c r="J47" s="151"/>
      <c r="K47" s="6" t="str">
        <f ca="1">IFERROR(__xludf.DUMMYFUNCTION("VALUE(REGEXEXTRACT(B47,""\d+""))"),"#N/A")</f>
        <v>#N/A</v>
      </c>
    </row>
    <row r="48" spans="10:11">
      <c r="J48" s="151"/>
      <c r="K48" s="6" t="str">
        <f ca="1">IFERROR(__xludf.DUMMYFUNCTION("VALUE(REGEXEXTRACT(B48,""\d+""))"),"#N/A")</f>
        <v>#N/A</v>
      </c>
    </row>
    <row r="49" spans="10:11">
      <c r="J49" s="151"/>
      <c r="K49" s="6" t="str">
        <f ca="1">IFERROR(__xludf.DUMMYFUNCTION("VALUE(REGEXEXTRACT(B49,""\d+""))"),"#N/A")</f>
        <v>#N/A</v>
      </c>
    </row>
    <row r="50" spans="10:11">
      <c r="J50" s="151"/>
      <c r="K50" s="6" t="str">
        <f ca="1">IFERROR(__xludf.DUMMYFUNCTION("VALUE(REGEXEXTRACT(B50,""\d+""))"),"#N/A")</f>
        <v>#N/A</v>
      </c>
    </row>
    <row r="51" spans="10:11">
      <c r="J51" s="151"/>
      <c r="K51" s="6" t="str">
        <f ca="1">IFERROR(__xludf.DUMMYFUNCTION("VALUE(REGEXEXTRACT(B51,""\d+""))"),"#N/A")</f>
        <v>#N/A</v>
      </c>
    </row>
    <row r="52" spans="10:11">
      <c r="J52" s="151"/>
      <c r="K52" s="6" t="str">
        <f ca="1">IFERROR(__xludf.DUMMYFUNCTION("VALUE(REGEXEXTRACT(B52,""\d+""))"),"#N/A")</f>
        <v>#N/A</v>
      </c>
    </row>
    <row r="53" spans="10:11">
      <c r="J53" s="151"/>
      <c r="K53" s="6" t="str">
        <f ca="1">IFERROR(__xludf.DUMMYFUNCTION("VALUE(REGEXEXTRACT(B53,""\d+""))"),"#N/A")</f>
        <v>#N/A</v>
      </c>
    </row>
    <row r="54" spans="10:11">
      <c r="K54" s="6" t="str">
        <f ca="1">IFERROR(__xludf.DUMMYFUNCTION("VALUE(REGEXEXTRACT(B54,""\d+""))"),"#N/A")</f>
        <v>#N/A</v>
      </c>
    </row>
    <row r="55" spans="10:11">
      <c r="K55" s="6" t="str">
        <f ca="1">IFERROR(__xludf.DUMMYFUNCTION("VALUE(REGEXEXTRACT(B55,""\d+""))"),"#N/A")</f>
        <v>#N/A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9900"/>
    <outlinePr summaryBelow="0" summaryRight="0"/>
  </sheetPr>
  <dimension ref="A1:J78"/>
  <sheetViews>
    <sheetView workbookViewId="0"/>
  </sheetViews>
  <sheetFormatPr defaultColWidth="12.5703125" defaultRowHeight="15.75" customHeight="1"/>
  <sheetData>
    <row r="1" spans="1:10" ht="12.75">
      <c r="A1" s="6" t="str">
        <f ca="1">IFERROR(__xludf.DUMMYFUNCTION("IMPORTHTML(""https://frc-events.firstinspires.org/2025/MNMI/qualifications"",""table"",1)"),"Match")</f>
        <v>Match</v>
      </c>
      <c r="B1" s="6" t="str">
        <f ca="1">IFERROR(__xludf.DUMMYFUNCTION("""COMPUTED_VALUE"""),"Start Time")</f>
        <v>Start Time</v>
      </c>
      <c r="C1" s="6" t="str">
        <f ca="1">IFERROR(__xludf.DUMMYFUNCTION("""COMPUTED_VALUE"""),"Red 1")</f>
        <v>Red 1</v>
      </c>
      <c r="D1" s="6" t="str">
        <f ca="1">IFERROR(__xludf.DUMMYFUNCTION("""COMPUTED_VALUE"""),"Red 2")</f>
        <v>Red 2</v>
      </c>
      <c r="E1" s="6" t="str">
        <f ca="1">IFERROR(__xludf.DUMMYFUNCTION("""COMPUTED_VALUE"""),"Red 3")</f>
        <v>Red 3</v>
      </c>
      <c r="F1" s="6" t="str">
        <f ca="1">IFERROR(__xludf.DUMMYFUNCTION("""COMPUTED_VALUE"""),"Blue 1")</f>
        <v>Blue 1</v>
      </c>
      <c r="G1" s="6" t="str">
        <f ca="1">IFERROR(__xludf.DUMMYFUNCTION("""COMPUTED_VALUE"""),"Blue 2")</f>
        <v>Blue 2</v>
      </c>
      <c r="H1" s="6" t="str">
        <f ca="1">IFERROR(__xludf.DUMMYFUNCTION("""COMPUTED_VALUE"""),"Blue 3")</f>
        <v>Blue 3</v>
      </c>
      <c r="I1" s="6" t="str">
        <f ca="1">IFERROR(__xludf.DUMMYFUNCTION("""COMPUTED_VALUE"""),"Red Final")</f>
        <v>Red Final</v>
      </c>
      <c r="J1" s="6" t="str">
        <f ca="1">IFERROR(__xludf.DUMMYFUNCTION("""COMPUTED_VALUE"""),"Blue Final")</f>
        <v>Blue Final</v>
      </c>
    </row>
    <row r="2" spans="1:10" ht="12.75">
      <c r="A2" s="6" t="str">
        <f ca="1">IFERROR(__xludf.DUMMYFUNCTION("""COMPUTED_VALUE"""),"Qualification 1")</f>
        <v>Qualification 1</v>
      </c>
      <c r="B2" s="6" t="str">
        <f ca="1">IFERROR(__xludf.DUMMYFUNCTION("""COMPUTED_VALUE"""),"Fri 3/28 - 8:50 AM")</f>
        <v>Fri 3/28 - 8:50 AM</v>
      </c>
      <c r="C2" s="6">
        <f ca="1">IFERROR(__xludf.DUMMYFUNCTION("""COMPUTED_VALUE"""),4225)</f>
        <v>4225</v>
      </c>
      <c r="D2" s="6">
        <f ca="1">IFERROR(__xludf.DUMMYFUNCTION("""COMPUTED_VALUE"""),2667)</f>
        <v>2667</v>
      </c>
      <c r="E2" s="6">
        <f ca="1">IFERROR(__xludf.DUMMYFUNCTION("""COMPUTED_VALUE"""),4778)</f>
        <v>4778</v>
      </c>
      <c r="F2" s="6">
        <f ca="1">IFERROR(__xludf.DUMMYFUNCTION("""COMPUTED_VALUE"""),5996)</f>
        <v>5996</v>
      </c>
      <c r="G2" s="6">
        <f ca="1">IFERROR(__xludf.DUMMYFUNCTION("""COMPUTED_VALUE"""),4664)</f>
        <v>4664</v>
      </c>
      <c r="H2" s="6">
        <f ca="1">IFERROR(__xludf.DUMMYFUNCTION("""COMPUTED_VALUE"""),2846)</f>
        <v>2846</v>
      </c>
      <c r="I2" s="6"/>
      <c r="J2" s="6"/>
    </row>
    <row r="3" spans="1:10" ht="12.75">
      <c r="A3" s="6" t="str">
        <f ca="1">IFERROR(__xludf.DUMMYFUNCTION("""COMPUTED_VALUE"""),"Qualification 2")</f>
        <v>Qualification 2</v>
      </c>
      <c r="B3" s="6" t="str">
        <f ca="1">IFERROR(__xludf.DUMMYFUNCTION("""COMPUTED_VALUE"""),"Fri 3/28 - 8:59 AM")</f>
        <v>Fri 3/28 - 8:59 AM</v>
      </c>
      <c r="C3" s="6">
        <f ca="1">IFERROR(__xludf.DUMMYFUNCTION("""COMPUTED_VALUE"""),2207)</f>
        <v>2207</v>
      </c>
      <c r="D3" s="6">
        <f ca="1">IFERROR(__xludf.DUMMYFUNCTION("""COMPUTED_VALUE"""),2502)</f>
        <v>2502</v>
      </c>
      <c r="E3" s="6">
        <f ca="1">IFERROR(__xludf.DUMMYFUNCTION("""COMPUTED_VALUE"""),2549)</f>
        <v>2549</v>
      </c>
      <c r="F3" s="6">
        <f ca="1">IFERROR(__xludf.DUMMYFUNCTION("""COMPUTED_VALUE"""),3630)</f>
        <v>3630</v>
      </c>
      <c r="G3" s="6">
        <f ca="1">IFERROR(__xludf.DUMMYFUNCTION("""COMPUTED_VALUE"""),2538)</f>
        <v>2538</v>
      </c>
      <c r="H3" s="6">
        <f ca="1">IFERROR(__xludf.DUMMYFUNCTION("""COMPUTED_VALUE"""),8234)</f>
        <v>8234</v>
      </c>
      <c r="I3" s="6"/>
      <c r="J3" s="6"/>
    </row>
    <row r="4" spans="1:10" ht="12.75">
      <c r="A4" s="6" t="str">
        <f ca="1">IFERROR(__xludf.DUMMYFUNCTION("""COMPUTED_VALUE"""),"Qualification 3")</f>
        <v>Qualification 3</v>
      </c>
      <c r="B4" s="6" t="str">
        <f ca="1">IFERROR(__xludf.DUMMYFUNCTION("""COMPUTED_VALUE"""),"Fri 3/28 - 9:08 AM")</f>
        <v>Fri 3/28 - 9:08 AM</v>
      </c>
      <c r="C4" s="6">
        <f ca="1">IFERROR(__xludf.DUMMYFUNCTION("""COMPUTED_VALUE"""),3082)</f>
        <v>3082</v>
      </c>
      <c r="D4" s="6">
        <f ca="1">IFERROR(__xludf.DUMMYFUNCTION("""COMPUTED_VALUE"""),2823)</f>
        <v>2823</v>
      </c>
      <c r="E4" s="6">
        <f ca="1">IFERROR(__xludf.DUMMYFUNCTION("""COMPUTED_VALUE"""),2498)</f>
        <v>2498</v>
      </c>
      <c r="F4" s="6">
        <f ca="1">IFERROR(__xludf.DUMMYFUNCTION("""COMPUTED_VALUE"""),7850)</f>
        <v>7850</v>
      </c>
      <c r="G4" s="6">
        <f ca="1">IFERROR(__xludf.DUMMYFUNCTION("""COMPUTED_VALUE"""),5541)</f>
        <v>5541</v>
      </c>
      <c r="H4" s="6">
        <f ca="1">IFERROR(__xludf.DUMMYFUNCTION("""COMPUTED_VALUE"""),2450)</f>
        <v>2450</v>
      </c>
      <c r="I4" s="6"/>
      <c r="J4" s="6"/>
    </row>
    <row r="5" spans="1:10" ht="12.75">
      <c r="A5" s="6" t="str">
        <f ca="1">IFERROR(__xludf.DUMMYFUNCTION("""COMPUTED_VALUE"""),"Qualification 4")</f>
        <v>Qualification 4</v>
      </c>
      <c r="B5" s="6" t="str">
        <f ca="1">IFERROR(__xludf.DUMMYFUNCTION("""COMPUTED_VALUE"""),"Fri 3/28 - 9:17 AM")</f>
        <v>Fri 3/28 - 9:17 AM</v>
      </c>
      <c r="C5" s="6">
        <f ca="1">IFERROR(__xludf.DUMMYFUNCTION("""COMPUTED_VALUE"""),3745)</f>
        <v>3745</v>
      </c>
      <c r="D5" s="6">
        <f ca="1">IFERROR(__xludf.DUMMYFUNCTION("""COMPUTED_VALUE"""),2181)</f>
        <v>2181</v>
      </c>
      <c r="E5" s="6">
        <f ca="1">IFERROR(__xludf.DUMMYFUNCTION("""COMPUTED_VALUE"""),4229)</f>
        <v>4229</v>
      </c>
      <c r="F5" s="6">
        <f ca="1">IFERROR(__xludf.DUMMYFUNCTION("""COMPUTED_VALUE"""),6909)</f>
        <v>6909</v>
      </c>
      <c r="G5" s="6">
        <f ca="1">IFERROR(__xludf.DUMMYFUNCTION("""COMPUTED_VALUE"""),6045)</f>
        <v>6045</v>
      </c>
      <c r="H5" s="6">
        <f ca="1">IFERROR(__xludf.DUMMYFUNCTION("""COMPUTED_VALUE"""),5271)</f>
        <v>5271</v>
      </c>
      <c r="I5" s="6"/>
      <c r="J5" s="6"/>
    </row>
    <row r="6" spans="1:10" ht="12.75">
      <c r="A6" s="6" t="str">
        <f ca="1">IFERROR(__xludf.DUMMYFUNCTION("""COMPUTED_VALUE"""),"Qualification 5")</f>
        <v>Qualification 5</v>
      </c>
      <c r="B6" s="6" t="str">
        <f ca="1">IFERROR(__xludf.DUMMYFUNCTION("""COMPUTED_VALUE"""),"Fri 3/28 - 9:26 AM")</f>
        <v>Fri 3/28 - 9:26 AM</v>
      </c>
      <c r="C6" s="6">
        <f ca="1">IFERROR(__xludf.DUMMYFUNCTION("""COMPUTED_VALUE"""),6217)</f>
        <v>6217</v>
      </c>
      <c r="D6" s="6">
        <f ca="1">IFERROR(__xludf.DUMMYFUNCTION("""COMPUTED_VALUE"""),2847)</f>
        <v>2847</v>
      </c>
      <c r="E6" s="6">
        <f ca="1">IFERROR(__xludf.DUMMYFUNCTION("""COMPUTED_VALUE"""),7068)</f>
        <v>7068</v>
      </c>
      <c r="F6" s="6">
        <f ca="1">IFERROR(__xludf.DUMMYFUNCTION("""COMPUTED_VALUE"""),3926)</f>
        <v>3926</v>
      </c>
      <c r="G6" s="6">
        <f ca="1">IFERROR(__xludf.DUMMYFUNCTION("""COMPUTED_VALUE"""),4687)</f>
        <v>4687</v>
      </c>
      <c r="H6" s="6">
        <f ca="1">IFERROR(__xludf.DUMMYFUNCTION("""COMPUTED_VALUE"""),5464)</f>
        <v>5464</v>
      </c>
      <c r="I6" s="6"/>
      <c r="J6" s="6"/>
    </row>
    <row r="7" spans="1:10" ht="12.75">
      <c r="A7" s="6" t="str">
        <f ca="1">IFERROR(__xludf.DUMMYFUNCTION("""COMPUTED_VALUE"""),"Qualification 6")</f>
        <v>Qualification 6</v>
      </c>
      <c r="B7" s="6" t="str">
        <f ca="1">IFERROR(__xludf.DUMMYFUNCTION("""COMPUTED_VALUE"""),"Fri 3/28 - 9:35 AM")</f>
        <v>Fri 3/28 - 9:35 AM</v>
      </c>
      <c r="C7" s="6">
        <f ca="1">IFERROR(__xludf.DUMMYFUNCTION("""COMPUTED_VALUE"""),8570)</f>
        <v>8570</v>
      </c>
      <c r="D7" s="6">
        <f ca="1">IFERROR(__xludf.DUMMYFUNCTION("""COMPUTED_VALUE"""),3454)</f>
        <v>3454</v>
      </c>
      <c r="E7" s="6">
        <f ca="1">IFERROR(__xludf.DUMMYFUNCTION("""COMPUTED_VALUE"""),7849)</f>
        <v>7849</v>
      </c>
      <c r="F7" s="6">
        <f ca="1">IFERROR(__xludf.DUMMYFUNCTION("""COMPUTED_VALUE"""),3792)</f>
        <v>3792</v>
      </c>
      <c r="G7" s="6">
        <f ca="1">IFERROR(__xludf.DUMMYFUNCTION("""COMPUTED_VALUE"""),7594)</f>
        <v>7594</v>
      </c>
      <c r="H7" s="6">
        <f ca="1">IFERROR(__xludf.DUMMYFUNCTION("""COMPUTED_VALUE"""),3755)</f>
        <v>3755</v>
      </c>
      <c r="I7" s="6"/>
      <c r="J7" s="6"/>
    </row>
    <row r="8" spans="1:10" ht="12.75">
      <c r="A8" s="6" t="str">
        <f ca="1">IFERROR(__xludf.DUMMYFUNCTION("""COMPUTED_VALUE"""),"Qualification 7")</f>
        <v>Qualification 7</v>
      </c>
      <c r="B8" s="6" t="str">
        <f ca="1">IFERROR(__xludf.DUMMYFUNCTION("""COMPUTED_VALUE"""),"Fri 3/28 - 9:44 AM")</f>
        <v>Fri 3/28 - 9:44 AM</v>
      </c>
      <c r="C8" s="6">
        <f ca="1">IFERROR(__xludf.DUMMYFUNCTION("""COMPUTED_VALUE"""),3891)</f>
        <v>3891</v>
      </c>
      <c r="D8" s="6">
        <f ca="1">IFERROR(__xludf.DUMMYFUNCTION("""COMPUTED_VALUE"""),2513)</f>
        <v>2513</v>
      </c>
      <c r="E8" s="6">
        <f ca="1">IFERROR(__xludf.DUMMYFUNCTION("""COMPUTED_VALUE"""),4174)</f>
        <v>4174</v>
      </c>
      <c r="F8" s="6">
        <f ca="1">IFERROR(__xludf.DUMMYFUNCTION("""COMPUTED_VALUE"""),3018)</f>
        <v>3018</v>
      </c>
      <c r="G8" s="6">
        <f ca="1">IFERROR(__xludf.DUMMYFUNCTION("""COMPUTED_VALUE"""),2855)</f>
        <v>2855</v>
      </c>
      <c r="H8" s="6">
        <f ca="1">IFERROR(__xludf.DUMMYFUNCTION("""COMPUTED_VALUE"""),2472)</f>
        <v>2472</v>
      </c>
      <c r="I8" s="6"/>
      <c r="J8" s="6"/>
    </row>
    <row r="9" spans="1:10" ht="12.75">
      <c r="A9" s="6" t="str">
        <f ca="1">IFERROR(__xludf.DUMMYFUNCTION("""COMPUTED_VALUE"""),"Qualification 8")</f>
        <v>Qualification 8</v>
      </c>
      <c r="B9" s="6" t="str">
        <f ca="1">IFERROR(__xludf.DUMMYFUNCTION("""COMPUTED_VALUE"""),"Fri 3/28 - 9:53 AM")</f>
        <v>Fri 3/28 - 9:53 AM</v>
      </c>
      <c r="C9" s="6">
        <f ca="1">IFERROR(__xludf.DUMMYFUNCTION("""COMPUTED_VALUE"""),3038)</f>
        <v>3038</v>
      </c>
      <c r="D9" s="6">
        <f ca="1">IFERROR(__xludf.DUMMYFUNCTION("""COMPUTED_VALUE"""),2227)</f>
        <v>2227</v>
      </c>
      <c r="E9" s="6">
        <f ca="1">IFERROR(__xludf.DUMMYFUNCTION("""COMPUTED_VALUE"""),3883)</f>
        <v>3883</v>
      </c>
      <c r="F9" s="6">
        <f ca="1">IFERROR(__xludf.DUMMYFUNCTION("""COMPUTED_VALUE"""),4663)</f>
        <v>4663</v>
      </c>
      <c r="G9" s="6">
        <f ca="1">IFERROR(__xludf.DUMMYFUNCTION("""COMPUTED_VALUE"""),2220)</f>
        <v>2220</v>
      </c>
      <c r="H9" s="6">
        <f ca="1">IFERROR(__xludf.DUMMYFUNCTION("""COMPUTED_VALUE"""),2511)</f>
        <v>2511</v>
      </c>
      <c r="I9" s="6"/>
      <c r="J9" s="6"/>
    </row>
    <row r="10" spans="1:10" ht="12.75">
      <c r="A10" s="6" t="str">
        <f ca="1">IFERROR(__xludf.DUMMYFUNCTION("""COMPUTED_VALUE"""),"Qualification 9")</f>
        <v>Qualification 9</v>
      </c>
      <c r="B10" s="6" t="str">
        <f ca="1">IFERROR(__xludf.DUMMYFUNCTION("""COMPUTED_VALUE"""),"Fri 3/28 - 10:02 AM")</f>
        <v>Fri 3/28 - 10:02 AM</v>
      </c>
      <c r="C10" s="6">
        <f ca="1">IFERROR(__xludf.DUMMYFUNCTION("""COMPUTED_VALUE"""),3297)</f>
        <v>3297</v>
      </c>
      <c r="D10" s="6">
        <f ca="1">IFERROR(__xludf.DUMMYFUNCTION("""COMPUTED_VALUE"""),6045)</f>
        <v>6045</v>
      </c>
      <c r="E10" s="6">
        <f ca="1">IFERROR(__xludf.DUMMYFUNCTION("""COMPUTED_VALUE"""),5996)</f>
        <v>5996</v>
      </c>
      <c r="F10" s="6">
        <f ca="1">IFERROR(__xludf.DUMMYFUNCTION("""COMPUTED_VALUE"""),2491)</f>
        <v>2491</v>
      </c>
      <c r="G10" s="6">
        <f ca="1">IFERROR(__xludf.DUMMYFUNCTION("""COMPUTED_VALUE"""),2264)</f>
        <v>2264</v>
      </c>
      <c r="H10" s="6">
        <f ca="1">IFERROR(__xludf.DUMMYFUNCTION("""COMPUTED_VALUE"""),2549)</f>
        <v>2549</v>
      </c>
      <c r="I10" s="6"/>
      <c r="J10" s="6"/>
    </row>
    <row r="11" spans="1:10" ht="12.75">
      <c r="A11" s="6" t="str">
        <f ca="1">IFERROR(__xludf.DUMMYFUNCTION("""COMPUTED_VALUE"""),"Qualification 10")</f>
        <v>Qualification 10</v>
      </c>
      <c r="B11" s="6" t="str">
        <f ca="1">IFERROR(__xludf.DUMMYFUNCTION("""COMPUTED_VALUE"""),"Fri 3/28 - 10:11 AM")</f>
        <v>Fri 3/28 - 10:11 AM</v>
      </c>
      <c r="C11" s="6">
        <f ca="1">IFERROR(__xludf.DUMMYFUNCTION("""COMPUTED_VALUE"""),4664)</f>
        <v>4664</v>
      </c>
      <c r="D11" s="6">
        <f ca="1">IFERROR(__xludf.DUMMYFUNCTION("""COMPUTED_VALUE"""),6909)</f>
        <v>6909</v>
      </c>
      <c r="E11" s="6">
        <f ca="1">IFERROR(__xludf.DUMMYFUNCTION("""COMPUTED_VALUE"""),3630)</f>
        <v>3630</v>
      </c>
      <c r="F11" s="6">
        <f ca="1">IFERROR(__xludf.DUMMYFUNCTION("""COMPUTED_VALUE"""),2823)</f>
        <v>2823</v>
      </c>
      <c r="G11" s="6">
        <f ca="1">IFERROR(__xludf.DUMMYFUNCTION("""COMPUTED_VALUE"""),6217)</f>
        <v>6217</v>
      </c>
      <c r="H11" s="6">
        <f ca="1">IFERROR(__xludf.DUMMYFUNCTION("""COMPUTED_VALUE"""),8234)</f>
        <v>8234</v>
      </c>
      <c r="I11" s="6"/>
      <c r="J11" s="6"/>
    </row>
    <row r="12" spans="1:10" ht="12.75">
      <c r="A12" s="6" t="str">
        <f ca="1">IFERROR(__xludf.DUMMYFUNCTION("""COMPUTED_VALUE"""),"Qualification 11")</f>
        <v>Qualification 11</v>
      </c>
      <c r="B12" s="6" t="str">
        <f ca="1">IFERROR(__xludf.DUMMYFUNCTION("""COMPUTED_VALUE"""),"Fri 3/28 - 10:19 AM")</f>
        <v>Fri 3/28 - 10:19 AM</v>
      </c>
      <c r="C12" s="6">
        <f ca="1">IFERROR(__xludf.DUMMYFUNCTION("""COMPUTED_VALUE"""),2846)</f>
        <v>2846</v>
      </c>
      <c r="D12" s="6">
        <f ca="1">IFERROR(__xludf.DUMMYFUNCTION("""COMPUTED_VALUE"""),4778)</f>
        <v>4778</v>
      </c>
      <c r="E12" s="6">
        <f ca="1">IFERROR(__xludf.DUMMYFUNCTION("""COMPUTED_VALUE"""),3755)</f>
        <v>3755</v>
      </c>
      <c r="F12" s="6">
        <f ca="1">IFERROR(__xludf.DUMMYFUNCTION("""COMPUTED_VALUE"""),2847)</f>
        <v>2847</v>
      </c>
      <c r="G12" s="6">
        <f ca="1">IFERROR(__xludf.DUMMYFUNCTION("""COMPUTED_VALUE"""),3926)</f>
        <v>3926</v>
      </c>
      <c r="H12" s="6">
        <f ca="1">IFERROR(__xludf.DUMMYFUNCTION("""COMPUTED_VALUE"""),2207)</f>
        <v>2207</v>
      </c>
      <c r="I12" s="6"/>
      <c r="J12" s="6"/>
    </row>
    <row r="13" spans="1:10" ht="12.75">
      <c r="A13" s="6" t="str">
        <f ca="1">IFERROR(__xludf.DUMMYFUNCTION("""COMPUTED_VALUE"""),"Qualification 12")</f>
        <v>Qualification 12</v>
      </c>
      <c r="B13" s="6" t="str">
        <f ca="1">IFERROR(__xludf.DUMMYFUNCTION("""COMPUTED_VALUE"""),"Fri 3/28 - 10:27 AM")</f>
        <v>Fri 3/28 - 10:27 AM</v>
      </c>
      <c r="C13" s="6">
        <f ca="1">IFERROR(__xludf.DUMMYFUNCTION("""COMPUTED_VALUE"""),8570)</f>
        <v>8570</v>
      </c>
      <c r="D13" s="6">
        <f ca="1">IFERROR(__xludf.DUMMYFUNCTION("""COMPUTED_VALUE"""),2498)</f>
        <v>2498</v>
      </c>
      <c r="E13" s="6">
        <f ca="1">IFERROR(__xludf.DUMMYFUNCTION("""COMPUTED_VALUE"""),3792)</f>
        <v>3792</v>
      </c>
      <c r="F13" s="6">
        <f ca="1">IFERROR(__xludf.DUMMYFUNCTION("""COMPUTED_VALUE"""),4225)</f>
        <v>4225</v>
      </c>
      <c r="G13" s="6">
        <f ca="1">IFERROR(__xludf.DUMMYFUNCTION("""COMPUTED_VALUE"""),3018)</f>
        <v>3018</v>
      </c>
      <c r="H13" s="6">
        <f ca="1">IFERROR(__xludf.DUMMYFUNCTION("""COMPUTED_VALUE"""),2513)</f>
        <v>2513</v>
      </c>
      <c r="I13" s="6"/>
      <c r="J13" s="6"/>
    </row>
    <row r="14" spans="1:10" ht="12.75">
      <c r="A14" s="6" t="str">
        <f ca="1">IFERROR(__xludf.DUMMYFUNCTION("""COMPUTED_VALUE"""),"Qualification 13")</f>
        <v>Qualification 13</v>
      </c>
      <c r="B14" s="6" t="str">
        <f ca="1">IFERROR(__xludf.DUMMYFUNCTION("""COMPUTED_VALUE"""),"Fri 3/28 - 10:35 AM")</f>
        <v>Fri 3/28 - 10:35 AM</v>
      </c>
      <c r="C14" s="6">
        <f ca="1">IFERROR(__xludf.DUMMYFUNCTION("""COMPUTED_VALUE"""),2227)</f>
        <v>2227</v>
      </c>
      <c r="D14" s="6">
        <f ca="1">IFERROR(__xludf.DUMMYFUNCTION("""COMPUTED_VALUE"""),2472)</f>
        <v>2472</v>
      </c>
      <c r="E14" s="6">
        <f ca="1">IFERROR(__xludf.DUMMYFUNCTION("""COMPUTED_VALUE"""),5464)</f>
        <v>5464</v>
      </c>
      <c r="F14" s="6">
        <f ca="1">IFERROR(__xludf.DUMMYFUNCTION("""COMPUTED_VALUE"""),3883)</f>
        <v>3883</v>
      </c>
      <c r="G14" s="6">
        <f ca="1">IFERROR(__xludf.DUMMYFUNCTION("""COMPUTED_VALUE"""),2502)</f>
        <v>2502</v>
      </c>
      <c r="H14" s="6">
        <f ca="1">IFERROR(__xludf.DUMMYFUNCTION("""COMPUTED_VALUE"""),3082)</f>
        <v>3082</v>
      </c>
      <c r="I14" s="6"/>
      <c r="J14" s="6"/>
    </row>
    <row r="15" spans="1:10" ht="12.75">
      <c r="A15" s="6" t="str">
        <f ca="1">IFERROR(__xludf.DUMMYFUNCTION("""COMPUTED_VALUE"""),"Qualification 14")</f>
        <v>Qualification 14</v>
      </c>
      <c r="B15" s="6" t="str">
        <f ca="1">IFERROR(__xludf.DUMMYFUNCTION("""COMPUTED_VALUE"""),"Fri 3/28 - 10:43 AM")</f>
        <v>Fri 3/28 - 10:43 AM</v>
      </c>
      <c r="C15" s="6">
        <f ca="1">IFERROR(__xludf.DUMMYFUNCTION("""COMPUTED_VALUE"""),3454)</f>
        <v>3454</v>
      </c>
      <c r="D15" s="6">
        <f ca="1">IFERROR(__xludf.DUMMYFUNCTION("""COMPUTED_VALUE"""),2491)</f>
        <v>2491</v>
      </c>
      <c r="E15" s="6">
        <f ca="1">IFERROR(__xludf.DUMMYFUNCTION("""COMPUTED_VALUE"""),5271)</f>
        <v>5271</v>
      </c>
      <c r="F15" s="6">
        <f ca="1">IFERROR(__xludf.DUMMYFUNCTION("""COMPUTED_VALUE"""),5541)</f>
        <v>5541</v>
      </c>
      <c r="G15" s="6">
        <f ca="1">IFERROR(__xludf.DUMMYFUNCTION("""COMPUTED_VALUE"""),2220)</f>
        <v>2220</v>
      </c>
      <c r="H15" s="6">
        <f ca="1">IFERROR(__xludf.DUMMYFUNCTION("""COMPUTED_VALUE"""),3891)</f>
        <v>3891</v>
      </c>
      <c r="I15" s="6"/>
      <c r="J15" s="6"/>
    </row>
    <row r="16" spans="1:10" ht="12.75">
      <c r="A16" s="6" t="str">
        <f ca="1">IFERROR(__xludf.DUMMYFUNCTION("""COMPUTED_VALUE"""),"Qualification 15")</f>
        <v>Qualification 15</v>
      </c>
      <c r="B16" s="6" t="str">
        <f ca="1">IFERROR(__xludf.DUMMYFUNCTION("""COMPUTED_VALUE"""),"Fri 3/28 - 10:51 AM")</f>
        <v>Fri 3/28 - 10:51 AM</v>
      </c>
      <c r="C16" s="6">
        <f ca="1">IFERROR(__xludf.DUMMYFUNCTION("""COMPUTED_VALUE"""),2667)</f>
        <v>2667</v>
      </c>
      <c r="D16" s="6">
        <f ca="1">IFERROR(__xludf.DUMMYFUNCTION("""COMPUTED_VALUE"""),4663)</f>
        <v>4663</v>
      </c>
      <c r="E16" s="6">
        <f ca="1">IFERROR(__xludf.DUMMYFUNCTION("""COMPUTED_VALUE"""),2181)</f>
        <v>2181</v>
      </c>
      <c r="F16" s="6">
        <f ca="1">IFERROR(__xludf.DUMMYFUNCTION("""COMPUTED_VALUE"""),7594)</f>
        <v>7594</v>
      </c>
      <c r="G16" s="6">
        <f ca="1">IFERROR(__xludf.DUMMYFUNCTION("""COMPUTED_VALUE"""),4687)</f>
        <v>4687</v>
      </c>
      <c r="H16" s="6">
        <f ca="1">IFERROR(__xludf.DUMMYFUNCTION("""COMPUTED_VALUE"""),2855)</f>
        <v>2855</v>
      </c>
      <c r="I16" s="6"/>
      <c r="J16" s="6"/>
    </row>
    <row r="17" spans="1:10" ht="15" customHeight="1">
      <c r="A17" s="6" t="str">
        <f ca="1">IFERROR(__xludf.DUMMYFUNCTION("""COMPUTED_VALUE"""),"Qualification 16")</f>
        <v>Qualification 16</v>
      </c>
      <c r="B17" s="6" t="str">
        <f ca="1">IFERROR(__xludf.DUMMYFUNCTION("""COMPUTED_VALUE"""),"Fri 3/28 - 10:59 AM")</f>
        <v>Fri 3/28 - 10:59 AM</v>
      </c>
      <c r="C17" s="6">
        <f ca="1">IFERROR(__xludf.DUMMYFUNCTION("""COMPUTED_VALUE"""),7849)</f>
        <v>7849</v>
      </c>
      <c r="D17" s="6">
        <f ca="1">IFERROR(__xludf.DUMMYFUNCTION("""COMPUTED_VALUE"""),2450)</f>
        <v>2450</v>
      </c>
      <c r="E17" s="6">
        <f ca="1">IFERROR(__xludf.DUMMYFUNCTION("""COMPUTED_VALUE"""),4229)</f>
        <v>4229</v>
      </c>
      <c r="F17" s="6">
        <f ca="1">IFERROR(__xludf.DUMMYFUNCTION("""COMPUTED_VALUE"""),7068)</f>
        <v>7068</v>
      </c>
      <c r="G17" s="6">
        <f ca="1">IFERROR(__xludf.DUMMYFUNCTION("""COMPUTED_VALUE"""),2511)</f>
        <v>2511</v>
      </c>
      <c r="H17" s="6">
        <f ca="1">IFERROR(__xludf.DUMMYFUNCTION("""COMPUTED_VALUE"""),2264)</f>
        <v>2264</v>
      </c>
      <c r="I17" s="6"/>
      <c r="J17" s="6"/>
    </row>
    <row r="18" spans="1:10" ht="12.75">
      <c r="A18" s="6" t="str">
        <f ca="1">IFERROR(__xludf.DUMMYFUNCTION("""COMPUTED_VALUE"""),"Qualification 17")</f>
        <v>Qualification 17</v>
      </c>
      <c r="B18" s="6" t="str">
        <f ca="1">IFERROR(__xludf.DUMMYFUNCTION("""COMPUTED_VALUE"""),"Fri 3/28 - 11:07 AM")</f>
        <v>Fri 3/28 - 11:07 AM</v>
      </c>
      <c r="C18" s="6">
        <f ca="1">IFERROR(__xludf.DUMMYFUNCTION("""COMPUTED_VALUE"""),3745)</f>
        <v>3745</v>
      </c>
      <c r="D18" s="6">
        <f ca="1">IFERROR(__xludf.DUMMYFUNCTION("""COMPUTED_VALUE"""),3297)</f>
        <v>3297</v>
      </c>
      <c r="E18" s="6">
        <f ca="1">IFERROR(__xludf.DUMMYFUNCTION("""COMPUTED_VALUE"""),2538)</f>
        <v>2538</v>
      </c>
      <c r="F18" s="6">
        <f ca="1">IFERROR(__xludf.DUMMYFUNCTION("""COMPUTED_VALUE"""),4174)</f>
        <v>4174</v>
      </c>
      <c r="G18" s="6">
        <f ca="1">IFERROR(__xludf.DUMMYFUNCTION("""COMPUTED_VALUE"""),3038)</f>
        <v>3038</v>
      </c>
      <c r="H18" s="6">
        <f ca="1">IFERROR(__xludf.DUMMYFUNCTION("""COMPUTED_VALUE"""),7850)</f>
        <v>7850</v>
      </c>
      <c r="I18" s="6"/>
      <c r="J18" s="6"/>
    </row>
    <row r="19" spans="1:10" ht="12.75">
      <c r="A19" s="6" t="str">
        <f ca="1">IFERROR(__xludf.DUMMYFUNCTION("""COMPUTED_VALUE"""),"Qualification 18")</f>
        <v>Qualification 18</v>
      </c>
      <c r="B19" s="6" t="str">
        <f ca="1">IFERROR(__xludf.DUMMYFUNCTION("""COMPUTED_VALUE"""),"Fri 3/28 - 11:15 AM")</f>
        <v>Fri 3/28 - 11:15 AM</v>
      </c>
      <c r="C19" s="6">
        <f ca="1">IFERROR(__xludf.DUMMYFUNCTION("""COMPUTED_VALUE"""),2846)</f>
        <v>2846</v>
      </c>
      <c r="D19" s="6">
        <f ca="1">IFERROR(__xludf.DUMMYFUNCTION("""COMPUTED_VALUE"""),2513)</f>
        <v>2513</v>
      </c>
      <c r="E19" s="6">
        <f ca="1">IFERROR(__xludf.DUMMYFUNCTION("""COMPUTED_VALUE"""),2227)</f>
        <v>2227</v>
      </c>
      <c r="F19" s="6">
        <f ca="1">IFERROR(__xludf.DUMMYFUNCTION("""COMPUTED_VALUE"""),4664)</f>
        <v>4664</v>
      </c>
      <c r="G19" s="6">
        <f ca="1">IFERROR(__xludf.DUMMYFUNCTION("""COMPUTED_VALUE"""),6217)</f>
        <v>6217</v>
      </c>
      <c r="H19" s="6">
        <f ca="1">IFERROR(__xludf.DUMMYFUNCTION("""COMPUTED_VALUE"""),3755)</f>
        <v>3755</v>
      </c>
      <c r="I19" s="6"/>
      <c r="J19" s="6"/>
    </row>
    <row r="20" spans="1:10" ht="12.75">
      <c r="A20" s="6" t="str">
        <f ca="1">IFERROR(__xludf.DUMMYFUNCTION("""COMPUTED_VALUE"""),"Qualification 19")</f>
        <v>Qualification 19</v>
      </c>
      <c r="B20" s="6" t="str">
        <f ca="1">IFERROR(__xludf.DUMMYFUNCTION("""COMPUTED_VALUE"""),"Fri 3/28 - 11:23 AM")</f>
        <v>Fri 3/28 - 11:23 AM</v>
      </c>
      <c r="C20" s="6">
        <f ca="1">IFERROR(__xludf.DUMMYFUNCTION("""COMPUTED_VALUE"""),5996)</f>
        <v>5996</v>
      </c>
      <c r="D20" s="6">
        <f ca="1">IFERROR(__xludf.DUMMYFUNCTION("""COMPUTED_VALUE"""),2502)</f>
        <v>2502</v>
      </c>
      <c r="E20" s="6">
        <f ca="1">IFERROR(__xludf.DUMMYFUNCTION("""COMPUTED_VALUE"""),2491)</f>
        <v>2491</v>
      </c>
      <c r="F20" s="6">
        <f ca="1">IFERROR(__xludf.DUMMYFUNCTION("""COMPUTED_VALUE"""),3454)</f>
        <v>3454</v>
      </c>
      <c r="G20" s="6">
        <f ca="1">IFERROR(__xludf.DUMMYFUNCTION("""COMPUTED_VALUE"""),3883)</f>
        <v>3883</v>
      </c>
      <c r="H20" s="6">
        <f ca="1">IFERROR(__xludf.DUMMYFUNCTION("""COMPUTED_VALUE"""),3926)</f>
        <v>3926</v>
      </c>
      <c r="I20" s="6"/>
      <c r="J20" s="6"/>
    </row>
    <row r="21" spans="1:10" ht="12.75">
      <c r="A21" s="6" t="str">
        <f ca="1">IFERROR(__xludf.DUMMYFUNCTION("""COMPUTED_VALUE"""),"Qualification 20")</f>
        <v>Qualification 20</v>
      </c>
      <c r="B21" s="6" t="str">
        <f ca="1">IFERROR(__xludf.DUMMYFUNCTION("""COMPUTED_VALUE"""),"Fri 3/28 - 11:31 AM")</f>
        <v>Fri 3/28 - 11:31 AM</v>
      </c>
      <c r="C21" s="6">
        <f ca="1">IFERROR(__xludf.DUMMYFUNCTION("""COMPUTED_VALUE"""),4778)</f>
        <v>4778</v>
      </c>
      <c r="D21" s="6">
        <f ca="1">IFERROR(__xludf.DUMMYFUNCTION("""COMPUTED_VALUE"""),3018)</f>
        <v>3018</v>
      </c>
      <c r="E21" s="6">
        <f ca="1">IFERROR(__xludf.DUMMYFUNCTION("""COMPUTED_VALUE"""),5541)</f>
        <v>5541</v>
      </c>
      <c r="F21" s="6">
        <f ca="1">IFERROR(__xludf.DUMMYFUNCTION("""COMPUTED_VALUE"""),2855)</f>
        <v>2855</v>
      </c>
      <c r="G21" s="6">
        <f ca="1">IFERROR(__xludf.DUMMYFUNCTION("""COMPUTED_VALUE"""),3630)</f>
        <v>3630</v>
      </c>
      <c r="H21" s="6">
        <f ca="1">IFERROR(__xludf.DUMMYFUNCTION("""COMPUTED_VALUE"""),4663)</f>
        <v>4663</v>
      </c>
      <c r="I21" s="6"/>
      <c r="J21" s="6"/>
    </row>
    <row r="22" spans="1:10" ht="12.75">
      <c r="A22" s="6" t="str">
        <f ca="1">IFERROR(__xludf.DUMMYFUNCTION("""COMPUTED_VALUE"""),"Qualification 21")</f>
        <v>Qualification 21</v>
      </c>
      <c r="B22" s="6" t="str">
        <f ca="1">IFERROR(__xludf.DUMMYFUNCTION("""COMPUTED_VALUE"""),"Fri 3/28 - 11:39 AM")</f>
        <v>Fri 3/28 - 11:39 AM</v>
      </c>
      <c r="C22" s="6">
        <f ca="1">IFERROR(__xludf.DUMMYFUNCTION("""COMPUTED_VALUE"""),2498)</f>
        <v>2498</v>
      </c>
      <c r="D22" s="6">
        <f ca="1">IFERROR(__xludf.DUMMYFUNCTION("""COMPUTED_VALUE"""),2847)</f>
        <v>2847</v>
      </c>
      <c r="E22" s="6">
        <f ca="1">IFERROR(__xludf.DUMMYFUNCTION("""COMPUTED_VALUE"""),4225)</f>
        <v>4225</v>
      </c>
      <c r="F22" s="6">
        <f ca="1">IFERROR(__xludf.DUMMYFUNCTION("""COMPUTED_VALUE"""),6045)</f>
        <v>6045</v>
      </c>
      <c r="G22" s="6">
        <f ca="1">IFERROR(__xludf.DUMMYFUNCTION("""COMPUTED_VALUE"""),7594)</f>
        <v>7594</v>
      </c>
      <c r="H22" s="6">
        <f ca="1">IFERROR(__xludf.DUMMYFUNCTION("""COMPUTED_VALUE"""),2181)</f>
        <v>2181</v>
      </c>
      <c r="I22" s="6"/>
      <c r="J22" s="6"/>
    </row>
    <row r="23" spans="1:10" ht="12.75">
      <c r="A23" s="6" t="str">
        <f ca="1">IFERROR(__xludf.DUMMYFUNCTION("""COMPUTED_VALUE"""),"Qualification 22")</f>
        <v>Qualification 22</v>
      </c>
      <c r="B23" s="6" t="str">
        <f ca="1">IFERROR(__xludf.DUMMYFUNCTION("""COMPUTED_VALUE"""),"Fri 3/28 - 11:47 AM")</f>
        <v>Fri 3/28 - 11:47 AM</v>
      </c>
      <c r="C23" s="6">
        <f ca="1">IFERROR(__xludf.DUMMYFUNCTION("""COMPUTED_VALUE"""),2667)</f>
        <v>2667</v>
      </c>
      <c r="D23" s="6">
        <f ca="1">IFERROR(__xludf.DUMMYFUNCTION("""COMPUTED_VALUE"""),3891)</f>
        <v>3891</v>
      </c>
      <c r="E23" s="6">
        <f ca="1">IFERROR(__xludf.DUMMYFUNCTION("""COMPUTED_VALUE"""),3082)</f>
        <v>3082</v>
      </c>
      <c r="F23" s="6">
        <f ca="1">IFERROR(__xludf.DUMMYFUNCTION("""COMPUTED_VALUE"""),2264)</f>
        <v>2264</v>
      </c>
      <c r="G23" s="6">
        <f ca="1">IFERROR(__xludf.DUMMYFUNCTION("""COMPUTED_VALUE"""),8234)</f>
        <v>8234</v>
      </c>
      <c r="H23" s="6">
        <f ca="1">IFERROR(__xludf.DUMMYFUNCTION("""COMPUTED_VALUE"""),3745)</f>
        <v>3745</v>
      </c>
      <c r="I23" s="6"/>
      <c r="J23" s="6"/>
    </row>
    <row r="24" spans="1:10" ht="12.75">
      <c r="A24" s="6" t="str">
        <f ca="1">IFERROR(__xludf.DUMMYFUNCTION("""COMPUTED_VALUE"""),"Qualification 23")</f>
        <v>Qualification 23</v>
      </c>
      <c r="B24" s="6" t="str">
        <f ca="1">IFERROR(__xludf.DUMMYFUNCTION("""COMPUTED_VALUE"""),"Fri 3/28 - 1:00 PM")</f>
        <v>Fri 3/28 - 1:00 PM</v>
      </c>
      <c r="C24" s="6">
        <f ca="1">IFERROR(__xludf.DUMMYFUNCTION("""COMPUTED_VALUE"""),2220)</f>
        <v>2220</v>
      </c>
      <c r="D24" s="6">
        <f ca="1">IFERROR(__xludf.DUMMYFUNCTION("""COMPUTED_VALUE"""),3792)</f>
        <v>3792</v>
      </c>
      <c r="E24" s="6">
        <f ca="1">IFERROR(__xludf.DUMMYFUNCTION("""COMPUTED_VALUE"""),7068)</f>
        <v>7068</v>
      </c>
      <c r="F24" s="6">
        <f ca="1">IFERROR(__xludf.DUMMYFUNCTION("""COMPUTED_VALUE"""),2823)</f>
        <v>2823</v>
      </c>
      <c r="G24" s="6">
        <f ca="1">IFERROR(__xludf.DUMMYFUNCTION("""COMPUTED_VALUE"""),4174)</f>
        <v>4174</v>
      </c>
      <c r="H24" s="6">
        <f ca="1">IFERROR(__xludf.DUMMYFUNCTION("""COMPUTED_VALUE"""),3297)</f>
        <v>3297</v>
      </c>
      <c r="I24" s="6"/>
      <c r="J24" s="6"/>
    </row>
    <row r="25" spans="1:10" ht="12.75">
      <c r="A25" s="6" t="str">
        <f ca="1">IFERROR(__xludf.DUMMYFUNCTION("""COMPUTED_VALUE"""),"Qualification 24")</f>
        <v>Qualification 24</v>
      </c>
      <c r="B25" s="6" t="str">
        <f ca="1">IFERROR(__xludf.DUMMYFUNCTION("""COMPUTED_VALUE"""),"Fri 3/28 - 1:08 PM")</f>
        <v>Fri 3/28 - 1:08 PM</v>
      </c>
      <c r="C25" s="6">
        <f ca="1">IFERROR(__xludf.DUMMYFUNCTION("""COMPUTED_VALUE"""),5464)</f>
        <v>5464</v>
      </c>
      <c r="D25" s="6">
        <f ca="1">IFERROR(__xludf.DUMMYFUNCTION("""COMPUTED_VALUE"""),5271)</f>
        <v>5271</v>
      </c>
      <c r="E25" s="6">
        <f ca="1">IFERROR(__xludf.DUMMYFUNCTION("""COMPUTED_VALUE"""),3038)</f>
        <v>3038</v>
      </c>
      <c r="F25" s="6">
        <f ca="1">IFERROR(__xludf.DUMMYFUNCTION("""COMPUTED_VALUE"""),8570)</f>
        <v>8570</v>
      </c>
      <c r="G25" s="6">
        <f ca="1">IFERROR(__xludf.DUMMYFUNCTION("""COMPUTED_VALUE"""),2450)</f>
        <v>2450</v>
      </c>
      <c r="H25" s="6">
        <f ca="1">IFERROR(__xludf.DUMMYFUNCTION("""COMPUTED_VALUE"""),2549)</f>
        <v>2549</v>
      </c>
      <c r="I25" s="6"/>
      <c r="J25" s="6"/>
    </row>
    <row r="26" spans="1:10" ht="12.75">
      <c r="A26" s="6" t="str">
        <f ca="1">IFERROR(__xludf.DUMMYFUNCTION("""COMPUTED_VALUE"""),"Qualification 25")</f>
        <v>Qualification 25</v>
      </c>
      <c r="B26" s="6" t="str">
        <f ca="1">IFERROR(__xludf.DUMMYFUNCTION("""COMPUTED_VALUE"""),"Fri 3/28 - 1:16 PM")</f>
        <v>Fri 3/28 - 1:16 PM</v>
      </c>
      <c r="C26" s="6">
        <f ca="1">IFERROR(__xludf.DUMMYFUNCTION("""COMPUTED_VALUE"""),4687)</f>
        <v>4687</v>
      </c>
      <c r="D26" s="6">
        <f ca="1">IFERROR(__xludf.DUMMYFUNCTION("""COMPUTED_VALUE"""),4229)</f>
        <v>4229</v>
      </c>
      <c r="E26" s="6">
        <f ca="1">IFERROR(__xludf.DUMMYFUNCTION("""COMPUTED_VALUE"""),6909)</f>
        <v>6909</v>
      </c>
      <c r="F26" s="6">
        <f ca="1">IFERROR(__xludf.DUMMYFUNCTION("""COMPUTED_VALUE"""),2207)</f>
        <v>2207</v>
      </c>
      <c r="G26" s="6">
        <f ca="1">IFERROR(__xludf.DUMMYFUNCTION("""COMPUTED_VALUE"""),7849)</f>
        <v>7849</v>
      </c>
      <c r="H26" s="6">
        <f ca="1">IFERROR(__xludf.DUMMYFUNCTION("""COMPUTED_VALUE"""),2538)</f>
        <v>2538</v>
      </c>
      <c r="I26" s="6"/>
      <c r="J26" s="6"/>
    </row>
    <row r="27" spans="1:10" ht="12.75">
      <c r="A27" s="6" t="str">
        <f ca="1">IFERROR(__xludf.DUMMYFUNCTION("""COMPUTED_VALUE"""),"Qualification 26")</f>
        <v>Qualification 26</v>
      </c>
      <c r="B27" s="6" t="str">
        <f ca="1">IFERROR(__xludf.DUMMYFUNCTION("""COMPUTED_VALUE"""),"Fri 3/28 - 1:24 PM")</f>
        <v>Fri 3/28 - 1:24 PM</v>
      </c>
      <c r="C27" s="6">
        <f ca="1">IFERROR(__xludf.DUMMYFUNCTION("""COMPUTED_VALUE"""),2472)</f>
        <v>2472</v>
      </c>
      <c r="D27" s="6">
        <f ca="1">IFERROR(__xludf.DUMMYFUNCTION("""COMPUTED_VALUE"""),7850)</f>
        <v>7850</v>
      </c>
      <c r="E27" s="6">
        <f ca="1">IFERROR(__xludf.DUMMYFUNCTION("""COMPUTED_VALUE"""),7594)</f>
        <v>7594</v>
      </c>
      <c r="F27" s="6">
        <f ca="1">IFERROR(__xludf.DUMMYFUNCTION("""COMPUTED_VALUE"""),2511)</f>
        <v>2511</v>
      </c>
      <c r="G27" s="6">
        <f ca="1">IFERROR(__xludf.DUMMYFUNCTION("""COMPUTED_VALUE"""),6217)</f>
        <v>6217</v>
      </c>
      <c r="H27" s="6">
        <f ca="1">IFERROR(__xludf.DUMMYFUNCTION("""COMPUTED_VALUE"""),4778)</f>
        <v>4778</v>
      </c>
      <c r="I27" s="6"/>
      <c r="J27" s="6"/>
    </row>
    <row r="28" spans="1:10" ht="12.75">
      <c r="A28" s="6" t="str">
        <f ca="1">IFERROR(__xludf.DUMMYFUNCTION("""COMPUTED_VALUE"""),"Qualification 27")</f>
        <v>Qualification 27</v>
      </c>
      <c r="B28" s="6" t="str">
        <f ca="1">IFERROR(__xludf.DUMMYFUNCTION("""COMPUTED_VALUE"""),"Fri 3/28 - 1:32 PM")</f>
        <v>Fri 3/28 - 1:32 PM</v>
      </c>
      <c r="C28" s="6">
        <f ca="1">IFERROR(__xludf.DUMMYFUNCTION("""COMPUTED_VALUE"""),2491)</f>
        <v>2491</v>
      </c>
      <c r="D28" s="6">
        <f ca="1">IFERROR(__xludf.DUMMYFUNCTION("""COMPUTED_VALUE"""),3745)</f>
        <v>3745</v>
      </c>
      <c r="E28" s="6">
        <f ca="1">IFERROR(__xludf.DUMMYFUNCTION("""COMPUTED_VALUE"""),4663)</f>
        <v>4663</v>
      </c>
      <c r="F28" s="6">
        <f ca="1">IFERROR(__xludf.DUMMYFUNCTION("""COMPUTED_VALUE"""),2847)</f>
        <v>2847</v>
      </c>
      <c r="G28" s="6">
        <f ca="1">IFERROR(__xludf.DUMMYFUNCTION("""COMPUTED_VALUE"""),3454)</f>
        <v>3454</v>
      </c>
      <c r="H28" s="6">
        <f ca="1">IFERROR(__xludf.DUMMYFUNCTION("""COMPUTED_VALUE"""),2513)</f>
        <v>2513</v>
      </c>
      <c r="I28" s="6"/>
      <c r="J28" s="6"/>
    </row>
    <row r="29" spans="1:10" ht="12.75">
      <c r="A29" s="6" t="str">
        <f ca="1">IFERROR(__xludf.DUMMYFUNCTION("""COMPUTED_VALUE"""),"Qualification 28")</f>
        <v>Qualification 28</v>
      </c>
      <c r="B29" s="6" t="str">
        <f ca="1">IFERROR(__xludf.DUMMYFUNCTION("""COMPUTED_VALUE"""),"Fri 3/28 - 1:40 PM")</f>
        <v>Fri 3/28 - 1:40 PM</v>
      </c>
      <c r="C29" s="6">
        <f ca="1">IFERROR(__xludf.DUMMYFUNCTION("""COMPUTED_VALUE"""),2502)</f>
        <v>2502</v>
      </c>
      <c r="D29" s="6">
        <f ca="1">IFERROR(__xludf.DUMMYFUNCTION("""COMPUTED_VALUE"""),7068)</f>
        <v>7068</v>
      </c>
      <c r="E29" s="6">
        <f ca="1">IFERROR(__xludf.DUMMYFUNCTION("""COMPUTED_VALUE"""),2855)</f>
        <v>2855</v>
      </c>
      <c r="F29" s="6">
        <f ca="1">IFERROR(__xludf.DUMMYFUNCTION("""COMPUTED_VALUE"""),6045)</f>
        <v>6045</v>
      </c>
      <c r="G29" s="6">
        <f ca="1">IFERROR(__xludf.DUMMYFUNCTION("""COMPUTED_VALUE"""),2498)</f>
        <v>2498</v>
      </c>
      <c r="H29" s="6">
        <f ca="1">IFERROR(__xludf.DUMMYFUNCTION("""COMPUTED_VALUE"""),2220)</f>
        <v>2220</v>
      </c>
      <c r="I29" s="6"/>
      <c r="J29" s="6"/>
    </row>
    <row r="30" spans="1:10" ht="12.75">
      <c r="A30" s="6" t="str">
        <f ca="1">IFERROR(__xludf.DUMMYFUNCTION("""COMPUTED_VALUE"""),"Qualification 29")</f>
        <v>Qualification 29</v>
      </c>
      <c r="B30" s="6" t="str">
        <f ca="1">IFERROR(__xludf.DUMMYFUNCTION("""COMPUTED_VALUE"""),"Fri 3/28 - 1:48 PM")</f>
        <v>Fri 3/28 - 1:48 PM</v>
      </c>
      <c r="C30" s="6">
        <f ca="1">IFERROR(__xludf.DUMMYFUNCTION("""COMPUTED_VALUE"""),2181)</f>
        <v>2181</v>
      </c>
      <c r="D30" s="6">
        <f ca="1">IFERROR(__xludf.DUMMYFUNCTION("""COMPUTED_VALUE"""),3630)</f>
        <v>3630</v>
      </c>
      <c r="E30" s="6">
        <f ca="1">IFERROR(__xludf.DUMMYFUNCTION("""COMPUTED_VALUE"""),5996)</f>
        <v>5996</v>
      </c>
      <c r="F30" s="6">
        <f ca="1">IFERROR(__xludf.DUMMYFUNCTION("""COMPUTED_VALUE"""),4174)</f>
        <v>4174</v>
      </c>
      <c r="G30" s="6">
        <f ca="1">IFERROR(__xludf.DUMMYFUNCTION("""COMPUTED_VALUE"""),2846)</f>
        <v>2846</v>
      </c>
      <c r="H30" s="6">
        <f ca="1">IFERROR(__xludf.DUMMYFUNCTION("""COMPUTED_VALUE"""),2450)</f>
        <v>2450</v>
      </c>
      <c r="I30" s="6"/>
      <c r="J30" s="6"/>
    </row>
    <row r="31" spans="1:10" ht="12.75">
      <c r="A31" s="6" t="str">
        <f ca="1">IFERROR(__xludf.DUMMYFUNCTION("""COMPUTED_VALUE"""),"Qualification 30")</f>
        <v>Qualification 30</v>
      </c>
      <c r="B31" s="6" t="str">
        <f ca="1">IFERROR(__xludf.DUMMYFUNCTION("""COMPUTED_VALUE"""),"Fri 3/28 - 1:56 PM")</f>
        <v>Fri 3/28 - 1:56 PM</v>
      </c>
      <c r="C31" s="6">
        <f ca="1">IFERROR(__xludf.DUMMYFUNCTION("""COMPUTED_VALUE"""),2227)</f>
        <v>2227</v>
      </c>
      <c r="D31" s="6">
        <f ca="1">IFERROR(__xludf.DUMMYFUNCTION("""COMPUTED_VALUE"""),8234)</f>
        <v>8234</v>
      </c>
      <c r="E31" s="6">
        <f ca="1">IFERROR(__xludf.DUMMYFUNCTION("""COMPUTED_VALUE"""),4687)</f>
        <v>4687</v>
      </c>
      <c r="F31" s="6">
        <f ca="1">IFERROR(__xludf.DUMMYFUNCTION("""COMPUTED_VALUE"""),4229)</f>
        <v>4229</v>
      </c>
      <c r="G31" s="6">
        <f ca="1">IFERROR(__xludf.DUMMYFUNCTION("""COMPUTED_VALUE"""),5541)</f>
        <v>5541</v>
      </c>
      <c r="H31" s="6">
        <f ca="1">IFERROR(__xludf.DUMMYFUNCTION("""COMPUTED_VALUE"""),8570)</f>
        <v>8570</v>
      </c>
      <c r="I31" s="6"/>
      <c r="J31" s="6"/>
    </row>
    <row r="32" spans="1:10" ht="12.75">
      <c r="A32" s="6" t="str">
        <f ca="1">IFERROR(__xludf.DUMMYFUNCTION("""COMPUTED_VALUE"""),"Qualification 31")</f>
        <v>Qualification 31</v>
      </c>
      <c r="B32" s="6" t="str">
        <f ca="1">IFERROR(__xludf.DUMMYFUNCTION("""COMPUTED_VALUE"""),"Fri 3/28 - 2:04 PM")</f>
        <v>Fri 3/28 - 2:04 PM</v>
      </c>
      <c r="C32" s="6">
        <f ca="1">IFERROR(__xludf.DUMMYFUNCTION("""COMPUTED_VALUE"""),5271)</f>
        <v>5271</v>
      </c>
      <c r="D32" s="6">
        <f ca="1">IFERROR(__xludf.DUMMYFUNCTION("""COMPUTED_VALUE"""),7849)</f>
        <v>7849</v>
      </c>
      <c r="E32" s="6">
        <f ca="1">IFERROR(__xludf.DUMMYFUNCTION("""COMPUTED_VALUE"""),7850)</f>
        <v>7850</v>
      </c>
      <c r="F32" s="6">
        <f ca="1">IFERROR(__xludf.DUMMYFUNCTION("""COMPUTED_VALUE"""),3018)</f>
        <v>3018</v>
      </c>
      <c r="G32" s="6">
        <f ca="1">IFERROR(__xludf.DUMMYFUNCTION("""COMPUTED_VALUE"""),5464)</f>
        <v>5464</v>
      </c>
      <c r="H32" s="6">
        <f ca="1">IFERROR(__xludf.DUMMYFUNCTION("""COMPUTED_VALUE"""),2667)</f>
        <v>2667</v>
      </c>
      <c r="I32" s="6"/>
      <c r="J32" s="6"/>
    </row>
    <row r="33" spans="1:10" ht="12.75">
      <c r="A33" s="6" t="str">
        <f ca="1">IFERROR(__xludf.DUMMYFUNCTION("""COMPUTED_VALUE"""),"Qualification 32")</f>
        <v>Qualification 32</v>
      </c>
      <c r="B33" s="6" t="str">
        <f ca="1">IFERROR(__xludf.DUMMYFUNCTION("""COMPUTED_VALUE"""),"Fri 3/28 - 2:12 PM")</f>
        <v>Fri 3/28 - 2:12 PM</v>
      </c>
      <c r="C33" s="6">
        <f ca="1">IFERROR(__xludf.DUMMYFUNCTION("""COMPUTED_VALUE"""),2538)</f>
        <v>2538</v>
      </c>
      <c r="D33" s="6">
        <f ca="1">IFERROR(__xludf.DUMMYFUNCTION("""COMPUTED_VALUE"""),3082)</f>
        <v>3082</v>
      </c>
      <c r="E33" s="6">
        <f ca="1">IFERROR(__xludf.DUMMYFUNCTION("""COMPUTED_VALUE"""),2511)</f>
        <v>2511</v>
      </c>
      <c r="F33" s="6">
        <f ca="1">IFERROR(__xludf.DUMMYFUNCTION("""COMPUTED_VALUE"""),3891)</f>
        <v>3891</v>
      </c>
      <c r="G33" s="6">
        <f ca="1">IFERROR(__xludf.DUMMYFUNCTION("""COMPUTED_VALUE"""),3755)</f>
        <v>3755</v>
      </c>
      <c r="H33" s="6">
        <f ca="1">IFERROR(__xludf.DUMMYFUNCTION("""COMPUTED_VALUE"""),2823)</f>
        <v>2823</v>
      </c>
      <c r="I33" s="6"/>
      <c r="J33" s="6"/>
    </row>
    <row r="34" spans="1:10" ht="12.75">
      <c r="A34" s="6" t="str">
        <f ca="1">IFERROR(__xludf.DUMMYFUNCTION("""COMPUTED_VALUE"""),"Qualification 33")</f>
        <v>Qualification 33</v>
      </c>
      <c r="B34" s="6" t="str">
        <f ca="1">IFERROR(__xludf.DUMMYFUNCTION("""COMPUTED_VALUE"""),"Fri 3/28 - 2:20 PM")</f>
        <v>Fri 3/28 - 2:20 PM</v>
      </c>
      <c r="C34" s="6">
        <f ca="1">IFERROR(__xludf.DUMMYFUNCTION("""COMPUTED_VALUE"""),2472)</f>
        <v>2472</v>
      </c>
      <c r="D34" s="6">
        <f ca="1">IFERROR(__xludf.DUMMYFUNCTION("""COMPUTED_VALUE"""),2207)</f>
        <v>2207</v>
      </c>
      <c r="E34" s="6">
        <f ca="1">IFERROR(__xludf.DUMMYFUNCTION("""COMPUTED_VALUE"""),3038)</f>
        <v>3038</v>
      </c>
      <c r="F34" s="6">
        <f ca="1">IFERROR(__xludf.DUMMYFUNCTION("""COMPUTED_VALUE"""),2264)</f>
        <v>2264</v>
      </c>
      <c r="G34" s="6">
        <f ca="1">IFERROR(__xludf.DUMMYFUNCTION("""COMPUTED_VALUE"""),3792)</f>
        <v>3792</v>
      </c>
      <c r="H34" s="6">
        <f ca="1">IFERROR(__xludf.DUMMYFUNCTION("""COMPUTED_VALUE"""),4664)</f>
        <v>4664</v>
      </c>
      <c r="I34" s="6"/>
      <c r="J34" s="6"/>
    </row>
    <row r="35" spans="1:10" ht="12.75">
      <c r="A35" s="6" t="str">
        <f ca="1">IFERROR(__xludf.DUMMYFUNCTION("""COMPUTED_VALUE"""),"Qualification 34")</f>
        <v>Qualification 34</v>
      </c>
      <c r="B35" s="6" t="str">
        <f ca="1">IFERROR(__xludf.DUMMYFUNCTION("""COMPUTED_VALUE"""),"Fri 3/28 - 2:28 PM")</f>
        <v>Fri 3/28 - 2:28 PM</v>
      </c>
      <c r="C35" s="6">
        <f ca="1">IFERROR(__xludf.DUMMYFUNCTION("""COMPUTED_VALUE"""),2549)</f>
        <v>2549</v>
      </c>
      <c r="D35" s="6">
        <f ca="1">IFERROR(__xludf.DUMMYFUNCTION("""COMPUTED_VALUE"""),3926)</f>
        <v>3926</v>
      </c>
      <c r="E35" s="6">
        <f ca="1">IFERROR(__xludf.DUMMYFUNCTION("""COMPUTED_VALUE"""),3297)</f>
        <v>3297</v>
      </c>
      <c r="F35" s="6">
        <f ca="1">IFERROR(__xludf.DUMMYFUNCTION("""COMPUTED_VALUE"""),3883)</f>
        <v>3883</v>
      </c>
      <c r="G35" s="6">
        <f ca="1">IFERROR(__xludf.DUMMYFUNCTION("""COMPUTED_VALUE"""),4225)</f>
        <v>4225</v>
      </c>
      <c r="H35" s="6">
        <f ca="1">IFERROR(__xludf.DUMMYFUNCTION("""COMPUTED_VALUE"""),6909)</f>
        <v>6909</v>
      </c>
      <c r="I35" s="6"/>
      <c r="J35" s="6"/>
    </row>
    <row r="36" spans="1:10" ht="12.75">
      <c r="A36" s="6" t="str">
        <f ca="1">IFERROR(__xludf.DUMMYFUNCTION("""COMPUTED_VALUE"""),"Qualification 35")</f>
        <v>Qualification 35</v>
      </c>
      <c r="B36" s="6" t="str">
        <f ca="1">IFERROR(__xludf.DUMMYFUNCTION("""COMPUTED_VALUE"""),"Fri 3/28 - 2:36 PM")</f>
        <v>Fri 3/28 - 2:36 PM</v>
      </c>
      <c r="C36" s="6">
        <f ca="1">IFERROR(__xludf.DUMMYFUNCTION("""COMPUTED_VALUE"""),4174)</f>
        <v>4174</v>
      </c>
      <c r="D36" s="6">
        <f ca="1">IFERROR(__xludf.DUMMYFUNCTION("""COMPUTED_VALUE"""),4229)</f>
        <v>4229</v>
      </c>
      <c r="E36" s="6">
        <f ca="1">IFERROR(__xludf.DUMMYFUNCTION("""COMPUTED_VALUE"""),2502)</f>
        <v>2502</v>
      </c>
      <c r="F36" s="6">
        <f ca="1">IFERROR(__xludf.DUMMYFUNCTION("""COMPUTED_VALUE"""),2491)</f>
        <v>2491</v>
      </c>
      <c r="G36" s="6">
        <f ca="1">IFERROR(__xludf.DUMMYFUNCTION("""COMPUTED_VALUE"""),4778)</f>
        <v>4778</v>
      </c>
      <c r="H36" s="6">
        <f ca="1">IFERROR(__xludf.DUMMYFUNCTION("""COMPUTED_VALUE"""),2498)</f>
        <v>2498</v>
      </c>
      <c r="I36" s="6"/>
      <c r="J36" s="6"/>
    </row>
    <row r="37" spans="1:10" ht="12.75">
      <c r="A37" s="6" t="str">
        <f ca="1">IFERROR(__xludf.DUMMYFUNCTION("""COMPUTED_VALUE"""),"Qualification 36")</f>
        <v>Qualification 36</v>
      </c>
      <c r="B37" s="6" t="str">
        <f ca="1">IFERROR(__xludf.DUMMYFUNCTION("""COMPUTED_VALUE"""),"Fri 3/28 - 2:44 PM")</f>
        <v>Fri 3/28 - 2:44 PM</v>
      </c>
      <c r="C37" s="6">
        <f ca="1">IFERROR(__xludf.DUMMYFUNCTION("""COMPUTED_VALUE"""),2846)</f>
        <v>2846</v>
      </c>
      <c r="D37" s="6">
        <f ca="1">IFERROR(__xludf.DUMMYFUNCTION("""COMPUTED_VALUE"""),7068)</f>
        <v>7068</v>
      </c>
      <c r="E37" s="6">
        <f ca="1">IFERROR(__xludf.DUMMYFUNCTION("""COMPUTED_VALUE"""),7850)</f>
        <v>7850</v>
      </c>
      <c r="F37" s="6">
        <f ca="1">IFERROR(__xludf.DUMMYFUNCTION("""COMPUTED_VALUE"""),2513)</f>
        <v>2513</v>
      </c>
      <c r="G37" s="6">
        <f ca="1">IFERROR(__xludf.DUMMYFUNCTION("""COMPUTED_VALUE"""),8234)</f>
        <v>8234</v>
      </c>
      <c r="H37" s="6">
        <f ca="1">IFERROR(__xludf.DUMMYFUNCTION("""COMPUTED_VALUE"""),6045)</f>
        <v>6045</v>
      </c>
      <c r="I37" s="6"/>
      <c r="J37" s="6"/>
    </row>
    <row r="38" spans="1:10" ht="12.75">
      <c r="A38" s="6" t="str">
        <f ca="1">IFERROR(__xludf.DUMMYFUNCTION("""COMPUTED_VALUE"""),"Qualification 37")</f>
        <v>Qualification 37</v>
      </c>
      <c r="B38" s="6" t="str">
        <f ca="1">IFERROR(__xludf.DUMMYFUNCTION("""COMPUTED_VALUE"""),"Fri 3/28 - 2:52 PM")</f>
        <v>Fri 3/28 - 2:52 PM</v>
      </c>
      <c r="C38" s="6">
        <f ca="1">IFERROR(__xludf.DUMMYFUNCTION("""COMPUTED_VALUE"""),2450)</f>
        <v>2450</v>
      </c>
      <c r="D38" s="6">
        <f ca="1">IFERROR(__xludf.DUMMYFUNCTION("""COMPUTED_VALUE"""),3018)</f>
        <v>3018</v>
      </c>
      <c r="E38" s="6">
        <f ca="1">IFERROR(__xludf.DUMMYFUNCTION("""COMPUTED_VALUE"""),2220)</f>
        <v>2220</v>
      </c>
      <c r="F38" s="6">
        <f ca="1">IFERROR(__xludf.DUMMYFUNCTION("""COMPUTED_VALUE"""),4687)</f>
        <v>4687</v>
      </c>
      <c r="G38" s="6">
        <f ca="1">IFERROR(__xludf.DUMMYFUNCTION("""COMPUTED_VALUE"""),3755)</f>
        <v>3755</v>
      </c>
      <c r="H38" s="6">
        <f ca="1">IFERROR(__xludf.DUMMYFUNCTION("""COMPUTED_VALUE"""),2667)</f>
        <v>2667</v>
      </c>
      <c r="I38" s="6"/>
      <c r="J38" s="6"/>
    </row>
    <row r="39" spans="1:10" ht="12.75">
      <c r="A39" s="6" t="str">
        <f ca="1">IFERROR(__xludf.DUMMYFUNCTION("""COMPUTED_VALUE"""),"Qualification 38")</f>
        <v>Qualification 38</v>
      </c>
      <c r="B39" s="6" t="str">
        <f ca="1">IFERROR(__xludf.DUMMYFUNCTION("""COMPUTED_VALUE"""),"Fri 3/28 - 3:00 PM")</f>
        <v>Fri 3/28 - 3:00 PM</v>
      </c>
      <c r="C39" s="6">
        <f ca="1">IFERROR(__xludf.DUMMYFUNCTION("""COMPUTED_VALUE"""),3630)</f>
        <v>3630</v>
      </c>
      <c r="D39" s="6">
        <f ca="1">IFERROR(__xludf.DUMMYFUNCTION("""COMPUTED_VALUE"""),5541)</f>
        <v>5541</v>
      </c>
      <c r="E39" s="6">
        <f ca="1">IFERROR(__xludf.DUMMYFUNCTION("""COMPUTED_VALUE"""),2264)</f>
        <v>2264</v>
      </c>
      <c r="F39" s="6">
        <f ca="1">IFERROR(__xludf.DUMMYFUNCTION("""COMPUTED_VALUE"""),2847)</f>
        <v>2847</v>
      </c>
      <c r="G39" s="6">
        <f ca="1">IFERROR(__xludf.DUMMYFUNCTION("""COMPUTED_VALUE"""),2538)</f>
        <v>2538</v>
      </c>
      <c r="H39" s="6">
        <f ca="1">IFERROR(__xludf.DUMMYFUNCTION("""COMPUTED_VALUE"""),3792)</f>
        <v>3792</v>
      </c>
      <c r="I39" s="6"/>
      <c r="J39" s="6"/>
    </row>
    <row r="40" spans="1:10" ht="12.75">
      <c r="A40" s="6" t="str">
        <f ca="1">IFERROR(__xludf.DUMMYFUNCTION("""COMPUTED_VALUE"""),"Qualification 39")</f>
        <v>Qualification 39</v>
      </c>
      <c r="B40" s="6" t="str">
        <f ca="1">IFERROR(__xludf.DUMMYFUNCTION("""COMPUTED_VALUE"""),"Fri 3/28 - 3:08 PM")</f>
        <v>Fri 3/28 - 3:08 PM</v>
      </c>
      <c r="C40" s="6">
        <f ca="1">IFERROR(__xludf.DUMMYFUNCTION("""COMPUTED_VALUE"""),2207)</f>
        <v>2207</v>
      </c>
      <c r="D40" s="6">
        <f ca="1">IFERROR(__xludf.DUMMYFUNCTION("""COMPUTED_VALUE"""),5464)</f>
        <v>5464</v>
      </c>
      <c r="E40" s="6">
        <f ca="1">IFERROR(__xludf.DUMMYFUNCTION("""COMPUTED_VALUE"""),3883)</f>
        <v>3883</v>
      </c>
      <c r="F40" s="6">
        <f ca="1">IFERROR(__xludf.DUMMYFUNCTION("""COMPUTED_VALUE"""),3454)</f>
        <v>3454</v>
      </c>
      <c r="G40" s="6">
        <f ca="1">IFERROR(__xludf.DUMMYFUNCTION("""COMPUTED_VALUE"""),3038)</f>
        <v>3038</v>
      </c>
      <c r="H40" s="6">
        <f ca="1">IFERROR(__xludf.DUMMYFUNCTION("""COMPUTED_VALUE"""),2181)</f>
        <v>2181</v>
      </c>
      <c r="I40" s="6"/>
      <c r="J40" s="6"/>
    </row>
    <row r="41" spans="1:10" ht="12.75">
      <c r="A41" s="6" t="str">
        <f ca="1">IFERROR(__xludf.DUMMYFUNCTION("""COMPUTED_VALUE"""),"Qualification 40")</f>
        <v>Qualification 40</v>
      </c>
      <c r="B41" s="6" t="str">
        <f ca="1">IFERROR(__xludf.DUMMYFUNCTION("""COMPUTED_VALUE"""),"Fri 3/28 - 3:16 PM")</f>
        <v>Fri 3/28 - 3:16 PM</v>
      </c>
      <c r="C41" s="6">
        <f ca="1">IFERROR(__xludf.DUMMYFUNCTION("""COMPUTED_VALUE"""),3926)</f>
        <v>3926</v>
      </c>
      <c r="D41" s="6">
        <f ca="1">IFERROR(__xludf.DUMMYFUNCTION("""COMPUTED_VALUE"""),6217)</f>
        <v>6217</v>
      </c>
      <c r="E41" s="6">
        <f ca="1">IFERROR(__xludf.DUMMYFUNCTION("""COMPUTED_VALUE"""),4225)</f>
        <v>4225</v>
      </c>
      <c r="F41" s="6">
        <f ca="1">IFERROR(__xludf.DUMMYFUNCTION("""COMPUTED_VALUE"""),2511)</f>
        <v>2511</v>
      </c>
      <c r="G41" s="6">
        <f ca="1">IFERROR(__xludf.DUMMYFUNCTION("""COMPUTED_VALUE"""),3745)</f>
        <v>3745</v>
      </c>
      <c r="H41" s="6">
        <f ca="1">IFERROR(__xludf.DUMMYFUNCTION("""COMPUTED_VALUE"""),5271)</f>
        <v>5271</v>
      </c>
      <c r="I41" s="6"/>
      <c r="J41" s="6"/>
    </row>
    <row r="42" spans="1:10" ht="12.75">
      <c r="A42" s="6" t="str">
        <f ca="1">IFERROR(__xludf.DUMMYFUNCTION("""COMPUTED_VALUE"""),"Qualification 41")</f>
        <v>Qualification 41</v>
      </c>
      <c r="B42" s="6" t="str">
        <f ca="1">IFERROR(__xludf.DUMMYFUNCTION("""COMPUTED_VALUE"""),"Fri 3/28 - 3:24 PM")</f>
        <v>Fri 3/28 - 3:24 PM</v>
      </c>
      <c r="C42" s="6">
        <f ca="1">IFERROR(__xludf.DUMMYFUNCTION("""COMPUTED_VALUE"""),5996)</f>
        <v>5996</v>
      </c>
      <c r="D42" s="6">
        <f ca="1">IFERROR(__xludf.DUMMYFUNCTION("""COMPUTED_VALUE"""),2549)</f>
        <v>2549</v>
      </c>
      <c r="E42" s="6">
        <f ca="1">IFERROR(__xludf.DUMMYFUNCTION("""COMPUTED_VALUE"""),7594)</f>
        <v>7594</v>
      </c>
      <c r="F42" s="6">
        <f ca="1">IFERROR(__xludf.DUMMYFUNCTION("""COMPUTED_VALUE"""),2227)</f>
        <v>2227</v>
      </c>
      <c r="G42" s="6">
        <f ca="1">IFERROR(__xludf.DUMMYFUNCTION("""COMPUTED_VALUE"""),2823)</f>
        <v>2823</v>
      </c>
      <c r="H42" s="6">
        <f ca="1">IFERROR(__xludf.DUMMYFUNCTION("""COMPUTED_VALUE"""),2855)</f>
        <v>2855</v>
      </c>
      <c r="I42" s="6"/>
      <c r="J42" s="6"/>
    </row>
    <row r="43" spans="1:10" ht="12.75">
      <c r="A43" s="6" t="str">
        <f ca="1">IFERROR(__xludf.DUMMYFUNCTION("""COMPUTED_VALUE"""),"Qualification 42")</f>
        <v>Qualification 42</v>
      </c>
      <c r="B43" s="6" t="str">
        <f ca="1">IFERROR(__xludf.DUMMYFUNCTION("""COMPUTED_VALUE"""),"Fri 3/28 - 3:32 PM")</f>
        <v>Fri 3/28 - 3:32 PM</v>
      </c>
      <c r="C43" s="6">
        <f ca="1">IFERROR(__xludf.DUMMYFUNCTION("""COMPUTED_VALUE"""),6909)</f>
        <v>6909</v>
      </c>
      <c r="D43" s="6">
        <f ca="1">IFERROR(__xludf.DUMMYFUNCTION("""COMPUTED_VALUE"""),8570)</f>
        <v>8570</v>
      </c>
      <c r="E43" s="6">
        <f ca="1">IFERROR(__xludf.DUMMYFUNCTION("""COMPUTED_VALUE"""),4663)</f>
        <v>4663</v>
      </c>
      <c r="F43" s="6">
        <f ca="1">IFERROR(__xludf.DUMMYFUNCTION("""COMPUTED_VALUE"""),2472)</f>
        <v>2472</v>
      </c>
      <c r="G43" s="6">
        <f ca="1">IFERROR(__xludf.DUMMYFUNCTION("""COMPUTED_VALUE"""),3891)</f>
        <v>3891</v>
      </c>
      <c r="H43" s="6">
        <f ca="1">IFERROR(__xludf.DUMMYFUNCTION("""COMPUTED_VALUE"""),4664)</f>
        <v>4664</v>
      </c>
      <c r="I43" s="6"/>
      <c r="J43" s="6"/>
    </row>
    <row r="44" spans="1:10" ht="12.75">
      <c r="A44" s="6" t="str">
        <f ca="1">IFERROR(__xludf.DUMMYFUNCTION("""COMPUTED_VALUE"""),"Qualification 43")</f>
        <v>Qualification 43</v>
      </c>
      <c r="B44" s="6" t="str">
        <f ca="1">IFERROR(__xludf.DUMMYFUNCTION("""COMPUTED_VALUE"""),"Fri 3/28 - 3:40 PM")</f>
        <v>Fri 3/28 - 3:40 PM</v>
      </c>
      <c r="C44" s="6">
        <f ca="1">IFERROR(__xludf.DUMMYFUNCTION("""COMPUTED_VALUE"""),7849)</f>
        <v>7849</v>
      </c>
      <c r="D44" s="6">
        <f ca="1">IFERROR(__xludf.DUMMYFUNCTION("""COMPUTED_VALUE"""),6045)</f>
        <v>6045</v>
      </c>
      <c r="E44" s="6">
        <f ca="1">IFERROR(__xludf.DUMMYFUNCTION("""COMPUTED_VALUE"""),4687)</f>
        <v>4687</v>
      </c>
      <c r="F44" s="6">
        <f ca="1">IFERROR(__xludf.DUMMYFUNCTION("""COMPUTED_VALUE"""),4778)</f>
        <v>4778</v>
      </c>
      <c r="G44" s="6">
        <f ca="1">IFERROR(__xludf.DUMMYFUNCTION("""COMPUTED_VALUE"""),3297)</f>
        <v>3297</v>
      </c>
      <c r="H44" s="6">
        <f ca="1">IFERROR(__xludf.DUMMYFUNCTION("""COMPUTED_VALUE"""),3082)</f>
        <v>3082</v>
      </c>
      <c r="I44" s="6"/>
      <c r="J44" s="6"/>
    </row>
    <row r="45" spans="1:10" ht="12.75">
      <c r="A45" s="6" t="str">
        <f ca="1">IFERROR(__xludf.DUMMYFUNCTION("""COMPUTED_VALUE"""),"Qualification 44")</f>
        <v>Qualification 44</v>
      </c>
      <c r="B45" s="6" t="str">
        <f ca="1">IFERROR(__xludf.DUMMYFUNCTION("""COMPUTED_VALUE"""),"Fri 3/28 - 3:48 PM")</f>
        <v>Fri 3/28 - 3:48 PM</v>
      </c>
      <c r="C45" s="6">
        <f ca="1">IFERROR(__xludf.DUMMYFUNCTION("""COMPUTED_VALUE"""),2220)</f>
        <v>2220</v>
      </c>
      <c r="D45" s="6">
        <f ca="1">IFERROR(__xludf.DUMMYFUNCTION("""COMPUTED_VALUE"""),3883)</f>
        <v>3883</v>
      </c>
      <c r="E45" s="6">
        <f ca="1">IFERROR(__xludf.DUMMYFUNCTION("""COMPUTED_VALUE"""),4229)</f>
        <v>4229</v>
      </c>
      <c r="F45" s="6">
        <f ca="1">IFERROR(__xludf.DUMMYFUNCTION("""COMPUTED_VALUE"""),7850)</f>
        <v>7850</v>
      </c>
      <c r="G45" s="6">
        <f ca="1">IFERROR(__xludf.DUMMYFUNCTION("""COMPUTED_VALUE"""),2847)</f>
        <v>2847</v>
      </c>
      <c r="H45" s="6">
        <f ca="1">IFERROR(__xludf.DUMMYFUNCTION("""COMPUTED_VALUE"""),3630)</f>
        <v>3630</v>
      </c>
      <c r="I45" s="6"/>
      <c r="J45" s="6"/>
    </row>
    <row r="46" spans="1:10" ht="12.75">
      <c r="A46" s="6" t="str">
        <f ca="1">IFERROR(__xludf.DUMMYFUNCTION("""COMPUTED_VALUE"""),"Qualification 45")</f>
        <v>Qualification 45</v>
      </c>
      <c r="B46" s="6" t="str">
        <f ca="1">IFERROR(__xludf.DUMMYFUNCTION("""COMPUTED_VALUE"""),"Fri 3/28 - 3:56 PM")</f>
        <v>Fri 3/28 - 3:56 PM</v>
      </c>
      <c r="C46" s="6">
        <f ca="1">IFERROR(__xludf.DUMMYFUNCTION("""COMPUTED_VALUE"""),3755)</f>
        <v>3755</v>
      </c>
      <c r="D46" s="6">
        <f ca="1">IFERROR(__xludf.DUMMYFUNCTION("""COMPUTED_VALUE"""),5271)</f>
        <v>5271</v>
      </c>
      <c r="E46" s="6">
        <f ca="1">IFERROR(__xludf.DUMMYFUNCTION("""COMPUTED_VALUE"""),2264)</f>
        <v>2264</v>
      </c>
      <c r="F46" s="6">
        <f ca="1">IFERROR(__xludf.DUMMYFUNCTION("""COMPUTED_VALUE"""),2846)</f>
        <v>2846</v>
      </c>
      <c r="G46" s="6">
        <f ca="1">IFERROR(__xludf.DUMMYFUNCTION("""COMPUTED_VALUE"""),2498)</f>
        <v>2498</v>
      </c>
      <c r="H46" s="6">
        <f ca="1">IFERROR(__xludf.DUMMYFUNCTION("""COMPUTED_VALUE"""),2502)</f>
        <v>2502</v>
      </c>
      <c r="I46" s="6"/>
      <c r="J46" s="6"/>
    </row>
    <row r="47" spans="1:10" ht="12.75">
      <c r="A47" s="6" t="str">
        <f ca="1">IFERROR(__xludf.DUMMYFUNCTION("""COMPUTED_VALUE"""),"Qualification 46")</f>
        <v>Qualification 46</v>
      </c>
      <c r="B47" s="6" t="str">
        <f ca="1">IFERROR(__xludf.DUMMYFUNCTION("""COMPUTED_VALUE"""),"Fri 3/28 - 4:04 PM")</f>
        <v>Fri 3/28 - 4:04 PM</v>
      </c>
      <c r="C47" s="6">
        <f ca="1">IFERROR(__xludf.DUMMYFUNCTION("""COMPUTED_VALUE"""),5541)</f>
        <v>5541</v>
      </c>
      <c r="D47" s="6">
        <f ca="1">IFERROR(__xludf.DUMMYFUNCTION("""COMPUTED_VALUE"""),3926)</f>
        <v>3926</v>
      </c>
      <c r="E47" s="6">
        <f ca="1">IFERROR(__xludf.DUMMYFUNCTION("""COMPUTED_VALUE"""),2227)</f>
        <v>2227</v>
      </c>
      <c r="F47" s="6">
        <f ca="1">IFERROR(__xludf.DUMMYFUNCTION("""COMPUTED_VALUE"""),2667)</f>
        <v>2667</v>
      </c>
      <c r="G47" s="6">
        <f ca="1">IFERROR(__xludf.DUMMYFUNCTION("""COMPUTED_VALUE"""),4174)</f>
        <v>4174</v>
      </c>
      <c r="H47" s="6">
        <f ca="1">IFERROR(__xludf.DUMMYFUNCTION("""COMPUTED_VALUE"""),2207)</f>
        <v>2207</v>
      </c>
      <c r="I47" s="6"/>
      <c r="J47" s="6"/>
    </row>
    <row r="48" spans="1:10" ht="12.75">
      <c r="A48" s="6" t="str">
        <f ca="1">IFERROR(__xludf.DUMMYFUNCTION("""COMPUTED_VALUE"""),"Qualification 47")</f>
        <v>Qualification 47</v>
      </c>
      <c r="B48" s="6" t="str">
        <f ca="1">IFERROR(__xludf.DUMMYFUNCTION("""COMPUTED_VALUE"""),"Fri 3/28 - 4:12 PM")</f>
        <v>Fri 3/28 - 4:12 PM</v>
      </c>
      <c r="C48" s="6">
        <f ca="1">IFERROR(__xludf.DUMMYFUNCTION("""COMPUTED_VALUE"""),7594)</f>
        <v>7594</v>
      </c>
      <c r="D48" s="6">
        <f ca="1">IFERROR(__xludf.DUMMYFUNCTION("""COMPUTED_VALUE"""),6909)</f>
        <v>6909</v>
      </c>
      <c r="E48" s="6">
        <f ca="1">IFERROR(__xludf.DUMMYFUNCTION("""COMPUTED_VALUE"""),3891)</f>
        <v>3891</v>
      </c>
      <c r="F48" s="6">
        <f ca="1">IFERROR(__xludf.DUMMYFUNCTION("""COMPUTED_VALUE"""),7068)</f>
        <v>7068</v>
      </c>
      <c r="G48" s="6">
        <f ca="1">IFERROR(__xludf.DUMMYFUNCTION("""COMPUTED_VALUE"""),5996)</f>
        <v>5996</v>
      </c>
      <c r="H48" s="6">
        <f ca="1">IFERROR(__xludf.DUMMYFUNCTION("""COMPUTED_VALUE"""),3038)</f>
        <v>3038</v>
      </c>
      <c r="I48" s="6"/>
      <c r="J48" s="6"/>
    </row>
    <row r="49" spans="1:10" ht="12.75">
      <c r="A49" s="6" t="str">
        <f ca="1">IFERROR(__xludf.DUMMYFUNCTION("""COMPUTED_VALUE"""),"Qualification 48")</f>
        <v>Qualification 48</v>
      </c>
      <c r="B49" s="6" t="str">
        <f ca="1">IFERROR(__xludf.DUMMYFUNCTION("""COMPUTED_VALUE"""),"Fri 3/28 - 4:20 PM")</f>
        <v>Fri 3/28 - 4:20 PM</v>
      </c>
      <c r="C49" s="6">
        <f ca="1">IFERROR(__xludf.DUMMYFUNCTION("""COMPUTED_VALUE"""),2823)</f>
        <v>2823</v>
      </c>
      <c r="D49" s="6">
        <f ca="1">IFERROR(__xludf.DUMMYFUNCTION("""COMPUTED_VALUE"""),4225)</f>
        <v>4225</v>
      </c>
      <c r="E49" s="6">
        <f ca="1">IFERROR(__xludf.DUMMYFUNCTION("""COMPUTED_VALUE"""),2450)</f>
        <v>2450</v>
      </c>
      <c r="F49" s="6">
        <f ca="1">IFERROR(__xludf.DUMMYFUNCTION("""COMPUTED_VALUE"""),4663)</f>
        <v>4663</v>
      </c>
      <c r="G49" s="6">
        <f ca="1">IFERROR(__xludf.DUMMYFUNCTION("""COMPUTED_VALUE"""),2513)</f>
        <v>2513</v>
      </c>
      <c r="H49" s="6">
        <f ca="1">IFERROR(__xludf.DUMMYFUNCTION("""COMPUTED_VALUE"""),7849)</f>
        <v>7849</v>
      </c>
      <c r="I49" s="6"/>
      <c r="J49" s="6"/>
    </row>
    <row r="50" spans="1:10" ht="12.75">
      <c r="A50" s="6" t="str">
        <f ca="1">IFERROR(__xludf.DUMMYFUNCTION("""COMPUTED_VALUE"""),"Qualification 49")</f>
        <v>Qualification 49</v>
      </c>
      <c r="B50" s="6" t="str">
        <f ca="1">IFERROR(__xludf.DUMMYFUNCTION("""COMPUTED_VALUE"""),"Fri 3/28 - 4:28 PM")</f>
        <v>Fri 3/28 - 4:28 PM</v>
      </c>
      <c r="C50" s="6">
        <f ca="1">IFERROR(__xludf.DUMMYFUNCTION("""COMPUTED_VALUE"""),3792)</f>
        <v>3792</v>
      </c>
      <c r="D50" s="6">
        <f ca="1">IFERROR(__xludf.DUMMYFUNCTION("""COMPUTED_VALUE"""),2549)</f>
        <v>2549</v>
      </c>
      <c r="E50" s="6">
        <f ca="1">IFERROR(__xludf.DUMMYFUNCTION("""COMPUTED_VALUE"""),6217)</f>
        <v>6217</v>
      </c>
      <c r="F50" s="6">
        <f ca="1">IFERROR(__xludf.DUMMYFUNCTION("""COMPUTED_VALUE"""),3082)</f>
        <v>3082</v>
      </c>
      <c r="G50" s="6">
        <f ca="1">IFERROR(__xludf.DUMMYFUNCTION("""COMPUTED_VALUE"""),2181)</f>
        <v>2181</v>
      </c>
      <c r="H50" s="6">
        <f ca="1">IFERROR(__xludf.DUMMYFUNCTION("""COMPUTED_VALUE"""),8570)</f>
        <v>8570</v>
      </c>
      <c r="I50" s="6"/>
      <c r="J50" s="6"/>
    </row>
    <row r="51" spans="1:10" ht="12.75">
      <c r="A51" s="6" t="str">
        <f ca="1">IFERROR(__xludf.DUMMYFUNCTION("""COMPUTED_VALUE"""),"Qualification 50")</f>
        <v>Qualification 50</v>
      </c>
      <c r="B51" s="6" t="str">
        <f ca="1">IFERROR(__xludf.DUMMYFUNCTION("""COMPUTED_VALUE"""),"Fri 3/28 - 4:36 PM")</f>
        <v>Fri 3/28 - 4:36 PM</v>
      </c>
      <c r="C51" s="6">
        <f ca="1">IFERROR(__xludf.DUMMYFUNCTION("""COMPUTED_VALUE"""),4664)</f>
        <v>4664</v>
      </c>
      <c r="D51" s="6">
        <f ca="1">IFERROR(__xludf.DUMMYFUNCTION("""COMPUTED_VALUE"""),3745)</f>
        <v>3745</v>
      </c>
      <c r="E51" s="6">
        <f ca="1">IFERROR(__xludf.DUMMYFUNCTION("""COMPUTED_VALUE"""),5464)</f>
        <v>5464</v>
      </c>
      <c r="F51" s="6">
        <f ca="1">IFERROR(__xludf.DUMMYFUNCTION("""COMPUTED_VALUE"""),2538)</f>
        <v>2538</v>
      </c>
      <c r="G51" s="6">
        <f ca="1">IFERROR(__xludf.DUMMYFUNCTION("""COMPUTED_VALUE"""),2855)</f>
        <v>2855</v>
      </c>
      <c r="H51" s="6">
        <f ca="1">IFERROR(__xludf.DUMMYFUNCTION("""COMPUTED_VALUE"""),2491)</f>
        <v>2491</v>
      </c>
      <c r="I51" s="6"/>
      <c r="J51" s="6"/>
    </row>
    <row r="52" spans="1:10" ht="12.75">
      <c r="A52" s="6" t="str">
        <f ca="1">IFERROR(__xludf.DUMMYFUNCTION("""COMPUTED_VALUE"""),"Qualification 51")</f>
        <v>Qualification 51</v>
      </c>
      <c r="B52" s="6" t="str">
        <f ca="1">IFERROR(__xludf.DUMMYFUNCTION("""COMPUTED_VALUE"""),"Fri 3/28 - 4:44 PM")</f>
        <v>Fri 3/28 - 4:44 PM</v>
      </c>
      <c r="C52" s="6">
        <f ca="1">IFERROR(__xludf.DUMMYFUNCTION("""COMPUTED_VALUE"""),3297)</f>
        <v>3297</v>
      </c>
      <c r="D52" s="6">
        <f ca="1">IFERROR(__xludf.DUMMYFUNCTION("""COMPUTED_VALUE"""),2511)</f>
        <v>2511</v>
      </c>
      <c r="E52" s="6">
        <f ca="1">IFERROR(__xludf.DUMMYFUNCTION("""COMPUTED_VALUE"""),2472)</f>
        <v>2472</v>
      </c>
      <c r="F52" s="6">
        <f ca="1">IFERROR(__xludf.DUMMYFUNCTION("""COMPUTED_VALUE"""),8234)</f>
        <v>8234</v>
      </c>
      <c r="G52" s="6">
        <f ca="1">IFERROR(__xludf.DUMMYFUNCTION("""COMPUTED_VALUE"""),3454)</f>
        <v>3454</v>
      </c>
      <c r="H52" s="6">
        <f ca="1">IFERROR(__xludf.DUMMYFUNCTION("""COMPUTED_VALUE"""),3018)</f>
        <v>3018</v>
      </c>
      <c r="I52" s="6"/>
      <c r="J52" s="6"/>
    </row>
    <row r="53" spans="1:10" ht="12.75">
      <c r="A53" s="6" t="str">
        <f ca="1">IFERROR(__xludf.DUMMYFUNCTION("""COMPUTED_VALUE"""),"Qualification 52")</f>
        <v>Qualification 52</v>
      </c>
      <c r="B53" s="6" t="str">
        <f ca="1">IFERROR(__xludf.DUMMYFUNCTION("""COMPUTED_VALUE"""),"Fri 3/28 - 4:52 PM")</f>
        <v>Fri 3/28 - 4:52 PM</v>
      </c>
      <c r="C53" s="6">
        <f ca="1">IFERROR(__xludf.DUMMYFUNCTION("""COMPUTED_VALUE"""),7850)</f>
        <v>7850</v>
      </c>
      <c r="D53" s="6">
        <f ca="1">IFERROR(__xludf.DUMMYFUNCTION("""COMPUTED_VALUE"""),3891)</f>
        <v>3891</v>
      </c>
      <c r="E53" s="6">
        <f ca="1">IFERROR(__xludf.DUMMYFUNCTION("""COMPUTED_VALUE"""),6045)</f>
        <v>6045</v>
      </c>
      <c r="F53" s="6">
        <f ca="1">IFERROR(__xludf.DUMMYFUNCTION("""COMPUTED_VALUE"""),3755)</f>
        <v>3755</v>
      </c>
      <c r="G53" s="6">
        <f ca="1">IFERROR(__xludf.DUMMYFUNCTION("""COMPUTED_VALUE"""),3630)</f>
        <v>3630</v>
      </c>
      <c r="H53" s="6">
        <f ca="1">IFERROR(__xludf.DUMMYFUNCTION("""COMPUTED_VALUE"""),3926)</f>
        <v>3926</v>
      </c>
      <c r="I53" s="6"/>
      <c r="J53" s="6"/>
    </row>
    <row r="54" spans="1:10" ht="12.75">
      <c r="A54" s="6" t="str">
        <f ca="1">IFERROR(__xludf.DUMMYFUNCTION("""COMPUTED_VALUE"""),"Qualification 53")</f>
        <v>Qualification 53</v>
      </c>
      <c r="B54" s="6" t="str">
        <f ca="1">IFERROR(__xludf.DUMMYFUNCTION("""COMPUTED_VALUE"""),"Fri 3/28 - 5:00 PM")</f>
        <v>Fri 3/28 - 5:00 PM</v>
      </c>
      <c r="C54" s="6">
        <f ca="1">IFERROR(__xludf.DUMMYFUNCTION("""COMPUTED_VALUE"""),7594)</f>
        <v>7594</v>
      </c>
      <c r="D54" s="6">
        <f ca="1">IFERROR(__xludf.DUMMYFUNCTION("""COMPUTED_VALUE"""),2264)</f>
        <v>2264</v>
      </c>
      <c r="E54" s="6">
        <f ca="1">IFERROR(__xludf.DUMMYFUNCTION("""COMPUTED_VALUE"""),2846)</f>
        <v>2846</v>
      </c>
      <c r="F54" s="6">
        <f ca="1">IFERROR(__xludf.DUMMYFUNCTION("""COMPUTED_VALUE"""),5541)</f>
        <v>5541</v>
      </c>
      <c r="G54" s="6">
        <f ca="1">IFERROR(__xludf.DUMMYFUNCTION("""COMPUTED_VALUE"""),4687)</f>
        <v>4687</v>
      </c>
      <c r="H54" s="6">
        <f ca="1">IFERROR(__xludf.DUMMYFUNCTION("""COMPUTED_VALUE"""),3883)</f>
        <v>3883</v>
      </c>
      <c r="I54" s="6"/>
      <c r="J54" s="6"/>
    </row>
    <row r="55" spans="1:10" ht="12.75">
      <c r="A55" s="6" t="str">
        <f ca="1">IFERROR(__xludf.DUMMYFUNCTION("""COMPUTED_VALUE"""),"Qualification 54")</f>
        <v>Qualification 54</v>
      </c>
      <c r="B55" s="6" t="str">
        <f ca="1">IFERROR(__xludf.DUMMYFUNCTION("""COMPUTED_VALUE"""),"Fri 3/28 - 5:08 PM")</f>
        <v>Fri 3/28 - 5:08 PM</v>
      </c>
      <c r="C55" s="6">
        <f ca="1">IFERROR(__xludf.DUMMYFUNCTION("""COMPUTED_VALUE"""),3038)</f>
        <v>3038</v>
      </c>
      <c r="D55" s="6">
        <f ca="1">IFERROR(__xludf.DUMMYFUNCTION("""COMPUTED_VALUE"""),8570)</f>
        <v>8570</v>
      </c>
      <c r="E55" s="6">
        <f ca="1">IFERROR(__xludf.DUMMYFUNCTION("""COMPUTED_VALUE"""),2847)</f>
        <v>2847</v>
      </c>
      <c r="F55" s="6">
        <f ca="1">IFERROR(__xludf.DUMMYFUNCTION("""COMPUTED_VALUE"""),2502)</f>
        <v>2502</v>
      </c>
      <c r="G55" s="6">
        <f ca="1">IFERROR(__xludf.DUMMYFUNCTION("""COMPUTED_VALUE"""),2667)</f>
        <v>2667</v>
      </c>
      <c r="H55" s="6">
        <f ca="1">IFERROR(__xludf.DUMMYFUNCTION("""COMPUTED_VALUE"""),2823)</f>
        <v>2823</v>
      </c>
      <c r="I55" s="6"/>
      <c r="J55" s="6"/>
    </row>
    <row r="56" spans="1:10" ht="12.75">
      <c r="A56" s="6" t="str">
        <f ca="1">IFERROR(__xludf.DUMMYFUNCTION("""COMPUTED_VALUE"""),"Qualification 55")</f>
        <v>Qualification 55</v>
      </c>
      <c r="B56" s="6" t="str">
        <f ca="1">IFERROR(__xludf.DUMMYFUNCTION("""COMPUTED_VALUE"""),"Fri 3/28 - 5:16 PM")</f>
        <v>Fri 3/28 - 5:16 PM</v>
      </c>
      <c r="C56" s="6">
        <f ca="1">IFERROR(__xludf.DUMMYFUNCTION("""COMPUTED_VALUE"""),2450)</f>
        <v>2450</v>
      </c>
      <c r="D56" s="6">
        <f ca="1">IFERROR(__xludf.DUMMYFUNCTION("""COMPUTED_VALUE"""),2491)</f>
        <v>2491</v>
      </c>
      <c r="E56" s="6">
        <f ca="1">IFERROR(__xludf.DUMMYFUNCTION("""COMPUTED_VALUE"""),3792)</f>
        <v>3792</v>
      </c>
      <c r="F56" s="6">
        <f ca="1">IFERROR(__xludf.DUMMYFUNCTION("""COMPUTED_VALUE"""),4778)</f>
        <v>4778</v>
      </c>
      <c r="G56" s="6">
        <f ca="1">IFERROR(__xludf.DUMMYFUNCTION("""COMPUTED_VALUE"""),2227)</f>
        <v>2227</v>
      </c>
      <c r="H56" s="6">
        <f ca="1">IFERROR(__xludf.DUMMYFUNCTION("""COMPUTED_VALUE"""),3745)</f>
        <v>3745</v>
      </c>
      <c r="I56" s="6"/>
      <c r="J56" s="6"/>
    </row>
    <row r="57" spans="1:10" ht="12.75">
      <c r="A57" s="6" t="str">
        <f ca="1">IFERROR(__xludf.DUMMYFUNCTION("""COMPUTED_VALUE"""),"Qualification 56")</f>
        <v>Qualification 56</v>
      </c>
      <c r="B57" s="6" t="str">
        <f ca="1">IFERROR(__xludf.DUMMYFUNCTION("""COMPUTED_VALUE"""),"Sat 3/29 - 8:50 AM")</f>
        <v>Sat 3/29 - 8:50 AM</v>
      </c>
      <c r="C57" s="6">
        <f ca="1">IFERROR(__xludf.DUMMYFUNCTION("""COMPUTED_VALUE"""),2181)</f>
        <v>2181</v>
      </c>
      <c r="D57" s="6">
        <f ca="1">IFERROR(__xludf.DUMMYFUNCTION("""COMPUTED_VALUE"""),2220)</f>
        <v>2220</v>
      </c>
      <c r="E57" s="6">
        <f ca="1">IFERROR(__xludf.DUMMYFUNCTION("""COMPUTED_VALUE"""),2538)</f>
        <v>2538</v>
      </c>
      <c r="F57" s="6">
        <f ca="1">IFERROR(__xludf.DUMMYFUNCTION("""COMPUTED_VALUE"""),7849)</f>
        <v>7849</v>
      </c>
      <c r="G57" s="6">
        <f ca="1">IFERROR(__xludf.DUMMYFUNCTION("""COMPUTED_VALUE"""),2472)</f>
        <v>2472</v>
      </c>
      <c r="H57" s="6">
        <f ca="1">IFERROR(__xludf.DUMMYFUNCTION("""COMPUTED_VALUE"""),5996)</f>
        <v>5996</v>
      </c>
      <c r="I57" s="6"/>
      <c r="J57" s="6"/>
    </row>
    <row r="58" spans="1:10" ht="12.75">
      <c r="A58" s="6" t="str">
        <f ca="1">IFERROR(__xludf.DUMMYFUNCTION("""COMPUTED_VALUE"""),"Qualification 57")</f>
        <v>Qualification 57</v>
      </c>
      <c r="B58" s="6" t="str">
        <f ca="1">IFERROR(__xludf.DUMMYFUNCTION("""COMPUTED_VALUE"""),"Sat 3/29 - 8:58 AM")</f>
        <v>Sat 3/29 - 8:58 AM</v>
      </c>
      <c r="C58" s="6">
        <f ca="1">IFERROR(__xludf.DUMMYFUNCTION("""COMPUTED_VALUE"""),2549)</f>
        <v>2549</v>
      </c>
      <c r="D58" s="6">
        <f ca="1">IFERROR(__xludf.DUMMYFUNCTION("""COMPUTED_VALUE"""),4664)</f>
        <v>4664</v>
      </c>
      <c r="E58" s="6">
        <f ca="1">IFERROR(__xludf.DUMMYFUNCTION("""COMPUTED_VALUE"""),3454)</f>
        <v>3454</v>
      </c>
      <c r="F58" s="6">
        <f ca="1">IFERROR(__xludf.DUMMYFUNCTION("""COMPUTED_VALUE"""),4229)</f>
        <v>4229</v>
      </c>
      <c r="G58" s="6">
        <f ca="1">IFERROR(__xludf.DUMMYFUNCTION("""COMPUTED_VALUE"""),7068)</f>
        <v>7068</v>
      </c>
      <c r="H58" s="6">
        <f ca="1">IFERROR(__xludf.DUMMYFUNCTION("""COMPUTED_VALUE"""),3018)</f>
        <v>3018</v>
      </c>
      <c r="I58" s="6"/>
      <c r="J58" s="6"/>
    </row>
    <row r="59" spans="1:10" ht="12.75">
      <c r="A59" s="6" t="str">
        <f ca="1">IFERROR(__xludf.DUMMYFUNCTION("""COMPUTED_VALUE"""),"Qualification 58")</f>
        <v>Qualification 58</v>
      </c>
      <c r="B59" s="6" t="str">
        <f ca="1">IFERROR(__xludf.DUMMYFUNCTION("""COMPUTED_VALUE"""),"Sat 3/29 - 9:06 AM")</f>
        <v>Sat 3/29 - 9:06 AM</v>
      </c>
      <c r="C59" s="6">
        <f ca="1">IFERROR(__xludf.DUMMYFUNCTION("""COMPUTED_VALUE"""),8234)</f>
        <v>8234</v>
      </c>
      <c r="D59" s="6">
        <f ca="1">IFERROR(__xludf.DUMMYFUNCTION("""COMPUTED_VALUE"""),4174)</f>
        <v>4174</v>
      </c>
      <c r="E59" s="6">
        <f ca="1">IFERROR(__xludf.DUMMYFUNCTION("""COMPUTED_VALUE"""),2498)</f>
        <v>2498</v>
      </c>
      <c r="F59" s="6">
        <f ca="1">IFERROR(__xludf.DUMMYFUNCTION("""COMPUTED_VALUE"""),5464)</f>
        <v>5464</v>
      </c>
      <c r="G59" s="6">
        <f ca="1">IFERROR(__xludf.DUMMYFUNCTION("""COMPUTED_VALUE"""),4663)</f>
        <v>4663</v>
      </c>
      <c r="H59" s="6">
        <f ca="1">IFERROR(__xludf.DUMMYFUNCTION("""COMPUTED_VALUE"""),6217)</f>
        <v>6217</v>
      </c>
      <c r="I59" s="6"/>
      <c r="J59" s="6"/>
    </row>
    <row r="60" spans="1:10" ht="12.75">
      <c r="A60" s="6" t="str">
        <f ca="1">IFERROR(__xludf.DUMMYFUNCTION("""COMPUTED_VALUE"""),"Qualification 59")</f>
        <v>Qualification 59</v>
      </c>
      <c r="B60" s="6" t="str">
        <f ca="1">IFERROR(__xludf.DUMMYFUNCTION("""COMPUTED_VALUE"""),"Sat 3/29 - 9:14 AM")</f>
        <v>Sat 3/29 - 9:14 AM</v>
      </c>
      <c r="C60" s="6">
        <f ca="1">IFERROR(__xludf.DUMMYFUNCTION("""COMPUTED_VALUE"""),2855)</f>
        <v>2855</v>
      </c>
      <c r="D60" s="6">
        <f ca="1">IFERROR(__xludf.DUMMYFUNCTION("""COMPUTED_VALUE"""),4225)</f>
        <v>4225</v>
      </c>
      <c r="E60" s="6">
        <f ca="1">IFERROR(__xludf.DUMMYFUNCTION("""COMPUTED_VALUE"""),2511)</f>
        <v>2511</v>
      </c>
      <c r="F60" s="6">
        <f ca="1">IFERROR(__xludf.DUMMYFUNCTION("""COMPUTED_VALUE"""),3082)</f>
        <v>3082</v>
      </c>
      <c r="G60" s="6">
        <f ca="1">IFERROR(__xludf.DUMMYFUNCTION("""COMPUTED_VALUE"""),2207)</f>
        <v>2207</v>
      </c>
      <c r="H60" s="6">
        <f ca="1">IFERROR(__xludf.DUMMYFUNCTION("""COMPUTED_VALUE"""),6909)</f>
        <v>6909</v>
      </c>
      <c r="I60" s="6"/>
      <c r="J60" s="6"/>
    </row>
    <row r="61" spans="1:10" ht="12.75">
      <c r="A61" s="6" t="str">
        <f ca="1">IFERROR(__xludf.DUMMYFUNCTION("""COMPUTED_VALUE"""),"Qualification 60")</f>
        <v>Qualification 60</v>
      </c>
      <c r="B61" s="6" t="str">
        <f ca="1">IFERROR(__xludf.DUMMYFUNCTION("""COMPUTED_VALUE"""),"Sat 3/29 - 9:22 AM")</f>
        <v>Sat 3/29 - 9:22 AM</v>
      </c>
      <c r="C61" s="6">
        <f ca="1">IFERROR(__xludf.DUMMYFUNCTION("""COMPUTED_VALUE"""),2513)</f>
        <v>2513</v>
      </c>
      <c r="D61" s="6">
        <f ca="1">IFERROR(__xludf.DUMMYFUNCTION("""COMPUTED_VALUE"""),3297)</f>
        <v>3297</v>
      </c>
      <c r="E61" s="6">
        <f ca="1">IFERROR(__xludf.DUMMYFUNCTION("""COMPUTED_VALUE"""),3630)</f>
        <v>3630</v>
      </c>
      <c r="F61" s="6">
        <f ca="1">IFERROR(__xludf.DUMMYFUNCTION("""COMPUTED_VALUE"""),5271)</f>
        <v>5271</v>
      </c>
      <c r="G61" s="6">
        <f ca="1">IFERROR(__xludf.DUMMYFUNCTION("""COMPUTED_VALUE"""),2667)</f>
        <v>2667</v>
      </c>
      <c r="H61" s="6">
        <f ca="1">IFERROR(__xludf.DUMMYFUNCTION("""COMPUTED_VALUE"""),7594)</f>
        <v>7594</v>
      </c>
      <c r="I61" s="6"/>
      <c r="J61" s="6"/>
    </row>
    <row r="62" spans="1:10" ht="12.75">
      <c r="A62" s="6" t="str">
        <f ca="1">IFERROR(__xludf.DUMMYFUNCTION("""COMPUTED_VALUE"""),"Qualification 61")</f>
        <v>Qualification 61</v>
      </c>
      <c r="B62" s="6" t="str">
        <f ca="1">IFERROR(__xludf.DUMMYFUNCTION("""COMPUTED_VALUE"""),"Sat 3/29 - 9:30 AM")</f>
        <v>Sat 3/29 - 9:30 AM</v>
      </c>
      <c r="C62" s="6">
        <f ca="1">IFERROR(__xludf.DUMMYFUNCTION("""COMPUTED_VALUE"""),2264)</f>
        <v>2264</v>
      </c>
      <c r="D62" s="6">
        <f ca="1">IFERROR(__xludf.DUMMYFUNCTION("""COMPUTED_VALUE"""),7850)</f>
        <v>7850</v>
      </c>
      <c r="E62" s="6">
        <f ca="1">IFERROR(__xludf.DUMMYFUNCTION("""COMPUTED_VALUE"""),2823)</f>
        <v>2823</v>
      </c>
      <c r="F62" s="6">
        <f ca="1">IFERROR(__xludf.DUMMYFUNCTION("""COMPUTED_VALUE"""),2181)</f>
        <v>2181</v>
      </c>
      <c r="G62" s="6">
        <f ca="1">IFERROR(__xludf.DUMMYFUNCTION("""COMPUTED_VALUE"""),2227)</f>
        <v>2227</v>
      </c>
      <c r="H62" s="6">
        <f ca="1">IFERROR(__xludf.DUMMYFUNCTION("""COMPUTED_VALUE"""),2491)</f>
        <v>2491</v>
      </c>
      <c r="I62" s="6"/>
      <c r="J62" s="6"/>
    </row>
    <row r="63" spans="1:10" ht="12.75">
      <c r="A63" s="6" t="str">
        <f ca="1">IFERROR(__xludf.DUMMYFUNCTION("""COMPUTED_VALUE"""),"Qualification 62")</f>
        <v>Qualification 62</v>
      </c>
      <c r="B63" s="6" t="str">
        <f ca="1">IFERROR(__xludf.DUMMYFUNCTION("""COMPUTED_VALUE"""),"Sat 3/29 - 9:38 AM")</f>
        <v>Sat 3/29 - 9:38 AM</v>
      </c>
      <c r="C63" s="6">
        <f ca="1">IFERROR(__xludf.DUMMYFUNCTION("""COMPUTED_VALUE"""),7068)</f>
        <v>7068</v>
      </c>
      <c r="D63" s="6">
        <f ca="1">IFERROR(__xludf.DUMMYFUNCTION("""COMPUTED_VALUE"""),4778)</f>
        <v>4778</v>
      </c>
      <c r="E63" s="6">
        <f ca="1">IFERROR(__xludf.DUMMYFUNCTION("""COMPUTED_VALUE"""),6045)</f>
        <v>6045</v>
      </c>
      <c r="F63" s="6">
        <f ca="1">IFERROR(__xludf.DUMMYFUNCTION("""COMPUTED_VALUE"""),2538)</f>
        <v>2538</v>
      </c>
      <c r="G63" s="6">
        <f ca="1">IFERROR(__xludf.DUMMYFUNCTION("""COMPUTED_VALUE"""),3883)</f>
        <v>3883</v>
      </c>
      <c r="H63" s="6">
        <f ca="1">IFERROR(__xludf.DUMMYFUNCTION("""COMPUTED_VALUE"""),8570)</f>
        <v>8570</v>
      </c>
      <c r="I63" s="6"/>
      <c r="J63" s="6"/>
    </row>
    <row r="64" spans="1:10" ht="12.75">
      <c r="A64" s="6" t="str">
        <f ca="1">IFERROR(__xludf.DUMMYFUNCTION("""COMPUTED_VALUE"""),"Qualification 63")</f>
        <v>Qualification 63</v>
      </c>
      <c r="B64" s="6" t="str">
        <f ca="1">IFERROR(__xludf.DUMMYFUNCTION("""COMPUTED_VALUE"""),"Sat 3/29 - 9:46 AM")</f>
        <v>Sat 3/29 - 9:46 AM</v>
      </c>
      <c r="C64" s="6">
        <f ca="1">IFERROR(__xludf.DUMMYFUNCTION("""COMPUTED_VALUE"""),6217)</f>
        <v>6217</v>
      </c>
      <c r="D64" s="6">
        <f ca="1">IFERROR(__xludf.DUMMYFUNCTION("""COMPUTED_VALUE"""),2472)</f>
        <v>2472</v>
      </c>
      <c r="E64" s="6">
        <f ca="1">IFERROR(__xludf.DUMMYFUNCTION("""COMPUTED_VALUE"""),2502)</f>
        <v>2502</v>
      </c>
      <c r="F64" s="6">
        <f ca="1">IFERROR(__xludf.DUMMYFUNCTION("""COMPUTED_VALUE"""),2549)</f>
        <v>2549</v>
      </c>
      <c r="G64" s="6">
        <f ca="1">IFERROR(__xludf.DUMMYFUNCTION("""COMPUTED_VALUE"""),7849)</f>
        <v>7849</v>
      </c>
      <c r="H64" s="6">
        <f ca="1">IFERROR(__xludf.DUMMYFUNCTION("""COMPUTED_VALUE"""),5541)</f>
        <v>5541</v>
      </c>
      <c r="I64" s="6"/>
      <c r="J64" s="6"/>
    </row>
    <row r="65" spans="1:10" ht="12.75">
      <c r="A65" s="6" t="str">
        <f ca="1">IFERROR(__xludf.DUMMYFUNCTION("""COMPUTED_VALUE"""),"Qualification 64")</f>
        <v>Qualification 64</v>
      </c>
      <c r="B65" s="6" t="str">
        <f ca="1">IFERROR(__xludf.DUMMYFUNCTION("""COMPUTED_VALUE"""),"Sat 3/29 - 9:54 AM")</f>
        <v>Sat 3/29 - 9:54 AM</v>
      </c>
      <c r="C65" s="6">
        <f ca="1">IFERROR(__xludf.DUMMYFUNCTION("""COMPUTED_VALUE"""),6909)</f>
        <v>6909</v>
      </c>
      <c r="D65" s="6">
        <f ca="1">IFERROR(__xludf.DUMMYFUNCTION("""COMPUTED_VALUE"""),2855)</f>
        <v>2855</v>
      </c>
      <c r="E65" s="6">
        <f ca="1">IFERROR(__xludf.DUMMYFUNCTION("""COMPUTED_VALUE"""),2847)</f>
        <v>2847</v>
      </c>
      <c r="F65" s="6">
        <f ca="1">IFERROR(__xludf.DUMMYFUNCTION("""COMPUTED_VALUE"""),2450)</f>
        <v>2450</v>
      </c>
      <c r="G65" s="6">
        <f ca="1">IFERROR(__xludf.DUMMYFUNCTION("""COMPUTED_VALUE"""),2511)</f>
        <v>2511</v>
      </c>
      <c r="H65" s="6">
        <f ca="1">IFERROR(__xludf.DUMMYFUNCTION("""COMPUTED_VALUE"""),3454)</f>
        <v>3454</v>
      </c>
      <c r="I65" s="6"/>
      <c r="J65" s="6"/>
    </row>
    <row r="66" spans="1:10" ht="12.75">
      <c r="A66" s="6" t="str">
        <f ca="1">IFERROR(__xludf.DUMMYFUNCTION("""COMPUTED_VALUE"""),"Qualification 65")</f>
        <v>Qualification 65</v>
      </c>
      <c r="B66" s="6" t="str">
        <f ca="1">IFERROR(__xludf.DUMMYFUNCTION("""COMPUTED_VALUE"""),"Sat 3/29 - 10:02 AM")</f>
        <v>Sat 3/29 - 10:02 AM</v>
      </c>
      <c r="C66" s="6">
        <f ca="1">IFERROR(__xludf.DUMMYFUNCTION("""COMPUTED_VALUE"""),2498)</f>
        <v>2498</v>
      </c>
      <c r="D66" s="6">
        <f ca="1">IFERROR(__xludf.DUMMYFUNCTION("""COMPUTED_VALUE"""),4663)</f>
        <v>4663</v>
      </c>
      <c r="E66" s="6">
        <f ca="1">IFERROR(__xludf.DUMMYFUNCTION("""COMPUTED_VALUE"""),3018)</f>
        <v>3018</v>
      </c>
      <c r="F66" s="6">
        <f ca="1">IFERROR(__xludf.DUMMYFUNCTION("""COMPUTED_VALUE"""),3745)</f>
        <v>3745</v>
      </c>
      <c r="G66" s="6">
        <f ca="1">IFERROR(__xludf.DUMMYFUNCTION("""COMPUTED_VALUE"""),5996)</f>
        <v>5996</v>
      </c>
      <c r="H66" s="6">
        <f ca="1">IFERROR(__xludf.DUMMYFUNCTION("""COMPUTED_VALUE"""),2207)</f>
        <v>2207</v>
      </c>
      <c r="I66" s="6"/>
      <c r="J66" s="6"/>
    </row>
    <row r="67" spans="1:10" ht="12.75">
      <c r="A67" s="6" t="str">
        <f ca="1">IFERROR(__xludf.DUMMYFUNCTION("""COMPUTED_VALUE"""),"Qualification 66")</f>
        <v>Qualification 66</v>
      </c>
      <c r="B67" s="6" t="str">
        <f ca="1">IFERROR(__xludf.DUMMYFUNCTION("""COMPUTED_VALUE"""),"Sat 3/29 - 10:10 AM")</f>
        <v>Sat 3/29 - 10:10 AM</v>
      </c>
      <c r="C67" s="6">
        <f ca="1">IFERROR(__xludf.DUMMYFUNCTION("""COMPUTED_VALUE"""),3891)</f>
        <v>3891</v>
      </c>
      <c r="D67" s="6">
        <f ca="1">IFERROR(__xludf.DUMMYFUNCTION("""COMPUTED_VALUE"""),5464)</f>
        <v>5464</v>
      </c>
      <c r="E67" s="6">
        <f ca="1">IFERROR(__xludf.DUMMYFUNCTION("""COMPUTED_VALUE"""),2846)</f>
        <v>2846</v>
      </c>
      <c r="F67" s="6">
        <f ca="1">IFERROR(__xludf.DUMMYFUNCTION("""COMPUTED_VALUE"""),4229)</f>
        <v>4229</v>
      </c>
      <c r="G67" s="6">
        <f ca="1">IFERROR(__xludf.DUMMYFUNCTION("""COMPUTED_VALUE"""),3792)</f>
        <v>3792</v>
      </c>
      <c r="H67" s="6">
        <f ca="1">IFERROR(__xludf.DUMMYFUNCTION("""COMPUTED_VALUE"""),3297)</f>
        <v>3297</v>
      </c>
      <c r="I67" s="6"/>
      <c r="J67" s="6"/>
    </row>
    <row r="68" spans="1:10" ht="12.75">
      <c r="A68" s="6" t="str">
        <f ca="1">IFERROR(__xludf.DUMMYFUNCTION("""COMPUTED_VALUE"""),"Qualification 67")</f>
        <v>Qualification 67</v>
      </c>
      <c r="B68" s="6" t="str">
        <f ca="1">IFERROR(__xludf.DUMMYFUNCTION("""COMPUTED_VALUE"""),"Sat 3/29 - 10:18 AM")</f>
        <v>Sat 3/29 - 10:18 AM</v>
      </c>
      <c r="C68" s="6">
        <f ca="1">IFERROR(__xludf.DUMMYFUNCTION("""COMPUTED_VALUE"""),3755)</f>
        <v>3755</v>
      </c>
      <c r="D68" s="6">
        <f ca="1">IFERROR(__xludf.DUMMYFUNCTION("""COMPUTED_VALUE"""),3038)</f>
        <v>3038</v>
      </c>
      <c r="E68" s="6">
        <f ca="1">IFERROR(__xludf.DUMMYFUNCTION("""COMPUTED_VALUE"""),8234)</f>
        <v>8234</v>
      </c>
      <c r="F68" s="6">
        <f ca="1">IFERROR(__xludf.DUMMYFUNCTION("""COMPUTED_VALUE"""),4225)</f>
        <v>4225</v>
      </c>
      <c r="G68" s="6">
        <f ca="1">IFERROR(__xludf.DUMMYFUNCTION("""COMPUTED_VALUE"""),5271)</f>
        <v>5271</v>
      </c>
      <c r="H68" s="6">
        <f ca="1">IFERROR(__xludf.DUMMYFUNCTION("""COMPUTED_VALUE"""),4174)</f>
        <v>4174</v>
      </c>
      <c r="I68" s="6"/>
      <c r="J68" s="6"/>
    </row>
    <row r="69" spans="1:10" ht="12.75">
      <c r="A69" s="6" t="str">
        <f ca="1">IFERROR(__xludf.DUMMYFUNCTION("""COMPUTED_VALUE"""),"Qualification 68")</f>
        <v>Qualification 68</v>
      </c>
      <c r="B69" s="6" t="str">
        <f ca="1">IFERROR(__xludf.DUMMYFUNCTION("""COMPUTED_VALUE"""),"Sat 3/29 - 10:26 AM")</f>
        <v>Sat 3/29 - 10:26 AM</v>
      </c>
      <c r="C69" s="6">
        <f ca="1">IFERROR(__xludf.DUMMYFUNCTION("""COMPUTED_VALUE"""),2513)</f>
        <v>2513</v>
      </c>
      <c r="D69" s="6">
        <f ca="1">IFERROR(__xludf.DUMMYFUNCTION("""COMPUTED_VALUE"""),4664)</f>
        <v>4664</v>
      </c>
      <c r="E69" s="6">
        <f ca="1">IFERROR(__xludf.DUMMYFUNCTION("""COMPUTED_VALUE"""),3926)</f>
        <v>3926</v>
      </c>
      <c r="F69" s="6">
        <f ca="1">IFERROR(__xludf.DUMMYFUNCTION("""COMPUTED_VALUE"""),4687)</f>
        <v>4687</v>
      </c>
      <c r="G69" s="6">
        <f ca="1">IFERROR(__xludf.DUMMYFUNCTION("""COMPUTED_VALUE"""),3082)</f>
        <v>3082</v>
      </c>
      <c r="H69" s="6">
        <f ca="1">IFERROR(__xludf.DUMMYFUNCTION("""COMPUTED_VALUE"""),2220)</f>
        <v>2220</v>
      </c>
      <c r="I69" s="6"/>
      <c r="J69" s="6"/>
    </row>
    <row r="70" spans="1:10" ht="12.75">
      <c r="A70" s="6" t="str">
        <f ca="1">IFERROR(__xludf.DUMMYFUNCTION("""COMPUTED_VALUE"""),"Qualification 69")</f>
        <v>Qualification 69</v>
      </c>
      <c r="B70" s="6" t="str">
        <f ca="1">IFERROR(__xludf.DUMMYFUNCTION("""COMPUTED_VALUE"""),"Sat 3/29 - 10:34 AM")</f>
        <v>Sat 3/29 - 10:34 AM</v>
      </c>
      <c r="C70" s="6">
        <f ca="1">IFERROR(__xludf.DUMMYFUNCTION("""COMPUTED_VALUE"""),6045)</f>
        <v>6045</v>
      </c>
      <c r="D70" s="6">
        <f ca="1">IFERROR(__xludf.DUMMYFUNCTION("""COMPUTED_VALUE"""),2538)</f>
        <v>2538</v>
      </c>
      <c r="E70" s="6">
        <f ca="1">IFERROR(__xludf.DUMMYFUNCTION("""COMPUTED_VALUE"""),3454)</f>
        <v>3454</v>
      </c>
      <c r="F70" s="6">
        <f ca="1">IFERROR(__xludf.DUMMYFUNCTION("""COMPUTED_VALUE"""),6217)</f>
        <v>6217</v>
      </c>
      <c r="G70" s="6">
        <f ca="1">IFERROR(__xludf.DUMMYFUNCTION("""COMPUTED_VALUE"""),2450)</f>
        <v>2450</v>
      </c>
      <c r="H70" s="6">
        <f ca="1">IFERROR(__xludf.DUMMYFUNCTION("""COMPUTED_VALUE"""),2227)</f>
        <v>2227</v>
      </c>
      <c r="I70" s="6"/>
      <c r="J70" s="6"/>
    </row>
    <row r="71" spans="1:10" ht="12.75">
      <c r="A71" s="6" t="str">
        <f ca="1">IFERROR(__xludf.DUMMYFUNCTION("""COMPUTED_VALUE"""),"Qualification 70")</f>
        <v>Qualification 70</v>
      </c>
      <c r="B71" s="6" t="str">
        <f ca="1">IFERROR(__xludf.DUMMYFUNCTION("""COMPUTED_VALUE"""),"Sat 3/29 - 10:42 AM")</f>
        <v>Sat 3/29 - 10:42 AM</v>
      </c>
      <c r="C71" s="6">
        <f ca="1">IFERROR(__xludf.DUMMYFUNCTION("""COMPUTED_VALUE"""),2511)</f>
        <v>2511</v>
      </c>
      <c r="D71" s="6">
        <f ca="1">IFERROR(__xludf.DUMMYFUNCTION("""COMPUTED_VALUE"""),2491)</f>
        <v>2491</v>
      </c>
      <c r="E71" s="6">
        <f ca="1">IFERROR(__xludf.DUMMYFUNCTION("""COMPUTED_VALUE"""),2667)</f>
        <v>2667</v>
      </c>
      <c r="F71" s="6">
        <f ca="1">IFERROR(__xludf.DUMMYFUNCTION("""COMPUTED_VALUE"""),2498)</f>
        <v>2498</v>
      </c>
      <c r="G71" s="6">
        <f ca="1">IFERROR(__xludf.DUMMYFUNCTION("""COMPUTED_VALUE"""),2549)</f>
        <v>2549</v>
      </c>
      <c r="H71" s="6">
        <f ca="1">IFERROR(__xludf.DUMMYFUNCTION("""COMPUTED_VALUE"""),2472)</f>
        <v>2472</v>
      </c>
      <c r="I71" s="6"/>
      <c r="J71" s="6"/>
    </row>
    <row r="72" spans="1:10" ht="12.75">
      <c r="A72" s="6" t="str">
        <f ca="1">IFERROR(__xludf.DUMMYFUNCTION("""COMPUTED_VALUE"""),"Qualification 71")</f>
        <v>Qualification 71</v>
      </c>
      <c r="B72" s="6" t="str">
        <f ca="1">IFERROR(__xludf.DUMMYFUNCTION("""COMPUTED_VALUE"""),"Sat 3/29 - 10:50 AM")</f>
        <v>Sat 3/29 - 10:50 AM</v>
      </c>
      <c r="C72" s="6">
        <f ca="1">IFERROR(__xludf.DUMMYFUNCTION("""COMPUTED_VALUE"""),2855)</f>
        <v>2855</v>
      </c>
      <c r="D72" s="6">
        <f ca="1">IFERROR(__xludf.DUMMYFUNCTION("""COMPUTED_VALUE"""),8570)</f>
        <v>8570</v>
      </c>
      <c r="E72" s="6">
        <f ca="1">IFERROR(__xludf.DUMMYFUNCTION("""COMPUTED_VALUE"""),3745)</f>
        <v>3745</v>
      </c>
      <c r="F72" s="6">
        <f ca="1">IFERROR(__xludf.DUMMYFUNCTION("""COMPUTED_VALUE"""),3630)</f>
        <v>3630</v>
      </c>
      <c r="G72" s="6">
        <f ca="1">IFERROR(__xludf.DUMMYFUNCTION("""COMPUTED_VALUE"""),2846)</f>
        <v>2846</v>
      </c>
      <c r="H72" s="6">
        <f ca="1">IFERROR(__xludf.DUMMYFUNCTION("""COMPUTED_VALUE"""),7849)</f>
        <v>7849</v>
      </c>
      <c r="I72" s="6"/>
      <c r="J72" s="6"/>
    </row>
    <row r="73" spans="1:10" ht="12.75">
      <c r="A73" s="6" t="str">
        <f ca="1">IFERROR(__xludf.DUMMYFUNCTION("""COMPUTED_VALUE"""),"Qualification 72")</f>
        <v>Qualification 72</v>
      </c>
      <c r="B73" s="6" t="str">
        <f ca="1">IFERROR(__xludf.DUMMYFUNCTION("""COMPUTED_VALUE"""),"Sat 3/29 - 10:58 AM")</f>
        <v>Sat 3/29 - 10:58 AM</v>
      </c>
      <c r="C73" s="6">
        <f ca="1">IFERROR(__xludf.DUMMYFUNCTION("""COMPUTED_VALUE"""),3883)</f>
        <v>3883</v>
      </c>
      <c r="D73" s="6">
        <f ca="1">IFERROR(__xludf.DUMMYFUNCTION("""COMPUTED_VALUE"""),2823)</f>
        <v>2823</v>
      </c>
      <c r="E73" s="6">
        <f ca="1">IFERROR(__xludf.DUMMYFUNCTION("""COMPUTED_VALUE"""),2847)</f>
        <v>2847</v>
      </c>
      <c r="F73" s="6">
        <f ca="1">IFERROR(__xludf.DUMMYFUNCTION("""COMPUTED_VALUE"""),5271)</f>
        <v>5271</v>
      </c>
      <c r="G73" s="6">
        <f ca="1">IFERROR(__xludf.DUMMYFUNCTION("""COMPUTED_VALUE"""),2207)</f>
        <v>2207</v>
      </c>
      <c r="H73" s="6">
        <f ca="1">IFERROR(__xludf.DUMMYFUNCTION("""COMPUTED_VALUE"""),3891)</f>
        <v>3891</v>
      </c>
      <c r="I73" s="6"/>
      <c r="J73" s="6"/>
    </row>
    <row r="74" spans="1:10" ht="12.75">
      <c r="A74" s="6" t="str">
        <f ca="1">IFERROR(__xludf.DUMMYFUNCTION("""COMPUTED_VALUE"""),"Qualification 73")</f>
        <v>Qualification 73</v>
      </c>
      <c r="B74" s="6" t="str">
        <f ca="1">IFERROR(__xludf.DUMMYFUNCTION("""COMPUTED_VALUE"""),"Sat 3/29 - 11:06 AM")</f>
        <v>Sat 3/29 - 11:06 AM</v>
      </c>
      <c r="C74" s="6">
        <f ca="1">IFERROR(__xludf.DUMMYFUNCTION("""COMPUTED_VALUE"""),2220)</f>
        <v>2220</v>
      </c>
      <c r="D74" s="6">
        <f ca="1">IFERROR(__xludf.DUMMYFUNCTION("""COMPUTED_VALUE"""),2264)</f>
        <v>2264</v>
      </c>
      <c r="E74" s="6">
        <f ca="1">IFERROR(__xludf.DUMMYFUNCTION("""COMPUTED_VALUE"""),2513)</f>
        <v>2513</v>
      </c>
      <c r="F74" s="6">
        <f ca="1">IFERROR(__xludf.DUMMYFUNCTION("""COMPUTED_VALUE"""),5464)</f>
        <v>5464</v>
      </c>
      <c r="G74" s="6">
        <f ca="1">IFERROR(__xludf.DUMMYFUNCTION("""COMPUTED_VALUE"""),6909)</f>
        <v>6909</v>
      </c>
      <c r="H74" s="6">
        <f ca="1">IFERROR(__xludf.DUMMYFUNCTION("""COMPUTED_VALUE"""),4778)</f>
        <v>4778</v>
      </c>
      <c r="I74" s="6"/>
      <c r="J74" s="6"/>
    </row>
    <row r="75" spans="1:10" ht="12.75">
      <c r="A75" s="6" t="str">
        <f ca="1">IFERROR(__xludf.DUMMYFUNCTION("""COMPUTED_VALUE"""),"Qualification 74")</f>
        <v>Qualification 74</v>
      </c>
      <c r="B75" s="6" t="str">
        <f ca="1">IFERROR(__xludf.DUMMYFUNCTION("""COMPUTED_VALUE"""),"Sat 3/29 - 11:14 AM")</f>
        <v>Sat 3/29 - 11:14 AM</v>
      </c>
      <c r="C75" s="6">
        <f ca="1">IFERROR(__xludf.DUMMYFUNCTION("""COMPUTED_VALUE"""),3926)</f>
        <v>3926</v>
      </c>
      <c r="D75" s="6">
        <f ca="1">IFERROR(__xludf.DUMMYFUNCTION("""COMPUTED_VALUE"""),7594)</f>
        <v>7594</v>
      </c>
      <c r="E75" s="6">
        <f ca="1">IFERROR(__xludf.DUMMYFUNCTION("""COMPUTED_VALUE"""),4174)</f>
        <v>4174</v>
      </c>
      <c r="F75" s="6">
        <f ca="1">IFERROR(__xludf.DUMMYFUNCTION("""COMPUTED_VALUE"""),8234)</f>
        <v>8234</v>
      </c>
      <c r="G75" s="6">
        <f ca="1">IFERROR(__xludf.DUMMYFUNCTION("""COMPUTED_VALUE"""),4229)</f>
        <v>4229</v>
      </c>
      <c r="H75" s="6">
        <f ca="1">IFERROR(__xludf.DUMMYFUNCTION("""COMPUTED_VALUE"""),4664)</f>
        <v>4664</v>
      </c>
      <c r="I75" s="6"/>
      <c r="J75" s="6"/>
    </row>
    <row r="76" spans="1:10" ht="12.75">
      <c r="A76" s="6" t="str">
        <f ca="1">IFERROR(__xludf.DUMMYFUNCTION("""COMPUTED_VALUE"""),"Qualification 75")</f>
        <v>Qualification 75</v>
      </c>
      <c r="B76" s="6" t="str">
        <f ca="1">IFERROR(__xludf.DUMMYFUNCTION("""COMPUTED_VALUE"""),"Sat 3/29 - 11:22 AM")</f>
        <v>Sat 3/29 - 11:22 AM</v>
      </c>
      <c r="C76" s="6">
        <f ca="1">IFERROR(__xludf.DUMMYFUNCTION("""COMPUTED_VALUE"""),4663)</f>
        <v>4663</v>
      </c>
      <c r="D76" s="6">
        <f ca="1">IFERROR(__xludf.DUMMYFUNCTION("""COMPUTED_VALUE"""),3755)</f>
        <v>3755</v>
      </c>
      <c r="E76" s="6">
        <f ca="1">IFERROR(__xludf.DUMMYFUNCTION("""COMPUTED_VALUE"""),5541)</f>
        <v>5541</v>
      </c>
      <c r="F76" s="6">
        <f ca="1">IFERROR(__xludf.DUMMYFUNCTION("""COMPUTED_VALUE"""),3297)</f>
        <v>3297</v>
      </c>
      <c r="G76" s="6">
        <f ca="1">IFERROR(__xludf.DUMMYFUNCTION("""COMPUTED_VALUE"""),2181)</f>
        <v>2181</v>
      </c>
      <c r="H76" s="6">
        <f ca="1">IFERROR(__xludf.DUMMYFUNCTION("""COMPUTED_VALUE"""),7068)</f>
        <v>7068</v>
      </c>
      <c r="I76" s="6"/>
      <c r="J76" s="6"/>
    </row>
    <row r="77" spans="1:10" ht="12.75">
      <c r="A77" s="6" t="str">
        <f ca="1">IFERROR(__xludf.DUMMYFUNCTION("""COMPUTED_VALUE"""),"Qualification 76")</f>
        <v>Qualification 76</v>
      </c>
      <c r="B77" s="6" t="str">
        <f ca="1">IFERROR(__xludf.DUMMYFUNCTION("""COMPUTED_VALUE"""),"Sat 3/29 - 11:30 AM")</f>
        <v>Sat 3/29 - 11:30 AM</v>
      </c>
      <c r="C77" s="6">
        <f ca="1">IFERROR(__xludf.DUMMYFUNCTION("""COMPUTED_VALUE"""),2502)</f>
        <v>2502</v>
      </c>
      <c r="D77" s="6">
        <f ca="1">IFERROR(__xludf.DUMMYFUNCTION("""COMPUTED_VALUE"""),7850)</f>
        <v>7850</v>
      </c>
      <c r="E77" s="6">
        <f ca="1">IFERROR(__xludf.DUMMYFUNCTION("""COMPUTED_VALUE"""),4687)</f>
        <v>4687</v>
      </c>
      <c r="F77" s="6">
        <f ca="1">IFERROR(__xludf.DUMMYFUNCTION("""COMPUTED_VALUE"""),3792)</f>
        <v>3792</v>
      </c>
      <c r="G77" s="6">
        <f ca="1">IFERROR(__xludf.DUMMYFUNCTION("""COMPUTED_VALUE"""),5996)</f>
        <v>5996</v>
      </c>
      <c r="H77" s="6">
        <f ca="1">IFERROR(__xludf.DUMMYFUNCTION("""COMPUTED_VALUE"""),4225)</f>
        <v>4225</v>
      </c>
      <c r="I77" s="6"/>
      <c r="J77" s="6"/>
    </row>
    <row r="78" spans="1:10" ht="12.75">
      <c r="A78" s="6" t="str">
        <f ca="1">IFERROR(__xludf.DUMMYFUNCTION("""COMPUTED_VALUE"""),"Qualification 77")</f>
        <v>Qualification 77</v>
      </c>
      <c r="B78" s="6" t="str">
        <f ca="1">IFERROR(__xludf.DUMMYFUNCTION("""COMPUTED_VALUE"""),"Sat 3/29 - 11:38 AM")</f>
        <v>Sat 3/29 - 11:38 AM</v>
      </c>
      <c r="C78" s="6">
        <f ca="1">IFERROR(__xludf.DUMMYFUNCTION("""COMPUTED_VALUE"""),3018)</f>
        <v>3018</v>
      </c>
      <c r="D78" s="6">
        <f ca="1">IFERROR(__xludf.DUMMYFUNCTION("""COMPUTED_VALUE"""),3082)</f>
        <v>3082</v>
      </c>
      <c r="E78" s="6">
        <f ca="1">IFERROR(__xludf.DUMMYFUNCTION("""COMPUTED_VALUE"""),6217)</f>
        <v>6217</v>
      </c>
      <c r="F78" s="6">
        <f ca="1">IFERROR(__xludf.DUMMYFUNCTION("""COMPUTED_VALUE"""),3038)</f>
        <v>3038</v>
      </c>
      <c r="G78" s="6">
        <f ca="1">IFERROR(__xludf.DUMMYFUNCTION("""COMPUTED_VALUE"""),2846)</f>
        <v>2846</v>
      </c>
      <c r="H78" s="6">
        <f ca="1">IFERROR(__xludf.DUMMYFUNCTION("""COMPUTED_VALUE"""),2491)</f>
        <v>2491</v>
      </c>
      <c r="I78" s="6"/>
      <c r="J78" s="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outlinePr summaryBelow="0" summaryRight="0"/>
  </sheetPr>
  <dimension ref="A1:V999"/>
  <sheetViews>
    <sheetView workbookViewId="0">
      <pane xSplit="1" topLeftCell="B1" activePane="topRight" state="frozen"/>
      <selection pane="topRight" activeCell="C2" sqref="C2"/>
    </sheetView>
  </sheetViews>
  <sheetFormatPr defaultColWidth="12.5703125" defaultRowHeight="15.75" customHeight="1"/>
  <cols>
    <col min="8" max="8" width="17.28515625" customWidth="1"/>
    <col min="15" max="15" width="18.5703125" customWidth="1"/>
    <col min="16" max="16" width="14.42578125" customWidth="1"/>
    <col min="19" max="19" width="18.42578125" customWidth="1"/>
    <col min="20" max="20" width="20.42578125" customWidth="1"/>
  </cols>
  <sheetData>
    <row r="1" spans="1:22">
      <c r="A1" s="154" t="s">
        <v>104</v>
      </c>
      <c r="B1" s="154" t="s">
        <v>721</v>
      </c>
      <c r="C1" s="154" t="s">
        <v>1367</v>
      </c>
      <c r="D1" s="6" t="s">
        <v>1368</v>
      </c>
      <c r="E1" s="6" t="s">
        <v>1369</v>
      </c>
      <c r="F1" s="6" t="s">
        <v>1370</v>
      </c>
      <c r="G1" s="6" t="s">
        <v>1371</v>
      </c>
      <c r="H1" s="6" t="s">
        <v>1372</v>
      </c>
      <c r="I1" s="6" t="s">
        <v>1373</v>
      </c>
      <c r="J1" s="154" t="s">
        <v>1374</v>
      </c>
      <c r="K1" s="6" t="s">
        <v>1375</v>
      </c>
      <c r="L1" s="6" t="s">
        <v>1376</v>
      </c>
      <c r="M1" s="6" t="s">
        <v>1377</v>
      </c>
      <c r="N1" s="6" t="s">
        <v>1378</v>
      </c>
      <c r="O1" s="6" t="s">
        <v>1379</v>
      </c>
      <c r="P1" s="6" t="s">
        <v>1380</v>
      </c>
      <c r="Q1" s="154" t="s">
        <v>1381</v>
      </c>
      <c r="R1" s="6" t="s">
        <v>1382</v>
      </c>
      <c r="S1" s="6" t="s">
        <v>1383</v>
      </c>
      <c r="T1" s="6" t="s">
        <v>1384</v>
      </c>
      <c r="U1" s="155" t="s">
        <v>1385</v>
      </c>
      <c r="V1" s="154" t="s">
        <v>1386</v>
      </c>
    </row>
    <row r="2" spans="1:22">
      <c r="A2" s="154" t="str">
        <f ca="1">'MATCH CALCS'!A3</f>
        <v>Practice</v>
      </c>
      <c r="B2" s="154" t="str">
        <f ca="1">'MATCH CALCS'!$C3</f>
        <v>R2</v>
      </c>
      <c r="C2" s="154">
        <f t="shared" ref="C2:C256" ca="1" si="0">SUM($D2:$I2)</f>
        <v>12</v>
      </c>
      <c r="D2" s="6">
        <f ca="1">'MATCH CALCS'!$G3*2</f>
        <v>2</v>
      </c>
      <c r="E2" s="6">
        <f ca="1">'MATCH CALCS'!$G3*2</f>
        <v>2</v>
      </c>
      <c r="F2" s="6">
        <f ca="1">'MATCH CALCS'!$G3*2</f>
        <v>2</v>
      </c>
      <c r="G2" s="6">
        <f ca="1">'MATCH CALCS'!$G3*2</f>
        <v>2</v>
      </c>
      <c r="H2" s="6">
        <f ca="1">'MATCH CALCS'!$G3*2</f>
        <v>2</v>
      </c>
      <c r="I2" s="6">
        <f ca="1">'MATCH CALCS'!$G3*2</f>
        <v>2</v>
      </c>
      <c r="J2" s="154">
        <f t="shared" ref="J2:J256" ca="1" si="1">SUM($K2:$P2)</f>
        <v>0</v>
      </c>
      <c r="K2" s="6">
        <f ca="1">'MATCH CALCS'!L3*1</f>
        <v>0</v>
      </c>
      <c r="L2" s="6">
        <f ca="1">'MATCH CALCS'!$N3*2</f>
        <v>0</v>
      </c>
      <c r="M2" s="6">
        <f ca="1">'MATCH CALCS'!N3*1</f>
        <v>0</v>
      </c>
      <c r="N2" s="6">
        <f ca="1">'MATCH CALCS'!$N3*2</f>
        <v>0</v>
      </c>
      <c r="O2" s="6">
        <f ca="1">'MATCH CALCS'!$N3*2</f>
        <v>0</v>
      </c>
      <c r="P2" s="6">
        <f ca="1">'MATCH CALCS'!$P3*5</f>
        <v>0</v>
      </c>
      <c r="Q2" s="154">
        <f t="shared" ref="Q2:Q256" ca="1" si="2">SUM(U2)</f>
        <v>0</v>
      </c>
      <c r="R2" s="6">
        <f ca="1">'MATCH CALCS'!$AD3*1</f>
        <v>0</v>
      </c>
      <c r="S2" s="6">
        <f>'MATCH CALCS'!AC3*3</f>
        <v>0</v>
      </c>
      <c r="T2" s="6">
        <f ca="1">'MATCH CALCS'!AD3*3</f>
        <v>0</v>
      </c>
      <c r="U2" s="155">
        <f t="shared" ref="U2:U256" ca="1" si="3">SUM(R2:T2)</f>
        <v>0</v>
      </c>
      <c r="V2" s="154">
        <f t="shared" ref="V2:V256" ca="1" si="4">SUM(Q2,J2,C2,)</f>
        <v>12</v>
      </c>
    </row>
    <row r="3" spans="1:22">
      <c r="A3" s="154" t="str">
        <f ca="1">'MATCH CALCS'!A4</f>
        <v>Practice</v>
      </c>
      <c r="B3" s="154" t="str">
        <f ca="1">'MATCH CALCS'!$C4</f>
        <v>B1</v>
      </c>
      <c r="C3" s="154">
        <f t="shared" ca="1" si="0"/>
        <v>12</v>
      </c>
      <c r="D3" s="6">
        <f ca="1">'MATCH CALCS'!$G4*2</f>
        <v>2</v>
      </c>
      <c r="E3" s="6">
        <f ca="1">'MATCH CALCS'!$G4*2</f>
        <v>2</v>
      </c>
      <c r="F3" s="6">
        <f ca="1">'MATCH CALCS'!$G4*2</f>
        <v>2</v>
      </c>
      <c r="G3" s="6">
        <f ca="1">'MATCH CALCS'!$G4*2</f>
        <v>2</v>
      </c>
      <c r="H3" s="6">
        <f ca="1">'MATCH CALCS'!$G4*2</f>
        <v>2</v>
      </c>
      <c r="I3" s="6">
        <f ca="1">'MATCH CALCS'!$G4*2</f>
        <v>2</v>
      </c>
      <c r="J3" s="154">
        <f t="shared" ca="1" si="1"/>
        <v>0</v>
      </c>
      <c r="K3" s="6">
        <f ca="1">'MATCH CALCS'!L4*1</f>
        <v>0</v>
      </c>
      <c r="L3" s="6">
        <f ca="1">'MATCH CALCS'!$N4*2</f>
        <v>0</v>
      </c>
      <c r="M3" s="6">
        <f ca="1">'MATCH CALCS'!N4*1</f>
        <v>0</v>
      </c>
      <c r="N3" s="6">
        <f ca="1">'MATCH CALCS'!$N4*2</f>
        <v>0</v>
      </c>
      <c r="O3" s="6">
        <f ca="1">'MATCH CALCS'!$N4*2</f>
        <v>0</v>
      </c>
      <c r="P3" s="6">
        <f ca="1">'MATCH CALCS'!$P4*5</f>
        <v>0</v>
      </c>
      <c r="Q3" s="154">
        <f t="shared" ca="1" si="2"/>
        <v>0</v>
      </c>
      <c r="R3" s="6">
        <f ca="1">'MATCH CALCS'!$AD4*1</f>
        <v>0</v>
      </c>
      <c r="S3" s="6">
        <f>'MATCH CALCS'!AC4*3</f>
        <v>0</v>
      </c>
      <c r="T3" s="6">
        <f ca="1">'MATCH CALCS'!AD4*3</f>
        <v>0</v>
      </c>
      <c r="U3" s="155">
        <f t="shared" ca="1" si="3"/>
        <v>0</v>
      </c>
      <c r="V3" s="154">
        <f t="shared" ca="1" si="4"/>
        <v>12</v>
      </c>
    </row>
    <row r="4" spans="1:22">
      <c r="A4" s="154" t="str">
        <f ca="1">'MATCH CALCS'!A5</f>
        <v>Practice</v>
      </c>
      <c r="B4" s="154" t="str">
        <f ca="1">'MATCH CALCS'!$C5</f>
        <v>B3</v>
      </c>
      <c r="C4" s="154">
        <f t="shared" ca="1" si="0"/>
        <v>12</v>
      </c>
      <c r="D4" s="6">
        <f ca="1">'MATCH CALCS'!$G5*2</f>
        <v>2</v>
      </c>
      <c r="E4" s="6">
        <f ca="1">'MATCH CALCS'!$G5*2</f>
        <v>2</v>
      </c>
      <c r="F4" s="6">
        <f ca="1">'MATCH CALCS'!$G5*2</f>
        <v>2</v>
      </c>
      <c r="G4" s="6">
        <f ca="1">'MATCH CALCS'!$G5*2</f>
        <v>2</v>
      </c>
      <c r="H4" s="6">
        <f ca="1">'MATCH CALCS'!$G5*2</f>
        <v>2</v>
      </c>
      <c r="I4" s="6">
        <f ca="1">'MATCH CALCS'!$G5*2</f>
        <v>2</v>
      </c>
      <c r="J4" s="154">
        <f t="shared" ca="1" si="1"/>
        <v>2</v>
      </c>
      <c r="K4" s="6">
        <f ca="1">'MATCH CALCS'!L5*1</f>
        <v>2</v>
      </c>
      <c r="L4" s="6">
        <f ca="1">'MATCH CALCS'!$N5*2</f>
        <v>0</v>
      </c>
      <c r="M4" s="6">
        <f ca="1">'MATCH CALCS'!N5*1</f>
        <v>0</v>
      </c>
      <c r="N4" s="6">
        <f ca="1">'MATCH CALCS'!$N5*2</f>
        <v>0</v>
      </c>
      <c r="O4" s="6">
        <f ca="1">'MATCH CALCS'!$N5*2</f>
        <v>0</v>
      </c>
      <c r="P4" s="6">
        <f ca="1">'MATCH CALCS'!$P5*5</f>
        <v>0</v>
      </c>
      <c r="Q4" s="154">
        <f t="shared" ca="1" si="2"/>
        <v>0</v>
      </c>
      <c r="R4" s="6">
        <f ca="1">'MATCH CALCS'!$AD5*1</f>
        <v>0</v>
      </c>
      <c r="S4" s="6">
        <f>'MATCH CALCS'!AC5*3</f>
        <v>0</v>
      </c>
      <c r="T4" s="6">
        <f ca="1">'MATCH CALCS'!AD5*3</f>
        <v>0</v>
      </c>
      <c r="U4" s="155">
        <f t="shared" ca="1" si="3"/>
        <v>0</v>
      </c>
      <c r="V4" s="154">
        <f t="shared" ca="1" si="4"/>
        <v>14</v>
      </c>
    </row>
    <row r="5" spans="1:22">
      <c r="A5" s="154" t="str">
        <f ca="1">'MATCH CALCS'!A7</f>
        <v>Practice</v>
      </c>
      <c r="B5" s="154" t="str">
        <f ca="1">'MATCH CALCS'!$C7</f>
        <v>R2</v>
      </c>
      <c r="C5" s="154">
        <f t="shared" ca="1" si="0"/>
        <v>12</v>
      </c>
      <c r="D5" s="6">
        <f ca="1">'MATCH CALCS'!$G7*2</f>
        <v>2</v>
      </c>
      <c r="E5" s="6">
        <f ca="1">'MATCH CALCS'!$G7*2</f>
        <v>2</v>
      </c>
      <c r="F5" s="6">
        <f ca="1">'MATCH CALCS'!$G7*2</f>
        <v>2</v>
      </c>
      <c r="G5" s="6">
        <f ca="1">'MATCH CALCS'!$G7*2</f>
        <v>2</v>
      </c>
      <c r="H5" s="6">
        <f ca="1">'MATCH CALCS'!$G7*2</f>
        <v>2</v>
      </c>
      <c r="I5" s="6">
        <f ca="1">'MATCH CALCS'!$G7*2</f>
        <v>2</v>
      </c>
      <c r="J5" s="154">
        <f t="shared" ca="1" si="1"/>
        <v>5</v>
      </c>
      <c r="K5" s="6">
        <f ca="1">'MATCH CALCS'!L7*1</f>
        <v>0</v>
      </c>
      <c r="L5" s="6">
        <f ca="1">'MATCH CALCS'!$N7*2</f>
        <v>0</v>
      </c>
      <c r="M5" s="6">
        <f ca="1">'MATCH CALCS'!N7*1</f>
        <v>0</v>
      </c>
      <c r="N5" s="6">
        <f ca="1">'MATCH CALCS'!$N7*2</f>
        <v>0</v>
      </c>
      <c r="O5" s="6">
        <f ca="1">'MATCH CALCS'!$N7*2</f>
        <v>0</v>
      </c>
      <c r="P5" s="6">
        <f ca="1">'MATCH CALCS'!$P7*5</f>
        <v>5</v>
      </c>
      <c r="Q5" s="154">
        <f t="shared" ca="1" si="2"/>
        <v>0</v>
      </c>
      <c r="R5" s="6">
        <f ca="1">'MATCH CALCS'!$AD7*1</f>
        <v>0</v>
      </c>
      <c r="S5" s="6">
        <f>'MATCH CALCS'!AC7*3</f>
        <v>0</v>
      </c>
      <c r="T5" s="6">
        <f ca="1">'MATCH CALCS'!AD7*3</f>
        <v>0</v>
      </c>
      <c r="U5" s="155">
        <f t="shared" ca="1" si="3"/>
        <v>0</v>
      </c>
      <c r="V5" s="154">
        <f t="shared" ca="1" si="4"/>
        <v>17</v>
      </c>
    </row>
    <row r="6" spans="1:22">
      <c r="A6" s="154" t="str">
        <f ca="1">'MATCH CALCS'!A8</f>
        <v>Practice</v>
      </c>
      <c r="B6" s="154" t="str">
        <f ca="1">'MATCH CALCS'!$C8</f>
        <v>B3</v>
      </c>
      <c r="C6" s="154">
        <f t="shared" ca="1" si="0"/>
        <v>12</v>
      </c>
      <c r="D6" s="6">
        <f ca="1">'MATCH CALCS'!$G8*2</f>
        <v>2</v>
      </c>
      <c r="E6" s="6">
        <f ca="1">'MATCH CALCS'!$G8*2</f>
        <v>2</v>
      </c>
      <c r="F6" s="6">
        <f ca="1">'MATCH CALCS'!$G8*2</f>
        <v>2</v>
      </c>
      <c r="G6" s="6">
        <f ca="1">'MATCH CALCS'!$G8*2</f>
        <v>2</v>
      </c>
      <c r="H6" s="6">
        <f ca="1">'MATCH CALCS'!$G8*2</f>
        <v>2</v>
      </c>
      <c r="I6" s="6">
        <f ca="1">'MATCH CALCS'!$G8*2</f>
        <v>2</v>
      </c>
      <c r="J6" s="154">
        <f t="shared" ca="1" si="1"/>
        <v>2</v>
      </c>
      <c r="K6" s="6">
        <f ca="1">'MATCH CALCS'!L8*1</f>
        <v>2</v>
      </c>
      <c r="L6" s="6">
        <f ca="1">'MATCH CALCS'!$N8*2</f>
        <v>0</v>
      </c>
      <c r="M6" s="6">
        <f ca="1">'MATCH CALCS'!N8*1</f>
        <v>0</v>
      </c>
      <c r="N6" s="6">
        <f ca="1">'MATCH CALCS'!$N8*2</f>
        <v>0</v>
      </c>
      <c r="O6" s="6">
        <f ca="1">'MATCH CALCS'!$N8*2</f>
        <v>0</v>
      </c>
      <c r="P6" s="6">
        <f ca="1">'MATCH CALCS'!$P8*5</f>
        <v>0</v>
      </c>
      <c r="Q6" s="154">
        <f t="shared" ca="1" si="2"/>
        <v>0</v>
      </c>
      <c r="R6" s="6">
        <f ca="1">'MATCH CALCS'!$AD8*1</f>
        <v>0</v>
      </c>
      <c r="S6" s="6">
        <f>'MATCH CALCS'!AC8*3</f>
        <v>0</v>
      </c>
      <c r="T6" s="6">
        <f ca="1">'MATCH CALCS'!AD8*3</f>
        <v>0</v>
      </c>
      <c r="U6" s="155">
        <f t="shared" ca="1" si="3"/>
        <v>0</v>
      </c>
      <c r="V6" s="154">
        <f t="shared" ca="1" si="4"/>
        <v>14</v>
      </c>
    </row>
    <row r="7" spans="1:22">
      <c r="A7" s="154" t="str">
        <f ca="1">'MATCH CALCS'!A9</f>
        <v>Practice</v>
      </c>
      <c r="B7" s="154" t="str">
        <f ca="1">'MATCH CALCS'!$C9</f>
        <v>B2</v>
      </c>
      <c r="C7" s="154">
        <f t="shared" ca="1" si="0"/>
        <v>12</v>
      </c>
      <c r="D7" s="6">
        <f ca="1">'MATCH CALCS'!$G9*2</f>
        <v>2</v>
      </c>
      <c r="E7" s="6">
        <f ca="1">'MATCH CALCS'!$G9*2</f>
        <v>2</v>
      </c>
      <c r="F7" s="6">
        <f ca="1">'MATCH CALCS'!$G9*2</f>
        <v>2</v>
      </c>
      <c r="G7" s="6">
        <f ca="1">'MATCH CALCS'!$G9*2</f>
        <v>2</v>
      </c>
      <c r="H7" s="6">
        <f ca="1">'MATCH CALCS'!$G9*2</f>
        <v>2</v>
      </c>
      <c r="I7" s="6">
        <f ca="1">'MATCH CALCS'!$G9*2</f>
        <v>2</v>
      </c>
      <c r="J7" s="154">
        <f t="shared" ca="1" si="1"/>
        <v>0</v>
      </c>
      <c r="K7" s="6">
        <f ca="1">'MATCH CALCS'!L9*1</f>
        <v>0</v>
      </c>
      <c r="L7" s="6">
        <f ca="1">'MATCH CALCS'!$N9*2</f>
        <v>0</v>
      </c>
      <c r="M7" s="6">
        <f ca="1">'MATCH CALCS'!N9*1</f>
        <v>0</v>
      </c>
      <c r="N7" s="6">
        <f ca="1">'MATCH CALCS'!$N9*2</f>
        <v>0</v>
      </c>
      <c r="O7" s="6">
        <f ca="1">'MATCH CALCS'!$N9*2</f>
        <v>0</v>
      </c>
      <c r="P7" s="6">
        <f ca="1">'MATCH CALCS'!$P9*5</f>
        <v>0</v>
      </c>
      <c r="Q7" s="154">
        <f t="shared" ca="1" si="2"/>
        <v>0</v>
      </c>
      <c r="R7" s="6">
        <f ca="1">'MATCH CALCS'!$AD9*1</f>
        <v>0</v>
      </c>
      <c r="S7" s="6">
        <f>'MATCH CALCS'!AC9*3</f>
        <v>0</v>
      </c>
      <c r="T7" s="6">
        <f ca="1">'MATCH CALCS'!AD9*3</f>
        <v>0</v>
      </c>
      <c r="U7" s="155">
        <f t="shared" ca="1" si="3"/>
        <v>0</v>
      </c>
      <c r="V7" s="154">
        <f t="shared" ca="1" si="4"/>
        <v>12</v>
      </c>
    </row>
    <row r="8" spans="1:22">
      <c r="A8" s="154" t="str">
        <f ca="1">'MATCH CALCS'!A10</f>
        <v>Practice</v>
      </c>
      <c r="B8" s="154" t="str">
        <f ca="1">'MATCH CALCS'!$C10</f>
        <v>B1</v>
      </c>
      <c r="C8" s="154">
        <f t="shared" ca="1" si="0"/>
        <v>12</v>
      </c>
      <c r="D8" s="6">
        <f ca="1">'MATCH CALCS'!$G10*2</f>
        <v>2</v>
      </c>
      <c r="E8" s="6">
        <f ca="1">'MATCH CALCS'!$G10*2</f>
        <v>2</v>
      </c>
      <c r="F8" s="6">
        <f ca="1">'MATCH CALCS'!$G10*2</f>
        <v>2</v>
      </c>
      <c r="G8" s="6">
        <f ca="1">'MATCH CALCS'!$G10*2</f>
        <v>2</v>
      </c>
      <c r="H8" s="6">
        <f ca="1">'MATCH CALCS'!$G10*2</f>
        <v>2</v>
      </c>
      <c r="I8" s="6">
        <f ca="1">'MATCH CALCS'!$G10*2</f>
        <v>2</v>
      </c>
      <c r="J8" s="154">
        <f t="shared" ca="1" si="1"/>
        <v>5</v>
      </c>
      <c r="K8" s="6">
        <f ca="1">'MATCH CALCS'!L10*1</f>
        <v>0</v>
      </c>
      <c r="L8" s="6">
        <f ca="1">'MATCH CALCS'!$N10*2</f>
        <v>0</v>
      </c>
      <c r="M8" s="6">
        <f ca="1">'MATCH CALCS'!N10*1</f>
        <v>0</v>
      </c>
      <c r="N8" s="6">
        <f ca="1">'MATCH CALCS'!$N10*2</f>
        <v>0</v>
      </c>
      <c r="O8" s="6">
        <f ca="1">'MATCH CALCS'!$N10*2</f>
        <v>0</v>
      </c>
      <c r="P8" s="6">
        <f ca="1">'MATCH CALCS'!$P10*5</f>
        <v>5</v>
      </c>
      <c r="Q8" s="154">
        <f t="shared" ca="1" si="2"/>
        <v>0</v>
      </c>
      <c r="R8" s="6">
        <f ca="1">'MATCH CALCS'!$AD10*1</f>
        <v>0</v>
      </c>
      <c r="S8" s="6">
        <f>'MATCH CALCS'!AC10*3</f>
        <v>0</v>
      </c>
      <c r="T8" s="6">
        <f ca="1">'MATCH CALCS'!AD10*3</f>
        <v>0</v>
      </c>
      <c r="U8" s="155">
        <f t="shared" ca="1" si="3"/>
        <v>0</v>
      </c>
      <c r="V8" s="154">
        <f t="shared" ca="1" si="4"/>
        <v>17</v>
      </c>
    </row>
    <row r="9" spans="1:22">
      <c r="A9" s="154" t="str">
        <f ca="1">'MATCH CALCS'!A11</f>
        <v>Practice</v>
      </c>
      <c r="B9" s="154" t="str">
        <f ca="1">'MATCH CALCS'!$C11</f>
        <v>R3</v>
      </c>
      <c r="C9" s="154">
        <f t="shared" ca="1" si="0"/>
        <v>12</v>
      </c>
      <c r="D9" s="6">
        <f ca="1">'MATCH CALCS'!$G11*2</f>
        <v>2</v>
      </c>
      <c r="E9" s="6">
        <f ca="1">'MATCH CALCS'!$G11*2</f>
        <v>2</v>
      </c>
      <c r="F9" s="6">
        <f ca="1">'MATCH CALCS'!$G11*2</f>
        <v>2</v>
      </c>
      <c r="G9" s="6">
        <f ca="1">'MATCH CALCS'!$G11*2</f>
        <v>2</v>
      </c>
      <c r="H9" s="6">
        <f ca="1">'MATCH CALCS'!$G11*2</f>
        <v>2</v>
      </c>
      <c r="I9" s="6">
        <f ca="1">'MATCH CALCS'!$G11*2</f>
        <v>2</v>
      </c>
      <c r="J9" s="154">
        <f t="shared" ca="1" si="1"/>
        <v>0</v>
      </c>
      <c r="K9" s="6">
        <f ca="1">'MATCH CALCS'!L11*1</f>
        <v>0</v>
      </c>
      <c r="L9" s="6">
        <f ca="1">'MATCH CALCS'!$N11*2</f>
        <v>0</v>
      </c>
      <c r="M9" s="6">
        <f ca="1">'MATCH CALCS'!N11*1</f>
        <v>0</v>
      </c>
      <c r="N9" s="6">
        <f ca="1">'MATCH CALCS'!$N11*2</f>
        <v>0</v>
      </c>
      <c r="O9" s="6">
        <f ca="1">'MATCH CALCS'!$N11*2</f>
        <v>0</v>
      </c>
      <c r="P9" s="6">
        <f ca="1">'MATCH CALCS'!$P11*5</f>
        <v>0</v>
      </c>
      <c r="Q9" s="154">
        <f t="shared" ca="1" si="2"/>
        <v>0</v>
      </c>
      <c r="R9" s="6">
        <f ca="1">'MATCH CALCS'!$AD11*1</f>
        <v>0</v>
      </c>
      <c r="S9" s="6">
        <f>'MATCH CALCS'!AC11*3</f>
        <v>0</v>
      </c>
      <c r="T9" s="6">
        <f ca="1">'MATCH CALCS'!AD11*3</f>
        <v>0</v>
      </c>
      <c r="U9" s="155">
        <f t="shared" ca="1" si="3"/>
        <v>0</v>
      </c>
      <c r="V9" s="154">
        <f t="shared" ca="1" si="4"/>
        <v>12</v>
      </c>
    </row>
    <row r="10" spans="1:22">
      <c r="A10" s="154" t="str">
        <f ca="1">'MATCH CALCS'!A12</f>
        <v>Practice</v>
      </c>
      <c r="B10" s="154" t="str">
        <f ca="1">'MATCH CALCS'!$C12</f>
        <v>B1</v>
      </c>
      <c r="C10" s="154">
        <f t="shared" ca="1" si="0"/>
        <v>12</v>
      </c>
      <c r="D10" s="6">
        <f ca="1">'MATCH CALCS'!$G12*2</f>
        <v>2</v>
      </c>
      <c r="E10" s="6">
        <f ca="1">'MATCH CALCS'!$G12*2</f>
        <v>2</v>
      </c>
      <c r="F10" s="6">
        <f ca="1">'MATCH CALCS'!$G12*2</f>
        <v>2</v>
      </c>
      <c r="G10" s="6">
        <f ca="1">'MATCH CALCS'!$G12*2</f>
        <v>2</v>
      </c>
      <c r="H10" s="6">
        <f ca="1">'MATCH CALCS'!$G12*2</f>
        <v>2</v>
      </c>
      <c r="I10" s="6">
        <f ca="1">'MATCH CALCS'!$G12*2</f>
        <v>2</v>
      </c>
      <c r="J10" s="154">
        <f t="shared" ca="1" si="1"/>
        <v>6</v>
      </c>
      <c r="K10" s="6">
        <f ca="1">'MATCH CALCS'!L12*1</f>
        <v>1</v>
      </c>
      <c r="L10" s="6">
        <f ca="1">'MATCH CALCS'!$N12*2</f>
        <v>0</v>
      </c>
      <c r="M10" s="6">
        <f ca="1">'MATCH CALCS'!N12*1</f>
        <v>0</v>
      </c>
      <c r="N10" s="6">
        <f ca="1">'MATCH CALCS'!$N12*2</f>
        <v>0</v>
      </c>
      <c r="O10" s="6">
        <f ca="1">'MATCH CALCS'!$N12*2</f>
        <v>0</v>
      </c>
      <c r="P10" s="6">
        <f ca="1">'MATCH CALCS'!$P12*5</f>
        <v>5</v>
      </c>
      <c r="Q10" s="154">
        <f t="shared" ca="1" si="2"/>
        <v>0</v>
      </c>
      <c r="R10" s="6">
        <f ca="1">'MATCH CALCS'!$AD12*1</f>
        <v>0</v>
      </c>
      <c r="S10" s="6">
        <f>'MATCH CALCS'!AC12*3</f>
        <v>0</v>
      </c>
      <c r="T10" s="6">
        <f ca="1">'MATCH CALCS'!AD12*3</f>
        <v>0</v>
      </c>
      <c r="U10" s="155">
        <f t="shared" ca="1" si="3"/>
        <v>0</v>
      </c>
      <c r="V10" s="154">
        <f t="shared" ca="1" si="4"/>
        <v>18</v>
      </c>
    </row>
    <row r="11" spans="1:22">
      <c r="A11" s="154" t="str">
        <f ca="1">'MATCH CALCS'!A13</f>
        <v>Practice</v>
      </c>
      <c r="B11" s="154" t="str">
        <f ca="1">'MATCH CALCS'!$C13</f>
        <v>B2</v>
      </c>
      <c r="C11" s="154">
        <f t="shared" ca="1" si="0"/>
        <v>12</v>
      </c>
      <c r="D11" s="6">
        <f ca="1">'MATCH CALCS'!$G13*2</f>
        <v>2</v>
      </c>
      <c r="E11" s="6">
        <f ca="1">'MATCH CALCS'!$G13*2</f>
        <v>2</v>
      </c>
      <c r="F11" s="6">
        <f ca="1">'MATCH CALCS'!$G13*2</f>
        <v>2</v>
      </c>
      <c r="G11" s="6">
        <f ca="1">'MATCH CALCS'!$G13*2</f>
        <v>2</v>
      </c>
      <c r="H11" s="6">
        <f ca="1">'MATCH CALCS'!$G13*2</f>
        <v>2</v>
      </c>
      <c r="I11" s="6">
        <f ca="1">'MATCH CALCS'!$G13*2</f>
        <v>2</v>
      </c>
      <c r="J11" s="154">
        <f t="shared" ca="1" si="1"/>
        <v>5</v>
      </c>
      <c r="K11" s="6">
        <f ca="1">'MATCH CALCS'!L13*1</f>
        <v>0</v>
      </c>
      <c r="L11" s="6">
        <f ca="1">'MATCH CALCS'!$N13*2</f>
        <v>0</v>
      </c>
      <c r="M11" s="6">
        <f ca="1">'MATCH CALCS'!N13*1</f>
        <v>0</v>
      </c>
      <c r="N11" s="6">
        <f ca="1">'MATCH CALCS'!$N13*2</f>
        <v>0</v>
      </c>
      <c r="O11" s="6">
        <f ca="1">'MATCH CALCS'!$N13*2</f>
        <v>0</v>
      </c>
      <c r="P11" s="6">
        <f ca="1">'MATCH CALCS'!$P13*5</f>
        <v>5</v>
      </c>
      <c r="Q11" s="154">
        <f t="shared" ca="1" si="2"/>
        <v>0</v>
      </c>
      <c r="R11" s="6">
        <f ca="1">'MATCH CALCS'!$AD13*1</f>
        <v>0</v>
      </c>
      <c r="S11" s="6">
        <f>'MATCH CALCS'!AC13*3</f>
        <v>0</v>
      </c>
      <c r="T11" s="6">
        <f ca="1">'MATCH CALCS'!AD13*3</f>
        <v>0</v>
      </c>
      <c r="U11" s="155">
        <f t="shared" ca="1" si="3"/>
        <v>0</v>
      </c>
      <c r="V11" s="154">
        <f t="shared" ca="1" si="4"/>
        <v>17</v>
      </c>
    </row>
    <row r="12" spans="1:22">
      <c r="A12" s="154" t="str">
        <f ca="1">'MATCH CALCS'!A14</f>
        <v>Practice</v>
      </c>
      <c r="B12" s="154" t="str">
        <f ca="1">'MATCH CALCS'!$C14</f>
        <v>R1</v>
      </c>
      <c r="C12" s="154">
        <f t="shared" ca="1" si="0"/>
        <v>12</v>
      </c>
      <c r="D12" s="6">
        <f ca="1">'MATCH CALCS'!$G14*2</f>
        <v>2</v>
      </c>
      <c r="E12" s="6">
        <f ca="1">'MATCH CALCS'!$G14*2</f>
        <v>2</v>
      </c>
      <c r="F12" s="6">
        <f ca="1">'MATCH CALCS'!$G14*2</f>
        <v>2</v>
      </c>
      <c r="G12" s="6">
        <f ca="1">'MATCH CALCS'!$G14*2</f>
        <v>2</v>
      </c>
      <c r="H12" s="6">
        <f ca="1">'MATCH CALCS'!$G14*2</f>
        <v>2</v>
      </c>
      <c r="I12" s="6">
        <f ca="1">'MATCH CALCS'!$G14*2</f>
        <v>2</v>
      </c>
      <c r="J12" s="154">
        <f t="shared" ca="1" si="1"/>
        <v>5</v>
      </c>
      <c r="K12" s="6">
        <f ca="1">'MATCH CALCS'!L14*1</f>
        <v>0</v>
      </c>
      <c r="L12" s="6">
        <f ca="1">'MATCH CALCS'!$N14*2</f>
        <v>0</v>
      </c>
      <c r="M12" s="6">
        <f ca="1">'MATCH CALCS'!N14*1</f>
        <v>0</v>
      </c>
      <c r="N12" s="6">
        <f ca="1">'MATCH CALCS'!$N14*2</f>
        <v>0</v>
      </c>
      <c r="O12" s="6">
        <f ca="1">'MATCH CALCS'!$N14*2</f>
        <v>0</v>
      </c>
      <c r="P12" s="6">
        <f ca="1">'MATCH CALCS'!$P14*5</f>
        <v>5</v>
      </c>
      <c r="Q12" s="154">
        <f t="shared" ca="1" si="2"/>
        <v>0</v>
      </c>
      <c r="R12" s="6">
        <f ca="1">'MATCH CALCS'!$AD14*1</f>
        <v>0</v>
      </c>
      <c r="S12" s="6">
        <f>'MATCH CALCS'!AC14*3</f>
        <v>0</v>
      </c>
      <c r="T12" s="6">
        <f ca="1">'MATCH CALCS'!AD14*3</f>
        <v>0</v>
      </c>
      <c r="U12" s="155">
        <f t="shared" ca="1" si="3"/>
        <v>0</v>
      </c>
      <c r="V12" s="154">
        <f t="shared" ca="1" si="4"/>
        <v>17</v>
      </c>
    </row>
    <row r="13" spans="1:22">
      <c r="A13" s="154" t="str">
        <f ca="1">'MATCH CALCS'!A15</f>
        <v>Practice</v>
      </c>
      <c r="B13" s="154" t="str">
        <f ca="1">'MATCH CALCS'!$C15</f>
        <v>R2</v>
      </c>
      <c r="C13" s="154">
        <f t="shared" ca="1" si="0"/>
        <v>12</v>
      </c>
      <c r="D13" s="6">
        <f ca="1">'MATCH CALCS'!$G15*2</f>
        <v>2</v>
      </c>
      <c r="E13" s="6">
        <f ca="1">'MATCH CALCS'!$G15*2</f>
        <v>2</v>
      </c>
      <c r="F13" s="6">
        <f ca="1">'MATCH CALCS'!$G15*2</f>
        <v>2</v>
      </c>
      <c r="G13" s="6">
        <f ca="1">'MATCH CALCS'!$G15*2</f>
        <v>2</v>
      </c>
      <c r="H13" s="6">
        <f ca="1">'MATCH CALCS'!$G15*2</f>
        <v>2</v>
      </c>
      <c r="I13" s="6">
        <f ca="1">'MATCH CALCS'!$G15*2</f>
        <v>2</v>
      </c>
      <c r="J13" s="154">
        <f t="shared" ca="1" si="1"/>
        <v>5</v>
      </c>
      <c r="K13" s="6">
        <f ca="1">'MATCH CALCS'!L15*1</f>
        <v>0</v>
      </c>
      <c r="L13" s="6">
        <f ca="1">'MATCH CALCS'!$N15*2</f>
        <v>0</v>
      </c>
      <c r="M13" s="6">
        <f ca="1">'MATCH CALCS'!N15*1</f>
        <v>0</v>
      </c>
      <c r="N13" s="6">
        <f ca="1">'MATCH CALCS'!$N15*2</f>
        <v>0</v>
      </c>
      <c r="O13" s="6">
        <f ca="1">'MATCH CALCS'!$N15*2</f>
        <v>0</v>
      </c>
      <c r="P13" s="6">
        <f ca="1">'MATCH CALCS'!$P15*5</f>
        <v>5</v>
      </c>
      <c r="Q13" s="154">
        <f t="shared" ca="1" si="2"/>
        <v>0</v>
      </c>
      <c r="R13" s="6">
        <f ca="1">'MATCH CALCS'!$AD15*1</f>
        <v>0</v>
      </c>
      <c r="S13" s="6">
        <f>'MATCH CALCS'!AC15*3</f>
        <v>0</v>
      </c>
      <c r="T13" s="6">
        <f ca="1">'MATCH CALCS'!AD15*3</f>
        <v>0</v>
      </c>
      <c r="U13" s="155">
        <f t="shared" ca="1" si="3"/>
        <v>0</v>
      </c>
      <c r="V13" s="154">
        <f t="shared" ca="1" si="4"/>
        <v>17</v>
      </c>
    </row>
    <row r="14" spans="1:22">
      <c r="A14" s="154" t="str">
        <f ca="1">'MATCH CALCS'!A16</f>
        <v>Practice</v>
      </c>
      <c r="B14" s="154" t="str">
        <f ca="1">'MATCH CALCS'!$C16</f>
        <v>R3</v>
      </c>
      <c r="C14" s="154">
        <f t="shared" ca="1" si="0"/>
        <v>12</v>
      </c>
      <c r="D14" s="6">
        <f ca="1">'MATCH CALCS'!$G16*2</f>
        <v>2</v>
      </c>
      <c r="E14" s="6">
        <f ca="1">'MATCH CALCS'!$G16*2</f>
        <v>2</v>
      </c>
      <c r="F14" s="6">
        <f ca="1">'MATCH CALCS'!$G16*2</f>
        <v>2</v>
      </c>
      <c r="G14" s="6">
        <f ca="1">'MATCH CALCS'!$G16*2</f>
        <v>2</v>
      </c>
      <c r="H14" s="6">
        <f ca="1">'MATCH CALCS'!$G16*2</f>
        <v>2</v>
      </c>
      <c r="I14" s="6">
        <f ca="1">'MATCH CALCS'!$G16*2</f>
        <v>2</v>
      </c>
      <c r="J14" s="154">
        <f t="shared" ca="1" si="1"/>
        <v>1</v>
      </c>
      <c r="K14" s="6">
        <f ca="1">'MATCH CALCS'!L16*1</f>
        <v>1</v>
      </c>
      <c r="L14" s="6">
        <f ca="1">'MATCH CALCS'!$N16*2</f>
        <v>0</v>
      </c>
      <c r="M14" s="6">
        <f ca="1">'MATCH CALCS'!N16*1</f>
        <v>0</v>
      </c>
      <c r="N14" s="6">
        <f ca="1">'MATCH CALCS'!$N16*2</f>
        <v>0</v>
      </c>
      <c r="O14" s="6">
        <f ca="1">'MATCH CALCS'!$N16*2</f>
        <v>0</v>
      </c>
      <c r="P14" s="6">
        <f ca="1">'MATCH CALCS'!$P16*5</f>
        <v>0</v>
      </c>
      <c r="Q14" s="154">
        <f t="shared" ca="1" si="2"/>
        <v>0</v>
      </c>
      <c r="R14" s="6">
        <f ca="1">'MATCH CALCS'!$AD16*1</f>
        <v>0</v>
      </c>
      <c r="S14" s="6">
        <f>'MATCH CALCS'!AC16*3</f>
        <v>0</v>
      </c>
      <c r="T14" s="6">
        <f ca="1">'MATCH CALCS'!AD16*3</f>
        <v>0</v>
      </c>
      <c r="U14" s="155">
        <f t="shared" ca="1" si="3"/>
        <v>0</v>
      </c>
      <c r="V14" s="154">
        <f t="shared" ca="1" si="4"/>
        <v>13</v>
      </c>
    </row>
    <row r="15" spans="1:22">
      <c r="A15" s="154" t="str">
        <f ca="1">'MATCH CALCS'!A17</f>
        <v>Practice</v>
      </c>
      <c r="B15" s="154" t="str">
        <f ca="1">'MATCH CALCS'!$C17</f>
        <v>B3</v>
      </c>
      <c r="C15" s="154">
        <f t="shared" ca="1" si="0"/>
        <v>12</v>
      </c>
      <c r="D15" s="6">
        <f ca="1">'MATCH CALCS'!$G17*2</f>
        <v>2</v>
      </c>
      <c r="E15" s="6">
        <f ca="1">'MATCH CALCS'!$G17*2</f>
        <v>2</v>
      </c>
      <c r="F15" s="6">
        <f ca="1">'MATCH CALCS'!$G17*2</f>
        <v>2</v>
      </c>
      <c r="G15" s="6">
        <f ca="1">'MATCH CALCS'!$G17*2</f>
        <v>2</v>
      </c>
      <c r="H15" s="6">
        <f ca="1">'MATCH CALCS'!$G17*2</f>
        <v>2</v>
      </c>
      <c r="I15" s="6">
        <f ca="1">'MATCH CALCS'!$G17*2</f>
        <v>2</v>
      </c>
      <c r="J15" s="154">
        <f t="shared" ca="1" si="1"/>
        <v>0</v>
      </c>
      <c r="K15" s="6">
        <f ca="1">'MATCH CALCS'!L17*1</f>
        <v>0</v>
      </c>
      <c r="L15" s="6">
        <f ca="1">'MATCH CALCS'!$N17*2</f>
        <v>0</v>
      </c>
      <c r="M15" s="6">
        <f ca="1">'MATCH CALCS'!N17*1</f>
        <v>0</v>
      </c>
      <c r="N15" s="6">
        <f ca="1">'MATCH CALCS'!$N17*2</f>
        <v>0</v>
      </c>
      <c r="O15" s="6">
        <f ca="1">'MATCH CALCS'!$N17*2</f>
        <v>0</v>
      </c>
      <c r="P15" s="6">
        <f ca="1">'MATCH CALCS'!$P17*5</f>
        <v>0</v>
      </c>
      <c r="Q15" s="154">
        <f t="shared" ca="1" si="2"/>
        <v>0</v>
      </c>
      <c r="R15" s="6">
        <f ca="1">'MATCH CALCS'!$AD17*1</f>
        <v>0</v>
      </c>
      <c r="S15" s="6">
        <f>'MATCH CALCS'!AC17*3</f>
        <v>0</v>
      </c>
      <c r="T15" s="6">
        <f ca="1">'MATCH CALCS'!AD17*3</f>
        <v>0</v>
      </c>
      <c r="U15" s="155">
        <f t="shared" ca="1" si="3"/>
        <v>0</v>
      </c>
      <c r="V15" s="154">
        <f t="shared" ca="1" si="4"/>
        <v>12</v>
      </c>
    </row>
    <row r="16" spans="1:22">
      <c r="A16" s="154" t="str">
        <f ca="1">'MATCH CALCS'!A18</f>
        <v>Practice</v>
      </c>
      <c r="B16" s="154" t="str">
        <f ca="1">'MATCH CALCS'!$C18</f>
        <v>R3</v>
      </c>
      <c r="C16" s="154">
        <f t="shared" ca="1" si="0"/>
        <v>12</v>
      </c>
      <c r="D16" s="6">
        <f ca="1">'MATCH CALCS'!$G18*2</f>
        <v>2</v>
      </c>
      <c r="E16" s="6">
        <f ca="1">'MATCH CALCS'!$G18*2</f>
        <v>2</v>
      </c>
      <c r="F16" s="6">
        <f ca="1">'MATCH CALCS'!$G18*2</f>
        <v>2</v>
      </c>
      <c r="G16" s="6">
        <f ca="1">'MATCH CALCS'!$G18*2</f>
        <v>2</v>
      </c>
      <c r="H16" s="6">
        <f ca="1">'MATCH CALCS'!$G18*2</f>
        <v>2</v>
      </c>
      <c r="I16" s="6">
        <f ca="1">'MATCH CALCS'!$G18*2</f>
        <v>2</v>
      </c>
      <c r="J16" s="154">
        <f t="shared" ca="1" si="1"/>
        <v>0</v>
      </c>
      <c r="K16" s="6">
        <f ca="1">'MATCH CALCS'!L18*1</f>
        <v>0</v>
      </c>
      <c r="L16" s="6">
        <f ca="1">'MATCH CALCS'!$N18*2</f>
        <v>0</v>
      </c>
      <c r="M16" s="6">
        <f ca="1">'MATCH CALCS'!N18*1</f>
        <v>0</v>
      </c>
      <c r="N16" s="6">
        <f ca="1">'MATCH CALCS'!$N18*2</f>
        <v>0</v>
      </c>
      <c r="O16" s="6">
        <f ca="1">'MATCH CALCS'!$N18*2</f>
        <v>0</v>
      </c>
      <c r="P16" s="6">
        <f ca="1">'MATCH CALCS'!$P18*5</f>
        <v>0</v>
      </c>
      <c r="Q16" s="154">
        <f t="shared" ca="1" si="2"/>
        <v>0</v>
      </c>
      <c r="R16" s="6">
        <f ca="1">'MATCH CALCS'!$AD18*1</f>
        <v>0</v>
      </c>
      <c r="S16" s="6">
        <f>'MATCH CALCS'!AC18*3</f>
        <v>0</v>
      </c>
      <c r="T16" s="6">
        <f ca="1">'MATCH CALCS'!AD18*3</f>
        <v>0</v>
      </c>
      <c r="U16" s="155">
        <f t="shared" ca="1" si="3"/>
        <v>0</v>
      </c>
      <c r="V16" s="154">
        <f t="shared" ca="1" si="4"/>
        <v>12</v>
      </c>
    </row>
    <row r="17" spans="1:22">
      <c r="A17" s="154" t="str">
        <f ca="1">'MATCH CALCS'!A19</f>
        <v>Practice</v>
      </c>
      <c r="B17" s="154" t="str">
        <f ca="1">'MATCH CALCS'!$C19</f>
        <v>R1</v>
      </c>
      <c r="C17" s="154">
        <f t="shared" ca="1" si="0"/>
        <v>12</v>
      </c>
      <c r="D17" s="6">
        <f ca="1">'MATCH CALCS'!$G19*2</f>
        <v>2</v>
      </c>
      <c r="E17" s="6">
        <f ca="1">'MATCH CALCS'!$G19*2</f>
        <v>2</v>
      </c>
      <c r="F17" s="6">
        <f ca="1">'MATCH CALCS'!$G19*2</f>
        <v>2</v>
      </c>
      <c r="G17" s="6">
        <f ca="1">'MATCH CALCS'!$G19*2</f>
        <v>2</v>
      </c>
      <c r="H17" s="6">
        <f ca="1">'MATCH CALCS'!$G19*2</f>
        <v>2</v>
      </c>
      <c r="I17" s="6">
        <f ca="1">'MATCH CALCS'!$G19*2</f>
        <v>2</v>
      </c>
      <c r="J17" s="154">
        <f t="shared" ca="1" si="1"/>
        <v>1</v>
      </c>
      <c r="K17" s="6">
        <f ca="1">'MATCH CALCS'!L19*1</f>
        <v>1</v>
      </c>
      <c r="L17" s="6">
        <f ca="1">'MATCH CALCS'!$N19*2</f>
        <v>0</v>
      </c>
      <c r="M17" s="6">
        <f ca="1">'MATCH CALCS'!N19*1</f>
        <v>0</v>
      </c>
      <c r="N17" s="6">
        <f ca="1">'MATCH CALCS'!$N19*2</f>
        <v>0</v>
      </c>
      <c r="O17" s="6">
        <f ca="1">'MATCH CALCS'!$N19*2</f>
        <v>0</v>
      </c>
      <c r="P17" s="6">
        <f ca="1">'MATCH CALCS'!$P19*5</f>
        <v>0</v>
      </c>
      <c r="Q17" s="154">
        <f t="shared" ca="1" si="2"/>
        <v>0</v>
      </c>
      <c r="R17" s="6">
        <f ca="1">'MATCH CALCS'!$AD19*1</f>
        <v>0</v>
      </c>
      <c r="S17" s="6">
        <f>'MATCH CALCS'!AC19*3</f>
        <v>0</v>
      </c>
      <c r="T17" s="6">
        <f ca="1">'MATCH CALCS'!AD19*3</f>
        <v>0</v>
      </c>
      <c r="U17" s="155">
        <f t="shared" ca="1" si="3"/>
        <v>0</v>
      </c>
      <c r="V17" s="154">
        <f t="shared" ca="1" si="4"/>
        <v>13</v>
      </c>
    </row>
    <row r="18" spans="1:22">
      <c r="A18" s="154" t="str">
        <f ca="1">'MATCH CALCS'!A20</f>
        <v>Practice</v>
      </c>
      <c r="B18" s="154" t="str">
        <f ca="1">'MATCH CALCS'!$C20</f>
        <v>R2</v>
      </c>
      <c r="C18" s="154">
        <f t="shared" ca="1" si="0"/>
        <v>12</v>
      </c>
      <c r="D18" s="6">
        <f ca="1">'MATCH CALCS'!$G20*2</f>
        <v>2</v>
      </c>
      <c r="E18" s="6">
        <f ca="1">'MATCH CALCS'!$G20*2</f>
        <v>2</v>
      </c>
      <c r="F18" s="6">
        <f ca="1">'MATCH CALCS'!$G20*2</f>
        <v>2</v>
      </c>
      <c r="G18" s="6">
        <f ca="1">'MATCH CALCS'!$G20*2</f>
        <v>2</v>
      </c>
      <c r="H18" s="6">
        <f ca="1">'MATCH CALCS'!$G20*2</f>
        <v>2</v>
      </c>
      <c r="I18" s="6">
        <f ca="1">'MATCH CALCS'!$G20*2</f>
        <v>2</v>
      </c>
      <c r="J18" s="154">
        <f t="shared" ca="1" si="1"/>
        <v>5</v>
      </c>
      <c r="K18" s="6">
        <f ca="1">'MATCH CALCS'!L20*1</f>
        <v>0</v>
      </c>
      <c r="L18" s="6">
        <f ca="1">'MATCH CALCS'!$N20*2</f>
        <v>0</v>
      </c>
      <c r="M18" s="6">
        <f ca="1">'MATCH CALCS'!N20*1</f>
        <v>0</v>
      </c>
      <c r="N18" s="6">
        <f ca="1">'MATCH CALCS'!$N20*2</f>
        <v>0</v>
      </c>
      <c r="O18" s="6">
        <f ca="1">'MATCH CALCS'!$N20*2</f>
        <v>0</v>
      </c>
      <c r="P18" s="6">
        <f ca="1">'MATCH CALCS'!$P20*5</f>
        <v>5</v>
      </c>
      <c r="Q18" s="154">
        <f t="shared" ca="1" si="2"/>
        <v>0</v>
      </c>
      <c r="R18" s="6">
        <f ca="1">'MATCH CALCS'!$AD20*1</f>
        <v>0</v>
      </c>
      <c r="S18" s="6">
        <f>'MATCH CALCS'!AC20*3</f>
        <v>0</v>
      </c>
      <c r="T18" s="6">
        <f ca="1">'MATCH CALCS'!AD20*3</f>
        <v>0</v>
      </c>
      <c r="U18" s="155">
        <f t="shared" ca="1" si="3"/>
        <v>0</v>
      </c>
      <c r="V18" s="154">
        <f t="shared" ca="1" si="4"/>
        <v>17</v>
      </c>
    </row>
    <row r="19" spans="1:22">
      <c r="A19" s="154" t="str">
        <f ca="1">'MATCH CALCS'!A21</f>
        <v>Practice</v>
      </c>
      <c r="B19" s="154" t="str">
        <f ca="1">'MATCH CALCS'!$C21</f>
        <v>B3</v>
      </c>
      <c r="C19" s="154">
        <f t="shared" ca="1" si="0"/>
        <v>12</v>
      </c>
      <c r="D19" s="6">
        <f ca="1">'MATCH CALCS'!$G21*2</f>
        <v>2</v>
      </c>
      <c r="E19" s="6">
        <f ca="1">'MATCH CALCS'!$G21*2</f>
        <v>2</v>
      </c>
      <c r="F19" s="6">
        <f ca="1">'MATCH CALCS'!$G21*2</f>
        <v>2</v>
      </c>
      <c r="G19" s="6">
        <f ca="1">'MATCH CALCS'!$G21*2</f>
        <v>2</v>
      </c>
      <c r="H19" s="6">
        <f ca="1">'MATCH CALCS'!$G21*2</f>
        <v>2</v>
      </c>
      <c r="I19" s="6">
        <f ca="1">'MATCH CALCS'!$G21*2</f>
        <v>2</v>
      </c>
      <c r="J19" s="154">
        <f t="shared" ca="1" si="1"/>
        <v>0</v>
      </c>
      <c r="K19" s="6">
        <f ca="1">'MATCH CALCS'!L21*1</f>
        <v>0</v>
      </c>
      <c r="L19" s="6">
        <f ca="1">'MATCH CALCS'!$N21*2</f>
        <v>0</v>
      </c>
      <c r="M19" s="6">
        <f ca="1">'MATCH CALCS'!N21*1</f>
        <v>0</v>
      </c>
      <c r="N19" s="6">
        <f ca="1">'MATCH CALCS'!$N21*2</f>
        <v>0</v>
      </c>
      <c r="O19" s="6">
        <f ca="1">'MATCH CALCS'!$N21*2</f>
        <v>0</v>
      </c>
      <c r="P19" s="6">
        <f ca="1">'MATCH CALCS'!$P21*5</f>
        <v>0</v>
      </c>
      <c r="Q19" s="154">
        <f t="shared" ca="1" si="2"/>
        <v>0</v>
      </c>
      <c r="R19" s="6">
        <f ca="1">'MATCH CALCS'!$AD21*1</f>
        <v>0</v>
      </c>
      <c r="S19" s="6">
        <f>'MATCH CALCS'!AC21*3</f>
        <v>0</v>
      </c>
      <c r="T19" s="6">
        <f ca="1">'MATCH CALCS'!AD21*3</f>
        <v>0</v>
      </c>
      <c r="U19" s="155">
        <f t="shared" ca="1" si="3"/>
        <v>0</v>
      </c>
      <c r="V19" s="154">
        <f t="shared" ca="1" si="4"/>
        <v>12</v>
      </c>
    </row>
    <row r="20" spans="1:22">
      <c r="A20" s="154" t="str">
        <f ca="1">'MATCH CALCS'!A22</f>
        <v>Practice</v>
      </c>
      <c r="B20" s="154" t="str">
        <f ca="1">'MATCH CALCS'!$C22</f>
        <v>B1</v>
      </c>
      <c r="C20" s="154">
        <f t="shared" ca="1" si="0"/>
        <v>12</v>
      </c>
      <c r="D20" s="6">
        <f ca="1">'MATCH CALCS'!$G22*2</f>
        <v>2</v>
      </c>
      <c r="E20" s="6">
        <f ca="1">'MATCH CALCS'!$G22*2</f>
        <v>2</v>
      </c>
      <c r="F20" s="6">
        <f ca="1">'MATCH CALCS'!$G22*2</f>
        <v>2</v>
      </c>
      <c r="G20" s="6">
        <f ca="1">'MATCH CALCS'!$G22*2</f>
        <v>2</v>
      </c>
      <c r="H20" s="6">
        <f ca="1">'MATCH CALCS'!$G22*2</f>
        <v>2</v>
      </c>
      <c r="I20" s="6">
        <f ca="1">'MATCH CALCS'!$G22*2</f>
        <v>2</v>
      </c>
      <c r="J20" s="154">
        <f t="shared" ca="1" si="1"/>
        <v>5</v>
      </c>
      <c r="K20" s="6">
        <f ca="1">'MATCH CALCS'!L22*1</f>
        <v>0</v>
      </c>
      <c r="L20" s="6">
        <f ca="1">'MATCH CALCS'!$N22*2</f>
        <v>0</v>
      </c>
      <c r="M20" s="6">
        <f ca="1">'MATCH CALCS'!N22*1</f>
        <v>0</v>
      </c>
      <c r="N20" s="6">
        <f ca="1">'MATCH CALCS'!$N22*2</f>
        <v>0</v>
      </c>
      <c r="O20" s="6">
        <f ca="1">'MATCH CALCS'!$N22*2</f>
        <v>0</v>
      </c>
      <c r="P20" s="6">
        <f ca="1">'MATCH CALCS'!$P22*5</f>
        <v>5</v>
      </c>
      <c r="Q20" s="154">
        <f t="shared" ca="1" si="2"/>
        <v>0</v>
      </c>
      <c r="R20" s="6">
        <f ca="1">'MATCH CALCS'!$AD22*1</f>
        <v>0</v>
      </c>
      <c r="S20" s="6">
        <f>'MATCH CALCS'!AC22*3</f>
        <v>0</v>
      </c>
      <c r="T20" s="6">
        <f ca="1">'MATCH CALCS'!AD22*3</f>
        <v>0</v>
      </c>
      <c r="U20" s="155">
        <f t="shared" ca="1" si="3"/>
        <v>0</v>
      </c>
      <c r="V20" s="154">
        <f t="shared" ca="1" si="4"/>
        <v>17</v>
      </c>
    </row>
    <row r="21" spans="1:22">
      <c r="A21" s="154" t="str">
        <f ca="1">'MATCH CALCS'!A23</f>
        <v>Practice</v>
      </c>
      <c r="B21" s="154" t="str">
        <f ca="1">'MATCH CALCS'!$C23</f>
        <v>B2</v>
      </c>
      <c r="C21" s="154">
        <f t="shared" ca="1" si="0"/>
        <v>12</v>
      </c>
      <c r="D21" s="6">
        <f ca="1">'MATCH CALCS'!$G23*2</f>
        <v>2</v>
      </c>
      <c r="E21" s="6">
        <f ca="1">'MATCH CALCS'!$G23*2</f>
        <v>2</v>
      </c>
      <c r="F21" s="6">
        <f ca="1">'MATCH CALCS'!$G23*2</f>
        <v>2</v>
      </c>
      <c r="G21" s="6">
        <f ca="1">'MATCH CALCS'!$G23*2</f>
        <v>2</v>
      </c>
      <c r="H21" s="6">
        <f ca="1">'MATCH CALCS'!$G23*2</f>
        <v>2</v>
      </c>
      <c r="I21" s="6">
        <f ca="1">'MATCH CALCS'!$G23*2</f>
        <v>2</v>
      </c>
      <c r="J21" s="154">
        <f t="shared" ca="1" si="1"/>
        <v>0</v>
      </c>
      <c r="K21" s="6">
        <f ca="1">'MATCH CALCS'!L23*1</f>
        <v>0</v>
      </c>
      <c r="L21" s="6">
        <f ca="1">'MATCH CALCS'!$N23*2</f>
        <v>0</v>
      </c>
      <c r="M21" s="6">
        <f ca="1">'MATCH CALCS'!N23*1</f>
        <v>0</v>
      </c>
      <c r="N21" s="6">
        <f ca="1">'MATCH CALCS'!$N23*2</f>
        <v>0</v>
      </c>
      <c r="O21" s="6">
        <f ca="1">'MATCH CALCS'!$N23*2</f>
        <v>0</v>
      </c>
      <c r="P21" s="6">
        <f ca="1">'MATCH CALCS'!$P23*5</f>
        <v>0</v>
      </c>
      <c r="Q21" s="154">
        <f t="shared" ca="1" si="2"/>
        <v>0</v>
      </c>
      <c r="R21" s="6">
        <f ca="1">'MATCH CALCS'!$AD23*1</f>
        <v>0</v>
      </c>
      <c r="S21" s="6">
        <f>'MATCH CALCS'!AC23*3</f>
        <v>0</v>
      </c>
      <c r="T21" s="6">
        <f ca="1">'MATCH CALCS'!AD23*3</f>
        <v>0</v>
      </c>
      <c r="U21" s="155">
        <f t="shared" ca="1" si="3"/>
        <v>0</v>
      </c>
      <c r="V21" s="154">
        <f t="shared" ca="1" si="4"/>
        <v>12</v>
      </c>
    </row>
    <row r="22" spans="1:22">
      <c r="A22" s="154" t="str">
        <f ca="1">'MATCH CALCS'!A24</f>
        <v>Practice</v>
      </c>
      <c r="B22" s="154" t="str">
        <f ca="1">'MATCH CALCS'!$C24</f>
        <v>B1</v>
      </c>
      <c r="C22" s="154">
        <f t="shared" ca="1" si="0"/>
        <v>12</v>
      </c>
      <c r="D22" s="6">
        <f ca="1">'MATCH CALCS'!$G24*2</f>
        <v>2</v>
      </c>
      <c r="E22" s="6">
        <f ca="1">'MATCH CALCS'!$G24*2</f>
        <v>2</v>
      </c>
      <c r="F22" s="6">
        <f ca="1">'MATCH CALCS'!$G24*2</f>
        <v>2</v>
      </c>
      <c r="G22" s="6">
        <f ca="1">'MATCH CALCS'!$G24*2</f>
        <v>2</v>
      </c>
      <c r="H22" s="6">
        <f ca="1">'MATCH CALCS'!$G24*2</f>
        <v>2</v>
      </c>
      <c r="I22" s="6">
        <f ca="1">'MATCH CALCS'!$G24*2</f>
        <v>2</v>
      </c>
      <c r="J22" s="154">
        <f t="shared" ca="1" si="1"/>
        <v>0</v>
      </c>
      <c r="K22" s="6">
        <f ca="1">'MATCH CALCS'!L24*1</f>
        <v>0</v>
      </c>
      <c r="L22" s="6">
        <f ca="1">'MATCH CALCS'!$N24*2</f>
        <v>0</v>
      </c>
      <c r="M22" s="6">
        <f ca="1">'MATCH CALCS'!N24*1</f>
        <v>0</v>
      </c>
      <c r="N22" s="6">
        <f ca="1">'MATCH CALCS'!$N24*2</f>
        <v>0</v>
      </c>
      <c r="O22" s="6">
        <f ca="1">'MATCH CALCS'!$N24*2</f>
        <v>0</v>
      </c>
      <c r="P22" s="6">
        <f ca="1">'MATCH CALCS'!$P24*5</f>
        <v>0</v>
      </c>
      <c r="Q22" s="154">
        <f t="shared" ca="1" si="2"/>
        <v>0</v>
      </c>
      <c r="R22" s="6">
        <f ca="1">'MATCH CALCS'!$AD24*1</f>
        <v>0</v>
      </c>
      <c r="S22" s="6">
        <f>'MATCH CALCS'!AC24*3</f>
        <v>0</v>
      </c>
      <c r="T22" s="6">
        <f ca="1">'MATCH CALCS'!AD24*3</f>
        <v>0</v>
      </c>
      <c r="U22" s="155">
        <f t="shared" ca="1" si="3"/>
        <v>0</v>
      </c>
      <c r="V22" s="154">
        <f t="shared" ca="1" si="4"/>
        <v>12</v>
      </c>
    </row>
    <row r="23" spans="1:22">
      <c r="A23" s="154" t="e">
        <f t="shared" ref="A23:B23" si="5">#REF!</f>
        <v>#REF!</v>
      </c>
      <c r="B23" s="154" t="e">
        <f t="shared" si="5"/>
        <v>#REF!</v>
      </c>
      <c r="C23" s="154" t="e">
        <f t="shared" si="0"/>
        <v>#REF!</v>
      </c>
      <c r="D23" s="6" t="e">
        <f t="shared" ref="D23:I23" si="6">#REF!*2</f>
        <v>#REF!</v>
      </c>
      <c r="E23" s="6" t="e">
        <f t="shared" si="6"/>
        <v>#REF!</v>
      </c>
      <c r="F23" s="6" t="e">
        <f t="shared" si="6"/>
        <v>#REF!</v>
      </c>
      <c r="G23" s="6" t="e">
        <f t="shared" si="6"/>
        <v>#REF!</v>
      </c>
      <c r="H23" s="6" t="e">
        <f t="shared" si="6"/>
        <v>#REF!</v>
      </c>
      <c r="I23" s="6" t="e">
        <f t="shared" si="6"/>
        <v>#REF!</v>
      </c>
      <c r="J23" s="154" t="e">
        <f t="shared" si="1"/>
        <v>#REF!</v>
      </c>
      <c r="K23" s="6" t="e">
        <f>#REF!*1</f>
        <v>#REF!</v>
      </c>
      <c r="L23" s="6" t="e">
        <f>#REF!*2</f>
        <v>#REF!</v>
      </c>
      <c r="M23" s="6" t="e">
        <f>#REF!*1</f>
        <v>#REF!</v>
      </c>
      <c r="N23" s="6" t="e">
        <f t="shared" ref="N23:O23" si="7">#REF!*2</f>
        <v>#REF!</v>
      </c>
      <c r="O23" s="6" t="e">
        <f t="shared" si="7"/>
        <v>#REF!</v>
      </c>
      <c r="P23" s="6" t="e">
        <f>#REF!*5</f>
        <v>#REF!</v>
      </c>
      <c r="Q23" s="154" t="e">
        <f t="shared" si="2"/>
        <v>#REF!</v>
      </c>
      <c r="R23" s="6" t="e">
        <f>#REF!*1</f>
        <v>#REF!</v>
      </c>
      <c r="S23" s="6" t="e">
        <f t="shared" ref="S23:T23" si="8">#REF!*3</f>
        <v>#REF!</v>
      </c>
      <c r="T23" s="6" t="e">
        <f t="shared" si="8"/>
        <v>#REF!</v>
      </c>
      <c r="U23" s="155" t="e">
        <f t="shared" si="3"/>
        <v>#REF!</v>
      </c>
      <c r="V23" s="154" t="e">
        <f t="shared" si="4"/>
        <v>#REF!</v>
      </c>
    </row>
    <row r="24" spans="1:22">
      <c r="A24" s="154" t="str">
        <f ca="1">'MATCH CALCS'!A25</f>
        <v>Practice</v>
      </c>
      <c r="B24" s="154" t="str">
        <f ca="1">'MATCH CALCS'!$C25</f>
        <v>B2</v>
      </c>
      <c r="C24" s="154">
        <f t="shared" ca="1" si="0"/>
        <v>12</v>
      </c>
      <c r="D24" s="6">
        <f ca="1">'MATCH CALCS'!$G25*2</f>
        <v>2</v>
      </c>
      <c r="E24" s="6">
        <f ca="1">'MATCH CALCS'!$G25*2</f>
        <v>2</v>
      </c>
      <c r="F24" s="6">
        <f ca="1">'MATCH CALCS'!$G25*2</f>
        <v>2</v>
      </c>
      <c r="G24" s="6">
        <f ca="1">'MATCH CALCS'!$G25*2</f>
        <v>2</v>
      </c>
      <c r="H24" s="6">
        <f ca="1">'MATCH CALCS'!$G25*2</f>
        <v>2</v>
      </c>
      <c r="I24" s="6">
        <f ca="1">'MATCH CALCS'!$G25*2</f>
        <v>2</v>
      </c>
      <c r="J24" s="154">
        <f t="shared" ca="1" si="1"/>
        <v>0</v>
      </c>
      <c r="K24" s="6">
        <f ca="1">'MATCH CALCS'!L25*1</f>
        <v>0</v>
      </c>
      <c r="L24" s="6">
        <f ca="1">'MATCH CALCS'!$N25*2</f>
        <v>0</v>
      </c>
      <c r="M24" s="6">
        <f ca="1">'MATCH CALCS'!N25*1</f>
        <v>0</v>
      </c>
      <c r="N24" s="6">
        <f ca="1">'MATCH CALCS'!$N25*2</f>
        <v>0</v>
      </c>
      <c r="O24" s="6">
        <f ca="1">'MATCH CALCS'!$N25*2</f>
        <v>0</v>
      </c>
      <c r="P24" s="6">
        <f ca="1">'MATCH CALCS'!$P25*5</f>
        <v>0</v>
      </c>
      <c r="Q24" s="154">
        <f t="shared" ca="1" si="2"/>
        <v>0</v>
      </c>
      <c r="R24" s="6">
        <f ca="1">'MATCH CALCS'!$AD25*1</f>
        <v>0</v>
      </c>
      <c r="S24" s="6">
        <f>'MATCH CALCS'!AC25*3</f>
        <v>0</v>
      </c>
      <c r="T24" s="6">
        <f ca="1">'MATCH CALCS'!AD25*3</f>
        <v>0</v>
      </c>
      <c r="U24" s="155">
        <f t="shared" ca="1" si="3"/>
        <v>0</v>
      </c>
      <c r="V24" s="154">
        <f t="shared" ca="1" si="4"/>
        <v>12</v>
      </c>
    </row>
    <row r="25" spans="1:22">
      <c r="A25" s="154" t="str">
        <f ca="1">'MATCH CALCS'!A26</f>
        <v>Practice</v>
      </c>
      <c r="B25" s="154" t="str">
        <f ca="1">'MATCH CALCS'!$C26</f>
        <v>R2</v>
      </c>
      <c r="C25" s="154">
        <f t="shared" ca="1" si="0"/>
        <v>12</v>
      </c>
      <c r="D25" s="6">
        <f ca="1">'MATCH CALCS'!$G26*2</f>
        <v>2</v>
      </c>
      <c r="E25" s="6">
        <f ca="1">'MATCH CALCS'!$G26*2</f>
        <v>2</v>
      </c>
      <c r="F25" s="6">
        <f ca="1">'MATCH CALCS'!$G26*2</f>
        <v>2</v>
      </c>
      <c r="G25" s="6">
        <f ca="1">'MATCH CALCS'!$G26*2</f>
        <v>2</v>
      </c>
      <c r="H25" s="6">
        <f ca="1">'MATCH CALCS'!$G26*2</f>
        <v>2</v>
      </c>
      <c r="I25" s="6">
        <f ca="1">'MATCH CALCS'!$G26*2</f>
        <v>2</v>
      </c>
      <c r="J25" s="154">
        <f t="shared" ca="1" si="1"/>
        <v>6</v>
      </c>
      <c r="K25" s="6">
        <f ca="1">'MATCH CALCS'!L26*1</f>
        <v>1</v>
      </c>
      <c r="L25" s="6">
        <f ca="1">'MATCH CALCS'!$N26*2</f>
        <v>0</v>
      </c>
      <c r="M25" s="6">
        <f ca="1">'MATCH CALCS'!N26*1</f>
        <v>0</v>
      </c>
      <c r="N25" s="6">
        <f ca="1">'MATCH CALCS'!$N26*2</f>
        <v>0</v>
      </c>
      <c r="O25" s="6">
        <f ca="1">'MATCH CALCS'!$N26*2</f>
        <v>0</v>
      </c>
      <c r="P25" s="6">
        <f ca="1">'MATCH CALCS'!$P26*5</f>
        <v>5</v>
      </c>
      <c r="Q25" s="154">
        <f t="shared" ca="1" si="2"/>
        <v>4</v>
      </c>
      <c r="R25" s="6">
        <f ca="1">'MATCH CALCS'!$AD26*1</f>
        <v>1</v>
      </c>
      <c r="S25" s="6">
        <f>'MATCH CALCS'!AC26*3</f>
        <v>0</v>
      </c>
      <c r="T25" s="6">
        <f ca="1">'MATCH CALCS'!AD26*3</f>
        <v>3</v>
      </c>
      <c r="U25" s="155">
        <f t="shared" ca="1" si="3"/>
        <v>4</v>
      </c>
      <c r="V25" s="154">
        <f t="shared" ca="1" si="4"/>
        <v>22</v>
      </c>
    </row>
    <row r="26" spans="1:22">
      <c r="A26" s="154" t="str">
        <f ca="1">'MATCH CALCS'!A27</f>
        <v>Practice</v>
      </c>
      <c r="B26" s="154" t="str">
        <f ca="1">'MATCH CALCS'!$C27</f>
        <v>B3</v>
      </c>
      <c r="C26" s="154">
        <f t="shared" ca="1" si="0"/>
        <v>12</v>
      </c>
      <c r="D26" s="6">
        <f ca="1">'MATCH CALCS'!$G27*2</f>
        <v>2</v>
      </c>
      <c r="E26" s="6">
        <f ca="1">'MATCH CALCS'!$G27*2</f>
        <v>2</v>
      </c>
      <c r="F26" s="6">
        <f ca="1">'MATCH CALCS'!$G27*2</f>
        <v>2</v>
      </c>
      <c r="G26" s="6">
        <f ca="1">'MATCH CALCS'!$G27*2</f>
        <v>2</v>
      </c>
      <c r="H26" s="6">
        <f ca="1">'MATCH CALCS'!$G27*2</f>
        <v>2</v>
      </c>
      <c r="I26" s="6">
        <f ca="1">'MATCH CALCS'!$G27*2</f>
        <v>2</v>
      </c>
      <c r="J26" s="154">
        <f t="shared" ca="1" si="1"/>
        <v>0</v>
      </c>
      <c r="K26" s="6">
        <f ca="1">'MATCH CALCS'!L27*1</f>
        <v>0</v>
      </c>
      <c r="L26" s="6">
        <f ca="1">'MATCH CALCS'!$N27*2</f>
        <v>0</v>
      </c>
      <c r="M26" s="6">
        <f ca="1">'MATCH CALCS'!N27*1</f>
        <v>0</v>
      </c>
      <c r="N26" s="6">
        <f ca="1">'MATCH CALCS'!$N27*2</f>
        <v>0</v>
      </c>
      <c r="O26" s="6">
        <f ca="1">'MATCH CALCS'!$N27*2</f>
        <v>0</v>
      </c>
      <c r="P26" s="6">
        <f ca="1">'MATCH CALCS'!$P27*5</f>
        <v>0</v>
      </c>
      <c r="Q26" s="154">
        <f t="shared" ca="1" si="2"/>
        <v>0</v>
      </c>
      <c r="R26" s="6">
        <f ca="1">'MATCH CALCS'!$AD27*1</f>
        <v>0</v>
      </c>
      <c r="S26" s="6">
        <f>'MATCH CALCS'!AC27*3</f>
        <v>0</v>
      </c>
      <c r="T26" s="6">
        <f ca="1">'MATCH CALCS'!AD27*3</f>
        <v>0</v>
      </c>
      <c r="U26" s="155">
        <f t="shared" ca="1" si="3"/>
        <v>0</v>
      </c>
      <c r="V26" s="154">
        <f t="shared" ca="1" si="4"/>
        <v>12</v>
      </c>
    </row>
    <row r="27" spans="1:22">
      <c r="A27" s="154" t="str">
        <f ca="1">'MATCH CALCS'!A28</f>
        <v>Practice</v>
      </c>
      <c r="B27" s="154" t="str">
        <f ca="1">'MATCH CALCS'!$C28</f>
        <v>R1</v>
      </c>
      <c r="C27" s="154">
        <f t="shared" ca="1" si="0"/>
        <v>12</v>
      </c>
      <c r="D27" s="6">
        <f ca="1">'MATCH CALCS'!$G28*2</f>
        <v>2</v>
      </c>
      <c r="E27" s="6">
        <f ca="1">'MATCH CALCS'!$G28*2</f>
        <v>2</v>
      </c>
      <c r="F27" s="6">
        <f ca="1">'MATCH CALCS'!$G28*2</f>
        <v>2</v>
      </c>
      <c r="G27" s="6">
        <f ca="1">'MATCH CALCS'!$G28*2</f>
        <v>2</v>
      </c>
      <c r="H27" s="6">
        <f ca="1">'MATCH CALCS'!$G28*2</f>
        <v>2</v>
      </c>
      <c r="I27" s="6">
        <f ca="1">'MATCH CALCS'!$G28*2</f>
        <v>2</v>
      </c>
      <c r="J27" s="154">
        <f t="shared" ca="1" si="1"/>
        <v>5</v>
      </c>
      <c r="K27" s="6">
        <f ca="1">'MATCH CALCS'!L28*1</f>
        <v>0</v>
      </c>
      <c r="L27" s="6">
        <f ca="1">'MATCH CALCS'!$N28*2</f>
        <v>0</v>
      </c>
      <c r="M27" s="6">
        <f ca="1">'MATCH CALCS'!N28*1</f>
        <v>0</v>
      </c>
      <c r="N27" s="6">
        <f ca="1">'MATCH CALCS'!$N28*2</f>
        <v>0</v>
      </c>
      <c r="O27" s="6">
        <f ca="1">'MATCH CALCS'!$N28*2</f>
        <v>0</v>
      </c>
      <c r="P27" s="6">
        <f ca="1">'MATCH CALCS'!$P28*5</f>
        <v>5</v>
      </c>
      <c r="Q27" s="154">
        <f t="shared" ca="1" si="2"/>
        <v>0</v>
      </c>
      <c r="R27" s="6">
        <f ca="1">'MATCH CALCS'!$AD28*1</f>
        <v>0</v>
      </c>
      <c r="S27" s="6">
        <f>'MATCH CALCS'!AC28*3</f>
        <v>0</v>
      </c>
      <c r="T27" s="6">
        <f ca="1">'MATCH CALCS'!AD28*3</f>
        <v>0</v>
      </c>
      <c r="U27" s="155">
        <f t="shared" ca="1" si="3"/>
        <v>0</v>
      </c>
      <c r="V27" s="154">
        <f t="shared" ca="1" si="4"/>
        <v>17</v>
      </c>
    </row>
    <row r="28" spans="1:22">
      <c r="A28" s="154" t="str">
        <f ca="1">'MATCH CALCS'!A29</f>
        <v>Practice</v>
      </c>
      <c r="B28" s="154" t="str">
        <f ca="1">'MATCH CALCS'!$C29</f>
        <v>R3</v>
      </c>
      <c r="C28" s="154">
        <f t="shared" ca="1" si="0"/>
        <v>0</v>
      </c>
      <c r="D28" s="6">
        <f ca="1">'MATCH CALCS'!$G29*2</f>
        <v>0</v>
      </c>
      <c r="E28" s="6">
        <f ca="1">'MATCH CALCS'!$G29*2</f>
        <v>0</v>
      </c>
      <c r="F28" s="6">
        <f ca="1">'MATCH CALCS'!$G29*2</f>
        <v>0</v>
      </c>
      <c r="G28" s="6">
        <f ca="1">'MATCH CALCS'!$G29*2</f>
        <v>0</v>
      </c>
      <c r="H28" s="6">
        <f ca="1">'MATCH CALCS'!$G29*2</f>
        <v>0</v>
      </c>
      <c r="I28" s="6">
        <f ca="1">'MATCH CALCS'!$G29*2</f>
        <v>0</v>
      </c>
      <c r="J28" s="154">
        <f t="shared" ca="1" si="1"/>
        <v>0</v>
      </c>
      <c r="K28" s="6">
        <f ca="1">'MATCH CALCS'!L29*1</f>
        <v>0</v>
      </c>
      <c r="L28" s="6">
        <f ca="1">'MATCH CALCS'!$N29*2</f>
        <v>0</v>
      </c>
      <c r="M28" s="6">
        <f ca="1">'MATCH CALCS'!N29*1</f>
        <v>0</v>
      </c>
      <c r="N28" s="6">
        <f ca="1">'MATCH CALCS'!$N29*2</f>
        <v>0</v>
      </c>
      <c r="O28" s="6">
        <f ca="1">'MATCH CALCS'!$N29*2</f>
        <v>0</v>
      </c>
      <c r="P28" s="6">
        <f ca="1">'MATCH CALCS'!$P29*5</f>
        <v>0</v>
      </c>
      <c r="Q28" s="154">
        <f t="shared" ca="1" si="2"/>
        <v>0</v>
      </c>
      <c r="R28" s="6">
        <f ca="1">'MATCH CALCS'!$AD29*1</f>
        <v>0</v>
      </c>
      <c r="S28" s="6">
        <f>'MATCH CALCS'!AC29*3</f>
        <v>0</v>
      </c>
      <c r="T28" s="6">
        <f ca="1">'MATCH CALCS'!AD29*3</f>
        <v>0</v>
      </c>
      <c r="U28" s="155">
        <f t="shared" ca="1" si="3"/>
        <v>0</v>
      </c>
      <c r="V28" s="154">
        <f t="shared" ca="1" si="4"/>
        <v>0</v>
      </c>
    </row>
    <row r="29" spans="1:22">
      <c r="A29" s="154" t="str">
        <f ca="1">'MATCH CALCS'!A30</f>
        <v>Practice</v>
      </c>
      <c r="B29" s="154" t="str">
        <f ca="1">'MATCH CALCS'!$C30</f>
        <v>B2</v>
      </c>
      <c r="C29" s="154">
        <f t="shared" ca="1" si="0"/>
        <v>12</v>
      </c>
      <c r="D29" s="6">
        <f ca="1">'MATCH CALCS'!$G30*2</f>
        <v>2</v>
      </c>
      <c r="E29" s="6">
        <f ca="1">'MATCH CALCS'!$G30*2</f>
        <v>2</v>
      </c>
      <c r="F29" s="6">
        <f ca="1">'MATCH CALCS'!$G30*2</f>
        <v>2</v>
      </c>
      <c r="G29" s="6">
        <f ca="1">'MATCH CALCS'!$G30*2</f>
        <v>2</v>
      </c>
      <c r="H29" s="6">
        <f ca="1">'MATCH CALCS'!$G30*2</f>
        <v>2</v>
      </c>
      <c r="I29" s="6">
        <f ca="1">'MATCH CALCS'!$G30*2</f>
        <v>2</v>
      </c>
      <c r="J29" s="154">
        <f t="shared" ca="1" si="1"/>
        <v>7</v>
      </c>
      <c r="K29" s="6">
        <f ca="1">'MATCH CALCS'!L30*1</f>
        <v>2</v>
      </c>
      <c r="L29" s="6">
        <f ca="1">'MATCH CALCS'!$N30*2</f>
        <v>0</v>
      </c>
      <c r="M29" s="6">
        <f ca="1">'MATCH CALCS'!N30*1</f>
        <v>0</v>
      </c>
      <c r="N29" s="6">
        <f ca="1">'MATCH CALCS'!$N30*2</f>
        <v>0</v>
      </c>
      <c r="O29" s="6">
        <f ca="1">'MATCH CALCS'!$N30*2</f>
        <v>0</v>
      </c>
      <c r="P29" s="6">
        <f ca="1">'MATCH CALCS'!$P30*5</f>
        <v>5</v>
      </c>
      <c r="Q29" s="154">
        <f t="shared" ca="1" si="2"/>
        <v>0</v>
      </c>
      <c r="R29" s="6">
        <f ca="1">'MATCH CALCS'!$AD30*1</f>
        <v>0</v>
      </c>
      <c r="S29" s="6">
        <f>'MATCH CALCS'!AC30*3</f>
        <v>0</v>
      </c>
      <c r="T29" s="6">
        <f ca="1">'MATCH CALCS'!AD30*3</f>
        <v>0</v>
      </c>
      <c r="U29" s="155">
        <f t="shared" ca="1" si="3"/>
        <v>0</v>
      </c>
      <c r="V29" s="154">
        <f t="shared" ca="1" si="4"/>
        <v>19</v>
      </c>
    </row>
    <row r="30" spans="1:22">
      <c r="A30" s="154" t="str">
        <f ca="1">'MATCH CALCS'!A31</f>
        <v>Practice</v>
      </c>
      <c r="B30" s="154" t="str">
        <f ca="1">'MATCH CALCS'!$C31</f>
        <v>B1</v>
      </c>
      <c r="C30" s="154">
        <f t="shared" ca="1" si="0"/>
        <v>12</v>
      </c>
      <c r="D30" s="6">
        <f ca="1">'MATCH CALCS'!$G31*2</f>
        <v>2</v>
      </c>
      <c r="E30" s="6">
        <f ca="1">'MATCH CALCS'!$G31*2</f>
        <v>2</v>
      </c>
      <c r="F30" s="6">
        <f ca="1">'MATCH CALCS'!$G31*2</f>
        <v>2</v>
      </c>
      <c r="G30" s="6">
        <f ca="1">'MATCH CALCS'!$G31*2</f>
        <v>2</v>
      </c>
      <c r="H30" s="6">
        <f ca="1">'MATCH CALCS'!$G31*2</f>
        <v>2</v>
      </c>
      <c r="I30" s="6">
        <f ca="1">'MATCH CALCS'!$G31*2</f>
        <v>2</v>
      </c>
      <c r="J30" s="154">
        <f t="shared" ca="1" si="1"/>
        <v>11</v>
      </c>
      <c r="K30" s="6">
        <f ca="1">'MATCH CALCS'!L31*1</f>
        <v>1</v>
      </c>
      <c r="L30" s="6">
        <f ca="1">'MATCH CALCS'!$N31*2</f>
        <v>0</v>
      </c>
      <c r="M30" s="6">
        <f ca="1">'MATCH CALCS'!N31*1</f>
        <v>0</v>
      </c>
      <c r="N30" s="6">
        <f ca="1">'MATCH CALCS'!$N31*2</f>
        <v>0</v>
      </c>
      <c r="O30" s="6">
        <f ca="1">'MATCH CALCS'!$N31*2</f>
        <v>0</v>
      </c>
      <c r="P30" s="6">
        <f ca="1">'MATCH CALCS'!$P31*5</f>
        <v>10</v>
      </c>
      <c r="Q30" s="154">
        <f t="shared" ca="1" si="2"/>
        <v>0</v>
      </c>
      <c r="R30" s="6">
        <f ca="1">'MATCH CALCS'!$AD31*1</f>
        <v>0</v>
      </c>
      <c r="S30" s="6">
        <f>'MATCH CALCS'!AC31*3</f>
        <v>0</v>
      </c>
      <c r="T30" s="6">
        <f ca="1">'MATCH CALCS'!AD31*3</f>
        <v>0</v>
      </c>
      <c r="U30" s="155">
        <f t="shared" ca="1" si="3"/>
        <v>0</v>
      </c>
      <c r="V30" s="154">
        <f t="shared" ca="1" si="4"/>
        <v>23</v>
      </c>
    </row>
    <row r="31" spans="1:22">
      <c r="A31" s="154" t="str">
        <f ca="1">'MATCH CALCS'!A32</f>
        <v>Practice</v>
      </c>
      <c r="B31" s="154" t="str">
        <f ca="1">'MATCH CALCS'!$C32</f>
        <v>B3</v>
      </c>
      <c r="C31" s="154">
        <f t="shared" ca="1" si="0"/>
        <v>12</v>
      </c>
      <c r="D31" s="6">
        <f ca="1">'MATCH CALCS'!$G32*2</f>
        <v>2</v>
      </c>
      <c r="E31" s="6">
        <f ca="1">'MATCH CALCS'!$G32*2</f>
        <v>2</v>
      </c>
      <c r="F31" s="6">
        <f ca="1">'MATCH CALCS'!$G32*2</f>
        <v>2</v>
      </c>
      <c r="G31" s="6">
        <f ca="1">'MATCH CALCS'!$G32*2</f>
        <v>2</v>
      </c>
      <c r="H31" s="6">
        <f ca="1">'MATCH CALCS'!$G32*2</f>
        <v>2</v>
      </c>
      <c r="I31" s="6">
        <f ca="1">'MATCH CALCS'!$G32*2</f>
        <v>2</v>
      </c>
      <c r="J31" s="154">
        <f t="shared" ca="1" si="1"/>
        <v>0</v>
      </c>
      <c r="K31" s="6">
        <f ca="1">'MATCH CALCS'!L32*1</f>
        <v>0</v>
      </c>
      <c r="L31" s="6">
        <f ca="1">'MATCH CALCS'!$N32*2</f>
        <v>0</v>
      </c>
      <c r="M31" s="6">
        <f ca="1">'MATCH CALCS'!N32*1</f>
        <v>0</v>
      </c>
      <c r="N31" s="6">
        <f ca="1">'MATCH CALCS'!$N32*2</f>
        <v>0</v>
      </c>
      <c r="O31" s="6">
        <f ca="1">'MATCH CALCS'!$N32*2</f>
        <v>0</v>
      </c>
      <c r="P31" s="6">
        <f ca="1">'MATCH CALCS'!$P32*5</f>
        <v>0</v>
      </c>
      <c r="Q31" s="154">
        <f t="shared" ca="1" si="2"/>
        <v>0</v>
      </c>
      <c r="R31" s="6">
        <f ca="1">'MATCH CALCS'!$AD32*1</f>
        <v>0</v>
      </c>
      <c r="S31" s="6">
        <f>'MATCH CALCS'!AC32*3</f>
        <v>0</v>
      </c>
      <c r="T31" s="6">
        <f ca="1">'MATCH CALCS'!AD32*3</f>
        <v>0</v>
      </c>
      <c r="U31" s="155">
        <f t="shared" ca="1" si="3"/>
        <v>0</v>
      </c>
      <c r="V31" s="154">
        <f t="shared" ca="1" si="4"/>
        <v>12</v>
      </c>
    </row>
    <row r="32" spans="1:22">
      <c r="A32" s="154" t="str">
        <f ca="1">'MATCH CALCS'!A33</f>
        <v>Practice</v>
      </c>
      <c r="B32" s="154" t="str">
        <f ca="1">'MATCH CALCS'!$C33</f>
        <v>R3</v>
      </c>
      <c r="C32" s="154">
        <f t="shared" ca="1" si="0"/>
        <v>0</v>
      </c>
      <c r="D32" s="6">
        <f ca="1">'MATCH CALCS'!$G33*2</f>
        <v>0</v>
      </c>
      <c r="E32" s="6">
        <f ca="1">'MATCH CALCS'!$G33*2</f>
        <v>0</v>
      </c>
      <c r="F32" s="6">
        <f ca="1">'MATCH CALCS'!$G33*2</f>
        <v>0</v>
      </c>
      <c r="G32" s="6">
        <f ca="1">'MATCH CALCS'!$G33*2</f>
        <v>0</v>
      </c>
      <c r="H32" s="6">
        <f ca="1">'MATCH CALCS'!$G33*2</f>
        <v>0</v>
      </c>
      <c r="I32" s="6">
        <f ca="1">'MATCH CALCS'!$G33*2</f>
        <v>0</v>
      </c>
      <c r="J32" s="154">
        <f t="shared" ca="1" si="1"/>
        <v>0</v>
      </c>
      <c r="K32" s="6">
        <f ca="1">'MATCH CALCS'!L33*1</f>
        <v>0</v>
      </c>
      <c r="L32" s="6">
        <f ca="1">'MATCH CALCS'!$N33*2</f>
        <v>0</v>
      </c>
      <c r="M32" s="6">
        <f ca="1">'MATCH CALCS'!N33*1</f>
        <v>0</v>
      </c>
      <c r="N32" s="6">
        <f ca="1">'MATCH CALCS'!$N33*2</f>
        <v>0</v>
      </c>
      <c r="O32" s="6">
        <f ca="1">'MATCH CALCS'!$N33*2</f>
        <v>0</v>
      </c>
      <c r="P32" s="6">
        <f ca="1">'MATCH CALCS'!$P33*5</f>
        <v>0</v>
      </c>
      <c r="Q32" s="154">
        <f t="shared" ca="1" si="2"/>
        <v>0</v>
      </c>
      <c r="R32" s="6">
        <f ca="1">'MATCH CALCS'!$AD33*1</f>
        <v>0</v>
      </c>
      <c r="S32" s="6">
        <f>'MATCH CALCS'!AC33*3</f>
        <v>0</v>
      </c>
      <c r="T32" s="6">
        <f ca="1">'MATCH CALCS'!AD33*3</f>
        <v>0</v>
      </c>
      <c r="U32" s="155">
        <f t="shared" ca="1" si="3"/>
        <v>0</v>
      </c>
      <c r="V32" s="154">
        <f t="shared" ca="1" si="4"/>
        <v>0</v>
      </c>
    </row>
    <row r="33" spans="1:22">
      <c r="A33" s="154" t="str">
        <f ca="1">'MATCH CALCS'!A34</f>
        <v>Practice</v>
      </c>
      <c r="B33" s="154" t="str">
        <f ca="1">'MATCH CALCS'!$C34</f>
        <v>R1</v>
      </c>
      <c r="C33" s="154">
        <f t="shared" ca="1" si="0"/>
        <v>12</v>
      </c>
      <c r="D33" s="6">
        <f ca="1">'MATCH CALCS'!$G34*2</f>
        <v>2</v>
      </c>
      <c r="E33" s="6">
        <f ca="1">'MATCH CALCS'!$G34*2</f>
        <v>2</v>
      </c>
      <c r="F33" s="6">
        <f ca="1">'MATCH CALCS'!$G34*2</f>
        <v>2</v>
      </c>
      <c r="G33" s="6">
        <f ca="1">'MATCH CALCS'!$G34*2</f>
        <v>2</v>
      </c>
      <c r="H33" s="6">
        <f ca="1">'MATCH CALCS'!$G34*2</f>
        <v>2</v>
      </c>
      <c r="I33" s="6">
        <f ca="1">'MATCH CALCS'!$G34*2</f>
        <v>2</v>
      </c>
      <c r="J33" s="154">
        <f t="shared" ca="1" si="1"/>
        <v>5</v>
      </c>
      <c r="K33" s="6">
        <f ca="1">'MATCH CALCS'!L34*1</f>
        <v>0</v>
      </c>
      <c r="L33" s="6">
        <f ca="1">'MATCH CALCS'!$N34*2</f>
        <v>0</v>
      </c>
      <c r="M33" s="6">
        <f ca="1">'MATCH CALCS'!N34*1</f>
        <v>0</v>
      </c>
      <c r="N33" s="6">
        <f ca="1">'MATCH CALCS'!$N34*2</f>
        <v>0</v>
      </c>
      <c r="O33" s="6">
        <f ca="1">'MATCH CALCS'!$N34*2</f>
        <v>0</v>
      </c>
      <c r="P33" s="6">
        <f ca="1">'MATCH CALCS'!$P34*5</f>
        <v>5</v>
      </c>
      <c r="Q33" s="154">
        <f t="shared" ca="1" si="2"/>
        <v>0</v>
      </c>
      <c r="R33" s="6">
        <f ca="1">'MATCH CALCS'!$AD34*1</f>
        <v>0</v>
      </c>
      <c r="S33" s="6">
        <f>'MATCH CALCS'!AC34*3</f>
        <v>0</v>
      </c>
      <c r="T33" s="6">
        <f ca="1">'MATCH CALCS'!AD34*3</f>
        <v>0</v>
      </c>
      <c r="U33" s="155">
        <f t="shared" ca="1" si="3"/>
        <v>0</v>
      </c>
      <c r="V33" s="154">
        <f t="shared" ca="1" si="4"/>
        <v>17</v>
      </c>
    </row>
    <row r="34" spans="1:22">
      <c r="A34" s="154" t="str">
        <f ca="1">'MATCH CALCS'!A35</f>
        <v>Practice</v>
      </c>
      <c r="B34" s="154" t="str">
        <f ca="1">'MATCH CALCS'!$C35</f>
        <v>R2</v>
      </c>
      <c r="C34" s="154">
        <f t="shared" ca="1" si="0"/>
        <v>12</v>
      </c>
      <c r="D34" s="6">
        <f ca="1">'MATCH CALCS'!$G35*2</f>
        <v>2</v>
      </c>
      <c r="E34" s="6">
        <f ca="1">'MATCH CALCS'!$G35*2</f>
        <v>2</v>
      </c>
      <c r="F34" s="6">
        <f ca="1">'MATCH CALCS'!$G35*2</f>
        <v>2</v>
      </c>
      <c r="G34" s="6">
        <f ca="1">'MATCH CALCS'!$G35*2</f>
        <v>2</v>
      </c>
      <c r="H34" s="6">
        <f ca="1">'MATCH CALCS'!$G35*2</f>
        <v>2</v>
      </c>
      <c r="I34" s="6">
        <f ca="1">'MATCH CALCS'!$G35*2</f>
        <v>2</v>
      </c>
      <c r="J34" s="154">
        <f t="shared" ca="1" si="1"/>
        <v>0</v>
      </c>
      <c r="K34" s="6">
        <f ca="1">'MATCH CALCS'!L35*1</f>
        <v>0</v>
      </c>
      <c r="L34" s="6">
        <f ca="1">'MATCH CALCS'!$N35*2</f>
        <v>0</v>
      </c>
      <c r="M34" s="6">
        <f ca="1">'MATCH CALCS'!N35*1</f>
        <v>0</v>
      </c>
      <c r="N34" s="6">
        <f ca="1">'MATCH CALCS'!$N35*2</f>
        <v>0</v>
      </c>
      <c r="O34" s="6">
        <f ca="1">'MATCH CALCS'!$N35*2</f>
        <v>0</v>
      </c>
      <c r="P34" s="6">
        <f ca="1">'MATCH CALCS'!$P35*5</f>
        <v>0</v>
      </c>
      <c r="Q34" s="154">
        <f t="shared" ca="1" si="2"/>
        <v>0</v>
      </c>
      <c r="R34" s="6">
        <f ca="1">'MATCH CALCS'!$AD35*1</f>
        <v>0</v>
      </c>
      <c r="S34" s="6">
        <f>'MATCH CALCS'!AC35*3</f>
        <v>0</v>
      </c>
      <c r="T34" s="6">
        <f ca="1">'MATCH CALCS'!AD35*3</f>
        <v>0</v>
      </c>
      <c r="U34" s="155">
        <f t="shared" ca="1" si="3"/>
        <v>0</v>
      </c>
      <c r="V34" s="154">
        <f t="shared" ca="1" si="4"/>
        <v>12</v>
      </c>
    </row>
    <row r="35" spans="1:22">
      <c r="A35" s="154" t="str">
        <f ca="1">'MATCH CALCS'!A36</f>
        <v>Practice</v>
      </c>
      <c r="B35" s="154" t="str">
        <f ca="1">'MATCH CALCS'!$C36</f>
        <v>R1</v>
      </c>
      <c r="C35" s="154">
        <f t="shared" ca="1" si="0"/>
        <v>12</v>
      </c>
      <c r="D35" s="6">
        <f ca="1">'MATCH CALCS'!$G36*2</f>
        <v>2</v>
      </c>
      <c r="E35" s="6">
        <f ca="1">'MATCH CALCS'!$G36*2</f>
        <v>2</v>
      </c>
      <c r="F35" s="6">
        <f ca="1">'MATCH CALCS'!$G36*2</f>
        <v>2</v>
      </c>
      <c r="G35" s="6">
        <f ca="1">'MATCH CALCS'!$G36*2</f>
        <v>2</v>
      </c>
      <c r="H35" s="6">
        <f ca="1">'MATCH CALCS'!$G36*2</f>
        <v>2</v>
      </c>
      <c r="I35" s="6">
        <f ca="1">'MATCH CALCS'!$G36*2</f>
        <v>2</v>
      </c>
      <c r="J35" s="154">
        <f t="shared" ca="1" si="1"/>
        <v>7</v>
      </c>
      <c r="K35" s="6">
        <f ca="1">'MATCH CALCS'!L36*1</f>
        <v>2</v>
      </c>
      <c r="L35" s="6">
        <f ca="1">'MATCH CALCS'!$N36*2</f>
        <v>0</v>
      </c>
      <c r="M35" s="6">
        <f ca="1">'MATCH CALCS'!N36*1</f>
        <v>0</v>
      </c>
      <c r="N35" s="6">
        <f ca="1">'MATCH CALCS'!$N36*2</f>
        <v>0</v>
      </c>
      <c r="O35" s="6">
        <f ca="1">'MATCH CALCS'!$N36*2</f>
        <v>0</v>
      </c>
      <c r="P35" s="6">
        <f ca="1">'MATCH CALCS'!$P36*5</f>
        <v>5</v>
      </c>
      <c r="Q35" s="154">
        <f t="shared" ca="1" si="2"/>
        <v>0</v>
      </c>
      <c r="R35" s="6">
        <f ca="1">'MATCH CALCS'!$AD36*1</f>
        <v>0</v>
      </c>
      <c r="S35" s="6">
        <f>'MATCH CALCS'!AC36*3</f>
        <v>0</v>
      </c>
      <c r="T35" s="6">
        <f ca="1">'MATCH CALCS'!AD36*3</f>
        <v>0</v>
      </c>
      <c r="U35" s="155">
        <f t="shared" ca="1" si="3"/>
        <v>0</v>
      </c>
      <c r="V35" s="154">
        <f t="shared" ca="1" si="4"/>
        <v>19</v>
      </c>
    </row>
    <row r="36" spans="1:22">
      <c r="A36" s="154" t="str">
        <f ca="1">'MATCH CALCS'!A37</f>
        <v>Practice</v>
      </c>
      <c r="B36" s="154" t="str">
        <f ca="1">'MATCH CALCS'!$C37</f>
        <v>B2</v>
      </c>
      <c r="C36" s="154">
        <f t="shared" ca="1" si="0"/>
        <v>12</v>
      </c>
      <c r="D36" s="6">
        <f ca="1">'MATCH CALCS'!$G37*2</f>
        <v>2</v>
      </c>
      <c r="E36" s="6">
        <f ca="1">'MATCH CALCS'!$G37*2</f>
        <v>2</v>
      </c>
      <c r="F36" s="6">
        <f ca="1">'MATCH CALCS'!$G37*2</f>
        <v>2</v>
      </c>
      <c r="G36" s="6">
        <f ca="1">'MATCH CALCS'!$G37*2</f>
        <v>2</v>
      </c>
      <c r="H36" s="6">
        <f ca="1">'MATCH CALCS'!$G37*2</f>
        <v>2</v>
      </c>
      <c r="I36" s="6">
        <f ca="1">'MATCH CALCS'!$G37*2</f>
        <v>2</v>
      </c>
      <c r="J36" s="154">
        <f t="shared" ca="1" si="1"/>
        <v>5</v>
      </c>
      <c r="K36" s="6">
        <f ca="1">'MATCH CALCS'!L37*1</f>
        <v>0</v>
      </c>
      <c r="L36" s="6">
        <f ca="1">'MATCH CALCS'!$N37*2</f>
        <v>0</v>
      </c>
      <c r="M36" s="6">
        <f ca="1">'MATCH CALCS'!N37*1</f>
        <v>0</v>
      </c>
      <c r="N36" s="6">
        <f ca="1">'MATCH CALCS'!$N37*2</f>
        <v>0</v>
      </c>
      <c r="O36" s="6">
        <f ca="1">'MATCH CALCS'!$N37*2</f>
        <v>0</v>
      </c>
      <c r="P36" s="6">
        <f ca="1">'MATCH CALCS'!$P37*5</f>
        <v>5</v>
      </c>
      <c r="Q36" s="154">
        <f t="shared" ca="1" si="2"/>
        <v>0</v>
      </c>
      <c r="R36" s="6">
        <f ca="1">'MATCH CALCS'!$AD37*1</f>
        <v>0</v>
      </c>
      <c r="S36" s="6">
        <f>'MATCH CALCS'!AC37*3</f>
        <v>0</v>
      </c>
      <c r="T36" s="6">
        <f ca="1">'MATCH CALCS'!AD37*3</f>
        <v>0</v>
      </c>
      <c r="U36" s="155">
        <f t="shared" ca="1" si="3"/>
        <v>0</v>
      </c>
      <c r="V36" s="154">
        <f t="shared" ca="1" si="4"/>
        <v>17</v>
      </c>
    </row>
    <row r="37" spans="1:22">
      <c r="A37" s="154" t="str">
        <f ca="1">'MATCH CALCS'!A38</f>
        <v>Practice</v>
      </c>
      <c r="B37" s="154" t="str">
        <f ca="1">'MATCH CALCS'!$C38</f>
        <v>B1</v>
      </c>
      <c r="C37" s="154">
        <f t="shared" ca="1" si="0"/>
        <v>12</v>
      </c>
      <c r="D37" s="6">
        <f ca="1">'MATCH CALCS'!$G38*2</f>
        <v>2</v>
      </c>
      <c r="E37" s="6">
        <f ca="1">'MATCH CALCS'!$G38*2</f>
        <v>2</v>
      </c>
      <c r="F37" s="6">
        <f ca="1">'MATCH CALCS'!$G38*2</f>
        <v>2</v>
      </c>
      <c r="G37" s="6">
        <f ca="1">'MATCH CALCS'!$G38*2</f>
        <v>2</v>
      </c>
      <c r="H37" s="6">
        <f ca="1">'MATCH CALCS'!$G38*2</f>
        <v>2</v>
      </c>
      <c r="I37" s="6">
        <f ca="1">'MATCH CALCS'!$G38*2</f>
        <v>2</v>
      </c>
      <c r="J37" s="154">
        <f t="shared" ca="1" si="1"/>
        <v>0</v>
      </c>
      <c r="K37" s="6">
        <f ca="1">'MATCH CALCS'!L38*1</f>
        <v>0</v>
      </c>
      <c r="L37" s="6">
        <f ca="1">'MATCH CALCS'!$N38*2</f>
        <v>0</v>
      </c>
      <c r="M37" s="6">
        <f ca="1">'MATCH CALCS'!N38*1</f>
        <v>0</v>
      </c>
      <c r="N37" s="6">
        <f ca="1">'MATCH CALCS'!$N38*2</f>
        <v>0</v>
      </c>
      <c r="O37" s="6">
        <f ca="1">'MATCH CALCS'!$N38*2</f>
        <v>0</v>
      </c>
      <c r="P37" s="6">
        <f ca="1">'MATCH CALCS'!$P38*5</f>
        <v>0</v>
      </c>
      <c r="Q37" s="154">
        <f t="shared" ca="1" si="2"/>
        <v>0</v>
      </c>
      <c r="R37" s="6">
        <f ca="1">'MATCH CALCS'!$AD38*1</f>
        <v>0</v>
      </c>
      <c r="S37" s="6">
        <f>'MATCH CALCS'!AC38*3</f>
        <v>0</v>
      </c>
      <c r="T37" s="6">
        <f ca="1">'MATCH CALCS'!AD38*3</f>
        <v>0</v>
      </c>
      <c r="U37" s="155">
        <f t="shared" ca="1" si="3"/>
        <v>0</v>
      </c>
      <c r="V37" s="154">
        <f t="shared" ca="1" si="4"/>
        <v>12</v>
      </c>
    </row>
    <row r="38" spans="1:22">
      <c r="A38" s="154" t="str">
        <f ca="1">'MATCH CALCS'!A39</f>
        <v>Practice</v>
      </c>
      <c r="B38" s="154" t="str">
        <f ca="1">'MATCH CALCS'!$C39</f>
        <v>R2</v>
      </c>
      <c r="C38" s="154">
        <f t="shared" ca="1" si="0"/>
        <v>12</v>
      </c>
      <c r="D38" s="6">
        <f ca="1">'MATCH CALCS'!$G39*2</f>
        <v>2</v>
      </c>
      <c r="E38" s="6">
        <f ca="1">'MATCH CALCS'!$G39*2</f>
        <v>2</v>
      </c>
      <c r="F38" s="6">
        <f ca="1">'MATCH CALCS'!$G39*2</f>
        <v>2</v>
      </c>
      <c r="G38" s="6">
        <f ca="1">'MATCH CALCS'!$G39*2</f>
        <v>2</v>
      </c>
      <c r="H38" s="6">
        <f ca="1">'MATCH CALCS'!$G39*2</f>
        <v>2</v>
      </c>
      <c r="I38" s="6">
        <f ca="1">'MATCH CALCS'!$G39*2</f>
        <v>2</v>
      </c>
      <c r="J38" s="154">
        <f t="shared" ca="1" si="1"/>
        <v>0</v>
      </c>
      <c r="K38" s="6">
        <f ca="1">'MATCH CALCS'!L39*1</f>
        <v>0</v>
      </c>
      <c r="L38" s="6">
        <f ca="1">'MATCH CALCS'!$N39*2</f>
        <v>0</v>
      </c>
      <c r="M38" s="6">
        <f ca="1">'MATCH CALCS'!N39*1</f>
        <v>0</v>
      </c>
      <c r="N38" s="6">
        <f ca="1">'MATCH CALCS'!$N39*2</f>
        <v>0</v>
      </c>
      <c r="O38" s="6">
        <f ca="1">'MATCH CALCS'!$N39*2</f>
        <v>0</v>
      </c>
      <c r="P38" s="6">
        <f ca="1">'MATCH CALCS'!$P39*5</f>
        <v>0</v>
      </c>
      <c r="Q38" s="154">
        <f t="shared" ca="1" si="2"/>
        <v>0</v>
      </c>
      <c r="R38" s="6">
        <f ca="1">'MATCH CALCS'!$AD39*1</f>
        <v>0</v>
      </c>
      <c r="S38" s="6">
        <f>'MATCH CALCS'!AC39*3</f>
        <v>0</v>
      </c>
      <c r="T38" s="6">
        <f ca="1">'MATCH CALCS'!AD39*3</f>
        <v>0</v>
      </c>
      <c r="U38" s="155">
        <f t="shared" ca="1" si="3"/>
        <v>0</v>
      </c>
      <c r="V38" s="154">
        <f t="shared" ca="1" si="4"/>
        <v>12</v>
      </c>
    </row>
    <row r="39" spans="1:22">
      <c r="A39" s="154" t="str">
        <f ca="1">'MATCH CALCS'!A40</f>
        <v>Practice</v>
      </c>
      <c r="B39" s="154" t="str">
        <f ca="1">'MATCH CALCS'!$C40</f>
        <v>R3</v>
      </c>
      <c r="C39" s="154">
        <f t="shared" ca="1" si="0"/>
        <v>0</v>
      </c>
      <c r="D39" s="6">
        <f ca="1">'MATCH CALCS'!$G40*2</f>
        <v>0</v>
      </c>
      <c r="E39" s="6">
        <f ca="1">'MATCH CALCS'!$G40*2</f>
        <v>0</v>
      </c>
      <c r="F39" s="6">
        <f ca="1">'MATCH CALCS'!$G40*2</f>
        <v>0</v>
      </c>
      <c r="G39" s="6">
        <f ca="1">'MATCH CALCS'!$G40*2</f>
        <v>0</v>
      </c>
      <c r="H39" s="6">
        <f ca="1">'MATCH CALCS'!$G40*2</f>
        <v>0</v>
      </c>
      <c r="I39" s="6">
        <f ca="1">'MATCH CALCS'!$G40*2</f>
        <v>0</v>
      </c>
      <c r="J39" s="154">
        <f t="shared" ca="1" si="1"/>
        <v>0</v>
      </c>
      <c r="K39" s="6">
        <f ca="1">'MATCH CALCS'!L40*1</f>
        <v>0</v>
      </c>
      <c r="L39" s="6">
        <f ca="1">'MATCH CALCS'!$N40*2</f>
        <v>0</v>
      </c>
      <c r="M39" s="6">
        <f ca="1">'MATCH CALCS'!N40*1</f>
        <v>0</v>
      </c>
      <c r="N39" s="6">
        <f ca="1">'MATCH CALCS'!$N40*2</f>
        <v>0</v>
      </c>
      <c r="O39" s="6">
        <f ca="1">'MATCH CALCS'!$N40*2</f>
        <v>0</v>
      </c>
      <c r="P39" s="6">
        <f ca="1">'MATCH CALCS'!$P40*5</f>
        <v>0</v>
      </c>
      <c r="Q39" s="154">
        <f t="shared" ca="1" si="2"/>
        <v>0</v>
      </c>
      <c r="R39" s="6">
        <f ca="1">'MATCH CALCS'!$AD40*1</f>
        <v>0</v>
      </c>
      <c r="S39" s="6">
        <f>'MATCH CALCS'!AC40*3</f>
        <v>0</v>
      </c>
      <c r="T39" s="6">
        <f ca="1">'MATCH CALCS'!AD40*3</f>
        <v>0</v>
      </c>
      <c r="U39" s="155">
        <f t="shared" ca="1" si="3"/>
        <v>0</v>
      </c>
      <c r="V39" s="154">
        <f t="shared" ca="1" si="4"/>
        <v>0</v>
      </c>
    </row>
    <row r="40" spans="1:22">
      <c r="A40" s="154" t="str">
        <f ca="1">'MATCH CALCS'!A41</f>
        <v>Practice</v>
      </c>
      <c r="B40" s="154" t="str">
        <f ca="1">'MATCH CALCS'!$C41</f>
        <v>R1</v>
      </c>
      <c r="C40" s="154">
        <f t="shared" ca="1" si="0"/>
        <v>12</v>
      </c>
      <c r="D40" s="6">
        <f ca="1">'MATCH CALCS'!$G41*2</f>
        <v>2</v>
      </c>
      <c r="E40" s="6">
        <f ca="1">'MATCH CALCS'!$G41*2</f>
        <v>2</v>
      </c>
      <c r="F40" s="6">
        <f ca="1">'MATCH CALCS'!$G41*2</f>
        <v>2</v>
      </c>
      <c r="G40" s="6">
        <f ca="1">'MATCH CALCS'!$G41*2</f>
        <v>2</v>
      </c>
      <c r="H40" s="6">
        <f ca="1">'MATCH CALCS'!$G41*2</f>
        <v>2</v>
      </c>
      <c r="I40" s="6">
        <f ca="1">'MATCH CALCS'!$G41*2</f>
        <v>2</v>
      </c>
      <c r="J40" s="154">
        <f t="shared" ca="1" si="1"/>
        <v>5</v>
      </c>
      <c r="K40" s="6">
        <f ca="1">'MATCH CALCS'!L41*1</f>
        <v>0</v>
      </c>
      <c r="L40" s="6">
        <f ca="1">'MATCH CALCS'!$N41*2</f>
        <v>0</v>
      </c>
      <c r="M40" s="6">
        <f ca="1">'MATCH CALCS'!N41*1</f>
        <v>0</v>
      </c>
      <c r="N40" s="6">
        <f ca="1">'MATCH CALCS'!$N41*2</f>
        <v>0</v>
      </c>
      <c r="O40" s="6">
        <f ca="1">'MATCH CALCS'!$N41*2</f>
        <v>0</v>
      </c>
      <c r="P40" s="6">
        <f ca="1">'MATCH CALCS'!$P41*5</f>
        <v>5</v>
      </c>
      <c r="Q40" s="154">
        <f t="shared" ca="1" si="2"/>
        <v>0</v>
      </c>
      <c r="R40" s="6">
        <f ca="1">'MATCH CALCS'!$AD41*1</f>
        <v>0</v>
      </c>
      <c r="S40" s="6">
        <f>'MATCH CALCS'!AC41*3</f>
        <v>0</v>
      </c>
      <c r="T40" s="6">
        <f ca="1">'MATCH CALCS'!AD41*3</f>
        <v>0</v>
      </c>
      <c r="U40" s="155">
        <f t="shared" ca="1" si="3"/>
        <v>0</v>
      </c>
      <c r="V40" s="154">
        <f t="shared" ca="1" si="4"/>
        <v>17</v>
      </c>
    </row>
    <row r="41" spans="1:22">
      <c r="A41" s="154" t="str">
        <f ca="1">'MATCH CALCS'!A42</f>
        <v>Practice</v>
      </c>
      <c r="B41" s="154" t="str">
        <f ca="1">'MATCH CALCS'!$C42</f>
        <v>B3</v>
      </c>
      <c r="C41" s="154">
        <f t="shared" ca="1" si="0"/>
        <v>12</v>
      </c>
      <c r="D41" s="6">
        <f ca="1">'MATCH CALCS'!$G42*2</f>
        <v>2</v>
      </c>
      <c r="E41" s="6">
        <f ca="1">'MATCH CALCS'!$G42*2</f>
        <v>2</v>
      </c>
      <c r="F41" s="6">
        <f ca="1">'MATCH CALCS'!$G42*2</f>
        <v>2</v>
      </c>
      <c r="G41" s="6">
        <f ca="1">'MATCH CALCS'!$G42*2</f>
        <v>2</v>
      </c>
      <c r="H41" s="6">
        <f ca="1">'MATCH CALCS'!$G42*2</f>
        <v>2</v>
      </c>
      <c r="I41" s="6">
        <f ca="1">'MATCH CALCS'!$G42*2</f>
        <v>2</v>
      </c>
      <c r="J41" s="154">
        <f t="shared" ca="1" si="1"/>
        <v>2</v>
      </c>
      <c r="K41" s="6">
        <f ca="1">'MATCH CALCS'!L42*1</f>
        <v>2</v>
      </c>
      <c r="L41" s="6">
        <f ca="1">'MATCH CALCS'!$N42*2</f>
        <v>0</v>
      </c>
      <c r="M41" s="6">
        <f ca="1">'MATCH CALCS'!N42*1</f>
        <v>0</v>
      </c>
      <c r="N41" s="6">
        <f ca="1">'MATCH CALCS'!$N42*2</f>
        <v>0</v>
      </c>
      <c r="O41" s="6">
        <f ca="1">'MATCH CALCS'!$N42*2</f>
        <v>0</v>
      </c>
      <c r="P41" s="6">
        <f ca="1">'MATCH CALCS'!$P42*5</f>
        <v>0</v>
      </c>
      <c r="Q41" s="154">
        <f t="shared" ca="1" si="2"/>
        <v>0</v>
      </c>
      <c r="R41" s="6">
        <f ca="1">'MATCH CALCS'!$AD42*1</f>
        <v>0</v>
      </c>
      <c r="S41" s="6">
        <f>'MATCH CALCS'!AC42*3</f>
        <v>0</v>
      </c>
      <c r="T41" s="6">
        <f ca="1">'MATCH CALCS'!AD42*3</f>
        <v>0</v>
      </c>
      <c r="U41" s="155">
        <f t="shared" ca="1" si="3"/>
        <v>0</v>
      </c>
      <c r="V41" s="154">
        <f t="shared" ca="1" si="4"/>
        <v>14</v>
      </c>
    </row>
    <row r="42" spans="1:22">
      <c r="A42" s="154" t="str">
        <f ca="1">'MATCH CALCS'!A43</f>
        <v>Practice</v>
      </c>
      <c r="B42" s="154" t="str">
        <f ca="1">'MATCH CALCS'!$C43</f>
        <v>R1</v>
      </c>
      <c r="C42" s="154">
        <f t="shared" ca="1" si="0"/>
        <v>12</v>
      </c>
      <c r="D42" s="6">
        <f ca="1">'MATCH CALCS'!$G43*2</f>
        <v>2</v>
      </c>
      <c r="E42" s="6">
        <f ca="1">'MATCH CALCS'!$G43*2</f>
        <v>2</v>
      </c>
      <c r="F42" s="6">
        <f ca="1">'MATCH CALCS'!$G43*2</f>
        <v>2</v>
      </c>
      <c r="G42" s="6">
        <f ca="1">'MATCH CALCS'!$G43*2</f>
        <v>2</v>
      </c>
      <c r="H42" s="6">
        <f ca="1">'MATCH CALCS'!$G43*2</f>
        <v>2</v>
      </c>
      <c r="I42" s="6">
        <f ca="1">'MATCH CALCS'!$G43*2</f>
        <v>2</v>
      </c>
      <c r="J42" s="154">
        <f t="shared" ca="1" si="1"/>
        <v>0</v>
      </c>
      <c r="K42" s="6">
        <f ca="1">'MATCH CALCS'!L43*1</f>
        <v>0</v>
      </c>
      <c r="L42" s="6">
        <f ca="1">'MATCH CALCS'!$N43*2</f>
        <v>0</v>
      </c>
      <c r="M42" s="6">
        <f ca="1">'MATCH CALCS'!N43*1</f>
        <v>0</v>
      </c>
      <c r="N42" s="6">
        <f ca="1">'MATCH CALCS'!$N43*2</f>
        <v>0</v>
      </c>
      <c r="O42" s="6">
        <f ca="1">'MATCH CALCS'!$N43*2</f>
        <v>0</v>
      </c>
      <c r="P42" s="6">
        <f ca="1">'MATCH CALCS'!$P43*5</f>
        <v>0</v>
      </c>
      <c r="Q42" s="154">
        <f t="shared" ca="1" si="2"/>
        <v>0</v>
      </c>
      <c r="R42" s="6">
        <f ca="1">'MATCH CALCS'!$AD43*1</f>
        <v>0</v>
      </c>
      <c r="S42" s="6">
        <f>'MATCH CALCS'!AC43*3</f>
        <v>0</v>
      </c>
      <c r="T42" s="6">
        <f ca="1">'MATCH CALCS'!AD43*3</f>
        <v>0</v>
      </c>
      <c r="U42" s="155">
        <f t="shared" ca="1" si="3"/>
        <v>0</v>
      </c>
      <c r="V42" s="154">
        <f t="shared" ca="1" si="4"/>
        <v>12</v>
      </c>
    </row>
    <row r="43" spans="1:22">
      <c r="A43" s="154" t="str">
        <f ca="1">'MATCH CALCS'!A44</f>
        <v>Practice</v>
      </c>
      <c r="B43" s="154" t="str">
        <f ca="1">'MATCH CALCS'!$C44</f>
        <v>B1</v>
      </c>
      <c r="C43" s="154">
        <f t="shared" ca="1" si="0"/>
        <v>12</v>
      </c>
      <c r="D43" s="6">
        <f ca="1">'MATCH CALCS'!$G44*2</f>
        <v>2</v>
      </c>
      <c r="E43" s="6">
        <f ca="1">'MATCH CALCS'!$G44*2</f>
        <v>2</v>
      </c>
      <c r="F43" s="6">
        <f ca="1">'MATCH CALCS'!$G44*2</f>
        <v>2</v>
      </c>
      <c r="G43" s="6">
        <f ca="1">'MATCH CALCS'!$G44*2</f>
        <v>2</v>
      </c>
      <c r="H43" s="6">
        <f ca="1">'MATCH CALCS'!$G44*2</f>
        <v>2</v>
      </c>
      <c r="I43" s="6">
        <f ca="1">'MATCH CALCS'!$G44*2</f>
        <v>2</v>
      </c>
      <c r="J43" s="154">
        <f t="shared" ca="1" si="1"/>
        <v>0</v>
      </c>
      <c r="K43" s="6">
        <f ca="1">'MATCH CALCS'!L44*1</f>
        <v>0</v>
      </c>
      <c r="L43" s="6">
        <f ca="1">'MATCH CALCS'!$N44*2</f>
        <v>0</v>
      </c>
      <c r="M43" s="6">
        <f ca="1">'MATCH CALCS'!N44*1</f>
        <v>0</v>
      </c>
      <c r="N43" s="6">
        <f ca="1">'MATCH CALCS'!$N44*2</f>
        <v>0</v>
      </c>
      <c r="O43" s="6">
        <f ca="1">'MATCH CALCS'!$N44*2</f>
        <v>0</v>
      </c>
      <c r="P43" s="6">
        <f ca="1">'MATCH CALCS'!$P44*5</f>
        <v>0</v>
      </c>
      <c r="Q43" s="154">
        <f t="shared" ca="1" si="2"/>
        <v>0</v>
      </c>
      <c r="R43" s="6">
        <f ca="1">'MATCH CALCS'!$AD44*1</f>
        <v>0</v>
      </c>
      <c r="S43" s="6">
        <f>'MATCH CALCS'!AC44*3</f>
        <v>0</v>
      </c>
      <c r="T43" s="6">
        <f ca="1">'MATCH CALCS'!AD44*3</f>
        <v>0</v>
      </c>
      <c r="U43" s="155">
        <f t="shared" ca="1" si="3"/>
        <v>0</v>
      </c>
      <c r="V43" s="154">
        <f t="shared" ca="1" si="4"/>
        <v>12</v>
      </c>
    </row>
    <row r="44" spans="1:22">
      <c r="A44" s="154" t="str">
        <f ca="1">'MATCH CALCS'!A45</f>
        <v>Practice</v>
      </c>
      <c r="B44" s="154" t="str">
        <f ca="1">'MATCH CALCS'!$C45</f>
        <v>B3</v>
      </c>
      <c r="C44" s="154">
        <f t="shared" ca="1" si="0"/>
        <v>12</v>
      </c>
      <c r="D44" s="6">
        <f ca="1">'MATCH CALCS'!$G45*2</f>
        <v>2</v>
      </c>
      <c r="E44" s="6">
        <f ca="1">'MATCH CALCS'!$G45*2</f>
        <v>2</v>
      </c>
      <c r="F44" s="6">
        <f ca="1">'MATCH CALCS'!$G45*2</f>
        <v>2</v>
      </c>
      <c r="G44" s="6">
        <f ca="1">'MATCH CALCS'!$G45*2</f>
        <v>2</v>
      </c>
      <c r="H44" s="6">
        <f ca="1">'MATCH CALCS'!$G45*2</f>
        <v>2</v>
      </c>
      <c r="I44" s="6">
        <f ca="1">'MATCH CALCS'!$G45*2</f>
        <v>2</v>
      </c>
      <c r="J44" s="154">
        <f t="shared" ca="1" si="1"/>
        <v>0</v>
      </c>
      <c r="K44" s="6">
        <f ca="1">'MATCH CALCS'!L45*1</f>
        <v>0</v>
      </c>
      <c r="L44" s="6">
        <f ca="1">'MATCH CALCS'!$N45*2</f>
        <v>0</v>
      </c>
      <c r="M44" s="6">
        <f ca="1">'MATCH CALCS'!N45*1</f>
        <v>0</v>
      </c>
      <c r="N44" s="6">
        <f ca="1">'MATCH CALCS'!$N45*2</f>
        <v>0</v>
      </c>
      <c r="O44" s="6">
        <f ca="1">'MATCH CALCS'!$N45*2</f>
        <v>0</v>
      </c>
      <c r="P44" s="6">
        <f ca="1">'MATCH CALCS'!$P45*5</f>
        <v>0</v>
      </c>
      <c r="Q44" s="154">
        <f t="shared" ca="1" si="2"/>
        <v>0</v>
      </c>
      <c r="R44" s="6">
        <f ca="1">'MATCH CALCS'!$AD45*1</f>
        <v>0</v>
      </c>
      <c r="S44" s="6">
        <f>'MATCH CALCS'!AC45*3</f>
        <v>0</v>
      </c>
      <c r="T44" s="6">
        <f ca="1">'MATCH CALCS'!AD45*3</f>
        <v>0</v>
      </c>
      <c r="U44" s="155">
        <f t="shared" ca="1" si="3"/>
        <v>0</v>
      </c>
      <c r="V44" s="154">
        <f t="shared" ca="1" si="4"/>
        <v>12</v>
      </c>
    </row>
    <row r="45" spans="1:22">
      <c r="A45" s="154" t="str">
        <f ca="1">'MATCH CALCS'!A46</f>
        <v>Practice</v>
      </c>
      <c r="B45" s="154" t="str">
        <f ca="1">'MATCH CALCS'!$C46</f>
        <v>R1</v>
      </c>
      <c r="C45" s="154">
        <f t="shared" ca="1" si="0"/>
        <v>0</v>
      </c>
      <c r="D45" s="6">
        <f ca="1">'MATCH CALCS'!$G46*2</f>
        <v>0</v>
      </c>
      <c r="E45" s="6">
        <f ca="1">'MATCH CALCS'!$G46*2</f>
        <v>0</v>
      </c>
      <c r="F45" s="6">
        <f ca="1">'MATCH CALCS'!$G46*2</f>
        <v>0</v>
      </c>
      <c r="G45" s="6">
        <f ca="1">'MATCH CALCS'!$G46*2</f>
        <v>0</v>
      </c>
      <c r="H45" s="6">
        <f ca="1">'MATCH CALCS'!$G46*2</f>
        <v>0</v>
      </c>
      <c r="I45" s="6">
        <f ca="1">'MATCH CALCS'!$G46*2</f>
        <v>0</v>
      </c>
      <c r="J45" s="154">
        <f t="shared" ca="1" si="1"/>
        <v>0</v>
      </c>
      <c r="K45" s="6">
        <f ca="1">'MATCH CALCS'!L46*1</f>
        <v>0</v>
      </c>
      <c r="L45" s="6">
        <f ca="1">'MATCH CALCS'!$N46*2</f>
        <v>0</v>
      </c>
      <c r="M45" s="6">
        <f ca="1">'MATCH CALCS'!N46*1</f>
        <v>0</v>
      </c>
      <c r="N45" s="6">
        <f ca="1">'MATCH CALCS'!$N46*2</f>
        <v>0</v>
      </c>
      <c r="O45" s="6">
        <f ca="1">'MATCH CALCS'!$N46*2</f>
        <v>0</v>
      </c>
      <c r="P45" s="6">
        <f ca="1">'MATCH CALCS'!$P46*5</f>
        <v>0</v>
      </c>
      <c r="Q45" s="154">
        <f t="shared" ca="1" si="2"/>
        <v>0</v>
      </c>
      <c r="R45" s="6">
        <f ca="1">'MATCH CALCS'!$AD46*1</f>
        <v>0</v>
      </c>
      <c r="S45" s="6">
        <f>'MATCH CALCS'!AC46*3</f>
        <v>0</v>
      </c>
      <c r="T45" s="6">
        <f ca="1">'MATCH CALCS'!AD46*3</f>
        <v>0</v>
      </c>
      <c r="U45" s="155">
        <f t="shared" ca="1" si="3"/>
        <v>0</v>
      </c>
      <c r="V45" s="154">
        <f t="shared" ca="1" si="4"/>
        <v>0</v>
      </c>
    </row>
    <row r="46" spans="1:22">
      <c r="A46" s="154" t="str">
        <f ca="1">'MATCH CALCS'!A47</f>
        <v>Practice</v>
      </c>
      <c r="B46" s="154" t="str">
        <f ca="1">'MATCH CALCS'!$C47</f>
        <v>R2</v>
      </c>
      <c r="C46" s="154">
        <f t="shared" ca="1" si="0"/>
        <v>12</v>
      </c>
      <c r="D46" s="6">
        <f ca="1">'MATCH CALCS'!$G47*2</f>
        <v>2</v>
      </c>
      <c r="E46" s="6">
        <f ca="1">'MATCH CALCS'!$G47*2</f>
        <v>2</v>
      </c>
      <c r="F46" s="6">
        <f ca="1">'MATCH CALCS'!$G47*2</f>
        <v>2</v>
      </c>
      <c r="G46" s="6">
        <f ca="1">'MATCH CALCS'!$G47*2</f>
        <v>2</v>
      </c>
      <c r="H46" s="6">
        <f ca="1">'MATCH CALCS'!$G47*2</f>
        <v>2</v>
      </c>
      <c r="I46" s="6">
        <f ca="1">'MATCH CALCS'!$G47*2</f>
        <v>2</v>
      </c>
      <c r="J46" s="154">
        <f t="shared" ca="1" si="1"/>
        <v>9</v>
      </c>
      <c r="K46" s="6">
        <f ca="1">'MATCH CALCS'!L47*1</f>
        <v>4</v>
      </c>
      <c r="L46" s="6">
        <f ca="1">'MATCH CALCS'!$N47*2</f>
        <v>0</v>
      </c>
      <c r="M46" s="6">
        <f ca="1">'MATCH CALCS'!N47*1</f>
        <v>0</v>
      </c>
      <c r="N46" s="6">
        <f ca="1">'MATCH CALCS'!$N47*2</f>
        <v>0</v>
      </c>
      <c r="O46" s="6">
        <f ca="1">'MATCH CALCS'!$N47*2</f>
        <v>0</v>
      </c>
      <c r="P46" s="6">
        <f ca="1">'MATCH CALCS'!$P47*5</f>
        <v>5</v>
      </c>
      <c r="Q46" s="154">
        <f t="shared" ca="1" si="2"/>
        <v>0</v>
      </c>
      <c r="R46" s="6">
        <f ca="1">'MATCH CALCS'!$AD47*1</f>
        <v>0</v>
      </c>
      <c r="S46" s="6">
        <f>'MATCH CALCS'!AC47*3</f>
        <v>0</v>
      </c>
      <c r="T46" s="6">
        <f ca="1">'MATCH CALCS'!AD47*3</f>
        <v>0</v>
      </c>
      <c r="U46" s="155">
        <f t="shared" ca="1" si="3"/>
        <v>0</v>
      </c>
      <c r="V46" s="154">
        <f t="shared" ca="1" si="4"/>
        <v>21</v>
      </c>
    </row>
    <row r="47" spans="1:22">
      <c r="A47" s="154" t="str">
        <f ca="1">'MATCH CALCS'!A48</f>
        <v>Practice</v>
      </c>
      <c r="B47" s="154" t="str">
        <f ca="1">'MATCH CALCS'!$C48</f>
        <v>B2</v>
      </c>
      <c r="C47" s="154">
        <f t="shared" ca="1" si="0"/>
        <v>12</v>
      </c>
      <c r="D47" s="6">
        <f ca="1">'MATCH CALCS'!$G48*2</f>
        <v>2</v>
      </c>
      <c r="E47" s="6">
        <f ca="1">'MATCH CALCS'!$G48*2</f>
        <v>2</v>
      </c>
      <c r="F47" s="6">
        <f ca="1">'MATCH CALCS'!$G48*2</f>
        <v>2</v>
      </c>
      <c r="G47" s="6">
        <f ca="1">'MATCH CALCS'!$G48*2</f>
        <v>2</v>
      </c>
      <c r="H47" s="6">
        <f ca="1">'MATCH CALCS'!$G48*2</f>
        <v>2</v>
      </c>
      <c r="I47" s="6">
        <f ca="1">'MATCH CALCS'!$G48*2</f>
        <v>2</v>
      </c>
      <c r="J47" s="154">
        <f t="shared" ca="1" si="1"/>
        <v>5</v>
      </c>
      <c r="K47" s="6">
        <f ca="1">'MATCH CALCS'!L48*1</f>
        <v>0</v>
      </c>
      <c r="L47" s="6">
        <f ca="1">'MATCH CALCS'!$N48*2</f>
        <v>0</v>
      </c>
      <c r="M47" s="6">
        <f ca="1">'MATCH CALCS'!N48*1</f>
        <v>0</v>
      </c>
      <c r="N47" s="6">
        <f ca="1">'MATCH CALCS'!$N48*2</f>
        <v>0</v>
      </c>
      <c r="O47" s="6">
        <f ca="1">'MATCH CALCS'!$N48*2</f>
        <v>0</v>
      </c>
      <c r="P47" s="6">
        <f ca="1">'MATCH CALCS'!$P48*5</f>
        <v>5</v>
      </c>
      <c r="Q47" s="154">
        <f t="shared" ca="1" si="2"/>
        <v>0</v>
      </c>
      <c r="R47" s="6">
        <f ca="1">'MATCH CALCS'!$AD48*1</f>
        <v>0</v>
      </c>
      <c r="S47" s="6">
        <f>'MATCH CALCS'!AC48*3</f>
        <v>0</v>
      </c>
      <c r="T47" s="6">
        <f ca="1">'MATCH CALCS'!AD48*3</f>
        <v>0</v>
      </c>
      <c r="U47" s="155">
        <f t="shared" ca="1" si="3"/>
        <v>0</v>
      </c>
      <c r="V47" s="154">
        <f t="shared" ca="1" si="4"/>
        <v>17</v>
      </c>
    </row>
    <row r="48" spans="1:22">
      <c r="A48" s="154" t="str">
        <f ca="1">'MATCH CALCS'!A49</f>
        <v>Practice</v>
      </c>
      <c r="B48" s="154" t="str">
        <f ca="1">'MATCH CALCS'!$C49</f>
        <v>B1</v>
      </c>
      <c r="C48" s="154">
        <f t="shared" ca="1" si="0"/>
        <v>12</v>
      </c>
      <c r="D48" s="6">
        <f ca="1">'MATCH CALCS'!$G49*2</f>
        <v>2</v>
      </c>
      <c r="E48" s="6">
        <f ca="1">'MATCH CALCS'!$G49*2</f>
        <v>2</v>
      </c>
      <c r="F48" s="6">
        <f ca="1">'MATCH CALCS'!$G49*2</f>
        <v>2</v>
      </c>
      <c r="G48" s="6">
        <f ca="1">'MATCH CALCS'!$G49*2</f>
        <v>2</v>
      </c>
      <c r="H48" s="6">
        <f ca="1">'MATCH CALCS'!$G49*2</f>
        <v>2</v>
      </c>
      <c r="I48" s="6">
        <f ca="1">'MATCH CALCS'!$G49*2</f>
        <v>2</v>
      </c>
      <c r="J48" s="154">
        <f t="shared" ca="1" si="1"/>
        <v>0</v>
      </c>
      <c r="K48" s="6">
        <f ca="1">'MATCH CALCS'!L49*1</f>
        <v>0</v>
      </c>
      <c r="L48" s="6">
        <f ca="1">'MATCH CALCS'!$N49*2</f>
        <v>0</v>
      </c>
      <c r="M48" s="6">
        <f ca="1">'MATCH CALCS'!N49*1</f>
        <v>0</v>
      </c>
      <c r="N48" s="6">
        <f ca="1">'MATCH CALCS'!$N49*2</f>
        <v>0</v>
      </c>
      <c r="O48" s="6">
        <f ca="1">'MATCH CALCS'!$N49*2</f>
        <v>0</v>
      </c>
      <c r="P48" s="6">
        <f ca="1">'MATCH CALCS'!$P49*5</f>
        <v>0</v>
      </c>
      <c r="Q48" s="154">
        <f t="shared" ca="1" si="2"/>
        <v>0</v>
      </c>
      <c r="R48" s="6">
        <f ca="1">'MATCH CALCS'!$AD49*1</f>
        <v>0</v>
      </c>
      <c r="S48" s="6">
        <f>'MATCH CALCS'!AC49*3</f>
        <v>0</v>
      </c>
      <c r="T48" s="6">
        <f ca="1">'MATCH CALCS'!AD49*3</f>
        <v>0</v>
      </c>
      <c r="U48" s="155">
        <f t="shared" ca="1" si="3"/>
        <v>0</v>
      </c>
      <c r="V48" s="154">
        <f t="shared" ca="1" si="4"/>
        <v>12</v>
      </c>
    </row>
    <row r="49" spans="1:22">
      <c r="A49" s="154" t="str">
        <f ca="1">'MATCH CALCS'!A50</f>
        <v>Practice</v>
      </c>
      <c r="B49" s="154" t="str">
        <f ca="1">'MATCH CALCS'!$C50</f>
        <v>R2</v>
      </c>
      <c r="C49" s="154">
        <f t="shared" ca="1" si="0"/>
        <v>12</v>
      </c>
      <c r="D49" s="6">
        <f ca="1">'MATCH CALCS'!$G50*2</f>
        <v>2</v>
      </c>
      <c r="E49" s="6">
        <f ca="1">'MATCH CALCS'!$G50*2</f>
        <v>2</v>
      </c>
      <c r="F49" s="6">
        <f ca="1">'MATCH CALCS'!$G50*2</f>
        <v>2</v>
      </c>
      <c r="G49" s="6">
        <f ca="1">'MATCH CALCS'!$G50*2</f>
        <v>2</v>
      </c>
      <c r="H49" s="6">
        <f ca="1">'MATCH CALCS'!$G50*2</f>
        <v>2</v>
      </c>
      <c r="I49" s="6">
        <f ca="1">'MATCH CALCS'!$G50*2</f>
        <v>2</v>
      </c>
      <c r="J49" s="154">
        <f t="shared" ca="1" si="1"/>
        <v>7</v>
      </c>
      <c r="K49" s="6">
        <f ca="1">'MATCH CALCS'!L50*1</f>
        <v>0</v>
      </c>
      <c r="L49" s="6">
        <f ca="1">'MATCH CALCS'!$N50*2</f>
        <v>2</v>
      </c>
      <c r="M49" s="6">
        <f ca="1">'MATCH CALCS'!N50*1</f>
        <v>1</v>
      </c>
      <c r="N49" s="6">
        <f ca="1">'MATCH CALCS'!$N50*2</f>
        <v>2</v>
      </c>
      <c r="O49" s="6">
        <f ca="1">'MATCH CALCS'!$N50*2</f>
        <v>2</v>
      </c>
      <c r="P49" s="6">
        <f ca="1">'MATCH CALCS'!$P50*5</f>
        <v>0</v>
      </c>
      <c r="Q49" s="154">
        <f t="shared" ca="1" si="2"/>
        <v>0</v>
      </c>
      <c r="R49" s="6">
        <f ca="1">'MATCH CALCS'!$AD50*1</f>
        <v>0</v>
      </c>
      <c r="S49" s="6">
        <f>'MATCH CALCS'!AC50*3</f>
        <v>0</v>
      </c>
      <c r="T49" s="6">
        <f ca="1">'MATCH CALCS'!AD50*3</f>
        <v>0</v>
      </c>
      <c r="U49" s="155">
        <f t="shared" ca="1" si="3"/>
        <v>0</v>
      </c>
      <c r="V49" s="154">
        <f t="shared" ca="1" si="4"/>
        <v>19</v>
      </c>
    </row>
    <row r="50" spans="1:22">
      <c r="A50" s="154" t="str">
        <f ca="1">'MATCH CALCS'!A51</f>
        <v>Practice</v>
      </c>
      <c r="B50" s="154" t="str">
        <f ca="1">'MATCH CALCS'!$C51</f>
        <v>R3</v>
      </c>
      <c r="C50" s="154">
        <f t="shared" ca="1" si="0"/>
        <v>12</v>
      </c>
      <c r="D50" s="6">
        <f ca="1">'MATCH CALCS'!$G51*2</f>
        <v>2</v>
      </c>
      <c r="E50" s="6">
        <f ca="1">'MATCH CALCS'!$G51*2</f>
        <v>2</v>
      </c>
      <c r="F50" s="6">
        <f ca="1">'MATCH CALCS'!$G51*2</f>
        <v>2</v>
      </c>
      <c r="G50" s="6">
        <f ca="1">'MATCH CALCS'!$G51*2</f>
        <v>2</v>
      </c>
      <c r="H50" s="6">
        <f ca="1">'MATCH CALCS'!$G51*2</f>
        <v>2</v>
      </c>
      <c r="I50" s="6">
        <f ca="1">'MATCH CALCS'!$G51*2</f>
        <v>2</v>
      </c>
      <c r="J50" s="154">
        <f t="shared" ca="1" si="1"/>
        <v>0</v>
      </c>
      <c r="K50" s="6">
        <f ca="1">'MATCH CALCS'!L51*1</f>
        <v>0</v>
      </c>
      <c r="L50" s="6">
        <f ca="1">'MATCH CALCS'!$N51*2</f>
        <v>0</v>
      </c>
      <c r="M50" s="6">
        <f ca="1">'MATCH CALCS'!N51*1</f>
        <v>0</v>
      </c>
      <c r="N50" s="6">
        <f ca="1">'MATCH CALCS'!$N51*2</f>
        <v>0</v>
      </c>
      <c r="O50" s="6">
        <f ca="1">'MATCH CALCS'!$N51*2</f>
        <v>0</v>
      </c>
      <c r="P50" s="6">
        <f ca="1">'MATCH CALCS'!$P51*5</f>
        <v>0</v>
      </c>
      <c r="Q50" s="154">
        <f t="shared" ca="1" si="2"/>
        <v>0</v>
      </c>
      <c r="R50" s="6">
        <f ca="1">'MATCH CALCS'!$AD51*1</f>
        <v>0</v>
      </c>
      <c r="S50" s="6">
        <f>'MATCH CALCS'!AC51*3</f>
        <v>0</v>
      </c>
      <c r="T50" s="6">
        <f ca="1">'MATCH CALCS'!AD51*3</f>
        <v>0</v>
      </c>
      <c r="U50" s="155">
        <f t="shared" ca="1" si="3"/>
        <v>0</v>
      </c>
      <c r="V50" s="154">
        <f t="shared" ca="1" si="4"/>
        <v>12</v>
      </c>
    </row>
    <row r="51" spans="1:22">
      <c r="A51" s="154" t="str">
        <f ca="1">'MATCH CALCS'!A52</f>
        <v>Practice</v>
      </c>
      <c r="B51" s="154" t="str">
        <f ca="1">'MATCH CALCS'!$C52</f>
        <v>B3</v>
      </c>
      <c r="C51" s="154">
        <f t="shared" ca="1" si="0"/>
        <v>12</v>
      </c>
      <c r="D51" s="6">
        <f ca="1">'MATCH CALCS'!$G52*2</f>
        <v>2</v>
      </c>
      <c r="E51" s="6">
        <f ca="1">'MATCH CALCS'!$G52*2</f>
        <v>2</v>
      </c>
      <c r="F51" s="6">
        <f ca="1">'MATCH CALCS'!$G52*2</f>
        <v>2</v>
      </c>
      <c r="G51" s="6">
        <f ca="1">'MATCH CALCS'!$G52*2</f>
        <v>2</v>
      </c>
      <c r="H51" s="6">
        <f ca="1">'MATCH CALCS'!$G52*2</f>
        <v>2</v>
      </c>
      <c r="I51" s="6">
        <f ca="1">'MATCH CALCS'!$G52*2</f>
        <v>2</v>
      </c>
      <c r="J51" s="154">
        <f t="shared" ca="1" si="1"/>
        <v>0</v>
      </c>
      <c r="K51" s="6">
        <f ca="1">'MATCH CALCS'!L52*1</f>
        <v>0</v>
      </c>
      <c r="L51" s="6">
        <f ca="1">'MATCH CALCS'!$N52*2</f>
        <v>0</v>
      </c>
      <c r="M51" s="6">
        <f ca="1">'MATCH CALCS'!N52*1</f>
        <v>0</v>
      </c>
      <c r="N51" s="6">
        <f ca="1">'MATCH CALCS'!$N52*2</f>
        <v>0</v>
      </c>
      <c r="O51" s="6">
        <f ca="1">'MATCH CALCS'!$N52*2</f>
        <v>0</v>
      </c>
      <c r="P51" s="6">
        <f ca="1">'MATCH CALCS'!$P52*5</f>
        <v>0</v>
      </c>
      <c r="Q51" s="154">
        <f t="shared" ca="1" si="2"/>
        <v>0</v>
      </c>
      <c r="R51" s="6">
        <f ca="1">'MATCH CALCS'!$AD52*1</f>
        <v>0</v>
      </c>
      <c r="S51" s="6">
        <f>'MATCH CALCS'!AC52*3</f>
        <v>0</v>
      </c>
      <c r="T51" s="6">
        <f ca="1">'MATCH CALCS'!AD52*3</f>
        <v>0</v>
      </c>
      <c r="U51" s="155">
        <f t="shared" ca="1" si="3"/>
        <v>0</v>
      </c>
      <c r="V51" s="154">
        <f t="shared" ca="1" si="4"/>
        <v>12</v>
      </c>
    </row>
    <row r="52" spans="1:22">
      <c r="A52" s="154" t="str">
        <f ca="1">'MATCH CALCS'!A53</f>
        <v>Practice</v>
      </c>
      <c r="B52" s="154" t="str">
        <f ca="1">'MATCH CALCS'!$C53</f>
        <v>R1</v>
      </c>
      <c r="C52" s="154">
        <f t="shared" ca="1" si="0"/>
        <v>12</v>
      </c>
      <c r="D52" s="6">
        <f ca="1">'MATCH CALCS'!$G53*2</f>
        <v>2</v>
      </c>
      <c r="E52" s="6">
        <f ca="1">'MATCH CALCS'!$G53*2</f>
        <v>2</v>
      </c>
      <c r="F52" s="6">
        <f ca="1">'MATCH CALCS'!$G53*2</f>
        <v>2</v>
      </c>
      <c r="G52" s="6">
        <f ca="1">'MATCH CALCS'!$G53*2</f>
        <v>2</v>
      </c>
      <c r="H52" s="6">
        <f ca="1">'MATCH CALCS'!$G53*2</f>
        <v>2</v>
      </c>
      <c r="I52" s="6">
        <f ca="1">'MATCH CALCS'!$G53*2</f>
        <v>2</v>
      </c>
      <c r="J52" s="154">
        <f t="shared" ca="1" si="1"/>
        <v>5</v>
      </c>
      <c r="K52" s="6">
        <f ca="1">'MATCH CALCS'!L53*1</f>
        <v>0</v>
      </c>
      <c r="L52" s="6">
        <f ca="1">'MATCH CALCS'!$N53*2</f>
        <v>0</v>
      </c>
      <c r="M52" s="6">
        <f ca="1">'MATCH CALCS'!N53*1</f>
        <v>0</v>
      </c>
      <c r="N52" s="6">
        <f ca="1">'MATCH CALCS'!$N53*2</f>
        <v>0</v>
      </c>
      <c r="O52" s="6">
        <f ca="1">'MATCH CALCS'!$N53*2</f>
        <v>0</v>
      </c>
      <c r="P52" s="6">
        <f ca="1">'MATCH CALCS'!$P53*5</f>
        <v>5</v>
      </c>
      <c r="Q52" s="154">
        <f t="shared" ca="1" si="2"/>
        <v>0</v>
      </c>
      <c r="R52" s="6">
        <f ca="1">'MATCH CALCS'!$AD53*1</f>
        <v>0</v>
      </c>
      <c r="S52" s="6">
        <f>'MATCH CALCS'!AC53*3</f>
        <v>0</v>
      </c>
      <c r="T52" s="6">
        <f ca="1">'MATCH CALCS'!AD53*3</f>
        <v>0</v>
      </c>
      <c r="U52" s="155">
        <f t="shared" ca="1" si="3"/>
        <v>0</v>
      </c>
      <c r="V52" s="154">
        <f t="shared" ca="1" si="4"/>
        <v>17</v>
      </c>
    </row>
    <row r="53" spans="1:22">
      <c r="A53" s="154" t="str">
        <f ca="1">'MATCH CALCS'!A54</f>
        <v>Practice</v>
      </c>
      <c r="B53" s="154" t="str">
        <f ca="1">'MATCH CALCS'!$C54</f>
        <v>B3</v>
      </c>
      <c r="C53" s="154">
        <f t="shared" ca="1" si="0"/>
        <v>12</v>
      </c>
      <c r="D53" s="6">
        <f ca="1">'MATCH CALCS'!$G54*2</f>
        <v>2</v>
      </c>
      <c r="E53" s="6">
        <f ca="1">'MATCH CALCS'!$G54*2</f>
        <v>2</v>
      </c>
      <c r="F53" s="6">
        <f ca="1">'MATCH CALCS'!$G54*2</f>
        <v>2</v>
      </c>
      <c r="G53" s="6">
        <f ca="1">'MATCH CALCS'!$G54*2</f>
        <v>2</v>
      </c>
      <c r="H53" s="6">
        <f ca="1">'MATCH CALCS'!$G54*2</f>
        <v>2</v>
      </c>
      <c r="I53" s="6">
        <f ca="1">'MATCH CALCS'!$G54*2</f>
        <v>2</v>
      </c>
      <c r="J53" s="154">
        <f t="shared" ca="1" si="1"/>
        <v>1</v>
      </c>
      <c r="K53" s="6">
        <f ca="1">'MATCH CALCS'!L54*1</f>
        <v>1</v>
      </c>
      <c r="L53" s="6">
        <f ca="1">'MATCH CALCS'!$N54*2</f>
        <v>0</v>
      </c>
      <c r="M53" s="6">
        <f ca="1">'MATCH CALCS'!N54*1</f>
        <v>0</v>
      </c>
      <c r="N53" s="6">
        <f ca="1">'MATCH CALCS'!$N54*2</f>
        <v>0</v>
      </c>
      <c r="O53" s="6">
        <f ca="1">'MATCH CALCS'!$N54*2</f>
        <v>0</v>
      </c>
      <c r="P53" s="6">
        <f ca="1">'MATCH CALCS'!$P54*5</f>
        <v>0</v>
      </c>
      <c r="Q53" s="154">
        <f t="shared" ca="1" si="2"/>
        <v>0</v>
      </c>
      <c r="R53" s="6">
        <f ca="1">'MATCH CALCS'!$AD54*1</f>
        <v>0</v>
      </c>
      <c r="S53" s="6">
        <f>'MATCH CALCS'!AC54*3</f>
        <v>0</v>
      </c>
      <c r="T53" s="6">
        <f ca="1">'MATCH CALCS'!AD54*3</f>
        <v>0</v>
      </c>
      <c r="U53" s="155">
        <f t="shared" ca="1" si="3"/>
        <v>0</v>
      </c>
      <c r="V53" s="154">
        <f t="shared" ca="1" si="4"/>
        <v>13</v>
      </c>
    </row>
    <row r="54" spans="1:22">
      <c r="A54" s="154" t="str">
        <f ca="1">'MATCH CALCS'!A55</f>
        <v>Practice</v>
      </c>
      <c r="B54" s="154" t="str">
        <f ca="1">'MATCH CALCS'!$C55</f>
        <v>R1</v>
      </c>
      <c r="C54" s="154">
        <f t="shared" ca="1" si="0"/>
        <v>12</v>
      </c>
      <c r="D54" s="6">
        <f ca="1">'MATCH CALCS'!$G55*2</f>
        <v>2</v>
      </c>
      <c r="E54" s="6">
        <f ca="1">'MATCH CALCS'!$G55*2</f>
        <v>2</v>
      </c>
      <c r="F54" s="6">
        <f ca="1">'MATCH CALCS'!$G55*2</f>
        <v>2</v>
      </c>
      <c r="G54" s="6">
        <f ca="1">'MATCH CALCS'!$G55*2</f>
        <v>2</v>
      </c>
      <c r="H54" s="6">
        <f ca="1">'MATCH CALCS'!$G55*2</f>
        <v>2</v>
      </c>
      <c r="I54" s="6">
        <f ca="1">'MATCH CALCS'!$G55*2</f>
        <v>2</v>
      </c>
      <c r="J54" s="154">
        <f t="shared" ca="1" si="1"/>
        <v>6</v>
      </c>
      <c r="K54" s="6">
        <f ca="1">'MATCH CALCS'!L55*1</f>
        <v>1</v>
      </c>
      <c r="L54" s="6">
        <f ca="1">'MATCH CALCS'!$N55*2</f>
        <v>0</v>
      </c>
      <c r="M54" s="6">
        <f ca="1">'MATCH CALCS'!N55*1</f>
        <v>0</v>
      </c>
      <c r="N54" s="6">
        <f ca="1">'MATCH CALCS'!$N55*2</f>
        <v>0</v>
      </c>
      <c r="O54" s="6">
        <f ca="1">'MATCH CALCS'!$N55*2</f>
        <v>0</v>
      </c>
      <c r="P54" s="6">
        <f ca="1">'MATCH CALCS'!$P55*5</f>
        <v>5</v>
      </c>
      <c r="Q54" s="154">
        <f t="shared" ca="1" si="2"/>
        <v>0</v>
      </c>
      <c r="R54" s="6">
        <f ca="1">'MATCH CALCS'!$AD55*1</f>
        <v>0</v>
      </c>
      <c r="S54" s="6">
        <f>'MATCH CALCS'!AC55*3</f>
        <v>0</v>
      </c>
      <c r="T54" s="6">
        <f ca="1">'MATCH CALCS'!AD55*3</f>
        <v>0</v>
      </c>
      <c r="U54" s="155">
        <f t="shared" ca="1" si="3"/>
        <v>0</v>
      </c>
      <c r="V54" s="154">
        <f t="shared" ca="1" si="4"/>
        <v>18</v>
      </c>
    </row>
    <row r="55" spans="1:22">
      <c r="A55" s="154" t="str">
        <f ca="1">'MATCH CALCS'!A56</f>
        <v>Practice</v>
      </c>
      <c r="B55" s="154" t="str">
        <f ca="1">'MATCH CALCS'!$C56</f>
        <v>R3</v>
      </c>
      <c r="C55" s="154">
        <f t="shared" ca="1" si="0"/>
        <v>12</v>
      </c>
      <c r="D55" s="6">
        <f ca="1">'MATCH CALCS'!$G56*2</f>
        <v>2</v>
      </c>
      <c r="E55" s="6">
        <f ca="1">'MATCH CALCS'!$G56*2</f>
        <v>2</v>
      </c>
      <c r="F55" s="6">
        <f ca="1">'MATCH CALCS'!$G56*2</f>
        <v>2</v>
      </c>
      <c r="G55" s="6">
        <f ca="1">'MATCH CALCS'!$G56*2</f>
        <v>2</v>
      </c>
      <c r="H55" s="6">
        <f ca="1">'MATCH CALCS'!$G56*2</f>
        <v>2</v>
      </c>
      <c r="I55" s="6">
        <f ca="1">'MATCH CALCS'!$G56*2</f>
        <v>2</v>
      </c>
      <c r="J55" s="154">
        <f t="shared" ca="1" si="1"/>
        <v>0</v>
      </c>
      <c r="K55" s="6">
        <f ca="1">'MATCH CALCS'!L56*1</f>
        <v>0</v>
      </c>
      <c r="L55" s="6">
        <f ca="1">'MATCH CALCS'!$N56*2</f>
        <v>0</v>
      </c>
      <c r="M55" s="6">
        <f ca="1">'MATCH CALCS'!N56*1</f>
        <v>0</v>
      </c>
      <c r="N55" s="6">
        <f ca="1">'MATCH CALCS'!$N56*2</f>
        <v>0</v>
      </c>
      <c r="O55" s="6">
        <f ca="1">'MATCH CALCS'!$N56*2</f>
        <v>0</v>
      </c>
      <c r="P55" s="6">
        <f ca="1">'MATCH CALCS'!$P56*5</f>
        <v>0</v>
      </c>
      <c r="Q55" s="154">
        <f t="shared" ca="1" si="2"/>
        <v>0</v>
      </c>
      <c r="R55" s="6">
        <f ca="1">'MATCH CALCS'!$AD56*1</f>
        <v>0</v>
      </c>
      <c r="S55" s="6">
        <f>'MATCH CALCS'!AC56*3</f>
        <v>0</v>
      </c>
      <c r="T55" s="6">
        <f ca="1">'MATCH CALCS'!AD56*3</f>
        <v>0</v>
      </c>
      <c r="U55" s="155">
        <f t="shared" ca="1" si="3"/>
        <v>0</v>
      </c>
      <c r="V55" s="154">
        <f t="shared" ca="1" si="4"/>
        <v>12</v>
      </c>
    </row>
    <row r="56" spans="1:22">
      <c r="A56" s="154" t="str">
        <f ca="1">'MATCH CALCS'!A57</f>
        <v>Practice</v>
      </c>
      <c r="B56" s="154" t="str">
        <f ca="1">'MATCH CALCS'!$C57</f>
        <v>B2</v>
      </c>
      <c r="C56" s="154">
        <f t="shared" ca="1" si="0"/>
        <v>12</v>
      </c>
      <c r="D56" s="6">
        <f ca="1">'MATCH CALCS'!$G57*2</f>
        <v>2</v>
      </c>
      <c r="E56" s="6">
        <f ca="1">'MATCH CALCS'!$G57*2</f>
        <v>2</v>
      </c>
      <c r="F56" s="6">
        <f ca="1">'MATCH CALCS'!$G57*2</f>
        <v>2</v>
      </c>
      <c r="G56" s="6">
        <f ca="1">'MATCH CALCS'!$G57*2</f>
        <v>2</v>
      </c>
      <c r="H56" s="6">
        <f ca="1">'MATCH CALCS'!$G57*2</f>
        <v>2</v>
      </c>
      <c r="I56" s="6">
        <f ca="1">'MATCH CALCS'!$G57*2</f>
        <v>2</v>
      </c>
      <c r="J56" s="154">
        <f t="shared" ca="1" si="1"/>
        <v>12</v>
      </c>
      <c r="K56" s="6">
        <f ca="1">'MATCH CALCS'!L57*1</f>
        <v>0</v>
      </c>
      <c r="L56" s="6">
        <f ca="1">'MATCH CALCS'!$N57*2</f>
        <v>2</v>
      </c>
      <c r="M56" s="6">
        <f ca="1">'MATCH CALCS'!N57*1</f>
        <v>1</v>
      </c>
      <c r="N56" s="6">
        <f ca="1">'MATCH CALCS'!$N57*2</f>
        <v>2</v>
      </c>
      <c r="O56" s="6">
        <f ca="1">'MATCH CALCS'!$N57*2</f>
        <v>2</v>
      </c>
      <c r="P56" s="6">
        <f ca="1">'MATCH CALCS'!$P57*5</f>
        <v>5</v>
      </c>
      <c r="Q56" s="154">
        <f t="shared" ca="1" si="2"/>
        <v>4</v>
      </c>
      <c r="R56" s="6">
        <f ca="1">'MATCH CALCS'!$AD57*1</f>
        <v>1</v>
      </c>
      <c r="S56" s="6">
        <f>'MATCH CALCS'!AC57*3</f>
        <v>0</v>
      </c>
      <c r="T56" s="6">
        <f ca="1">'MATCH CALCS'!AD57*3</f>
        <v>3</v>
      </c>
      <c r="U56" s="155">
        <f t="shared" ca="1" si="3"/>
        <v>4</v>
      </c>
      <c r="V56" s="154">
        <f t="shared" ca="1" si="4"/>
        <v>28</v>
      </c>
    </row>
    <row r="57" spans="1:22">
      <c r="A57" s="154" t="str">
        <f ca="1">'MATCH CALCS'!A58</f>
        <v>Practice</v>
      </c>
      <c r="B57" s="154" t="str">
        <f ca="1">'MATCH CALCS'!$C58</f>
        <v>B1</v>
      </c>
      <c r="C57" s="154">
        <f t="shared" ca="1" si="0"/>
        <v>12</v>
      </c>
      <c r="D57" s="6">
        <f ca="1">'MATCH CALCS'!$G58*2</f>
        <v>2</v>
      </c>
      <c r="E57" s="6">
        <f ca="1">'MATCH CALCS'!$G58*2</f>
        <v>2</v>
      </c>
      <c r="F57" s="6">
        <f ca="1">'MATCH CALCS'!$G58*2</f>
        <v>2</v>
      </c>
      <c r="G57" s="6">
        <f ca="1">'MATCH CALCS'!$G58*2</f>
        <v>2</v>
      </c>
      <c r="H57" s="6">
        <f ca="1">'MATCH CALCS'!$G58*2</f>
        <v>2</v>
      </c>
      <c r="I57" s="6">
        <f ca="1">'MATCH CALCS'!$G58*2</f>
        <v>2</v>
      </c>
      <c r="J57" s="154">
        <f t="shared" ca="1" si="1"/>
        <v>0</v>
      </c>
      <c r="K57" s="6">
        <f ca="1">'MATCH CALCS'!L58*1</f>
        <v>0</v>
      </c>
      <c r="L57" s="6">
        <f ca="1">'MATCH CALCS'!$N58*2</f>
        <v>0</v>
      </c>
      <c r="M57" s="6">
        <f ca="1">'MATCH CALCS'!N58*1</f>
        <v>0</v>
      </c>
      <c r="N57" s="6">
        <f ca="1">'MATCH CALCS'!$N58*2</f>
        <v>0</v>
      </c>
      <c r="O57" s="6">
        <f ca="1">'MATCH CALCS'!$N58*2</f>
        <v>0</v>
      </c>
      <c r="P57" s="6">
        <f ca="1">'MATCH CALCS'!$P58*5</f>
        <v>0</v>
      </c>
      <c r="Q57" s="154">
        <f t="shared" ca="1" si="2"/>
        <v>0</v>
      </c>
      <c r="R57" s="6">
        <f ca="1">'MATCH CALCS'!$AD58*1</f>
        <v>0</v>
      </c>
      <c r="S57" s="6">
        <f>'MATCH CALCS'!AC58*3</f>
        <v>0</v>
      </c>
      <c r="T57" s="6">
        <f ca="1">'MATCH CALCS'!AD58*3</f>
        <v>0</v>
      </c>
      <c r="U57" s="155">
        <f t="shared" ca="1" si="3"/>
        <v>0</v>
      </c>
      <c r="V57" s="154">
        <f t="shared" ca="1" si="4"/>
        <v>12</v>
      </c>
    </row>
    <row r="58" spans="1:22">
      <c r="A58" s="154" t="str">
        <f ca="1">'MATCH CALCS'!A59</f>
        <v>Practice</v>
      </c>
      <c r="B58" s="154" t="str">
        <f ca="1">'MATCH CALCS'!$C59</f>
        <v>B2</v>
      </c>
      <c r="C58" s="154">
        <f t="shared" ca="1" si="0"/>
        <v>12</v>
      </c>
      <c r="D58" s="6">
        <f ca="1">'MATCH CALCS'!$G59*2</f>
        <v>2</v>
      </c>
      <c r="E58" s="6">
        <f ca="1">'MATCH CALCS'!$G59*2</f>
        <v>2</v>
      </c>
      <c r="F58" s="6">
        <f ca="1">'MATCH CALCS'!$G59*2</f>
        <v>2</v>
      </c>
      <c r="G58" s="6">
        <f ca="1">'MATCH CALCS'!$G59*2</f>
        <v>2</v>
      </c>
      <c r="H58" s="6">
        <f ca="1">'MATCH CALCS'!$G59*2</f>
        <v>2</v>
      </c>
      <c r="I58" s="6">
        <f ca="1">'MATCH CALCS'!$G59*2</f>
        <v>2</v>
      </c>
      <c r="J58" s="154">
        <f t="shared" ca="1" si="1"/>
        <v>10</v>
      </c>
      <c r="K58" s="6">
        <f ca="1">'MATCH CALCS'!L59*1</f>
        <v>0</v>
      </c>
      <c r="L58" s="6">
        <f ca="1">'MATCH CALCS'!$N59*2</f>
        <v>0</v>
      </c>
      <c r="M58" s="6">
        <f ca="1">'MATCH CALCS'!N59*1</f>
        <v>0</v>
      </c>
      <c r="N58" s="6">
        <f ca="1">'MATCH CALCS'!$N59*2</f>
        <v>0</v>
      </c>
      <c r="O58" s="6">
        <f ca="1">'MATCH CALCS'!$N59*2</f>
        <v>0</v>
      </c>
      <c r="P58" s="6">
        <f ca="1">'MATCH CALCS'!$P59*5</f>
        <v>10</v>
      </c>
      <c r="Q58" s="154">
        <f t="shared" ca="1" si="2"/>
        <v>0</v>
      </c>
      <c r="R58" s="6">
        <f ca="1">'MATCH CALCS'!$AD59*1</f>
        <v>0</v>
      </c>
      <c r="S58" s="6">
        <f>'MATCH CALCS'!AC59*3</f>
        <v>0</v>
      </c>
      <c r="T58" s="6">
        <f ca="1">'MATCH CALCS'!AD59*3</f>
        <v>0</v>
      </c>
      <c r="U58" s="155">
        <f t="shared" ca="1" si="3"/>
        <v>0</v>
      </c>
      <c r="V58" s="154">
        <f t="shared" ca="1" si="4"/>
        <v>22</v>
      </c>
    </row>
    <row r="59" spans="1:22">
      <c r="A59" s="154" t="str">
        <f ca="1">'MATCH CALCS'!A60</f>
        <v>Practice</v>
      </c>
      <c r="B59" s="154" t="str">
        <f ca="1">'MATCH CALCS'!$C60</f>
        <v>B1</v>
      </c>
      <c r="C59" s="154">
        <f t="shared" ca="1" si="0"/>
        <v>0</v>
      </c>
      <c r="D59" s="6">
        <f ca="1">'MATCH CALCS'!$G60*2</f>
        <v>0</v>
      </c>
      <c r="E59" s="6">
        <f ca="1">'MATCH CALCS'!$G60*2</f>
        <v>0</v>
      </c>
      <c r="F59" s="6">
        <f ca="1">'MATCH CALCS'!$G60*2</f>
        <v>0</v>
      </c>
      <c r="G59" s="6">
        <f ca="1">'MATCH CALCS'!$G60*2</f>
        <v>0</v>
      </c>
      <c r="H59" s="6">
        <f ca="1">'MATCH CALCS'!$G60*2</f>
        <v>0</v>
      </c>
      <c r="I59" s="6">
        <f ca="1">'MATCH CALCS'!$G60*2</f>
        <v>0</v>
      </c>
      <c r="J59" s="154">
        <f t="shared" ca="1" si="1"/>
        <v>0</v>
      </c>
      <c r="K59" s="6">
        <f ca="1">'MATCH CALCS'!L60*1</f>
        <v>0</v>
      </c>
      <c r="L59" s="6">
        <f ca="1">'MATCH CALCS'!$N60*2</f>
        <v>0</v>
      </c>
      <c r="M59" s="6">
        <f ca="1">'MATCH CALCS'!N60*1</f>
        <v>0</v>
      </c>
      <c r="N59" s="6">
        <f ca="1">'MATCH CALCS'!$N60*2</f>
        <v>0</v>
      </c>
      <c r="O59" s="6">
        <f ca="1">'MATCH CALCS'!$N60*2</f>
        <v>0</v>
      </c>
      <c r="P59" s="6">
        <f ca="1">'MATCH CALCS'!$P60*5</f>
        <v>0</v>
      </c>
      <c r="Q59" s="154">
        <f t="shared" ca="1" si="2"/>
        <v>0</v>
      </c>
      <c r="R59" s="6">
        <f ca="1">'MATCH CALCS'!$AD60*1</f>
        <v>0</v>
      </c>
      <c r="S59" s="6">
        <f>'MATCH CALCS'!AC60*3</f>
        <v>0</v>
      </c>
      <c r="T59" s="6">
        <f ca="1">'MATCH CALCS'!AD60*3</f>
        <v>0</v>
      </c>
      <c r="U59" s="155">
        <f t="shared" ca="1" si="3"/>
        <v>0</v>
      </c>
      <c r="V59" s="154">
        <f t="shared" ca="1" si="4"/>
        <v>0</v>
      </c>
    </row>
    <row r="60" spans="1:22">
      <c r="A60" s="154" t="str">
        <f ca="1">'MATCH CALCS'!A61</f>
        <v>Practice</v>
      </c>
      <c r="B60" s="154" t="str">
        <f ca="1">'MATCH CALCS'!$C61</f>
        <v>B3</v>
      </c>
      <c r="C60" s="154">
        <f t="shared" ca="1" si="0"/>
        <v>12</v>
      </c>
      <c r="D60" s="6">
        <f ca="1">'MATCH CALCS'!$G61*2</f>
        <v>2</v>
      </c>
      <c r="E60" s="6">
        <f ca="1">'MATCH CALCS'!$G61*2</f>
        <v>2</v>
      </c>
      <c r="F60" s="6">
        <f ca="1">'MATCH CALCS'!$G61*2</f>
        <v>2</v>
      </c>
      <c r="G60" s="6">
        <f ca="1">'MATCH CALCS'!$G61*2</f>
        <v>2</v>
      </c>
      <c r="H60" s="6">
        <f ca="1">'MATCH CALCS'!$G61*2</f>
        <v>2</v>
      </c>
      <c r="I60" s="6">
        <f ca="1">'MATCH CALCS'!$G61*2</f>
        <v>2</v>
      </c>
      <c r="J60" s="154">
        <f t="shared" ca="1" si="1"/>
        <v>1</v>
      </c>
      <c r="K60" s="6">
        <f ca="1">'MATCH CALCS'!L61*1</f>
        <v>1</v>
      </c>
      <c r="L60" s="6">
        <f ca="1">'MATCH CALCS'!$N61*2</f>
        <v>0</v>
      </c>
      <c r="M60" s="6">
        <f ca="1">'MATCH CALCS'!N61*1</f>
        <v>0</v>
      </c>
      <c r="N60" s="6">
        <f ca="1">'MATCH CALCS'!$N61*2</f>
        <v>0</v>
      </c>
      <c r="O60" s="6">
        <f ca="1">'MATCH CALCS'!$N61*2</f>
        <v>0</v>
      </c>
      <c r="P60" s="6">
        <f ca="1">'MATCH CALCS'!$P61*5</f>
        <v>0</v>
      </c>
      <c r="Q60" s="154">
        <f t="shared" ca="1" si="2"/>
        <v>0</v>
      </c>
      <c r="R60" s="6">
        <f ca="1">'MATCH CALCS'!$AD61*1</f>
        <v>0</v>
      </c>
      <c r="S60" s="6">
        <f>'MATCH CALCS'!AC61*3</f>
        <v>0</v>
      </c>
      <c r="T60" s="6">
        <f ca="1">'MATCH CALCS'!AD61*3</f>
        <v>0</v>
      </c>
      <c r="U60" s="155">
        <f t="shared" ca="1" si="3"/>
        <v>0</v>
      </c>
      <c r="V60" s="154">
        <f t="shared" ca="1" si="4"/>
        <v>13</v>
      </c>
    </row>
    <row r="61" spans="1:22">
      <c r="A61" s="154" t="str">
        <f ca="1">'MATCH CALCS'!A62</f>
        <v>Practice</v>
      </c>
      <c r="B61" s="154" t="str">
        <f ca="1">'MATCH CALCS'!$C62</f>
        <v>R2</v>
      </c>
      <c r="C61" s="154">
        <f t="shared" ca="1" si="0"/>
        <v>12</v>
      </c>
      <c r="D61" s="6">
        <f ca="1">'MATCH CALCS'!$G62*2</f>
        <v>2</v>
      </c>
      <c r="E61" s="6">
        <f ca="1">'MATCH CALCS'!$G62*2</f>
        <v>2</v>
      </c>
      <c r="F61" s="6">
        <f ca="1">'MATCH CALCS'!$G62*2</f>
        <v>2</v>
      </c>
      <c r="G61" s="6">
        <f ca="1">'MATCH CALCS'!$G62*2</f>
        <v>2</v>
      </c>
      <c r="H61" s="6">
        <f ca="1">'MATCH CALCS'!$G62*2</f>
        <v>2</v>
      </c>
      <c r="I61" s="6">
        <f ca="1">'MATCH CALCS'!$G62*2</f>
        <v>2</v>
      </c>
      <c r="J61" s="154">
        <f t="shared" ca="1" si="1"/>
        <v>1</v>
      </c>
      <c r="K61" s="6">
        <f ca="1">'MATCH CALCS'!L62*1</f>
        <v>1</v>
      </c>
      <c r="L61" s="6">
        <f ca="1">'MATCH CALCS'!$N62*2</f>
        <v>0</v>
      </c>
      <c r="M61" s="6">
        <f ca="1">'MATCH CALCS'!N62*1</f>
        <v>0</v>
      </c>
      <c r="N61" s="6">
        <f ca="1">'MATCH CALCS'!$N62*2</f>
        <v>0</v>
      </c>
      <c r="O61" s="6">
        <f ca="1">'MATCH CALCS'!$N62*2</f>
        <v>0</v>
      </c>
      <c r="P61" s="6">
        <f ca="1">'MATCH CALCS'!$P62*5</f>
        <v>0</v>
      </c>
      <c r="Q61" s="154">
        <f t="shared" ca="1" si="2"/>
        <v>4</v>
      </c>
      <c r="R61" s="6">
        <f ca="1">'MATCH CALCS'!$AD62*1</f>
        <v>1</v>
      </c>
      <c r="S61" s="6">
        <f>'MATCH CALCS'!AC62*3</f>
        <v>0</v>
      </c>
      <c r="T61" s="6">
        <f ca="1">'MATCH CALCS'!AD62*3</f>
        <v>3</v>
      </c>
      <c r="U61" s="155">
        <f t="shared" ca="1" si="3"/>
        <v>4</v>
      </c>
      <c r="V61" s="154">
        <f t="shared" ca="1" si="4"/>
        <v>17</v>
      </c>
    </row>
    <row r="62" spans="1:22">
      <c r="A62" s="154" t="str">
        <f ca="1">'MATCH CALCS'!A63</f>
        <v>Practice</v>
      </c>
      <c r="B62" s="154" t="str">
        <f ca="1">'MATCH CALCS'!$C63</f>
        <v>R3</v>
      </c>
      <c r="C62" s="154">
        <f t="shared" ca="1" si="0"/>
        <v>12</v>
      </c>
      <c r="D62" s="6">
        <f ca="1">'MATCH CALCS'!$G63*2</f>
        <v>2</v>
      </c>
      <c r="E62" s="6">
        <f ca="1">'MATCH CALCS'!$G63*2</f>
        <v>2</v>
      </c>
      <c r="F62" s="6">
        <f ca="1">'MATCH CALCS'!$G63*2</f>
        <v>2</v>
      </c>
      <c r="G62" s="6">
        <f ca="1">'MATCH CALCS'!$G63*2</f>
        <v>2</v>
      </c>
      <c r="H62" s="6">
        <f ca="1">'MATCH CALCS'!$G63*2</f>
        <v>2</v>
      </c>
      <c r="I62" s="6">
        <f ca="1">'MATCH CALCS'!$G63*2</f>
        <v>2</v>
      </c>
      <c r="J62" s="154">
        <f t="shared" ca="1" si="1"/>
        <v>0</v>
      </c>
      <c r="K62" s="6">
        <f ca="1">'MATCH CALCS'!L63*1</f>
        <v>0</v>
      </c>
      <c r="L62" s="6">
        <f ca="1">'MATCH CALCS'!$N63*2</f>
        <v>0</v>
      </c>
      <c r="M62" s="6">
        <f ca="1">'MATCH CALCS'!N63*1</f>
        <v>0</v>
      </c>
      <c r="N62" s="6">
        <f ca="1">'MATCH CALCS'!$N63*2</f>
        <v>0</v>
      </c>
      <c r="O62" s="6">
        <f ca="1">'MATCH CALCS'!$N63*2</f>
        <v>0</v>
      </c>
      <c r="P62" s="6">
        <f ca="1">'MATCH CALCS'!$P63*5</f>
        <v>0</v>
      </c>
      <c r="Q62" s="154">
        <f t="shared" ca="1" si="2"/>
        <v>0</v>
      </c>
      <c r="R62" s="6">
        <f ca="1">'MATCH CALCS'!$AD63*1</f>
        <v>0</v>
      </c>
      <c r="S62" s="6">
        <f>'MATCH CALCS'!AC63*3</f>
        <v>0</v>
      </c>
      <c r="T62" s="6">
        <f ca="1">'MATCH CALCS'!AD63*3</f>
        <v>0</v>
      </c>
      <c r="U62" s="155">
        <f t="shared" ca="1" si="3"/>
        <v>0</v>
      </c>
      <c r="V62" s="154">
        <f t="shared" ca="1" si="4"/>
        <v>12</v>
      </c>
    </row>
    <row r="63" spans="1:22">
      <c r="A63" s="154" t="str">
        <f ca="1">'MATCH CALCS'!A64</f>
        <v>Practice</v>
      </c>
      <c r="B63" s="154" t="str">
        <f ca="1">'MATCH CALCS'!$C64</f>
        <v>B1</v>
      </c>
      <c r="C63" s="154">
        <f t="shared" ca="1" si="0"/>
        <v>12</v>
      </c>
      <c r="D63" s="6">
        <f ca="1">'MATCH CALCS'!$G64*2</f>
        <v>2</v>
      </c>
      <c r="E63" s="6">
        <f ca="1">'MATCH CALCS'!$G64*2</f>
        <v>2</v>
      </c>
      <c r="F63" s="6">
        <f ca="1">'MATCH CALCS'!$G64*2</f>
        <v>2</v>
      </c>
      <c r="G63" s="6">
        <f ca="1">'MATCH CALCS'!$G64*2</f>
        <v>2</v>
      </c>
      <c r="H63" s="6">
        <f ca="1">'MATCH CALCS'!$G64*2</f>
        <v>2</v>
      </c>
      <c r="I63" s="6">
        <f ca="1">'MATCH CALCS'!$G64*2</f>
        <v>2</v>
      </c>
      <c r="J63" s="154">
        <f t="shared" ca="1" si="1"/>
        <v>0</v>
      </c>
      <c r="K63" s="6">
        <f ca="1">'MATCH CALCS'!L64*1</f>
        <v>0</v>
      </c>
      <c r="L63" s="6">
        <f ca="1">'MATCH CALCS'!$N64*2</f>
        <v>0</v>
      </c>
      <c r="M63" s="6">
        <f ca="1">'MATCH CALCS'!N64*1</f>
        <v>0</v>
      </c>
      <c r="N63" s="6">
        <f ca="1">'MATCH CALCS'!$N64*2</f>
        <v>0</v>
      </c>
      <c r="O63" s="6">
        <f ca="1">'MATCH CALCS'!$N64*2</f>
        <v>0</v>
      </c>
      <c r="P63" s="6">
        <f ca="1">'MATCH CALCS'!$P64*5</f>
        <v>0</v>
      </c>
      <c r="Q63" s="154">
        <f t="shared" ca="1" si="2"/>
        <v>0</v>
      </c>
      <c r="R63" s="6">
        <f ca="1">'MATCH CALCS'!$AD64*1</f>
        <v>0</v>
      </c>
      <c r="S63" s="6">
        <f>'MATCH CALCS'!AC64*3</f>
        <v>0</v>
      </c>
      <c r="T63" s="6">
        <f ca="1">'MATCH CALCS'!AD64*3</f>
        <v>0</v>
      </c>
      <c r="U63" s="155">
        <f t="shared" ca="1" si="3"/>
        <v>0</v>
      </c>
      <c r="V63" s="154">
        <f t="shared" ca="1" si="4"/>
        <v>12</v>
      </c>
    </row>
    <row r="64" spans="1:22">
      <c r="A64" s="154" t="str">
        <f ca="1">'MATCH CALCS'!A65</f>
        <v>Practice</v>
      </c>
      <c r="B64" s="154" t="str">
        <f ca="1">'MATCH CALCS'!$C65</f>
        <v>B3</v>
      </c>
      <c r="C64" s="154">
        <f t="shared" ca="1" si="0"/>
        <v>12</v>
      </c>
      <c r="D64" s="6">
        <f ca="1">'MATCH CALCS'!$G65*2</f>
        <v>2</v>
      </c>
      <c r="E64" s="6">
        <f ca="1">'MATCH CALCS'!$G65*2</f>
        <v>2</v>
      </c>
      <c r="F64" s="6">
        <f ca="1">'MATCH CALCS'!$G65*2</f>
        <v>2</v>
      </c>
      <c r="G64" s="6">
        <f ca="1">'MATCH CALCS'!$G65*2</f>
        <v>2</v>
      </c>
      <c r="H64" s="6">
        <f ca="1">'MATCH CALCS'!$G65*2</f>
        <v>2</v>
      </c>
      <c r="I64" s="6">
        <f ca="1">'MATCH CALCS'!$G65*2</f>
        <v>2</v>
      </c>
      <c r="J64" s="154">
        <f t="shared" ca="1" si="1"/>
        <v>1</v>
      </c>
      <c r="K64" s="6">
        <f ca="1">'MATCH CALCS'!L65*1</f>
        <v>1</v>
      </c>
      <c r="L64" s="6">
        <f ca="1">'MATCH CALCS'!$N65*2</f>
        <v>0</v>
      </c>
      <c r="M64" s="6">
        <f ca="1">'MATCH CALCS'!N65*1</f>
        <v>0</v>
      </c>
      <c r="N64" s="6">
        <f ca="1">'MATCH CALCS'!$N65*2</f>
        <v>0</v>
      </c>
      <c r="O64" s="6">
        <f ca="1">'MATCH CALCS'!$N65*2</f>
        <v>0</v>
      </c>
      <c r="P64" s="6">
        <f ca="1">'MATCH CALCS'!$P65*5</f>
        <v>0</v>
      </c>
      <c r="Q64" s="154">
        <f t="shared" ca="1" si="2"/>
        <v>0</v>
      </c>
      <c r="R64" s="6">
        <f ca="1">'MATCH CALCS'!$AD65*1</f>
        <v>0</v>
      </c>
      <c r="S64" s="6">
        <f>'MATCH CALCS'!AC65*3</f>
        <v>0</v>
      </c>
      <c r="T64" s="6">
        <f ca="1">'MATCH CALCS'!AD65*3</f>
        <v>0</v>
      </c>
      <c r="U64" s="155">
        <f t="shared" ca="1" si="3"/>
        <v>0</v>
      </c>
      <c r="V64" s="154">
        <f t="shared" ca="1" si="4"/>
        <v>13</v>
      </c>
    </row>
    <row r="65" spans="1:22">
      <c r="A65" s="154" t="str">
        <f ca="1">'MATCH CALCS'!A66</f>
        <v>Practice</v>
      </c>
      <c r="B65" s="154" t="str">
        <f ca="1">'MATCH CALCS'!$C66</f>
        <v>R1</v>
      </c>
      <c r="C65" s="154">
        <f t="shared" ca="1" si="0"/>
        <v>12</v>
      </c>
      <c r="D65" s="6">
        <f ca="1">'MATCH CALCS'!$G66*2</f>
        <v>2</v>
      </c>
      <c r="E65" s="6">
        <f ca="1">'MATCH CALCS'!$G66*2</f>
        <v>2</v>
      </c>
      <c r="F65" s="6">
        <f ca="1">'MATCH CALCS'!$G66*2</f>
        <v>2</v>
      </c>
      <c r="G65" s="6">
        <f ca="1">'MATCH CALCS'!$G66*2</f>
        <v>2</v>
      </c>
      <c r="H65" s="6">
        <f ca="1">'MATCH CALCS'!$G66*2</f>
        <v>2</v>
      </c>
      <c r="I65" s="6">
        <f ca="1">'MATCH CALCS'!$G66*2</f>
        <v>2</v>
      </c>
      <c r="J65" s="154">
        <f t="shared" ca="1" si="1"/>
        <v>3</v>
      </c>
      <c r="K65" s="6">
        <f ca="1">'MATCH CALCS'!L66*1</f>
        <v>3</v>
      </c>
      <c r="L65" s="6">
        <f ca="1">'MATCH CALCS'!$N66*2</f>
        <v>0</v>
      </c>
      <c r="M65" s="6">
        <f ca="1">'MATCH CALCS'!N66*1</f>
        <v>0</v>
      </c>
      <c r="N65" s="6">
        <f ca="1">'MATCH CALCS'!$N66*2</f>
        <v>0</v>
      </c>
      <c r="O65" s="6">
        <f ca="1">'MATCH CALCS'!$N66*2</f>
        <v>0</v>
      </c>
      <c r="P65" s="6">
        <f ca="1">'MATCH CALCS'!$P66*5</f>
        <v>0</v>
      </c>
      <c r="Q65" s="154">
        <f t="shared" ca="1" si="2"/>
        <v>0</v>
      </c>
      <c r="R65" s="6">
        <f ca="1">'MATCH CALCS'!$AD66*1</f>
        <v>0</v>
      </c>
      <c r="S65" s="6">
        <f>'MATCH CALCS'!AC66*3</f>
        <v>0</v>
      </c>
      <c r="T65" s="6">
        <f ca="1">'MATCH CALCS'!AD66*3</f>
        <v>0</v>
      </c>
      <c r="U65" s="155">
        <f t="shared" ca="1" si="3"/>
        <v>0</v>
      </c>
      <c r="V65" s="154">
        <f t="shared" ca="1" si="4"/>
        <v>15</v>
      </c>
    </row>
    <row r="66" spans="1:22">
      <c r="A66" s="154" t="str">
        <f ca="1">'MATCH CALCS'!A67</f>
        <v>Practice</v>
      </c>
      <c r="B66" s="154" t="str">
        <f ca="1">'MATCH CALCS'!$C67</f>
        <v>R2</v>
      </c>
      <c r="C66" s="154">
        <f t="shared" ca="1" si="0"/>
        <v>12</v>
      </c>
      <c r="D66" s="6">
        <f ca="1">'MATCH CALCS'!$G67*2</f>
        <v>2</v>
      </c>
      <c r="E66" s="6">
        <f ca="1">'MATCH CALCS'!$G67*2</f>
        <v>2</v>
      </c>
      <c r="F66" s="6">
        <f ca="1">'MATCH CALCS'!$G67*2</f>
        <v>2</v>
      </c>
      <c r="G66" s="6">
        <f ca="1">'MATCH CALCS'!$G67*2</f>
        <v>2</v>
      </c>
      <c r="H66" s="6">
        <f ca="1">'MATCH CALCS'!$G67*2</f>
        <v>2</v>
      </c>
      <c r="I66" s="6">
        <f ca="1">'MATCH CALCS'!$G67*2</f>
        <v>2</v>
      </c>
      <c r="J66" s="154">
        <f t="shared" ca="1" si="1"/>
        <v>2</v>
      </c>
      <c r="K66" s="6">
        <f ca="1">'MATCH CALCS'!L67*1</f>
        <v>2</v>
      </c>
      <c r="L66" s="6">
        <f ca="1">'MATCH CALCS'!$N67*2</f>
        <v>0</v>
      </c>
      <c r="M66" s="6">
        <f ca="1">'MATCH CALCS'!N67*1</f>
        <v>0</v>
      </c>
      <c r="N66" s="6">
        <f ca="1">'MATCH CALCS'!$N67*2</f>
        <v>0</v>
      </c>
      <c r="O66" s="6">
        <f ca="1">'MATCH CALCS'!$N67*2</f>
        <v>0</v>
      </c>
      <c r="P66" s="6">
        <f ca="1">'MATCH CALCS'!$P67*5</f>
        <v>0</v>
      </c>
      <c r="Q66" s="154">
        <f t="shared" ca="1" si="2"/>
        <v>0</v>
      </c>
      <c r="R66" s="6">
        <f ca="1">'MATCH CALCS'!$AD67*1</f>
        <v>0</v>
      </c>
      <c r="S66" s="6">
        <f>'MATCH CALCS'!AC67*3</f>
        <v>0</v>
      </c>
      <c r="T66" s="6">
        <f ca="1">'MATCH CALCS'!AD67*3</f>
        <v>0</v>
      </c>
      <c r="U66" s="155">
        <f t="shared" ca="1" si="3"/>
        <v>0</v>
      </c>
      <c r="V66" s="154">
        <f t="shared" ca="1" si="4"/>
        <v>14</v>
      </c>
    </row>
    <row r="67" spans="1:22">
      <c r="A67" s="154" t="str">
        <f ca="1">'MATCH CALCS'!A68</f>
        <v>Practice</v>
      </c>
      <c r="B67" s="154" t="str">
        <f ca="1">'MATCH CALCS'!$C68</f>
        <v>R3</v>
      </c>
      <c r="C67" s="154">
        <f t="shared" ca="1" si="0"/>
        <v>12</v>
      </c>
      <c r="D67" s="6">
        <f ca="1">'MATCH CALCS'!$G68*2</f>
        <v>2</v>
      </c>
      <c r="E67" s="6">
        <f ca="1">'MATCH CALCS'!$G68*2</f>
        <v>2</v>
      </c>
      <c r="F67" s="6">
        <f ca="1">'MATCH CALCS'!$G68*2</f>
        <v>2</v>
      </c>
      <c r="G67" s="6">
        <f ca="1">'MATCH CALCS'!$G68*2</f>
        <v>2</v>
      </c>
      <c r="H67" s="6">
        <f ca="1">'MATCH CALCS'!$G68*2</f>
        <v>2</v>
      </c>
      <c r="I67" s="6">
        <f ca="1">'MATCH CALCS'!$G68*2</f>
        <v>2</v>
      </c>
      <c r="J67" s="154">
        <f t="shared" ca="1" si="1"/>
        <v>1</v>
      </c>
      <c r="K67" s="6">
        <f ca="1">'MATCH CALCS'!L68*1</f>
        <v>1</v>
      </c>
      <c r="L67" s="6">
        <f ca="1">'MATCH CALCS'!$N68*2</f>
        <v>0</v>
      </c>
      <c r="M67" s="6">
        <f ca="1">'MATCH CALCS'!N68*1</f>
        <v>0</v>
      </c>
      <c r="N67" s="6">
        <f ca="1">'MATCH CALCS'!$N68*2</f>
        <v>0</v>
      </c>
      <c r="O67" s="6">
        <f ca="1">'MATCH CALCS'!$N68*2</f>
        <v>0</v>
      </c>
      <c r="P67" s="6">
        <f ca="1">'MATCH CALCS'!$P68*5</f>
        <v>0</v>
      </c>
      <c r="Q67" s="154">
        <f t="shared" ca="1" si="2"/>
        <v>0</v>
      </c>
      <c r="R67" s="6">
        <f ca="1">'MATCH CALCS'!$AD68*1</f>
        <v>0</v>
      </c>
      <c r="S67" s="6">
        <f>'MATCH CALCS'!AC68*3</f>
        <v>0</v>
      </c>
      <c r="T67" s="6">
        <f ca="1">'MATCH CALCS'!AD68*3</f>
        <v>0</v>
      </c>
      <c r="U67" s="155">
        <f t="shared" ca="1" si="3"/>
        <v>0</v>
      </c>
      <c r="V67" s="154">
        <f t="shared" ca="1" si="4"/>
        <v>13</v>
      </c>
    </row>
    <row r="68" spans="1:22">
      <c r="A68" s="154" t="str">
        <f ca="1">'MATCH CALCS'!A69</f>
        <v>Practice</v>
      </c>
      <c r="B68" s="154" t="str">
        <f ca="1">'MATCH CALCS'!$C69</f>
        <v>B2</v>
      </c>
      <c r="C68" s="154">
        <f t="shared" ca="1" si="0"/>
        <v>12</v>
      </c>
      <c r="D68" s="6">
        <f ca="1">'MATCH CALCS'!$G69*2</f>
        <v>2</v>
      </c>
      <c r="E68" s="6">
        <f ca="1">'MATCH CALCS'!$G69*2</f>
        <v>2</v>
      </c>
      <c r="F68" s="6">
        <f ca="1">'MATCH CALCS'!$G69*2</f>
        <v>2</v>
      </c>
      <c r="G68" s="6">
        <f ca="1">'MATCH CALCS'!$G69*2</f>
        <v>2</v>
      </c>
      <c r="H68" s="6">
        <f ca="1">'MATCH CALCS'!$G69*2</f>
        <v>2</v>
      </c>
      <c r="I68" s="6">
        <f ca="1">'MATCH CALCS'!$G69*2</f>
        <v>2</v>
      </c>
      <c r="J68" s="154">
        <f t="shared" ca="1" si="1"/>
        <v>0</v>
      </c>
      <c r="K68" s="6">
        <f ca="1">'MATCH CALCS'!L69*1</f>
        <v>0</v>
      </c>
      <c r="L68" s="6">
        <f ca="1">'MATCH CALCS'!$N69*2</f>
        <v>0</v>
      </c>
      <c r="M68" s="6">
        <f ca="1">'MATCH CALCS'!N69*1</f>
        <v>0</v>
      </c>
      <c r="N68" s="6">
        <f ca="1">'MATCH CALCS'!$N69*2</f>
        <v>0</v>
      </c>
      <c r="O68" s="6">
        <f ca="1">'MATCH CALCS'!$N69*2</f>
        <v>0</v>
      </c>
      <c r="P68" s="6">
        <f ca="1">'MATCH CALCS'!$P69*5</f>
        <v>0</v>
      </c>
      <c r="Q68" s="154">
        <f t="shared" ca="1" si="2"/>
        <v>0</v>
      </c>
      <c r="R68" s="6">
        <f ca="1">'MATCH CALCS'!$AD69*1</f>
        <v>0</v>
      </c>
      <c r="S68" s="6">
        <f>'MATCH CALCS'!AC69*3</f>
        <v>0</v>
      </c>
      <c r="T68" s="6">
        <f ca="1">'MATCH CALCS'!AD69*3</f>
        <v>0</v>
      </c>
      <c r="U68" s="155">
        <f t="shared" ca="1" si="3"/>
        <v>0</v>
      </c>
      <c r="V68" s="154">
        <f t="shared" ca="1" si="4"/>
        <v>12</v>
      </c>
    </row>
    <row r="69" spans="1:22">
      <c r="A69" s="154" t="str">
        <f ca="1">'MATCH CALCS'!A70</f>
        <v>Practice</v>
      </c>
      <c r="B69" s="154" t="str">
        <f ca="1">'MATCH CALCS'!$C70</f>
        <v>B1</v>
      </c>
      <c r="C69" s="154">
        <f t="shared" ca="1" si="0"/>
        <v>12</v>
      </c>
      <c r="D69" s="6">
        <f ca="1">'MATCH CALCS'!$G70*2</f>
        <v>2</v>
      </c>
      <c r="E69" s="6">
        <f ca="1">'MATCH CALCS'!$G70*2</f>
        <v>2</v>
      </c>
      <c r="F69" s="6">
        <f ca="1">'MATCH CALCS'!$G70*2</f>
        <v>2</v>
      </c>
      <c r="G69" s="6">
        <f ca="1">'MATCH CALCS'!$G70*2</f>
        <v>2</v>
      </c>
      <c r="H69" s="6">
        <f ca="1">'MATCH CALCS'!$G70*2</f>
        <v>2</v>
      </c>
      <c r="I69" s="6">
        <f ca="1">'MATCH CALCS'!$G70*2</f>
        <v>2</v>
      </c>
      <c r="J69" s="154">
        <f t="shared" ca="1" si="1"/>
        <v>5</v>
      </c>
      <c r="K69" s="6">
        <f ca="1">'MATCH CALCS'!L70*1</f>
        <v>0</v>
      </c>
      <c r="L69" s="6">
        <f ca="1">'MATCH CALCS'!$N70*2</f>
        <v>0</v>
      </c>
      <c r="M69" s="6">
        <f ca="1">'MATCH CALCS'!N70*1</f>
        <v>0</v>
      </c>
      <c r="N69" s="6">
        <f ca="1">'MATCH CALCS'!$N70*2</f>
        <v>0</v>
      </c>
      <c r="O69" s="6">
        <f ca="1">'MATCH CALCS'!$N70*2</f>
        <v>0</v>
      </c>
      <c r="P69" s="6">
        <f ca="1">'MATCH CALCS'!$P70*5</f>
        <v>5</v>
      </c>
      <c r="Q69" s="154">
        <f t="shared" ca="1" si="2"/>
        <v>0</v>
      </c>
      <c r="R69" s="6">
        <f ca="1">'MATCH CALCS'!$AD70*1</f>
        <v>0</v>
      </c>
      <c r="S69" s="6">
        <f>'MATCH CALCS'!AC70*3</f>
        <v>0</v>
      </c>
      <c r="T69" s="6">
        <f ca="1">'MATCH CALCS'!AD70*3</f>
        <v>0</v>
      </c>
      <c r="U69" s="155">
        <f t="shared" ca="1" si="3"/>
        <v>0</v>
      </c>
      <c r="V69" s="154">
        <f t="shared" ca="1" si="4"/>
        <v>17</v>
      </c>
    </row>
    <row r="70" spans="1:22">
      <c r="A70" s="154" t="str">
        <f ca="1">'MATCH CALCS'!A71</f>
        <v>Practice</v>
      </c>
      <c r="B70" s="154" t="str">
        <f ca="1">'MATCH CALCS'!$C71</f>
        <v>B3</v>
      </c>
      <c r="C70" s="154">
        <f t="shared" ca="1" si="0"/>
        <v>12</v>
      </c>
      <c r="D70" s="6">
        <f ca="1">'MATCH CALCS'!$G71*2</f>
        <v>2</v>
      </c>
      <c r="E70" s="6">
        <f ca="1">'MATCH CALCS'!$G71*2</f>
        <v>2</v>
      </c>
      <c r="F70" s="6">
        <f ca="1">'MATCH CALCS'!$G71*2</f>
        <v>2</v>
      </c>
      <c r="G70" s="6">
        <f ca="1">'MATCH CALCS'!$G71*2</f>
        <v>2</v>
      </c>
      <c r="H70" s="6">
        <f ca="1">'MATCH CALCS'!$G71*2</f>
        <v>2</v>
      </c>
      <c r="I70" s="6">
        <f ca="1">'MATCH CALCS'!$G71*2</f>
        <v>2</v>
      </c>
      <c r="J70" s="154">
        <f t="shared" ca="1" si="1"/>
        <v>0</v>
      </c>
      <c r="K70" s="6">
        <f ca="1">'MATCH CALCS'!L71*1</f>
        <v>0</v>
      </c>
      <c r="L70" s="6">
        <f ca="1">'MATCH CALCS'!$N71*2</f>
        <v>0</v>
      </c>
      <c r="M70" s="6">
        <f ca="1">'MATCH CALCS'!N71*1</f>
        <v>0</v>
      </c>
      <c r="N70" s="6">
        <f ca="1">'MATCH CALCS'!$N71*2</f>
        <v>0</v>
      </c>
      <c r="O70" s="6">
        <f ca="1">'MATCH CALCS'!$N71*2</f>
        <v>0</v>
      </c>
      <c r="P70" s="6">
        <f ca="1">'MATCH CALCS'!$P71*5</f>
        <v>0</v>
      </c>
      <c r="Q70" s="154">
        <f t="shared" ca="1" si="2"/>
        <v>0</v>
      </c>
      <c r="R70" s="6">
        <f ca="1">'MATCH CALCS'!$AD71*1</f>
        <v>0</v>
      </c>
      <c r="S70" s="6">
        <f>'MATCH CALCS'!AC71*3</f>
        <v>0</v>
      </c>
      <c r="T70" s="6">
        <f ca="1">'MATCH CALCS'!AD71*3</f>
        <v>0</v>
      </c>
      <c r="U70" s="155">
        <f t="shared" ca="1" si="3"/>
        <v>0</v>
      </c>
      <c r="V70" s="154">
        <f t="shared" ca="1" si="4"/>
        <v>12</v>
      </c>
    </row>
    <row r="71" spans="1:22">
      <c r="A71" s="154" t="str">
        <f ca="1">'MATCH CALCS'!A72</f>
        <v>Practice</v>
      </c>
      <c r="B71" s="154" t="str">
        <f ca="1">'MATCH CALCS'!$C72</f>
        <v>R1</v>
      </c>
      <c r="C71" s="154">
        <f t="shared" ca="1" si="0"/>
        <v>12</v>
      </c>
      <c r="D71" s="6">
        <f ca="1">'MATCH CALCS'!$G72*2</f>
        <v>2</v>
      </c>
      <c r="E71" s="6">
        <f ca="1">'MATCH CALCS'!$G72*2</f>
        <v>2</v>
      </c>
      <c r="F71" s="6">
        <f ca="1">'MATCH CALCS'!$G72*2</f>
        <v>2</v>
      </c>
      <c r="G71" s="6">
        <f ca="1">'MATCH CALCS'!$G72*2</f>
        <v>2</v>
      </c>
      <c r="H71" s="6">
        <f ca="1">'MATCH CALCS'!$G72*2</f>
        <v>2</v>
      </c>
      <c r="I71" s="6">
        <f ca="1">'MATCH CALCS'!$G72*2</f>
        <v>2</v>
      </c>
      <c r="J71" s="154">
        <f t="shared" ca="1" si="1"/>
        <v>0</v>
      </c>
      <c r="K71" s="6">
        <f ca="1">'MATCH CALCS'!L72*1</f>
        <v>0</v>
      </c>
      <c r="L71" s="6">
        <f ca="1">'MATCH CALCS'!$N72*2</f>
        <v>0</v>
      </c>
      <c r="M71" s="6">
        <f ca="1">'MATCH CALCS'!N72*1</f>
        <v>0</v>
      </c>
      <c r="N71" s="6">
        <f ca="1">'MATCH CALCS'!$N72*2</f>
        <v>0</v>
      </c>
      <c r="O71" s="6">
        <f ca="1">'MATCH CALCS'!$N72*2</f>
        <v>0</v>
      </c>
      <c r="P71" s="6">
        <f ca="1">'MATCH CALCS'!$P72*5</f>
        <v>0</v>
      </c>
      <c r="Q71" s="154">
        <f t="shared" ca="1" si="2"/>
        <v>0</v>
      </c>
      <c r="R71" s="6">
        <f ca="1">'MATCH CALCS'!$AD72*1</f>
        <v>0</v>
      </c>
      <c r="S71" s="6">
        <f>'MATCH CALCS'!AC72*3</f>
        <v>0</v>
      </c>
      <c r="T71" s="6">
        <f ca="1">'MATCH CALCS'!AD72*3</f>
        <v>0</v>
      </c>
      <c r="U71" s="155">
        <f t="shared" ca="1" si="3"/>
        <v>0</v>
      </c>
      <c r="V71" s="154">
        <f t="shared" ca="1" si="4"/>
        <v>12</v>
      </c>
    </row>
    <row r="72" spans="1:22">
      <c r="A72" s="154" t="str">
        <f ca="1">'MATCH CALCS'!A73</f>
        <v>Practice</v>
      </c>
      <c r="B72" s="154" t="str">
        <f ca="1">'MATCH CALCS'!$C73</f>
        <v>R2</v>
      </c>
      <c r="C72" s="154">
        <f t="shared" ca="1" si="0"/>
        <v>12</v>
      </c>
      <c r="D72" s="6">
        <f ca="1">'MATCH CALCS'!$G73*2</f>
        <v>2</v>
      </c>
      <c r="E72" s="6">
        <f ca="1">'MATCH CALCS'!$G73*2</f>
        <v>2</v>
      </c>
      <c r="F72" s="6">
        <f ca="1">'MATCH CALCS'!$G73*2</f>
        <v>2</v>
      </c>
      <c r="G72" s="6">
        <f ca="1">'MATCH CALCS'!$G73*2</f>
        <v>2</v>
      </c>
      <c r="H72" s="6">
        <f ca="1">'MATCH CALCS'!$G73*2</f>
        <v>2</v>
      </c>
      <c r="I72" s="6">
        <f ca="1">'MATCH CALCS'!$G73*2</f>
        <v>2</v>
      </c>
      <c r="J72" s="154">
        <f t="shared" ca="1" si="1"/>
        <v>0</v>
      </c>
      <c r="K72" s="6">
        <f ca="1">'MATCH CALCS'!L73*1</f>
        <v>0</v>
      </c>
      <c r="L72" s="6">
        <f ca="1">'MATCH CALCS'!$N73*2</f>
        <v>0</v>
      </c>
      <c r="M72" s="6">
        <f ca="1">'MATCH CALCS'!N73*1</f>
        <v>0</v>
      </c>
      <c r="N72" s="6">
        <f ca="1">'MATCH CALCS'!$N73*2</f>
        <v>0</v>
      </c>
      <c r="O72" s="6">
        <f ca="1">'MATCH CALCS'!$N73*2</f>
        <v>0</v>
      </c>
      <c r="P72" s="6">
        <f ca="1">'MATCH CALCS'!$P73*5</f>
        <v>0</v>
      </c>
      <c r="Q72" s="154">
        <f t="shared" ca="1" si="2"/>
        <v>0</v>
      </c>
      <c r="R72" s="6">
        <f ca="1">'MATCH CALCS'!$AD73*1</f>
        <v>0</v>
      </c>
      <c r="S72" s="6">
        <f>'MATCH CALCS'!AC73*3</f>
        <v>0</v>
      </c>
      <c r="T72" s="6">
        <f ca="1">'MATCH CALCS'!AD73*3</f>
        <v>0</v>
      </c>
      <c r="U72" s="155">
        <f t="shared" ca="1" si="3"/>
        <v>0</v>
      </c>
      <c r="V72" s="154">
        <f t="shared" ca="1" si="4"/>
        <v>12</v>
      </c>
    </row>
    <row r="73" spans="1:22">
      <c r="A73" s="154" t="str">
        <f ca="1">'MATCH CALCS'!A74</f>
        <v>Practice</v>
      </c>
      <c r="B73" s="154" t="str">
        <f ca="1">'MATCH CALCS'!$C74</f>
        <v>B1</v>
      </c>
      <c r="C73" s="154">
        <f t="shared" ca="1" si="0"/>
        <v>12</v>
      </c>
      <c r="D73" s="6">
        <f ca="1">'MATCH CALCS'!$G74*2</f>
        <v>2</v>
      </c>
      <c r="E73" s="6">
        <f ca="1">'MATCH CALCS'!$G74*2</f>
        <v>2</v>
      </c>
      <c r="F73" s="6">
        <f ca="1">'MATCH CALCS'!$G74*2</f>
        <v>2</v>
      </c>
      <c r="G73" s="6">
        <f ca="1">'MATCH CALCS'!$G74*2</f>
        <v>2</v>
      </c>
      <c r="H73" s="6">
        <f ca="1">'MATCH CALCS'!$G74*2</f>
        <v>2</v>
      </c>
      <c r="I73" s="6">
        <f ca="1">'MATCH CALCS'!$G74*2</f>
        <v>2</v>
      </c>
      <c r="J73" s="154">
        <f t="shared" ca="1" si="1"/>
        <v>0</v>
      </c>
      <c r="K73" s="6">
        <f ca="1">'MATCH CALCS'!L74*1</f>
        <v>0</v>
      </c>
      <c r="L73" s="6">
        <f ca="1">'MATCH CALCS'!$N74*2</f>
        <v>0</v>
      </c>
      <c r="M73" s="6">
        <f ca="1">'MATCH CALCS'!N74*1</f>
        <v>0</v>
      </c>
      <c r="N73" s="6">
        <f ca="1">'MATCH CALCS'!$N74*2</f>
        <v>0</v>
      </c>
      <c r="O73" s="6">
        <f ca="1">'MATCH CALCS'!$N74*2</f>
        <v>0</v>
      </c>
      <c r="P73" s="6">
        <f ca="1">'MATCH CALCS'!$P74*5</f>
        <v>0</v>
      </c>
      <c r="Q73" s="154">
        <f t="shared" ca="1" si="2"/>
        <v>0</v>
      </c>
      <c r="R73" s="6">
        <f ca="1">'MATCH CALCS'!$AD74*1</f>
        <v>0</v>
      </c>
      <c r="S73" s="6">
        <f>'MATCH CALCS'!AC74*3</f>
        <v>0</v>
      </c>
      <c r="T73" s="6">
        <f ca="1">'MATCH CALCS'!AD74*3</f>
        <v>0</v>
      </c>
      <c r="U73" s="155">
        <f t="shared" ca="1" si="3"/>
        <v>0</v>
      </c>
      <c r="V73" s="154">
        <f t="shared" ca="1" si="4"/>
        <v>12</v>
      </c>
    </row>
    <row r="74" spans="1:22">
      <c r="A74" s="154" t="str">
        <f ca="1">'MATCH CALCS'!A75</f>
        <v>Practice</v>
      </c>
      <c r="B74" s="154" t="str">
        <f ca="1">'MATCH CALCS'!$C75</f>
        <v>B2</v>
      </c>
      <c r="C74" s="154">
        <f t="shared" ca="1" si="0"/>
        <v>12</v>
      </c>
      <c r="D74" s="6">
        <f ca="1">'MATCH CALCS'!$G75*2</f>
        <v>2</v>
      </c>
      <c r="E74" s="6">
        <f ca="1">'MATCH CALCS'!$G75*2</f>
        <v>2</v>
      </c>
      <c r="F74" s="6">
        <f ca="1">'MATCH CALCS'!$G75*2</f>
        <v>2</v>
      </c>
      <c r="G74" s="6">
        <f ca="1">'MATCH CALCS'!$G75*2</f>
        <v>2</v>
      </c>
      <c r="H74" s="6">
        <f ca="1">'MATCH CALCS'!$G75*2</f>
        <v>2</v>
      </c>
      <c r="I74" s="6">
        <f ca="1">'MATCH CALCS'!$G75*2</f>
        <v>2</v>
      </c>
      <c r="J74" s="154">
        <f t="shared" ca="1" si="1"/>
        <v>0</v>
      </c>
      <c r="K74" s="6">
        <f ca="1">'MATCH CALCS'!L75*1</f>
        <v>0</v>
      </c>
      <c r="L74" s="6">
        <f ca="1">'MATCH CALCS'!$N75*2</f>
        <v>0</v>
      </c>
      <c r="M74" s="6">
        <f ca="1">'MATCH CALCS'!N75*1</f>
        <v>0</v>
      </c>
      <c r="N74" s="6">
        <f ca="1">'MATCH CALCS'!$N75*2</f>
        <v>0</v>
      </c>
      <c r="O74" s="6">
        <f ca="1">'MATCH CALCS'!$N75*2</f>
        <v>0</v>
      </c>
      <c r="P74" s="6">
        <f ca="1">'MATCH CALCS'!$P75*5</f>
        <v>0</v>
      </c>
      <c r="Q74" s="154">
        <f t="shared" ca="1" si="2"/>
        <v>0</v>
      </c>
      <c r="R74" s="6">
        <f ca="1">'MATCH CALCS'!$AD75*1</f>
        <v>0</v>
      </c>
      <c r="S74" s="6">
        <f>'MATCH CALCS'!AC75*3</f>
        <v>0</v>
      </c>
      <c r="T74" s="6">
        <f ca="1">'MATCH CALCS'!AD75*3</f>
        <v>0</v>
      </c>
      <c r="U74" s="155">
        <f t="shared" ca="1" si="3"/>
        <v>0</v>
      </c>
      <c r="V74" s="154">
        <f t="shared" ca="1" si="4"/>
        <v>12</v>
      </c>
    </row>
    <row r="75" spans="1:22">
      <c r="A75" s="154" t="str">
        <f ca="1">'MATCH CALCS'!A76</f>
        <v>Practice</v>
      </c>
      <c r="B75" s="154" t="str">
        <f ca="1">'MATCH CALCS'!$C76</f>
        <v>R1</v>
      </c>
      <c r="C75" s="154">
        <f t="shared" ca="1" si="0"/>
        <v>0</v>
      </c>
      <c r="D75" s="6">
        <f ca="1">'MATCH CALCS'!$G76*2</f>
        <v>0</v>
      </c>
      <c r="E75" s="6">
        <f ca="1">'MATCH CALCS'!$G76*2</f>
        <v>0</v>
      </c>
      <c r="F75" s="6">
        <f ca="1">'MATCH CALCS'!$G76*2</f>
        <v>0</v>
      </c>
      <c r="G75" s="6">
        <f ca="1">'MATCH CALCS'!$G76*2</f>
        <v>0</v>
      </c>
      <c r="H75" s="6">
        <f ca="1">'MATCH CALCS'!$G76*2</f>
        <v>0</v>
      </c>
      <c r="I75" s="6">
        <f ca="1">'MATCH CALCS'!$G76*2</f>
        <v>0</v>
      </c>
      <c r="J75" s="154">
        <f t="shared" ca="1" si="1"/>
        <v>0</v>
      </c>
      <c r="K75" s="6">
        <f ca="1">'MATCH CALCS'!L76*1</f>
        <v>0</v>
      </c>
      <c r="L75" s="6">
        <f ca="1">'MATCH CALCS'!$N76*2</f>
        <v>0</v>
      </c>
      <c r="M75" s="6">
        <f ca="1">'MATCH CALCS'!N76*1</f>
        <v>0</v>
      </c>
      <c r="N75" s="6">
        <f ca="1">'MATCH CALCS'!$N76*2</f>
        <v>0</v>
      </c>
      <c r="O75" s="6">
        <f ca="1">'MATCH CALCS'!$N76*2</f>
        <v>0</v>
      </c>
      <c r="P75" s="6">
        <f ca="1">'MATCH CALCS'!$P76*5</f>
        <v>0</v>
      </c>
      <c r="Q75" s="154">
        <f t="shared" ca="1" si="2"/>
        <v>0</v>
      </c>
      <c r="R75" s="6">
        <f ca="1">'MATCH CALCS'!$AD76*1</f>
        <v>0</v>
      </c>
      <c r="S75" s="6">
        <f>'MATCH CALCS'!AC76*3</f>
        <v>0</v>
      </c>
      <c r="T75" s="6">
        <f ca="1">'MATCH CALCS'!AD76*3</f>
        <v>0</v>
      </c>
      <c r="U75" s="155">
        <f t="shared" ca="1" si="3"/>
        <v>0</v>
      </c>
      <c r="V75" s="154">
        <f t="shared" ca="1" si="4"/>
        <v>0</v>
      </c>
    </row>
    <row r="76" spans="1:22">
      <c r="A76" s="154" t="str">
        <f ca="1">'MATCH CALCS'!A77</f>
        <v>Practice</v>
      </c>
      <c r="B76" s="154" t="str">
        <f ca="1">'MATCH CALCS'!$C77</f>
        <v>B3</v>
      </c>
      <c r="C76" s="154">
        <f t="shared" ca="1" si="0"/>
        <v>12</v>
      </c>
      <c r="D76" s="6">
        <f ca="1">'MATCH CALCS'!$G77*2</f>
        <v>2</v>
      </c>
      <c r="E76" s="6">
        <f ca="1">'MATCH CALCS'!$G77*2</f>
        <v>2</v>
      </c>
      <c r="F76" s="6">
        <f ca="1">'MATCH CALCS'!$G77*2</f>
        <v>2</v>
      </c>
      <c r="G76" s="6">
        <f ca="1">'MATCH CALCS'!$G77*2</f>
        <v>2</v>
      </c>
      <c r="H76" s="6">
        <f ca="1">'MATCH CALCS'!$G77*2</f>
        <v>2</v>
      </c>
      <c r="I76" s="6">
        <f ca="1">'MATCH CALCS'!$G77*2</f>
        <v>2</v>
      </c>
      <c r="J76" s="154">
        <f t="shared" ca="1" si="1"/>
        <v>0</v>
      </c>
      <c r="K76" s="6">
        <f ca="1">'MATCH CALCS'!L77*1</f>
        <v>0</v>
      </c>
      <c r="L76" s="6">
        <f ca="1">'MATCH CALCS'!$N77*2</f>
        <v>0</v>
      </c>
      <c r="M76" s="6">
        <f ca="1">'MATCH CALCS'!N77*1</f>
        <v>0</v>
      </c>
      <c r="N76" s="6">
        <f ca="1">'MATCH CALCS'!$N77*2</f>
        <v>0</v>
      </c>
      <c r="O76" s="6">
        <f ca="1">'MATCH CALCS'!$N77*2</f>
        <v>0</v>
      </c>
      <c r="P76" s="6">
        <f ca="1">'MATCH CALCS'!$P77*5</f>
        <v>0</v>
      </c>
      <c r="Q76" s="154">
        <f t="shared" ca="1" si="2"/>
        <v>0</v>
      </c>
      <c r="R76" s="6">
        <f ca="1">'MATCH CALCS'!$AD77*1</f>
        <v>0</v>
      </c>
      <c r="S76" s="6">
        <f>'MATCH CALCS'!AC77*3</f>
        <v>0</v>
      </c>
      <c r="T76" s="6">
        <f ca="1">'MATCH CALCS'!AD77*3</f>
        <v>0</v>
      </c>
      <c r="U76" s="155">
        <f t="shared" ca="1" si="3"/>
        <v>0</v>
      </c>
      <c r="V76" s="154">
        <f t="shared" ca="1" si="4"/>
        <v>12</v>
      </c>
    </row>
    <row r="77" spans="1:22">
      <c r="A77" s="154" t="str">
        <f ca="1">'MATCH CALCS'!A78</f>
        <v>Practice</v>
      </c>
      <c r="B77" s="154" t="str">
        <f ca="1">'MATCH CALCS'!$C78</f>
        <v>R2</v>
      </c>
      <c r="C77" s="154">
        <f t="shared" ca="1" si="0"/>
        <v>12</v>
      </c>
      <c r="D77" s="6">
        <f ca="1">'MATCH CALCS'!$G78*2</f>
        <v>2</v>
      </c>
      <c r="E77" s="6">
        <f ca="1">'MATCH CALCS'!$G78*2</f>
        <v>2</v>
      </c>
      <c r="F77" s="6">
        <f ca="1">'MATCH CALCS'!$G78*2</f>
        <v>2</v>
      </c>
      <c r="G77" s="6">
        <f ca="1">'MATCH CALCS'!$G78*2</f>
        <v>2</v>
      </c>
      <c r="H77" s="6">
        <f ca="1">'MATCH CALCS'!$G78*2</f>
        <v>2</v>
      </c>
      <c r="I77" s="6">
        <f ca="1">'MATCH CALCS'!$G78*2</f>
        <v>2</v>
      </c>
      <c r="J77" s="154">
        <f t="shared" ca="1" si="1"/>
        <v>0</v>
      </c>
      <c r="K77" s="6">
        <f ca="1">'MATCH CALCS'!L78*1</f>
        <v>0</v>
      </c>
      <c r="L77" s="6">
        <f ca="1">'MATCH CALCS'!$N78*2</f>
        <v>0</v>
      </c>
      <c r="M77" s="6">
        <f ca="1">'MATCH CALCS'!N78*1</f>
        <v>0</v>
      </c>
      <c r="N77" s="6">
        <f ca="1">'MATCH CALCS'!$N78*2</f>
        <v>0</v>
      </c>
      <c r="O77" s="6">
        <f ca="1">'MATCH CALCS'!$N78*2</f>
        <v>0</v>
      </c>
      <c r="P77" s="6">
        <f ca="1">'MATCH CALCS'!$P78*5</f>
        <v>0</v>
      </c>
      <c r="Q77" s="154">
        <f t="shared" ca="1" si="2"/>
        <v>0</v>
      </c>
      <c r="R77" s="6">
        <f ca="1">'MATCH CALCS'!$AD78*1</f>
        <v>0</v>
      </c>
      <c r="S77" s="6">
        <f>'MATCH CALCS'!AC78*3</f>
        <v>0</v>
      </c>
      <c r="T77" s="6">
        <f ca="1">'MATCH CALCS'!AD78*3</f>
        <v>0</v>
      </c>
      <c r="U77" s="155">
        <f t="shared" ca="1" si="3"/>
        <v>0</v>
      </c>
      <c r="V77" s="154">
        <f t="shared" ca="1" si="4"/>
        <v>12</v>
      </c>
    </row>
    <row r="78" spans="1:22">
      <c r="A78" s="154" t="str">
        <f ca="1">'MATCH CALCS'!A79</f>
        <v>Practice</v>
      </c>
      <c r="B78" s="154" t="str">
        <f ca="1">'MATCH CALCS'!$C79</f>
        <v>R3</v>
      </c>
      <c r="C78" s="154">
        <f t="shared" ca="1" si="0"/>
        <v>12</v>
      </c>
      <c r="D78" s="6">
        <f ca="1">'MATCH CALCS'!$G79*2</f>
        <v>2</v>
      </c>
      <c r="E78" s="6">
        <f ca="1">'MATCH CALCS'!$G79*2</f>
        <v>2</v>
      </c>
      <c r="F78" s="6">
        <f ca="1">'MATCH CALCS'!$G79*2</f>
        <v>2</v>
      </c>
      <c r="G78" s="6">
        <f ca="1">'MATCH CALCS'!$G79*2</f>
        <v>2</v>
      </c>
      <c r="H78" s="6">
        <f ca="1">'MATCH CALCS'!$G79*2</f>
        <v>2</v>
      </c>
      <c r="I78" s="6">
        <f ca="1">'MATCH CALCS'!$G79*2</f>
        <v>2</v>
      </c>
      <c r="J78" s="154">
        <f t="shared" ca="1" si="1"/>
        <v>0</v>
      </c>
      <c r="K78" s="6">
        <f ca="1">'MATCH CALCS'!L79*1</f>
        <v>0</v>
      </c>
      <c r="L78" s="6">
        <f ca="1">'MATCH CALCS'!$N79*2</f>
        <v>0</v>
      </c>
      <c r="M78" s="6">
        <f ca="1">'MATCH CALCS'!N79*1</f>
        <v>0</v>
      </c>
      <c r="N78" s="6">
        <f ca="1">'MATCH CALCS'!$N79*2</f>
        <v>0</v>
      </c>
      <c r="O78" s="6">
        <f ca="1">'MATCH CALCS'!$N79*2</f>
        <v>0</v>
      </c>
      <c r="P78" s="6">
        <f ca="1">'MATCH CALCS'!$P79*5</f>
        <v>0</v>
      </c>
      <c r="Q78" s="154">
        <f t="shared" ca="1" si="2"/>
        <v>0</v>
      </c>
      <c r="R78" s="6">
        <f ca="1">'MATCH CALCS'!$AD79*1</f>
        <v>0</v>
      </c>
      <c r="S78" s="6">
        <f>'MATCH CALCS'!AC79*3</f>
        <v>0</v>
      </c>
      <c r="T78" s="6">
        <f ca="1">'MATCH CALCS'!AD79*3</f>
        <v>0</v>
      </c>
      <c r="U78" s="155">
        <f t="shared" ca="1" si="3"/>
        <v>0</v>
      </c>
      <c r="V78" s="154">
        <f t="shared" ca="1" si="4"/>
        <v>12</v>
      </c>
    </row>
    <row r="79" spans="1:22">
      <c r="A79" s="154" t="str">
        <f ca="1">'MATCH CALCS'!A80</f>
        <v>Practice</v>
      </c>
      <c r="B79" s="154" t="str">
        <f ca="1">'MATCH CALCS'!$C80</f>
        <v>B2</v>
      </c>
      <c r="C79" s="154">
        <f t="shared" ca="1" si="0"/>
        <v>12</v>
      </c>
      <c r="D79" s="6">
        <f ca="1">'MATCH CALCS'!$G80*2</f>
        <v>2</v>
      </c>
      <c r="E79" s="6">
        <f ca="1">'MATCH CALCS'!$G80*2</f>
        <v>2</v>
      </c>
      <c r="F79" s="6">
        <f ca="1">'MATCH CALCS'!$G80*2</f>
        <v>2</v>
      </c>
      <c r="G79" s="6">
        <f ca="1">'MATCH CALCS'!$G80*2</f>
        <v>2</v>
      </c>
      <c r="H79" s="6">
        <f ca="1">'MATCH CALCS'!$G80*2</f>
        <v>2</v>
      </c>
      <c r="I79" s="6">
        <f ca="1">'MATCH CALCS'!$G80*2</f>
        <v>2</v>
      </c>
      <c r="J79" s="154">
        <f t="shared" ca="1" si="1"/>
        <v>0</v>
      </c>
      <c r="K79" s="6">
        <f ca="1">'MATCH CALCS'!L80*1</f>
        <v>0</v>
      </c>
      <c r="L79" s="6">
        <f ca="1">'MATCH CALCS'!$N80*2</f>
        <v>0</v>
      </c>
      <c r="M79" s="6">
        <f ca="1">'MATCH CALCS'!N80*1</f>
        <v>0</v>
      </c>
      <c r="N79" s="6">
        <f ca="1">'MATCH CALCS'!$N80*2</f>
        <v>0</v>
      </c>
      <c r="O79" s="6">
        <f ca="1">'MATCH CALCS'!$N80*2</f>
        <v>0</v>
      </c>
      <c r="P79" s="6">
        <f ca="1">'MATCH CALCS'!$P80*5</f>
        <v>0</v>
      </c>
      <c r="Q79" s="154">
        <f t="shared" ca="1" si="2"/>
        <v>0</v>
      </c>
      <c r="R79" s="6">
        <f ca="1">'MATCH CALCS'!$AD80*1</f>
        <v>0</v>
      </c>
      <c r="S79" s="6">
        <f>'MATCH CALCS'!AC80*3</f>
        <v>0</v>
      </c>
      <c r="T79" s="6">
        <f ca="1">'MATCH CALCS'!AD80*3</f>
        <v>0</v>
      </c>
      <c r="U79" s="155">
        <f t="shared" ca="1" si="3"/>
        <v>0</v>
      </c>
      <c r="V79" s="154">
        <f t="shared" ca="1" si="4"/>
        <v>12</v>
      </c>
    </row>
    <row r="80" spans="1:22">
      <c r="A80" s="154" t="str">
        <f ca="1">'MATCH CALCS'!A81</f>
        <v>Practice</v>
      </c>
      <c r="B80" s="154" t="str">
        <f ca="1">'MATCH CALCS'!$C81</f>
        <v>B1</v>
      </c>
      <c r="C80" s="154">
        <f t="shared" ca="1" si="0"/>
        <v>12</v>
      </c>
      <c r="D80" s="6">
        <f ca="1">'MATCH CALCS'!$G81*2</f>
        <v>2</v>
      </c>
      <c r="E80" s="6">
        <f ca="1">'MATCH CALCS'!$G81*2</f>
        <v>2</v>
      </c>
      <c r="F80" s="6">
        <f ca="1">'MATCH CALCS'!$G81*2</f>
        <v>2</v>
      </c>
      <c r="G80" s="6">
        <f ca="1">'MATCH CALCS'!$G81*2</f>
        <v>2</v>
      </c>
      <c r="H80" s="6">
        <f ca="1">'MATCH CALCS'!$G81*2</f>
        <v>2</v>
      </c>
      <c r="I80" s="6">
        <f ca="1">'MATCH CALCS'!$G81*2</f>
        <v>2</v>
      </c>
      <c r="J80" s="154">
        <f t="shared" ca="1" si="1"/>
        <v>5</v>
      </c>
      <c r="K80" s="6">
        <f ca="1">'MATCH CALCS'!L81*1</f>
        <v>0</v>
      </c>
      <c r="L80" s="6">
        <f ca="1">'MATCH CALCS'!$N81*2</f>
        <v>0</v>
      </c>
      <c r="M80" s="6">
        <f ca="1">'MATCH CALCS'!N81*1</f>
        <v>0</v>
      </c>
      <c r="N80" s="6">
        <f ca="1">'MATCH CALCS'!$N81*2</f>
        <v>0</v>
      </c>
      <c r="O80" s="6">
        <f ca="1">'MATCH CALCS'!$N81*2</f>
        <v>0</v>
      </c>
      <c r="P80" s="6">
        <f ca="1">'MATCH CALCS'!$P81*5</f>
        <v>5</v>
      </c>
      <c r="Q80" s="154">
        <f t="shared" ca="1" si="2"/>
        <v>0</v>
      </c>
      <c r="R80" s="6">
        <f ca="1">'MATCH CALCS'!$AD81*1</f>
        <v>0</v>
      </c>
      <c r="S80" s="6">
        <f>'MATCH CALCS'!AC81*3</f>
        <v>0</v>
      </c>
      <c r="T80" s="6">
        <f ca="1">'MATCH CALCS'!AD81*3</f>
        <v>0</v>
      </c>
      <c r="U80" s="155">
        <f t="shared" ca="1" si="3"/>
        <v>0</v>
      </c>
      <c r="V80" s="154">
        <f t="shared" ca="1" si="4"/>
        <v>17</v>
      </c>
    </row>
    <row r="81" spans="1:22">
      <c r="A81" s="154" t="str">
        <f ca="1">'MATCH CALCS'!A82</f>
        <v>Practice</v>
      </c>
      <c r="B81" s="154" t="str">
        <f ca="1">'MATCH CALCS'!$C82</f>
        <v>R2</v>
      </c>
      <c r="C81" s="154">
        <f t="shared" ca="1" si="0"/>
        <v>12</v>
      </c>
      <c r="D81" s="6">
        <f ca="1">'MATCH CALCS'!$G82*2</f>
        <v>2</v>
      </c>
      <c r="E81" s="6">
        <f ca="1">'MATCH CALCS'!$G82*2</f>
        <v>2</v>
      </c>
      <c r="F81" s="6">
        <f ca="1">'MATCH CALCS'!$G82*2</f>
        <v>2</v>
      </c>
      <c r="G81" s="6">
        <f ca="1">'MATCH CALCS'!$G82*2</f>
        <v>2</v>
      </c>
      <c r="H81" s="6">
        <f ca="1">'MATCH CALCS'!$G82*2</f>
        <v>2</v>
      </c>
      <c r="I81" s="6">
        <f ca="1">'MATCH CALCS'!$G82*2</f>
        <v>2</v>
      </c>
      <c r="J81" s="154">
        <f t="shared" ca="1" si="1"/>
        <v>1</v>
      </c>
      <c r="K81" s="6">
        <f ca="1">'MATCH CALCS'!L82*1</f>
        <v>1</v>
      </c>
      <c r="L81" s="6">
        <f ca="1">'MATCH CALCS'!$N82*2</f>
        <v>0</v>
      </c>
      <c r="M81" s="6">
        <f ca="1">'MATCH CALCS'!N82*1</f>
        <v>0</v>
      </c>
      <c r="N81" s="6">
        <f ca="1">'MATCH CALCS'!$N82*2</f>
        <v>0</v>
      </c>
      <c r="O81" s="6">
        <f ca="1">'MATCH CALCS'!$N82*2</f>
        <v>0</v>
      </c>
      <c r="P81" s="6">
        <f ca="1">'MATCH CALCS'!$P82*5</f>
        <v>0</v>
      </c>
      <c r="Q81" s="154">
        <f t="shared" ca="1" si="2"/>
        <v>0</v>
      </c>
      <c r="R81" s="6">
        <f ca="1">'MATCH CALCS'!$AD82*1</f>
        <v>0</v>
      </c>
      <c r="S81" s="6">
        <f>'MATCH CALCS'!AC82*3</f>
        <v>0</v>
      </c>
      <c r="T81" s="6">
        <f ca="1">'MATCH CALCS'!AD82*3</f>
        <v>0</v>
      </c>
      <c r="U81" s="155">
        <f t="shared" ca="1" si="3"/>
        <v>0</v>
      </c>
      <c r="V81" s="154">
        <f t="shared" ca="1" si="4"/>
        <v>13</v>
      </c>
    </row>
    <row r="82" spans="1:22">
      <c r="A82" s="154" t="str">
        <f ca="1">'MATCH CALCS'!A83</f>
        <v>Practice</v>
      </c>
      <c r="B82" s="154" t="str">
        <f ca="1">'MATCH CALCS'!$C83</f>
        <v>B3</v>
      </c>
      <c r="C82" s="154">
        <f t="shared" ca="1" si="0"/>
        <v>12</v>
      </c>
      <c r="D82" s="6">
        <f ca="1">'MATCH CALCS'!$G83*2</f>
        <v>2</v>
      </c>
      <c r="E82" s="6">
        <f ca="1">'MATCH CALCS'!$G83*2</f>
        <v>2</v>
      </c>
      <c r="F82" s="6">
        <f ca="1">'MATCH CALCS'!$G83*2</f>
        <v>2</v>
      </c>
      <c r="G82" s="6">
        <f ca="1">'MATCH CALCS'!$G83*2</f>
        <v>2</v>
      </c>
      <c r="H82" s="6">
        <f ca="1">'MATCH CALCS'!$G83*2</f>
        <v>2</v>
      </c>
      <c r="I82" s="6">
        <f ca="1">'MATCH CALCS'!$G83*2</f>
        <v>2</v>
      </c>
      <c r="J82" s="154">
        <f t="shared" ca="1" si="1"/>
        <v>0</v>
      </c>
      <c r="K82" s="6">
        <f ca="1">'MATCH CALCS'!L83*1</f>
        <v>0</v>
      </c>
      <c r="L82" s="6">
        <f ca="1">'MATCH CALCS'!$N83*2</f>
        <v>0</v>
      </c>
      <c r="M82" s="6">
        <f ca="1">'MATCH CALCS'!N83*1</f>
        <v>0</v>
      </c>
      <c r="N82" s="6">
        <f ca="1">'MATCH CALCS'!$N83*2</f>
        <v>0</v>
      </c>
      <c r="O82" s="6">
        <f ca="1">'MATCH CALCS'!$N83*2</f>
        <v>0</v>
      </c>
      <c r="P82" s="6">
        <f ca="1">'MATCH CALCS'!$P83*5</f>
        <v>0</v>
      </c>
      <c r="Q82" s="154">
        <f t="shared" ca="1" si="2"/>
        <v>0</v>
      </c>
      <c r="R82" s="6">
        <f ca="1">'MATCH CALCS'!$AD83*1</f>
        <v>0</v>
      </c>
      <c r="S82" s="6">
        <f>'MATCH CALCS'!AC83*3</f>
        <v>0</v>
      </c>
      <c r="T82" s="6">
        <f ca="1">'MATCH CALCS'!AD83*3</f>
        <v>0</v>
      </c>
      <c r="U82" s="155">
        <f t="shared" ca="1" si="3"/>
        <v>0</v>
      </c>
      <c r="V82" s="154">
        <f t="shared" ca="1" si="4"/>
        <v>12</v>
      </c>
    </row>
    <row r="83" spans="1:22">
      <c r="A83" s="154" t="str">
        <f ca="1">'MATCH CALCS'!A84</f>
        <v>Practice</v>
      </c>
      <c r="B83" s="154" t="str">
        <f ca="1">'MATCH CALCS'!$C84</f>
        <v>R3</v>
      </c>
      <c r="C83" s="154">
        <f t="shared" ca="1" si="0"/>
        <v>12</v>
      </c>
      <c r="D83" s="6">
        <f ca="1">'MATCH CALCS'!$G84*2</f>
        <v>2</v>
      </c>
      <c r="E83" s="6">
        <f ca="1">'MATCH CALCS'!$G84*2</f>
        <v>2</v>
      </c>
      <c r="F83" s="6">
        <f ca="1">'MATCH CALCS'!$G84*2</f>
        <v>2</v>
      </c>
      <c r="G83" s="6">
        <f ca="1">'MATCH CALCS'!$G84*2</f>
        <v>2</v>
      </c>
      <c r="H83" s="6">
        <f ca="1">'MATCH CALCS'!$G84*2</f>
        <v>2</v>
      </c>
      <c r="I83" s="6">
        <f ca="1">'MATCH CALCS'!$G84*2</f>
        <v>2</v>
      </c>
      <c r="J83" s="154">
        <f t="shared" ca="1" si="1"/>
        <v>0</v>
      </c>
      <c r="K83" s="6">
        <f ca="1">'MATCH CALCS'!L84*1</f>
        <v>0</v>
      </c>
      <c r="L83" s="6">
        <f ca="1">'MATCH CALCS'!$N84*2</f>
        <v>0</v>
      </c>
      <c r="M83" s="6">
        <f ca="1">'MATCH CALCS'!N84*1</f>
        <v>0</v>
      </c>
      <c r="N83" s="6">
        <f ca="1">'MATCH CALCS'!$N84*2</f>
        <v>0</v>
      </c>
      <c r="O83" s="6">
        <f ca="1">'MATCH CALCS'!$N84*2</f>
        <v>0</v>
      </c>
      <c r="P83" s="6">
        <f ca="1">'MATCH CALCS'!$P84*5</f>
        <v>0</v>
      </c>
      <c r="Q83" s="154">
        <f t="shared" ca="1" si="2"/>
        <v>0</v>
      </c>
      <c r="R83" s="6">
        <f ca="1">'MATCH CALCS'!$AD84*1</f>
        <v>0</v>
      </c>
      <c r="S83" s="6">
        <f>'MATCH CALCS'!AC84*3</f>
        <v>0</v>
      </c>
      <c r="T83" s="6">
        <f ca="1">'MATCH CALCS'!AD84*3</f>
        <v>0</v>
      </c>
      <c r="U83" s="155">
        <f t="shared" ca="1" si="3"/>
        <v>0</v>
      </c>
      <c r="V83" s="154">
        <f t="shared" ca="1" si="4"/>
        <v>12</v>
      </c>
    </row>
    <row r="84" spans="1:22">
      <c r="A84" s="154" t="str">
        <f ca="1">'MATCH CALCS'!A85</f>
        <v>Practice</v>
      </c>
      <c r="B84" s="154" t="str">
        <f ca="1">'MATCH CALCS'!$C85</f>
        <v>R1</v>
      </c>
      <c r="C84" s="154">
        <f t="shared" ca="1" si="0"/>
        <v>12</v>
      </c>
      <c r="D84" s="6">
        <f ca="1">'MATCH CALCS'!$G85*2</f>
        <v>2</v>
      </c>
      <c r="E84" s="6">
        <f ca="1">'MATCH CALCS'!$G85*2</f>
        <v>2</v>
      </c>
      <c r="F84" s="6">
        <f ca="1">'MATCH CALCS'!$G85*2</f>
        <v>2</v>
      </c>
      <c r="G84" s="6">
        <f ca="1">'MATCH CALCS'!$G85*2</f>
        <v>2</v>
      </c>
      <c r="H84" s="6">
        <f ca="1">'MATCH CALCS'!$G85*2</f>
        <v>2</v>
      </c>
      <c r="I84" s="6">
        <f ca="1">'MATCH CALCS'!$G85*2</f>
        <v>2</v>
      </c>
      <c r="J84" s="154">
        <f t="shared" ca="1" si="1"/>
        <v>0</v>
      </c>
      <c r="K84" s="6">
        <f ca="1">'MATCH CALCS'!L85*1</f>
        <v>0</v>
      </c>
      <c r="L84" s="6">
        <f ca="1">'MATCH CALCS'!$N85*2</f>
        <v>0</v>
      </c>
      <c r="M84" s="6">
        <f ca="1">'MATCH CALCS'!N85*1</f>
        <v>0</v>
      </c>
      <c r="N84" s="6">
        <f ca="1">'MATCH CALCS'!$N85*2</f>
        <v>0</v>
      </c>
      <c r="O84" s="6">
        <f ca="1">'MATCH CALCS'!$N85*2</f>
        <v>0</v>
      </c>
      <c r="P84" s="6">
        <f ca="1">'MATCH CALCS'!$P85*5</f>
        <v>0</v>
      </c>
      <c r="Q84" s="154">
        <f t="shared" ca="1" si="2"/>
        <v>0</v>
      </c>
      <c r="R84" s="6">
        <f ca="1">'MATCH CALCS'!$AD85*1</f>
        <v>0</v>
      </c>
      <c r="S84" s="6">
        <f>'MATCH CALCS'!AC85*3</f>
        <v>0</v>
      </c>
      <c r="T84" s="6">
        <f ca="1">'MATCH CALCS'!AD85*3</f>
        <v>0</v>
      </c>
      <c r="U84" s="155">
        <f t="shared" ca="1" si="3"/>
        <v>0</v>
      </c>
      <c r="V84" s="154">
        <f t="shared" ca="1" si="4"/>
        <v>12</v>
      </c>
    </row>
    <row r="85" spans="1:22">
      <c r="A85" s="154" t="str">
        <f ca="1">'MATCH CALCS'!A86</f>
        <v>Practice</v>
      </c>
      <c r="B85" s="154" t="str">
        <f ca="1">'MATCH CALCS'!$C86</f>
        <v>B2</v>
      </c>
      <c r="C85" s="154">
        <f t="shared" ca="1" si="0"/>
        <v>12</v>
      </c>
      <c r="D85" s="6">
        <f ca="1">'MATCH CALCS'!$G86*2</f>
        <v>2</v>
      </c>
      <c r="E85" s="6">
        <f ca="1">'MATCH CALCS'!$G86*2</f>
        <v>2</v>
      </c>
      <c r="F85" s="6">
        <f ca="1">'MATCH CALCS'!$G86*2</f>
        <v>2</v>
      </c>
      <c r="G85" s="6">
        <f ca="1">'MATCH CALCS'!$G86*2</f>
        <v>2</v>
      </c>
      <c r="H85" s="6">
        <f ca="1">'MATCH CALCS'!$G86*2</f>
        <v>2</v>
      </c>
      <c r="I85" s="6">
        <f ca="1">'MATCH CALCS'!$G86*2</f>
        <v>2</v>
      </c>
      <c r="J85" s="154">
        <f t="shared" ca="1" si="1"/>
        <v>2</v>
      </c>
      <c r="K85" s="6">
        <f ca="1">'MATCH CALCS'!L86*1</f>
        <v>2</v>
      </c>
      <c r="L85" s="6">
        <f ca="1">'MATCH CALCS'!$N86*2</f>
        <v>0</v>
      </c>
      <c r="M85" s="6">
        <f ca="1">'MATCH CALCS'!N86*1</f>
        <v>0</v>
      </c>
      <c r="N85" s="6">
        <f ca="1">'MATCH CALCS'!$N86*2</f>
        <v>0</v>
      </c>
      <c r="O85" s="6">
        <f ca="1">'MATCH CALCS'!$N86*2</f>
        <v>0</v>
      </c>
      <c r="P85" s="6">
        <f ca="1">'MATCH CALCS'!$P86*5</f>
        <v>0</v>
      </c>
      <c r="Q85" s="154">
        <f t="shared" ca="1" si="2"/>
        <v>0</v>
      </c>
      <c r="R85" s="6">
        <f ca="1">'MATCH CALCS'!$AD86*1</f>
        <v>0</v>
      </c>
      <c r="S85" s="6">
        <f>'MATCH CALCS'!AC86*3</f>
        <v>0</v>
      </c>
      <c r="T85" s="6">
        <f ca="1">'MATCH CALCS'!AD86*3</f>
        <v>0</v>
      </c>
      <c r="U85" s="155">
        <f t="shared" ca="1" si="3"/>
        <v>0</v>
      </c>
      <c r="V85" s="154">
        <f t="shared" ca="1" si="4"/>
        <v>14</v>
      </c>
    </row>
    <row r="86" spans="1:22">
      <c r="A86" s="154" t="str">
        <f ca="1">'MATCH CALCS'!A87</f>
        <v>Practice</v>
      </c>
      <c r="B86" s="154" t="str">
        <f ca="1">'MATCH CALCS'!$C87</f>
        <v>B1</v>
      </c>
      <c r="C86" s="154">
        <f t="shared" ca="1" si="0"/>
        <v>12</v>
      </c>
      <c r="D86" s="6">
        <f ca="1">'MATCH CALCS'!$G87*2</f>
        <v>2</v>
      </c>
      <c r="E86" s="6">
        <f ca="1">'MATCH CALCS'!$G87*2</f>
        <v>2</v>
      </c>
      <c r="F86" s="6">
        <f ca="1">'MATCH CALCS'!$G87*2</f>
        <v>2</v>
      </c>
      <c r="G86" s="6">
        <f ca="1">'MATCH CALCS'!$G87*2</f>
        <v>2</v>
      </c>
      <c r="H86" s="6">
        <f ca="1">'MATCH CALCS'!$G87*2</f>
        <v>2</v>
      </c>
      <c r="I86" s="6">
        <f ca="1">'MATCH CALCS'!$G87*2</f>
        <v>2</v>
      </c>
      <c r="J86" s="154">
        <f t="shared" ca="1" si="1"/>
        <v>0</v>
      </c>
      <c r="K86" s="6">
        <f ca="1">'MATCH CALCS'!L87*1</f>
        <v>0</v>
      </c>
      <c r="L86" s="6">
        <f ca="1">'MATCH CALCS'!$N87*2</f>
        <v>0</v>
      </c>
      <c r="M86" s="6">
        <f ca="1">'MATCH CALCS'!N87*1</f>
        <v>0</v>
      </c>
      <c r="N86" s="6">
        <f ca="1">'MATCH CALCS'!$N87*2</f>
        <v>0</v>
      </c>
      <c r="O86" s="6">
        <f ca="1">'MATCH CALCS'!$N87*2</f>
        <v>0</v>
      </c>
      <c r="P86" s="6">
        <f ca="1">'MATCH CALCS'!$P87*5</f>
        <v>0</v>
      </c>
      <c r="Q86" s="154">
        <f t="shared" ca="1" si="2"/>
        <v>0</v>
      </c>
      <c r="R86" s="6">
        <f ca="1">'MATCH CALCS'!$AD87*1</f>
        <v>0</v>
      </c>
      <c r="S86" s="6">
        <f>'MATCH CALCS'!AC87*3</f>
        <v>0</v>
      </c>
      <c r="T86" s="6">
        <f ca="1">'MATCH CALCS'!AD87*3</f>
        <v>0</v>
      </c>
      <c r="U86" s="155">
        <f t="shared" ca="1" si="3"/>
        <v>0</v>
      </c>
      <c r="V86" s="154">
        <f t="shared" ca="1" si="4"/>
        <v>12</v>
      </c>
    </row>
    <row r="87" spans="1:22">
      <c r="A87" s="154" t="str">
        <f ca="1">'MATCH CALCS'!A88</f>
        <v>Practice</v>
      </c>
      <c r="B87" s="154" t="str">
        <f ca="1">'MATCH CALCS'!$C88</f>
        <v>R3</v>
      </c>
      <c r="C87" s="154">
        <f t="shared" ca="1" si="0"/>
        <v>12</v>
      </c>
      <c r="D87" s="6">
        <f ca="1">'MATCH CALCS'!$G88*2</f>
        <v>2</v>
      </c>
      <c r="E87" s="6">
        <f ca="1">'MATCH CALCS'!$G88*2</f>
        <v>2</v>
      </c>
      <c r="F87" s="6">
        <f ca="1">'MATCH CALCS'!$G88*2</f>
        <v>2</v>
      </c>
      <c r="G87" s="6">
        <f ca="1">'MATCH CALCS'!$G88*2</f>
        <v>2</v>
      </c>
      <c r="H87" s="6">
        <f ca="1">'MATCH CALCS'!$G88*2</f>
        <v>2</v>
      </c>
      <c r="I87" s="6">
        <f ca="1">'MATCH CALCS'!$G88*2</f>
        <v>2</v>
      </c>
      <c r="J87" s="154">
        <f t="shared" ca="1" si="1"/>
        <v>0</v>
      </c>
      <c r="K87" s="6">
        <f ca="1">'MATCH CALCS'!L88*1</f>
        <v>0</v>
      </c>
      <c r="L87" s="6">
        <f ca="1">'MATCH CALCS'!$N88*2</f>
        <v>0</v>
      </c>
      <c r="M87" s="6">
        <f ca="1">'MATCH CALCS'!N88*1</f>
        <v>0</v>
      </c>
      <c r="N87" s="6">
        <f ca="1">'MATCH CALCS'!$N88*2</f>
        <v>0</v>
      </c>
      <c r="O87" s="6">
        <f ca="1">'MATCH CALCS'!$N88*2</f>
        <v>0</v>
      </c>
      <c r="P87" s="6">
        <f ca="1">'MATCH CALCS'!$P88*5</f>
        <v>0</v>
      </c>
      <c r="Q87" s="154">
        <f t="shared" ca="1" si="2"/>
        <v>0</v>
      </c>
      <c r="R87" s="6">
        <f ca="1">'MATCH CALCS'!$AD88*1</f>
        <v>0</v>
      </c>
      <c r="S87" s="6">
        <f>'MATCH CALCS'!AC88*3</f>
        <v>0</v>
      </c>
      <c r="T87" s="6">
        <f ca="1">'MATCH CALCS'!AD88*3</f>
        <v>0</v>
      </c>
      <c r="U87" s="155">
        <f t="shared" ca="1" si="3"/>
        <v>0</v>
      </c>
      <c r="V87" s="154">
        <f t="shared" ca="1" si="4"/>
        <v>12</v>
      </c>
    </row>
    <row r="88" spans="1:22">
      <c r="A88" s="154" t="str">
        <f ca="1">'MATCH CALCS'!A89</f>
        <v>Practice</v>
      </c>
      <c r="B88" s="154" t="str">
        <f ca="1">'MATCH CALCS'!$C89</f>
        <v>B3</v>
      </c>
      <c r="C88" s="154">
        <f t="shared" ca="1" si="0"/>
        <v>12</v>
      </c>
      <c r="D88" s="6">
        <f ca="1">'MATCH CALCS'!$G89*2</f>
        <v>2</v>
      </c>
      <c r="E88" s="6">
        <f ca="1">'MATCH CALCS'!$G89*2</f>
        <v>2</v>
      </c>
      <c r="F88" s="6">
        <f ca="1">'MATCH CALCS'!$G89*2</f>
        <v>2</v>
      </c>
      <c r="G88" s="6">
        <f ca="1">'MATCH CALCS'!$G89*2</f>
        <v>2</v>
      </c>
      <c r="H88" s="6">
        <f ca="1">'MATCH CALCS'!$G89*2</f>
        <v>2</v>
      </c>
      <c r="I88" s="6">
        <f ca="1">'MATCH CALCS'!$G89*2</f>
        <v>2</v>
      </c>
      <c r="J88" s="154">
        <f t="shared" ca="1" si="1"/>
        <v>0</v>
      </c>
      <c r="K88" s="6">
        <f ca="1">'MATCH CALCS'!L89*1</f>
        <v>0</v>
      </c>
      <c r="L88" s="6">
        <f ca="1">'MATCH CALCS'!$N89*2</f>
        <v>0</v>
      </c>
      <c r="M88" s="6">
        <f ca="1">'MATCH CALCS'!N89*1</f>
        <v>0</v>
      </c>
      <c r="N88" s="6">
        <f ca="1">'MATCH CALCS'!$N89*2</f>
        <v>0</v>
      </c>
      <c r="O88" s="6">
        <f ca="1">'MATCH CALCS'!$N89*2</f>
        <v>0</v>
      </c>
      <c r="P88" s="6">
        <f ca="1">'MATCH CALCS'!$P89*5</f>
        <v>0</v>
      </c>
      <c r="Q88" s="154">
        <f t="shared" ca="1" si="2"/>
        <v>0</v>
      </c>
      <c r="R88" s="6">
        <f ca="1">'MATCH CALCS'!$AD89*1</f>
        <v>0</v>
      </c>
      <c r="S88" s="6">
        <f>'MATCH CALCS'!AC89*3</f>
        <v>0</v>
      </c>
      <c r="T88" s="6">
        <f ca="1">'MATCH CALCS'!AD89*3</f>
        <v>0</v>
      </c>
      <c r="U88" s="155">
        <f t="shared" ca="1" si="3"/>
        <v>0</v>
      </c>
      <c r="V88" s="154">
        <f t="shared" ca="1" si="4"/>
        <v>12</v>
      </c>
    </row>
    <row r="89" spans="1:22">
      <c r="A89" s="154" t="str">
        <f ca="1">'MATCH CALCS'!A90</f>
        <v>Practice</v>
      </c>
      <c r="B89" s="154" t="str">
        <f ca="1">'MATCH CALCS'!$C90</f>
        <v>R1</v>
      </c>
      <c r="C89" s="154">
        <f t="shared" ca="1" si="0"/>
        <v>12</v>
      </c>
      <c r="D89" s="6">
        <f ca="1">'MATCH CALCS'!$G90*2</f>
        <v>2</v>
      </c>
      <c r="E89" s="6">
        <f ca="1">'MATCH CALCS'!$G90*2</f>
        <v>2</v>
      </c>
      <c r="F89" s="6">
        <f ca="1">'MATCH CALCS'!$G90*2</f>
        <v>2</v>
      </c>
      <c r="G89" s="6">
        <f ca="1">'MATCH CALCS'!$G90*2</f>
        <v>2</v>
      </c>
      <c r="H89" s="6">
        <f ca="1">'MATCH CALCS'!$G90*2</f>
        <v>2</v>
      </c>
      <c r="I89" s="6">
        <f ca="1">'MATCH CALCS'!$G90*2</f>
        <v>2</v>
      </c>
      <c r="J89" s="154">
        <f t="shared" ca="1" si="1"/>
        <v>0</v>
      </c>
      <c r="K89" s="6">
        <f ca="1">'MATCH CALCS'!L90*1</f>
        <v>0</v>
      </c>
      <c r="L89" s="6">
        <f ca="1">'MATCH CALCS'!$N90*2</f>
        <v>0</v>
      </c>
      <c r="M89" s="6">
        <f ca="1">'MATCH CALCS'!N90*1</f>
        <v>0</v>
      </c>
      <c r="N89" s="6">
        <f ca="1">'MATCH CALCS'!$N90*2</f>
        <v>0</v>
      </c>
      <c r="O89" s="6">
        <f ca="1">'MATCH CALCS'!$N90*2</f>
        <v>0</v>
      </c>
      <c r="P89" s="6">
        <f ca="1">'MATCH CALCS'!$P90*5</f>
        <v>0</v>
      </c>
      <c r="Q89" s="154">
        <f t="shared" ca="1" si="2"/>
        <v>0</v>
      </c>
      <c r="R89" s="6">
        <f ca="1">'MATCH CALCS'!$AD90*1</f>
        <v>0</v>
      </c>
      <c r="S89" s="6">
        <f>'MATCH CALCS'!AC90*3</f>
        <v>0</v>
      </c>
      <c r="T89" s="6">
        <f ca="1">'MATCH CALCS'!AD90*3</f>
        <v>0</v>
      </c>
      <c r="U89" s="155">
        <f t="shared" ca="1" si="3"/>
        <v>0</v>
      </c>
      <c r="V89" s="154">
        <f t="shared" ca="1" si="4"/>
        <v>12</v>
      </c>
    </row>
    <row r="90" spans="1:22">
      <c r="A90" s="154" t="str">
        <f ca="1">'MATCH CALCS'!A91</f>
        <v>Practice</v>
      </c>
      <c r="B90" s="154" t="str">
        <f ca="1">'MATCH CALCS'!$C91</f>
        <v>R2</v>
      </c>
      <c r="C90" s="154">
        <f t="shared" ca="1" si="0"/>
        <v>0</v>
      </c>
      <c r="D90" s="6">
        <f ca="1">'MATCH CALCS'!$G91*2</f>
        <v>0</v>
      </c>
      <c r="E90" s="6">
        <f ca="1">'MATCH CALCS'!$G91*2</f>
        <v>0</v>
      </c>
      <c r="F90" s="6">
        <f ca="1">'MATCH CALCS'!$G91*2</f>
        <v>0</v>
      </c>
      <c r="G90" s="6">
        <f ca="1">'MATCH CALCS'!$G91*2</f>
        <v>0</v>
      </c>
      <c r="H90" s="6">
        <f ca="1">'MATCH CALCS'!$G91*2</f>
        <v>0</v>
      </c>
      <c r="I90" s="6">
        <f ca="1">'MATCH CALCS'!$G91*2</f>
        <v>0</v>
      </c>
      <c r="J90" s="154">
        <f t="shared" ca="1" si="1"/>
        <v>0</v>
      </c>
      <c r="K90" s="6">
        <f ca="1">'MATCH CALCS'!L91*1</f>
        <v>0</v>
      </c>
      <c r="L90" s="6">
        <f ca="1">'MATCH CALCS'!$N91*2</f>
        <v>0</v>
      </c>
      <c r="M90" s="6">
        <f ca="1">'MATCH CALCS'!N91*1</f>
        <v>0</v>
      </c>
      <c r="N90" s="6">
        <f ca="1">'MATCH CALCS'!$N91*2</f>
        <v>0</v>
      </c>
      <c r="O90" s="6">
        <f ca="1">'MATCH CALCS'!$N91*2</f>
        <v>0</v>
      </c>
      <c r="P90" s="6">
        <f ca="1">'MATCH CALCS'!$P91*5</f>
        <v>0</v>
      </c>
      <c r="Q90" s="154">
        <f t="shared" ca="1" si="2"/>
        <v>0</v>
      </c>
      <c r="R90" s="6">
        <f ca="1">'MATCH CALCS'!$AD91*1</f>
        <v>0</v>
      </c>
      <c r="S90" s="6">
        <f>'MATCH CALCS'!AC91*3</f>
        <v>0</v>
      </c>
      <c r="T90" s="6">
        <f ca="1">'MATCH CALCS'!AD91*3</f>
        <v>0</v>
      </c>
      <c r="U90" s="155">
        <f t="shared" ca="1" si="3"/>
        <v>0</v>
      </c>
      <c r="V90" s="154">
        <f t="shared" ca="1" si="4"/>
        <v>0</v>
      </c>
    </row>
    <row r="91" spans="1:22">
      <c r="A91" s="154" t="str">
        <f ca="1">'MATCH CALCS'!A92</f>
        <v>Practice</v>
      </c>
      <c r="B91" s="154" t="str">
        <f ca="1">'MATCH CALCS'!$C92</f>
        <v>B2</v>
      </c>
      <c r="C91" s="154">
        <f t="shared" ca="1" si="0"/>
        <v>12</v>
      </c>
      <c r="D91" s="6">
        <f ca="1">'MATCH CALCS'!$G92*2</f>
        <v>2</v>
      </c>
      <c r="E91" s="6">
        <f ca="1">'MATCH CALCS'!$G92*2</f>
        <v>2</v>
      </c>
      <c r="F91" s="6">
        <f ca="1">'MATCH CALCS'!$G92*2</f>
        <v>2</v>
      </c>
      <c r="G91" s="6">
        <f ca="1">'MATCH CALCS'!$G92*2</f>
        <v>2</v>
      </c>
      <c r="H91" s="6">
        <f ca="1">'MATCH CALCS'!$G92*2</f>
        <v>2</v>
      </c>
      <c r="I91" s="6">
        <f ca="1">'MATCH CALCS'!$G92*2</f>
        <v>2</v>
      </c>
      <c r="J91" s="154">
        <f t="shared" ca="1" si="1"/>
        <v>0</v>
      </c>
      <c r="K91" s="6">
        <f ca="1">'MATCH CALCS'!L92*1</f>
        <v>0</v>
      </c>
      <c r="L91" s="6">
        <f ca="1">'MATCH CALCS'!$N92*2</f>
        <v>0</v>
      </c>
      <c r="M91" s="6">
        <f ca="1">'MATCH CALCS'!N92*1</f>
        <v>0</v>
      </c>
      <c r="N91" s="6">
        <f ca="1">'MATCH CALCS'!$N92*2</f>
        <v>0</v>
      </c>
      <c r="O91" s="6">
        <f ca="1">'MATCH CALCS'!$N92*2</f>
        <v>0</v>
      </c>
      <c r="P91" s="6">
        <f ca="1">'MATCH CALCS'!$P92*5</f>
        <v>0</v>
      </c>
      <c r="Q91" s="154">
        <f t="shared" ca="1" si="2"/>
        <v>0</v>
      </c>
      <c r="R91" s="6">
        <f ca="1">'MATCH CALCS'!$AD92*1</f>
        <v>0</v>
      </c>
      <c r="S91" s="6">
        <f>'MATCH CALCS'!AC92*3</f>
        <v>0</v>
      </c>
      <c r="T91" s="6">
        <f ca="1">'MATCH CALCS'!AD92*3</f>
        <v>0</v>
      </c>
      <c r="U91" s="155">
        <f t="shared" ca="1" si="3"/>
        <v>0</v>
      </c>
      <c r="V91" s="154">
        <f t="shared" ca="1" si="4"/>
        <v>12</v>
      </c>
    </row>
    <row r="92" spans="1:22">
      <c r="A92" s="154" t="str">
        <f ca="1">'MATCH CALCS'!A93</f>
        <v>Practice</v>
      </c>
      <c r="B92" s="154" t="str">
        <f ca="1">'MATCH CALCS'!$C93</f>
        <v>R1</v>
      </c>
      <c r="C92" s="154">
        <f t="shared" ca="1" si="0"/>
        <v>12</v>
      </c>
      <c r="D92" s="6">
        <f ca="1">'MATCH CALCS'!$G93*2</f>
        <v>2</v>
      </c>
      <c r="E92" s="6">
        <f ca="1">'MATCH CALCS'!$G93*2</f>
        <v>2</v>
      </c>
      <c r="F92" s="6">
        <f ca="1">'MATCH CALCS'!$G93*2</f>
        <v>2</v>
      </c>
      <c r="G92" s="6">
        <f ca="1">'MATCH CALCS'!$G93*2</f>
        <v>2</v>
      </c>
      <c r="H92" s="6">
        <f ca="1">'MATCH CALCS'!$G93*2</f>
        <v>2</v>
      </c>
      <c r="I92" s="6">
        <f ca="1">'MATCH CALCS'!$G93*2</f>
        <v>2</v>
      </c>
      <c r="J92" s="154">
        <f t="shared" ca="1" si="1"/>
        <v>10</v>
      </c>
      <c r="K92" s="6">
        <f ca="1">'MATCH CALCS'!L93*1</f>
        <v>0</v>
      </c>
      <c r="L92" s="6">
        <f ca="1">'MATCH CALCS'!$N93*2</f>
        <v>0</v>
      </c>
      <c r="M92" s="6">
        <f ca="1">'MATCH CALCS'!N93*1</f>
        <v>0</v>
      </c>
      <c r="N92" s="6">
        <f ca="1">'MATCH CALCS'!$N93*2</f>
        <v>0</v>
      </c>
      <c r="O92" s="6">
        <f ca="1">'MATCH CALCS'!$N93*2</f>
        <v>0</v>
      </c>
      <c r="P92" s="6">
        <f ca="1">'MATCH CALCS'!$P93*5</f>
        <v>10</v>
      </c>
      <c r="Q92" s="154">
        <f t="shared" ca="1" si="2"/>
        <v>0</v>
      </c>
      <c r="R92" s="6">
        <f ca="1">'MATCH CALCS'!$AD93*1</f>
        <v>0</v>
      </c>
      <c r="S92" s="6">
        <f>'MATCH CALCS'!AC93*3</f>
        <v>0</v>
      </c>
      <c r="T92" s="6">
        <f ca="1">'MATCH CALCS'!AD93*3</f>
        <v>0</v>
      </c>
      <c r="U92" s="155">
        <f t="shared" ca="1" si="3"/>
        <v>0</v>
      </c>
      <c r="V92" s="154">
        <f t="shared" ca="1" si="4"/>
        <v>22</v>
      </c>
    </row>
    <row r="93" spans="1:22">
      <c r="A93" s="154" t="str">
        <f ca="1">'MATCH CALCS'!A94</f>
        <v>Practice</v>
      </c>
      <c r="B93" s="154" t="str">
        <f ca="1">'MATCH CALCS'!$C94</f>
        <v>R2</v>
      </c>
      <c r="C93" s="154">
        <f t="shared" ca="1" si="0"/>
        <v>12</v>
      </c>
      <c r="D93" s="6">
        <f ca="1">'MATCH CALCS'!$G94*2</f>
        <v>2</v>
      </c>
      <c r="E93" s="6">
        <f ca="1">'MATCH CALCS'!$G94*2</f>
        <v>2</v>
      </c>
      <c r="F93" s="6">
        <f ca="1">'MATCH CALCS'!$G94*2</f>
        <v>2</v>
      </c>
      <c r="G93" s="6">
        <f ca="1">'MATCH CALCS'!$G94*2</f>
        <v>2</v>
      </c>
      <c r="H93" s="6">
        <f ca="1">'MATCH CALCS'!$G94*2</f>
        <v>2</v>
      </c>
      <c r="I93" s="6">
        <f ca="1">'MATCH CALCS'!$G94*2</f>
        <v>2</v>
      </c>
      <c r="J93" s="154">
        <f t="shared" ca="1" si="1"/>
        <v>0</v>
      </c>
      <c r="K93" s="6">
        <f ca="1">'MATCH CALCS'!L94*1</f>
        <v>0</v>
      </c>
      <c r="L93" s="6">
        <f ca="1">'MATCH CALCS'!$N94*2</f>
        <v>0</v>
      </c>
      <c r="M93" s="6">
        <f ca="1">'MATCH CALCS'!N94*1</f>
        <v>0</v>
      </c>
      <c r="N93" s="6">
        <f ca="1">'MATCH CALCS'!$N94*2</f>
        <v>0</v>
      </c>
      <c r="O93" s="6">
        <f ca="1">'MATCH CALCS'!$N94*2</f>
        <v>0</v>
      </c>
      <c r="P93" s="6">
        <f ca="1">'MATCH CALCS'!$P94*5</f>
        <v>0</v>
      </c>
      <c r="Q93" s="154">
        <f t="shared" ca="1" si="2"/>
        <v>0</v>
      </c>
      <c r="R93" s="6">
        <f ca="1">'MATCH CALCS'!$AD94*1</f>
        <v>0</v>
      </c>
      <c r="S93" s="6">
        <f>'MATCH CALCS'!AC94*3</f>
        <v>0</v>
      </c>
      <c r="T93" s="6">
        <f ca="1">'MATCH CALCS'!AD94*3</f>
        <v>0</v>
      </c>
      <c r="U93" s="155">
        <f t="shared" ca="1" si="3"/>
        <v>0</v>
      </c>
      <c r="V93" s="154">
        <f t="shared" ca="1" si="4"/>
        <v>12</v>
      </c>
    </row>
    <row r="94" spans="1:22">
      <c r="A94" s="154" t="str">
        <f ca="1">'MATCH CALCS'!A95</f>
        <v>Practice</v>
      </c>
      <c r="B94" s="154" t="str">
        <f ca="1">'MATCH CALCS'!$C95</f>
        <v>B3</v>
      </c>
      <c r="C94" s="154">
        <f t="shared" ca="1" si="0"/>
        <v>12</v>
      </c>
      <c r="D94" s="6">
        <f ca="1">'MATCH CALCS'!$G95*2</f>
        <v>2</v>
      </c>
      <c r="E94" s="6">
        <f ca="1">'MATCH CALCS'!$G95*2</f>
        <v>2</v>
      </c>
      <c r="F94" s="6">
        <f ca="1">'MATCH CALCS'!$G95*2</f>
        <v>2</v>
      </c>
      <c r="G94" s="6">
        <f ca="1">'MATCH CALCS'!$G95*2</f>
        <v>2</v>
      </c>
      <c r="H94" s="6">
        <f ca="1">'MATCH CALCS'!$G95*2</f>
        <v>2</v>
      </c>
      <c r="I94" s="6">
        <f ca="1">'MATCH CALCS'!$G95*2</f>
        <v>2</v>
      </c>
      <c r="J94" s="154">
        <f t="shared" ca="1" si="1"/>
        <v>0</v>
      </c>
      <c r="K94" s="6">
        <f ca="1">'MATCH CALCS'!L95*1</f>
        <v>0</v>
      </c>
      <c r="L94" s="6">
        <f ca="1">'MATCH CALCS'!$N95*2</f>
        <v>0</v>
      </c>
      <c r="M94" s="6">
        <f ca="1">'MATCH CALCS'!N95*1</f>
        <v>0</v>
      </c>
      <c r="N94" s="6">
        <f ca="1">'MATCH CALCS'!$N95*2</f>
        <v>0</v>
      </c>
      <c r="O94" s="6">
        <f ca="1">'MATCH CALCS'!$N95*2</f>
        <v>0</v>
      </c>
      <c r="P94" s="6">
        <f ca="1">'MATCH CALCS'!$P95*5</f>
        <v>0</v>
      </c>
      <c r="Q94" s="154">
        <f t="shared" ca="1" si="2"/>
        <v>0</v>
      </c>
      <c r="R94" s="6">
        <f ca="1">'MATCH CALCS'!$AD95*1</f>
        <v>0</v>
      </c>
      <c r="S94" s="6">
        <f>'MATCH CALCS'!AC95*3</f>
        <v>0</v>
      </c>
      <c r="T94" s="6">
        <f ca="1">'MATCH CALCS'!AD95*3</f>
        <v>0</v>
      </c>
      <c r="U94" s="155">
        <f t="shared" ca="1" si="3"/>
        <v>0</v>
      </c>
      <c r="V94" s="154">
        <f t="shared" ca="1" si="4"/>
        <v>12</v>
      </c>
    </row>
    <row r="95" spans="1:22">
      <c r="A95" s="154" t="str">
        <f ca="1">'MATCH CALCS'!A96</f>
        <v>Practice</v>
      </c>
      <c r="B95" s="154" t="str">
        <f ca="1">'MATCH CALCS'!$C96</f>
        <v>B1</v>
      </c>
      <c r="C95" s="154">
        <f t="shared" ca="1" si="0"/>
        <v>12</v>
      </c>
      <c r="D95" s="6">
        <f ca="1">'MATCH CALCS'!$G96*2</f>
        <v>2</v>
      </c>
      <c r="E95" s="6">
        <f ca="1">'MATCH CALCS'!$G96*2</f>
        <v>2</v>
      </c>
      <c r="F95" s="6">
        <f ca="1">'MATCH CALCS'!$G96*2</f>
        <v>2</v>
      </c>
      <c r="G95" s="6">
        <f ca="1">'MATCH CALCS'!$G96*2</f>
        <v>2</v>
      </c>
      <c r="H95" s="6">
        <f ca="1">'MATCH CALCS'!$G96*2</f>
        <v>2</v>
      </c>
      <c r="I95" s="6">
        <f ca="1">'MATCH CALCS'!$G96*2</f>
        <v>2</v>
      </c>
      <c r="J95" s="154">
        <f t="shared" ca="1" si="1"/>
        <v>0</v>
      </c>
      <c r="K95" s="6">
        <f ca="1">'MATCH CALCS'!L96*1</f>
        <v>0</v>
      </c>
      <c r="L95" s="6">
        <f ca="1">'MATCH CALCS'!$N96*2</f>
        <v>0</v>
      </c>
      <c r="M95" s="6">
        <f ca="1">'MATCH CALCS'!N96*1</f>
        <v>0</v>
      </c>
      <c r="N95" s="6">
        <f ca="1">'MATCH CALCS'!$N96*2</f>
        <v>0</v>
      </c>
      <c r="O95" s="6">
        <f ca="1">'MATCH CALCS'!$N96*2</f>
        <v>0</v>
      </c>
      <c r="P95" s="6">
        <f ca="1">'MATCH CALCS'!$P96*5</f>
        <v>0</v>
      </c>
      <c r="Q95" s="154">
        <f t="shared" ca="1" si="2"/>
        <v>0</v>
      </c>
      <c r="R95" s="6">
        <f ca="1">'MATCH CALCS'!$AD96*1</f>
        <v>0</v>
      </c>
      <c r="S95" s="6">
        <f>'MATCH CALCS'!AC96*3</f>
        <v>0</v>
      </c>
      <c r="T95" s="6">
        <f ca="1">'MATCH CALCS'!AD96*3</f>
        <v>0</v>
      </c>
      <c r="U95" s="155">
        <f t="shared" ca="1" si="3"/>
        <v>0</v>
      </c>
      <c r="V95" s="154">
        <f t="shared" ca="1" si="4"/>
        <v>12</v>
      </c>
    </row>
    <row r="96" spans="1:22">
      <c r="A96" s="154" t="str">
        <f ca="1">'MATCH CALCS'!A97</f>
        <v>Practice</v>
      </c>
      <c r="B96" s="154" t="str">
        <f ca="1">'MATCH CALCS'!$C97</f>
        <v>B2</v>
      </c>
      <c r="C96" s="154">
        <f t="shared" ca="1" si="0"/>
        <v>12</v>
      </c>
      <c r="D96" s="6">
        <f ca="1">'MATCH CALCS'!$G97*2</f>
        <v>2</v>
      </c>
      <c r="E96" s="6">
        <f ca="1">'MATCH CALCS'!$G97*2</f>
        <v>2</v>
      </c>
      <c r="F96" s="6">
        <f ca="1">'MATCH CALCS'!$G97*2</f>
        <v>2</v>
      </c>
      <c r="G96" s="6">
        <f ca="1">'MATCH CALCS'!$G97*2</f>
        <v>2</v>
      </c>
      <c r="H96" s="6">
        <f ca="1">'MATCH CALCS'!$G97*2</f>
        <v>2</v>
      </c>
      <c r="I96" s="6">
        <f ca="1">'MATCH CALCS'!$G97*2</f>
        <v>2</v>
      </c>
      <c r="J96" s="154">
        <f t="shared" ca="1" si="1"/>
        <v>5</v>
      </c>
      <c r="K96" s="6">
        <f ca="1">'MATCH CALCS'!L97*1</f>
        <v>0</v>
      </c>
      <c r="L96" s="6">
        <f ca="1">'MATCH CALCS'!$N97*2</f>
        <v>0</v>
      </c>
      <c r="M96" s="6">
        <f ca="1">'MATCH CALCS'!N97*1</f>
        <v>0</v>
      </c>
      <c r="N96" s="6">
        <f ca="1">'MATCH CALCS'!$N97*2</f>
        <v>0</v>
      </c>
      <c r="O96" s="6">
        <f ca="1">'MATCH CALCS'!$N97*2</f>
        <v>0</v>
      </c>
      <c r="P96" s="6">
        <f ca="1">'MATCH CALCS'!$P97*5</f>
        <v>5</v>
      </c>
      <c r="Q96" s="154">
        <f t="shared" ca="1" si="2"/>
        <v>0</v>
      </c>
      <c r="R96" s="6">
        <f ca="1">'MATCH CALCS'!$AD97*1</f>
        <v>0</v>
      </c>
      <c r="S96" s="6">
        <f>'MATCH CALCS'!AC97*3</f>
        <v>0</v>
      </c>
      <c r="T96" s="6">
        <f ca="1">'MATCH CALCS'!AD97*3</f>
        <v>0</v>
      </c>
      <c r="U96" s="155">
        <f t="shared" ca="1" si="3"/>
        <v>0</v>
      </c>
      <c r="V96" s="154">
        <f t="shared" ca="1" si="4"/>
        <v>17</v>
      </c>
    </row>
    <row r="97" spans="1:22">
      <c r="A97" s="154" t="str">
        <f ca="1">'MATCH CALCS'!A98</f>
        <v>Practice</v>
      </c>
      <c r="B97" s="154" t="str">
        <f ca="1">'MATCH CALCS'!$C98</f>
        <v>B1</v>
      </c>
      <c r="C97" s="154">
        <f t="shared" ca="1" si="0"/>
        <v>12</v>
      </c>
      <c r="D97" s="6">
        <f ca="1">'MATCH CALCS'!$G98*2</f>
        <v>2</v>
      </c>
      <c r="E97" s="6">
        <f ca="1">'MATCH CALCS'!$G98*2</f>
        <v>2</v>
      </c>
      <c r="F97" s="6">
        <f ca="1">'MATCH CALCS'!$G98*2</f>
        <v>2</v>
      </c>
      <c r="G97" s="6">
        <f ca="1">'MATCH CALCS'!$G98*2</f>
        <v>2</v>
      </c>
      <c r="H97" s="6">
        <f ca="1">'MATCH CALCS'!$G98*2</f>
        <v>2</v>
      </c>
      <c r="I97" s="6">
        <f ca="1">'MATCH CALCS'!$G98*2</f>
        <v>2</v>
      </c>
      <c r="J97" s="154">
        <f t="shared" ca="1" si="1"/>
        <v>1</v>
      </c>
      <c r="K97" s="6">
        <f ca="1">'MATCH CALCS'!L98*1</f>
        <v>1</v>
      </c>
      <c r="L97" s="6">
        <f ca="1">'MATCH CALCS'!$N98*2</f>
        <v>0</v>
      </c>
      <c r="M97" s="6">
        <f ca="1">'MATCH CALCS'!N98*1</f>
        <v>0</v>
      </c>
      <c r="N97" s="6">
        <f ca="1">'MATCH CALCS'!$N98*2</f>
        <v>0</v>
      </c>
      <c r="O97" s="6">
        <f ca="1">'MATCH CALCS'!$N98*2</f>
        <v>0</v>
      </c>
      <c r="P97" s="6">
        <f ca="1">'MATCH CALCS'!$P98*5</f>
        <v>0</v>
      </c>
      <c r="Q97" s="154">
        <f t="shared" ca="1" si="2"/>
        <v>0</v>
      </c>
      <c r="R97" s="6">
        <f ca="1">'MATCH CALCS'!$AD98*1</f>
        <v>0</v>
      </c>
      <c r="S97" s="6">
        <f>'MATCH CALCS'!AC98*3</f>
        <v>0</v>
      </c>
      <c r="T97" s="6">
        <f ca="1">'MATCH CALCS'!AD98*3</f>
        <v>0</v>
      </c>
      <c r="U97" s="155">
        <f t="shared" ca="1" si="3"/>
        <v>0</v>
      </c>
      <c r="V97" s="154">
        <f t="shared" ca="1" si="4"/>
        <v>13</v>
      </c>
    </row>
    <row r="98" spans="1:22">
      <c r="A98" s="154" t="str">
        <f ca="1">'MATCH CALCS'!A99</f>
        <v>Practice</v>
      </c>
      <c r="B98" s="154" t="str">
        <f ca="1">'MATCH CALCS'!$C99</f>
        <v>R1</v>
      </c>
      <c r="C98" s="154">
        <f t="shared" ca="1" si="0"/>
        <v>12</v>
      </c>
      <c r="D98" s="6">
        <f ca="1">'MATCH CALCS'!$G99*2</f>
        <v>2</v>
      </c>
      <c r="E98" s="6">
        <f ca="1">'MATCH CALCS'!$G99*2</f>
        <v>2</v>
      </c>
      <c r="F98" s="6">
        <f ca="1">'MATCH CALCS'!$G99*2</f>
        <v>2</v>
      </c>
      <c r="G98" s="6">
        <f ca="1">'MATCH CALCS'!$G99*2</f>
        <v>2</v>
      </c>
      <c r="H98" s="6">
        <f ca="1">'MATCH CALCS'!$G99*2</f>
        <v>2</v>
      </c>
      <c r="I98" s="6">
        <f ca="1">'MATCH CALCS'!$G99*2</f>
        <v>2</v>
      </c>
      <c r="J98" s="154">
        <f t="shared" ca="1" si="1"/>
        <v>10</v>
      </c>
      <c r="K98" s="6">
        <f ca="1">'MATCH CALCS'!L99*1</f>
        <v>0</v>
      </c>
      <c r="L98" s="6">
        <f ca="1">'MATCH CALCS'!$N99*2</f>
        <v>0</v>
      </c>
      <c r="M98" s="6">
        <f ca="1">'MATCH CALCS'!N99*1</f>
        <v>0</v>
      </c>
      <c r="N98" s="6">
        <f ca="1">'MATCH CALCS'!$N99*2</f>
        <v>0</v>
      </c>
      <c r="O98" s="6">
        <f ca="1">'MATCH CALCS'!$N99*2</f>
        <v>0</v>
      </c>
      <c r="P98" s="6">
        <f ca="1">'MATCH CALCS'!$P99*5</f>
        <v>10</v>
      </c>
      <c r="Q98" s="154">
        <f t="shared" ca="1" si="2"/>
        <v>0</v>
      </c>
      <c r="R98" s="6">
        <f ca="1">'MATCH CALCS'!$AD99*1</f>
        <v>0</v>
      </c>
      <c r="S98" s="6">
        <f>'MATCH CALCS'!AC99*3</f>
        <v>0</v>
      </c>
      <c r="T98" s="6">
        <f ca="1">'MATCH CALCS'!AD99*3</f>
        <v>0</v>
      </c>
      <c r="U98" s="155">
        <f t="shared" ca="1" si="3"/>
        <v>0</v>
      </c>
      <c r="V98" s="154">
        <f t="shared" ca="1" si="4"/>
        <v>22</v>
      </c>
    </row>
    <row r="99" spans="1:22">
      <c r="A99" s="154" t="str">
        <f ca="1">'MATCH CALCS'!A100</f>
        <v>Practice</v>
      </c>
      <c r="B99" s="154" t="str">
        <f ca="1">'MATCH CALCS'!$C100</f>
        <v>R2</v>
      </c>
      <c r="C99" s="154">
        <f t="shared" ca="1" si="0"/>
        <v>12</v>
      </c>
      <c r="D99" s="6">
        <f ca="1">'MATCH CALCS'!$G100*2</f>
        <v>2</v>
      </c>
      <c r="E99" s="6">
        <f ca="1">'MATCH CALCS'!$G100*2</f>
        <v>2</v>
      </c>
      <c r="F99" s="6">
        <f ca="1">'MATCH CALCS'!$G100*2</f>
        <v>2</v>
      </c>
      <c r="G99" s="6">
        <f ca="1">'MATCH CALCS'!$G100*2</f>
        <v>2</v>
      </c>
      <c r="H99" s="6">
        <f ca="1">'MATCH CALCS'!$G100*2</f>
        <v>2</v>
      </c>
      <c r="I99" s="6">
        <f ca="1">'MATCH CALCS'!$G100*2</f>
        <v>2</v>
      </c>
      <c r="J99" s="154">
        <f t="shared" ca="1" si="1"/>
        <v>0</v>
      </c>
      <c r="K99" s="6">
        <f ca="1">'MATCH CALCS'!L100*1</f>
        <v>0</v>
      </c>
      <c r="L99" s="6">
        <f ca="1">'MATCH CALCS'!$N100*2</f>
        <v>0</v>
      </c>
      <c r="M99" s="6">
        <f ca="1">'MATCH CALCS'!N100*1</f>
        <v>0</v>
      </c>
      <c r="N99" s="6">
        <f ca="1">'MATCH CALCS'!$N100*2</f>
        <v>0</v>
      </c>
      <c r="O99" s="6">
        <f ca="1">'MATCH CALCS'!$N100*2</f>
        <v>0</v>
      </c>
      <c r="P99" s="6">
        <f ca="1">'MATCH CALCS'!$P100*5</f>
        <v>0</v>
      </c>
      <c r="Q99" s="154">
        <f t="shared" ca="1" si="2"/>
        <v>0</v>
      </c>
      <c r="R99" s="6">
        <f ca="1">'MATCH CALCS'!$AD100*1</f>
        <v>0</v>
      </c>
      <c r="S99" s="6">
        <f>'MATCH CALCS'!AC100*3</f>
        <v>0</v>
      </c>
      <c r="T99" s="6">
        <f ca="1">'MATCH CALCS'!AD100*3</f>
        <v>0</v>
      </c>
      <c r="U99" s="155">
        <f t="shared" ca="1" si="3"/>
        <v>0</v>
      </c>
      <c r="V99" s="154">
        <f t="shared" ca="1" si="4"/>
        <v>12</v>
      </c>
    </row>
    <row r="100" spans="1:22">
      <c r="A100" s="154" t="str">
        <f ca="1">'MATCH CALCS'!A101</f>
        <v>Practice</v>
      </c>
      <c r="B100" s="154" t="str">
        <f ca="1">'MATCH CALCS'!$C101</f>
        <v>R3</v>
      </c>
      <c r="C100" s="154">
        <f t="shared" ca="1" si="0"/>
        <v>12</v>
      </c>
      <c r="D100" s="6">
        <f ca="1">'MATCH CALCS'!$G101*2</f>
        <v>2</v>
      </c>
      <c r="E100" s="6">
        <f ca="1">'MATCH CALCS'!$G101*2</f>
        <v>2</v>
      </c>
      <c r="F100" s="6">
        <f ca="1">'MATCH CALCS'!$G101*2</f>
        <v>2</v>
      </c>
      <c r="G100" s="6">
        <f ca="1">'MATCH CALCS'!$G101*2</f>
        <v>2</v>
      </c>
      <c r="H100" s="6">
        <f ca="1">'MATCH CALCS'!$G101*2</f>
        <v>2</v>
      </c>
      <c r="I100" s="6">
        <f ca="1">'MATCH CALCS'!$G101*2</f>
        <v>2</v>
      </c>
      <c r="J100" s="154">
        <f t="shared" ca="1" si="1"/>
        <v>1</v>
      </c>
      <c r="K100" s="6">
        <f ca="1">'MATCH CALCS'!L101*1</f>
        <v>1</v>
      </c>
      <c r="L100" s="6">
        <f ca="1">'MATCH CALCS'!$N101*2</f>
        <v>0</v>
      </c>
      <c r="M100" s="6">
        <f ca="1">'MATCH CALCS'!N101*1</f>
        <v>0</v>
      </c>
      <c r="N100" s="6">
        <f ca="1">'MATCH CALCS'!$N101*2</f>
        <v>0</v>
      </c>
      <c r="O100" s="6">
        <f ca="1">'MATCH CALCS'!$N101*2</f>
        <v>0</v>
      </c>
      <c r="P100" s="6">
        <f ca="1">'MATCH CALCS'!$P101*5</f>
        <v>0</v>
      </c>
      <c r="Q100" s="154">
        <f t="shared" ca="1" si="2"/>
        <v>4</v>
      </c>
      <c r="R100" s="6">
        <f ca="1">'MATCH CALCS'!$AD101*1</f>
        <v>1</v>
      </c>
      <c r="S100" s="6">
        <f>'MATCH CALCS'!AC101*3</f>
        <v>0</v>
      </c>
      <c r="T100" s="6">
        <f ca="1">'MATCH CALCS'!AD101*3</f>
        <v>3</v>
      </c>
      <c r="U100" s="155">
        <f t="shared" ca="1" si="3"/>
        <v>4</v>
      </c>
      <c r="V100" s="154">
        <f t="shared" ca="1" si="4"/>
        <v>17</v>
      </c>
    </row>
    <row r="101" spans="1:22">
      <c r="A101" s="154" t="str">
        <f ca="1">'MATCH CALCS'!A102</f>
        <v>Practice</v>
      </c>
      <c r="B101" s="154" t="str">
        <f ca="1">'MATCH CALCS'!$C102</f>
        <v>B3</v>
      </c>
      <c r="C101" s="154">
        <f t="shared" ca="1" si="0"/>
        <v>12</v>
      </c>
      <c r="D101" s="6">
        <f ca="1">'MATCH CALCS'!$G102*2</f>
        <v>2</v>
      </c>
      <c r="E101" s="6">
        <f ca="1">'MATCH CALCS'!$G102*2</f>
        <v>2</v>
      </c>
      <c r="F101" s="6">
        <f ca="1">'MATCH CALCS'!$G102*2</f>
        <v>2</v>
      </c>
      <c r="G101" s="6">
        <f ca="1">'MATCH CALCS'!$G102*2</f>
        <v>2</v>
      </c>
      <c r="H101" s="6">
        <f ca="1">'MATCH CALCS'!$G102*2</f>
        <v>2</v>
      </c>
      <c r="I101" s="6">
        <f ca="1">'MATCH CALCS'!$G102*2</f>
        <v>2</v>
      </c>
      <c r="J101" s="154">
        <f t="shared" ca="1" si="1"/>
        <v>0</v>
      </c>
      <c r="K101" s="6">
        <f ca="1">'MATCH CALCS'!L102*1</f>
        <v>0</v>
      </c>
      <c r="L101" s="6">
        <f ca="1">'MATCH CALCS'!$N102*2</f>
        <v>0</v>
      </c>
      <c r="M101" s="6">
        <f ca="1">'MATCH CALCS'!N102*1</f>
        <v>0</v>
      </c>
      <c r="N101" s="6">
        <f ca="1">'MATCH CALCS'!$N102*2</f>
        <v>0</v>
      </c>
      <c r="O101" s="6">
        <f ca="1">'MATCH CALCS'!$N102*2</f>
        <v>0</v>
      </c>
      <c r="P101" s="6">
        <f ca="1">'MATCH CALCS'!$P102*5</f>
        <v>0</v>
      </c>
      <c r="Q101" s="154">
        <f t="shared" ca="1" si="2"/>
        <v>0</v>
      </c>
      <c r="R101" s="6">
        <f ca="1">'MATCH CALCS'!$AD102*1</f>
        <v>0</v>
      </c>
      <c r="S101" s="6">
        <f>'MATCH CALCS'!AC102*3</f>
        <v>0</v>
      </c>
      <c r="T101" s="6">
        <f ca="1">'MATCH CALCS'!AD102*3</f>
        <v>0</v>
      </c>
      <c r="U101" s="155">
        <f t="shared" ca="1" si="3"/>
        <v>0</v>
      </c>
      <c r="V101" s="154">
        <f t="shared" ca="1" si="4"/>
        <v>12</v>
      </c>
    </row>
    <row r="102" spans="1:22">
      <c r="A102" s="154" t="str">
        <f ca="1">'MATCH CALCS'!A103</f>
        <v>Practice</v>
      </c>
      <c r="B102" s="154" t="str">
        <f ca="1">'MATCH CALCS'!$C103</f>
        <v>B1</v>
      </c>
      <c r="C102" s="154">
        <f t="shared" ca="1" si="0"/>
        <v>12</v>
      </c>
      <c r="D102" s="6">
        <f ca="1">'MATCH CALCS'!$G103*2</f>
        <v>2</v>
      </c>
      <c r="E102" s="6">
        <f ca="1">'MATCH CALCS'!$G103*2</f>
        <v>2</v>
      </c>
      <c r="F102" s="6">
        <f ca="1">'MATCH CALCS'!$G103*2</f>
        <v>2</v>
      </c>
      <c r="G102" s="6">
        <f ca="1">'MATCH CALCS'!$G103*2</f>
        <v>2</v>
      </c>
      <c r="H102" s="6">
        <f ca="1">'MATCH CALCS'!$G103*2</f>
        <v>2</v>
      </c>
      <c r="I102" s="6">
        <f ca="1">'MATCH CALCS'!$G103*2</f>
        <v>2</v>
      </c>
      <c r="J102" s="154">
        <f t="shared" ca="1" si="1"/>
        <v>0</v>
      </c>
      <c r="K102" s="6">
        <f ca="1">'MATCH CALCS'!L103*1</f>
        <v>0</v>
      </c>
      <c r="L102" s="6">
        <f ca="1">'MATCH CALCS'!$N103*2</f>
        <v>0</v>
      </c>
      <c r="M102" s="6">
        <f ca="1">'MATCH CALCS'!N103*1</f>
        <v>0</v>
      </c>
      <c r="N102" s="6">
        <f ca="1">'MATCH CALCS'!$N103*2</f>
        <v>0</v>
      </c>
      <c r="O102" s="6">
        <f ca="1">'MATCH CALCS'!$N103*2</f>
        <v>0</v>
      </c>
      <c r="P102" s="6">
        <f ca="1">'MATCH CALCS'!$P103*5</f>
        <v>0</v>
      </c>
      <c r="Q102" s="154">
        <f t="shared" ca="1" si="2"/>
        <v>0</v>
      </c>
      <c r="R102" s="6">
        <f ca="1">'MATCH CALCS'!$AD103*1</f>
        <v>0</v>
      </c>
      <c r="S102" s="6">
        <f>'MATCH CALCS'!AC103*3</f>
        <v>0</v>
      </c>
      <c r="T102" s="6">
        <f ca="1">'MATCH CALCS'!AD103*3</f>
        <v>0</v>
      </c>
      <c r="U102" s="155">
        <f t="shared" ca="1" si="3"/>
        <v>0</v>
      </c>
      <c r="V102" s="154">
        <f t="shared" ca="1" si="4"/>
        <v>12</v>
      </c>
    </row>
    <row r="103" spans="1:22">
      <c r="A103" s="154" t="str">
        <f ca="1">'MATCH CALCS'!A104</f>
        <v>Practice</v>
      </c>
      <c r="B103" s="154" t="str">
        <f ca="1">'MATCH CALCS'!$C104</f>
        <v>R1</v>
      </c>
      <c r="C103" s="154">
        <f t="shared" ca="1" si="0"/>
        <v>12</v>
      </c>
      <c r="D103" s="6">
        <f ca="1">'MATCH CALCS'!$G104*2</f>
        <v>2</v>
      </c>
      <c r="E103" s="6">
        <f ca="1">'MATCH CALCS'!$G104*2</f>
        <v>2</v>
      </c>
      <c r="F103" s="6">
        <f ca="1">'MATCH CALCS'!$G104*2</f>
        <v>2</v>
      </c>
      <c r="G103" s="6">
        <f ca="1">'MATCH CALCS'!$G104*2</f>
        <v>2</v>
      </c>
      <c r="H103" s="6">
        <f ca="1">'MATCH CALCS'!$G104*2</f>
        <v>2</v>
      </c>
      <c r="I103" s="6">
        <f ca="1">'MATCH CALCS'!$G104*2</f>
        <v>2</v>
      </c>
      <c r="J103" s="154">
        <f t="shared" ca="1" si="1"/>
        <v>0</v>
      </c>
      <c r="K103" s="6">
        <f ca="1">'MATCH CALCS'!L104*1</f>
        <v>0</v>
      </c>
      <c r="L103" s="6">
        <f ca="1">'MATCH CALCS'!$N104*2</f>
        <v>0</v>
      </c>
      <c r="M103" s="6">
        <f ca="1">'MATCH CALCS'!N104*1</f>
        <v>0</v>
      </c>
      <c r="N103" s="6">
        <f ca="1">'MATCH CALCS'!$N104*2</f>
        <v>0</v>
      </c>
      <c r="O103" s="6">
        <f ca="1">'MATCH CALCS'!$N104*2</f>
        <v>0</v>
      </c>
      <c r="P103" s="6">
        <f ca="1">'MATCH CALCS'!$P104*5</f>
        <v>0</v>
      </c>
      <c r="Q103" s="154">
        <f t="shared" ca="1" si="2"/>
        <v>0</v>
      </c>
      <c r="R103" s="6">
        <f ca="1">'MATCH CALCS'!$AD104*1</f>
        <v>0</v>
      </c>
      <c r="S103" s="6">
        <f>'MATCH CALCS'!AC104*3</f>
        <v>0</v>
      </c>
      <c r="T103" s="6">
        <f ca="1">'MATCH CALCS'!AD104*3</f>
        <v>0</v>
      </c>
      <c r="U103" s="155">
        <f t="shared" ca="1" si="3"/>
        <v>0</v>
      </c>
      <c r="V103" s="154">
        <f t="shared" ca="1" si="4"/>
        <v>12</v>
      </c>
    </row>
    <row r="104" spans="1:22">
      <c r="A104" s="154" t="str">
        <f ca="1">'MATCH CALCS'!A105</f>
        <v>Practice</v>
      </c>
      <c r="B104" s="154" t="str">
        <f ca="1">'MATCH CALCS'!$C105</f>
        <v>R3</v>
      </c>
      <c r="C104" s="154">
        <f t="shared" ca="1" si="0"/>
        <v>12</v>
      </c>
      <c r="D104" s="6">
        <f ca="1">'MATCH CALCS'!$G105*2</f>
        <v>2</v>
      </c>
      <c r="E104" s="6">
        <f ca="1">'MATCH CALCS'!$G105*2</f>
        <v>2</v>
      </c>
      <c r="F104" s="6">
        <f ca="1">'MATCH CALCS'!$G105*2</f>
        <v>2</v>
      </c>
      <c r="G104" s="6">
        <f ca="1">'MATCH CALCS'!$G105*2</f>
        <v>2</v>
      </c>
      <c r="H104" s="6">
        <f ca="1">'MATCH CALCS'!$G105*2</f>
        <v>2</v>
      </c>
      <c r="I104" s="6">
        <f ca="1">'MATCH CALCS'!$G105*2</f>
        <v>2</v>
      </c>
      <c r="J104" s="154">
        <f t="shared" ca="1" si="1"/>
        <v>0</v>
      </c>
      <c r="K104" s="6">
        <f ca="1">'MATCH CALCS'!L105*1</f>
        <v>0</v>
      </c>
      <c r="L104" s="6">
        <f ca="1">'MATCH CALCS'!$N105*2</f>
        <v>0</v>
      </c>
      <c r="M104" s="6">
        <f ca="1">'MATCH CALCS'!N105*1</f>
        <v>0</v>
      </c>
      <c r="N104" s="6">
        <f ca="1">'MATCH CALCS'!$N105*2</f>
        <v>0</v>
      </c>
      <c r="O104" s="6">
        <f ca="1">'MATCH CALCS'!$N105*2</f>
        <v>0</v>
      </c>
      <c r="P104" s="6">
        <f ca="1">'MATCH CALCS'!$P105*5</f>
        <v>0</v>
      </c>
      <c r="Q104" s="154">
        <f t="shared" ca="1" si="2"/>
        <v>0</v>
      </c>
      <c r="R104" s="6">
        <f ca="1">'MATCH CALCS'!$AD105*1</f>
        <v>0</v>
      </c>
      <c r="S104" s="6">
        <f>'MATCH CALCS'!AC105*3</f>
        <v>0</v>
      </c>
      <c r="T104" s="6">
        <f ca="1">'MATCH CALCS'!AD105*3</f>
        <v>0</v>
      </c>
      <c r="U104" s="155">
        <f t="shared" ca="1" si="3"/>
        <v>0</v>
      </c>
      <c r="V104" s="154">
        <f t="shared" ca="1" si="4"/>
        <v>12</v>
      </c>
    </row>
    <row r="105" spans="1:22">
      <c r="A105" s="154" t="str">
        <f ca="1">'MATCH CALCS'!A106</f>
        <v>Practice</v>
      </c>
      <c r="B105" s="154" t="str">
        <f ca="1">'MATCH CALCS'!$C106</f>
        <v>R2</v>
      </c>
      <c r="C105" s="154">
        <f t="shared" ca="1" si="0"/>
        <v>12</v>
      </c>
      <c r="D105" s="6">
        <f ca="1">'MATCH CALCS'!$G106*2</f>
        <v>2</v>
      </c>
      <c r="E105" s="6">
        <f ca="1">'MATCH CALCS'!$G106*2</f>
        <v>2</v>
      </c>
      <c r="F105" s="6">
        <f ca="1">'MATCH CALCS'!$G106*2</f>
        <v>2</v>
      </c>
      <c r="G105" s="6">
        <f ca="1">'MATCH CALCS'!$G106*2</f>
        <v>2</v>
      </c>
      <c r="H105" s="6">
        <f ca="1">'MATCH CALCS'!$G106*2</f>
        <v>2</v>
      </c>
      <c r="I105" s="6">
        <f ca="1">'MATCH CALCS'!$G106*2</f>
        <v>2</v>
      </c>
      <c r="J105" s="154">
        <f t="shared" ca="1" si="1"/>
        <v>11</v>
      </c>
      <c r="K105" s="6">
        <f ca="1">'MATCH CALCS'!L106*1</f>
        <v>1</v>
      </c>
      <c r="L105" s="6">
        <f ca="1">'MATCH CALCS'!$N106*2</f>
        <v>0</v>
      </c>
      <c r="M105" s="6">
        <f ca="1">'MATCH CALCS'!N106*1</f>
        <v>0</v>
      </c>
      <c r="N105" s="6">
        <f ca="1">'MATCH CALCS'!$N106*2</f>
        <v>0</v>
      </c>
      <c r="O105" s="6">
        <f ca="1">'MATCH CALCS'!$N106*2</f>
        <v>0</v>
      </c>
      <c r="P105" s="6">
        <f ca="1">'MATCH CALCS'!$P106*5</f>
        <v>10</v>
      </c>
      <c r="Q105" s="154">
        <f t="shared" ca="1" si="2"/>
        <v>0</v>
      </c>
      <c r="R105" s="6">
        <f ca="1">'MATCH CALCS'!$AD106*1</f>
        <v>0</v>
      </c>
      <c r="S105" s="6">
        <f>'MATCH CALCS'!AC106*3</f>
        <v>0</v>
      </c>
      <c r="T105" s="6">
        <f ca="1">'MATCH CALCS'!AD106*3</f>
        <v>0</v>
      </c>
      <c r="U105" s="155">
        <f t="shared" ca="1" si="3"/>
        <v>0</v>
      </c>
      <c r="V105" s="154">
        <f t="shared" ca="1" si="4"/>
        <v>23</v>
      </c>
    </row>
    <row r="106" spans="1:22">
      <c r="A106" s="154" t="str">
        <f ca="1">'MATCH CALCS'!A107</f>
        <v>Practice</v>
      </c>
      <c r="B106" s="154" t="str">
        <f ca="1">'MATCH CALCS'!$C107</f>
        <v>B3</v>
      </c>
      <c r="C106" s="154">
        <f t="shared" ca="1" si="0"/>
        <v>12</v>
      </c>
      <c r="D106" s="6">
        <f ca="1">'MATCH CALCS'!$G107*2</f>
        <v>2</v>
      </c>
      <c r="E106" s="6">
        <f ca="1">'MATCH CALCS'!$G107*2</f>
        <v>2</v>
      </c>
      <c r="F106" s="6">
        <f ca="1">'MATCH CALCS'!$G107*2</f>
        <v>2</v>
      </c>
      <c r="G106" s="6">
        <f ca="1">'MATCH CALCS'!$G107*2</f>
        <v>2</v>
      </c>
      <c r="H106" s="6">
        <f ca="1">'MATCH CALCS'!$G107*2</f>
        <v>2</v>
      </c>
      <c r="I106" s="6">
        <f ca="1">'MATCH CALCS'!$G107*2</f>
        <v>2</v>
      </c>
      <c r="J106" s="154">
        <f t="shared" ca="1" si="1"/>
        <v>0</v>
      </c>
      <c r="K106" s="6">
        <f ca="1">'MATCH CALCS'!L107*1</f>
        <v>0</v>
      </c>
      <c r="L106" s="6">
        <f ca="1">'MATCH CALCS'!$N107*2</f>
        <v>0</v>
      </c>
      <c r="M106" s="6">
        <f ca="1">'MATCH CALCS'!N107*1</f>
        <v>0</v>
      </c>
      <c r="N106" s="6">
        <f ca="1">'MATCH CALCS'!$N107*2</f>
        <v>0</v>
      </c>
      <c r="O106" s="6">
        <f ca="1">'MATCH CALCS'!$N107*2</f>
        <v>0</v>
      </c>
      <c r="P106" s="6">
        <f ca="1">'MATCH CALCS'!$P107*5</f>
        <v>0</v>
      </c>
      <c r="Q106" s="154">
        <f t="shared" ca="1" si="2"/>
        <v>0</v>
      </c>
      <c r="R106" s="6">
        <f ca="1">'MATCH CALCS'!$AD107*1</f>
        <v>0</v>
      </c>
      <c r="S106" s="6">
        <f>'MATCH CALCS'!AC107*3</f>
        <v>0</v>
      </c>
      <c r="T106" s="6">
        <f ca="1">'MATCH CALCS'!AD107*3</f>
        <v>0</v>
      </c>
      <c r="U106" s="155">
        <f t="shared" ca="1" si="3"/>
        <v>0</v>
      </c>
      <c r="V106" s="154">
        <f t="shared" ca="1" si="4"/>
        <v>12</v>
      </c>
    </row>
    <row r="107" spans="1:22">
      <c r="A107" s="154" t="str">
        <f ca="1">'MATCH CALCS'!A108</f>
        <v>Practice</v>
      </c>
      <c r="B107" s="154" t="str">
        <f ca="1">'MATCH CALCS'!$C108</f>
        <v>B2</v>
      </c>
      <c r="C107" s="154">
        <f t="shared" ca="1" si="0"/>
        <v>12</v>
      </c>
      <c r="D107" s="6">
        <f ca="1">'MATCH CALCS'!$G108*2</f>
        <v>2</v>
      </c>
      <c r="E107" s="6">
        <f ca="1">'MATCH CALCS'!$G108*2</f>
        <v>2</v>
      </c>
      <c r="F107" s="6">
        <f ca="1">'MATCH CALCS'!$G108*2</f>
        <v>2</v>
      </c>
      <c r="G107" s="6">
        <f ca="1">'MATCH CALCS'!$G108*2</f>
        <v>2</v>
      </c>
      <c r="H107" s="6">
        <f ca="1">'MATCH CALCS'!$G108*2</f>
        <v>2</v>
      </c>
      <c r="I107" s="6">
        <f ca="1">'MATCH CALCS'!$G108*2</f>
        <v>2</v>
      </c>
      <c r="J107" s="154">
        <f t="shared" ca="1" si="1"/>
        <v>0</v>
      </c>
      <c r="K107" s="6">
        <f ca="1">'MATCH CALCS'!L108*1</f>
        <v>0</v>
      </c>
      <c r="L107" s="6">
        <f ca="1">'MATCH CALCS'!$N108*2</f>
        <v>0</v>
      </c>
      <c r="M107" s="6">
        <f ca="1">'MATCH CALCS'!N108*1</f>
        <v>0</v>
      </c>
      <c r="N107" s="6">
        <f ca="1">'MATCH CALCS'!$N108*2</f>
        <v>0</v>
      </c>
      <c r="O107" s="6">
        <f ca="1">'MATCH CALCS'!$N108*2</f>
        <v>0</v>
      </c>
      <c r="P107" s="6">
        <f ca="1">'MATCH CALCS'!$P108*5</f>
        <v>0</v>
      </c>
      <c r="Q107" s="154">
        <f t="shared" ca="1" si="2"/>
        <v>0</v>
      </c>
      <c r="R107" s="6">
        <f ca="1">'MATCH CALCS'!$AD108*1</f>
        <v>0</v>
      </c>
      <c r="S107" s="6">
        <f>'MATCH CALCS'!AC108*3</f>
        <v>0</v>
      </c>
      <c r="T107" s="6">
        <f ca="1">'MATCH CALCS'!AD108*3</f>
        <v>0</v>
      </c>
      <c r="U107" s="155">
        <f t="shared" ca="1" si="3"/>
        <v>0</v>
      </c>
      <c r="V107" s="154">
        <f t="shared" ca="1" si="4"/>
        <v>12</v>
      </c>
    </row>
    <row r="108" spans="1:22">
      <c r="A108" s="154" t="str">
        <f ca="1">'MATCH CALCS'!A109</f>
        <v>Practice</v>
      </c>
      <c r="B108" s="154" t="str">
        <f ca="1">'MATCH CALCS'!$C109</f>
        <v>B2</v>
      </c>
      <c r="C108" s="154">
        <f t="shared" ca="1" si="0"/>
        <v>12</v>
      </c>
      <c r="D108" s="6">
        <f ca="1">'MATCH CALCS'!$G109*2</f>
        <v>2</v>
      </c>
      <c r="E108" s="6">
        <f ca="1">'MATCH CALCS'!$G109*2</f>
        <v>2</v>
      </c>
      <c r="F108" s="6">
        <f ca="1">'MATCH CALCS'!$G109*2</f>
        <v>2</v>
      </c>
      <c r="G108" s="6">
        <f ca="1">'MATCH CALCS'!$G109*2</f>
        <v>2</v>
      </c>
      <c r="H108" s="6">
        <f ca="1">'MATCH CALCS'!$G109*2</f>
        <v>2</v>
      </c>
      <c r="I108" s="6">
        <f ca="1">'MATCH CALCS'!$G109*2</f>
        <v>2</v>
      </c>
      <c r="J108" s="154">
        <f t="shared" ca="1" si="1"/>
        <v>6</v>
      </c>
      <c r="K108" s="6">
        <f ca="1">'MATCH CALCS'!L109*1</f>
        <v>1</v>
      </c>
      <c r="L108" s="6">
        <f ca="1">'MATCH CALCS'!$N109*2</f>
        <v>0</v>
      </c>
      <c r="M108" s="6">
        <f ca="1">'MATCH CALCS'!N109*1</f>
        <v>0</v>
      </c>
      <c r="N108" s="6">
        <f ca="1">'MATCH CALCS'!$N109*2</f>
        <v>0</v>
      </c>
      <c r="O108" s="6">
        <f ca="1">'MATCH CALCS'!$N109*2</f>
        <v>0</v>
      </c>
      <c r="P108" s="6">
        <f ca="1">'MATCH CALCS'!$P109*5</f>
        <v>5</v>
      </c>
      <c r="Q108" s="154">
        <f t="shared" ca="1" si="2"/>
        <v>0</v>
      </c>
      <c r="R108" s="6">
        <f ca="1">'MATCH CALCS'!$AD109*1</f>
        <v>0</v>
      </c>
      <c r="S108" s="6">
        <f>'MATCH CALCS'!AC109*3</f>
        <v>0</v>
      </c>
      <c r="T108" s="6">
        <f ca="1">'MATCH CALCS'!AD109*3</f>
        <v>0</v>
      </c>
      <c r="U108" s="155">
        <f t="shared" ca="1" si="3"/>
        <v>0</v>
      </c>
      <c r="V108" s="154">
        <f t="shared" ca="1" si="4"/>
        <v>18</v>
      </c>
    </row>
    <row r="109" spans="1:22">
      <c r="A109" s="154" t="str">
        <f ca="1">'MATCH CALCS'!A110</f>
        <v>Practice</v>
      </c>
      <c r="B109" s="154" t="str">
        <f ca="1">'MATCH CALCS'!$C110</f>
        <v>R3</v>
      </c>
      <c r="C109" s="154">
        <f t="shared" ca="1" si="0"/>
        <v>12</v>
      </c>
      <c r="D109" s="6">
        <f ca="1">'MATCH CALCS'!$G110*2</f>
        <v>2</v>
      </c>
      <c r="E109" s="6">
        <f ca="1">'MATCH CALCS'!$G110*2</f>
        <v>2</v>
      </c>
      <c r="F109" s="6">
        <f ca="1">'MATCH CALCS'!$G110*2</f>
        <v>2</v>
      </c>
      <c r="G109" s="6">
        <f ca="1">'MATCH CALCS'!$G110*2</f>
        <v>2</v>
      </c>
      <c r="H109" s="6">
        <f ca="1">'MATCH CALCS'!$G110*2</f>
        <v>2</v>
      </c>
      <c r="I109" s="6">
        <f ca="1">'MATCH CALCS'!$G110*2</f>
        <v>2</v>
      </c>
      <c r="J109" s="154">
        <f t="shared" ca="1" si="1"/>
        <v>0</v>
      </c>
      <c r="K109" s="6">
        <f ca="1">'MATCH CALCS'!L110*1</f>
        <v>0</v>
      </c>
      <c r="L109" s="6">
        <f ca="1">'MATCH CALCS'!$N110*2</f>
        <v>0</v>
      </c>
      <c r="M109" s="6">
        <f ca="1">'MATCH CALCS'!N110*1</f>
        <v>0</v>
      </c>
      <c r="N109" s="6">
        <f ca="1">'MATCH CALCS'!$N110*2</f>
        <v>0</v>
      </c>
      <c r="O109" s="6">
        <f ca="1">'MATCH CALCS'!$N110*2</f>
        <v>0</v>
      </c>
      <c r="P109" s="6">
        <f ca="1">'MATCH CALCS'!$P110*5</f>
        <v>0</v>
      </c>
      <c r="Q109" s="154">
        <f t="shared" ca="1" si="2"/>
        <v>0</v>
      </c>
      <c r="R109" s="6">
        <f ca="1">'MATCH CALCS'!$AD110*1</f>
        <v>0</v>
      </c>
      <c r="S109" s="6">
        <f>'MATCH CALCS'!AC110*3</f>
        <v>0</v>
      </c>
      <c r="T109" s="6">
        <f ca="1">'MATCH CALCS'!AD110*3</f>
        <v>0</v>
      </c>
      <c r="U109" s="155">
        <f t="shared" ca="1" si="3"/>
        <v>0</v>
      </c>
      <c r="V109" s="154">
        <f t="shared" ca="1" si="4"/>
        <v>12</v>
      </c>
    </row>
    <row r="110" spans="1:22">
      <c r="A110" s="154" t="str">
        <f ca="1">'MATCH CALCS'!A111</f>
        <v>Practice</v>
      </c>
      <c r="B110" s="154" t="str">
        <f ca="1">'MATCH CALCS'!$C111</f>
        <v>B3</v>
      </c>
      <c r="C110" s="154">
        <f t="shared" ca="1" si="0"/>
        <v>12</v>
      </c>
      <c r="D110" s="6">
        <f ca="1">'MATCH CALCS'!$G111*2</f>
        <v>2</v>
      </c>
      <c r="E110" s="6">
        <f ca="1">'MATCH CALCS'!$G111*2</f>
        <v>2</v>
      </c>
      <c r="F110" s="6">
        <f ca="1">'MATCH CALCS'!$G111*2</f>
        <v>2</v>
      </c>
      <c r="G110" s="6">
        <f ca="1">'MATCH CALCS'!$G111*2</f>
        <v>2</v>
      </c>
      <c r="H110" s="6">
        <f ca="1">'MATCH CALCS'!$G111*2</f>
        <v>2</v>
      </c>
      <c r="I110" s="6">
        <f ca="1">'MATCH CALCS'!$G111*2</f>
        <v>2</v>
      </c>
      <c r="J110" s="154">
        <f t="shared" ca="1" si="1"/>
        <v>0</v>
      </c>
      <c r="K110" s="6">
        <f ca="1">'MATCH CALCS'!L111*1</f>
        <v>0</v>
      </c>
      <c r="L110" s="6">
        <f ca="1">'MATCH CALCS'!$N111*2</f>
        <v>0</v>
      </c>
      <c r="M110" s="6">
        <f ca="1">'MATCH CALCS'!N111*1</f>
        <v>0</v>
      </c>
      <c r="N110" s="6">
        <f ca="1">'MATCH CALCS'!$N111*2</f>
        <v>0</v>
      </c>
      <c r="O110" s="6">
        <f ca="1">'MATCH CALCS'!$N111*2</f>
        <v>0</v>
      </c>
      <c r="P110" s="6">
        <f ca="1">'MATCH CALCS'!$P111*5</f>
        <v>0</v>
      </c>
      <c r="Q110" s="154">
        <f t="shared" ca="1" si="2"/>
        <v>0</v>
      </c>
      <c r="R110" s="6">
        <f ca="1">'MATCH CALCS'!$AD111*1</f>
        <v>0</v>
      </c>
      <c r="S110" s="6">
        <f>'MATCH CALCS'!AC111*3</f>
        <v>0</v>
      </c>
      <c r="T110" s="6">
        <f ca="1">'MATCH CALCS'!AD111*3</f>
        <v>0</v>
      </c>
      <c r="U110" s="155">
        <f t="shared" ca="1" si="3"/>
        <v>0</v>
      </c>
      <c r="V110" s="154">
        <f t="shared" ca="1" si="4"/>
        <v>12</v>
      </c>
    </row>
    <row r="111" spans="1:22">
      <c r="A111" s="154" t="str">
        <f ca="1">'MATCH CALCS'!A112</f>
        <v>Practice</v>
      </c>
      <c r="B111" s="154" t="str">
        <f ca="1">'MATCH CALCS'!$C112</f>
        <v>R1</v>
      </c>
      <c r="C111" s="154">
        <f t="shared" ca="1" si="0"/>
        <v>12</v>
      </c>
      <c r="D111" s="6">
        <f ca="1">'MATCH CALCS'!$G112*2</f>
        <v>2</v>
      </c>
      <c r="E111" s="6">
        <f ca="1">'MATCH CALCS'!$G112*2</f>
        <v>2</v>
      </c>
      <c r="F111" s="6">
        <f ca="1">'MATCH CALCS'!$G112*2</f>
        <v>2</v>
      </c>
      <c r="G111" s="6">
        <f ca="1">'MATCH CALCS'!$G112*2</f>
        <v>2</v>
      </c>
      <c r="H111" s="6">
        <f ca="1">'MATCH CALCS'!$G112*2</f>
        <v>2</v>
      </c>
      <c r="I111" s="6">
        <f ca="1">'MATCH CALCS'!$G112*2</f>
        <v>2</v>
      </c>
      <c r="J111" s="154">
        <f t="shared" ca="1" si="1"/>
        <v>0</v>
      </c>
      <c r="K111" s="6">
        <f ca="1">'MATCH CALCS'!L112*1</f>
        <v>0</v>
      </c>
      <c r="L111" s="6">
        <f ca="1">'MATCH CALCS'!$N112*2</f>
        <v>0</v>
      </c>
      <c r="M111" s="6">
        <f ca="1">'MATCH CALCS'!N112*1</f>
        <v>0</v>
      </c>
      <c r="N111" s="6">
        <f ca="1">'MATCH CALCS'!$N112*2</f>
        <v>0</v>
      </c>
      <c r="O111" s="6">
        <f ca="1">'MATCH CALCS'!$N112*2</f>
        <v>0</v>
      </c>
      <c r="P111" s="6">
        <f ca="1">'MATCH CALCS'!$P112*5</f>
        <v>0</v>
      </c>
      <c r="Q111" s="154">
        <f t="shared" ca="1" si="2"/>
        <v>0</v>
      </c>
      <c r="R111" s="6">
        <f ca="1">'MATCH CALCS'!$AD112*1</f>
        <v>0</v>
      </c>
      <c r="S111" s="6">
        <f>'MATCH CALCS'!AC112*3</f>
        <v>0</v>
      </c>
      <c r="T111" s="6">
        <f ca="1">'MATCH CALCS'!AD112*3</f>
        <v>0</v>
      </c>
      <c r="U111" s="155">
        <f t="shared" ca="1" si="3"/>
        <v>0</v>
      </c>
      <c r="V111" s="154">
        <f t="shared" ca="1" si="4"/>
        <v>12</v>
      </c>
    </row>
    <row r="112" spans="1:22">
      <c r="A112" s="154" t="str">
        <f ca="1">'MATCH CALCS'!A113</f>
        <v>Practice</v>
      </c>
      <c r="B112" s="154" t="str">
        <f ca="1">'MATCH CALCS'!$C113</f>
        <v>B1</v>
      </c>
      <c r="C112" s="154">
        <f t="shared" ca="1" si="0"/>
        <v>12</v>
      </c>
      <c r="D112" s="6">
        <f ca="1">'MATCH CALCS'!$G113*2</f>
        <v>2</v>
      </c>
      <c r="E112" s="6">
        <f ca="1">'MATCH CALCS'!$G113*2</f>
        <v>2</v>
      </c>
      <c r="F112" s="6">
        <f ca="1">'MATCH CALCS'!$G113*2</f>
        <v>2</v>
      </c>
      <c r="G112" s="6">
        <f ca="1">'MATCH CALCS'!$G113*2</f>
        <v>2</v>
      </c>
      <c r="H112" s="6">
        <f ca="1">'MATCH CALCS'!$G113*2</f>
        <v>2</v>
      </c>
      <c r="I112" s="6">
        <f ca="1">'MATCH CALCS'!$G113*2</f>
        <v>2</v>
      </c>
      <c r="J112" s="154">
        <f t="shared" ca="1" si="1"/>
        <v>2</v>
      </c>
      <c r="K112" s="6">
        <f ca="1">'MATCH CALCS'!L113*1</f>
        <v>2</v>
      </c>
      <c r="L112" s="6">
        <f ca="1">'MATCH CALCS'!$N113*2</f>
        <v>0</v>
      </c>
      <c r="M112" s="6">
        <f ca="1">'MATCH CALCS'!N113*1</f>
        <v>0</v>
      </c>
      <c r="N112" s="6">
        <f ca="1">'MATCH CALCS'!$N113*2</f>
        <v>0</v>
      </c>
      <c r="O112" s="6">
        <f ca="1">'MATCH CALCS'!$N113*2</f>
        <v>0</v>
      </c>
      <c r="P112" s="6">
        <f ca="1">'MATCH CALCS'!$P113*5</f>
        <v>0</v>
      </c>
      <c r="Q112" s="154">
        <f t="shared" ca="1" si="2"/>
        <v>0</v>
      </c>
      <c r="R112" s="6">
        <f ca="1">'MATCH CALCS'!$AD113*1</f>
        <v>0</v>
      </c>
      <c r="S112" s="6">
        <f>'MATCH CALCS'!AC113*3</f>
        <v>0</v>
      </c>
      <c r="T112" s="6">
        <f ca="1">'MATCH CALCS'!AD113*3</f>
        <v>0</v>
      </c>
      <c r="U112" s="155">
        <f t="shared" ca="1" si="3"/>
        <v>0</v>
      </c>
      <c r="V112" s="154">
        <f t="shared" ca="1" si="4"/>
        <v>14</v>
      </c>
    </row>
    <row r="113" spans="1:22">
      <c r="A113" s="154" t="str">
        <f ca="1">'MATCH CALCS'!A114</f>
        <v>Practice</v>
      </c>
      <c r="B113" s="154" t="str">
        <f ca="1">'MATCH CALCS'!$C114</f>
        <v>R2</v>
      </c>
      <c r="C113" s="154">
        <f t="shared" ca="1" si="0"/>
        <v>12</v>
      </c>
      <c r="D113" s="6">
        <f ca="1">'MATCH CALCS'!$G114*2</f>
        <v>2</v>
      </c>
      <c r="E113" s="6">
        <f ca="1">'MATCH CALCS'!$G114*2</f>
        <v>2</v>
      </c>
      <c r="F113" s="6">
        <f ca="1">'MATCH CALCS'!$G114*2</f>
        <v>2</v>
      </c>
      <c r="G113" s="6">
        <f ca="1">'MATCH CALCS'!$G114*2</f>
        <v>2</v>
      </c>
      <c r="H113" s="6">
        <f ca="1">'MATCH CALCS'!$G114*2</f>
        <v>2</v>
      </c>
      <c r="I113" s="6">
        <f ca="1">'MATCH CALCS'!$G114*2</f>
        <v>2</v>
      </c>
      <c r="J113" s="154">
        <f t="shared" ca="1" si="1"/>
        <v>0</v>
      </c>
      <c r="K113" s="6">
        <f ca="1">'MATCH CALCS'!L114*1</f>
        <v>0</v>
      </c>
      <c r="L113" s="6">
        <f ca="1">'MATCH CALCS'!$N114*2</f>
        <v>0</v>
      </c>
      <c r="M113" s="6">
        <f ca="1">'MATCH CALCS'!N114*1</f>
        <v>0</v>
      </c>
      <c r="N113" s="6">
        <f ca="1">'MATCH CALCS'!$N114*2</f>
        <v>0</v>
      </c>
      <c r="O113" s="6">
        <f ca="1">'MATCH CALCS'!$N114*2</f>
        <v>0</v>
      </c>
      <c r="P113" s="6">
        <f ca="1">'MATCH CALCS'!$P114*5</f>
        <v>0</v>
      </c>
      <c r="Q113" s="154">
        <f t="shared" ca="1" si="2"/>
        <v>0</v>
      </c>
      <c r="R113" s="6">
        <f ca="1">'MATCH CALCS'!$AD114*1</f>
        <v>0</v>
      </c>
      <c r="S113" s="6">
        <f>'MATCH CALCS'!AC114*3</f>
        <v>0</v>
      </c>
      <c r="T113" s="6">
        <f ca="1">'MATCH CALCS'!AD114*3</f>
        <v>0</v>
      </c>
      <c r="U113" s="155">
        <f t="shared" ca="1" si="3"/>
        <v>0</v>
      </c>
      <c r="V113" s="154">
        <f t="shared" ca="1" si="4"/>
        <v>12</v>
      </c>
    </row>
    <row r="114" spans="1:22">
      <c r="A114" s="154" t="str">
        <f ca="1">'MATCH CALCS'!A115</f>
        <v>Practice</v>
      </c>
      <c r="B114" s="154" t="str">
        <f ca="1">'MATCH CALCS'!$C115</f>
        <v>B2</v>
      </c>
      <c r="C114" s="154">
        <f t="shared" ca="1" si="0"/>
        <v>12</v>
      </c>
      <c r="D114" s="6">
        <f ca="1">'MATCH CALCS'!$G115*2</f>
        <v>2</v>
      </c>
      <c r="E114" s="6">
        <f ca="1">'MATCH CALCS'!$G115*2</f>
        <v>2</v>
      </c>
      <c r="F114" s="6">
        <f ca="1">'MATCH CALCS'!$G115*2</f>
        <v>2</v>
      </c>
      <c r="G114" s="6">
        <f ca="1">'MATCH CALCS'!$G115*2</f>
        <v>2</v>
      </c>
      <c r="H114" s="6">
        <f ca="1">'MATCH CALCS'!$G115*2</f>
        <v>2</v>
      </c>
      <c r="I114" s="6">
        <f ca="1">'MATCH CALCS'!$G115*2</f>
        <v>2</v>
      </c>
      <c r="J114" s="154">
        <f t="shared" ca="1" si="1"/>
        <v>6</v>
      </c>
      <c r="K114" s="6">
        <f ca="1">'MATCH CALCS'!L115*1</f>
        <v>1</v>
      </c>
      <c r="L114" s="6">
        <f ca="1">'MATCH CALCS'!$N115*2</f>
        <v>0</v>
      </c>
      <c r="M114" s="6">
        <f ca="1">'MATCH CALCS'!N115*1</f>
        <v>0</v>
      </c>
      <c r="N114" s="6">
        <f ca="1">'MATCH CALCS'!$N115*2</f>
        <v>0</v>
      </c>
      <c r="O114" s="6">
        <f ca="1">'MATCH CALCS'!$N115*2</f>
        <v>0</v>
      </c>
      <c r="P114" s="6">
        <f ca="1">'MATCH CALCS'!$P115*5</f>
        <v>5</v>
      </c>
      <c r="Q114" s="154">
        <f t="shared" ca="1" si="2"/>
        <v>0</v>
      </c>
      <c r="R114" s="6">
        <f ca="1">'MATCH CALCS'!$AD115*1</f>
        <v>0</v>
      </c>
      <c r="S114" s="6">
        <f>'MATCH CALCS'!AC115*3</f>
        <v>0</v>
      </c>
      <c r="T114" s="6">
        <f ca="1">'MATCH CALCS'!AD115*3</f>
        <v>0</v>
      </c>
      <c r="U114" s="155">
        <f t="shared" ca="1" si="3"/>
        <v>0</v>
      </c>
      <c r="V114" s="154">
        <f t="shared" ca="1" si="4"/>
        <v>18</v>
      </c>
    </row>
    <row r="115" spans="1:22">
      <c r="A115" s="154" t="str">
        <f ca="1">'MATCH CALCS'!A116</f>
        <v>Practice</v>
      </c>
      <c r="B115" s="154" t="str">
        <f ca="1">'MATCH CALCS'!$C116</f>
        <v>R2</v>
      </c>
      <c r="C115" s="154">
        <f t="shared" ca="1" si="0"/>
        <v>12</v>
      </c>
      <c r="D115" s="6">
        <f ca="1">'MATCH CALCS'!$G116*2</f>
        <v>2</v>
      </c>
      <c r="E115" s="6">
        <f ca="1">'MATCH CALCS'!$G116*2</f>
        <v>2</v>
      </c>
      <c r="F115" s="6">
        <f ca="1">'MATCH CALCS'!$G116*2</f>
        <v>2</v>
      </c>
      <c r="G115" s="6">
        <f ca="1">'MATCH CALCS'!$G116*2</f>
        <v>2</v>
      </c>
      <c r="H115" s="6">
        <f ca="1">'MATCH CALCS'!$G116*2</f>
        <v>2</v>
      </c>
      <c r="I115" s="6">
        <f ca="1">'MATCH CALCS'!$G116*2</f>
        <v>2</v>
      </c>
      <c r="J115" s="154">
        <f t="shared" ca="1" si="1"/>
        <v>5</v>
      </c>
      <c r="K115" s="6">
        <f ca="1">'MATCH CALCS'!L116*1</f>
        <v>0</v>
      </c>
      <c r="L115" s="6">
        <f ca="1">'MATCH CALCS'!$N116*2</f>
        <v>0</v>
      </c>
      <c r="M115" s="6">
        <f ca="1">'MATCH CALCS'!N116*1</f>
        <v>0</v>
      </c>
      <c r="N115" s="6">
        <f ca="1">'MATCH CALCS'!$N116*2</f>
        <v>0</v>
      </c>
      <c r="O115" s="6">
        <f ca="1">'MATCH CALCS'!$N116*2</f>
        <v>0</v>
      </c>
      <c r="P115" s="6">
        <f ca="1">'MATCH CALCS'!$P116*5</f>
        <v>5</v>
      </c>
      <c r="Q115" s="154">
        <f t="shared" ca="1" si="2"/>
        <v>0</v>
      </c>
      <c r="R115" s="6">
        <f ca="1">'MATCH CALCS'!$AD116*1</f>
        <v>0</v>
      </c>
      <c r="S115" s="6">
        <f>'MATCH CALCS'!AC116*3</f>
        <v>0</v>
      </c>
      <c r="T115" s="6">
        <f ca="1">'MATCH CALCS'!AD116*3</f>
        <v>0</v>
      </c>
      <c r="U115" s="155">
        <f t="shared" ca="1" si="3"/>
        <v>0</v>
      </c>
      <c r="V115" s="154">
        <f t="shared" ca="1" si="4"/>
        <v>17</v>
      </c>
    </row>
    <row r="116" spans="1:22">
      <c r="A116" s="154" t="str">
        <f ca="1">'MATCH CALCS'!A117</f>
        <v>Practice</v>
      </c>
      <c r="B116" s="154" t="str">
        <f ca="1">'MATCH CALCS'!$C117</f>
        <v>R2</v>
      </c>
      <c r="C116" s="154">
        <f t="shared" ca="1" si="0"/>
        <v>12</v>
      </c>
      <c r="D116" s="6">
        <f ca="1">'MATCH CALCS'!$G117*2</f>
        <v>2</v>
      </c>
      <c r="E116" s="6">
        <f ca="1">'MATCH CALCS'!$G117*2</f>
        <v>2</v>
      </c>
      <c r="F116" s="6">
        <f ca="1">'MATCH CALCS'!$G117*2</f>
        <v>2</v>
      </c>
      <c r="G116" s="6">
        <f ca="1">'MATCH CALCS'!$G117*2</f>
        <v>2</v>
      </c>
      <c r="H116" s="6">
        <f ca="1">'MATCH CALCS'!$G117*2</f>
        <v>2</v>
      </c>
      <c r="I116" s="6">
        <f ca="1">'MATCH CALCS'!$G117*2</f>
        <v>2</v>
      </c>
      <c r="J116" s="154">
        <f t="shared" ca="1" si="1"/>
        <v>0</v>
      </c>
      <c r="K116" s="6">
        <f ca="1">'MATCH CALCS'!L117*1</f>
        <v>0</v>
      </c>
      <c r="L116" s="6">
        <f ca="1">'MATCH CALCS'!$N117*2</f>
        <v>0</v>
      </c>
      <c r="M116" s="6">
        <f ca="1">'MATCH CALCS'!N117*1</f>
        <v>0</v>
      </c>
      <c r="N116" s="6">
        <f ca="1">'MATCH CALCS'!$N117*2</f>
        <v>0</v>
      </c>
      <c r="O116" s="6">
        <f ca="1">'MATCH CALCS'!$N117*2</f>
        <v>0</v>
      </c>
      <c r="P116" s="6">
        <f ca="1">'MATCH CALCS'!$P117*5</f>
        <v>0</v>
      </c>
      <c r="Q116" s="154">
        <f t="shared" ca="1" si="2"/>
        <v>0</v>
      </c>
      <c r="R116" s="6">
        <f ca="1">'MATCH CALCS'!$AD117*1</f>
        <v>0</v>
      </c>
      <c r="S116" s="6">
        <f>'MATCH CALCS'!AC117*3</f>
        <v>0</v>
      </c>
      <c r="T116" s="6">
        <f ca="1">'MATCH CALCS'!AD117*3</f>
        <v>0</v>
      </c>
      <c r="U116" s="155">
        <f t="shared" ca="1" si="3"/>
        <v>0</v>
      </c>
      <c r="V116" s="154">
        <f t="shared" ca="1" si="4"/>
        <v>12</v>
      </c>
    </row>
    <row r="117" spans="1:22">
      <c r="A117" s="154" t="str">
        <f ca="1">'MATCH CALCS'!A118</f>
        <v>Practice</v>
      </c>
      <c r="B117" s="154" t="str">
        <f ca="1">'MATCH CALCS'!$C118</f>
        <v>B1</v>
      </c>
      <c r="C117" s="154">
        <f t="shared" ca="1" si="0"/>
        <v>12</v>
      </c>
      <c r="D117" s="6">
        <f ca="1">'MATCH CALCS'!$G118*2</f>
        <v>2</v>
      </c>
      <c r="E117" s="6">
        <f ca="1">'MATCH CALCS'!$G118*2</f>
        <v>2</v>
      </c>
      <c r="F117" s="6">
        <f ca="1">'MATCH CALCS'!$G118*2</f>
        <v>2</v>
      </c>
      <c r="G117" s="6">
        <f ca="1">'MATCH CALCS'!$G118*2</f>
        <v>2</v>
      </c>
      <c r="H117" s="6">
        <f ca="1">'MATCH CALCS'!$G118*2</f>
        <v>2</v>
      </c>
      <c r="I117" s="6">
        <f ca="1">'MATCH CALCS'!$G118*2</f>
        <v>2</v>
      </c>
      <c r="J117" s="154">
        <f t="shared" ca="1" si="1"/>
        <v>0</v>
      </c>
      <c r="K117" s="6">
        <f ca="1">'MATCH CALCS'!L118*1</f>
        <v>0</v>
      </c>
      <c r="L117" s="6">
        <f ca="1">'MATCH CALCS'!$N118*2</f>
        <v>0</v>
      </c>
      <c r="M117" s="6">
        <f ca="1">'MATCH CALCS'!N118*1</f>
        <v>0</v>
      </c>
      <c r="N117" s="6">
        <f ca="1">'MATCH CALCS'!$N118*2</f>
        <v>0</v>
      </c>
      <c r="O117" s="6">
        <f ca="1">'MATCH CALCS'!$N118*2</f>
        <v>0</v>
      </c>
      <c r="P117" s="6">
        <f ca="1">'MATCH CALCS'!$P118*5</f>
        <v>0</v>
      </c>
      <c r="Q117" s="154">
        <f t="shared" ca="1" si="2"/>
        <v>4</v>
      </c>
      <c r="R117" s="6">
        <f ca="1">'MATCH CALCS'!$AD118*1</f>
        <v>1</v>
      </c>
      <c r="S117" s="6">
        <f>'MATCH CALCS'!AC118*3</f>
        <v>0</v>
      </c>
      <c r="T117" s="6">
        <f ca="1">'MATCH CALCS'!AD118*3</f>
        <v>3</v>
      </c>
      <c r="U117" s="155">
        <f t="shared" ca="1" si="3"/>
        <v>4</v>
      </c>
      <c r="V117" s="154">
        <f t="shared" ca="1" si="4"/>
        <v>16</v>
      </c>
    </row>
    <row r="118" spans="1:22">
      <c r="A118" s="154" t="str">
        <f ca="1">'MATCH CALCS'!A119</f>
        <v>Practice</v>
      </c>
      <c r="B118" s="154" t="str">
        <f ca="1">'MATCH CALCS'!$C119</f>
        <v>R3</v>
      </c>
      <c r="C118" s="154">
        <f t="shared" ca="1" si="0"/>
        <v>12</v>
      </c>
      <c r="D118" s="6">
        <f ca="1">'MATCH CALCS'!$G119*2</f>
        <v>2</v>
      </c>
      <c r="E118" s="6">
        <f ca="1">'MATCH CALCS'!$G119*2</f>
        <v>2</v>
      </c>
      <c r="F118" s="6">
        <f ca="1">'MATCH CALCS'!$G119*2</f>
        <v>2</v>
      </c>
      <c r="G118" s="6">
        <f ca="1">'MATCH CALCS'!$G119*2</f>
        <v>2</v>
      </c>
      <c r="H118" s="6">
        <f ca="1">'MATCH CALCS'!$G119*2</f>
        <v>2</v>
      </c>
      <c r="I118" s="6">
        <f ca="1">'MATCH CALCS'!$G119*2</f>
        <v>2</v>
      </c>
      <c r="J118" s="154">
        <f t="shared" ca="1" si="1"/>
        <v>2</v>
      </c>
      <c r="K118" s="6">
        <f ca="1">'MATCH CALCS'!L119*1</f>
        <v>2</v>
      </c>
      <c r="L118" s="6">
        <f ca="1">'MATCH CALCS'!$N119*2</f>
        <v>0</v>
      </c>
      <c r="M118" s="6">
        <f ca="1">'MATCH CALCS'!N119*1</f>
        <v>0</v>
      </c>
      <c r="N118" s="6">
        <f ca="1">'MATCH CALCS'!$N119*2</f>
        <v>0</v>
      </c>
      <c r="O118" s="6">
        <f ca="1">'MATCH CALCS'!$N119*2</f>
        <v>0</v>
      </c>
      <c r="P118" s="6">
        <f ca="1">'MATCH CALCS'!$P119*5</f>
        <v>0</v>
      </c>
      <c r="Q118" s="154">
        <f t="shared" ca="1" si="2"/>
        <v>4</v>
      </c>
      <c r="R118" s="6">
        <f ca="1">'MATCH CALCS'!$AD119*1</f>
        <v>1</v>
      </c>
      <c r="S118" s="6">
        <f>'MATCH CALCS'!AC119*3</f>
        <v>0</v>
      </c>
      <c r="T118" s="6">
        <f ca="1">'MATCH CALCS'!AD119*3</f>
        <v>3</v>
      </c>
      <c r="U118" s="155">
        <f t="shared" ca="1" si="3"/>
        <v>4</v>
      </c>
      <c r="V118" s="154">
        <f t="shared" ca="1" si="4"/>
        <v>18</v>
      </c>
    </row>
    <row r="119" spans="1:22">
      <c r="A119" s="154" t="str">
        <f ca="1">'MATCH CALCS'!A120</f>
        <v>Practice</v>
      </c>
      <c r="B119" s="154" t="str">
        <f ca="1">'MATCH CALCS'!$C120</f>
        <v>B3</v>
      </c>
      <c r="C119" s="154">
        <f t="shared" ca="1" si="0"/>
        <v>12</v>
      </c>
      <c r="D119" s="6">
        <f ca="1">'MATCH CALCS'!$G120*2</f>
        <v>2</v>
      </c>
      <c r="E119" s="6">
        <f ca="1">'MATCH CALCS'!$G120*2</f>
        <v>2</v>
      </c>
      <c r="F119" s="6">
        <f ca="1">'MATCH CALCS'!$G120*2</f>
        <v>2</v>
      </c>
      <c r="G119" s="6">
        <f ca="1">'MATCH CALCS'!$G120*2</f>
        <v>2</v>
      </c>
      <c r="H119" s="6">
        <f ca="1">'MATCH CALCS'!$G120*2</f>
        <v>2</v>
      </c>
      <c r="I119" s="6">
        <f ca="1">'MATCH CALCS'!$G120*2</f>
        <v>2</v>
      </c>
      <c r="J119" s="154">
        <f t="shared" ca="1" si="1"/>
        <v>0</v>
      </c>
      <c r="K119" s="6">
        <f ca="1">'MATCH CALCS'!L120*1</f>
        <v>0</v>
      </c>
      <c r="L119" s="6">
        <f ca="1">'MATCH CALCS'!$N120*2</f>
        <v>0</v>
      </c>
      <c r="M119" s="6">
        <f ca="1">'MATCH CALCS'!N120*1</f>
        <v>0</v>
      </c>
      <c r="N119" s="6">
        <f ca="1">'MATCH CALCS'!$N120*2</f>
        <v>0</v>
      </c>
      <c r="O119" s="6">
        <f ca="1">'MATCH CALCS'!$N120*2</f>
        <v>0</v>
      </c>
      <c r="P119" s="6">
        <f ca="1">'MATCH CALCS'!$P120*5</f>
        <v>0</v>
      </c>
      <c r="Q119" s="154">
        <f t="shared" ca="1" si="2"/>
        <v>0</v>
      </c>
      <c r="R119" s="6">
        <f ca="1">'MATCH CALCS'!$AD120*1</f>
        <v>0</v>
      </c>
      <c r="S119" s="6">
        <f>'MATCH CALCS'!AC120*3</f>
        <v>0</v>
      </c>
      <c r="T119" s="6">
        <f ca="1">'MATCH CALCS'!AD120*3</f>
        <v>0</v>
      </c>
      <c r="U119" s="155">
        <f t="shared" ca="1" si="3"/>
        <v>0</v>
      </c>
      <c r="V119" s="154">
        <f t="shared" ca="1" si="4"/>
        <v>12</v>
      </c>
    </row>
    <row r="120" spans="1:22">
      <c r="A120" s="154">
        <f>'MATCH CALCS'!A121</f>
        <v>0</v>
      </c>
      <c r="B120" s="154">
        <f>'MATCH CALCS'!$C121</f>
        <v>0</v>
      </c>
      <c r="C120" s="154">
        <f t="shared" si="0"/>
        <v>0</v>
      </c>
      <c r="D120" s="6">
        <f>'MATCH CALCS'!$G121*2</f>
        <v>0</v>
      </c>
      <c r="E120" s="6">
        <f>'MATCH CALCS'!$G121*2</f>
        <v>0</v>
      </c>
      <c r="F120" s="6">
        <f>'MATCH CALCS'!$G121*2</f>
        <v>0</v>
      </c>
      <c r="G120" s="6">
        <f>'MATCH CALCS'!$G121*2</f>
        <v>0</v>
      </c>
      <c r="H120" s="6">
        <f>'MATCH CALCS'!$G121*2</f>
        <v>0</v>
      </c>
      <c r="I120" s="6">
        <f>'MATCH CALCS'!$G121*2</f>
        <v>0</v>
      </c>
      <c r="J120" s="154">
        <f t="shared" si="1"/>
        <v>0</v>
      </c>
      <c r="K120" s="6">
        <f>'MATCH CALCS'!L121*1</f>
        <v>0</v>
      </c>
      <c r="L120" s="6">
        <f>'MATCH CALCS'!$N121*2</f>
        <v>0</v>
      </c>
      <c r="M120" s="6">
        <f>'MATCH CALCS'!N121*1</f>
        <v>0</v>
      </c>
      <c r="N120" s="6">
        <f>'MATCH CALCS'!$N121*2</f>
        <v>0</v>
      </c>
      <c r="O120" s="6">
        <f>'MATCH CALCS'!$N121*2</f>
        <v>0</v>
      </c>
      <c r="P120" s="6">
        <f>'MATCH CALCS'!$P121*5</f>
        <v>0</v>
      </c>
      <c r="Q120" s="154">
        <f t="shared" si="2"/>
        <v>0</v>
      </c>
      <c r="R120" s="6">
        <f>'MATCH CALCS'!$AD121*1</f>
        <v>0</v>
      </c>
      <c r="S120" s="6">
        <f>'MATCH CALCS'!AC121*3</f>
        <v>0</v>
      </c>
      <c r="T120" s="6">
        <f>'MATCH CALCS'!AD121*3</f>
        <v>0</v>
      </c>
      <c r="U120" s="155">
        <f t="shared" si="3"/>
        <v>0</v>
      </c>
      <c r="V120" s="154">
        <f t="shared" si="4"/>
        <v>0</v>
      </c>
    </row>
    <row r="121" spans="1:22">
      <c r="A121" s="154">
        <f>'MATCH CALCS'!A122</f>
        <v>0</v>
      </c>
      <c r="B121" s="154">
        <f>'MATCH CALCS'!$C122</f>
        <v>0</v>
      </c>
      <c r="C121" s="154">
        <f t="shared" si="0"/>
        <v>0</v>
      </c>
      <c r="D121" s="6">
        <f>'MATCH CALCS'!$G122*2</f>
        <v>0</v>
      </c>
      <c r="E121" s="6">
        <f>'MATCH CALCS'!$G122*2</f>
        <v>0</v>
      </c>
      <c r="F121" s="6">
        <f>'MATCH CALCS'!$G122*2</f>
        <v>0</v>
      </c>
      <c r="G121" s="6">
        <f>'MATCH CALCS'!$G122*2</f>
        <v>0</v>
      </c>
      <c r="H121" s="6">
        <f>'MATCH CALCS'!$G122*2</f>
        <v>0</v>
      </c>
      <c r="I121" s="6">
        <f>'MATCH CALCS'!$G122*2</f>
        <v>0</v>
      </c>
      <c r="J121" s="154">
        <f t="shared" si="1"/>
        <v>0</v>
      </c>
      <c r="K121" s="6">
        <f>'MATCH CALCS'!L122*1</f>
        <v>0</v>
      </c>
      <c r="L121" s="6">
        <f>'MATCH CALCS'!$N122*2</f>
        <v>0</v>
      </c>
      <c r="M121" s="6">
        <f>'MATCH CALCS'!N122*1</f>
        <v>0</v>
      </c>
      <c r="N121" s="6">
        <f>'MATCH CALCS'!$N122*2</f>
        <v>0</v>
      </c>
      <c r="O121" s="6">
        <f>'MATCH CALCS'!$N122*2</f>
        <v>0</v>
      </c>
      <c r="P121" s="6">
        <f>'MATCH CALCS'!$P122*5</f>
        <v>0</v>
      </c>
      <c r="Q121" s="154">
        <f t="shared" si="2"/>
        <v>0</v>
      </c>
      <c r="R121" s="6">
        <f>'MATCH CALCS'!$AD122*1</f>
        <v>0</v>
      </c>
      <c r="S121" s="6">
        <f>'MATCH CALCS'!AC122*3</f>
        <v>0</v>
      </c>
      <c r="T121" s="6">
        <f>'MATCH CALCS'!AD122*3</f>
        <v>0</v>
      </c>
      <c r="U121" s="155">
        <f t="shared" si="3"/>
        <v>0</v>
      </c>
      <c r="V121" s="154">
        <f t="shared" si="4"/>
        <v>0</v>
      </c>
    </row>
    <row r="122" spans="1:22">
      <c r="A122" s="154">
        <f>'MATCH CALCS'!A123</f>
        <v>0</v>
      </c>
      <c r="B122" s="154">
        <f>'MATCH CALCS'!$C123</f>
        <v>0</v>
      </c>
      <c r="C122" s="154">
        <f t="shared" si="0"/>
        <v>0</v>
      </c>
      <c r="D122" s="6">
        <f>'MATCH CALCS'!$G123*2</f>
        <v>0</v>
      </c>
      <c r="E122" s="6">
        <f>'MATCH CALCS'!$G123*2</f>
        <v>0</v>
      </c>
      <c r="F122" s="6">
        <f>'MATCH CALCS'!$G123*2</f>
        <v>0</v>
      </c>
      <c r="G122" s="6">
        <f>'MATCH CALCS'!$G123*2</f>
        <v>0</v>
      </c>
      <c r="H122" s="6">
        <f>'MATCH CALCS'!$G123*2</f>
        <v>0</v>
      </c>
      <c r="I122" s="6">
        <f>'MATCH CALCS'!$G123*2</f>
        <v>0</v>
      </c>
      <c r="J122" s="154">
        <f t="shared" si="1"/>
        <v>0</v>
      </c>
      <c r="K122" s="6">
        <f>'MATCH CALCS'!L123*1</f>
        <v>0</v>
      </c>
      <c r="L122" s="6">
        <f>'MATCH CALCS'!$N123*2</f>
        <v>0</v>
      </c>
      <c r="M122" s="6">
        <f>'MATCH CALCS'!N123*1</f>
        <v>0</v>
      </c>
      <c r="N122" s="6">
        <f>'MATCH CALCS'!$N123*2</f>
        <v>0</v>
      </c>
      <c r="O122" s="6">
        <f>'MATCH CALCS'!$N123*2</f>
        <v>0</v>
      </c>
      <c r="P122" s="6">
        <f>'MATCH CALCS'!$P123*5</f>
        <v>0</v>
      </c>
      <c r="Q122" s="154">
        <f t="shared" si="2"/>
        <v>0</v>
      </c>
      <c r="R122" s="6">
        <f>'MATCH CALCS'!$AD123*1</f>
        <v>0</v>
      </c>
      <c r="S122" s="6">
        <f>'MATCH CALCS'!AC123*3</f>
        <v>0</v>
      </c>
      <c r="T122" s="6">
        <f>'MATCH CALCS'!AD123*3</f>
        <v>0</v>
      </c>
      <c r="U122" s="155">
        <f t="shared" si="3"/>
        <v>0</v>
      </c>
      <c r="V122" s="154">
        <f t="shared" si="4"/>
        <v>0</v>
      </c>
    </row>
    <row r="123" spans="1:22">
      <c r="A123" s="154">
        <f>'MATCH CALCS'!A124</f>
        <v>0</v>
      </c>
      <c r="B123" s="154">
        <f>'MATCH CALCS'!$C124</f>
        <v>0</v>
      </c>
      <c r="C123" s="154">
        <f t="shared" si="0"/>
        <v>0</v>
      </c>
      <c r="D123" s="6">
        <f>'MATCH CALCS'!$G124*2</f>
        <v>0</v>
      </c>
      <c r="E123" s="6">
        <f>'MATCH CALCS'!$G124*2</f>
        <v>0</v>
      </c>
      <c r="F123" s="6">
        <f>'MATCH CALCS'!$G124*2</f>
        <v>0</v>
      </c>
      <c r="G123" s="6">
        <f>'MATCH CALCS'!$G124*2</f>
        <v>0</v>
      </c>
      <c r="H123" s="6">
        <f>'MATCH CALCS'!$G124*2</f>
        <v>0</v>
      </c>
      <c r="I123" s="6">
        <f>'MATCH CALCS'!$G124*2</f>
        <v>0</v>
      </c>
      <c r="J123" s="154">
        <f t="shared" si="1"/>
        <v>0</v>
      </c>
      <c r="K123" s="6">
        <f>'MATCH CALCS'!L124*1</f>
        <v>0</v>
      </c>
      <c r="L123" s="6">
        <f>'MATCH CALCS'!$N124*2</f>
        <v>0</v>
      </c>
      <c r="M123" s="6">
        <f>'MATCH CALCS'!N124*1</f>
        <v>0</v>
      </c>
      <c r="N123" s="6">
        <f>'MATCH CALCS'!$N124*2</f>
        <v>0</v>
      </c>
      <c r="O123" s="6">
        <f>'MATCH CALCS'!$N124*2</f>
        <v>0</v>
      </c>
      <c r="P123" s="6">
        <f>'MATCH CALCS'!$P124*5</f>
        <v>0</v>
      </c>
      <c r="Q123" s="154">
        <f t="shared" si="2"/>
        <v>0</v>
      </c>
      <c r="R123" s="6">
        <f>'MATCH CALCS'!$AD124*1</f>
        <v>0</v>
      </c>
      <c r="S123" s="6">
        <f>'MATCH CALCS'!AC124*3</f>
        <v>0</v>
      </c>
      <c r="T123" s="6">
        <f>'MATCH CALCS'!AD124*3</f>
        <v>0</v>
      </c>
      <c r="U123" s="155">
        <f t="shared" si="3"/>
        <v>0</v>
      </c>
      <c r="V123" s="154">
        <f t="shared" si="4"/>
        <v>0</v>
      </c>
    </row>
    <row r="124" spans="1:22">
      <c r="A124" s="154">
        <f>'MATCH CALCS'!A125</f>
        <v>0</v>
      </c>
      <c r="B124" s="154">
        <f>'MATCH CALCS'!$C125</f>
        <v>0</v>
      </c>
      <c r="C124" s="154">
        <f t="shared" si="0"/>
        <v>0</v>
      </c>
      <c r="D124" s="6">
        <f>'MATCH CALCS'!$G125*2</f>
        <v>0</v>
      </c>
      <c r="E124" s="6">
        <f>'MATCH CALCS'!$G125*2</f>
        <v>0</v>
      </c>
      <c r="F124" s="6">
        <f>'MATCH CALCS'!$G125*2</f>
        <v>0</v>
      </c>
      <c r="G124" s="6">
        <f>'MATCH CALCS'!$G125*2</f>
        <v>0</v>
      </c>
      <c r="H124" s="6">
        <f>'MATCH CALCS'!$G125*2</f>
        <v>0</v>
      </c>
      <c r="I124" s="6">
        <f>'MATCH CALCS'!$G125*2</f>
        <v>0</v>
      </c>
      <c r="J124" s="154">
        <f t="shared" si="1"/>
        <v>0</v>
      </c>
      <c r="K124" s="6">
        <f>'MATCH CALCS'!L125*1</f>
        <v>0</v>
      </c>
      <c r="L124" s="6">
        <f>'MATCH CALCS'!$N125*2</f>
        <v>0</v>
      </c>
      <c r="M124" s="6">
        <f>'MATCH CALCS'!N125*1</f>
        <v>0</v>
      </c>
      <c r="N124" s="6">
        <f>'MATCH CALCS'!$N125*2</f>
        <v>0</v>
      </c>
      <c r="O124" s="6">
        <f>'MATCH CALCS'!$N125*2</f>
        <v>0</v>
      </c>
      <c r="P124" s="6">
        <f>'MATCH CALCS'!$P125*5</f>
        <v>0</v>
      </c>
      <c r="Q124" s="154">
        <f t="shared" si="2"/>
        <v>0</v>
      </c>
      <c r="R124" s="6">
        <f>'MATCH CALCS'!$AD125*1</f>
        <v>0</v>
      </c>
      <c r="S124" s="6">
        <f>'MATCH CALCS'!AC125*3</f>
        <v>0</v>
      </c>
      <c r="T124" s="6">
        <f>'MATCH CALCS'!AD125*3</f>
        <v>0</v>
      </c>
      <c r="U124" s="155">
        <f t="shared" si="3"/>
        <v>0</v>
      </c>
      <c r="V124" s="154">
        <f t="shared" si="4"/>
        <v>0</v>
      </c>
    </row>
    <row r="125" spans="1:22">
      <c r="A125" s="154">
        <f>'MATCH CALCS'!A126</f>
        <v>0</v>
      </c>
      <c r="B125" s="154">
        <f>'MATCH CALCS'!$C126</f>
        <v>0</v>
      </c>
      <c r="C125" s="154">
        <f t="shared" si="0"/>
        <v>0</v>
      </c>
      <c r="D125" s="6">
        <f>'MATCH CALCS'!$G126*2</f>
        <v>0</v>
      </c>
      <c r="E125" s="6">
        <f>'MATCH CALCS'!$G126*2</f>
        <v>0</v>
      </c>
      <c r="F125" s="6">
        <f>'MATCH CALCS'!$G126*2</f>
        <v>0</v>
      </c>
      <c r="G125" s="6">
        <f>'MATCH CALCS'!$G126*2</f>
        <v>0</v>
      </c>
      <c r="H125" s="6">
        <f>'MATCH CALCS'!$G126*2</f>
        <v>0</v>
      </c>
      <c r="I125" s="6">
        <f>'MATCH CALCS'!$G126*2</f>
        <v>0</v>
      </c>
      <c r="J125" s="154">
        <f t="shared" si="1"/>
        <v>0</v>
      </c>
      <c r="K125" s="6">
        <f>'MATCH CALCS'!L126*1</f>
        <v>0</v>
      </c>
      <c r="L125" s="6">
        <f>'MATCH CALCS'!$N126*2</f>
        <v>0</v>
      </c>
      <c r="M125" s="6">
        <f>'MATCH CALCS'!N126*1</f>
        <v>0</v>
      </c>
      <c r="N125" s="6">
        <f>'MATCH CALCS'!$N126*2</f>
        <v>0</v>
      </c>
      <c r="O125" s="6">
        <f>'MATCH CALCS'!$N126*2</f>
        <v>0</v>
      </c>
      <c r="P125" s="6">
        <f>'MATCH CALCS'!$P126*5</f>
        <v>0</v>
      </c>
      <c r="Q125" s="154">
        <f t="shared" si="2"/>
        <v>0</v>
      </c>
      <c r="R125" s="6">
        <f>'MATCH CALCS'!$AD126*1</f>
        <v>0</v>
      </c>
      <c r="S125" s="6">
        <f>'MATCH CALCS'!AC126*3</f>
        <v>0</v>
      </c>
      <c r="T125" s="6">
        <f>'MATCH CALCS'!AD126*3</f>
        <v>0</v>
      </c>
      <c r="U125" s="155">
        <f t="shared" si="3"/>
        <v>0</v>
      </c>
      <c r="V125" s="154">
        <f t="shared" si="4"/>
        <v>0</v>
      </c>
    </row>
    <row r="126" spans="1:22">
      <c r="A126" s="154">
        <f>'MATCH CALCS'!A127</f>
        <v>0</v>
      </c>
      <c r="B126" s="154">
        <f>'MATCH CALCS'!$C127</f>
        <v>0</v>
      </c>
      <c r="C126" s="154">
        <f t="shared" si="0"/>
        <v>0</v>
      </c>
      <c r="D126" s="6">
        <f>'MATCH CALCS'!$G127*2</f>
        <v>0</v>
      </c>
      <c r="E126" s="6">
        <f>'MATCH CALCS'!$G127*2</f>
        <v>0</v>
      </c>
      <c r="F126" s="6">
        <f>'MATCH CALCS'!$G127*2</f>
        <v>0</v>
      </c>
      <c r="G126" s="6">
        <f>'MATCH CALCS'!$G127*2</f>
        <v>0</v>
      </c>
      <c r="H126" s="6">
        <f>'MATCH CALCS'!$G127*2</f>
        <v>0</v>
      </c>
      <c r="I126" s="6">
        <f>'MATCH CALCS'!$G127*2</f>
        <v>0</v>
      </c>
      <c r="J126" s="154">
        <f t="shared" si="1"/>
        <v>0</v>
      </c>
      <c r="K126" s="6">
        <f>'MATCH CALCS'!L127*1</f>
        <v>0</v>
      </c>
      <c r="L126" s="6">
        <f>'MATCH CALCS'!$N127*2</f>
        <v>0</v>
      </c>
      <c r="M126" s="6">
        <f>'MATCH CALCS'!N127*1</f>
        <v>0</v>
      </c>
      <c r="N126" s="6">
        <f>'MATCH CALCS'!$N127*2</f>
        <v>0</v>
      </c>
      <c r="O126" s="6">
        <f>'MATCH CALCS'!$N127*2</f>
        <v>0</v>
      </c>
      <c r="P126" s="6">
        <f>'MATCH CALCS'!$P127*5</f>
        <v>0</v>
      </c>
      <c r="Q126" s="154">
        <f t="shared" si="2"/>
        <v>0</v>
      </c>
      <c r="R126" s="6">
        <f>'MATCH CALCS'!$AD127*1</f>
        <v>0</v>
      </c>
      <c r="S126" s="6">
        <f>'MATCH CALCS'!AC127*3</f>
        <v>0</v>
      </c>
      <c r="T126" s="6">
        <f>'MATCH CALCS'!AD127*3</f>
        <v>0</v>
      </c>
      <c r="U126" s="155">
        <f t="shared" si="3"/>
        <v>0</v>
      </c>
      <c r="V126" s="154">
        <f t="shared" si="4"/>
        <v>0</v>
      </c>
    </row>
    <row r="127" spans="1:22">
      <c r="A127" s="154">
        <f>'MATCH CALCS'!A128</f>
        <v>0</v>
      </c>
      <c r="B127" s="154">
        <f>'MATCH CALCS'!$C128</f>
        <v>0</v>
      </c>
      <c r="C127" s="154">
        <f t="shared" si="0"/>
        <v>0</v>
      </c>
      <c r="D127" s="6">
        <f>'MATCH CALCS'!$G128*2</f>
        <v>0</v>
      </c>
      <c r="E127" s="6">
        <f>'MATCH CALCS'!$G128*2</f>
        <v>0</v>
      </c>
      <c r="F127" s="6">
        <f>'MATCH CALCS'!$G128*2</f>
        <v>0</v>
      </c>
      <c r="G127" s="6">
        <f>'MATCH CALCS'!$G128*2</f>
        <v>0</v>
      </c>
      <c r="H127" s="6">
        <f>'MATCH CALCS'!$G128*2</f>
        <v>0</v>
      </c>
      <c r="I127" s="6">
        <f>'MATCH CALCS'!$G128*2</f>
        <v>0</v>
      </c>
      <c r="J127" s="154">
        <f t="shared" si="1"/>
        <v>0</v>
      </c>
      <c r="K127" s="6">
        <f>'MATCH CALCS'!L128*1</f>
        <v>0</v>
      </c>
      <c r="L127" s="6">
        <f>'MATCH CALCS'!$N128*2</f>
        <v>0</v>
      </c>
      <c r="M127" s="6">
        <f>'MATCH CALCS'!N128*1</f>
        <v>0</v>
      </c>
      <c r="N127" s="6">
        <f>'MATCH CALCS'!$N128*2</f>
        <v>0</v>
      </c>
      <c r="O127" s="6">
        <f>'MATCH CALCS'!$N128*2</f>
        <v>0</v>
      </c>
      <c r="P127" s="6">
        <f>'MATCH CALCS'!$P128*5</f>
        <v>0</v>
      </c>
      <c r="Q127" s="154">
        <f t="shared" si="2"/>
        <v>0</v>
      </c>
      <c r="R127" s="6">
        <f>'MATCH CALCS'!$AD128*1</f>
        <v>0</v>
      </c>
      <c r="S127" s="6">
        <f>'MATCH CALCS'!AC128*3</f>
        <v>0</v>
      </c>
      <c r="T127" s="6">
        <f>'MATCH CALCS'!AD128*3</f>
        <v>0</v>
      </c>
      <c r="U127" s="155">
        <f t="shared" si="3"/>
        <v>0</v>
      </c>
      <c r="V127" s="154">
        <f t="shared" si="4"/>
        <v>0</v>
      </c>
    </row>
    <row r="128" spans="1:22">
      <c r="A128" s="154">
        <f>'MATCH CALCS'!A129</f>
        <v>0</v>
      </c>
      <c r="B128" s="154">
        <f>'MATCH CALCS'!$C129</f>
        <v>0</v>
      </c>
      <c r="C128" s="154">
        <f t="shared" si="0"/>
        <v>0</v>
      </c>
      <c r="D128" s="6">
        <f>'MATCH CALCS'!$G129*2</f>
        <v>0</v>
      </c>
      <c r="E128" s="6">
        <f>'MATCH CALCS'!$G129*2</f>
        <v>0</v>
      </c>
      <c r="F128" s="6">
        <f>'MATCH CALCS'!$G129*2</f>
        <v>0</v>
      </c>
      <c r="G128" s="6">
        <f>'MATCH CALCS'!$G129*2</f>
        <v>0</v>
      </c>
      <c r="H128" s="6">
        <f>'MATCH CALCS'!$G129*2</f>
        <v>0</v>
      </c>
      <c r="I128" s="6">
        <f>'MATCH CALCS'!$G129*2</f>
        <v>0</v>
      </c>
      <c r="J128" s="154">
        <f t="shared" si="1"/>
        <v>0</v>
      </c>
      <c r="K128" s="6">
        <f>'MATCH CALCS'!L129*1</f>
        <v>0</v>
      </c>
      <c r="L128" s="6">
        <f>'MATCH CALCS'!$N129*2</f>
        <v>0</v>
      </c>
      <c r="M128" s="6">
        <f>'MATCH CALCS'!N129*1</f>
        <v>0</v>
      </c>
      <c r="N128" s="6">
        <f>'MATCH CALCS'!$N129*2</f>
        <v>0</v>
      </c>
      <c r="O128" s="6">
        <f>'MATCH CALCS'!$N129*2</f>
        <v>0</v>
      </c>
      <c r="P128" s="6">
        <f>'MATCH CALCS'!$P129*5</f>
        <v>0</v>
      </c>
      <c r="Q128" s="154">
        <f t="shared" si="2"/>
        <v>0</v>
      </c>
      <c r="R128" s="6">
        <f>'MATCH CALCS'!$AD129*1</f>
        <v>0</v>
      </c>
      <c r="S128" s="6">
        <f>'MATCH CALCS'!AC129*3</f>
        <v>0</v>
      </c>
      <c r="T128" s="6">
        <f>'MATCH CALCS'!AD129*3</f>
        <v>0</v>
      </c>
      <c r="U128" s="155">
        <f t="shared" si="3"/>
        <v>0</v>
      </c>
      <c r="V128" s="154">
        <f t="shared" si="4"/>
        <v>0</v>
      </c>
    </row>
    <row r="129" spans="1:22">
      <c r="A129" s="154">
        <f>'MATCH CALCS'!A130</f>
        <v>0</v>
      </c>
      <c r="B129" s="154">
        <f>'MATCH CALCS'!$C130</f>
        <v>0</v>
      </c>
      <c r="C129" s="154">
        <f t="shared" si="0"/>
        <v>0</v>
      </c>
      <c r="D129" s="6">
        <f>'MATCH CALCS'!$G130*2</f>
        <v>0</v>
      </c>
      <c r="E129" s="6">
        <f>'MATCH CALCS'!$G130*2</f>
        <v>0</v>
      </c>
      <c r="F129" s="6">
        <f>'MATCH CALCS'!$G130*2</f>
        <v>0</v>
      </c>
      <c r="G129" s="6">
        <f>'MATCH CALCS'!$G130*2</f>
        <v>0</v>
      </c>
      <c r="H129" s="6">
        <f>'MATCH CALCS'!$G130*2</f>
        <v>0</v>
      </c>
      <c r="I129" s="6">
        <f>'MATCH CALCS'!$G130*2</f>
        <v>0</v>
      </c>
      <c r="J129" s="154">
        <f t="shared" si="1"/>
        <v>0</v>
      </c>
      <c r="K129" s="6">
        <f>'MATCH CALCS'!L130*1</f>
        <v>0</v>
      </c>
      <c r="L129" s="6">
        <f>'MATCH CALCS'!$N130*2</f>
        <v>0</v>
      </c>
      <c r="M129" s="6">
        <f>'MATCH CALCS'!N130*1</f>
        <v>0</v>
      </c>
      <c r="N129" s="6">
        <f>'MATCH CALCS'!$N130*2</f>
        <v>0</v>
      </c>
      <c r="O129" s="6">
        <f>'MATCH CALCS'!$N130*2</f>
        <v>0</v>
      </c>
      <c r="P129" s="6">
        <f>'MATCH CALCS'!$P130*5</f>
        <v>0</v>
      </c>
      <c r="Q129" s="154">
        <f t="shared" si="2"/>
        <v>0</v>
      </c>
      <c r="R129" s="6">
        <f>'MATCH CALCS'!$AD130*1</f>
        <v>0</v>
      </c>
      <c r="S129" s="6">
        <f>'MATCH CALCS'!AC130*3</f>
        <v>0</v>
      </c>
      <c r="T129" s="6">
        <f>'MATCH CALCS'!AD130*3</f>
        <v>0</v>
      </c>
      <c r="U129" s="155">
        <f t="shared" si="3"/>
        <v>0</v>
      </c>
      <c r="V129" s="154">
        <f t="shared" si="4"/>
        <v>0</v>
      </c>
    </row>
    <row r="130" spans="1:22">
      <c r="A130" s="154">
        <f>'MATCH CALCS'!A131</f>
        <v>0</v>
      </c>
      <c r="B130" s="154">
        <f>'MATCH CALCS'!$C131</f>
        <v>0</v>
      </c>
      <c r="C130" s="154">
        <f t="shared" si="0"/>
        <v>0</v>
      </c>
      <c r="D130" s="6">
        <f>'MATCH CALCS'!$G131*2</f>
        <v>0</v>
      </c>
      <c r="E130" s="6">
        <f>'MATCH CALCS'!$G131*2</f>
        <v>0</v>
      </c>
      <c r="F130" s="6">
        <f>'MATCH CALCS'!$G131*2</f>
        <v>0</v>
      </c>
      <c r="G130" s="6">
        <f>'MATCH CALCS'!$G131*2</f>
        <v>0</v>
      </c>
      <c r="H130" s="6">
        <f>'MATCH CALCS'!$G131*2</f>
        <v>0</v>
      </c>
      <c r="I130" s="6">
        <f>'MATCH CALCS'!$G131*2</f>
        <v>0</v>
      </c>
      <c r="J130" s="154">
        <f t="shared" si="1"/>
        <v>0</v>
      </c>
      <c r="K130" s="6">
        <f>'MATCH CALCS'!L131*1</f>
        <v>0</v>
      </c>
      <c r="L130" s="6">
        <f>'MATCH CALCS'!$N131*2</f>
        <v>0</v>
      </c>
      <c r="M130" s="6">
        <f>'MATCH CALCS'!N131*1</f>
        <v>0</v>
      </c>
      <c r="N130" s="6">
        <f>'MATCH CALCS'!$N131*2</f>
        <v>0</v>
      </c>
      <c r="O130" s="6">
        <f>'MATCH CALCS'!$N131*2</f>
        <v>0</v>
      </c>
      <c r="P130" s="6">
        <f>'MATCH CALCS'!$P131*5</f>
        <v>0</v>
      </c>
      <c r="Q130" s="154">
        <f t="shared" si="2"/>
        <v>0</v>
      </c>
      <c r="R130" s="6">
        <f>'MATCH CALCS'!$AD131*1</f>
        <v>0</v>
      </c>
      <c r="S130" s="6">
        <f>'MATCH CALCS'!AC131*3</f>
        <v>0</v>
      </c>
      <c r="T130" s="6">
        <f>'MATCH CALCS'!AD131*3</f>
        <v>0</v>
      </c>
      <c r="U130" s="155">
        <f t="shared" si="3"/>
        <v>0</v>
      </c>
      <c r="V130" s="154">
        <f t="shared" si="4"/>
        <v>0</v>
      </c>
    </row>
    <row r="131" spans="1:22">
      <c r="A131" s="154">
        <f>'MATCH CALCS'!A132</f>
        <v>0</v>
      </c>
      <c r="B131" s="154">
        <f>'MATCH CALCS'!$C132</f>
        <v>0</v>
      </c>
      <c r="C131" s="154">
        <f t="shared" si="0"/>
        <v>0</v>
      </c>
      <c r="D131" s="6">
        <f>'MATCH CALCS'!$G132*2</f>
        <v>0</v>
      </c>
      <c r="E131" s="6">
        <f>'MATCH CALCS'!$G132*2</f>
        <v>0</v>
      </c>
      <c r="F131" s="6">
        <f>'MATCH CALCS'!$G132*2</f>
        <v>0</v>
      </c>
      <c r="G131" s="6">
        <f>'MATCH CALCS'!$G132*2</f>
        <v>0</v>
      </c>
      <c r="H131" s="6">
        <f>'MATCH CALCS'!$G132*2</f>
        <v>0</v>
      </c>
      <c r="I131" s="6">
        <f>'MATCH CALCS'!$G132*2</f>
        <v>0</v>
      </c>
      <c r="J131" s="154">
        <f t="shared" si="1"/>
        <v>0</v>
      </c>
      <c r="K131" s="6">
        <f>'MATCH CALCS'!L132*1</f>
        <v>0</v>
      </c>
      <c r="L131" s="6">
        <f>'MATCH CALCS'!$N132*2</f>
        <v>0</v>
      </c>
      <c r="M131" s="6">
        <f>'MATCH CALCS'!N132*1</f>
        <v>0</v>
      </c>
      <c r="N131" s="6">
        <f>'MATCH CALCS'!$N132*2</f>
        <v>0</v>
      </c>
      <c r="O131" s="6">
        <f>'MATCH CALCS'!$N132*2</f>
        <v>0</v>
      </c>
      <c r="P131" s="6">
        <f>'MATCH CALCS'!$P132*5</f>
        <v>0</v>
      </c>
      <c r="Q131" s="154">
        <f t="shared" si="2"/>
        <v>0</v>
      </c>
      <c r="R131" s="6">
        <f>'MATCH CALCS'!$AD132*1</f>
        <v>0</v>
      </c>
      <c r="S131" s="6">
        <f>'MATCH CALCS'!AC132*3</f>
        <v>0</v>
      </c>
      <c r="T131" s="6">
        <f>'MATCH CALCS'!AD132*3</f>
        <v>0</v>
      </c>
      <c r="U131" s="155">
        <f t="shared" si="3"/>
        <v>0</v>
      </c>
      <c r="V131" s="154">
        <f t="shared" si="4"/>
        <v>0</v>
      </c>
    </row>
    <row r="132" spans="1:22">
      <c r="A132" s="154">
        <f>'MATCH CALCS'!A133</f>
        <v>0</v>
      </c>
      <c r="B132" s="154">
        <f>'MATCH CALCS'!$C133</f>
        <v>0</v>
      </c>
      <c r="C132" s="154">
        <f t="shared" si="0"/>
        <v>0</v>
      </c>
      <c r="D132" s="6">
        <f>'MATCH CALCS'!$G133*2</f>
        <v>0</v>
      </c>
      <c r="E132" s="6">
        <f>'MATCH CALCS'!$G133*2</f>
        <v>0</v>
      </c>
      <c r="F132" s="6">
        <f>'MATCH CALCS'!$G133*2</f>
        <v>0</v>
      </c>
      <c r="G132" s="6">
        <f>'MATCH CALCS'!$G133*2</f>
        <v>0</v>
      </c>
      <c r="H132" s="6">
        <f>'MATCH CALCS'!$G133*2</f>
        <v>0</v>
      </c>
      <c r="I132" s="6">
        <f>'MATCH CALCS'!$G133*2</f>
        <v>0</v>
      </c>
      <c r="J132" s="154">
        <f t="shared" si="1"/>
        <v>0</v>
      </c>
      <c r="K132" s="6">
        <f>'MATCH CALCS'!L133*1</f>
        <v>0</v>
      </c>
      <c r="L132" s="6">
        <f>'MATCH CALCS'!$N133*2</f>
        <v>0</v>
      </c>
      <c r="M132" s="6">
        <f>'MATCH CALCS'!N133*1</f>
        <v>0</v>
      </c>
      <c r="N132" s="6">
        <f>'MATCH CALCS'!$N133*2</f>
        <v>0</v>
      </c>
      <c r="O132" s="6">
        <f>'MATCH CALCS'!$N133*2</f>
        <v>0</v>
      </c>
      <c r="P132" s="6">
        <f>'MATCH CALCS'!$P133*5</f>
        <v>0</v>
      </c>
      <c r="Q132" s="154">
        <f t="shared" si="2"/>
        <v>0</v>
      </c>
      <c r="R132" s="6">
        <f>'MATCH CALCS'!$AD133*1</f>
        <v>0</v>
      </c>
      <c r="S132" s="6">
        <f>'MATCH CALCS'!AC133*3</f>
        <v>0</v>
      </c>
      <c r="T132" s="6">
        <f>'MATCH CALCS'!AD133*3</f>
        <v>0</v>
      </c>
      <c r="U132" s="155">
        <f t="shared" si="3"/>
        <v>0</v>
      </c>
      <c r="V132" s="154">
        <f t="shared" si="4"/>
        <v>0</v>
      </c>
    </row>
    <row r="133" spans="1:22">
      <c r="A133" s="154">
        <f>'MATCH CALCS'!A134</f>
        <v>0</v>
      </c>
      <c r="B133" s="154">
        <f>'MATCH CALCS'!$C134</f>
        <v>0</v>
      </c>
      <c r="C133" s="154">
        <f t="shared" si="0"/>
        <v>0</v>
      </c>
      <c r="D133" s="6">
        <f>'MATCH CALCS'!$G134*2</f>
        <v>0</v>
      </c>
      <c r="E133" s="6">
        <f>'MATCH CALCS'!$G134*2</f>
        <v>0</v>
      </c>
      <c r="F133" s="6">
        <f>'MATCH CALCS'!$G134*2</f>
        <v>0</v>
      </c>
      <c r="G133" s="6">
        <f>'MATCH CALCS'!$G134*2</f>
        <v>0</v>
      </c>
      <c r="H133" s="6">
        <f>'MATCH CALCS'!$G134*2</f>
        <v>0</v>
      </c>
      <c r="I133" s="6">
        <f>'MATCH CALCS'!$G134*2</f>
        <v>0</v>
      </c>
      <c r="J133" s="154">
        <f t="shared" si="1"/>
        <v>0</v>
      </c>
      <c r="K133" s="6">
        <f>'MATCH CALCS'!L134*1</f>
        <v>0</v>
      </c>
      <c r="L133" s="6">
        <f>'MATCH CALCS'!$N134*2</f>
        <v>0</v>
      </c>
      <c r="M133" s="6">
        <f>'MATCH CALCS'!N134*1</f>
        <v>0</v>
      </c>
      <c r="N133" s="6">
        <f>'MATCH CALCS'!$N134*2</f>
        <v>0</v>
      </c>
      <c r="O133" s="6">
        <f>'MATCH CALCS'!$N134*2</f>
        <v>0</v>
      </c>
      <c r="P133" s="6">
        <f>'MATCH CALCS'!$P134*5</f>
        <v>0</v>
      </c>
      <c r="Q133" s="154">
        <f t="shared" si="2"/>
        <v>0</v>
      </c>
      <c r="R133" s="6">
        <f>'MATCH CALCS'!$AD134*1</f>
        <v>0</v>
      </c>
      <c r="S133" s="6">
        <f>'MATCH CALCS'!AC134*3</f>
        <v>0</v>
      </c>
      <c r="T133" s="6">
        <f>'MATCH CALCS'!AD134*3</f>
        <v>0</v>
      </c>
      <c r="U133" s="155">
        <f t="shared" si="3"/>
        <v>0</v>
      </c>
      <c r="V133" s="154">
        <f t="shared" si="4"/>
        <v>0</v>
      </c>
    </row>
    <row r="134" spans="1:22">
      <c r="A134" s="154">
        <f>'MATCH CALCS'!A135</f>
        <v>0</v>
      </c>
      <c r="B134" s="154">
        <f>'MATCH CALCS'!$C135</f>
        <v>0</v>
      </c>
      <c r="C134" s="154">
        <f t="shared" si="0"/>
        <v>0</v>
      </c>
      <c r="D134" s="6">
        <f>'MATCH CALCS'!$G135*2</f>
        <v>0</v>
      </c>
      <c r="E134" s="6">
        <f>'MATCH CALCS'!$G135*2</f>
        <v>0</v>
      </c>
      <c r="F134" s="6">
        <f>'MATCH CALCS'!$G135*2</f>
        <v>0</v>
      </c>
      <c r="G134" s="6">
        <f>'MATCH CALCS'!$G135*2</f>
        <v>0</v>
      </c>
      <c r="H134" s="6">
        <f>'MATCH CALCS'!$G135*2</f>
        <v>0</v>
      </c>
      <c r="I134" s="6">
        <f>'MATCH CALCS'!$G135*2</f>
        <v>0</v>
      </c>
      <c r="J134" s="154">
        <f t="shared" si="1"/>
        <v>0</v>
      </c>
      <c r="K134" s="6">
        <f>'MATCH CALCS'!L135*1</f>
        <v>0</v>
      </c>
      <c r="L134" s="6">
        <f>'MATCH CALCS'!$N135*2</f>
        <v>0</v>
      </c>
      <c r="M134" s="6">
        <f>'MATCH CALCS'!N135*1</f>
        <v>0</v>
      </c>
      <c r="N134" s="6">
        <f>'MATCH CALCS'!$N135*2</f>
        <v>0</v>
      </c>
      <c r="O134" s="6">
        <f>'MATCH CALCS'!$N135*2</f>
        <v>0</v>
      </c>
      <c r="P134" s="6">
        <f>'MATCH CALCS'!$P135*5</f>
        <v>0</v>
      </c>
      <c r="Q134" s="154">
        <f t="shared" si="2"/>
        <v>0</v>
      </c>
      <c r="R134" s="6">
        <f>'MATCH CALCS'!$AD135*1</f>
        <v>0</v>
      </c>
      <c r="S134" s="6">
        <f>'MATCH CALCS'!AC135*3</f>
        <v>0</v>
      </c>
      <c r="T134" s="6">
        <f>'MATCH CALCS'!AD135*3</f>
        <v>0</v>
      </c>
      <c r="U134" s="155">
        <f t="shared" si="3"/>
        <v>0</v>
      </c>
      <c r="V134" s="154">
        <f t="shared" si="4"/>
        <v>0</v>
      </c>
    </row>
    <row r="135" spans="1:22">
      <c r="A135" s="154">
        <f>'MATCH CALCS'!A136</f>
        <v>0</v>
      </c>
      <c r="B135" s="154">
        <f>'MATCH CALCS'!$C136</f>
        <v>0</v>
      </c>
      <c r="C135" s="154">
        <f t="shared" si="0"/>
        <v>0</v>
      </c>
      <c r="D135" s="6">
        <f>'MATCH CALCS'!$G136*2</f>
        <v>0</v>
      </c>
      <c r="E135" s="6">
        <f>'MATCH CALCS'!$G136*2</f>
        <v>0</v>
      </c>
      <c r="F135" s="6">
        <f>'MATCH CALCS'!$G136*2</f>
        <v>0</v>
      </c>
      <c r="G135" s="6">
        <f>'MATCH CALCS'!$G136*2</f>
        <v>0</v>
      </c>
      <c r="H135" s="6">
        <f>'MATCH CALCS'!$G136*2</f>
        <v>0</v>
      </c>
      <c r="I135" s="6">
        <f>'MATCH CALCS'!$G136*2</f>
        <v>0</v>
      </c>
      <c r="J135" s="154">
        <f t="shared" si="1"/>
        <v>0</v>
      </c>
      <c r="K135" s="6">
        <f>'MATCH CALCS'!L136*1</f>
        <v>0</v>
      </c>
      <c r="L135" s="6">
        <f>'MATCH CALCS'!$N136*2</f>
        <v>0</v>
      </c>
      <c r="M135" s="6">
        <f>'MATCH CALCS'!N136*1</f>
        <v>0</v>
      </c>
      <c r="N135" s="6">
        <f>'MATCH CALCS'!$N136*2</f>
        <v>0</v>
      </c>
      <c r="O135" s="6">
        <f>'MATCH CALCS'!$N136*2</f>
        <v>0</v>
      </c>
      <c r="P135" s="6">
        <f>'MATCH CALCS'!$P136*5</f>
        <v>0</v>
      </c>
      <c r="Q135" s="154">
        <f t="shared" si="2"/>
        <v>0</v>
      </c>
      <c r="R135" s="6">
        <f>'MATCH CALCS'!$AD136*1</f>
        <v>0</v>
      </c>
      <c r="S135" s="6">
        <f>'MATCH CALCS'!AC136*3</f>
        <v>0</v>
      </c>
      <c r="T135" s="6">
        <f>'MATCH CALCS'!AD136*3</f>
        <v>0</v>
      </c>
      <c r="U135" s="155">
        <f t="shared" si="3"/>
        <v>0</v>
      </c>
      <c r="V135" s="154">
        <f t="shared" si="4"/>
        <v>0</v>
      </c>
    </row>
    <row r="136" spans="1:22">
      <c r="A136" s="154">
        <f>'MATCH CALCS'!A137</f>
        <v>0</v>
      </c>
      <c r="B136" s="154">
        <f>'MATCH CALCS'!$C137</f>
        <v>0</v>
      </c>
      <c r="C136" s="154">
        <f t="shared" si="0"/>
        <v>0</v>
      </c>
      <c r="D136" s="6">
        <f>'MATCH CALCS'!$G137*2</f>
        <v>0</v>
      </c>
      <c r="E136" s="6">
        <f>'MATCH CALCS'!$G137*2</f>
        <v>0</v>
      </c>
      <c r="F136" s="6">
        <f>'MATCH CALCS'!$G137*2</f>
        <v>0</v>
      </c>
      <c r="G136" s="6">
        <f>'MATCH CALCS'!$G137*2</f>
        <v>0</v>
      </c>
      <c r="H136" s="6">
        <f>'MATCH CALCS'!$G137*2</f>
        <v>0</v>
      </c>
      <c r="I136" s="6">
        <f>'MATCH CALCS'!$G137*2</f>
        <v>0</v>
      </c>
      <c r="J136" s="154">
        <f t="shared" si="1"/>
        <v>0</v>
      </c>
      <c r="K136" s="6">
        <f>'MATCH CALCS'!L137*1</f>
        <v>0</v>
      </c>
      <c r="L136" s="6">
        <f>'MATCH CALCS'!$N137*2</f>
        <v>0</v>
      </c>
      <c r="M136" s="6">
        <f>'MATCH CALCS'!N137*1</f>
        <v>0</v>
      </c>
      <c r="N136" s="6">
        <f>'MATCH CALCS'!$N137*2</f>
        <v>0</v>
      </c>
      <c r="O136" s="6">
        <f>'MATCH CALCS'!$N137*2</f>
        <v>0</v>
      </c>
      <c r="P136" s="6">
        <f>'MATCH CALCS'!$P137*5</f>
        <v>0</v>
      </c>
      <c r="Q136" s="154">
        <f t="shared" si="2"/>
        <v>0</v>
      </c>
      <c r="R136" s="6">
        <f>'MATCH CALCS'!$AD137*1</f>
        <v>0</v>
      </c>
      <c r="S136" s="6">
        <f>'MATCH CALCS'!AC137*3</f>
        <v>0</v>
      </c>
      <c r="T136" s="6">
        <f>'MATCH CALCS'!AD137*3</f>
        <v>0</v>
      </c>
      <c r="U136" s="155">
        <f t="shared" si="3"/>
        <v>0</v>
      </c>
      <c r="V136" s="154">
        <f t="shared" si="4"/>
        <v>0</v>
      </c>
    </row>
    <row r="137" spans="1:22">
      <c r="A137" s="154">
        <f>'MATCH CALCS'!A138</f>
        <v>0</v>
      </c>
      <c r="B137" s="154">
        <f>'MATCH CALCS'!$C138</f>
        <v>0</v>
      </c>
      <c r="C137" s="154">
        <f t="shared" si="0"/>
        <v>0</v>
      </c>
      <c r="D137" s="6">
        <f>'MATCH CALCS'!$G138*2</f>
        <v>0</v>
      </c>
      <c r="E137" s="6">
        <f>'MATCH CALCS'!$G138*2</f>
        <v>0</v>
      </c>
      <c r="F137" s="6">
        <f>'MATCH CALCS'!$G138*2</f>
        <v>0</v>
      </c>
      <c r="G137" s="6">
        <f>'MATCH CALCS'!$G138*2</f>
        <v>0</v>
      </c>
      <c r="H137" s="6">
        <f>'MATCH CALCS'!$G138*2</f>
        <v>0</v>
      </c>
      <c r="I137" s="6">
        <f>'MATCH CALCS'!$G138*2</f>
        <v>0</v>
      </c>
      <c r="J137" s="154">
        <f t="shared" si="1"/>
        <v>0</v>
      </c>
      <c r="K137" s="6">
        <f>'MATCH CALCS'!L138*1</f>
        <v>0</v>
      </c>
      <c r="L137" s="6">
        <f>'MATCH CALCS'!$N138*2</f>
        <v>0</v>
      </c>
      <c r="M137" s="6">
        <f>'MATCH CALCS'!N138*1</f>
        <v>0</v>
      </c>
      <c r="N137" s="6">
        <f>'MATCH CALCS'!$N138*2</f>
        <v>0</v>
      </c>
      <c r="O137" s="6">
        <f>'MATCH CALCS'!$N138*2</f>
        <v>0</v>
      </c>
      <c r="P137" s="6">
        <f>'MATCH CALCS'!$P138*5</f>
        <v>0</v>
      </c>
      <c r="Q137" s="154">
        <f t="shared" si="2"/>
        <v>0</v>
      </c>
      <c r="R137" s="6">
        <f>'MATCH CALCS'!$AD138*1</f>
        <v>0</v>
      </c>
      <c r="S137" s="6">
        <f>'MATCH CALCS'!AC138*3</f>
        <v>0</v>
      </c>
      <c r="T137" s="6">
        <f>'MATCH CALCS'!AD138*3</f>
        <v>0</v>
      </c>
      <c r="U137" s="155">
        <f t="shared" si="3"/>
        <v>0</v>
      </c>
      <c r="V137" s="154">
        <f t="shared" si="4"/>
        <v>0</v>
      </c>
    </row>
    <row r="138" spans="1:22">
      <c r="A138" s="154">
        <f>'MATCH CALCS'!A139</f>
        <v>0</v>
      </c>
      <c r="B138" s="154">
        <f>'MATCH CALCS'!$C139</f>
        <v>0</v>
      </c>
      <c r="C138" s="154">
        <f t="shared" si="0"/>
        <v>0</v>
      </c>
      <c r="D138" s="6">
        <f>'MATCH CALCS'!$G139*2</f>
        <v>0</v>
      </c>
      <c r="E138" s="6">
        <f>'MATCH CALCS'!$G139*2</f>
        <v>0</v>
      </c>
      <c r="F138" s="6">
        <f>'MATCH CALCS'!$G139*2</f>
        <v>0</v>
      </c>
      <c r="G138" s="6">
        <f>'MATCH CALCS'!$G139*2</f>
        <v>0</v>
      </c>
      <c r="H138" s="6">
        <f>'MATCH CALCS'!$G139*2</f>
        <v>0</v>
      </c>
      <c r="I138" s="6">
        <f>'MATCH CALCS'!$G139*2</f>
        <v>0</v>
      </c>
      <c r="J138" s="154">
        <f t="shared" si="1"/>
        <v>0</v>
      </c>
      <c r="K138" s="6">
        <f>'MATCH CALCS'!L139*1</f>
        <v>0</v>
      </c>
      <c r="L138" s="6">
        <f>'MATCH CALCS'!$N139*2</f>
        <v>0</v>
      </c>
      <c r="M138" s="6">
        <f>'MATCH CALCS'!N139*1</f>
        <v>0</v>
      </c>
      <c r="N138" s="6">
        <f>'MATCH CALCS'!$N139*2</f>
        <v>0</v>
      </c>
      <c r="O138" s="6">
        <f>'MATCH CALCS'!$N139*2</f>
        <v>0</v>
      </c>
      <c r="P138" s="6">
        <f>'MATCH CALCS'!$P139*5</f>
        <v>0</v>
      </c>
      <c r="Q138" s="154">
        <f t="shared" si="2"/>
        <v>0</v>
      </c>
      <c r="R138" s="6">
        <f>'MATCH CALCS'!$AD139*1</f>
        <v>0</v>
      </c>
      <c r="S138" s="6">
        <f>'MATCH CALCS'!AC139*3</f>
        <v>0</v>
      </c>
      <c r="T138" s="6">
        <f>'MATCH CALCS'!AD139*3</f>
        <v>0</v>
      </c>
      <c r="U138" s="155">
        <f t="shared" si="3"/>
        <v>0</v>
      </c>
      <c r="V138" s="154">
        <f t="shared" si="4"/>
        <v>0</v>
      </c>
    </row>
    <row r="139" spans="1:22">
      <c r="A139" s="154">
        <f>'MATCH CALCS'!A140</f>
        <v>0</v>
      </c>
      <c r="B139" s="154">
        <f>'MATCH CALCS'!$C140</f>
        <v>0</v>
      </c>
      <c r="C139" s="154">
        <f t="shared" si="0"/>
        <v>0</v>
      </c>
      <c r="D139" s="6">
        <f>'MATCH CALCS'!$G140*2</f>
        <v>0</v>
      </c>
      <c r="E139" s="6">
        <f>'MATCH CALCS'!$G140*2</f>
        <v>0</v>
      </c>
      <c r="F139" s="6">
        <f>'MATCH CALCS'!$G140*2</f>
        <v>0</v>
      </c>
      <c r="G139" s="6">
        <f>'MATCH CALCS'!$G140*2</f>
        <v>0</v>
      </c>
      <c r="H139" s="6">
        <f>'MATCH CALCS'!$G140*2</f>
        <v>0</v>
      </c>
      <c r="I139" s="6">
        <f>'MATCH CALCS'!$G140*2</f>
        <v>0</v>
      </c>
      <c r="J139" s="154">
        <f t="shared" si="1"/>
        <v>0</v>
      </c>
      <c r="K139" s="6">
        <f>'MATCH CALCS'!L140*1</f>
        <v>0</v>
      </c>
      <c r="L139" s="6">
        <f>'MATCH CALCS'!$N140*2</f>
        <v>0</v>
      </c>
      <c r="M139" s="6">
        <f>'MATCH CALCS'!N140*1</f>
        <v>0</v>
      </c>
      <c r="N139" s="6">
        <f>'MATCH CALCS'!$N140*2</f>
        <v>0</v>
      </c>
      <c r="O139" s="6">
        <f>'MATCH CALCS'!$N140*2</f>
        <v>0</v>
      </c>
      <c r="P139" s="6">
        <f>'MATCH CALCS'!$P140*5</f>
        <v>0</v>
      </c>
      <c r="Q139" s="154">
        <f t="shared" si="2"/>
        <v>0</v>
      </c>
      <c r="R139" s="6">
        <f>'MATCH CALCS'!$AD140*1</f>
        <v>0</v>
      </c>
      <c r="S139" s="6">
        <f>'MATCH CALCS'!AC140*3</f>
        <v>0</v>
      </c>
      <c r="T139" s="6">
        <f>'MATCH CALCS'!AD140*3</f>
        <v>0</v>
      </c>
      <c r="U139" s="155">
        <f t="shared" si="3"/>
        <v>0</v>
      </c>
      <c r="V139" s="154">
        <f t="shared" si="4"/>
        <v>0</v>
      </c>
    </row>
    <row r="140" spans="1:22">
      <c r="A140" s="154">
        <f>'MATCH CALCS'!A141</f>
        <v>0</v>
      </c>
      <c r="B140" s="154">
        <f>'MATCH CALCS'!$C141</f>
        <v>0</v>
      </c>
      <c r="C140" s="154">
        <f t="shared" si="0"/>
        <v>0</v>
      </c>
      <c r="D140" s="6">
        <f>'MATCH CALCS'!$G141*2</f>
        <v>0</v>
      </c>
      <c r="E140" s="6">
        <f>'MATCH CALCS'!$G141*2</f>
        <v>0</v>
      </c>
      <c r="F140" s="6">
        <f>'MATCH CALCS'!$G141*2</f>
        <v>0</v>
      </c>
      <c r="G140" s="6">
        <f>'MATCH CALCS'!$G141*2</f>
        <v>0</v>
      </c>
      <c r="H140" s="6">
        <f>'MATCH CALCS'!$G141*2</f>
        <v>0</v>
      </c>
      <c r="I140" s="6">
        <f>'MATCH CALCS'!$G141*2</f>
        <v>0</v>
      </c>
      <c r="J140" s="154">
        <f t="shared" si="1"/>
        <v>0</v>
      </c>
      <c r="K140" s="6">
        <f>'MATCH CALCS'!L141*1</f>
        <v>0</v>
      </c>
      <c r="L140" s="6">
        <f>'MATCH CALCS'!$N141*2</f>
        <v>0</v>
      </c>
      <c r="M140" s="6">
        <f>'MATCH CALCS'!N141*1</f>
        <v>0</v>
      </c>
      <c r="N140" s="6">
        <f>'MATCH CALCS'!$N141*2</f>
        <v>0</v>
      </c>
      <c r="O140" s="6">
        <f>'MATCH CALCS'!$N141*2</f>
        <v>0</v>
      </c>
      <c r="P140" s="6">
        <f>'MATCH CALCS'!$P141*5</f>
        <v>0</v>
      </c>
      <c r="Q140" s="154">
        <f t="shared" si="2"/>
        <v>0</v>
      </c>
      <c r="R140" s="6">
        <f>'MATCH CALCS'!$AD141*1</f>
        <v>0</v>
      </c>
      <c r="S140" s="6">
        <f>'MATCH CALCS'!AC141*3</f>
        <v>0</v>
      </c>
      <c r="T140" s="6">
        <f>'MATCH CALCS'!AD141*3</f>
        <v>0</v>
      </c>
      <c r="U140" s="155">
        <f t="shared" si="3"/>
        <v>0</v>
      </c>
      <c r="V140" s="154">
        <f t="shared" si="4"/>
        <v>0</v>
      </c>
    </row>
    <row r="141" spans="1:22">
      <c r="A141" s="154">
        <f>'MATCH CALCS'!A142</f>
        <v>0</v>
      </c>
      <c r="B141" s="154">
        <f>'MATCH CALCS'!$C142</f>
        <v>0</v>
      </c>
      <c r="C141" s="154">
        <f t="shared" si="0"/>
        <v>0</v>
      </c>
      <c r="D141" s="6">
        <f>'MATCH CALCS'!$G142*2</f>
        <v>0</v>
      </c>
      <c r="E141" s="6">
        <f>'MATCH CALCS'!$G142*2</f>
        <v>0</v>
      </c>
      <c r="F141" s="6">
        <f>'MATCH CALCS'!$G142*2</f>
        <v>0</v>
      </c>
      <c r="G141" s="6">
        <f>'MATCH CALCS'!$G142*2</f>
        <v>0</v>
      </c>
      <c r="H141" s="6">
        <f>'MATCH CALCS'!$G142*2</f>
        <v>0</v>
      </c>
      <c r="I141" s="6">
        <f>'MATCH CALCS'!$G142*2</f>
        <v>0</v>
      </c>
      <c r="J141" s="154">
        <f t="shared" si="1"/>
        <v>0</v>
      </c>
      <c r="K141" s="6">
        <f>'MATCH CALCS'!L142*1</f>
        <v>0</v>
      </c>
      <c r="L141" s="6">
        <f>'MATCH CALCS'!$N142*2</f>
        <v>0</v>
      </c>
      <c r="M141" s="6">
        <f>'MATCH CALCS'!N142*1</f>
        <v>0</v>
      </c>
      <c r="N141" s="6">
        <f>'MATCH CALCS'!$N142*2</f>
        <v>0</v>
      </c>
      <c r="O141" s="6">
        <f>'MATCH CALCS'!$N142*2</f>
        <v>0</v>
      </c>
      <c r="P141" s="6">
        <f>'MATCH CALCS'!$P142*5</f>
        <v>0</v>
      </c>
      <c r="Q141" s="154">
        <f t="shared" si="2"/>
        <v>0</v>
      </c>
      <c r="R141" s="6">
        <f>'MATCH CALCS'!$AD142*1</f>
        <v>0</v>
      </c>
      <c r="S141" s="6">
        <f>'MATCH CALCS'!AC142*3</f>
        <v>0</v>
      </c>
      <c r="T141" s="6">
        <f>'MATCH CALCS'!AD142*3</f>
        <v>0</v>
      </c>
      <c r="U141" s="155">
        <f t="shared" si="3"/>
        <v>0</v>
      </c>
      <c r="V141" s="154">
        <f t="shared" si="4"/>
        <v>0</v>
      </c>
    </row>
    <row r="142" spans="1:22">
      <c r="A142" s="154">
        <f>'MATCH CALCS'!A143</f>
        <v>0</v>
      </c>
      <c r="B142" s="154">
        <f>'MATCH CALCS'!$C143</f>
        <v>0</v>
      </c>
      <c r="C142" s="154">
        <f t="shared" si="0"/>
        <v>0</v>
      </c>
      <c r="D142" s="6">
        <f>'MATCH CALCS'!$G143*2</f>
        <v>0</v>
      </c>
      <c r="E142" s="6">
        <f>'MATCH CALCS'!$G143*2</f>
        <v>0</v>
      </c>
      <c r="F142" s="6">
        <f>'MATCH CALCS'!$G143*2</f>
        <v>0</v>
      </c>
      <c r="G142" s="6">
        <f>'MATCH CALCS'!$G143*2</f>
        <v>0</v>
      </c>
      <c r="H142" s="6">
        <f>'MATCH CALCS'!$G143*2</f>
        <v>0</v>
      </c>
      <c r="I142" s="6">
        <f>'MATCH CALCS'!$G143*2</f>
        <v>0</v>
      </c>
      <c r="J142" s="154">
        <f t="shared" si="1"/>
        <v>0</v>
      </c>
      <c r="K142" s="6">
        <f>'MATCH CALCS'!L143*1</f>
        <v>0</v>
      </c>
      <c r="L142" s="6">
        <f>'MATCH CALCS'!$N143*2</f>
        <v>0</v>
      </c>
      <c r="M142" s="6">
        <f>'MATCH CALCS'!N143*1</f>
        <v>0</v>
      </c>
      <c r="N142" s="6">
        <f>'MATCH CALCS'!$N143*2</f>
        <v>0</v>
      </c>
      <c r="O142" s="6">
        <f>'MATCH CALCS'!$N143*2</f>
        <v>0</v>
      </c>
      <c r="P142" s="6">
        <f>'MATCH CALCS'!$P143*5</f>
        <v>0</v>
      </c>
      <c r="Q142" s="154">
        <f t="shared" si="2"/>
        <v>0</v>
      </c>
      <c r="R142" s="6">
        <f>'MATCH CALCS'!$AD143*1</f>
        <v>0</v>
      </c>
      <c r="S142" s="6">
        <f>'MATCH CALCS'!AC143*3</f>
        <v>0</v>
      </c>
      <c r="T142" s="6">
        <f>'MATCH CALCS'!AD143*3</f>
        <v>0</v>
      </c>
      <c r="U142" s="155">
        <f t="shared" si="3"/>
        <v>0</v>
      </c>
      <c r="V142" s="154">
        <f t="shared" si="4"/>
        <v>0</v>
      </c>
    </row>
    <row r="143" spans="1:22">
      <c r="A143" s="154">
        <f>'MATCH CALCS'!A144</f>
        <v>0</v>
      </c>
      <c r="B143" s="154">
        <f>'MATCH CALCS'!$C144</f>
        <v>0</v>
      </c>
      <c r="C143" s="154">
        <f t="shared" si="0"/>
        <v>0</v>
      </c>
      <c r="D143" s="6">
        <f>'MATCH CALCS'!$G144*2</f>
        <v>0</v>
      </c>
      <c r="E143" s="6">
        <f>'MATCH CALCS'!$G144*2</f>
        <v>0</v>
      </c>
      <c r="F143" s="6">
        <f>'MATCH CALCS'!$G144*2</f>
        <v>0</v>
      </c>
      <c r="G143" s="6">
        <f>'MATCH CALCS'!$G144*2</f>
        <v>0</v>
      </c>
      <c r="H143" s="6">
        <f>'MATCH CALCS'!$G144*2</f>
        <v>0</v>
      </c>
      <c r="I143" s="6">
        <f>'MATCH CALCS'!$G144*2</f>
        <v>0</v>
      </c>
      <c r="J143" s="154">
        <f t="shared" si="1"/>
        <v>0</v>
      </c>
      <c r="K143" s="6">
        <f>'MATCH CALCS'!L144*1</f>
        <v>0</v>
      </c>
      <c r="L143" s="6">
        <f>'MATCH CALCS'!$N144*2</f>
        <v>0</v>
      </c>
      <c r="M143" s="6">
        <f>'MATCH CALCS'!N144*1</f>
        <v>0</v>
      </c>
      <c r="N143" s="6">
        <f>'MATCH CALCS'!$N144*2</f>
        <v>0</v>
      </c>
      <c r="O143" s="6">
        <f>'MATCH CALCS'!$N144*2</f>
        <v>0</v>
      </c>
      <c r="P143" s="6">
        <f>'MATCH CALCS'!$P144*5</f>
        <v>0</v>
      </c>
      <c r="Q143" s="154">
        <f t="shared" si="2"/>
        <v>0</v>
      </c>
      <c r="R143" s="6">
        <f>'MATCH CALCS'!$AD144*1</f>
        <v>0</v>
      </c>
      <c r="S143" s="6">
        <f>'MATCH CALCS'!AC144*3</f>
        <v>0</v>
      </c>
      <c r="T143" s="6">
        <f>'MATCH CALCS'!AD144*3</f>
        <v>0</v>
      </c>
      <c r="U143" s="155">
        <f t="shared" si="3"/>
        <v>0</v>
      </c>
      <c r="V143" s="154">
        <f t="shared" si="4"/>
        <v>0</v>
      </c>
    </row>
    <row r="144" spans="1:22">
      <c r="A144" s="154">
        <f>'MATCH CALCS'!A145</f>
        <v>0</v>
      </c>
      <c r="B144" s="154">
        <f>'MATCH CALCS'!$C145</f>
        <v>0</v>
      </c>
      <c r="C144" s="154">
        <f t="shared" si="0"/>
        <v>0</v>
      </c>
      <c r="D144" s="6">
        <f>'MATCH CALCS'!$G145*2</f>
        <v>0</v>
      </c>
      <c r="E144" s="6">
        <f>'MATCH CALCS'!$G145*2</f>
        <v>0</v>
      </c>
      <c r="F144" s="6">
        <f>'MATCH CALCS'!$G145*2</f>
        <v>0</v>
      </c>
      <c r="G144" s="6">
        <f>'MATCH CALCS'!$G145*2</f>
        <v>0</v>
      </c>
      <c r="H144" s="6">
        <f>'MATCH CALCS'!$G145*2</f>
        <v>0</v>
      </c>
      <c r="I144" s="6">
        <f>'MATCH CALCS'!$G145*2</f>
        <v>0</v>
      </c>
      <c r="J144" s="154">
        <f t="shared" si="1"/>
        <v>0</v>
      </c>
      <c r="K144" s="6">
        <f>'MATCH CALCS'!L145*1</f>
        <v>0</v>
      </c>
      <c r="L144" s="6">
        <f>'MATCH CALCS'!$N145*2</f>
        <v>0</v>
      </c>
      <c r="M144" s="6">
        <f>'MATCH CALCS'!N145*1</f>
        <v>0</v>
      </c>
      <c r="N144" s="6">
        <f>'MATCH CALCS'!$N145*2</f>
        <v>0</v>
      </c>
      <c r="O144" s="6">
        <f>'MATCH CALCS'!$N145*2</f>
        <v>0</v>
      </c>
      <c r="P144" s="6">
        <f>'MATCH CALCS'!$P145*5</f>
        <v>0</v>
      </c>
      <c r="Q144" s="154">
        <f t="shared" si="2"/>
        <v>0</v>
      </c>
      <c r="R144" s="6">
        <f>'MATCH CALCS'!$AD145*1</f>
        <v>0</v>
      </c>
      <c r="S144" s="6">
        <f>'MATCH CALCS'!AC145*3</f>
        <v>0</v>
      </c>
      <c r="T144" s="6">
        <f>'MATCH CALCS'!AD145*3</f>
        <v>0</v>
      </c>
      <c r="U144" s="155">
        <f t="shared" si="3"/>
        <v>0</v>
      </c>
      <c r="V144" s="154">
        <f t="shared" si="4"/>
        <v>0</v>
      </c>
    </row>
    <row r="145" spans="1:22">
      <c r="A145" s="154">
        <f>'MATCH CALCS'!A146</f>
        <v>0</v>
      </c>
      <c r="B145" s="154">
        <f>'MATCH CALCS'!$C146</f>
        <v>0</v>
      </c>
      <c r="C145" s="154">
        <f t="shared" si="0"/>
        <v>0</v>
      </c>
      <c r="D145" s="6">
        <f>'MATCH CALCS'!$G146*2</f>
        <v>0</v>
      </c>
      <c r="E145" s="6">
        <f>'MATCH CALCS'!$G146*2</f>
        <v>0</v>
      </c>
      <c r="F145" s="6">
        <f>'MATCH CALCS'!$G146*2</f>
        <v>0</v>
      </c>
      <c r="G145" s="6">
        <f>'MATCH CALCS'!$G146*2</f>
        <v>0</v>
      </c>
      <c r="H145" s="6">
        <f>'MATCH CALCS'!$G146*2</f>
        <v>0</v>
      </c>
      <c r="I145" s="6">
        <f>'MATCH CALCS'!$G146*2</f>
        <v>0</v>
      </c>
      <c r="J145" s="154">
        <f t="shared" si="1"/>
        <v>0</v>
      </c>
      <c r="K145" s="6">
        <f>'MATCH CALCS'!L146*1</f>
        <v>0</v>
      </c>
      <c r="L145" s="6">
        <f>'MATCH CALCS'!$N146*2</f>
        <v>0</v>
      </c>
      <c r="M145" s="6">
        <f>'MATCH CALCS'!N146*1</f>
        <v>0</v>
      </c>
      <c r="N145" s="6">
        <f>'MATCH CALCS'!$N146*2</f>
        <v>0</v>
      </c>
      <c r="O145" s="6">
        <f>'MATCH CALCS'!$N146*2</f>
        <v>0</v>
      </c>
      <c r="P145" s="6">
        <f>'MATCH CALCS'!$P146*5</f>
        <v>0</v>
      </c>
      <c r="Q145" s="154">
        <f t="shared" si="2"/>
        <v>0</v>
      </c>
      <c r="R145" s="6">
        <f>'MATCH CALCS'!$AD146*1</f>
        <v>0</v>
      </c>
      <c r="S145" s="6">
        <f>'MATCH CALCS'!AC146*3</f>
        <v>0</v>
      </c>
      <c r="T145" s="6">
        <f>'MATCH CALCS'!AD146*3</f>
        <v>0</v>
      </c>
      <c r="U145" s="155">
        <f t="shared" si="3"/>
        <v>0</v>
      </c>
      <c r="V145" s="154">
        <f t="shared" si="4"/>
        <v>0</v>
      </c>
    </row>
    <row r="146" spans="1:22">
      <c r="A146" s="154">
        <f>'MATCH CALCS'!A147</f>
        <v>0</v>
      </c>
      <c r="B146" s="154">
        <f>'MATCH CALCS'!$C147</f>
        <v>0</v>
      </c>
      <c r="C146" s="154">
        <f t="shared" si="0"/>
        <v>0</v>
      </c>
      <c r="D146" s="6">
        <f>'MATCH CALCS'!$G147*2</f>
        <v>0</v>
      </c>
      <c r="E146" s="6">
        <f>'MATCH CALCS'!$G147*2</f>
        <v>0</v>
      </c>
      <c r="F146" s="6">
        <f>'MATCH CALCS'!$G147*2</f>
        <v>0</v>
      </c>
      <c r="G146" s="6">
        <f>'MATCH CALCS'!$G147*2</f>
        <v>0</v>
      </c>
      <c r="H146" s="6">
        <f>'MATCH CALCS'!$G147*2</f>
        <v>0</v>
      </c>
      <c r="I146" s="6">
        <f>'MATCH CALCS'!$G147*2</f>
        <v>0</v>
      </c>
      <c r="J146" s="154">
        <f t="shared" si="1"/>
        <v>0</v>
      </c>
      <c r="K146" s="6">
        <f>'MATCH CALCS'!L147*1</f>
        <v>0</v>
      </c>
      <c r="L146" s="6">
        <f>'MATCH CALCS'!$N147*2</f>
        <v>0</v>
      </c>
      <c r="M146" s="6">
        <f>'MATCH CALCS'!N147*1</f>
        <v>0</v>
      </c>
      <c r="N146" s="6">
        <f>'MATCH CALCS'!$N147*2</f>
        <v>0</v>
      </c>
      <c r="O146" s="6">
        <f>'MATCH CALCS'!$N147*2</f>
        <v>0</v>
      </c>
      <c r="P146" s="6">
        <f>'MATCH CALCS'!$P147*5</f>
        <v>0</v>
      </c>
      <c r="Q146" s="154">
        <f t="shared" si="2"/>
        <v>0</v>
      </c>
      <c r="R146" s="6">
        <f>'MATCH CALCS'!$AD147*1</f>
        <v>0</v>
      </c>
      <c r="S146" s="6">
        <f>'MATCH CALCS'!AC147*3</f>
        <v>0</v>
      </c>
      <c r="T146" s="6">
        <f>'MATCH CALCS'!AD147*3</f>
        <v>0</v>
      </c>
      <c r="U146" s="155">
        <f t="shared" si="3"/>
        <v>0</v>
      </c>
      <c r="V146" s="154">
        <f t="shared" si="4"/>
        <v>0</v>
      </c>
    </row>
    <row r="147" spans="1:22">
      <c r="A147" s="154">
        <f>'MATCH CALCS'!A148</f>
        <v>0</v>
      </c>
      <c r="B147" s="154">
        <f>'MATCH CALCS'!$C148</f>
        <v>0</v>
      </c>
      <c r="C147" s="154">
        <f t="shared" si="0"/>
        <v>0</v>
      </c>
      <c r="D147" s="6">
        <f>'MATCH CALCS'!$G148*2</f>
        <v>0</v>
      </c>
      <c r="E147" s="6">
        <f>'MATCH CALCS'!$G148*2</f>
        <v>0</v>
      </c>
      <c r="F147" s="6">
        <f>'MATCH CALCS'!$G148*2</f>
        <v>0</v>
      </c>
      <c r="G147" s="6">
        <f>'MATCH CALCS'!$G148*2</f>
        <v>0</v>
      </c>
      <c r="H147" s="6">
        <f>'MATCH CALCS'!$G148*2</f>
        <v>0</v>
      </c>
      <c r="I147" s="6">
        <f>'MATCH CALCS'!$G148*2</f>
        <v>0</v>
      </c>
      <c r="J147" s="154">
        <f t="shared" si="1"/>
        <v>0</v>
      </c>
      <c r="K147" s="6">
        <f>'MATCH CALCS'!L148*1</f>
        <v>0</v>
      </c>
      <c r="L147" s="6">
        <f>'MATCH CALCS'!$N148*2</f>
        <v>0</v>
      </c>
      <c r="M147" s="6">
        <f>'MATCH CALCS'!N148*1</f>
        <v>0</v>
      </c>
      <c r="N147" s="6">
        <f>'MATCH CALCS'!$N148*2</f>
        <v>0</v>
      </c>
      <c r="O147" s="6">
        <f>'MATCH CALCS'!$N148*2</f>
        <v>0</v>
      </c>
      <c r="P147" s="6">
        <f>'MATCH CALCS'!$P148*5</f>
        <v>0</v>
      </c>
      <c r="Q147" s="154">
        <f t="shared" si="2"/>
        <v>0</v>
      </c>
      <c r="R147" s="6">
        <f>'MATCH CALCS'!$AD148*1</f>
        <v>0</v>
      </c>
      <c r="S147" s="6">
        <f>'MATCH CALCS'!AC148*3</f>
        <v>0</v>
      </c>
      <c r="T147" s="6">
        <f>'MATCH CALCS'!AD148*3</f>
        <v>0</v>
      </c>
      <c r="U147" s="155">
        <f t="shared" si="3"/>
        <v>0</v>
      </c>
      <c r="V147" s="154">
        <f t="shared" si="4"/>
        <v>0</v>
      </c>
    </row>
    <row r="148" spans="1:22">
      <c r="A148" s="154">
        <f>'MATCH CALCS'!A149</f>
        <v>0</v>
      </c>
      <c r="B148" s="154">
        <f>'MATCH CALCS'!$C149</f>
        <v>0</v>
      </c>
      <c r="C148" s="154">
        <f t="shared" si="0"/>
        <v>0</v>
      </c>
      <c r="D148" s="6">
        <f>'MATCH CALCS'!$G149*2</f>
        <v>0</v>
      </c>
      <c r="E148" s="6">
        <f>'MATCH CALCS'!$G149*2</f>
        <v>0</v>
      </c>
      <c r="F148" s="6">
        <f>'MATCH CALCS'!$G149*2</f>
        <v>0</v>
      </c>
      <c r="G148" s="6">
        <f>'MATCH CALCS'!$G149*2</f>
        <v>0</v>
      </c>
      <c r="H148" s="6">
        <f>'MATCH CALCS'!$G149*2</f>
        <v>0</v>
      </c>
      <c r="I148" s="6">
        <f>'MATCH CALCS'!$G149*2</f>
        <v>0</v>
      </c>
      <c r="J148" s="154">
        <f t="shared" si="1"/>
        <v>0</v>
      </c>
      <c r="K148" s="6">
        <f>'MATCH CALCS'!L149*1</f>
        <v>0</v>
      </c>
      <c r="L148" s="6">
        <f>'MATCH CALCS'!$N149*2</f>
        <v>0</v>
      </c>
      <c r="M148" s="6">
        <f>'MATCH CALCS'!N149*1</f>
        <v>0</v>
      </c>
      <c r="N148" s="6">
        <f>'MATCH CALCS'!$N149*2</f>
        <v>0</v>
      </c>
      <c r="O148" s="6">
        <f>'MATCH CALCS'!$N149*2</f>
        <v>0</v>
      </c>
      <c r="P148" s="6">
        <f>'MATCH CALCS'!$P149*5</f>
        <v>0</v>
      </c>
      <c r="Q148" s="154">
        <f t="shared" si="2"/>
        <v>0</v>
      </c>
      <c r="R148" s="6">
        <f>'MATCH CALCS'!$AD149*1</f>
        <v>0</v>
      </c>
      <c r="S148" s="6">
        <f>'MATCH CALCS'!AC149*3</f>
        <v>0</v>
      </c>
      <c r="T148" s="6">
        <f>'MATCH CALCS'!AD149*3</f>
        <v>0</v>
      </c>
      <c r="U148" s="155">
        <f t="shared" si="3"/>
        <v>0</v>
      </c>
      <c r="V148" s="154">
        <f t="shared" si="4"/>
        <v>0</v>
      </c>
    </row>
    <row r="149" spans="1:22">
      <c r="A149" s="154">
        <f>'MATCH CALCS'!A150</f>
        <v>0</v>
      </c>
      <c r="B149" s="154">
        <f>'MATCH CALCS'!$C150</f>
        <v>0</v>
      </c>
      <c r="C149" s="154">
        <f t="shared" si="0"/>
        <v>0</v>
      </c>
      <c r="D149" s="6">
        <f>'MATCH CALCS'!$G150*2</f>
        <v>0</v>
      </c>
      <c r="E149" s="6">
        <f>'MATCH CALCS'!$G150*2</f>
        <v>0</v>
      </c>
      <c r="F149" s="6">
        <f>'MATCH CALCS'!$G150*2</f>
        <v>0</v>
      </c>
      <c r="G149" s="6">
        <f>'MATCH CALCS'!$G150*2</f>
        <v>0</v>
      </c>
      <c r="H149" s="6">
        <f>'MATCH CALCS'!$G150*2</f>
        <v>0</v>
      </c>
      <c r="I149" s="6">
        <f>'MATCH CALCS'!$G150*2</f>
        <v>0</v>
      </c>
      <c r="J149" s="154">
        <f t="shared" si="1"/>
        <v>0</v>
      </c>
      <c r="K149" s="6">
        <f>'MATCH CALCS'!L150*1</f>
        <v>0</v>
      </c>
      <c r="L149" s="6">
        <f>'MATCH CALCS'!$N150*2</f>
        <v>0</v>
      </c>
      <c r="M149" s="6">
        <f>'MATCH CALCS'!N150*1</f>
        <v>0</v>
      </c>
      <c r="N149" s="6">
        <f>'MATCH CALCS'!$N150*2</f>
        <v>0</v>
      </c>
      <c r="O149" s="6">
        <f>'MATCH CALCS'!$N150*2</f>
        <v>0</v>
      </c>
      <c r="P149" s="6">
        <f>'MATCH CALCS'!$P150*5</f>
        <v>0</v>
      </c>
      <c r="Q149" s="154">
        <f t="shared" si="2"/>
        <v>0</v>
      </c>
      <c r="R149" s="6">
        <f>'MATCH CALCS'!$AD150*1</f>
        <v>0</v>
      </c>
      <c r="S149" s="6">
        <f>'MATCH CALCS'!AC150*3</f>
        <v>0</v>
      </c>
      <c r="T149" s="6">
        <f>'MATCH CALCS'!AD150*3</f>
        <v>0</v>
      </c>
      <c r="U149" s="155">
        <f t="shared" si="3"/>
        <v>0</v>
      </c>
      <c r="V149" s="154">
        <f t="shared" si="4"/>
        <v>0</v>
      </c>
    </row>
    <row r="150" spans="1:22">
      <c r="A150" s="154">
        <f>'MATCH CALCS'!A151</f>
        <v>0</v>
      </c>
      <c r="B150" s="154">
        <f>'MATCH CALCS'!$C151</f>
        <v>0</v>
      </c>
      <c r="C150" s="154">
        <f t="shared" si="0"/>
        <v>0</v>
      </c>
      <c r="D150" s="6">
        <f>'MATCH CALCS'!$G151*2</f>
        <v>0</v>
      </c>
      <c r="E150" s="6">
        <f>'MATCH CALCS'!$G151*2</f>
        <v>0</v>
      </c>
      <c r="F150" s="6">
        <f>'MATCH CALCS'!$G151*2</f>
        <v>0</v>
      </c>
      <c r="G150" s="6">
        <f>'MATCH CALCS'!$G151*2</f>
        <v>0</v>
      </c>
      <c r="H150" s="6">
        <f>'MATCH CALCS'!$G151*2</f>
        <v>0</v>
      </c>
      <c r="I150" s="6">
        <f>'MATCH CALCS'!$G151*2</f>
        <v>0</v>
      </c>
      <c r="J150" s="154">
        <f t="shared" si="1"/>
        <v>0</v>
      </c>
      <c r="K150" s="6">
        <f>'MATCH CALCS'!L151*1</f>
        <v>0</v>
      </c>
      <c r="L150" s="6">
        <f>'MATCH CALCS'!$N151*2</f>
        <v>0</v>
      </c>
      <c r="M150" s="6">
        <f>'MATCH CALCS'!N151*1</f>
        <v>0</v>
      </c>
      <c r="N150" s="6">
        <f>'MATCH CALCS'!$N151*2</f>
        <v>0</v>
      </c>
      <c r="O150" s="6">
        <f>'MATCH CALCS'!$N151*2</f>
        <v>0</v>
      </c>
      <c r="P150" s="6">
        <f>'MATCH CALCS'!$P151*5</f>
        <v>0</v>
      </c>
      <c r="Q150" s="154">
        <f t="shared" si="2"/>
        <v>0</v>
      </c>
      <c r="R150" s="6">
        <f>'MATCH CALCS'!$AD151*1</f>
        <v>0</v>
      </c>
      <c r="S150" s="6">
        <f>'MATCH CALCS'!AC151*3</f>
        <v>0</v>
      </c>
      <c r="T150" s="6">
        <f>'MATCH CALCS'!AD151*3</f>
        <v>0</v>
      </c>
      <c r="U150" s="155">
        <f t="shared" si="3"/>
        <v>0</v>
      </c>
      <c r="V150" s="154">
        <f t="shared" si="4"/>
        <v>0</v>
      </c>
    </row>
    <row r="151" spans="1:22">
      <c r="A151" s="154">
        <f>'MATCH CALCS'!A152</f>
        <v>0</v>
      </c>
      <c r="B151" s="154">
        <f>'MATCH CALCS'!$C152</f>
        <v>0</v>
      </c>
      <c r="C151" s="154">
        <f t="shared" si="0"/>
        <v>0</v>
      </c>
      <c r="D151" s="6">
        <f>'MATCH CALCS'!$G152*2</f>
        <v>0</v>
      </c>
      <c r="E151" s="6">
        <f>'MATCH CALCS'!$G152*2</f>
        <v>0</v>
      </c>
      <c r="F151" s="6">
        <f>'MATCH CALCS'!$G152*2</f>
        <v>0</v>
      </c>
      <c r="G151" s="6">
        <f>'MATCH CALCS'!$G152*2</f>
        <v>0</v>
      </c>
      <c r="H151" s="6">
        <f>'MATCH CALCS'!$G152*2</f>
        <v>0</v>
      </c>
      <c r="I151" s="6">
        <f>'MATCH CALCS'!$G152*2</f>
        <v>0</v>
      </c>
      <c r="J151" s="154">
        <f t="shared" si="1"/>
        <v>0</v>
      </c>
      <c r="K151" s="6">
        <f>'MATCH CALCS'!L152*1</f>
        <v>0</v>
      </c>
      <c r="L151" s="6">
        <f>'MATCH CALCS'!$N152*2</f>
        <v>0</v>
      </c>
      <c r="M151" s="6">
        <f>'MATCH CALCS'!N152*1</f>
        <v>0</v>
      </c>
      <c r="N151" s="6">
        <f>'MATCH CALCS'!$N152*2</f>
        <v>0</v>
      </c>
      <c r="O151" s="6">
        <f>'MATCH CALCS'!$N152*2</f>
        <v>0</v>
      </c>
      <c r="P151" s="6">
        <f>'MATCH CALCS'!$P152*5</f>
        <v>0</v>
      </c>
      <c r="Q151" s="154">
        <f t="shared" si="2"/>
        <v>0</v>
      </c>
      <c r="R151" s="6">
        <f>'MATCH CALCS'!$AD152*1</f>
        <v>0</v>
      </c>
      <c r="S151" s="6">
        <f>'MATCH CALCS'!AC152*3</f>
        <v>0</v>
      </c>
      <c r="T151" s="6">
        <f>'MATCH CALCS'!AD152*3</f>
        <v>0</v>
      </c>
      <c r="U151" s="155">
        <f t="shared" si="3"/>
        <v>0</v>
      </c>
      <c r="V151" s="154">
        <f t="shared" si="4"/>
        <v>0</v>
      </c>
    </row>
    <row r="152" spans="1:22">
      <c r="A152" s="154">
        <f>'MATCH CALCS'!A153</f>
        <v>0</v>
      </c>
      <c r="B152" s="154">
        <f>'MATCH CALCS'!$C153</f>
        <v>0</v>
      </c>
      <c r="C152" s="154">
        <f t="shared" si="0"/>
        <v>0</v>
      </c>
      <c r="D152" s="6">
        <f>'MATCH CALCS'!$G153*2</f>
        <v>0</v>
      </c>
      <c r="E152" s="6">
        <f>'MATCH CALCS'!$G153*2</f>
        <v>0</v>
      </c>
      <c r="F152" s="6">
        <f>'MATCH CALCS'!$G153*2</f>
        <v>0</v>
      </c>
      <c r="G152" s="6">
        <f>'MATCH CALCS'!$G153*2</f>
        <v>0</v>
      </c>
      <c r="H152" s="6">
        <f>'MATCH CALCS'!$G153*2</f>
        <v>0</v>
      </c>
      <c r="I152" s="6">
        <f>'MATCH CALCS'!$G153*2</f>
        <v>0</v>
      </c>
      <c r="J152" s="154">
        <f t="shared" si="1"/>
        <v>0</v>
      </c>
      <c r="K152" s="6">
        <f>'MATCH CALCS'!L153*1</f>
        <v>0</v>
      </c>
      <c r="L152" s="6">
        <f>'MATCH CALCS'!$N153*2</f>
        <v>0</v>
      </c>
      <c r="M152" s="6">
        <f>'MATCH CALCS'!N153*1</f>
        <v>0</v>
      </c>
      <c r="N152" s="6">
        <f>'MATCH CALCS'!$N153*2</f>
        <v>0</v>
      </c>
      <c r="O152" s="6">
        <f>'MATCH CALCS'!$N153*2</f>
        <v>0</v>
      </c>
      <c r="P152" s="6">
        <f>'MATCH CALCS'!$P153*5</f>
        <v>0</v>
      </c>
      <c r="Q152" s="154">
        <f t="shared" si="2"/>
        <v>0</v>
      </c>
      <c r="R152" s="6">
        <f>'MATCH CALCS'!$AD153*1</f>
        <v>0</v>
      </c>
      <c r="S152" s="6">
        <f>'MATCH CALCS'!AC153*3</f>
        <v>0</v>
      </c>
      <c r="T152" s="6">
        <f>'MATCH CALCS'!AD153*3</f>
        <v>0</v>
      </c>
      <c r="U152" s="155">
        <f t="shared" si="3"/>
        <v>0</v>
      </c>
      <c r="V152" s="154">
        <f t="shared" si="4"/>
        <v>0</v>
      </c>
    </row>
    <row r="153" spans="1:22">
      <c r="A153" s="154">
        <f>'MATCH CALCS'!A154</f>
        <v>0</v>
      </c>
      <c r="B153" s="154">
        <f>'MATCH CALCS'!$C154</f>
        <v>0</v>
      </c>
      <c r="C153" s="154">
        <f t="shared" si="0"/>
        <v>0</v>
      </c>
      <c r="D153" s="6">
        <f>'MATCH CALCS'!$G154*2</f>
        <v>0</v>
      </c>
      <c r="E153" s="6">
        <f>'MATCH CALCS'!$G154*2</f>
        <v>0</v>
      </c>
      <c r="F153" s="6">
        <f>'MATCH CALCS'!$G154*2</f>
        <v>0</v>
      </c>
      <c r="G153" s="6">
        <f>'MATCH CALCS'!$G154*2</f>
        <v>0</v>
      </c>
      <c r="H153" s="6">
        <f>'MATCH CALCS'!$G154*2</f>
        <v>0</v>
      </c>
      <c r="I153" s="6">
        <f>'MATCH CALCS'!$G154*2</f>
        <v>0</v>
      </c>
      <c r="J153" s="154">
        <f t="shared" si="1"/>
        <v>0</v>
      </c>
      <c r="K153" s="6">
        <f>'MATCH CALCS'!L154*1</f>
        <v>0</v>
      </c>
      <c r="L153" s="6">
        <f>'MATCH CALCS'!$N154*2</f>
        <v>0</v>
      </c>
      <c r="M153" s="6">
        <f>'MATCH CALCS'!N154*1</f>
        <v>0</v>
      </c>
      <c r="N153" s="6">
        <f>'MATCH CALCS'!$N154*2</f>
        <v>0</v>
      </c>
      <c r="O153" s="6">
        <f>'MATCH CALCS'!$N154*2</f>
        <v>0</v>
      </c>
      <c r="P153" s="6">
        <f>'MATCH CALCS'!$P154*5</f>
        <v>0</v>
      </c>
      <c r="Q153" s="154">
        <f t="shared" si="2"/>
        <v>0</v>
      </c>
      <c r="R153" s="6">
        <f>'MATCH CALCS'!$AD154*1</f>
        <v>0</v>
      </c>
      <c r="S153" s="6">
        <f>'MATCH CALCS'!AC154*3</f>
        <v>0</v>
      </c>
      <c r="T153" s="6">
        <f>'MATCH CALCS'!AD154*3</f>
        <v>0</v>
      </c>
      <c r="U153" s="155">
        <f t="shared" si="3"/>
        <v>0</v>
      </c>
      <c r="V153" s="154">
        <f t="shared" si="4"/>
        <v>0</v>
      </c>
    </row>
    <row r="154" spans="1:22">
      <c r="A154" s="154">
        <f>'MATCH CALCS'!A155</f>
        <v>0</v>
      </c>
      <c r="B154" s="154">
        <f>'MATCH CALCS'!$C155</f>
        <v>0</v>
      </c>
      <c r="C154" s="154">
        <f t="shared" si="0"/>
        <v>0</v>
      </c>
      <c r="D154" s="6">
        <f>'MATCH CALCS'!$G155*2</f>
        <v>0</v>
      </c>
      <c r="E154" s="6">
        <f>'MATCH CALCS'!$G155*2</f>
        <v>0</v>
      </c>
      <c r="F154" s="6">
        <f>'MATCH CALCS'!$G155*2</f>
        <v>0</v>
      </c>
      <c r="G154" s="6">
        <f>'MATCH CALCS'!$G155*2</f>
        <v>0</v>
      </c>
      <c r="H154" s="6">
        <f>'MATCH CALCS'!$G155*2</f>
        <v>0</v>
      </c>
      <c r="I154" s="6">
        <f>'MATCH CALCS'!$G155*2</f>
        <v>0</v>
      </c>
      <c r="J154" s="154">
        <f t="shared" si="1"/>
        <v>0</v>
      </c>
      <c r="K154" s="6">
        <f>'MATCH CALCS'!L155*1</f>
        <v>0</v>
      </c>
      <c r="L154" s="6">
        <f>'MATCH CALCS'!$N155*2</f>
        <v>0</v>
      </c>
      <c r="M154" s="6">
        <f>'MATCH CALCS'!N155*1</f>
        <v>0</v>
      </c>
      <c r="N154" s="6">
        <f>'MATCH CALCS'!$N155*2</f>
        <v>0</v>
      </c>
      <c r="O154" s="6">
        <f>'MATCH CALCS'!$N155*2</f>
        <v>0</v>
      </c>
      <c r="P154" s="6">
        <f>'MATCH CALCS'!$P155*5</f>
        <v>0</v>
      </c>
      <c r="Q154" s="154">
        <f t="shared" si="2"/>
        <v>0</v>
      </c>
      <c r="R154" s="6">
        <f>'MATCH CALCS'!$AD155*1</f>
        <v>0</v>
      </c>
      <c r="S154" s="6">
        <f>'MATCH CALCS'!AC155*3</f>
        <v>0</v>
      </c>
      <c r="T154" s="6">
        <f>'MATCH CALCS'!AD155*3</f>
        <v>0</v>
      </c>
      <c r="U154" s="155">
        <f t="shared" si="3"/>
        <v>0</v>
      </c>
      <c r="V154" s="154">
        <f t="shared" si="4"/>
        <v>0</v>
      </c>
    </row>
    <row r="155" spans="1:22">
      <c r="A155" s="154">
        <f>'MATCH CALCS'!A156</f>
        <v>0</v>
      </c>
      <c r="B155" s="154">
        <f>'MATCH CALCS'!$C156</f>
        <v>0</v>
      </c>
      <c r="C155" s="154">
        <f t="shared" si="0"/>
        <v>0</v>
      </c>
      <c r="D155" s="6">
        <f>'MATCH CALCS'!$G156*2</f>
        <v>0</v>
      </c>
      <c r="E155" s="6">
        <f>'MATCH CALCS'!$G156*2</f>
        <v>0</v>
      </c>
      <c r="F155" s="6">
        <f>'MATCH CALCS'!$G156*2</f>
        <v>0</v>
      </c>
      <c r="G155" s="6">
        <f>'MATCH CALCS'!$G156*2</f>
        <v>0</v>
      </c>
      <c r="H155" s="6">
        <f>'MATCH CALCS'!$G156*2</f>
        <v>0</v>
      </c>
      <c r="I155" s="6">
        <f>'MATCH CALCS'!$G156*2</f>
        <v>0</v>
      </c>
      <c r="J155" s="154">
        <f t="shared" si="1"/>
        <v>0</v>
      </c>
      <c r="K155" s="6">
        <f>'MATCH CALCS'!L156*1</f>
        <v>0</v>
      </c>
      <c r="L155" s="6">
        <f>'MATCH CALCS'!$N156*2</f>
        <v>0</v>
      </c>
      <c r="M155" s="6">
        <f>'MATCH CALCS'!N156*1</f>
        <v>0</v>
      </c>
      <c r="N155" s="6">
        <f>'MATCH CALCS'!$N156*2</f>
        <v>0</v>
      </c>
      <c r="O155" s="6">
        <f>'MATCH CALCS'!$N156*2</f>
        <v>0</v>
      </c>
      <c r="P155" s="6">
        <f>'MATCH CALCS'!$P156*5</f>
        <v>0</v>
      </c>
      <c r="Q155" s="154">
        <f t="shared" si="2"/>
        <v>0</v>
      </c>
      <c r="R155" s="6">
        <f>'MATCH CALCS'!$AD156*1</f>
        <v>0</v>
      </c>
      <c r="S155" s="6">
        <f>'MATCH CALCS'!AC156*3</f>
        <v>0</v>
      </c>
      <c r="T155" s="6">
        <f>'MATCH CALCS'!AD156*3</f>
        <v>0</v>
      </c>
      <c r="U155" s="155">
        <f t="shared" si="3"/>
        <v>0</v>
      </c>
      <c r="V155" s="154">
        <f t="shared" si="4"/>
        <v>0</v>
      </c>
    </row>
    <row r="156" spans="1:22">
      <c r="A156" s="154">
        <f>'MATCH CALCS'!A157</f>
        <v>0</v>
      </c>
      <c r="B156" s="154">
        <f>'MATCH CALCS'!$C157</f>
        <v>0</v>
      </c>
      <c r="C156" s="154">
        <f t="shared" si="0"/>
        <v>0</v>
      </c>
      <c r="D156" s="6">
        <f>'MATCH CALCS'!$G157*2</f>
        <v>0</v>
      </c>
      <c r="E156" s="6">
        <f>'MATCH CALCS'!$G157*2</f>
        <v>0</v>
      </c>
      <c r="F156" s="6">
        <f>'MATCH CALCS'!$G157*2</f>
        <v>0</v>
      </c>
      <c r="G156" s="6">
        <f>'MATCH CALCS'!$G157*2</f>
        <v>0</v>
      </c>
      <c r="H156" s="6">
        <f>'MATCH CALCS'!$G157*2</f>
        <v>0</v>
      </c>
      <c r="I156" s="6">
        <f>'MATCH CALCS'!$G157*2</f>
        <v>0</v>
      </c>
      <c r="J156" s="154">
        <f t="shared" si="1"/>
        <v>0</v>
      </c>
      <c r="K156" s="6">
        <f>'MATCH CALCS'!L157*1</f>
        <v>0</v>
      </c>
      <c r="L156" s="6">
        <f>'MATCH CALCS'!$N157*2</f>
        <v>0</v>
      </c>
      <c r="M156" s="6">
        <f>'MATCH CALCS'!N157*1</f>
        <v>0</v>
      </c>
      <c r="N156" s="6">
        <f>'MATCH CALCS'!$N157*2</f>
        <v>0</v>
      </c>
      <c r="O156" s="6">
        <f>'MATCH CALCS'!$N157*2</f>
        <v>0</v>
      </c>
      <c r="P156" s="6">
        <f>'MATCH CALCS'!$P157*5</f>
        <v>0</v>
      </c>
      <c r="Q156" s="154">
        <f t="shared" si="2"/>
        <v>0</v>
      </c>
      <c r="R156" s="6">
        <f>'MATCH CALCS'!$AD157*1</f>
        <v>0</v>
      </c>
      <c r="S156" s="6">
        <f>'MATCH CALCS'!AC157*3</f>
        <v>0</v>
      </c>
      <c r="T156" s="6">
        <f>'MATCH CALCS'!AD157*3</f>
        <v>0</v>
      </c>
      <c r="U156" s="155">
        <f t="shared" si="3"/>
        <v>0</v>
      </c>
      <c r="V156" s="154">
        <f t="shared" si="4"/>
        <v>0</v>
      </c>
    </row>
    <row r="157" spans="1:22">
      <c r="A157" s="154">
        <f>'MATCH CALCS'!A158</f>
        <v>0</v>
      </c>
      <c r="B157" s="154">
        <f>'MATCH CALCS'!$C158</f>
        <v>0</v>
      </c>
      <c r="C157" s="154">
        <f t="shared" si="0"/>
        <v>0</v>
      </c>
      <c r="D157" s="6">
        <f>'MATCH CALCS'!$G158*2</f>
        <v>0</v>
      </c>
      <c r="E157" s="6">
        <f>'MATCH CALCS'!$G158*2</f>
        <v>0</v>
      </c>
      <c r="F157" s="6">
        <f>'MATCH CALCS'!$G158*2</f>
        <v>0</v>
      </c>
      <c r="G157" s="6">
        <f>'MATCH CALCS'!$G158*2</f>
        <v>0</v>
      </c>
      <c r="H157" s="6">
        <f>'MATCH CALCS'!$G158*2</f>
        <v>0</v>
      </c>
      <c r="I157" s="6">
        <f>'MATCH CALCS'!$G158*2</f>
        <v>0</v>
      </c>
      <c r="J157" s="154">
        <f t="shared" si="1"/>
        <v>0</v>
      </c>
      <c r="K157" s="6">
        <f>'MATCH CALCS'!L158*1</f>
        <v>0</v>
      </c>
      <c r="L157" s="6">
        <f>'MATCH CALCS'!$N158*2</f>
        <v>0</v>
      </c>
      <c r="M157" s="6">
        <f>'MATCH CALCS'!N158*1</f>
        <v>0</v>
      </c>
      <c r="N157" s="6">
        <f>'MATCH CALCS'!$N158*2</f>
        <v>0</v>
      </c>
      <c r="O157" s="6">
        <f>'MATCH CALCS'!$N158*2</f>
        <v>0</v>
      </c>
      <c r="P157" s="6">
        <f>'MATCH CALCS'!$P158*5</f>
        <v>0</v>
      </c>
      <c r="Q157" s="154">
        <f t="shared" si="2"/>
        <v>0</v>
      </c>
      <c r="R157" s="6">
        <f>'MATCH CALCS'!$AD158*1</f>
        <v>0</v>
      </c>
      <c r="S157" s="6">
        <f>'MATCH CALCS'!AC158*3</f>
        <v>0</v>
      </c>
      <c r="T157" s="6">
        <f>'MATCH CALCS'!AD158*3</f>
        <v>0</v>
      </c>
      <c r="U157" s="155">
        <f t="shared" si="3"/>
        <v>0</v>
      </c>
      <c r="V157" s="154">
        <f t="shared" si="4"/>
        <v>0</v>
      </c>
    </row>
    <row r="158" spans="1:22">
      <c r="A158" s="154">
        <f>'MATCH CALCS'!A159</f>
        <v>0</v>
      </c>
      <c r="B158" s="154">
        <f>'MATCH CALCS'!$C159</f>
        <v>0</v>
      </c>
      <c r="C158" s="154">
        <f t="shared" si="0"/>
        <v>0</v>
      </c>
      <c r="D158" s="6">
        <f>'MATCH CALCS'!$G159*2</f>
        <v>0</v>
      </c>
      <c r="E158" s="6">
        <f>'MATCH CALCS'!$G159*2</f>
        <v>0</v>
      </c>
      <c r="F158" s="6">
        <f>'MATCH CALCS'!$G159*2</f>
        <v>0</v>
      </c>
      <c r="G158" s="6">
        <f>'MATCH CALCS'!$G159*2</f>
        <v>0</v>
      </c>
      <c r="H158" s="6">
        <f>'MATCH CALCS'!$G159*2</f>
        <v>0</v>
      </c>
      <c r="I158" s="6">
        <f>'MATCH CALCS'!$G159*2</f>
        <v>0</v>
      </c>
      <c r="J158" s="154">
        <f t="shared" si="1"/>
        <v>0</v>
      </c>
      <c r="K158" s="6">
        <f>'MATCH CALCS'!L159*1</f>
        <v>0</v>
      </c>
      <c r="L158" s="6">
        <f>'MATCH CALCS'!$N159*2</f>
        <v>0</v>
      </c>
      <c r="M158" s="6">
        <f>'MATCH CALCS'!N159*1</f>
        <v>0</v>
      </c>
      <c r="N158" s="6">
        <f>'MATCH CALCS'!$N159*2</f>
        <v>0</v>
      </c>
      <c r="O158" s="6">
        <f>'MATCH CALCS'!$N159*2</f>
        <v>0</v>
      </c>
      <c r="P158" s="6">
        <f>'MATCH CALCS'!$P159*5</f>
        <v>0</v>
      </c>
      <c r="Q158" s="154">
        <f t="shared" si="2"/>
        <v>0</v>
      </c>
      <c r="R158" s="6">
        <f>'MATCH CALCS'!$AD159*1</f>
        <v>0</v>
      </c>
      <c r="S158" s="6">
        <f>'MATCH CALCS'!AC159*3</f>
        <v>0</v>
      </c>
      <c r="T158" s="6">
        <f>'MATCH CALCS'!AD159*3</f>
        <v>0</v>
      </c>
      <c r="U158" s="155">
        <f t="shared" si="3"/>
        <v>0</v>
      </c>
      <c r="V158" s="154">
        <f t="shared" si="4"/>
        <v>0</v>
      </c>
    </row>
    <row r="159" spans="1:22">
      <c r="A159" s="154">
        <f>'MATCH CALCS'!A160</f>
        <v>0</v>
      </c>
      <c r="B159" s="154">
        <f>'MATCH CALCS'!$C160</f>
        <v>0</v>
      </c>
      <c r="C159" s="154">
        <f t="shared" si="0"/>
        <v>0</v>
      </c>
      <c r="D159" s="6">
        <f>'MATCH CALCS'!$G160*2</f>
        <v>0</v>
      </c>
      <c r="E159" s="6">
        <f>'MATCH CALCS'!$G160*2</f>
        <v>0</v>
      </c>
      <c r="F159" s="6">
        <f>'MATCH CALCS'!$G160*2</f>
        <v>0</v>
      </c>
      <c r="G159" s="6">
        <f>'MATCH CALCS'!$G160*2</f>
        <v>0</v>
      </c>
      <c r="H159" s="6">
        <f>'MATCH CALCS'!$G160*2</f>
        <v>0</v>
      </c>
      <c r="I159" s="6">
        <f>'MATCH CALCS'!$G160*2</f>
        <v>0</v>
      </c>
      <c r="J159" s="154">
        <f t="shared" si="1"/>
        <v>0</v>
      </c>
      <c r="K159" s="6">
        <f>'MATCH CALCS'!L160*1</f>
        <v>0</v>
      </c>
      <c r="L159" s="6">
        <f>'MATCH CALCS'!$N160*2</f>
        <v>0</v>
      </c>
      <c r="M159" s="6">
        <f>'MATCH CALCS'!N160*1</f>
        <v>0</v>
      </c>
      <c r="N159" s="6">
        <f>'MATCH CALCS'!$N160*2</f>
        <v>0</v>
      </c>
      <c r="O159" s="6">
        <f>'MATCH CALCS'!$N160*2</f>
        <v>0</v>
      </c>
      <c r="P159" s="6">
        <f>'MATCH CALCS'!$P160*5</f>
        <v>0</v>
      </c>
      <c r="Q159" s="154">
        <f t="shared" si="2"/>
        <v>0</v>
      </c>
      <c r="R159" s="6">
        <f>'MATCH CALCS'!$AD160*1</f>
        <v>0</v>
      </c>
      <c r="S159" s="6">
        <f>'MATCH CALCS'!AC160*3</f>
        <v>0</v>
      </c>
      <c r="T159" s="6">
        <f>'MATCH CALCS'!AD160*3</f>
        <v>0</v>
      </c>
      <c r="U159" s="155">
        <f t="shared" si="3"/>
        <v>0</v>
      </c>
      <c r="V159" s="154">
        <f t="shared" si="4"/>
        <v>0</v>
      </c>
    </row>
    <row r="160" spans="1:22">
      <c r="A160" s="154">
        <f>'MATCH CALCS'!A161</f>
        <v>0</v>
      </c>
      <c r="B160" s="154">
        <f>'MATCH CALCS'!$C161</f>
        <v>0</v>
      </c>
      <c r="C160" s="154">
        <f t="shared" si="0"/>
        <v>0</v>
      </c>
      <c r="D160" s="6">
        <f>'MATCH CALCS'!$G161*2</f>
        <v>0</v>
      </c>
      <c r="E160" s="6">
        <f>'MATCH CALCS'!$G161*2</f>
        <v>0</v>
      </c>
      <c r="F160" s="6">
        <f>'MATCH CALCS'!$G161*2</f>
        <v>0</v>
      </c>
      <c r="G160" s="6">
        <f>'MATCH CALCS'!$G161*2</f>
        <v>0</v>
      </c>
      <c r="H160" s="6">
        <f>'MATCH CALCS'!$G161*2</f>
        <v>0</v>
      </c>
      <c r="I160" s="6">
        <f>'MATCH CALCS'!$G161*2</f>
        <v>0</v>
      </c>
      <c r="J160" s="154">
        <f t="shared" si="1"/>
        <v>0</v>
      </c>
      <c r="K160" s="6">
        <f>'MATCH CALCS'!L161*1</f>
        <v>0</v>
      </c>
      <c r="L160" s="6">
        <f>'MATCH CALCS'!$N161*2</f>
        <v>0</v>
      </c>
      <c r="M160" s="6">
        <f>'MATCH CALCS'!N161*1</f>
        <v>0</v>
      </c>
      <c r="N160" s="6">
        <f>'MATCH CALCS'!$N161*2</f>
        <v>0</v>
      </c>
      <c r="O160" s="6">
        <f>'MATCH CALCS'!$N161*2</f>
        <v>0</v>
      </c>
      <c r="P160" s="6">
        <f>'MATCH CALCS'!$P161*5</f>
        <v>0</v>
      </c>
      <c r="Q160" s="154">
        <f t="shared" si="2"/>
        <v>0</v>
      </c>
      <c r="R160" s="6">
        <f>'MATCH CALCS'!$AD161*1</f>
        <v>0</v>
      </c>
      <c r="S160" s="6">
        <f>'MATCH CALCS'!AC161*3</f>
        <v>0</v>
      </c>
      <c r="T160" s="6">
        <f>'MATCH CALCS'!AD161*3</f>
        <v>0</v>
      </c>
      <c r="U160" s="155">
        <f t="shared" si="3"/>
        <v>0</v>
      </c>
      <c r="V160" s="154">
        <f t="shared" si="4"/>
        <v>0</v>
      </c>
    </row>
    <row r="161" spans="1:22">
      <c r="A161" s="154">
        <f>'MATCH CALCS'!A162</f>
        <v>0</v>
      </c>
      <c r="B161" s="154">
        <f>'MATCH CALCS'!$C162</f>
        <v>0</v>
      </c>
      <c r="C161" s="154">
        <f t="shared" si="0"/>
        <v>0</v>
      </c>
      <c r="D161" s="6">
        <f>'MATCH CALCS'!$G162*2</f>
        <v>0</v>
      </c>
      <c r="E161" s="6">
        <f>'MATCH CALCS'!$G162*2</f>
        <v>0</v>
      </c>
      <c r="F161" s="6">
        <f>'MATCH CALCS'!$G162*2</f>
        <v>0</v>
      </c>
      <c r="G161" s="6">
        <f>'MATCH CALCS'!$G162*2</f>
        <v>0</v>
      </c>
      <c r="H161" s="6">
        <f>'MATCH CALCS'!$G162*2</f>
        <v>0</v>
      </c>
      <c r="I161" s="6">
        <f>'MATCH CALCS'!$G162*2</f>
        <v>0</v>
      </c>
      <c r="J161" s="154">
        <f t="shared" si="1"/>
        <v>0</v>
      </c>
      <c r="K161" s="6">
        <f>'MATCH CALCS'!L162*1</f>
        <v>0</v>
      </c>
      <c r="L161" s="6">
        <f>'MATCH CALCS'!$N162*2</f>
        <v>0</v>
      </c>
      <c r="M161" s="6">
        <f>'MATCH CALCS'!N162*1</f>
        <v>0</v>
      </c>
      <c r="N161" s="6">
        <f>'MATCH CALCS'!$N162*2</f>
        <v>0</v>
      </c>
      <c r="O161" s="6">
        <f>'MATCH CALCS'!$N162*2</f>
        <v>0</v>
      </c>
      <c r="P161" s="6">
        <f>'MATCH CALCS'!$P162*5</f>
        <v>0</v>
      </c>
      <c r="Q161" s="154">
        <f t="shared" si="2"/>
        <v>0</v>
      </c>
      <c r="R161" s="6">
        <f>'MATCH CALCS'!$AD162*1</f>
        <v>0</v>
      </c>
      <c r="S161" s="6">
        <f>'MATCH CALCS'!AC162*3</f>
        <v>0</v>
      </c>
      <c r="T161" s="6">
        <f>'MATCH CALCS'!AD162*3</f>
        <v>0</v>
      </c>
      <c r="U161" s="155">
        <f t="shared" si="3"/>
        <v>0</v>
      </c>
      <c r="V161" s="154">
        <f t="shared" si="4"/>
        <v>0</v>
      </c>
    </row>
    <row r="162" spans="1:22">
      <c r="A162" s="154">
        <f>'MATCH CALCS'!A163</f>
        <v>0</v>
      </c>
      <c r="B162" s="154">
        <f>'MATCH CALCS'!$C163</f>
        <v>0</v>
      </c>
      <c r="C162" s="154">
        <f t="shared" si="0"/>
        <v>0</v>
      </c>
      <c r="D162" s="6">
        <f>'MATCH CALCS'!$G163*2</f>
        <v>0</v>
      </c>
      <c r="E162" s="6">
        <f>'MATCH CALCS'!$G163*2</f>
        <v>0</v>
      </c>
      <c r="F162" s="6">
        <f>'MATCH CALCS'!$G163*2</f>
        <v>0</v>
      </c>
      <c r="G162" s="6">
        <f>'MATCH CALCS'!$G163*2</f>
        <v>0</v>
      </c>
      <c r="H162" s="6">
        <f>'MATCH CALCS'!$G163*2</f>
        <v>0</v>
      </c>
      <c r="I162" s="6">
        <f>'MATCH CALCS'!$G163*2</f>
        <v>0</v>
      </c>
      <c r="J162" s="154">
        <f t="shared" si="1"/>
        <v>0</v>
      </c>
      <c r="K162" s="6">
        <f>'MATCH CALCS'!L163*1</f>
        <v>0</v>
      </c>
      <c r="L162" s="6">
        <f>'MATCH CALCS'!$N163*2</f>
        <v>0</v>
      </c>
      <c r="M162" s="6">
        <f>'MATCH CALCS'!N163*1</f>
        <v>0</v>
      </c>
      <c r="N162" s="6">
        <f>'MATCH CALCS'!$N163*2</f>
        <v>0</v>
      </c>
      <c r="O162" s="6">
        <f>'MATCH CALCS'!$N163*2</f>
        <v>0</v>
      </c>
      <c r="P162" s="6">
        <f>'MATCH CALCS'!$P163*5</f>
        <v>0</v>
      </c>
      <c r="Q162" s="154">
        <f t="shared" si="2"/>
        <v>0</v>
      </c>
      <c r="R162" s="6">
        <f>'MATCH CALCS'!$AD163*1</f>
        <v>0</v>
      </c>
      <c r="S162" s="6">
        <f>'MATCH CALCS'!AC163*3</f>
        <v>0</v>
      </c>
      <c r="T162" s="6">
        <f>'MATCH CALCS'!AD163*3</f>
        <v>0</v>
      </c>
      <c r="U162" s="155">
        <f t="shared" si="3"/>
        <v>0</v>
      </c>
      <c r="V162" s="154">
        <f t="shared" si="4"/>
        <v>0</v>
      </c>
    </row>
    <row r="163" spans="1:22">
      <c r="A163" s="154">
        <f>'MATCH CALCS'!A164</f>
        <v>0</v>
      </c>
      <c r="B163" s="154">
        <f>'MATCH CALCS'!$C164</f>
        <v>0</v>
      </c>
      <c r="C163" s="154">
        <f t="shared" si="0"/>
        <v>0</v>
      </c>
      <c r="D163" s="6">
        <f>'MATCH CALCS'!$G164*2</f>
        <v>0</v>
      </c>
      <c r="E163" s="6">
        <f>'MATCH CALCS'!$G164*2</f>
        <v>0</v>
      </c>
      <c r="F163" s="6">
        <f>'MATCH CALCS'!$G164*2</f>
        <v>0</v>
      </c>
      <c r="G163" s="6">
        <f>'MATCH CALCS'!$G164*2</f>
        <v>0</v>
      </c>
      <c r="H163" s="6">
        <f>'MATCH CALCS'!$G164*2</f>
        <v>0</v>
      </c>
      <c r="I163" s="6">
        <f>'MATCH CALCS'!$G164*2</f>
        <v>0</v>
      </c>
      <c r="J163" s="154">
        <f t="shared" si="1"/>
        <v>0</v>
      </c>
      <c r="K163" s="6">
        <f>'MATCH CALCS'!L164*1</f>
        <v>0</v>
      </c>
      <c r="L163" s="6">
        <f>'MATCH CALCS'!$N164*2</f>
        <v>0</v>
      </c>
      <c r="M163" s="6">
        <f>'MATCH CALCS'!N164*1</f>
        <v>0</v>
      </c>
      <c r="N163" s="6">
        <f>'MATCH CALCS'!$N164*2</f>
        <v>0</v>
      </c>
      <c r="O163" s="6">
        <f>'MATCH CALCS'!$N164*2</f>
        <v>0</v>
      </c>
      <c r="P163" s="6">
        <f>'MATCH CALCS'!$P164*5</f>
        <v>0</v>
      </c>
      <c r="Q163" s="154">
        <f t="shared" si="2"/>
        <v>0</v>
      </c>
      <c r="R163" s="6">
        <f>'MATCH CALCS'!$AD164*1</f>
        <v>0</v>
      </c>
      <c r="S163" s="6">
        <f>'MATCH CALCS'!AC164*3</f>
        <v>0</v>
      </c>
      <c r="T163" s="6">
        <f>'MATCH CALCS'!AD164*3</f>
        <v>0</v>
      </c>
      <c r="U163" s="155">
        <f t="shared" si="3"/>
        <v>0</v>
      </c>
      <c r="V163" s="154">
        <f t="shared" si="4"/>
        <v>0</v>
      </c>
    </row>
    <row r="164" spans="1:22">
      <c r="A164" s="154">
        <f>'MATCH CALCS'!A165</f>
        <v>0</v>
      </c>
      <c r="B164" s="154">
        <f>'MATCH CALCS'!$C165</f>
        <v>0</v>
      </c>
      <c r="C164" s="154">
        <f t="shared" si="0"/>
        <v>0</v>
      </c>
      <c r="D164" s="6">
        <f>'MATCH CALCS'!$G165*2</f>
        <v>0</v>
      </c>
      <c r="E164" s="6">
        <f>'MATCH CALCS'!$G165*2</f>
        <v>0</v>
      </c>
      <c r="F164" s="6">
        <f>'MATCH CALCS'!$G165*2</f>
        <v>0</v>
      </c>
      <c r="G164" s="6">
        <f>'MATCH CALCS'!$G165*2</f>
        <v>0</v>
      </c>
      <c r="H164" s="6">
        <f>'MATCH CALCS'!$G165*2</f>
        <v>0</v>
      </c>
      <c r="I164" s="6">
        <f>'MATCH CALCS'!$G165*2</f>
        <v>0</v>
      </c>
      <c r="J164" s="154">
        <f t="shared" si="1"/>
        <v>0</v>
      </c>
      <c r="K164" s="6">
        <f>'MATCH CALCS'!L165*1</f>
        <v>0</v>
      </c>
      <c r="L164" s="6">
        <f>'MATCH CALCS'!$N165*2</f>
        <v>0</v>
      </c>
      <c r="M164" s="6">
        <f>'MATCH CALCS'!N165*1</f>
        <v>0</v>
      </c>
      <c r="N164" s="6">
        <f>'MATCH CALCS'!$N165*2</f>
        <v>0</v>
      </c>
      <c r="O164" s="6">
        <f>'MATCH CALCS'!$N165*2</f>
        <v>0</v>
      </c>
      <c r="P164" s="6">
        <f>'MATCH CALCS'!$P165*5</f>
        <v>0</v>
      </c>
      <c r="Q164" s="154">
        <f t="shared" si="2"/>
        <v>0</v>
      </c>
      <c r="R164" s="6">
        <f>'MATCH CALCS'!$AD165*1</f>
        <v>0</v>
      </c>
      <c r="S164" s="6">
        <f>'MATCH CALCS'!AC165*3</f>
        <v>0</v>
      </c>
      <c r="T164" s="6">
        <f>'MATCH CALCS'!AD165*3</f>
        <v>0</v>
      </c>
      <c r="U164" s="155">
        <f t="shared" si="3"/>
        <v>0</v>
      </c>
      <c r="V164" s="154">
        <f t="shared" si="4"/>
        <v>0</v>
      </c>
    </row>
    <row r="165" spans="1:22">
      <c r="A165" s="154">
        <f>'MATCH CALCS'!A166</f>
        <v>0</v>
      </c>
      <c r="B165" s="154">
        <f>'MATCH CALCS'!$C166</f>
        <v>0</v>
      </c>
      <c r="C165" s="154">
        <f t="shared" si="0"/>
        <v>0</v>
      </c>
      <c r="D165" s="6">
        <f>'MATCH CALCS'!$G166*2</f>
        <v>0</v>
      </c>
      <c r="E165" s="6">
        <f>'MATCH CALCS'!$G166*2</f>
        <v>0</v>
      </c>
      <c r="F165" s="6">
        <f>'MATCH CALCS'!$G166*2</f>
        <v>0</v>
      </c>
      <c r="G165" s="6">
        <f>'MATCH CALCS'!$G166*2</f>
        <v>0</v>
      </c>
      <c r="H165" s="6">
        <f>'MATCH CALCS'!$G166*2</f>
        <v>0</v>
      </c>
      <c r="I165" s="6">
        <f>'MATCH CALCS'!$G166*2</f>
        <v>0</v>
      </c>
      <c r="J165" s="154">
        <f t="shared" si="1"/>
        <v>0</v>
      </c>
      <c r="K165" s="6">
        <f>'MATCH CALCS'!L166*1</f>
        <v>0</v>
      </c>
      <c r="L165" s="6">
        <f>'MATCH CALCS'!$N166*2</f>
        <v>0</v>
      </c>
      <c r="M165" s="6">
        <f>'MATCH CALCS'!N166*1</f>
        <v>0</v>
      </c>
      <c r="N165" s="6">
        <f>'MATCH CALCS'!$N166*2</f>
        <v>0</v>
      </c>
      <c r="O165" s="6">
        <f>'MATCH CALCS'!$N166*2</f>
        <v>0</v>
      </c>
      <c r="P165" s="6">
        <f>'MATCH CALCS'!$P166*5</f>
        <v>0</v>
      </c>
      <c r="Q165" s="154">
        <f t="shared" si="2"/>
        <v>0</v>
      </c>
      <c r="R165" s="6">
        <f>'MATCH CALCS'!$AD166*1</f>
        <v>0</v>
      </c>
      <c r="S165" s="6">
        <f>'MATCH CALCS'!AC166*3</f>
        <v>0</v>
      </c>
      <c r="T165" s="6">
        <f>'MATCH CALCS'!AD166*3</f>
        <v>0</v>
      </c>
      <c r="U165" s="155">
        <f t="shared" si="3"/>
        <v>0</v>
      </c>
      <c r="V165" s="154">
        <f t="shared" si="4"/>
        <v>0</v>
      </c>
    </row>
    <row r="166" spans="1:22">
      <c r="A166" s="154">
        <f>'MATCH CALCS'!A167</f>
        <v>0</v>
      </c>
      <c r="B166" s="154">
        <f>'MATCH CALCS'!$C167</f>
        <v>0</v>
      </c>
      <c r="C166" s="154">
        <f t="shared" si="0"/>
        <v>0</v>
      </c>
      <c r="D166" s="6">
        <f>'MATCH CALCS'!$G167*2</f>
        <v>0</v>
      </c>
      <c r="E166" s="6">
        <f>'MATCH CALCS'!$G167*2</f>
        <v>0</v>
      </c>
      <c r="F166" s="6">
        <f>'MATCH CALCS'!$G167*2</f>
        <v>0</v>
      </c>
      <c r="G166" s="6">
        <f>'MATCH CALCS'!$G167*2</f>
        <v>0</v>
      </c>
      <c r="H166" s="6">
        <f>'MATCH CALCS'!$G167*2</f>
        <v>0</v>
      </c>
      <c r="I166" s="6">
        <f>'MATCH CALCS'!$G167*2</f>
        <v>0</v>
      </c>
      <c r="J166" s="154">
        <f t="shared" si="1"/>
        <v>0</v>
      </c>
      <c r="K166" s="6">
        <f>'MATCH CALCS'!L167*1</f>
        <v>0</v>
      </c>
      <c r="L166" s="6">
        <f>'MATCH CALCS'!$N167*2</f>
        <v>0</v>
      </c>
      <c r="M166" s="6">
        <f>'MATCH CALCS'!N167*1</f>
        <v>0</v>
      </c>
      <c r="N166" s="6">
        <f>'MATCH CALCS'!$N167*2</f>
        <v>0</v>
      </c>
      <c r="O166" s="6">
        <f>'MATCH CALCS'!$N167*2</f>
        <v>0</v>
      </c>
      <c r="P166" s="6">
        <f>'MATCH CALCS'!$P167*5</f>
        <v>0</v>
      </c>
      <c r="Q166" s="154">
        <f t="shared" si="2"/>
        <v>0</v>
      </c>
      <c r="R166" s="6">
        <f>'MATCH CALCS'!$AD167*1</f>
        <v>0</v>
      </c>
      <c r="S166" s="6">
        <f>'MATCH CALCS'!AC167*3</f>
        <v>0</v>
      </c>
      <c r="T166" s="6">
        <f>'MATCH CALCS'!AD167*3</f>
        <v>0</v>
      </c>
      <c r="U166" s="155">
        <f t="shared" si="3"/>
        <v>0</v>
      </c>
      <c r="V166" s="154">
        <f t="shared" si="4"/>
        <v>0</v>
      </c>
    </row>
    <row r="167" spans="1:22">
      <c r="A167" s="154">
        <f>'MATCH CALCS'!A168</f>
        <v>0</v>
      </c>
      <c r="B167" s="154">
        <f>'MATCH CALCS'!$C168</f>
        <v>0</v>
      </c>
      <c r="C167" s="154">
        <f t="shared" si="0"/>
        <v>0</v>
      </c>
      <c r="D167" s="6">
        <f>'MATCH CALCS'!$G168*2</f>
        <v>0</v>
      </c>
      <c r="E167" s="6">
        <f>'MATCH CALCS'!$G168*2</f>
        <v>0</v>
      </c>
      <c r="F167" s="6">
        <f>'MATCH CALCS'!$G168*2</f>
        <v>0</v>
      </c>
      <c r="G167" s="6">
        <f>'MATCH CALCS'!$G168*2</f>
        <v>0</v>
      </c>
      <c r="H167" s="6">
        <f>'MATCH CALCS'!$G168*2</f>
        <v>0</v>
      </c>
      <c r="I167" s="6">
        <f>'MATCH CALCS'!$G168*2</f>
        <v>0</v>
      </c>
      <c r="J167" s="154">
        <f t="shared" si="1"/>
        <v>0</v>
      </c>
      <c r="K167" s="6">
        <f>'MATCH CALCS'!L168*1</f>
        <v>0</v>
      </c>
      <c r="L167" s="6">
        <f>'MATCH CALCS'!$N168*2</f>
        <v>0</v>
      </c>
      <c r="M167" s="6">
        <f>'MATCH CALCS'!N168*1</f>
        <v>0</v>
      </c>
      <c r="N167" s="6">
        <f>'MATCH CALCS'!$N168*2</f>
        <v>0</v>
      </c>
      <c r="O167" s="6">
        <f>'MATCH CALCS'!$N168*2</f>
        <v>0</v>
      </c>
      <c r="P167" s="6">
        <f>'MATCH CALCS'!$P168*5</f>
        <v>0</v>
      </c>
      <c r="Q167" s="154">
        <f t="shared" si="2"/>
        <v>0</v>
      </c>
      <c r="R167" s="6">
        <f>'MATCH CALCS'!$AD168*1</f>
        <v>0</v>
      </c>
      <c r="S167" s="6">
        <f>'MATCH CALCS'!AC168*3</f>
        <v>0</v>
      </c>
      <c r="T167" s="6">
        <f>'MATCH CALCS'!AD168*3</f>
        <v>0</v>
      </c>
      <c r="U167" s="155">
        <f t="shared" si="3"/>
        <v>0</v>
      </c>
      <c r="V167" s="154">
        <f t="shared" si="4"/>
        <v>0</v>
      </c>
    </row>
    <row r="168" spans="1:22">
      <c r="A168" s="154">
        <f>'MATCH CALCS'!A169</f>
        <v>0</v>
      </c>
      <c r="B168" s="154">
        <f>'MATCH CALCS'!$C169</f>
        <v>0</v>
      </c>
      <c r="C168" s="154">
        <f t="shared" si="0"/>
        <v>0</v>
      </c>
      <c r="D168" s="6">
        <f>'MATCH CALCS'!$G169*2</f>
        <v>0</v>
      </c>
      <c r="E168" s="6">
        <f>'MATCH CALCS'!$G169*2</f>
        <v>0</v>
      </c>
      <c r="F168" s="6">
        <f>'MATCH CALCS'!$G169*2</f>
        <v>0</v>
      </c>
      <c r="G168" s="6">
        <f>'MATCH CALCS'!$G169*2</f>
        <v>0</v>
      </c>
      <c r="H168" s="6">
        <f>'MATCH CALCS'!$G169*2</f>
        <v>0</v>
      </c>
      <c r="I168" s="6">
        <f>'MATCH CALCS'!$G169*2</f>
        <v>0</v>
      </c>
      <c r="J168" s="154">
        <f t="shared" si="1"/>
        <v>0</v>
      </c>
      <c r="K168" s="6">
        <f>'MATCH CALCS'!L169*1</f>
        <v>0</v>
      </c>
      <c r="L168" s="6">
        <f>'MATCH CALCS'!$N169*2</f>
        <v>0</v>
      </c>
      <c r="M168" s="6">
        <f>'MATCH CALCS'!N169*1</f>
        <v>0</v>
      </c>
      <c r="N168" s="6">
        <f>'MATCH CALCS'!$N169*2</f>
        <v>0</v>
      </c>
      <c r="O168" s="6">
        <f>'MATCH CALCS'!$N169*2</f>
        <v>0</v>
      </c>
      <c r="P168" s="6">
        <f>'MATCH CALCS'!$P169*5</f>
        <v>0</v>
      </c>
      <c r="Q168" s="154">
        <f t="shared" si="2"/>
        <v>0</v>
      </c>
      <c r="R168" s="6">
        <f>'MATCH CALCS'!$AD169*1</f>
        <v>0</v>
      </c>
      <c r="S168" s="6">
        <f>'MATCH CALCS'!AC169*3</f>
        <v>0</v>
      </c>
      <c r="T168" s="6">
        <f>'MATCH CALCS'!AD169*3</f>
        <v>0</v>
      </c>
      <c r="U168" s="155">
        <f t="shared" si="3"/>
        <v>0</v>
      </c>
      <c r="V168" s="154">
        <f t="shared" si="4"/>
        <v>0</v>
      </c>
    </row>
    <row r="169" spans="1:22">
      <c r="A169" s="154">
        <f>'MATCH CALCS'!A170</f>
        <v>0</v>
      </c>
      <c r="B169" s="154">
        <f>'MATCH CALCS'!$C170</f>
        <v>0</v>
      </c>
      <c r="C169" s="154">
        <f t="shared" si="0"/>
        <v>0</v>
      </c>
      <c r="D169" s="6">
        <f>'MATCH CALCS'!$G170*2</f>
        <v>0</v>
      </c>
      <c r="E169" s="6">
        <f>'MATCH CALCS'!$G170*2</f>
        <v>0</v>
      </c>
      <c r="F169" s="6">
        <f>'MATCH CALCS'!$G170*2</f>
        <v>0</v>
      </c>
      <c r="G169" s="6">
        <f>'MATCH CALCS'!$G170*2</f>
        <v>0</v>
      </c>
      <c r="H169" s="6">
        <f>'MATCH CALCS'!$G170*2</f>
        <v>0</v>
      </c>
      <c r="I169" s="6">
        <f>'MATCH CALCS'!$G170*2</f>
        <v>0</v>
      </c>
      <c r="J169" s="154">
        <f t="shared" si="1"/>
        <v>0</v>
      </c>
      <c r="K169" s="6">
        <f>'MATCH CALCS'!L170*1</f>
        <v>0</v>
      </c>
      <c r="L169" s="6">
        <f>'MATCH CALCS'!$N170*2</f>
        <v>0</v>
      </c>
      <c r="M169" s="6">
        <f>'MATCH CALCS'!N170*1</f>
        <v>0</v>
      </c>
      <c r="N169" s="6">
        <f>'MATCH CALCS'!$N170*2</f>
        <v>0</v>
      </c>
      <c r="O169" s="6">
        <f>'MATCH CALCS'!$N170*2</f>
        <v>0</v>
      </c>
      <c r="P169" s="6">
        <f>'MATCH CALCS'!$P170*5</f>
        <v>0</v>
      </c>
      <c r="Q169" s="154">
        <f t="shared" si="2"/>
        <v>0</v>
      </c>
      <c r="R169" s="6">
        <f>'MATCH CALCS'!$AD170*1</f>
        <v>0</v>
      </c>
      <c r="S169" s="6">
        <f>'MATCH CALCS'!AC170*3</f>
        <v>0</v>
      </c>
      <c r="T169" s="6">
        <f>'MATCH CALCS'!AD170*3</f>
        <v>0</v>
      </c>
      <c r="U169" s="155">
        <f t="shared" si="3"/>
        <v>0</v>
      </c>
      <c r="V169" s="154">
        <f t="shared" si="4"/>
        <v>0</v>
      </c>
    </row>
    <row r="170" spans="1:22">
      <c r="A170" s="154">
        <f>'MATCH CALCS'!A171</f>
        <v>0</v>
      </c>
      <c r="B170" s="154">
        <f>'MATCH CALCS'!$C171</f>
        <v>0</v>
      </c>
      <c r="C170" s="154">
        <f t="shared" si="0"/>
        <v>0</v>
      </c>
      <c r="D170" s="6">
        <f>'MATCH CALCS'!$G171*2</f>
        <v>0</v>
      </c>
      <c r="E170" s="6">
        <f>'MATCH CALCS'!$G171*2</f>
        <v>0</v>
      </c>
      <c r="F170" s="6">
        <f>'MATCH CALCS'!$G171*2</f>
        <v>0</v>
      </c>
      <c r="G170" s="6">
        <f>'MATCH CALCS'!$G171*2</f>
        <v>0</v>
      </c>
      <c r="H170" s="6">
        <f>'MATCH CALCS'!$G171*2</f>
        <v>0</v>
      </c>
      <c r="I170" s="6">
        <f>'MATCH CALCS'!$G171*2</f>
        <v>0</v>
      </c>
      <c r="J170" s="154">
        <f t="shared" si="1"/>
        <v>0</v>
      </c>
      <c r="K170" s="6">
        <f>'MATCH CALCS'!L171*1</f>
        <v>0</v>
      </c>
      <c r="L170" s="6">
        <f>'MATCH CALCS'!$N171*2</f>
        <v>0</v>
      </c>
      <c r="M170" s="6">
        <f>'MATCH CALCS'!N171*1</f>
        <v>0</v>
      </c>
      <c r="N170" s="6">
        <f>'MATCH CALCS'!$N171*2</f>
        <v>0</v>
      </c>
      <c r="O170" s="6">
        <f>'MATCH CALCS'!$N171*2</f>
        <v>0</v>
      </c>
      <c r="P170" s="6">
        <f>'MATCH CALCS'!$P171*5</f>
        <v>0</v>
      </c>
      <c r="Q170" s="154">
        <f t="shared" si="2"/>
        <v>0</v>
      </c>
      <c r="R170" s="6">
        <f>'MATCH CALCS'!$AD171*1</f>
        <v>0</v>
      </c>
      <c r="S170" s="6">
        <f>'MATCH CALCS'!AC171*3</f>
        <v>0</v>
      </c>
      <c r="T170" s="6">
        <f>'MATCH CALCS'!AD171*3</f>
        <v>0</v>
      </c>
      <c r="U170" s="155">
        <f t="shared" si="3"/>
        <v>0</v>
      </c>
      <c r="V170" s="154">
        <f t="shared" si="4"/>
        <v>0</v>
      </c>
    </row>
    <row r="171" spans="1:22">
      <c r="A171" s="154">
        <f>'MATCH CALCS'!A172</f>
        <v>0</v>
      </c>
      <c r="B171" s="154">
        <f>'MATCH CALCS'!$C172</f>
        <v>0</v>
      </c>
      <c r="C171" s="154">
        <f t="shared" si="0"/>
        <v>0</v>
      </c>
      <c r="D171" s="6">
        <f>'MATCH CALCS'!$G172*2</f>
        <v>0</v>
      </c>
      <c r="E171" s="6">
        <f>'MATCH CALCS'!$G172*2</f>
        <v>0</v>
      </c>
      <c r="F171" s="6">
        <f>'MATCH CALCS'!$G172*2</f>
        <v>0</v>
      </c>
      <c r="G171" s="6">
        <f>'MATCH CALCS'!$G172*2</f>
        <v>0</v>
      </c>
      <c r="H171" s="6">
        <f>'MATCH CALCS'!$G172*2</f>
        <v>0</v>
      </c>
      <c r="I171" s="6">
        <f>'MATCH CALCS'!$G172*2</f>
        <v>0</v>
      </c>
      <c r="J171" s="154">
        <f t="shared" si="1"/>
        <v>0</v>
      </c>
      <c r="K171" s="6">
        <f>'MATCH CALCS'!L172*1</f>
        <v>0</v>
      </c>
      <c r="L171" s="6">
        <f>'MATCH CALCS'!$N172*2</f>
        <v>0</v>
      </c>
      <c r="M171" s="6">
        <f>'MATCH CALCS'!N172*1</f>
        <v>0</v>
      </c>
      <c r="N171" s="6">
        <f>'MATCH CALCS'!$N172*2</f>
        <v>0</v>
      </c>
      <c r="O171" s="6">
        <f>'MATCH CALCS'!$N172*2</f>
        <v>0</v>
      </c>
      <c r="P171" s="6">
        <f>'MATCH CALCS'!$P172*5</f>
        <v>0</v>
      </c>
      <c r="Q171" s="154">
        <f t="shared" si="2"/>
        <v>0</v>
      </c>
      <c r="R171" s="6">
        <f>'MATCH CALCS'!$AD172*1</f>
        <v>0</v>
      </c>
      <c r="S171" s="6">
        <f>'MATCH CALCS'!AC172*3</f>
        <v>0</v>
      </c>
      <c r="T171" s="6">
        <f>'MATCH CALCS'!AD172*3</f>
        <v>0</v>
      </c>
      <c r="U171" s="155">
        <f t="shared" si="3"/>
        <v>0</v>
      </c>
      <c r="V171" s="154">
        <f t="shared" si="4"/>
        <v>0</v>
      </c>
    </row>
    <row r="172" spans="1:22">
      <c r="A172" s="154">
        <f>'MATCH CALCS'!A173</f>
        <v>0</v>
      </c>
      <c r="B172" s="154">
        <f>'MATCH CALCS'!$C173</f>
        <v>0</v>
      </c>
      <c r="C172" s="154">
        <f t="shared" si="0"/>
        <v>0</v>
      </c>
      <c r="D172" s="6">
        <f>'MATCH CALCS'!$G173*2</f>
        <v>0</v>
      </c>
      <c r="E172" s="6">
        <f>'MATCH CALCS'!$G173*2</f>
        <v>0</v>
      </c>
      <c r="F172" s="6">
        <f>'MATCH CALCS'!$G173*2</f>
        <v>0</v>
      </c>
      <c r="G172" s="6">
        <f>'MATCH CALCS'!$G173*2</f>
        <v>0</v>
      </c>
      <c r="H172" s="6">
        <f>'MATCH CALCS'!$G173*2</f>
        <v>0</v>
      </c>
      <c r="I172" s="6">
        <f>'MATCH CALCS'!$G173*2</f>
        <v>0</v>
      </c>
      <c r="J172" s="154">
        <f t="shared" si="1"/>
        <v>0</v>
      </c>
      <c r="K172" s="6">
        <f>'MATCH CALCS'!L173*1</f>
        <v>0</v>
      </c>
      <c r="L172" s="6">
        <f>'MATCH CALCS'!$N173*2</f>
        <v>0</v>
      </c>
      <c r="M172" s="6">
        <f>'MATCH CALCS'!N173*1</f>
        <v>0</v>
      </c>
      <c r="N172" s="6">
        <f>'MATCH CALCS'!$N173*2</f>
        <v>0</v>
      </c>
      <c r="O172" s="6">
        <f>'MATCH CALCS'!$N173*2</f>
        <v>0</v>
      </c>
      <c r="P172" s="6">
        <f>'MATCH CALCS'!$P173*5</f>
        <v>0</v>
      </c>
      <c r="Q172" s="154">
        <f t="shared" si="2"/>
        <v>0</v>
      </c>
      <c r="R172" s="6">
        <f>'MATCH CALCS'!$AD173*1</f>
        <v>0</v>
      </c>
      <c r="S172" s="6">
        <f>'MATCH CALCS'!AC173*3</f>
        <v>0</v>
      </c>
      <c r="T172" s="6">
        <f>'MATCH CALCS'!AD173*3</f>
        <v>0</v>
      </c>
      <c r="U172" s="155">
        <f t="shared" si="3"/>
        <v>0</v>
      </c>
      <c r="V172" s="154">
        <f t="shared" si="4"/>
        <v>0</v>
      </c>
    </row>
    <row r="173" spans="1:22">
      <c r="A173" s="154">
        <f>'MATCH CALCS'!A174</f>
        <v>0</v>
      </c>
      <c r="B173" s="154">
        <f>'MATCH CALCS'!$C174</f>
        <v>0</v>
      </c>
      <c r="C173" s="154">
        <f t="shared" si="0"/>
        <v>0</v>
      </c>
      <c r="D173" s="6">
        <f>'MATCH CALCS'!$G174*2</f>
        <v>0</v>
      </c>
      <c r="E173" s="6">
        <f>'MATCH CALCS'!$G174*2</f>
        <v>0</v>
      </c>
      <c r="F173" s="6">
        <f>'MATCH CALCS'!$G174*2</f>
        <v>0</v>
      </c>
      <c r="G173" s="6">
        <f>'MATCH CALCS'!$G174*2</f>
        <v>0</v>
      </c>
      <c r="H173" s="6">
        <f>'MATCH CALCS'!$G174*2</f>
        <v>0</v>
      </c>
      <c r="I173" s="6">
        <f>'MATCH CALCS'!$G174*2</f>
        <v>0</v>
      </c>
      <c r="J173" s="154">
        <f t="shared" si="1"/>
        <v>0</v>
      </c>
      <c r="K173" s="6">
        <f>'MATCH CALCS'!L174*1</f>
        <v>0</v>
      </c>
      <c r="L173" s="6">
        <f>'MATCH CALCS'!$N174*2</f>
        <v>0</v>
      </c>
      <c r="M173" s="6">
        <f>'MATCH CALCS'!N174*1</f>
        <v>0</v>
      </c>
      <c r="N173" s="6">
        <f>'MATCH CALCS'!$N174*2</f>
        <v>0</v>
      </c>
      <c r="O173" s="6">
        <f>'MATCH CALCS'!$N174*2</f>
        <v>0</v>
      </c>
      <c r="P173" s="6">
        <f>'MATCH CALCS'!$P174*5</f>
        <v>0</v>
      </c>
      <c r="Q173" s="154">
        <f t="shared" si="2"/>
        <v>0</v>
      </c>
      <c r="R173" s="6">
        <f>'MATCH CALCS'!$AD174*1</f>
        <v>0</v>
      </c>
      <c r="S173" s="6">
        <f>'MATCH CALCS'!AC174*3</f>
        <v>0</v>
      </c>
      <c r="T173" s="6">
        <f>'MATCH CALCS'!AD174*3</f>
        <v>0</v>
      </c>
      <c r="U173" s="155">
        <f t="shared" si="3"/>
        <v>0</v>
      </c>
      <c r="V173" s="154">
        <f t="shared" si="4"/>
        <v>0</v>
      </c>
    </row>
    <row r="174" spans="1:22">
      <c r="A174" s="154">
        <f>'MATCH CALCS'!A175</f>
        <v>0</v>
      </c>
      <c r="B174" s="154">
        <f>'MATCH CALCS'!$C175</f>
        <v>0</v>
      </c>
      <c r="C174" s="154">
        <f t="shared" si="0"/>
        <v>0</v>
      </c>
      <c r="D174" s="6">
        <f>'MATCH CALCS'!$G175*2</f>
        <v>0</v>
      </c>
      <c r="E174" s="6">
        <f>'MATCH CALCS'!$G175*2</f>
        <v>0</v>
      </c>
      <c r="F174" s="6">
        <f>'MATCH CALCS'!$G175*2</f>
        <v>0</v>
      </c>
      <c r="G174" s="6">
        <f>'MATCH CALCS'!$G175*2</f>
        <v>0</v>
      </c>
      <c r="H174" s="6">
        <f>'MATCH CALCS'!$G175*2</f>
        <v>0</v>
      </c>
      <c r="I174" s="6">
        <f>'MATCH CALCS'!$G175*2</f>
        <v>0</v>
      </c>
      <c r="J174" s="154">
        <f t="shared" si="1"/>
        <v>0</v>
      </c>
      <c r="K174" s="6">
        <f>'MATCH CALCS'!L175*1</f>
        <v>0</v>
      </c>
      <c r="L174" s="6">
        <f>'MATCH CALCS'!$N175*2</f>
        <v>0</v>
      </c>
      <c r="M174" s="6">
        <f>'MATCH CALCS'!N175*1</f>
        <v>0</v>
      </c>
      <c r="N174" s="6">
        <f>'MATCH CALCS'!$N175*2</f>
        <v>0</v>
      </c>
      <c r="O174" s="6">
        <f>'MATCH CALCS'!$N175*2</f>
        <v>0</v>
      </c>
      <c r="P174" s="6">
        <f>'MATCH CALCS'!$P175*5</f>
        <v>0</v>
      </c>
      <c r="Q174" s="154">
        <f t="shared" si="2"/>
        <v>0</v>
      </c>
      <c r="R174" s="6">
        <f>'MATCH CALCS'!$AD175*1</f>
        <v>0</v>
      </c>
      <c r="S174" s="6">
        <f>'MATCH CALCS'!AC175*3</f>
        <v>0</v>
      </c>
      <c r="T174" s="6">
        <f>'MATCH CALCS'!AD175*3</f>
        <v>0</v>
      </c>
      <c r="U174" s="155">
        <f t="shared" si="3"/>
        <v>0</v>
      </c>
      <c r="V174" s="154">
        <f t="shared" si="4"/>
        <v>0</v>
      </c>
    </row>
    <row r="175" spans="1:22">
      <c r="A175" s="154">
        <f>'MATCH CALCS'!A176</f>
        <v>0</v>
      </c>
      <c r="B175" s="154">
        <f>'MATCH CALCS'!$C176</f>
        <v>0</v>
      </c>
      <c r="C175" s="154">
        <f t="shared" si="0"/>
        <v>0</v>
      </c>
      <c r="D175" s="6">
        <f>'MATCH CALCS'!$G176*2</f>
        <v>0</v>
      </c>
      <c r="E175" s="6">
        <f>'MATCH CALCS'!$G176*2</f>
        <v>0</v>
      </c>
      <c r="F175" s="6">
        <f>'MATCH CALCS'!$G176*2</f>
        <v>0</v>
      </c>
      <c r="G175" s="6">
        <f>'MATCH CALCS'!$G176*2</f>
        <v>0</v>
      </c>
      <c r="H175" s="6">
        <f>'MATCH CALCS'!$G176*2</f>
        <v>0</v>
      </c>
      <c r="I175" s="6">
        <f>'MATCH CALCS'!$G176*2</f>
        <v>0</v>
      </c>
      <c r="J175" s="154">
        <f t="shared" si="1"/>
        <v>0</v>
      </c>
      <c r="K175" s="6">
        <f>'MATCH CALCS'!L176*1</f>
        <v>0</v>
      </c>
      <c r="L175" s="6">
        <f>'MATCH CALCS'!$N176*2</f>
        <v>0</v>
      </c>
      <c r="M175" s="6">
        <f>'MATCH CALCS'!N176*1</f>
        <v>0</v>
      </c>
      <c r="N175" s="6">
        <f>'MATCH CALCS'!$N176*2</f>
        <v>0</v>
      </c>
      <c r="O175" s="6">
        <f>'MATCH CALCS'!$N176*2</f>
        <v>0</v>
      </c>
      <c r="P175" s="6">
        <f>'MATCH CALCS'!$P176*5</f>
        <v>0</v>
      </c>
      <c r="Q175" s="154">
        <f t="shared" si="2"/>
        <v>0</v>
      </c>
      <c r="R175" s="6">
        <f>'MATCH CALCS'!$AD176*1</f>
        <v>0</v>
      </c>
      <c r="S175" s="6">
        <f>'MATCH CALCS'!AC176*3</f>
        <v>0</v>
      </c>
      <c r="T175" s="6">
        <f>'MATCH CALCS'!AD176*3</f>
        <v>0</v>
      </c>
      <c r="U175" s="155">
        <f t="shared" si="3"/>
        <v>0</v>
      </c>
      <c r="V175" s="154">
        <f t="shared" si="4"/>
        <v>0</v>
      </c>
    </row>
    <row r="176" spans="1:22">
      <c r="A176" s="154">
        <f>'MATCH CALCS'!A177</f>
        <v>0</v>
      </c>
      <c r="B176" s="154">
        <f>'MATCH CALCS'!$C177</f>
        <v>0</v>
      </c>
      <c r="C176" s="154">
        <f t="shared" si="0"/>
        <v>0</v>
      </c>
      <c r="D176" s="6">
        <f>'MATCH CALCS'!$G177*2</f>
        <v>0</v>
      </c>
      <c r="E176" s="6">
        <f>'MATCH CALCS'!$G177*2</f>
        <v>0</v>
      </c>
      <c r="F176" s="6">
        <f>'MATCH CALCS'!$G177*2</f>
        <v>0</v>
      </c>
      <c r="G176" s="6">
        <f>'MATCH CALCS'!$G177*2</f>
        <v>0</v>
      </c>
      <c r="H176" s="6">
        <f>'MATCH CALCS'!$G177*2</f>
        <v>0</v>
      </c>
      <c r="I176" s="6">
        <f>'MATCH CALCS'!$G177*2</f>
        <v>0</v>
      </c>
      <c r="J176" s="154">
        <f t="shared" si="1"/>
        <v>0</v>
      </c>
      <c r="K176" s="6">
        <f>'MATCH CALCS'!L177*1</f>
        <v>0</v>
      </c>
      <c r="L176" s="6">
        <f>'MATCH CALCS'!$N177*2</f>
        <v>0</v>
      </c>
      <c r="M176" s="6">
        <f>'MATCH CALCS'!N177*1</f>
        <v>0</v>
      </c>
      <c r="N176" s="6">
        <f>'MATCH CALCS'!$N177*2</f>
        <v>0</v>
      </c>
      <c r="O176" s="6">
        <f>'MATCH CALCS'!$N177*2</f>
        <v>0</v>
      </c>
      <c r="P176" s="6">
        <f>'MATCH CALCS'!$P177*5</f>
        <v>0</v>
      </c>
      <c r="Q176" s="154">
        <f t="shared" si="2"/>
        <v>0</v>
      </c>
      <c r="R176" s="6">
        <f>'MATCH CALCS'!$AD177*1</f>
        <v>0</v>
      </c>
      <c r="S176" s="6">
        <f>'MATCH CALCS'!AC177*3</f>
        <v>0</v>
      </c>
      <c r="T176" s="6">
        <f>'MATCH CALCS'!AD177*3</f>
        <v>0</v>
      </c>
      <c r="U176" s="155">
        <f t="shared" si="3"/>
        <v>0</v>
      </c>
      <c r="V176" s="154">
        <f t="shared" si="4"/>
        <v>0</v>
      </c>
    </row>
    <row r="177" spans="1:22">
      <c r="A177" s="154">
        <f>'MATCH CALCS'!A178</f>
        <v>0</v>
      </c>
      <c r="B177" s="154">
        <f>'MATCH CALCS'!$C178</f>
        <v>0</v>
      </c>
      <c r="C177" s="154">
        <f t="shared" si="0"/>
        <v>0</v>
      </c>
      <c r="D177" s="6">
        <f>'MATCH CALCS'!$G178*2</f>
        <v>0</v>
      </c>
      <c r="E177" s="6">
        <f>'MATCH CALCS'!$G178*2</f>
        <v>0</v>
      </c>
      <c r="F177" s="6">
        <f>'MATCH CALCS'!$G178*2</f>
        <v>0</v>
      </c>
      <c r="G177" s="6">
        <f>'MATCH CALCS'!$G178*2</f>
        <v>0</v>
      </c>
      <c r="H177" s="6">
        <f>'MATCH CALCS'!$G178*2</f>
        <v>0</v>
      </c>
      <c r="I177" s="6">
        <f>'MATCH CALCS'!$G178*2</f>
        <v>0</v>
      </c>
      <c r="J177" s="154">
        <f t="shared" si="1"/>
        <v>0</v>
      </c>
      <c r="K177" s="6">
        <f>'MATCH CALCS'!L178*1</f>
        <v>0</v>
      </c>
      <c r="L177" s="6">
        <f>'MATCH CALCS'!$N178*2</f>
        <v>0</v>
      </c>
      <c r="M177" s="6">
        <f>'MATCH CALCS'!N178*1</f>
        <v>0</v>
      </c>
      <c r="N177" s="6">
        <f>'MATCH CALCS'!$N178*2</f>
        <v>0</v>
      </c>
      <c r="O177" s="6">
        <f>'MATCH CALCS'!$N178*2</f>
        <v>0</v>
      </c>
      <c r="P177" s="6">
        <f>'MATCH CALCS'!$P178*5</f>
        <v>0</v>
      </c>
      <c r="Q177" s="154">
        <f t="shared" si="2"/>
        <v>0</v>
      </c>
      <c r="R177" s="6">
        <f>'MATCH CALCS'!$AD178*1</f>
        <v>0</v>
      </c>
      <c r="S177" s="6">
        <f>'MATCH CALCS'!AC178*3</f>
        <v>0</v>
      </c>
      <c r="T177" s="6">
        <f>'MATCH CALCS'!AD178*3</f>
        <v>0</v>
      </c>
      <c r="U177" s="155">
        <f t="shared" si="3"/>
        <v>0</v>
      </c>
      <c r="V177" s="154">
        <f t="shared" si="4"/>
        <v>0</v>
      </c>
    </row>
    <row r="178" spans="1:22">
      <c r="A178" s="154">
        <f>'MATCH CALCS'!A179</f>
        <v>0</v>
      </c>
      <c r="B178" s="154">
        <f>'MATCH CALCS'!$C179</f>
        <v>0</v>
      </c>
      <c r="C178" s="154">
        <f t="shared" si="0"/>
        <v>0</v>
      </c>
      <c r="D178" s="6">
        <f>'MATCH CALCS'!$G179*2</f>
        <v>0</v>
      </c>
      <c r="E178" s="6">
        <f>'MATCH CALCS'!$G179*2</f>
        <v>0</v>
      </c>
      <c r="F178" s="6">
        <f>'MATCH CALCS'!$G179*2</f>
        <v>0</v>
      </c>
      <c r="G178" s="6">
        <f>'MATCH CALCS'!$G179*2</f>
        <v>0</v>
      </c>
      <c r="H178" s="6">
        <f>'MATCH CALCS'!$G179*2</f>
        <v>0</v>
      </c>
      <c r="I178" s="6">
        <f>'MATCH CALCS'!$G179*2</f>
        <v>0</v>
      </c>
      <c r="J178" s="154">
        <f t="shared" si="1"/>
        <v>0</v>
      </c>
      <c r="K178" s="6">
        <f>'MATCH CALCS'!L179*1</f>
        <v>0</v>
      </c>
      <c r="L178" s="6">
        <f>'MATCH CALCS'!$N179*2</f>
        <v>0</v>
      </c>
      <c r="M178" s="6">
        <f>'MATCH CALCS'!N179*1</f>
        <v>0</v>
      </c>
      <c r="N178" s="6">
        <f>'MATCH CALCS'!$N179*2</f>
        <v>0</v>
      </c>
      <c r="O178" s="6">
        <f>'MATCH CALCS'!$N179*2</f>
        <v>0</v>
      </c>
      <c r="P178" s="6">
        <f>'MATCH CALCS'!$P179*5</f>
        <v>0</v>
      </c>
      <c r="Q178" s="154">
        <f t="shared" si="2"/>
        <v>0</v>
      </c>
      <c r="R178" s="6">
        <f>'MATCH CALCS'!$AD179*1</f>
        <v>0</v>
      </c>
      <c r="S178" s="6">
        <f>'MATCH CALCS'!AC179*3</f>
        <v>0</v>
      </c>
      <c r="T178" s="6">
        <f>'MATCH CALCS'!AD179*3</f>
        <v>0</v>
      </c>
      <c r="U178" s="155">
        <f t="shared" si="3"/>
        <v>0</v>
      </c>
      <c r="V178" s="154">
        <f t="shared" si="4"/>
        <v>0</v>
      </c>
    </row>
    <row r="179" spans="1:22">
      <c r="A179" s="154">
        <f>'MATCH CALCS'!A180</f>
        <v>0</v>
      </c>
      <c r="B179" s="154">
        <f>'MATCH CALCS'!$C180</f>
        <v>0</v>
      </c>
      <c r="C179" s="154">
        <f t="shared" si="0"/>
        <v>0</v>
      </c>
      <c r="D179" s="6">
        <f>'MATCH CALCS'!$G180*2</f>
        <v>0</v>
      </c>
      <c r="E179" s="6">
        <f>'MATCH CALCS'!$G180*2</f>
        <v>0</v>
      </c>
      <c r="F179" s="6">
        <f>'MATCH CALCS'!$G180*2</f>
        <v>0</v>
      </c>
      <c r="G179" s="6">
        <f>'MATCH CALCS'!$G180*2</f>
        <v>0</v>
      </c>
      <c r="H179" s="6">
        <f>'MATCH CALCS'!$G180*2</f>
        <v>0</v>
      </c>
      <c r="I179" s="6">
        <f>'MATCH CALCS'!$G180*2</f>
        <v>0</v>
      </c>
      <c r="J179" s="154">
        <f t="shared" si="1"/>
        <v>0</v>
      </c>
      <c r="K179" s="6">
        <f>'MATCH CALCS'!L180*1</f>
        <v>0</v>
      </c>
      <c r="L179" s="6">
        <f>'MATCH CALCS'!$N180*2</f>
        <v>0</v>
      </c>
      <c r="M179" s="6">
        <f>'MATCH CALCS'!N180*1</f>
        <v>0</v>
      </c>
      <c r="N179" s="6">
        <f>'MATCH CALCS'!$N180*2</f>
        <v>0</v>
      </c>
      <c r="O179" s="6">
        <f>'MATCH CALCS'!$N180*2</f>
        <v>0</v>
      </c>
      <c r="P179" s="6">
        <f>'MATCH CALCS'!$P180*5</f>
        <v>0</v>
      </c>
      <c r="Q179" s="154">
        <f t="shared" si="2"/>
        <v>0</v>
      </c>
      <c r="R179" s="6">
        <f>'MATCH CALCS'!$AD180*1</f>
        <v>0</v>
      </c>
      <c r="S179" s="6">
        <f>'MATCH CALCS'!AC180*3</f>
        <v>0</v>
      </c>
      <c r="T179" s="6">
        <f>'MATCH CALCS'!AD180*3</f>
        <v>0</v>
      </c>
      <c r="U179" s="155">
        <f t="shared" si="3"/>
        <v>0</v>
      </c>
      <c r="V179" s="154">
        <f t="shared" si="4"/>
        <v>0</v>
      </c>
    </row>
    <row r="180" spans="1:22">
      <c r="A180" s="154">
        <f>'MATCH CALCS'!A181</f>
        <v>0</v>
      </c>
      <c r="B180" s="154">
        <f>'MATCH CALCS'!$C181</f>
        <v>0</v>
      </c>
      <c r="C180" s="154">
        <f t="shared" si="0"/>
        <v>0</v>
      </c>
      <c r="D180" s="6">
        <f>'MATCH CALCS'!$G181*2</f>
        <v>0</v>
      </c>
      <c r="E180" s="6">
        <f>'MATCH CALCS'!$G181*2</f>
        <v>0</v>
      </c>
      <c r="F180" s="6">
        <f>'MATCH CALCS'!$G181*2</f>
        <v>0</v>
      </c>
      <c r="G180" s="6">
        <f>'MATCH CALCS'!$G181*2</f>
        <v>0</v>
      </c>
      <c r="H180" s="6">
        <f>'MATCH CALCS'!$G181*2</f>
        <v>0</v>
      </c>
      <c r="I180" s="6">
        <f>'MATCH CALCS'!$G181*2</f>
        <v>0</v>
      </c>
      <c r="J180" s="154">
        <f t="shared" si="1"/>
        <v>0</v>
      </c>
      <c r="K180" s="6">
        <f>'MATCH CALCS'!L181*1</f>
        <v>0</v>
      </c>
      <c r="L180" s="6">
        <f>'MATCH CALCS'!$N181*2</f>
        <v>0</v>
      </c>
      <c r="M180" s="6">
        <f>'MATCH CALCS'!N181*1</f>
        <v>0</v>
      </c>
      <c r="N180" s="6">
        <f>'MATCH CALCS'!$N181*2</f>
        <v>0</v>
      </c>
      <c r="O180" s="6">
        <f>'MATCH CALCS'!$N181*2</f>
        <v>0</v>
      </c>
      <c r="P180" s="6">
        <f>'MATCH CALCS'!$P181*5</f>
        <v>0</v>
      </c>
      <c r="Q180" s="154">
        <f t="shared" si="2"/>
        <v>0</v>
      </c>
      <c r="R180" s="6">
        <f>'MATCH CALCS'!$AD181*1</f>
        <v>0</v>
      </c>
      <c r="S180" s="6">
        <f>'MATCH CALCS'!AC181*3</f>
        <v>0</v>
      </c>
      <c r="T180" s="6">
        <f>'MATCH CALCS'!AD181*3</f>
        <v>0</v>
      </c>
      <c r="U180" s="155">
        <f t="shared" si="3"/>
        <v>0</v>
      </c>
      <c r="V180" s="154">
        <f t="shared" si="4"/>
        <v>0</v>
      </c>
    </row>
    <row r="181" spans="1:22">
      <c r="A181" s="154">
        <f>'MATCH CALCS'!A182</f>
        <v>0</v>
      </c>
      <c r="B181" s="154">
        <f>'MATCH CALCS'!$C182</f>
        <v>0</v>
      </c>
      <c r="C181" s="154">
        <f t="shared" si="0"/>
        <v>0</v>
      </c>
      <c r="D181" s="6">
        <f>'MATCH CALCS'!$G182*2</f>
        <v>0</v>
      </c>
      <c r="E181" s="6">
        <f>'MATCH CALCS'!$G182*2</f>
        <v>0</v>
      </c>
      <c r="F181" s="6">
        <f>'MATCH CALCS'!$G182*2</f>
        <v>0</v>
      </c>
      <c r="G181" s="6">
        <f>'MATCH CALCS'!$G182*2</f>
        <v>0</v>
      </c>
      <c r="H181" s="6">
        <f>'MATCH CALCS'!$G182*2</f>
        <v>0</v>
      </c>
      <c r="I181" s="6">
        <f>'MATCH CALCS'!$G182*2</f>
        <v>0</v>
      </c>
      <c r="J181" s="154">
        <f t="shared" si="1"/>
        <v>0</v>
      </c>
      <c r="K181" s="6">
        <f>'MATCH CALCS'!L182*1</f>
        <v>0</v>
      </c>
      <c r="L181" s="6">
        <f>'MATCH CALCS'!$N182*2</f>
        <v>0</v>
      </c>
      <c r="M181" s="6">
        <f>'MATCH CALCS'!N182*1</f>
        <v>0</v>
      </c>
      <c r="N181" s="6">
        <f>'MATCH CALCS'!$N182*2</f>
        <v>0</v>
      </c>
      <c r="O181" s="6">
        <f>'MATCH CALCS'!$N182*2</f>
        <v>0</v>
      </c>
      <c r="P181" s="6">
        <f>'MATCH CALCS'!$P182*5</f>
        <v>0</v>
      </c>
      <c r="Q181" s="154">
        <f t="shared" si="2"/>
        <v>0</v>
      </c>
      <c r="R181" s="6">
        <f>'MATCH CALCS'!$AD182*1</f>
        <v>0</v>
      </c>
      <c r="S181" s="6">
        <f>'MATCH CALCS'!AC182*3</f>
        <v>0</v>
      </c>
      <c r="T181" s="6">
        <f>'MATCH CALCS'!AD182*3</f>
        <v>0</v>
      </c>
      <c r="U181" s="155">
        <f t="shared" si="3"/>
        <v>0</v>
      </c>
      <c r="V181" s="154">
        <f t="shared" si="4"/>
        <v>0</v>
      </c>
    </row>
    <row r="182" spans="1:22">
      <c r="A182" s="154">
        <f>'MATCH CALCS'!A183</f>
        <v>0</v>
      </c>
      <c r="B182" s="154">
        <f>'MATCH CALCS'!$C183</f>
        <v>0</v>
      </c>
      <c r="C182" s="154">
        <f t="shared" si="0"/>
        <v>0</v>
      </c>
      <c r="D182" s="6">
        <f>'MATCH CALCS'!$G183*2</f>
        <v>0</v>
      </c>
      <c r="E182" s="6">
        <f>'MATCH CALCS'!$G183*2</f>
        <v>0</v>
      </c>
      <c r="F182" s="6">
        <f>'MATCH CALCS'!$G183*2</f>
        <v>0</v>
      </c>
      <c r="G182" s="6">
        <f>'MATCH CALCS'!$G183*2</f>
        <v>0</v>
      </c>
      <c r="H182" s="6">
        <f>'MATCH CALCS'!$G183*2</f>
        <v>0</v>
      </c>
      <c r="I182" s="6">
        <f>'MATCH CALCS'!$G183*2</f>
        <v>0</v>
      </c>
      <c r="J182" s="154">
        <f t="shared" si="1"/>
        <v>0</v>
      </c>
      <c r="K182" s="6">
        <f>'MATCH CALCS'!L183*1</f>
        <v>0</v>
      </c>
      <c r="L182" s="6">
        <f>'MATCH CALCS'!$N183*2</f>
        <v>0</v>
      </c>
      <c r="M182" s="6">
        <f>'MATCH CALCS'!N183*1</f>
        <v>0</v>
      </c>
      <c r="N182" s="6">
        <f>'MATCH CALCS'!$N183*2</f>
        <v>0</v>
      </c>
      <c r="O182" s="6">
        <f>'MATCH CALCS'!$N183*2</f>
        <v>0</v>
      </c>
      <c r="P182" s="6">
        <f>'MATCH CALCS'!$P183*5</f>
        <v>0</v>
      </c>
      <c r="Q182" s="154">
        <f t="shared" si="2"/>
        <v>0</v>
      </c>
      <c r="R182" s="6">
        <f>'MATCH CALCS'!$AD183*1</f>
        <v>0</v>
      </c>
      <c r="S182" s="6">
        <f>'MATCH CALCS'!AC183*3</f>
        <v>0</v>
      </c>
      <c r="T182" s="6">
        <f>'MATCH CALCS'!AD183*3</f>
        <v>0</v>
      </c>
      <c r="U182" s="155">
        <f t="shared" si="3"/>
        <v>0</v>
      </c>
      <c r="V182" s="154">
        <f t="shared" si="4"/>
        <v>0</v>
      </c>
    </row>
    <row r="183" spans="1:22">
      <c r="A183" s="154">
        <f>'MATCH CALCS'!A184</f>
        <v>0</v>
      </c>
      <c r="B183" s="154">
        <f>'MATCH CALCS'!$C184</f>
        <v>0</v>
      </c>
      <c r="C183" s="154">
        <f t="shared" si="0"/>
        <v>0</v>
      </c>
      <c r="D183" s="6">
        <f>'MATCH CALCS'!$G184*2</f>
        <v>0</v>
      </c>
      <c r="E183" s="6">
        <f>'MATCH CALCS'!$G184*2</f>
        <v>0</v>
      </c>
      <c r="F183" s="6">
        <f>'MATCH CALCS'!$G184*2</f>
        <v>0</v>
      </c>
      <c r="G183" s="6">
        <f>'MATCH CALCS'!$G184*2</f>
        <v>0</v>
      </c>
      <c r="H183" s="6">
        <f>'MATCH CALCS'!$G184*2</f>
        <v>0</v>
      </c>
      <c r="I183" s="6">
        <f>'MATCH CALCS'!$G184*2</f>
        <v>0</v>
      </c>
      <c r="J183" s="154">
        <f t="shared" si="1"/>
        <v>0</v>
      </c>
      <c r="K183" s="6">
        <f>'MATCH CALCS'!L184*1</f>
        <v>0</v>
      </c>
      <c r="L183" s="6">
        <f>'MATCH CALCS'!$N184*2</f>
        <v>0</v>
      </c>
      <c r="M183" s="6">
        <f>'MATCH CALCS'!N184*1</f>
        <v>0</v>
      </c>
      <c r="N183" s="6">
        <f>'MATCH CALCS'!$N184*2</f>
        <v>0</v>
      </c>
      <c r="O183" s="6">
        <f>'MATCH CALCS'!$N184*2</f>
        <v>0</v>
      </c>
      <c r="P183" s="6">
        <f>'MATCH CALCS'!$P184*5</f>
        <v>0</v>
      </c>
      <c r="Q183" s="154">
        <f t="shared" si="2"/>
        <v>0</v>
      </c>
      <c r="R183" s="6">
        <f>'MATCH CALCS'!$AD184*1</f>
        <v>0</v>
      </c>
      <c r="S183" s="6">
        <f>'MATCH CALCS'!AC184*3</f>
        <v>0</v>
      </c>
      <c r="T183" s="6">
        <f>'MATCH CALCS'!AD184*3</f>
        <v>0</v>
      </c>
      <c r="U183" s="155">
        <f t="shared" si="3"/>
        <v>0</v>
      </c>
      <c r="V183" s="154">
        <f t="shared" si="4"/>
        <v>0</v>
      </c>
    </row>
    <row r="184" spans="1:22">
      <c r="A184" s="154">
        <f>'MATCH CALCS'!A185</f>
        <v>0</v>
      </c>
      <c r="B184" s="154">
        <f>'MATCH CALCS'!$C185</f>
        <v>0</v>
      </c>
      <c r="C184" s="154">
        <f t="shared" si="0"/>
        <v>0</v>
      </c>
      <c r="D184" s="6">
        <f>'MATCH CALCS'!$G185*2</f>
        <v>0</v>
      </c>
      <c r="E184" s="6">
        <f>'MATCH CALCS'!$G185*2</f>
        <v>0</v>
      </c>
      <c r="F184" s="6">
        <f>'MATCH CALCS'!$G185*2</f>
        <v>0</v>
      </c>
      <c r="G184" s="6">
        <f>'MATCH CALCS'!$G185*2</f>
        <v>0</v>
      </c>
      <c r="H184" s="6">
        <f>'MATCH CALCS'!$G185*2</f>
        <v>0</v>
      </c>
      <c r="I184" s="6">
        <f>'MATCH CALCS'!$G185*2</f>
        <v>0</v>
      </c>
      <c r="J184" s="154">
        <f t="shared" si="1"/>
        <v>0</v>
      </c>
      <c r="K184" s="6">
        <f>'MATCH CALCS'!L185*1</f>
        <v>0</v>
      </c>
      <c r="L184" s="6">
        <f>'MATCH CALCS'!$N185*2</f>
        <v>0</v>
      </c>
      <c r="M184" s="6">
        <f>'MATCH CALCS'!N185*1</f>
        <v>0</v>
      </c>
      <c r="N184" s="6">
        <f>'MATCH CALCS'!$N185*2</f>
        <v>0</v>
      </c>
      <c r="O184" s="6">
        <f>'MATCH CALCS'!$N185*2</f>
        <v>0</v>
      </c>
      <c r="P184" s="6">
        <f>'MATCH CALCS'!$P185*5</f>
        <v>0</v>
      </c>
      <c r="Q184" s="154">
        <f t="shared" si="2"/>
        <v>0</v>
      </c>
      <c r="R184" s="6">
        <f>'MATCH CALCS'!$AD185*1</f>
        <v>0</v>
      </c>
      <c r="S184" s="6">
        <f>'MATCH CALCS'!AC185*3</f>
        <v>0</v>
      </c>
      <c r="T184" s="6">
        <f>'MATCH CALCS'!AD185*3</f>
        <v>0</v>
      </c>
      <c r="U184" s="155">
        <f t="shared" si="3"/>
        <v>0</v>
      </c>
      <c r="V184" s="154">
        <f t="shared" si="4"/>
        <v>0</v>
      </c>
    </row>
    <row r="185" spans="1:22">
      <c r="A185" s="154">
        <f>'MATCH CALCS'!A186</f>
        <v>0</v>
      </c>
      <c r="B185" s="154">
        <f>'MATCH CALCS'!$C186</f>
        <v>0</v>
      </c>
      <c r="C185" s="154">
        <f t="shared" si="0"/>
        <v>0</v>
      </c>
      <c r="D185" s="6">
        <f>'MATCH CALCS'!$G186*2</f>
        <v>0</v>
      </c>
      <c r="E185" s="6">
        <f>'MATCH CALCS'!$G186*2</f>
        <v>0</v>
      </c>
      <c r="F185" s="6">
        <f>'MATCH CALCS'!$G186*2</f>
        <v>0</v>
      </c>
      <c r="G185" s="6">
        <f>'MATCH CALCS'!$G186*2</f>
        <v>0</v>
      </c>
      <c r="H185" s="6">
        <f>'MATCH CALCS'!$G186*2</f>
        <v>0</v>
      </c>
      <c r="I185" s="6">
        <f>'MATCH CALCS'!$G186*2</f>
        <v>0</v>
      </c>
      <c r="J185" s="154">
        <f t="shared" si="1"/>
        <v>0</v>
      </c>
      <c r="K185" s="6">
        <f>'MATCH CALCS'!L186*1</f>
        <v>0</v>
      </c>
      <c r="L185" s="6">
        <f>'MATCH CALCS'!$N186*2</f>
        <v>0</v>
      </c>
      <c r="M185" s="6">
        <f>'MATCH CALCS'!N186*1</f>
        <v>0</v>
      </c>
      <c r="N185" s="6">
        <f>'MATCH CALCS'!$N186*2</f>
        <v>0</v>
      </c>
      <c r="O185" s="6">
        <f>'MATCH CALCS'!$N186*2</f>
        <v>0</v>
      </c>
      <c r="P185" s="6">
        <f>'MATCH CALCS'!$P186*5</f>
        <v>0</v>
      </c>
      <c r="Q185" s="154">
        <f t="shared" si="2"/>
        <v>0</v>
      </c>
      <c r="R185" s="6">
        <f>'MATCH CALCS'!$AD186*1</f>
        <v>0</v>
      </c>
      <c r="S185" s="6">
        <f>'MATCH CALCS'!AC186*3</f>
        <v>0</v>
      </c>
      <c r="T185" s="6">
        <f>'MATCH CALCS'!AD186*3</f>
        <v>0</v>
      </c>
      <c r="U185" s="155">
        <f t="shared" si="3"/>
        <v>0</v>
      </c>
      <c r="V185" s="154">
        <f t="shared" si="4"/>
        <v>0</v>
      </c>
    </row>
    <row r="186" spans="1:22">
      <c r="A186" s="154">
        <f>'MATCH CALCS'!A187</f>
        <v>0</v>
      </c>
      <c r="B186" s="154">
        <f>'MATCH CALCS'!$C187</f>
        <v>0</v>
      </c>
      <c r="C186" s="154">
        <f t="shared" si="0"/>
        <v>0</v>
      </c>
      <c r="D186" s="6">
        <f>'MATCH CALCS'!$G187*2</f>
        <v>0</v>
      </c>
      <c r="E186" s="6">
        <f>'MATCH CALCS'!$G187*2</f>
        <v>0</v>
      </c>
      <c r="F186" s="6">
        <f>'MATCH CALCS'!$G187*2</f>
        <v>0</v>
      </c>
      <c r="G186" s="6">
        <f>'MATCH CALCS'!$G187*2</f>
        <v>0</v>
      </c>
      <c r="H186" s="6">
        <f>'MATCH CALCS'!$G187*2</f>
        <v>0</v>
      </c>
      <c r="I186" s="6">
        <f>'MATCH CALCS'!$G187*2</f>
        <v>0</v>
      </c>
      <c r="J186" s="154">
        <f t="shared" si="1"/>
        <v>0</v>
      </c>
      <c r="K186" s="6">
        <f>'MATCH CALCS'!L187*1</f>
        <v>0</v>
      </c>
      <c r="L186" s="6">
        <f>'MATCH CALCS'!$N187*2</f>
        <v>0</v>
      </c>
      <c r="M186" s="6">
        <f>'MATCH CALCS'!N187*1</f>
        <v>0</v>
      </c>
      <c r="N186" s="6">
        <f>'MATCH CALCS'!$N187*2</f>
        <v>0</v>
      </c>
      <c r="O186" s="6">
        <f>'MATCH CALCS'!$N187*2</f>
        <v>0</v>
      </c>
      <c r="P186" s="6">
        <f>'MATCH CALCS'!$P187*5</f>
        <v>0</v>
      </c>
      <c r="Q186" s="154">
        <f t="shared" si="2"/>
        <v>0</v>
      </c>
      <c r="R186" s="6">
        <f>'MATCH CALCS'!$AD187*1</f>
        <v>0</v>
      </c>
      <c r="S186" s="6">
        <f>'MATCH CALCS'!AC187*3</f>
        <v>0</v>
      </c>
      <c r="T186" s="6">
        <f>'MATCH CALCS'!AD187*3</f>
        <v>0</v>
      </c>
      <c r="U186" s="155">
        <f t="shared" si="3"/>
        <v>0</v>
      </c>
      <c r="V186" s="154">
        <f t="shared" si="4"/>
        <v>0</v>
      </c>
    </row>
    <row r="187" spans="1:22">
      <c r="A187" s="154">
        <f>'MATCH CALCS'!A188</f>
        <v>0</v>
      </c>
      <c r="B187" s="154">
        <f>'MATCH CALCS'!$C188</f>
        <v>0</v>
      </c>
      <c r="C187" s="154">
        <f t="shared" si="0"/>
        <v>0</v>
      </c>
      <c r="D187" s="6">
        <f>'MATCH CALCS'!$G188*2</f>
        <v>0</v>
      </c>
      <c r="E187" s="6">
        <f>'MATCH CALCS'!$G188*2</f>
        <v>0</v>
      </c>
      <c r="F187" s="6">
        <f>'MATCH CALCS'!$G188*2</f>
        <v>0</v>
      </c>
      <c r="G187" s="6">
        <f>'MATCH CALCS'!$G188*2</f>
        <v>0</v>
      </c>
      <c r="H187" s="6">
        <f>'MATCH CALCS'!$G188*2</f>
        <v>0</v>
      </c>
      <c r="I187" s="6">
        <f>'MATCH CALCS'!$G188*2</f>
        <v>0</v>
      </c>
      <c r="J187" s="154">
        <f t="shared" si="1"/>
        <v>0</v>
      </c>
      <c r="K187" s="6">
        <f>'MATCH CALCS'!L188*1</f>
        <v>0</v>
      </c>
      <c r="L187" s="6">
        <f>'MATCH CALCS'!$N188*2</f>
        <v>0</v>
      </c>
      <c r="M187" s="6">
        <f>'MATCH CALCS'!N188*1</f>
        <v>0</v>
      </c>
      <c r="N187" s="6">
        <f>'MATCH CALCS'!$N188*2</f>
        <v>0</v>
      </c>
      <c r="O187" s="6">
        <f>'MATCH CALCS'!$N188*2</f>
        <v>0</v>
      </c>
      <c r="P187" s="6">
        <f>'MATCH CALCS'!$P188*5</f>
        <v>0</v>
      </c>
      <c r="Q187" s="154">
        <f t="shared" si="2"/>
        <v>0</v>
      </c>
      <c r="R187" s="6">
        <f>'MATCH CALCS'!$AD188*1</f>
        <v>0</v>
      </c>
      <c r="S187" s="6">
        <f>'MATCH CALCS'!AC188*3</f>
        <v>0</v>
      </c>
      <c r="T187" s="6">
        <f>'MATCH CALCS'!AD188*3</f>
        <v>0</v>
      </c>
      <c r="U187" s="155">
        <f t="shared" si="3"/>
        <v>0</v>
      </c>
      <c r="V187" s="154">
        <f t="shared" si="4"/>
        <v>0</v>
      </c>
    </row>
    <row r="188" spans="1:22">
      <c r="A188" s="154">
        <f>'MATCH CALCS'!A189</f>
        <v>0</v>
      </c>
      <c r="B188" s="154">
        <f>'MATCH CALCS'!$C189</f>
        <v>0</v>
      </c>
      <c r="C188" s="154">
        <f t="shared" si="0"/>
        <v>0</v>
      </c>
      <c r="D188" s="6">
        <f>'MATCH CALCS'!$G189*2</f>
        <v>0</v>
      </c>
      <c r="E188" s="6">
        <f>'MATCH CALCS'!$G189*2</f>
        <v>0</v>
      </c>
      <c r="F188" s="6">
        <f>'MATCH CALCS'!$G189*2</f>
        <v>0</v>
      </c>
      <c r="G188" s="6">
        <f>'MATCH CALCS'!$G189*2</f>
        <v>0</v>
      </c>
      <c r="H188" s="6">
        <f>'MATCH CALCS'!$G189*2</f>
        <v>0</v>
      </c>
      <c r="I188" s="6">
        <f>'MATCH CALCS'!$G189*2</f>
        <v>0</v>
      </c>
      <c r="J188" s="154">
        <f t="shared" si="1"/>
        <v>0</v>
      </c>
      <c r="K188" s="6">
        <f>'MATCH CALCS'!L189*1</f>
        <v>0</v>
      </c>
      <c r="L188" s="6">
        <f>'MATCH CALCS'!$N189*2</f>
        <v>0</v>
      </c>
      <c r="M188" s="6">
        <f>'MATCH CALCS'!N189*1</f>
        <v>0</v>
      </c>
      <c r="N188" s="6">
        <f>'MATCH CALCS'!$N189*2</f>
        <v>0</v>
      </c>
      <c r="O188" s="6">
        <f>'MATCH CALCS'!$N189*2</f>
        <v>0</v>
      </c>
      <c r="P188" s="6">
        <f>'MATCH CALCS'!$P189*5</f>
        <v>0</v>
      </c>
      <c r="Q188" s="154">
        <f t="shared" si="2"/>
        <v>0</v>
      </c>
      <c r="R188" s="6">
        <f>'MATCH CALCS'!$AD189*1</f>
        <v>0</v>
      </c>
      <c r="S188" s="6">
        <f>'MATCH CALCS'!AC189*3</f>
        <v>0</v>
      </c>
      <c r="T188" s="6">
        <f>'MATCH CALCS'!AD189*3</f>
        <v>0</v>
      </c>
      <c r="U188" s="155">
        <f t="shared" si="3"/>
        <v>0</v>
      </c>
      <c r="V188" s="154">
        <f t="shared" si="4"/>
        <v>0</v>
      </c>
    </row>
    <row r="189" spans="1:22">
      <c r="A189" s="154">
        <f>'MATCH CALCS'!A190</f>
        <v>0</v>
      </c>
      <c r="B189" s="154">
        <f>'MATCH CALCS'!$C190</f>
        <v>0</v>
      </c>
      <c r="C189" s="154">
        <f t="shared" si="0"/>
        <v>0</v>
      </c>
      <c r="D189" s="6">
        <f>'MATCH CALCS'!$G190*2</f>
        <v>0</v>
      </c>
      <c r="E189" s="6">
        <f>'MATCH CALCS'!$G190*2</f>
        <v>0</v>
      </c>
      <c r="F189" s="6">
        <f>'MATCH CALCS'!$G190*2</f>
        <v>0</v>
      </c>
      <c r="G189" s="6">
        <f>'MATCH CALCS'!$G190*2</f>
        <v>0</v>
      </c>
      <c r="H189" s="6">
        <f>'MATCH CALCS'!$G190*2</f>
        <v>0</v>
      </c>
      <c r="I189" s="6">
        <f>'MATCH CALCS'!$G190*2</f>
        <v>0</v>
      </c>
      <c r="J189" s="154">
        <f t="shared" si="1"/>
        <v>0</v>
      </c>
      <c r="K189" s="6">
        <f>'MATCH CALCS'!L190*1</f>
        <v>0</v>
      </c>
      <c r="L189" s="6">
        <f>'MATCH CALCS'!$N190*2</f>
        <v>0</v>
      </c>
      <c r="M189" s="6">
        <f>'MATCH CALCS'!N190*1</f>
        <v>0</v>
      </c>
      <c r="N189" s="6">
        <f>'MATCH CALCS'!$N190*2</f>
        <v>0</v>
      </c>
      <c r="O189" s="6">
        <f>'MATCH CALCS'!$N190*2</f>
        <v>0</v>
      </c>
      <c r="P189" s="6">
        <f>'MATCH CALCS'!$P190*5</f>
        <v>0</v>
      </c>
      <c r="Q189" s="154">
        <f t="shared" si="2"/>
        <v>0</v>
      </c>
      <c r="R189" s="6">
        <f>'MATCH CALCS'!$AD190*1</f>
        <v>0</v>
      </c>
      <c r="S189" s="6">
        <f>'MATCH CALCS'!AC190*3</f>
        <v>0</v>
      </c>
      <c r="T189" s="6">
        <f>'MATCH CALCS'!AD190*3</f>
        <v>0</v>
      </c>
      <c r="U189" s="155">
        <f t="shared" si="3"/>
        <v>0</v>
      </c>
      <c r="V189" s="154">
        <f t="shared" si="4"/>
        <v>0</v>
      </c>
    </row>
    <row r="190" spans="1:22">
      <c r="A190" s="154">
        <f>'MATCH CALCS'!A191</f>
        <v>0</v>
      </c>
      <c r="B190" s="154">
        <f>'MATCH CALCS'!$C191</f>
        <v>0</v>
      </c>
      <c r="C190" s="154">
        <f t="shared" si="0"/>
        <v>0</v>
      </c>
      <c r="D190" s="6">
        <f>'MATCH CALCS'!$G191*2</f>
        <v>0</v>
      </c>
      <c r="E190" s="6">
        <f>'MATCH CALCS'!$G191*2</f>
        <v>0</v>
      </c>
      <c r="F190" s="6">
        <f>'MATCH CALCS'!$G191*2</f>
        <v>0</v>
      </c>
      <c r="G190" s="6">
        <f>'MATCH CALCS'!$G191*2</f>
        <v>0</v>
      </c>
      <c r="H190" s="6">
        <f>'MATCH CALCS'!$G191*2</f>
        <v>0</v>
      </c>
      <c r="I190" s="6">
        <f>'MATCH CALCS'!$G191*2</f>
        <v>0</v>
      </c>
      <c r="J190" s="154">
        <f t="shared" si="1"/>
        <v>0</v>
      </c>
      <c r="K190" s="6">
        <f>'MATCH CALCS'!L191*1</f>
        <v>0</v>
      </c>
      <c r="L190" s="6">
        <f>'MATCH CALCS'!$N191*2</f>
        <v>0</v>
      </c>
      <c r="M190" s="6">
        <f>'MATCH CALCS'!N191*1</f>
        <v>0</v>
      </c>
      <c r="N190" s="6">
        <f>'MATCH CALCS'!$N191*2</f>
        <v>0</v>
      </c>
      <c r="O190" s="6">
        <f>'MATCH CALCS'!$N191*2</f>
        <v>0</v>
      </c>
      <c r="P190" s="6">
        <f>'MATCH CALCS'!$P191*5</f>
        <v>0</v>
      </c>
      <c r="Q190" s="154">
        <f t="shared" si="2"/>
        <v>0</v>
      </c>
      <c r="R190" s="6">
        <f>'MATCH CALCS'!$AD191*1</f>
        <v>0</v>
      </c>
      <c r="S190" s="6">
        <f>'MATCH CALCS'!AC191*3</f>
        <v>0</v>
      </c>
      <c r="T190" s="6">
        <f>'MATCH CALCS'!AD191*3</f>
        <v>0</v>
      </c>
      <c r="U190" s="155">
        <f t="shared" si="3"/>
        <v>0</v>
      </c>
      <c r="V190" s="154">
        <f t="shared" si="4"/>
        <v>0</v>
      </c>
    </row>
    <row r="191" spans="1:22">
      <c r="A191" s="154">
        <f>'MATCH CALCS'!A192</f>
        <v>0</v>
      </c>
      <c r="B191" s="154">
        <f>'MATCH CALCS'!$C192</f>
        <v>0</v>
      </c>
      <c r="C191" s="154">
        <f t="shared" si="0"/>
        <v>0</v>
      </c>
      <c r="D191" s="6">
        <f>'MATCH CALCS'!$G192*2</f>
        <v>0</v>
      </c>
      <c r="E191" s="6">
        <f>'MATCH CALCS'!$G192*2</f>
        <v>0</v>
      </c>
      <c r="F191" s="6">
        <f>'MATCH CALCS'!$G192*2</f>
        <v>0</v>
      </c>
      <c r="G191" s="6">
        <f>'MATCH CALCS'!$G192*2</f>
        <v>0</v>
      </c>
      <c r="H191" s="6">
        <f>'MATCH CALCS'!$G192*2</f>
        <v>0</v>
      </c>
      <c r="I191" s="6">
        <f>'MATCH CALCS'!$G192*2</f>
        <v>0</v>
      </c>
      <c r="J191" s="154">
        <f t="shared" si="1"/>
        <v>0</v>
      </c>
      <c r="K191" s="6">
        <f>'MATCH CALCS'!L192*1</f>
        <v>0</v>
      </c>
      <c r="L191" s="6">
        <f>'MATCH CALCS'!$N192*2</f>
        <v>0</v>
      </c>
      <c r="M191" s="6">
        <f>'MATCH CALCS'!N192*1</f>
        <v>0</v>
      </c>
      <c r="N191" s="6">
        <f>'MATCH CALCS'!$N192*2</f>
        <v>0</v>
      </c>
      <c r="O191" s="6">
        <f>'MATCH CALCS'!$N192*2</f>
        <v>0</v>
      </c>
      <c r="P191" s="6">
        <f>'MATCH CALCS'!$P192*5</f>
        <v>0</v>
      </c>
      <c r="Q191" s="154">
        <f t="shared" si="2"/>
        <v>0</v>
      </c>
      <c r="R191" s="6">
        <f>'MATCH CALCS'!$AD192*1</f>
        <v>0</v>
      </c>
      <c r="S191" s="6">
        <f>'MATCH CALCS'!AC192*3</f>
        <v>0</v>
      </c>
      <c r="T191" s="6">
        <f>'MATCH CALCS'!AD192*3</f>
        <v>0</v>
      </c>
      <c r="U191" s="155">
        <f t="shared" si="3"/>
        <v>0</v>
      </c>
      <c r="V191" s="154">
        <f t="shared" si="4"/>
        <v>0</v>
      </c>
    </row>
    <row r="192" spans="1:22">
      <c r="A192" s="154">
        <f>'MATCH CALCS'!A193</f>
        <v>0</v>
      </c>
      <c r="B192" s="154">
        <f>'MATCH CALCS'!$C193</f>
        <v>0</v>
      </c>
      <c r="C192" s="154">
        <f t="shared" si="0"/>
        <v>0</v>
      </c>
      <c r="D192" s="6">
        <f>'MATCH CALCS'!$G193*2</f>
        <v>0</v>
      </c>
      <c r="E192" s="6">
        <f>'MATCH CALCS'!$G193*2</f>
        <v>0</v>
      </c>
      <c r="F192" s="6">
        <f>'MATCH CALCS'!$G193*2</f>
        <v>0</v>
      </c>
      <c r="G192" s="6">
        <f>'MATCH CALCS'!$G193*2</f>
        <v>0</v>
      </c>
      <c r="H192" s="6">
        <f>'MATCH CALCS'!$G193*2</f>
        <v>0</v>
      </c>
      <c r="I192" s="6">
        <f>'MATCH CALCS'!$G193*2</f>
        <v>0</v>
      </c>
      <c r="J192" s="154">
        <f t="shared" si="1"/>
        <v>0</v>
      </c>
      <c r="K192" s="6">
        <f>'MATCH CALCS'!L193*1</f>
        <v>0</v>
      </c>
      <c r="L192" s="6">
        <f>'MATCH CALCS'!$N193*2</f>
        <v>0</v>
      </c>
      <c r="M192" s="6">
        <f>'MATCH CALCS'!N193*1</f>
        <v>0</v>
      </c>
      <c r="N192" s="6">
        <f>'MATCH CALCS'!$N193*2</f>
        <v>0</v>
      </c>
      <c r="O192" s="6">
        <f>'MATCH CALCS'!$N193*2</f>
        <v>0</v>
      </c>
      <c r="P192" s="6">
        <f>'MATCH CALCS'!$P193*5</f>
        <v>0</v>
      </c>
      <c r="Q192" s="154">
        <f t="shared" si="2"/>
        <v>0</v>
      </c>
      <c r="R192" s="6">
        <f>'MATCH CALCS'!$AD193*1</f>
        <v>0</v>
      </c>
      <c r="S192" s="6">
        <f>'MATCH CALCS'!AC193*3</f>
        <v>0</v>
      </c>
      <c r="T192" s="6">
        <f>'MATCH CALCS'!AD193*3</f>
        <v>0</v>
      </c>
      <c r="U192" s="155">
        <f t="shared" si="3"/>
        <v>0</v>
      </c>
      <c r="V192" s="154">
        <f t="shared" si="4"/>
        <v>0</v>
      </c>
    </row>
    <row r="193" spans="1:22">
      <c r="A193" s="154">
        <f>'MATCH CALCS'!A194</f>
        <v>0</v>
      </c>
      <c r="B193" s="154">
        <f>'MATCH CALCS'!$C194</f>
        <v>0</v>
      </c>
      <c r="C193" s="154">
        <f t="shared" si="0"/>
        <v>0</v>
      </c>
      <c r="D193" s="6">
        <f>'MATCH CALCS'!$G194*2</f>
        <v>0</v>
      </c>
      <c r="E193" s="6">
        <f>'MATCH CALCS'!$G194*2</f>
        <v>0</v>
      </c>
      <c r="F193" s="6">
        <f>'MATCH CALCS'!$G194*2</f>
        <v>0</v>
      </c>
      <c r="G193" s="6">
        <f>'MATCH CALCS'!$G194*2</f>
        <v>0</v>
      </c>
      <c r="H193" s="6">
        <f>'MATCH CALCS'!$G194*2</f>
        <v>0</v>
      </c>
      <c r="I193" s="6">
        <f>'MATCH CALCS'!$G194*2</f>
        <v>0</v>
      </c>
      <c r="J193" s="154">
        <f t="shared" si="1"/>
        <v>0</v>
      </c>
      <c r="K193" s="6">
        <f>'MATCH CALCS'!L194*1</f>
        <v>0</v>
      </c>
      <c r="L193" s="6">
        <f>'MATCH CALCS'!$N194*2</f>
        <v>0</v>
      </c>
      <c r="M193" s="6">
        <f>'MATCH CALCS'!N194*1</f>
        <v>0</v>
      </c>
      <c r="N193" s="6">
        <f>'MATCH CALCS'!$N194*2</f>
        <v>0</v>
      </c>
      <c r="O193" s="6">
        <f>'MATCH CALCS'!$N194*2</f>
        <v>0</v>
      </c>
      <c r="P193" s="6">
        <f>'MATCH CALCS'!$P194*5</f>
        <v>0</v>
      </c>
      <c r="Q193" s="154">
        <f t="shared" si="2"/>
        <v>0</v>
      </c>
      <c r="R193" s="6">
        <f>'MATCH CALCS'!$AD194*1</f>
        <v>0</v>
      </c>
      <c r="S193" s="6">
        <f>'MATCH CALCS'!AC194*3</f>
        <v>0</v>
      </c>
      <c r="T193" s="6">
        <f>'MATCH CALCS'!AD194*3</f>
        <v>0</v>
      </c>
      <c r="U193" s="155">
        <f t="shared" si="3"/>
        <v>0</v>
      </c>
      <c r="V193" s="154">
        <f t="shared" si="4"/>
        <v>0</v>
      </c>
    </row>
    <row r="194" spans="1:22">
      <c r="A194" s="154">
        <f>'MATCH CALCS'!A195</f>
        <v>0</v>
      </c>
      <c r="B194" s="154">
        <f>'MATCH CALCS'!$C195</f>
        <v>0</v>
      </c>
      <c r="C194" s="154">
        <f t="shared" si="0"/>
        <v>0</v>
      </c>
      <c r="D194" s="6">
        <f>'MATCH CALCS'!$G195*2</f>
        <v>0</v>
      </c>
      <c r="E194" s="6">
        <f>'MATCH CALCS'!$G195*2</f>
        <v>0</v>
      </c>
      <c r="F194" s="6">
        <f>'MATCH CALCS'!$G195*2</f>
        <v>0</v>
      </c>
      <c r="G194" s="6">
        <f>'MATCH CALCS'!$G195*2</f>
        <v>0</v>
      </c>
      <c r="H194" s="6">
        <f>'MATCH CALCS'!$G195*2</f>
        <v>0</v>
      </c>
      <c r="I194" s="6">
        <f>'MATCH CALCS'!$G195*2</f>
        <v>0</v>
      </c>
      <c r="J194" s="154">
        <f t="shared" si="1"/>
        <v>0</v>
      </c>
      <c r="K194" s="6">
        <f>'MATCH CALCS'!L195*1</f>
        <v>0</v>
      </c>
      <c r="L194" s="6">
        <f>'MATCH CALCS'!$N195*2</f>
        <v>0</v>
      </c>
      <c r="M194" s="6">
        <f>'MATCH CALCS'!N195*1</f>
        <v>0</v>
      </c>
      <c r="N194" s="6">
        <f>'MATCH CALCS'!$N195*2</f>
        <v>0</v>
      </c>
      <c r="O194" s="6">
        <f>'MATCH CALCS'!$N195*2</f>
        <v>0</v>
      </c>
      <c r="P194" s="6">
        <f>'MATCH CALCS'!$P195*5</f>
        <v>0</v>
      </c>
      <c r="Q194" s="154">
        <f t="shared" si="2"/>
        <v>0</v>
      </c>
      <c r="R194" s="6">
        <f>'MATCH CALCS'!$AD195*1</f>
        <v>0</v>
      </c>
      <c r="S194" s="6">
        <f>'MATCH CALCS'!AC195*3</f>
        <v>0</v>
      </c>
      <c r="T194" s="6">
        <f>'MATCH CALCS'!AD195*3</f>
        <v>0</v>
      </c>
      <c r="U194" s="155">
        <f t="shared" si="3"/>
        <v>0</v>
      </c>
      <c r="V194" s="154">
        <f t="shared" si="4"/>
        <v>0</v>
      </c>
    </row>
    <row r="195" spans="1:22">
      <c r="A195" s="154">
        <f>'MATCH CALCS'!A196</f>
        <v>0</v>
      </c>
      <c r="B195" s="154">
        <f>'MATCH CALCS'!$C196</f>
        <v>0</v>
      </c>
      <c r="C195" s="154">
        <f t="shared" si="0"/>
        <v>0</v>
      </c>
      <c r="D195" s="6">
        <f>'MATCH CALCS'!$G196*2</f>
        <v>0</v>
      </c>
      <c r="E195" s="6">
        <f>'MATCH CALCS'!$G196*2</f>
        <v>0</v>
      </c>
      <c r="F195" s="6">
        <f>'MATCH CALCS'!$G196*2</f>
        <v>0</v>
      </c>
      <c r="G195" s="6">
        <f>'MATCH CALCS'!$G196*2</f>
        <v>0</v>
      </c>
      <c r="H195" s="6">
        <f>'MATCH CALCS'!$G196*2</f>
        <v>0</v>
      </c>
      <c r="I195" s="6">
        <f>'MATCH CALCS'!$G196*2</f>
        <v>0</v>
      </c>
      <c r="J195" s="154">
        <f t="shared" si="1"/>
        <v>0</v>
      </c>
      <c r="K195" s="6">
        <f>'MATCH CALCS'!L196*1</f>
        <v>0</v>
      </c>
      <c r="L195" s="6">
        <f>'MATCH CALCS'!$N196*2</f>
        <v>0</v>
      </c>
      <c r="M195" s="6">
        <f>'MATCH CALCS'!N196*1</f>
        <v>0</v>
      </c>
      <c r="N195" s="6">
        <f>'MATCH CALCS'!$N196*2</f>
        <v>0</v>
      </c>
      <c r="O195" s="6">
        <f>'MATCH CALCS'!$N196*2</f>
        <v>0</v>
      </c>
      <c r="P195" s="6">
        <f>'MATCH CALCS'!$P196*5</f>
        <v>0</v>
      </c>
      <c r="Q195" s="154">
        <f t="shared" si="2"/>
        <v>0</v>
      </c>
      <c r="R195" s="6">
        <f>'MATCH CALCS'!$AD196*1</f>
        <v>0</v>
      </c>
      <c r="S195" s="6">
        <f>'MATCH CALCS'!AC196*3</f>
        <v>0</v>
      </c>
      <c r="T195" s="6">
        <f>'MATCH CALCS'!AD196*3</f>
        <v>0</v>
      </c>
      <c r="U195" s="155">
        <f t="shared" si="3"/>
        <v>0</v>
      </c>
      <c r="V195" s="154">
        <f t="shared" si="4"/>
        <v>0</v>
      </c>
    </row>
    <row r="196" spans="1:22">
      <c r="A196" s="154">
        <f>'MATCH CALCS'!A197</f>
        <v>0</v>
      </c>
      <c r="B196" s="154">
        <f>'MATCH CALCS'!$C197</f>
        <v>0</v>
      </c>
      <c r="C196" s="154">
        <f t="shared" si="0"/>
        <v>0</v>
      </c>
      <c r="D196" s="6">
        <f>'MATCH CALCS'!$G197*2</f>
        <v>0</v>
      </c>
      <c r="E196" s="6">
        <f>'MATCH CALCS'!$G197*2</f>
        <v>0</v>
      </c>
      <c r="F196" s="6">
        <f>'MATCH CALCS'!$G197*2</f>
        <v>0</v>
      </c>
      <c r="G196" s="6">
        <f>'MATCH CALCS'!$G197*2</f>
        <v>0</v>
      </c>
      <c r="H196" s="6">
        <f>'MATCH CALCS'!$G197*2</f>
        <v>0</v>
      </c>
      <c r="I196" s="6">
        <f>'MATCH CALCS'!$G197*2</f>
        <v>0</v>
      </c>
      <c r="J196" s="154">
        <f t="shared" si="1"/>
        <v>0</v>
      </c>
      <c r="K196" s="6">
        <f>'MATCH CALCS'!L197*1</f>
        <v>0</v>
      </c>
      <c r="L196" s="6">
        <f>'MATCH CALCS'!$N197*2</f>
        <v>0</v>
      </c>
      <c r="M196" s="6">
        <f>'MATCH CALCS'!N197*1</f>
        <v>0</v>
      </c>
      <c r="N196" s="6">
        <f>'MATCH CALCS'!$N197*2</f>
        <v>0</v>
      </c>
      <c r="O196" s="6">
        <f>'MATCH CALCS'!$N197*2</f>
        <v>0</v>
      </c>
      <c r="P196" s="6">
        <f>'MATCH CALCS'!$P197*5</f>
        <v>0</v>
      </c>
      <c r="Q196" s="154">
        <f t="shared" si="2"/>
        <v>0</v>
      </c>
      <c r="R196" s="6">
        <f>'MATCH CALCS'!$AD197*1</f>
        <v>0</v>
      </c>
      <c r="S196" s="6">
        <f>'MATCH CALCS'!AC197*3</f>
        <v>0</v>
      </c>
      <c r="T196" s="6">
        <f>'MATCH CALCS'!AD197*3</f>
        <v>0</v>
      </c>
      <c r="U196" s="155">
        <f t="shared" si="3"/>
        <v>0</v>
      </c>
      <c r="V196" s="154">
        <f t="shared" si="4"/>
        <v>0</v>
      </c>
    </row>
    <row r="197" spans="1:22">
      <c r="A197" s="154">
        <f>'MATCH CALCS'!A198</f>
        <v>0</v>
      </c>
      <c r="B197" s="154">
        <f>'MATCH CALCS'!$C198</f>
        <v>0</v>
      </c>
      <c r="C197" s="154">
        <f t="shared" si="0"/>
        <v>0</v>
      </c>
      <c r="D197" s="6">
        <f>'MATCH CALCS'!$G198*2</f>
        <v>0</v>
      </c>
      <c r="E197" s="6">
        <f>'MATCH CALCS'!$G198*2</f>
        <v>0</v>
      </c>
      <c r="F197" s="6">
        <f>'MATCH CALCS'!$G198*2</f>
        <v>0</v>
      </c>
      <c r="G197" s="6">
        <f>'MATCH CALCS'!$G198*2</f>
        <v>0</v>
      </c>
      <c r="H197" s="6">
        <f>'MATCH CALCS'!$G198*2</f>
        <v>0</v>
      </c>
      <c r="I197" s="6">
        <f>'MATCH CALCS'!$G198*2</f>
        <v>0</v>
      </c>
      <c r="J197" s="154">
        <f t="shared" si="1"/>
        <v>0</v>
      </c>
      <c r="K197" s="6">
        <f>'MATCH CALCS'!L198*1</f>
        <v>0</v>
      </c>
      <c r="L197" s="6">
        <f>'MATCH CALCS'!$N198*2</f>
        <v>0</v>
      </c>
      <c r="M197" s="6">
        <f>'MATCH CALCS'!N198*1</f>
        <v>0</v>
      </c>
      <c r="N197" s="6">
        <f>'MATCH CALCS'!$N198*2</f>
        <v>0</v>
      </c>
      <c r="O197" s="6">
        <f>'MATCH CALCS'!$N198*2</f>
        <v>0</v>
      </c>
      <c r="P197" s="6">
        <f>'MATCH CALCS'!$P198*5</f>
        <v>0</v>
      </c>
      <c r="Q197" s="154">
        <f t="shared" si="2"/>
        <v>0</v>
      </c>
      <c r="R197" s="6">
        <f>'MATCH CALCS'!$AD198*1</f>
        <v>0</v>
      </c>
      <c r="S197" s="6">
        <f>'MATCH CALCS'!AC198*3</f>
        <v>0</v>
      </c>
      <c r="T197" s="6">
        <f>'MATCH CALCS'!AD198*3</f>
        <v>0</v>
      </c>
      <c r="U197" s="155">
        <f t="shared" si="3"/>
        <v>0</v>
      </c>
      <c r="V197" s="154">
        <f t="shared" si="4"/>
        <v>0</v>
      </c>
    </row>
    <row r="198" spans="1:22">
      <c r="A198" s="154">
        <f>'MATCH CALCS'!A199</f>
        <v>0</v>
      </c>
      <c r="B198" s="154">
        <f>'MATCH CALCS'!$C199</f>
        <v>0</v>
      </c>
      <c r="C198" s="154">
        <f t="shared" si="0"/>
        <v>0</v>
      </c>
      <c r="D198" s="6">
        <f>'MATCH CALCS'!$G199*2</f>
        <v>0</v>
      </c>
      <c r="E198" s="6">
        <f>'MATCH CALCS'!$G199*2</f>
        <v>0</v>
      </c>
      <c r="F198" s="6">
        <f>'MATCH CALCS'!$G199*2</f>
        <v>0</v>
      </c>
      <c r="G198" s="6">
        <f>'MATCH CALCS'!$G199*2</f>
        <v>0</v>
      </c>
      <c r="H198" s="6">
        <f>'MATCH CALCS'!$G199*2</f>
        <v>0</v>
      </c>
      <c r="I198" s="6">
        <f>'MATCH CALCS'!$G199*2</f>
        <v>0</v>
      </c>
      <c r="J198" s="154">
        <f t="shared" si="1"/>
        <v>0</v>
      </c>
      <c r="K198" s="6">
        <f>'MATCH CALCS'!L199*1</f>
        <v>0</v>
      </c>
      <c r="L198" s="6">
        <f>'MATCH CALCS'!$N199*2</f>
        <v>0</v>
      </c>
      <c r="M198" s="6">
        <f>'MATCH CALCS'!N199*1</f>
        <v>0</v>
      </c>
      <c r="N198" s="6">
        <f>'MATCH CALCS'!$N199*2</f>
        <v>0</v>
      </c>
      <c r="O198" s="6">
        <f>'MATCH CALCS'!$N199*2</f>
        <v>0</v>
      </c>
      <c r="P198" s="6">
        <f>'MATCH CALCS'!$P199*5</f>
        <v>0</v>
      </c>
      <c r="Q198" s="154">
        <f t="shared" si="2"/>
        <v>0</v>
      </c>
      <c r="R198" s="6">
        <f>'MATCH CALCS'!$AD199*1</f>
        <v>0</v>
      </c>
      <c r="S198" s="6">
        <f>'MATCH CALCS'!AC199*3</f>
        <v>0</v>
      </c>
      <c r="T198" s="6">
        <f>'MATCH CALCS'!AD199*3</f>
        <v>0</v>
      </c>
      <c r="U198" s="155">
        <f t="shared" si="3"/>
        <v>0</v>
      </c>
      <c r="V198" s="154">
        <f t="shared" si="4"/>
        <v>0</v>
      </c>
    </row>
    <row r="199" spans="1:22">
      <c r="A199" s="154">
        <f>'MATCH CALCS'!A200</f>
        <v>0</v>
      </c>
      <c r="B199" s="154">
        <f>'MATCH CALCS'!$C200</f>
        <v>0</v>
      </c>
      <c r="C199" s="154">
        <f t="shared" si="0"/>
        <v>0</v>
      </c>
      <c r="D199" s="6">
        <f>'MATCH CALCS'!$G200*2</f>
        <v>0</v>
      </c>
      <c r="E199" s="6">
        <f>'MATCH CALCS'!$G200*2</f>
        <v>0</v>
      </c>
      <c r="F199" s="6">
        <f>'MATCH CALCS'!$G200*2</f>
        <v>0</v>
      </c>
      <c r="G199" s="6">
        <f>'MATCH CALCS'!$G200*2</f>
        <v>0</v>
      </c>
      <c r="H199" s="6">
        <f>'MATCH CALCS'!$G200*2</f>
        <v>0</v>
      </c>
      <c r="I199" s="6">
        <f>'MATCH CALCS'!$G200*2</f>
        <v>0</v>
      </c>
      <c r="J199" s="154">
        <f t="shared" si="1"/>
        <v>0</v>
      </c>
      <c r="K199" s="6">
        <f>'MATCH CALCS'!L200*1</f>
        <v>0</v>
      </c>
      <c r="L199" s="6">
        <f>'MATCH CALCS'!$N200*2</f>
        <v>0</v>
      </c>
      <c r="M199" s="6">
        <f>'MATCH CALCS'!N200*1</f>
        <v>0</v>
      </c>
      <c r="N199" s="6">
        <f>'MATCH CALCS'!$N200*2</f>
        <v>0</v>
      </c>
      <c r="O199" s="6">
        <f>'MATCH CALCS'!$N200*2</f>
        <v>0</v>
      </c>
      <c r="P199" s="6">
        <f>'MATCH CALCS'!$P200*5</f>
        <v>0</v>
      </c>
      <c r="Q199" s="154">
        <f t="shared" si="2"/>
        <v>0</v>
      </c>
      <c r="R199" s="6">
        <f>'MATCH CALCS'!$AD200*1</f>
        <v>0</v>
      </c>
      <c r="S199" s="6">
        <f>'MATCH CALCS'!AC200*3</f>
        <v>0</v>
      </c>
      <c r="T199" s="6">
        <f>'MATCH CALCS'!AD200*3</f>
        <v>0</v>
      </c>
      <c r="U199" s="155">
        <f t="shared" si="3"/>
        <v>0</v>
      </c>
      <c r="V199" s="154">
        <f t="shared" si="4"/>
        <v>0</v>
      </c>
    </row>
    <row r="200" spans="1:22">
      <c r="A200" s="154">
        <f>'MATCH CALCS'!A201</f>
        <v>0</v>
      </c>
      <c r="B200" s="154">
        <f>'MATCH CALCS'!$C201</f>
        <v>0</v>
      </c>
      <c r="C200" s="154">
        <f t="shared" si="0"/>
        <v>0</v>
      </c>
      <c r="D200" s="6">
        <f>'MATCH CALCS'!$G201*2</f>
        <v>0</v>
      </c>
      <c r="E200" s="6">
        <f>'MATCH CALCS'!$G201*2</f>
        <v>0</v>
      </c>
      <c r="F200" s="6">
        <f>'MATCH CALCS'!$G201*2</f>
        <v>0</v>
      </c>
      <c r="G200" s="6">
        <f>'MATCH CALCS'!$G201*2</f>
        <v>0</v>
      </c>
      <c r="H200" s="6">
        <f>'MATCH CALCS'!$G201*2</f>
        <v>0</v>
      </c>
      <c r="I200" s="6">
        <f>'MATCH CALCS'!$G201*2</f>
        <v>0</v>
      </c>
      <c r="J200" s="154">
        <f t="shared" si="1"/>
        <v>0</v>
      </c>
      <c r="K200" s="6">
        <f>'MATCH CALCS'!L201*1</f>
        <v>0</v>
      </c>
      <c r="L200" s="6">
        <f>'MATCH CALCS'!$N201*2</f>
        <v>0</v>
      </c>
      <c r="M200" s="6">
        <f>'MATCH CALCS'!N201*1</f>
        <v>0</v>
      </c>
      <c r="N200" s="6">
        <f>'MATCH CALCS'!$N201*2</f>
        <v>0</v>
      </c>
      <c r="O200" s="6">
        <f>'MATCH CALCS'!$N201*2</f>
        <v>0</v>
      </c>
      <c r="P200" s="6">
        <f>'MATCH CALCS'!$P201*5</f>
        <v>0</v>
      </c>
      <c r="Q200" s="154">
        <f t="shared" si="2"/>
        <v>0</v>
      </c>
      <c r="R200" s="6">
        <f>'MATCH CALCS'!$AD201*1</f>
        <v>0</v>
      </c>
      <c r="S200" s="6">
        <f>'MATCH CALCS'!AC201*3</f>
        <v>0</v>
      </c>
      <c r="T200" s="6">
        <f>'MATCH CALCS'!AD201*3</f>
        <v>0</v>
      </c>
      <c r="U200" s="155">
        <f t="shared" si="3"/>
        <v>0</v>
      </c>
      <c r="V200" s="154">
        <f t="shared" si="4"/>
        <v>0</v>
      </c>
    </row>
    <row r="201" spans="1:22">
      <c r="A201" s="154">
        <f>'MATCH CALCS'!A202</f>
        <v>0</v>
      </c>
      <c r="B201" s="154">
        <f>'MATCH CALCS'!$C202</f>
        <v>0</v>
      </c>
      <c r="C201" s="154">
        <f t="shared" si="0"/>
        <v>0</v>
      </c>
      <c r="D201" s="6">
        <f>'MATCH CALCS'!$G202*2</f>
        <v>0</v>
      </c>
      <c r="E201" s="6">
        <f>'MATCH CALCS'!$G202*2</f>
        <v>0</v>
      </c>
      <c r="F201" s="6">
        <f>'MATCH CALCS'!$G202*2</f>
        <v>0</v>
      </c>
      <c r="G201" s="6">
        <f>'MATCH CALCS'!$G202*2</f>
        <v>0</v>
      </c>
      <c r="H201" s="6">
        <f>'MATCH CALCS'!$G202*2</f>
        <v>0</v>
      </c>
      <c r="I201" s="6">
        <f>'MATCH CALCS'!$G202*2</f>
        <v>0</v>
      </c>
      <c r="J201" s="154">
        <f t="shared" si="1"/>
        <v>0</v>
      </c>
      <c r="K201" s="6">
        <f>'MATCH CALCS'!L202*1</f>
        <v>0</v>
      </c>
      <c r="L201" s="6">
        <f>'MATCH CALCS'!$N202*2</f>
        <v>0</v>
      </c>
      <c r="M201" s="6">
        <f>'MATCH CALCS'!N202*1</f>
        <v>0</v>
      </c>
      <c r="N201" s="6">
        <f>'MATCH CALCS'!$N202*2</f>
        <v>0</v>
      </c>
      <c r="O201" s="6">
        <f>'MATCH CALCS'!$N202*2</f>
        <v>0</v>
      </c>
      <c r="P201" s="6">
        <f>'MATCH CALCS'!$P202*5</f>
        <v>0</v>
      </c>
      <c r="Q201" s="154">
        <f t="shared" si="2"/>
        <v>0</v>
      </c>
      <c r="R201" s="6">
        <f>'MATCH CALCS'!$AD202*1</f>
        <v>0</v>
      </c>
      <c r="S201" s="6">
        <f>'MATCH CALCS'!AC202*3</f>
        <v>0</v>
      </c>
      <c r="T201" s="6">
        <f>'MATCH CALCS'!AD202*3</f>
        <v>0</v>
      </c>
      <c r="U201" s="155">
        <f t="shared" si="3"/>
        <v>0</v>
      </c>
      <c r="V201" s="154">
        <f t="shared" si="4"/>
        <v>0</v>
      </c>
    </row>
    <row r="202" spans="1:22">
      <c r="A202" s="154">
        <f>'MATCH CALCS'!A203</f>
        <v>0</v>
      </c>
      <c r="B202" s="154">
        <f>'MATCH CALCS'!$C203</f>
        <v>0</v>
      </c>
      <c r="C202" s="154">
        <f t="shared" si="0"/>
        <v>0</v>
      </c>
      <c r="D202" s="6">
        <f>'MATCH CALCS'!$G203*2</f>
        <v>0</v>
      </c>
      <c r="E202" s="6">
        <f>'MATCH CALCS'!$G203*2</f>
        <v>0</v>
      </c>
      <c r="F202" s="6">
        <f>'MATCH CALCS'!$G203*2</f>
        <v>0</v>
      </c>
      <c r="G202" s="6">
        <f>'MATCH CALCS'!$G203*2</f>
        <v>0</v>
      </c>
      <c r="H202" s="6">
        <f>'MATCH CALCS'!$G203*2</f>
        <v>0</v>
      </c>
      <c r="I202" s="6">
        <f>'MATCH CALCS'!$G203*2</f>
        <v>0</v>
      </c>
      <c r="J202" s="154">
        <f t="shared" si="1"/>
        <v>0</v>
      </c>
      <c r="K202" s="6">
        <f>'MATCH CALCS'!L203*1</f>
        <v>0</v>
      </c>
      <c r="L202" s="6">
        <f>'MATCH CALCS'!$N203*2</f>
        <v>0</v>
      </c>
      <c r="M202" s="6">
        <f>'MATCH CALCS'!N203*1</f>
        <v>0</v>
      </c>
      <c r="N202" s="6">
        <f>'MATCH CALCS'!$N203*2</f>
        <v>0</v>
      </c>
      <c r="O202" s="6">
        <f>'MATCH CALCS'!$N203*2</f>
        <v>0</v>
      </c>
      <c r="P202" s="6">
        <f>'MATCH CALCS'!$P203*5</f>
        <v>0</v>
      </c>
      <c r="Q202" s="154">
        <f t="shared" si="2"/>
        <v>0</v>
      </c>
      <c r="R202" s="6">
        <f>'MATCH CALCS'!$AD203*1</f>
        <v>0</v>
      </c>
      <c r="S202" s="6">
        <f>'MATCH CALCS'!AC203*3</f>
        <v>0</v>
      </c>
      <c r="T202" s="6">
        <f>'MATCH CALCS'!AD203*3</f>
        <v>0</v>
      </c>
      <c r="U202" s="155">
        <f t="shared" si="3"/>
        <v>0</v>
      </c>
      <c r="V202" s="154">
        <f t="shared" si="4"/>
        <v>0</v>
      </c>
    </row>
    <row r="203" spans="1:22">
      <c r="A203" s="154">
        <f>'MATCH CALCS'!A204</f>
        <v>0</v>
      </c>
      <c r="B203" s="154">
        <f>'MATCH CALCS'!$C204</f>
        <v>0</v>
      </c>
      <c r="C203" s="154">
        <f t="shared" si="0"/>
        <v>0</v>
      </c>
      <c r="D203" s="6">
        <f>'MATCH CALCS'!$G204*2</f>
        <v>0</v>
      </c>
      <c r="E203" s="6">
        <f>'MATCH CALCS'!$G204*2</f>
        <v>0</v>
      </c>
      <c r="F203" s="6">
        <f>'MATCH CALCS'!$G204*2</f>
        <v>0</v>
      </c>
      <c r="G203" s="6">
        <f>'MATCH CALCS'!$G204*2</f>
        <v>0</v>
      </c>
      <c r="H203" s="6">
        <f>'MATCH CALCS'!$G204*2</f>
        <v>0</v>
      </c>
      <c r="I203" s="6">
        <f>'MATCH CALCS'!$G204*2</f>
        <v>0</v>
      </c>
      <c r="J203" s="154">
        <f t="shared" si="1"/>
        <v>0</v>
      </c>
      <c r="K203" s="6">
        <f>'MATCH CALCS'!L204*1</f>
        <v>0</v>
      </c>
      <c r="L203" s="6">
        <f>'MATCH CALCS'!$N204*2</f>
        <v>0</v>
      </c>
      <c r="M203" s="6">
        <f>'MATCH CALCS'!N204*1</f>
        <v>0</v>
      </c>
      <c r="N203" s="6">
        <f>'MATCH CALCS'!$N204*2</f>
        <v>0</v>
      </c>
      <c r="O203" s="6">
        <f>'MATCH CALCS'!$N204*2</f>
        <v>0</v>
      </c>
      <c r="P203" s="6">
        <f>'MATCH CALCS'!$P204*5</f>
        <v>0</v>
      </c>
      <c r="Q203" s="154">
        <f t="shared" si="2"/>
        <v>0</v>
      </c>
      <c r="R203" s="6">
        <f>'MATCH CALCS'!$AD204*1</f>
        <v>0</v>
      </c>
      <c r="S203" s="6">
        <f>'MATCH CALCS'!AC204*3</f>
        <v>0</v>
      </c>
      <c r="T203" s="6">
        <f>'MATCH CALCS'!AD204*3</f>
        <v>0</v>
      </c>
      <c r="U203" s="155">
        <f t="shared" si="3"/>
        <v>0</v>
      </c>
      <c r="V203" s="154">
        <f t="shared" si="4"/>
        <v>0</v>
      </c>
    </row>
    <row r="204" spans="1:22">
      <c r="A204" s="154">
        <f>'MATCH CALCS'!A205</f>
        <v>0</v>
      </c>
      <c r="B204" s="154">
        <f>'MATCH CALCS'!$C205</f>
        <v>0</v>
      </c>
      <c r="C204" s="154">
        <f t="shared" si="0"/>
        <v>0</v>
      </c>
      <c r="D204" s="6">
        <f>'MATCH CALCS'!$G205*2</f>
        <v>0</v>
      </c>
      <c r="E204" s="6">
        <f>'MATCH CALCS'!$G205*2</f>
        <v>0</v>
      </c>
      <c r="F204" s="6">
        <f>'MATCH CALCS'!$G205*2</f>
        <v>0</v>
      </c>
      <c r="G204" s="6">
        <f>'MATCH CALCS'!$G205*2</f>
        <v>0</v>
      </c>
      <c r="H204" s="6">
        <f>'MATCH CALCS'!$G205*2</f>
        <v>0</v>
      </c>
      <c r="I204" s="6">
        <f>'MATCH CALCS'!$G205*2</f>
        <v>0</v>
      </c>
      <c r="J204" s="154">
        <f t="shared" si="1"/>
        <v>0</v>
      </c>
      <c r="K204" s="6">
        <f>'MATCH CALCS'!L205*1</f>
        <v>0</v>
      </c>
      <c r="L204" s="6">
        <f>'MATCH CALCS'!$N205*2</f>
        <v>0</v>
      </c>
      <c r="M204" s="6">
        <f>'MATCH CALCS'!N205*1</f>
        <v>0</v>
      </c>
      <c r="N204" s="6">
        <f>'MATCH CALCS'!$N205*2</f>
        <v>0</v>
      </c>
      <c r="O204" s="6">
        <f>'MATCH CALCS'!$N205*2</f>
        <v>0</v>
      </c>
      <c r="P204" s="6">
        <f>'MATCH CALCS'!$P205*5</f>
        <v>0</v>
      </c>
      <c r="Q204" s="154">
        <f t="shared" si="2"/>
        <v>0</v>
      </c>
      <c r="R204" s="6">
        <f>'MATCH CALCS'!$AD205*1</f>
        <v>0</v>
      </c>
      <c r="S204" s="6">
        <f>'MATCH CALCS'!AC205*3</f>
        <v>0</v>
      </c>
      <c r="T204" s="6">
        <f>'MATCH CALCS'!AD205*3</f>
        <v>0</v>
      </c>
      <c r="U204" s="155">
        <f t="shared" si="3"/>
        <v>0</v>
      </c>
      <c r="V204" s="154">
        <f t="shared" si="4"/>
        <v>0</v>
      </c>
    </row>
    <row r="205" spans="1:22">
      <c r="A205" s="154">
        <f>'MATCH CALCS'!A206</f>
        <v>0</v>
      </c>
      <c r="B205" s="154">
        <f>'MATCH CALCS'!$C206</f>
        <v>0</v>
      </c>
      <c r="C205" s="154">
        <f t="shared" si="0"/>
        <v>0</v>
      </c>
      <c r="D205" s="6">
        <f>'MATCH CALCS'!$G206*2</f>
        <v>0</v>
      </c>
      <c r="E205" s="6">
        <f>'MATCH CALCS'!$G206*2</f>
        <v>0</v>
      </c>
      <c r="F205" s="6">
        <f>'MATCH CALCS'!$G206*2</f>
        <v>0</v>
      </c>
      <c r="G205" s="6">
        <f>'MATCH CALCS'!$G206*2</f>
        <v>0</v>
      </c>
      <c r="H205" s="6">
        <f>'MATCH CALCS'!$G206*2</f>
        <v>0</v>
      </c>
      <c r="I205" s="6">
        <f>'MATCH CALCS'!$G206*2</f>
        <v>0</v>
      </c>
      <c r="J205" s="154">
        <f t="shared" si="1"/>
        <v>0</v>
      </c>
      <c r="K205" s="6">
        <f>'MATCH CALCS'!L206*1</f>
        <v>0</v>
      </c>
      <c r="L205" s="6">
        <f>'MATCH CALCS'!$N206*2</f>
        <v>0</v>
      </c>
      <c r="M205" s="6">
        <f>'MATCH CALCS'!N206*1</f>
        <v>0</v>
      </c>
      <c r="N205" s="6">
        <f>'MATCH CALCS'!$N206*2</f>
        <v>0</v>
      </c>
      <c r="O205" s="6">
        <f>'MATCH CALCS'!$N206*2</f>
        <v>0</v>
      </c>
      <c r="P205" s="6">
        <f>'MATCH CALCS'!$P206*5</f>
        <v>0</v>
      </c>
      <c r="Q205" s="154">
        <f t="shared" si="2"/>
        <v>0</v>
      </c>
      <c r="R205" s="6">
        <f>'MATCH CALCS'!$AD206*1</f>
        <v>0</v>
      </c>
      <c r="S205" s="6">
        <f>'MATCH CALCS'!AC206*3</f>
        <v>0</v>
      </c>
      <c r="T205" s="6">
        <f>'MATCH CALCS'!AD206*3</f>
        <v>0</v>
      </c>
      <c r="U205" s="155">
        <f t="shared" si="3"/>
        <v>0</v>
      </c>
      <c r="V205" s="154">
        <f t="shared" si="4"/>
        <v>0</v>
      </c>
    </row>
    <row r="206" spans="1:22">
      <c r="A206" s="154">
        <f>'MATCH CALCS'!A207</f>
        <v>0</v>
      </c>
      <c r="B206" s="154">
        <f>'MATCH CALCS'!$C207</f>
        <v>0</v>
      </c>
      <c r="C206" s="154">
        <f t="shared" si="0"/>
        <v>0</v>
      </c>
      <c r="D206" s="6">
        <f>'MATCH CALCS'!$G207*2</f>
        <v>0</v>
      </c>
      <c r="E206" s="6">
        <f>'MATCH CALCS'!$G207*2</f>
        <v>0</v>
      </c>
      <c r="F206" s="6">
        <f>'MATCH CALCS'!$G207*2</f>
        <v>0</v>
      </c>
      <c r="G206" s="6">
        <f>'MATCH CALCS'!$G207*2</f>
        <v>0</v>
      </c>
      <c r="H206" s="6">
        <f>'MATCH CALCS'!$G207*2</f>
        <v>0</v>
      </c>
      <c r="I206" s="6">
        <f>'MATCH CALCS'!$G207*2</f>
        <v>0</v>
      </c>
      <c r="J206" s="154">
        <f t="shared" si="1"/>
        <v>0</v>
      </c>
      <c r="K206" s="6">
        <f>'MATCH CALCS'!L207*1</f>
        <v>0</v>
      </c>
      <c r="L206" s="6">
        <f>'MATCH CALCS'!$N207*2</f>
        <v>0</v>
      </c>
      <c r="M206" s="6">
        <f>'MATCH CALCS'!N207*1</f>
        <v>0</v>
      </c>
      <c r="N206" s="6">
        <f>'MATCH CALCS'!$N207*2</f>
        <v>0</v>
      </c>
      <c r="O206" s="6">
        <f>'MATCH CALCS'!$N207*2</f>
        <v>0</v>
      </c>
      <c r="P206" s="6">
        <f>'MATCH CALCS'!$P207*5</f>
        <v>0</v>
      </c>
      <c r="Q206" s="154">
        <f t="shared" si="2"/>
        <v>0</v>
      </c>
      <c r="R206" s="6">
        <f>'MATCH CALCS'!$AD207*1</f>
        <v>0</v>
      </c>
      <c r="S206" s="6">
        <f>'MATCH CALCS'!AC207*3</f>
        <v>0</v>
      </c>
      <c r="T206" s="6">
        <f>'MATCH CALCS'!AD207*3</f>
        <v>0</v>
      </c>
      <c r="U206" s="155">
        <f t="shared" si="3"/>
        <v>0</v>
      </c>
      <c r="V206" s="154">
        <f t="shared" si="4"/>
        <v>0</v>
      </c>
    </row>
    <row r="207" spans="1:22">
      <c r="A207" s="154">
        <f>'MATCH CALCS'!A208</f>
        <v>0</v>
      </c>
      <c r="B207" s="154">
        <f>'MATCH CALCS'!$C208</f>
        <v>0</v>
      </c>
      <c r="C207" s="154">
        <f t="shared" si="0"/>
        <v>0</v>
      </c>
      <c r="D207" s="6">
        <f>'MATCH CALCS'!$G208*2</f>
        <v>0</v>
      </c>
      <c r="E207" s="6">
        <f>'MATCH CALCS'!$G208*2</f>
        <v>0</v>
      </c>
      <c r="F207" s="6">
        <f>'MATCH CALCS'!$G208*2</f>
        <v>0</v>
      </c>
      <c r="G207" s="6">
        <f>'MATCH CALCS'!$G208*2</f>
        <v>0</v>
      </c>
      <c r="H207" s="6">
        <f>'MATCH CALCS'!$G208*2</f>
        <v>0</v>
      </c>
      <c r="I207" s="6">
        <f>'MATCH CALCS'!$G208*2</f>
        <v>0</v>
      </c>
      <c r="J207" s="154">
        <f t="shared" si="1"/>
        <v>0</v>
      </c>
      <c r="K207" s="6">
        <f>'MATCH CALCS'!L208*1</f>
        <v>0</v>
      </c>
      <c r="L207" s="6">
        <f>'MATCH CALCS'!$N208*2</f>
        <v>0</v>
      </c>
      <c r="M207" s="6">
        <f>'MATCH CALCS'!N208*1</f>
        <v>0</v>
      </c>
      <c r="N207" s="6">
        <f>'MATCH CALCS'!$N208*2</f>
        <v>0</v>
      </c>
      <c r="O207" s="6">
        <f>'MATCH CALCS'!$N208*2</f>
        <v>0</v>
      </c>
      <c r="P207" s="6">
        <f>'MATCH CALCS'!$P208*5</f>
        <v>0</v>
      </c>
      <c r="Q207" s="154">
        <f t="shared" si="2"/>
        <v>0</v>
      </c>
      <c r="R207" s="6">
        <f>'MATCH CALCS'!$AD208*1</f>
        <v>0</v>
      </c>
      <c r="S207" s="6">
        <f>'MATCH CALCS'!AC208*3</f>
        <v>0</v>
      </c>
      <c r="T207" s="6">
        <f>'MATCH CALCS'!AD208*3</f>
        <v>0</v>
      </c>
      <c r="U207" s="155">
        <f t="shared" si="3"/>
        <v>0</v>
      </c>
      <c r="V207" s="154">
        <f t="shared" si="4"/>
        <v>0</v>
      </c>
    </row>
    <row r="208" spans="1:22">
      <c r="A208" s="154">
        <f>'MATCH CALCS'!A209</f>
        <v>0</v>
      </c>
      <c r="B208" s="154">
        <f>'MATCH CALCS'!$C209</f>
        <v>0</v>
      </c>
      <c r="C208" s="154">
        <f t="shared" si="0"/>
        <v>0</v>
      </c>
      <c r="D208" s="6">
        <f>'MATCH CALCS'!$G209*2</f>
        <v>0</v>
      </c>
      <c r="E208" s="6">
        <f>'MATCH CALCS'!$G209*2</f>
        <v>0</v>
      </c>
      <c r="F208" s="6">
        <f>'MATCH CALCS'!$G209*2</f>
        <v>0</v>
      </c>
      <c r="G208" s="6">
        <f>'MATCH CALCS'!$G209*2</f>
        <v>0</v>
      </c>
      <c r="H208" s="6">
        <f>'MATCH CALCS'!$G209*2</f>
        <v>0</v>
      </c>
      <c r="I208" s="6">
        <f>'MATCH CALCS'!$G209*2</f>
        <v>0</v>
      </c>
      <c r="J208" s="154">
        <f t="shared" si="1"/>
        <v>0</v>
      </c>
      <c r="K208" s="6">
        <f>'MATCH CALCS'!L209*1</f>
        <v>0</v>
      </c>
      <c r="L208" s="6">
        <f>'MATCH CALCS'!$N209*2</f>
        <v>0</v>
      </c>
      <c r="M208" s="6">
        <f>'MATCH CALCS'!N209*1</f>
        <v>0</v>
      </c>
      <c r="N208" s="6">
        <f>'MATCH CALCS'!$N209*2</f>
        <v>0</v>
      </c>
      <c r="O208" s="6">
        <f>'MATCH CALCS'!$N209*2</f>
        <v>0</v>
      </c>
      <c r="P208" s="6">
        <f>'MATCH CALCS'!$P209*5</f>
        <v>0</v>
      </c>
      <c r="Q208" s="154">
        <f t="shared" si="2"/>
        <v>0</v>
      </c>
      <c r="R208" s="6">
        <f>'MATCH CALCS'!$AD209*1</f>
        <v>0</v>
      </c>
      <c r="S208" s="6">
        <f>'MATCH CALCS'!AC209*3</f>
        <v>0</v>
      </c>
      <c r="T208" s="6">
        <f>'MATCH CALCS'!AD209*3</f>
        <v>0</v>
      </c>
      <c r="U208" s="155">
        <f t="shared" si="3"/>
        <v>0</v>
      </c>
      <c r="V208" s="154">
        <f t="shared" si="4"/>
        <v>0</v>
      </c>
    </row>
    <row r="209" spans="1:22">
      <c r="A209" s="154">
        <f>'MATCH CALCS'!A210</f>
        <v>0</v>
      </c>
      <c r="B209" s="154">
        <f>'MATCH CALCS'!$C210</f>
        <v>0</v>
      </c>
      <c r="C209" s="154">
        <f t="shared" si="0"/>
        <v>0</v>
      </c>
      <c r="D209" s="6">
        <f>'MATCH CALCS'!$G210*2</f>
        <v>0</v>
      </c>
      <c r="E209" s="6">
        <f>'MATCH CALCS'!$G210*2</f>
        <v>0</v>
      </c>
      <c r="F209" s="6">
        <f>'MATCH CALCS'!$G210*2</f>
        <v>0</v>
      </c>
      <c r="G209" s="6">
        <f>'MATCH CALCS'!$G210*2</f>
        <v>0</v>
      </c>
      <c r="H209" s="6">
        <f>'MATCH CALCS'!$G210*2</f>
        <v>0</v>
      </c>
      <c r="I209" s="6">
        <f>'MATCH CALCS'!$G210*2</f>
        <v>0</v>
      </c>
      <c r="J209" s="154">
        <f t="shared" si="1"/>
        <v>0</v>
      </c>
      <c r="K209" s="6">
        <f>'MATCH CALCS'!L210*1</f>
        <v>0</v>
      </c>
      <c r="L209" s="6">
        <f>'MATCH CALCS'!$N210*2</f>
        <v>0</v>
      </c>
      <c r="M209" s="6">
        <f>'MATCH CALCS'!N210*1</f>
        <v>0</v>
      </c>
      <c r="N209" s="6">
        <f>'MATCH CALCS'!$N210*2</f>
        <v>0</v>
      </c>
      <c r="O209" s="6">
        <f>'MATCH CALCS'!$N210*2</f>
        <v>0</v>
      </c>
      <c r="P209" s="6">
        <f>'MATCH CALCS'!$P210*5</f>
        <v>0</v>
      </c>
      <c r="Q209" s="154">
        <f t="shared" si="2"/>
        <v>0</v>
      </c>
      <c r="R209" s="6">
        <f>'MATCH CALCS'!$AD210*1</f>
        <v>0</v>
      </c>
      <c r="S209" s="6">
        <f>'MATCH CALCS'!AC210*3</f>
        <v>0</v>
      </c>
      <c r="T209" s="6">
        <f>'MATCH CALCS'!AD210*3</f>
        <v>0</v>
      </c>
      <c r="U209" s="155">
        <f t="shared" si="3"/>
        <v>0</v>
      </c>
      <c r="V209" s="154">
        <f t="shared" si="4"/>
        <v>0</v>
      </c>
    </row>
    <row r="210" spans="1:22">
      <c r="A210" s="154">
        <f>'MATCH CALCS'!A211</f>
        <v>0</v>
      </c>
      <c r="B210" s="154">
        <f>'MATCH CALCS'!$C211</f>
        <v>0</v>
      </c>
      <c r="C210" s="154">
        <f t="shared" si="0"/>
        <v>0</v>
      </c>
      <c r="D210" s="6">
        <f>'MATCH CALCS'!$G211*2</f>
        <v>0</v>
      </c>
      <c r="E210" s="6">
        <f>'MATCH CALCS'!$G211*2</f>
        <v>0</v>
      </c>
      <c r="F210" s="6">
        <f>'MATCH CALCS'!$G211*2</f>
        <v>0</v>
      </c>
      <c r="G210" s="6">
        <f>'MATCH CALCS'!$G211*2</f>
        <v>0</v>
      </c>
      <c r="H210" s="6">
        <f>'MATCH CALCS'!$G211*2</f>
        <v>0</v>
      </c>
      <c r="I210" s="6">
        <f>'MATCH CALCS'!$G211*2</f>
        <v>0</v>
      </c>
      <c r="J210" s="154">
        <f t="shared" si="1"/>
        <v>0</v>
      </c>
      <c r="K210" s="6">
        <f>'MATCH CALCS'!L211*1</f>
        <v>0</v>
      </c>
      <c r="L210" s="6">
        <f>'MATCH CALCS'!$N211*2</f>
        <v>0</v>
      </c>
      <c r="M210" s="6">
        <f>'MATCH CALCS'!N211*1</f>
        <v>0</v>
      </c>
      <c r="N210" s="6">
        <f>'MATCH CALCS'!$N211*2</f>
        <v>0</v>
      </c>
      <c r="O210" s="6">
        <f>'MATCH CALCS'!$N211*2</f>
        <v>0</v>
      </c>
      <c r="P210" s="6">
        <f>'MATCH CALCS'!$P211*5</f>
        <v>0</v>
      </c>
      <c r="Q210" s="154">
        <f t="shared" si="2"/>
        <v>0</v>
      </c>
      <c r="R210" s="6">
        <f>'MATCH CALCS'!$AD211*1</f>
        <v>0</v>
      </c>
      <c r="S210" s="6">
        <f>'MATCH CALCS'!AC211*3</f>
        <v>0</v>
      </c>
      <c r="T210" s="6">
        <f>'MATCH CALCS'!AD211*3</f>
        <v>0</v>
      </c>
      <c r="U210" s="155">
        <f t="shared" si="3"/>
        <v>0</v>
      </c>
      <c r="V210" s="154">
        <f t="shared" si="4"/>
        <v>0</v>
      </c>
    </row>
    <row r="211" spans="1:22">
      <c r="A211" s="154">
        <f>'MATCH CALCS'!A212</f>
        <v>0</v>
      </c>
      <c r="B211" s="154">
        <f>'MATCH CALCS'!$C212</f>
        <v>0</v>
      </c>
      <c r="C211" s="154">
        <f t="shared" si="0"/>
        <v>0</v>
      </c>
      <c r="D211" s="6">
        <f>'MATCH CALCS'!$G212*2</f>
        <v>0</v>
      </c>
      <c r="E211" s="6">
        <f>'MATCH CALCS'!$G212*2</f>
        <v>0</v>
      </c>
      <c r="F211" s="6">
        <f>'MATCH CALCS'!$G212*2</f>
        <v>0</v>
      </c>
      <c r="G211" s="6">
        <f>'MATCH CALCS'!$G212*2</f>
        <v>0</v>
      </c>
      <c r="H211" s="6">
        <f>'MATCH CALCS'!$G212*2</f>
        <v>0</v>
      </c>
      <c r="I211" s="6">
        <f>'MATCH CALCS'!$G212*2</f>
        <v>0</v>
      </c>
      <c r="J211" s="154">
        <f t="shared" si="1"/>
        <v>0</v>
      </c>
      <c r="K211" s="6">
        <f>'MATCH CALCS'!L212*1</f>
        <v>0</v>
      </c>
      <c r="L211" s="6">
        <f>'MATCH CALCS'!$N212*2</f>
        <v>0</v>
      </c>
      <c r="M211" s="6">
        <f>'MATCH CALCS'!N212*1</f>
        <v>0</v>
      </c>
      <c r="N211" s="6">
        <f>'MATCH CALCS'!$N212*2</f>
        <v>0</v>
      </c>
      <c r="O211" s="6">
        <f>'MATCH CALCS'!$N212*2</f>
        <v>0</v>
      </c>
      <c r="P211" s="6">
        <f>'MATCH CALCS'!$P212*5</f>
        <v>0</v>
      </c>
      <c r="Q211" s="154">
        <f t="shared" si="2"/>
        <v>0</v>
      </c>
      <c r="R211" s="6">
        <f>'MATCH CALCS'!$AD212*1</f>
        <v>0</v>
      </c>
      <c r="S211" s="6">
        <f>'MATCH CALCS'!AC212*3</f>
        <v>0</v>
      </c>
      <c r="T211" s="6">
        <f>'MATCH CALCS'!AD212*3</f>
        <v>0</v>
      </c>
      <c r="U211" s="155">
        <f t="shared" si="3"/>
        <v>0</v>
      </c>
      <c r="V211" s="154">
        <f t="shared" si="4"/>
        <v>0</v>
      </c>
    </row>
    <row r="212" spans="1:22">
      <c r="A212" s="154">
        <f>'MATCH CALCS'!A213</f>
        <v>0</v>
      </c>
      <c r="B212" s="154">
        <f>'MATCH CALCS'!$C213</f>
        <v>0</v>
      </c>
      <c r="C212" s="154">
        <f t="shared" si="0"/>
        <v>0</v>
      </c>
      <c r="D212" s="6">
        <f>'MATCH CALCS'!$G213*2</f>
        <v>0</v>
      </c>
      <c r="E212" s="6">
        <f>'MATCH CALCS'!$G213*2</f>
        <v>0</v>
      </c>
      <c r="F212" s="6">
        <f>'MATCH CALCS'!$G213*2</f>
        <v>0</v>
      </c>
      <c r="G212" s="6">
        <f>'MATCH CALCS'!$G213*2</f>
        <v>0</v>
      </c>
      <c r="H212" s="6">
        <f>'MATCH CALCS'!$G213*2</f>
        <v>0</v>
      </c>
      <c r="I212" s="6">
        <f>'MATCH CALCS'!$G213*2</f>
        <v>0</v>
      </c>
      <c r="J212" s="154">
        <f t="shared" si="1"/>
        <v>0</v>
      </c>
      <c r="K212" s="6">
        <f>'MATCH CALCS'!L213*1</f>
        <v>0</v>
      </c>
      <c r="L212" s="6">
        <f>'MATCH CALCS'!$N213*2</f>
        <v>0</v>
      </c>
      <c r="M212" s="6">
        <f>'MATCH CALCS'!N213*1</f>
        <v>0</v>
      </c>
      <c r="N212" s="6">
        <f>'MATCH CALCS'!$N213*2</f>
        <v>0</v>
      </c>
      <c r="O212" s="6">
        <f>'MATCH CALCS'!$N213*2</f>
        <v>0</v>
      </c>
      <c r="P212" s="6">
        <f>'MATCH CALCS'!$P213*5</f>
        <v>0</v>
      </c>
      <c r="Q212" s="154">
        <f t="shared" si="2"/>
        <v>0</v>
      </c>
      <c r="R212" s="6">
        <f>'MATCH CALCS'!$AD213*1</f>
        <v>0</v>
      </c>
      <c r="S212" s="6">
        <f>'MATCH CALCS'!AC213*3</f>
        <v>0</v>
      </c>
      <c r="T212" s="6">
        <f>'MATCH CALCS'!AD213*3</f>
        <v>0</v>
      </c>
      <c r="U212" s="155">
        <f t="shared" si="3"/>
        <v>0</v>
      </c>
      <c r="V212" s="154">
        <f t="shared" si="4"/>
        <v>0</v>
      </c>
    </row>
    <row r="213" spans="1:22">
      <c r="A213" s="154">
        <f>'MATCH CALCS'!A214</f>
        <v>0</v>
      </c>
      <c r="B213" s="154">
        <f>'MATCH CALCS'!$C214</f>
        <v>0</v>
      </c>
      <c r="C213" s="154">
        <f t="shared" si="0"/>
        <v>0</v>
      </c>
      <c r="D213" s="6">
        <f>'MATCH CALCS'!$G214*2</f>
        <v>0</v>
      </c>
      <c r="E213" s="6">
        <f>'MATCH CALCS'!$G214*2</f>
        <v>0</v>
      </c>
      <c r="F213" s="6">
        <f>'MATCH CALCS'!$G214*2</f>
        <v>0</v>
      </c>
      <c r="G213" s="6">
        <f>'MATCH CALCS'!$G214*2</f>
        <v>0</v>
      </c>
      <c r="H213" s="6">
        <f>'MATCH CALCS'!$G214*2</f>
        <v>0</v>
      </c>
      <c r="I213" s="6">
        <f>'MATCH CALCS'!$G214*2</f>
        <v>0</v>
      </c>
      <c r="J213" s="154">
        <f t="shared" si="1"/>
        <v>0</v>
      </c>
      <c r="K213" s="6">
        <f>'MATCH CALCS'!L214*1</f>
        <v>0</v>
      </c>
      <c r="L213" s="6">
        <f>'MATCH CALCS'!$N214*2</f>
        <v>0</v>
      </c>
      <c r="M213" s="6">
        <f>'MATCH CALCS'!N214*1</f>
        <v>0</v>
      </c>
      <c r="N213" s="6">
        <f>'MATCH CALCS'!$N214*2</f>
        <v>0</v>
      </c>
      <c r="O213" s="6">
        <f>'MATCH CALCS'!$N214*2</f>
        <v>0</v>
      </c>
      <c r="P213" s="6">
        <f>'MATCH CALCS'!$P214*5</f>
        <v>0</v>
      </c>
      <c r="Q213" s="154">
        <f t="shared" si="2"/>
        <v>0</v>
      </c>
      <c r="R213" s="6">
        <f>'MATCH CALCS'!$AD214*1</f>
        <v>0</v>
      </c>
      <c r="S213" s="6">
        <f>'MATCH CALCS'!AC214*3</f>
        <v>0</v>
      </c>
      <c r="T213" s="6">
        <f>'MATCH CALCS'!AD214*3</f>
        <v>0</v>
      </c>
      <c r="U213" s="155">
        <f t="shared" si="3"/>
        <v>0</v>
      </c>
      <c r="V213" s="154">
        <f t="shared" si="4"/>
        <v>0</v>
      </c>
    </row>
    <row r="214" spans="1:22">
      <c r="A214" s="154">
        <f>'MATCH CALCS'!A215</f>
        <v>0</v>
      </c>
      <c r="B214" s="154">
        <f>'MATCH CALCS'!$C215</f>
        <v>0</v>
      </c>
      <c r="C214" s="154">
        <f t="shared" si="0"/>
        <v>0</v>
      </c>
      <c r="D214" s="6">
        <f>'MATCH CALCS'!$G215*2</f>
        <v>0</v>
      </c>
      <c r="E214" s="6">
        <f>'MATCH CALCS'!$G215*2</f>
        <v>0</v>
      </c>
      <c r="F214" s="6">
        <f>'MATCH CALCS'!$G215*2</f>
        <v>0</v>
      </c>
      <c r="G214" s="6">
        <f>'MATCH CALCS'!$G215*2</f>
        <v>0</v>
      </c>
      <c r="H214" s="6">
        <f>'MATCH CALCS'!$G215*2</f>
        <v>0</v>
      </c>
      <c r="I214" s="6">
        <f>'MATCH CALCS'!$G215*2</f>
        <v>0</v>
      </c>
      <c r="J214" s="154">
        <f t="shared" si="1"/>
        <v>0</v>
      </c>
      <c r="K214" s="6">
        <f>'MATCH CALCS'!L215*1</f>
        <v>0</v>
      </c>
      <c r="L214" s="6">
        <f>'MATCH CALCS'!$N215*2</f>
        <v>0</v>
      </c>
      <c r="M214" s="6">
        <f>'MATCH CALCS'!N215*1</f>
        <v>0</v>
      </c>
      <c r="N214" s="6">
        <f>'MATCH CALCS'!$N215*2</f>
        <v>0</v>
      </c>
      <c r="O214" s="6">
        <f>'MATCH CALCS'!$N215*2</f>
        <v>0</v>
      </c>
      <c r="P214" s="6">
        <f>'MATCH CALCS'!$P215*5</f>
        <v>0</v>
      </c>
      <c r="Q214" s="154">
        <f t="shared" si="2"/>
        <v>0</v>
      </c>
      <c r="R214" s="6">
        <f>'MATCH CALCS'!$AD215*1</f>
        <v>0</v>
      </c>
      <c r="S214" s="6">
        <f>'MATCH CALCS'!AC215*3</f>
        <v>0</v>
      </c>
      <c r="T214" s="6">
        <f>'MATCH CALCS'!AD215*3</f>
        <v>0</v>
      </c>
      <c r="U214" s="155">
        <f t="shared" si="3"/>
        <v>0</v>
      </c>
      <c r="V214" s="154">
        <f t="shared" si="4"/>
        <v>0</v>
      </c>
    </row>
    <row r="215" spans="1:22">
      <c r="A215" s="154">
        <f>'MATCH CALCS'!A216</f>
        <v>0</v>
      </c>
      <c r="B215" s="154">
        <f>'MATCH CALCS'!$C216</f>
        <v>0</v>
      </c>
      <c r="C215" s="154">
        <f t="shared" si="0"/>
        <v>0</v>
      </c>
      <c r="D215" s="6">
        <f>'MATCH CALCS'!$G216*2</f>
        <v>0</v>
      </c>
      <c r="E215" s="6">
        <f>'MATCH CALCS'!$G216*2</f>
        <v>0</v>
      </c>
      <c r="F215" s="6">
        <f>'MATCH CALCS'!$G216*2</f>
        <v>0</v>
      </c>
      <c r="G215" s="6">
        <f>'MATCH CALCS'!$G216*2</f>
        <v>0</v>
      </c>
      <c r="H215" s="6">
        <f>'MATCH CALCS'!$G216*2</f>
        <v>0</v>
      </c>
      <c r="I215" s="6">
        <f>'MATCH CALCS'!$G216*2</f>
        <v>0</v>
      </c>
      <c r="J215" s="154">
        <f t="shared" si="1"/>
        <v>0</v>
      </c>
      <c r="K215" s="6">
        <f>'MATCH CALCS'!L216*1</f>
        <v>0</v>
      </c>
      <c r="L215" s="6">
        <f>'MATCH CALCS'!$N216*2</f>
        <v>0</v>
      </c>
      <c r="M215" s="6">
        <f>'MATCH CALCS'!N216*1</f>
        <v>0</v>
      </c>
      <c r="N215" s="6">
        <f>'MATCH CALCS'!$N216*2</f>
        <v>0</v>
      </c>
      <c r="O215" s="6">
        <f>'MATCH CALCS'!$N216*2</f>
        <v>0</v>
      </c>
      <c r="P215" s="6">
        <f>'MATCH CALCS'!$P216*5</f>
        <v>0</v>
      </c>
      <c r="Q215" s="154">
        <f t="shared" si="2"/>
        <v>0</v>
      </c>
      <c r="R215" s="6">
        <f>'MATCH CALCS'!$AD216*1</f>
        <v>0</v>
      </c>
      <c r="S215" s="6">
        <f>'MATCH CALCS'!AC216*3</f>
        <v>0</v>
      </c>
      <c r="T215" s="6">
        <f>'MATCH CALCS'!AD216*3</f>
        <v>0</v>
      </c>
      <c r="U215" s="155">
        <f t="shared" si="3"/>
        <v>0</v>
      </c>
      <c r="V215" s="154">
        <f t="shared" si="4"/>
        <v>0</v>
      </c>
    </row>
    <row r="216" spans="1:22">
      <c r="A216" s="154">
        <f>'MATCH CALCS'!A217</f>
        <v>0</v>
      </c>
      <c r="B216" s="154">
        <f>'MATCH CALCS'!$C217</f>
        <v>0</v>
      </c>
      <c r="C216" s="154">
        <f t="shared" si="0"/>
        <v>0</v>
      </c>
      <c r="D216" s="6">
        <f>'MATCH CALCS'!$G217*2</f>
        <v>0</v>
      </c>
      <c r="E216" s="6">
        <f>'MATCH CALCS'!$G217*2</f>
        <v>0</v>
      </c>
      <c r="F216" s="6">
        <f>'MATCH CALCS'!$G217*2</f>
        <v>0</v>
      </c>
      <c r="G216" s="6">
        <f>'MATCH CALCS'!$G217*2</f>
        <v>0</v>
      </c>
      <c r="H216" s="6">
        <f>'MATCH CALCS'!$G217*2</f>
        <v>0</v>
      </c>
      <c r="I216" s="6">
        <f>'MATCH CALCS'!$G217*2</f>
        <v>0</v>
      </c>
      <c r="J216" s="154">
        <f t="shared" si="1"/>
        <v>0</v>
      </c>
      <c r="K216" s="6">
        <f>'MATCH CALCS'!L217*1</f>
        <v>0</v>
      </c>
      <c r="L216" s="6">
        <f>'MATCH CALCS'!$N217*2</f>
        <v>0</v>
      </c>
      <c r="M216" s="6">
        <f>'MATCH CALCS'!N217*1</f>
        <v>0</v>
      </c>
      <c r="N216" s="6">
        <f>'MATCH CALCS'!$N217*2</f>
        <v>0</v>
      </c>
      <c r="O216" s="6">
        <f>'MATCH CALCS'!$N217*2</f>
        <v>0</v>
      </c>
      <c r="P216" s="6">
        <f>'MATCH CALCS'!$P217*5</f>
        <v>0</v>
      </c>
      <c r="Q216" s="154">
        <f t="shared" si="2"/>
        <v>0</v>
      </c>
      <c r="R216" s="6">
        <f>'MATCH CALCS'!$AD217*1</f>
        <v>0</v>
      </c>
      <c r="S216" s="6">
        <f>'MATCH CALCS'!AC217*3</f>
        <v>0</v>
      </c>
      <c r="T216" s="6">
        <f>'MATCH CALCS'!AD217*3</f>
        <v>0</v>
      </c>
      <c r="U216" s="155">
        <f t="shared" si="3"/>
        <v>0</v>
      </c>
      <c r="V216" s="154">
        <f t="shared" si="4"/>
        <v>0</v>
      </c>
    </row>
    <row r="217" spans="1:22">
      <c r="A217" s="154">
        <f>'MATCH CALCS'!A218</f>
        <v>0</v>
      </c>
      <c r="B217" s="154">
        <f>'MATCH CALCS'!$C218</f>
        <v>0</v>
      </c>
      <c r="C217" s="154">
        <f t="shared" si="0"/>
        <v>0</v>
      </c>
      <c r="D217" s="6">
        <f>'MATCH CALCS'!$G218*2</f>
        <v>0</v>
      </c>
      <c r="E217" s="6">
        <f>'MATCH CALCS'!$G218*2</f>
        <v>0</v>
      </c>
      <c r="F217" s="6">
        <f>'MATCH CALCS'!$G218*2</f>
        <v>0</v>
      </c>
      <c r="G217" s="6">
        <f>'MATCH CALCS'!$G218*2</f>
        <v>0</v>
      </c>
      <c r="H217" s="6">
        <f>'MATCH CALCS'!$G218*2</f>
        <v>0</v>
      </c>
      <c r="I217" s="6">
        <f>'MATCH CALCS'!$G218*2</f>
        <v>0</v>
      </c>
      <c r="J217" s="154">
        <f t="shared" si="1"/>
        <v>0</v>
      </c>
      <c r="K217" s="6">
        <f>'MATCH CALCS'!L218*1</f>
        <v>0</v>
      </c>
      <c r="L217" s="6">
        <f>'MATCH CALCS'!$N218*2</f>
        <v>0</v>
      </c>
      <c r="M217" s="6">
        <f>'MATCH CALCS'!N218*1</f>
        <v>0</v>
      </c>
      <c r="N217" s="6">
        <f>'MATCH CALCS'!$N218*2</f>
        <v>0</v>
      </c>
      <c r="O217" s="6">
        <f>'MATCH CALCS'!$N218*2</f>
        <v>0</v>
      </c>
      <c r="P217" s="6">
        <f>'MATCH CALCS'!$P218*5</f>
        <v>0</v>
      </c>
      <c r="Q217" s="154">
        <f t="shared" si="2"/>
        <v>0</v>
      </c>
      <c r="R217" s="6">
        <f>'MATCH CALCS'!$AD218*1</f>
        <v>0</v>
      </c>
      <c r="S217" s="6">
        <f>'MATCH CALCS'!AC218*3</f>
        <v>0</v>
      </c>
      <c r="T217" s="6">
        <f>'MATCH CALCS'!AD218*3</f>
        <v>0</v>
      </c>
      <c r="U217" s="155">
        <f t="shared" si="3"/>
        <v>0</v>
      </c>
      <c r="V217" s="154">
        <f t="shared" si="4"/>
        <v>0</v>
      </c>
    </row>
    <row r="218" spans="1:22">
      <c r="A218" s="154">
        <f>'MATCH CALCS'!A219</f>
        <v>0</v>
      </c>
      <c r="B218" s="154">
        <f>'MATCH CALCS'!$C219</f>
        <v>0</v>
      </c>
      <c r="C218" s="154">
        <f t="shared" si="0"/>
        <v>0</v>
      </c>
      <c r="D218" s="6">
        <f>'MATCH CALCS'!$G219*2</f>
        <v>0</v>
      </c>
      <c r="E218" s="6">
        <f>'MATCH CALCS'!$G219*2</f>
        <v>0</v>
      </c>
      <c r="F218" s="6">
        <f>'MATCH CALCS'!$G219*2</f>
        <v>0</v>
      </c>
      <c r="G218" s="6">
        <f>'MATCH CALCS'!$G219*2</f>
        <v>0</v>
      </c>
      <c r="H218" s="6">
        <f>'MATCH CALCS'!$G219*2</f>
        <v>0</v>
      </c>
      <c r="I218" s="6">
        <f>'MATCH CALCS'!$G219*2</f>
        <v>0</v>
      </c>
      <c r="J218" s="154">
        <f t="shared" si="1"/>
        <v>0</v>
      </c>
      <c r="K218" s="6">
        <f>'MATCH CALCS'!L219*1</f>
        <v>0</v>
      </c>
      <c r="L218" s="6">
        <f>'MATCH CALCS'!$N219*2</f>
        <v>0</v>
      </c>
      <c r="M218" s="6">
        <f>'MATCH CALCS'!N219*1</f>
        <v>0</v>
      </c>
      <c r="N218" s="6">
        <f>'MATCH CALCS'!$N219*2</f>
        <v>0</v>
      </c>
      <c r="O218" s="6">
        <f>'MATCH CALCS'!$N219*2</f>
        <v>0</v>
      </c>
      <c r="P218" s="6">
        <f>'MATCH CALCS'!$P219*5</f>
        <v>0</v>
      </c>
      <c r="Q218" s="154">
        <f t="shared" si="2"/>
        <v>0</v>
      </c>
      <c r="R218" s="6">
        <f>'MATCH CALCS'!$AD219*1</f>
        <v>0</v>
      </c>
      <c r="S218" s="6">
        <f>'MATCH CALCS'!AC219*3</f>
        <v>0</v>
      </c>
      <c r="T218" s="6">
        <f>'MATCH CALCS'!AD219*3</f>
        <v>0</v>
      </c>
      <c r="U218" s="155">
        <f t="shared" si="3"/>
        <v>0</v>
      </c>
      <c r="V218" s="154">
        <f t="shared" si="4"/>
        <v>0</v>
      </c>
    </row>
    <row r="219" spans="1:22">
      <c r="A219" s="154">
        <f>'MATCH CALCS'!A220</f>
        <v>0</v>
      </c>
      <c r="B219" s="154">
        <f>'MATCH CALCS'!$C220</f>
        <v>0</v>
      </c>
      <c r="C219" s="154">
        <f t="shared" si="0"/>
        <v>0</v>
      </c>
      <c r="D219" s="6">
        <f>'MATCH CALCS'!$G220*2</f>
        <v>0</v>
      </c>
      <c r="E219" s="6">
        <f>'MATCH CALCS'!$G220*2</f>
        <v>0</v>
      </c>
      <c r="F219" s="6">
        <f>'MATCH CALCS'!$G220*2</f>
        <v>0</v>
      </c>
      <c r="G219" s="6">
        <f>'MATCH CALCS'!$G220*2</f>
        <v>0</v>
      </c>
      <c r="H219" s="6">
        <f>'MATCH CALCS'!$G220*2</f>
        <v>0</v>
      </c>
      <c r="I219" s="6">
        <f>'MATCH CALCS'!$G220*2</f>
        <v>0</v>
      </c>
      <c r="J219" s="154">
        <f t="shared" si="1"/>
        <v>0</v>
      </c>
      <c r="K219" s="6">
        <f>'MATCH CALCS'!L220*1</f>
        <v>0</v>
      </c>
      <c r="L219" s="6">
        <f>'MATCH CALCS'!$N220*2</f>
        <v>0</v>
      </c>
      <c r="M219" s="6">
        <f>'MATCH CALCS'!N220*1</f>
        <v>0</v>
      </c>
      <c r="N219" s="6">
        <f>'MATCH CALCS'!$N220*2</f>
        <v>0</v>
      </c>
      <c r="O219" s="6">
        <f>'MATCH CALCS'!$N220*2</f>
        <v>0</v>
      </c>
      <c r="P219" s="6">
        <f>'MATCH CALCS'!$P220*5</f>
        <v>0</v>
      </c>
      <c r="Q219" s="154">
        <f t="shared" si="2"/>
        <v>0</v>
      </c>
      <c r="R219" s="6">
        <f>'MATCH CALCS'!$AD220*1</f>
        <v>0</v>
      </c>
      <c r="S219" s="6">
        <f>'MATCH CALCS'!AC220*3</f>
        <v>0</v>
      </c>
      <c r="T219" s="6">
        <f>'MATCH CALCS'!AD220*3</f>
        <v>0</v>
      </c>
      <c r="U219" s="155">
        <f t="shared" si="3"/>
        <v>0</v>
      </c>
      <c r="V219" s="154">
        <f t="shared" si="4"/>
        <v>0</v>
      </c>
    </row>
    <row r="220" spans="1:22">
      <c r="A220" s="154">
        <f>'MATCH CALCS'!A221</f>
        <v>0</v>
      </c>
      <c r="B220" s="154">
        <f>'MATCH CALCS'!$C221</f>
        <v>0</v>
      </c>
      <c r="C220" s="154">
        <f t="shared" si="0"/>
        <v>0</v>
      </c>
      <c r="D220" s="6">
        <f>'MATCH CALCS'!$G221*2</f>
        <v>0</v>
      </c>
      <c r="E220" s="6">
        <f>'MATCH CALCS'!$G221*2</f>
        <v>0</v>
      </c>
      <c r="F220" s="6">
        <f>'MATCH CALCS'!$G221*2</f>
        <v>0</v>
      </c>
      <c r="G220" s="6">
        <f>'MATCH CALCS'!$G221*2</f>
        <v>0</v>
      </c>
      <c r="H220" s="6">
        <f>'MATCH CALCS'!$G221*2</f>
        <v>0</v>
      </c>
      <c r="I220" s="6">
        <f>'MATCH CALCS'!$G221*2</f>
        <v>0</v>
      </c>
      <c r="J220" s="154">
        <f t="shared" si="1"/>
        <v>0</v>
      </c>
      <c r="K220" s="6">
        <f>'MATCH CALCS'!L221*1</f>
        <v>0</v>
      </c>
      <c r="L220" s="6">
        <f>'MATCH CALCS'!$N221*2</f>
        <v>0</v>
      </c>
      <c r="M220" s="6">
        <f>'MATCH CALCS'!N221*1</f>
        <v>0</v>
      </c>
      <c r="N220" s="6">
        <f>'MATCH CALCS'!$N221*2</f>
        <v>0</v>
      </c>
      <c r="O220" s="6">
        <f>'MATCH CALCS'!$N221*2</f>
        <v>0</v>
      </c>
      <c r="P220" s="6">
        <f>'MATCH CALCS'!$P221*5</f>
        <v>0</v>
      </c>
      <c r="Q220" s="154">
        <f t="shared" si="2"/>
        <v>0</v>
      </c>
      <c r="R220" s="6">
        <f>'MATCH CALCS'!$AD221*1</f>
        <v>0</v>
      </c>
      <c r="S220" s="6">
        <f>'MATCH CALCS'!AC221*3</f>
        <v>0</v>
      </c>
      <c r="T220" s="6">
        <f>'MATCH CALCS'!AD221*3</f>
        <v>0</v>
      </c>
      <c r="U220" s="155">
        <f t="shared" si="3"/>
        <v>0</v>
      </c>
      <c r="V220" s="154">
        <f t="shared" si="4"/>
        <v>0</v>
      </c>
    </row>
    <row r="221" spans="1:22">
      <c r="A221" s="154">
        <f>'MATCH CALCS'!A222</f>
        <v>0</v>
      </c>
      <c r="B221" s="154">
        <f>'MATCH CALCS'!$C222</f>
        <v>0</v>
      </c>
      <c r="C221" s="154">
        <f t="shared" si="0"/>
        <v>0</v>
      </c>
      <c r="D221" s="6">
        <f>'MATCH CALCS'!$G222*2</f>
        <v>0</v>
      </c>
      <c r="E221" s="6">
        <f>'MATCH CALCS'!$G222*2</f>
        <v>0</v>
      </c>
      <c r="F221" s="6">
        <f>'MATCH CALCS'!$G222*2</f>
        <v>0</v>
      </c>
      <c r="G221" s="6">
        <f>'MATCH CALCS'!$G222*2</f>
        <v>0</v>
      </c>
      <c r="H221" s="6">
        <f>'MATCH CALCS'!$G222*2</f>
        <v>0</v>
      </c>
      <c r="I221" s="6">
        <f>'MATCH CALCS'!$G222*2</f>
        <v>0</v>
      </c>
      <c r="J221" s="154">
        <f t="shared" si="1"/>
        <v>0</v>
      </c>
      <c r="K221" s="6">
        <f>'MATCH CALCS'!L222*1</f>
        <v>0</v>
      </c>
      <c r="L221" s="6">
        <f>'MATCH CALCS'!$N222*2</f>
        <v>0</v>
      </c>
      <c r="M221" s="6">
        <f>'MATCH CALCS'!N222*1</f>
        <v>0</v>
      </c>
      <c r="N221" s="6">
        <f>'MATCH CALCS'!$N222*2</f>
        <v>0</v>
      </c>
      <c r="O221" s="6">
        <f>'MATCH CALCS'!$N222*2</f>
        <v>0</v>
      </c>
      <c r="P221" s="6">
        <f>'MATCH CALCS'!$P222*5</f>
        <v>0</v>
      </c>
      <c r="Q221" s="154">
        <f t="shared" si="2"/>
        <v>0</v>
      </c>
      <c r="R221" s="6">
        <f>'MATCH CALCS'!$AD222*1</f>
        <v>0</v>
      </c>
      <c r="S221" s="6">
        <f>'MATCH CALCS'!AC222*3</f>
        <v>0</v>
      </c>
      <c r="T221" s="6">
        <f>'MATCH CALCS'!AD222*3</f>
        <v>0</v>
      </c>
      <c r="U221" s="155">
        <f t="shared" si="3"/>
        <v>0</v>
      </c>
      <c r="V221" s="154">
        <f t="shared" si="4"/>
        <v>0</v>
      </c>
    </row>
    <row r="222" spans="1:22">
      <c r="A222" s="154">
        <f>'MATCH CALCS'!A223</f>
        <v>0</v>
      </c>
      <c r="B222" s="154">
        <f>'MATCH CALCS'!$C223</f>
        <v>0</v>
      </c>
      <c r="C222" s="154">
        <f t="shared" si="0"/>
        <v>0</v>
      </c>
      <c r="D222" s="6">
        <f>'MATCH CALCS'!$G223*2</f>
        <v>0</v>
      </c>
      <c r="E222" s="6">
        <f>'MATCH CALCS'!$G223*2</f>
        <v>0</v>
      </c>
      <c r="F222" s="6">
        <f>'MATCH CALCS'!$G223*2</f>
        <v>0</v>
      </c>
      <c r="G222" s="6">
        <f>'MATCH CALCS'!$G223*2</f>
        <v>0</v>
      </c>
      <c r="H222" s="6">
        <f>'MATCH CALCS'!$G223*2</f>
        <v>0</v>
      </c>
      <c r="I222" s="6">
        <f>'MATCH CALCS'!$G223*2</f>
        <v>0</v>
      </c>
      <c r="J222" s="154">
        <f t="shared" si="1"/>
        <v>0</v>
      </c>
      <c r="K222" s="6">
        <f>'MATCH CALCS'!L223*1</f>
        <v>0</v>
      </c>
      <c r="L222" s="6">
        <f>'MATCH CALCS'!$N223*2</f>
        <v>0</v>
      </c>
      <c r="M222" s="6">
        <f>'MATCH CALCS'!N223*1</f>
        <v>0</v>
      </c>
      <c r="N222" s="6">
        <f>'MATCH CALCS'!$N223*2</f>
        <v>0</v>
      </c>
      <c r="O222" s="6">
        <f>'MATCH CALCS'!$N223*2</f>
        <v>0</v>
      </c>
      <c r="P222" s="6">
        <f>'MATCH CALCS'!$P223*5</f>
        <v>0</v>
      </c>
      <c r="Q222" s="154">
        <f t="shared" si="2"/>
        <v>0</v>
      </c>
      <c r="R222" s="6">
        <f>'MATCH CALCS'!$AD223*1</f>
        <v>0</v>
      </c>
      <c r="S222" s="6">
        <f>'MATCH CALCS'!AC223*3</f>
        <v>0</v>
      </c>
      <c r="T222" s="6">
        <f>'MATCH CALCS'!AD223*3</f>
        <v>0</v>
      </c>
      <c r="U222" s="155">
        <f t="shared" si="3"/>
        <v>0</v>
      </c>
      <c r="V222" s="154">
        <f t="shared" si="4"/>
        <v>0</v>
      </c>
    </row>
    <row r="223" spans="1:22">
      <c r="A223" s="154">
        <f>'MATCH CALCS'!A224</f>
        <v>0</v>
      </c>
      <c r="B223" s="154">
        <f>'MATCH CALCS'!$C224</f>
        <v>0</v>
      </c>
      <c r="C223" s="154">
        <f t="shared" si="0"/>
        <v>0</v>
      </c>
      <c r="D223" s="6">
        <f>'MATCH CALCS'!$G224*2</f>
        <v>0</v>
      </c>
      <c r="E223" s="6">
        <f>'MATCH CALCS'!$G224*2</f>
        <v>0</v>
      </c>
      <c r="F223" s="6">
        <f>'MATCH CALCS'!$G224*2</f>
        <v>0</v>
      </c>
      <c r="G223" s="6">
        <f>'MATCH CALCS'!$G224*2</f>
        <v>0</v>
      </c>
      <c r="H223" s="6">
        <f>'MATCH CALCS'!$G224*2</f>
        <v>0</v>
      </c>
      <c r="I223" s="6">
        <f>'MATCH CALCS'!$G224*2</f>
        <v>0</v>
      </c>
      <c r="J223" s="154">
        <f t="shared" si="1"/>
        <v>0</v>
      </c>
      <c r="K223" s="6">
        <f>'MATCH CALCS'!L224*1</f>
        <v>0</v>
      </c>
      <c r="L223" s="6">
        <f>'MATCH CALCS'!$N224*2</f>
        <v>0</v>
      </c>
      <c r="M223" s="6">
        <f>'MATCH CALCS'!N224*1</f>
        <v>0</v>
      </c>
      <c r="N223" s="6">
        <f>'MATCH CALCS'!$N224*2</f>
        <v>0</v>
      </c>
      <c r="O223" s="6">
        <f>'MATCH CALCS'!$N224*2</f>
        <v>0</v>
      </c>
      <c r="P223" s="6">
        <f>'MATCH CALCS'!$P224*5</f>
        <v>0</v>
      </c>
      <c r="Q223" s="154">
        <f t="shared" si="2"/>
        <v>0</v>
      </c>
      <c r="R223" s="6">
        <f>'MATCH CALCS'!$AD224*1</f>
        <v>0</v>
      </c>
      <c r="S223" s="6">
        <f>'MATCH CALCS'!AC224*3</f>
        <v>0</v>
      </c>
      <c r="T223" s="6">
        <f>'MATCH CALCS'!AD224*3</f>
        <v>0</v>
      </c>
      <c r="U223" s="155">
        <f t="shared" si="3"/>
        <v>0</v>
      </c>
      <c r="V223" s="154">
        <f t="shared" si="4"/>
        <v>0</v>
      </c>
    </row>
    <row r="224" spans="1:22">
      <c r="A224" s="154">
        <f>'MATCH CALCS'!A225</f>
        <v>0</v>
      </c>
      <c r="B224" s="154">
        <f>'MATCH CALCS'!$C225</f>
        <v>0</v>
      </c>
      <c r="C224" s="154">
        <f t="shared" si="0"/>
        <v>0</v>
      </c>
      <c r="D224" s="6">
        <f>'MATCH CALCS'!$G225*2</f>
        <v>0</v>
      </c>
      <c r="E224" s="6">
        <f>'MATCH CALCS'!$G225*2</f>
        <v>0</v>
      </c>
      <c r="F224" s="6">
        <f>'MATCH CALCS'!$G225*2</f>
        <v>0</v>
      </c>
      <c r="G224" s="6">
        <f>'MATCH CALCS'!$G225*2</f>
        <v>0</v>
      </c>
      <c r="H224" s="6">
        <f>'MATCH CALCS'!$G225*2</f>
        <v>0</v>
      </c>
      <c r="I224" s="6">
        <f>'MATCH CALCS'!$G225*2</f>
        <v>0</v>
      </c>
      <c r="J224" s="154">
        <f t="shared" si="1"/>
        <v>0</v>
      </c>
      <c r="K224" s="6">
        <f>'MATCH CALCS'!L225*1</f>
        <v>0</v>
      </c>
      <c r="L224" s="6">
        <f>'MATCH CALCS'!$N225*2</f>
        <v>0</v>
      </c>
      <c r="M224" s="6">
        <f>'MATCH CALCS'!N225*1</f>
        <v>0</v>
      </c>
      <c r="N224" s="6">
        <f>'MATCH CALCS'!$N225*2</f>
        <v>0</v>
      </c>
      <c r="O224" s="6">
        <f>'MATCH CALCS'!$N225*2</f>
        <v>0</v>
      </c>
      <c r="P224" s="6">
        <f>'MATCH CALCS'!$P225*5</f>
        <v>0</v>
      </c>
      <c r="Q224" s="154">
        <f t="shared" si="2"/>
        <v>0</v>
      </c>
      <c r="R224" s="6">
        <f>'MATCH CALCS'!$AD225*1</f>
        <v>0</v>
      </c>
      <c r="S224" s="6">
        <f>'MATCH CALCS'!AC225*3</f>
        <v>0</v>
      </c>
      <c r="T224" s="6">
        <f>'MATCH CALCS'!AD225*3</f>
        <v>0</v>
      </c>
      <c r="U224" s="155">
        <f t="shared" si="3"/>
        <v>0</v>
      </c>
      <c r="V224" s="154">
        <f t="shared" si="4"/>
        <v>0</v>
      </c>
    </row>
    <row r="225" spans="1:22">
      <c r="A225" s="154">
        <f>'MATCH CALCS'!A226</f>
        <v>0</v>
      </c>
      <c r="B225" s="154">
        <f>'MATCH CALCS'!$C226</f>
        <v>0</v>
      </c>
      <c r="C225" s="154">
        <f t="shared" si="0"/>
        <v>0</v>
      </c>
      <c r="D225" s="6">
        <f>'MATCH CALCS'!$G226*2</f>
        <v>0</v>
      </c>
      <c r="E225" s="6">
        <f>'MATCH CALCS'!$G226*2</f>
        <v>0</v>
      </c>
      <c r="F225" s="6">
        <f>'MATCH CALCS'!$G226*2</f>
        <v>0</v>
      </c>
      <c r="G225" s="6">
        <f>'MATCH CALCS'!$G226*2</f>
        <v>0</v>
      </c>
      <c r="H225" s="6">
        <f>'MATCH CALCS'!$G226*2</f>
        <v>0</v>
      </c>
      <c r="I225" s="6">
        <f>'MATCH CALCS'!$G226*2</f>
        <v>0</v>
      </c>
      <c r="J225" s="154">
        <f t="shared" si="1"/>
        <v>0</v>
      </c>
      <c r="K225" s="6">
        <f>'MATCH CALCS'!L226*1</f>
        <v>0</v>
      </c>
      <c r="L225" s="6">
        <f>'MATCH CALCS'!$N226*2</f>
        <v>0</v>
      </c>
      <c r="M225" s="6">
        <f>'MATCH CALCS'!N226*1</f>
        <v>0</v>
      </c>
      <c r="N225" s="6">
        <f>'MATCH CALCS'!$N226*2</f>
        <v>0</v>
      </c>
      <c r="O225" s="6">
        <f>'MATCH CALCS'!$N226*2</f>
        <v>0</v>
      </c>
      <c r="P225" s="6">
        <f>'MATCH CALCS'!$P226*5</f>
        <v>0</v>
      </c>
      <c r="Q225" s="154">
        <f t="shared" si="2"/>
        <v>0</v>
      </c>
      <c r="R225" s="6">
        <f>'MATCH CALCS'!$AD226*1</f>
        <v>0</v>
      </c>
      <c r="S225" s="6">
        <f>'MATCH CALCS'!AC226*3</f>
        <v>0</v>
      </c>
      <c r="T225" s="6">
        <f>'MATCH CALCS'!AD226*3</f>
        <v>0</v>
      </c>
      <c r="U225" s="155">
        <f t="shared" si="3"/>
        <v>0</v>
      </c>
      <c r="V225" s="154">
        <f t="shared" si="4"/>
        <v>0</v>
      </c>
    </row>
    <row r="226" spans="1:22">
      <c r="A226" s="154">
        <f>'MATCH CALCS'!A227</f>
        <v>0</v>
      </c>
      <c r="B226" s="154">
        <f>'MATCH CALCS'!$C227</f>
        <v>0</v>
      </c>
      <c r="C226" s="154">
        <f t="shared" si="0"/>
        <v>0</v>
      </c>
      <c r="D226" s="6">
        <f>'MATCH CALCS'!$G227*2</f>
        <v>0</v>
      </c>
      <c r="E226" s="6">
        <f>'MATCH CALCS'!$G227*2</f>
        <v>0</v>
      </c>
      <c r="F226" s="6">
        <f>'MATCH CALCS'!$G227*2</f>
        <v>0</v>
      </c>
      <c r="G226" s="6">
        <f>'MATCH CALCS'!$G227*2</f>
        <v>0</v>
      </c>
      <c r="H226" s="6">
        <f>'MATCH CALCS'!$G227*2</f>
        <v>0</v>
      </c>
      <c r="I226" s="6">
        <f>'MATCH CALCS'!$G227*2</f>
        <v>0</v>
      </c>
      <c r="J226" s="154">
        <f t="shared" si="1"/>
        <v>0</v>
      </c>
      <c r="K226" s="6">
        <f>'MATCH CALCS'!L227*1</f>
        <v>0</v>
      </c>
      <c r="L226" s="6">
        <f>'MATCH CALCS'!$N227*2</f>
        <v>0</v>
      </c>
      <c r="M226" s="6">
        <f>'MATCH CALCS'!N227*1</f>
        <v>0</v>
      </c>
      <c r="N226" s="6">
        <f>'MATCH CALCS'!$N227*2</f>
        <v>0</v>
      </c>
      <c r="O226" s="6">
        <f>'MATCH CALCS'!$N227*2</f>
        <v>0</v>
      </c>
      <c r="P226" s="6">
        <f>'MATCH CALCS'!$P227*5</f>
        <v>0</v>
      </c>
      <c r="Q226" s="154">
        <f t="shared" si="2"/>
        <v>0</v>
      </c>
      <c r="R226" s="6">
        <f>'MATCH CALCS'!$AD227*1</f>
        <v>0</v>
      </c>
      <c r="S226" s="6">
        <f>'MATCH CALCS'!AC227*3</f>
        <v>0</v>
      </c>
      <c r="T226" s="6">
        <f>'MATCH CALCS'!AD227*3</f>
        <v>0</v>
      </c>
      <c r="U226" s="155">
        <f t="shared" si="3"/>
        <v>0</v>
      </c>
      <c r="V226" s="154">
        <f t="shared" si="4"/>
        <v>0</v>
      </c>
    </row>
    <row r="227" spans="1:22">
      <c r="A227" s="154">
        <f>'MATCH CALCS'!A228</f>
        <v>0</v>
      </c>
      <c r="B227" s="154">
        <f>'MATCH CALCS'!$C228</f>
        <v>0</v>
      </c>
      <c r="C227" s="154">
        <f t="shared" si="0"/>
        <v>0</v>
      </c>
      <c r="D227" s="6">
        <f>'MATCH CALCS'!$G228*2</f>
        <v>0</v>
      </c>
      <c r="E227" s="6">
        <f>'MATCH CALCS'!$G228*2</f>
        <v>0</v>
      </c>
      <c r="F227" s="6">
        <f>'MATCH CALCS'!$G228*2</f>
        <v>0</v>
      </c>
      <c r="G227" s="6">
        <f>'MATCH CALCS'!$G228*2</f>
        <v>0</v>
      </c>
      <c r="H227" s="6">
        <f>'MATCH CALCS'!$G228*2</f>
        <v>0</v>
      </c>
      <c r="I227" s="6">
        <f>'MATCH CALCS'!$G228*2</f>
        <v>0</v>
      </c>
      <c r="J227" s="154">
        <f t="shared" si="1"/>
        <v>0</v>
      </c>
      <c r="K227" s="6">
        <f>'MATCH CALCS'!L228*1</f>
        <v>0</v>
      </c>
      <c r="L227" s="6">
        <f>'MATCH CALCS'!$N228*2</f>
        <v>0</v>
      </c>
      <c r="M227" s="6">
        <f>'MATCH CALCS'!N228*1</f>
        <v>0</v>
      </c>
      <c r="N227" s="6">
        <f>'MATCH CALCS'!$N228*2</f>
        <v>0</v>
      </c>
      <c r="O227" s="6">
        <f>'MATCH CALCS'!$N228*2</f>
        <v>0</v>
      </c>
      <c r="P227" s="6">
        <f>'MATCH CALCS'!$P228*5</f>
        <v>0</v>
      </c>
      <c r="Q227" s="154">
        <f t="shared" si="2"/>
        <v>0</v>
      </c>
      <c r="R227" s="6">
        <f>'MATCH CALCS'!$AD228*1</f>
        <v>0</v>
      </c>
      <c r="S227" s="6">
        <f>'MATCH CALCS'!AC228*3</f>
        <v>0</v>
      </c>
      <c r="T227" s="6">
        <f>'MATCH CALCS'!AD228*3</f>
        <v>0</v>
      </c>
      <c r="U227" s="155">
        <f t="shared" si="3"/>
        <v>0</v>
      </c>
      <c r="V227" s="154">
        <f t="shared" si="4"/>
        <v>0</v>
      </c>
    </row>
    <row r="228" spans="1:22">
      <c r="A228" s="154">
        <f>'MATCH CALCS'!A229</f>
        <v>0</v>
      </c>
      <c r="B228" s="154">
        <f>'MATCH CALCS'!$C229</f>
        <v>0</v>
      </c>
      <c r="C228" s="154">
        <f t="shared" si="0"/>
        <v>0</v>
      </c>
      <c r="D228" s="6">
        <f>'MATCH CALCS'!$G229*2</f>
        <v>0</v>
      </c>
      <c r="E228" s="6">
        <f>'MATCH CALCS'!$G229*2</f>
        <v>0</v>
      </c>
      <c r="F228" s="6">
        <f>'MATCH CALCS'!$G229*2</f>
        <v>0</v>
      </c>
      <c r="G228" s="6">
        <f>'MATCH CALCS'!$G229*2</f>
        <v>0</v>
      </c>
      <c r="H228" s="6">
        <f>'MATCH CALCS'!$G229*2</f>
        <v>0</v>
      </c>
      <c r="I228" s="6">
        <f>'MATCH CALCS'!$G229*2</f>
        <v>0</v>
      </c>
      <c r="J228" s="154">
        <f t="shared" si="1"/>
        <v>0</v>
      </c>
      <c r="K228" s="6">
        <f>'MATCH CALCS'!L229*1</f>
        <v>0</v>
      </c>
      <c r="L228" s="6">
        <f>'MATCH CALCS'!$N229*2</f>
        <v>0</v>
      </c>
      <c r="M228" s="6">
        <f>'MATCH CALCS'!N229*1</f>
        <v>0</v>
      </c>
      <c r="N228" s="6">
        <f>'MATCH CALCS'!$N229*2</f>
        <v>0</v>
      </c>
      <c r="O228" s="6">
        <f>'MATCH CALCS'!$N229*2</f>
        <v>0</v>
      </c>
      <c r="P228" s="6">
        <f>'MATCH CALCS'!$P229*5</f>
        <v>0</v>
      </c>
      <c r="Q228" s="154">
        <f t="shared" si="2"/>
        <v>0</v>
      </c>
      <c r="R228" s="6">
        <f>'MATCH CALCS'!$AD229*1</f>
        <v>0</v>
      </c>
      <c r="S228" s="6">
        <f>'MATCH CALCS'!AC229*3</f>
        <v>0</v>
      </c>
      <c r="T228" s="6">
        <f>'MATCH CALCS'!AD229*3</f>
        <v>0</v>
      </c>
      <c r="U228" s="155">
        <f t="shared" si="3"/>
        <v>0</v>
      </c>
      <c r="V228" s="154">
        <f t="shared" si="4"/>
        <v>0</v>
      </c>
    </row>
    <row r="229" spans="1:22">
      <c r="A229" s="154">
        <f>'MATCH CALCS'!A230</f>
        <v>0</v>
      </c>
      <c r="B229" s="154">
        <f>'MATCH CALCS'!$C230</f>
        <v>0</v>
      </c>
      <c r="C229" s="154">
        <f t="shared" si="0"/>
        <v>0</v>
      </c>
      <c r="D229" s="6">
        <f>'MATCH CALCS'!$G230*2</f>
        <v>0</v>
      </c>
      <c r="E229" s="6">
        <f>'MATCH CALCS'!$G230*2</f>
        <v>0</v>
      </c>
      <c r="F229" s="6">
        <f>'MATCH CALCS'!$G230*2</f>
        <v>0</v>
      </c>
      <c r="G229" s="6">
        <f>'MATCH CALCS'!$G230*2</f>
        <v>0</v>
      </c>
      <c r="H229" s="6">
        <f>'MATCH CALCS'!$G230*2</f>
        <v>0</v>
      </c>
      <c r="I229" s="6">
        <f>'MATCH CALCS'!$G230*2</f>
        <v>0</v>
      </c>
      <c r="J229" s="154">
        <f t="shared" si="1"/>
        <v>0</v>
      </c>
      <c r="K229" s="6">
        <f>'MATCH CALCS'!L230*1</f>
        <v>0</v>
      </c>
      <c r="L229" s="6">
        <f>'MATCH CALCS'!$N230*2</f>
        <v>0</v>
      </c>
      <c r="M229" s="6">
        <f>'MATCH CALCS'!N230*1</f>
        <v>0</v>
      </c>
      <c r="N229" s="6">
        <f>'MATCH CALCS'!$N230*2</f>
        <v>0</v>
      </c>
      <c r="O229" s="6">
        <f>'MATCH CALCS'!$N230*2</f>
        <v>0</v>
      </c>
      <c r="P229" s="6">
        <f>'MATCH CALCS'!$P230*5</f>
        <v>0</v>
      </c>
      <c r="Q229" s="154">
        <f t="shared" si="2"/>
        <v>0</v>
      </c>
      <c r="R229" s="6">
        <f>'MATCH CALCS'!$AD230*1</f>
        <v>0</v>
      </c>
      <c r="S229" s="6">
        <f>'MATCH CALCS'!AC230*3</f>
        <v>0</v>
      </c>
      <c r="T229" s="6">
        <f>'MATCH CALCS'!AD230*3</f>
        <v>0</v>
      </c>
      <c r="U229" s="155">
        <f t="shared" si="3"/>
        <v>0</v>
      </c>
      <c r="V229" s="154">
        <f t="shared" si="4"/>
        <v>0</v>
      </c>
    </row>
    <row r="230" spans="1:22">
      <c r="A230" s="154">
        <f>'MATCH CALCS'!A231</f>
        <v>0</v>
      </c>
      <c r="B230" s="154">
        <f>'MATCH CALCS'!$C231</f>
        <v>0</v>
      </c>
      <c r="C230" s="154">
        <f t="shared" si="0"/>
        <v>0</v>
      </c>
      <c r="D230" s="6">
        <f>'MATCH CALCS'!$G231*2</f>
        <v>0</v>
      </c>
      <c r="E230" s="6">
        <f>'MATCH CALCS'!$G231*2</f>
        <v>0</v>
      </c>
      <c r="F230" s="6">
        <f>'MATCH CALCS'!$G231*2</f>
        <v>0</v>
      </c>
      <c r="G230" s="6">
        <f>'MATCH CALCS'!$G231*2</f>
        <v>0</v>
      </c>
      <c r="H230" s="6">
        <f>'MATCH CALCS'!$G231*2</f>
        <v>0</v>
      </c>
      <c r="I230" s="6">
        <f>'MATCH CALCS'!$G231*2</f>
        <v>0</v>
      </c>
      <c r="J230" s="154">
        <f t="shared" si="1"/>
        <v>0</v>
      </c>
      <c r="K230" s="6">
        <f>'MATCH CALCS'!L231*1</f>
        <v>0</v>
      </c>
      <c r="L230" s="6">
        <f>'MATCH CALCS'!$N231*2</f>
        <v>0</v>
      </c>
      <c r="M230" s="6">
        <f>'MATCH CALCS'!N231*1</f>
        <v>0</v>
      </c>
      <c r="N230" s="6">
        <f>'MATCH CALCS'!$N231*2</f>
        <v>0</v>
      </c>
      <c r="O230" s="6">
        <f>'MATCH CALCS'!$N231*2</f>
        <v>0</v>
      </c>
      <c r="P230" s="6">
        <f>'MATCH CALCS'!$P231*5</f>
        <v>0</v>
      </c>
      <c r="Q230" s="154">
        <f t="shared" si="2"/>
        <v>0</v>
      </c>
      <c r="R230" s="6">
        <f>'MATCH CALCS'!$AD231*1</f>
        <v>0</v>
      </c>
      <c r="S230" s="6">
        <f>'MATCH CALCS'!AC231*3</f>
        <v>0</v>
      </c>
      <c r="T230" s="6">
        <f>'MATCH CALCS'!AD231*3</f>
        <v>0</v>
      </c>
      <c r="U230" s="155">
        <f t="shared" si="3"/>
        <v>0</v>
      </c>
      <c r="V230" s="154">
        <f t="shared" si="4"/>
        <v>0</v>
      </c>
    </row>
    <row r="231" spans="1:22">
      <c r="A231" s="154">
        <f>'MATCH CALCS'!A232</f>
        <v>0</v>
      </c>
      <c r="B231" s="154">
        <f>'MATCH CALCS'!$C232</f>
        <v>0</v>
      </c>
      <c r="C231" s="154">
        <f t="shared" si="0"/>
        <v>0</v>
      </c>
      <c r="D231" s="6">
        <f>'MATCH CALCS'!$G232*2</f>
        <v>0</v>
      </c>
      <c r="E231" s="6">
        <f>'MATCH CALCS'!$G232*2</f>
        <v>0</v>
      </c>
      <c r="F231" s="6">
        <f>'MATCH CALCS'!$G232*2</f>
        <v>0</v>
      </c>
      <c r="G231" s="6">
        <f>'MATCH CALCS'!$G232*2</f>
        <v>0</v>
      </c>
      <c r="H231" s="6">
        <f>'MATCH CALCS'!$G232*2</f>
        <v>0</v>
      </c>
      <c r="I231" s="6">
        <f>'MATCH CALCS'!$G232*2</f>
        <v>0</v>
      </c>
      <c r="J231" s="154">
        <f t="shared" si="1"/>
        <v>0</v>
      </c>
      <c r="K231" s="6">
        <f>'MATCH CALCS'!L232*1</f>
        <v>0</v>
      </c>
      <c r="L231" s="6">
        <f>'MATCH CALCS'!$N232*2</f>
        <v>0</v>
      </c>
      <c r="M231" s="6">
        <f>'MATCH CALCS'!N232*1</f>
        <v>0</v>
      </c>
      <c r="N231" s="6">
        <f>'MATCH CALCS'!$N232*2</f>
        <v>0</v>
      </c>
      <c r="O231" s="6">
        <f>'MATCH CALCS'!$N232*2</f>
        <v>0</v>
      </c>
      <c r="P231" s="6">
        <f>'MATCH CALCS'!$P232*5</f>
        <v>0</v>
      </c>
      <c r="Q231" s="154">
        <f t="shared" si="2"/>
        <v>0</v>
      </c>
      <c r="R231" s="6">
        <f>'MATCH CALCS'!$AD232*1</f>
        <v>0</v>
      </c>
      <c r="S231" s="6">
        <f>'MATCH CALCS'!AC232*3</f>
        <v>0</v>
      </c>
      <c r="T231" s="6">
        <f>'MATCH CALCS'!AD232*3</f>
        <v>0</v>
      </c>
      <c r="U231" s="155">
        <f t="shared" si="3"/>
        <v>0</v>
      </c>
      <c r="V231" s="154">
        <f t="shared" si="4"/>
        <v>0</v>
      </c>
    </row>
    <row r="232" spans="1:22">
      <c r="A232" s="154">
        <f>'MATCH CALCS'!A233</f>
        <v>0</v>
      </c>
      <c r="B232" s="154">
        <f>'MATCH CALCS'!$C233</f>
        <v>0</v>
      </c>
      <c r="C232" s="154">
        <f t="shared" si="0"/>
        <v>0</v>
      </c>
      <c r="D232" s="6">
        <f>'MATCH CALCS'!$G233*2</f>
        <v>0</v>
      </c>
      <c r="E232" s="6">
        <f>'MATCH CALCS'!$G233*2</f>
        <v>0</v>
      </c>
      <c r="F232" s="6">
        <f>'MATCH CALCS'!$G233*2</f>
        <v>0</v>
      </c>
      <c r="G232" s="6">
        <f>'MATCH CALCS'!$G233*2</f>
        <v>0</v>
      </c>
      <c r="H232" s="6">
        <f>'MATCH CALCS'!$G233*2</f>
        <v>0</v>
      </c>
      <c r="I232" s="6">
        <f>'MATCH CALCS'!$G233*2</f>
        <v>0</v>
      </c>
      <c r="J232" s="154">
        <f t="shared" si="1"/>
        <v>0</v>
      </c>
      <c r="K232" s="6">
        <f>'MATCH CALCS'!L233*1</f>
        <v>0</v>
      </c>
      <c r="L232" s="6">
        <f>'MATCH CALCS'!$N233*2</f>
        <v>0</v>
      </c>
      <c r="M232" s="6">
        <f>'MATCH CALCS'!N233*1</f>
        <v>0</v>
      </c>
      <c r="N232" s="6">
        <f>'MATCH CALCS'!$N233*2</f>
        <v>0</v>
      </c>
      <c r="O232" s="6">
        <f>'MATCH CALCS'!$N233*2</f>
        <v>0</v>
      </c>
      <c r="P232" s="6">
        <f>'MATCH CALCS'!$P233*5</f>
        <v>0</v>
      </c>
      <c r="Q232" s="154">
        <f t="shared" si="2"/>
        <v>0</v>
      </c>
      <c r="R232" s="6">
        <f>'MATCH CALCS'!$AD233*1</f>
        <v>0</v>
      </c>
      <c r="S232" s="6">
        <f>'MATCH CALCS'!AC233*3</f>
        <v>0</v>
      </c>
      <c r="T232" s="6">
        <f>'MATCH CALCS'!AD233*3</f>
        <v>0</v>
      </c>
      <c r="U232" s="155">
        <f t="shared" si="3"/>
        <v>0</v>
      </c>
      <c r="V232" s="154">
        <f t="shared" si="4"/>
        <v>0</v>
      </c>
    </row>
    <row r="233" spans="1:22">
      <c r="A233" s="154">
        <f>'MATCH CALCS'!A234</f>
        <v>0</v>
      </c>
      <c r="B233" s="154">
        <f>'MATCH CALCS'!$C234</f>
        <v>0</v>
      </c>
      <c r="C233" s="154">
        <f t="shared" si="0"/>
        <v>0</v>
      </c>
      <c r="D233" s="6">
        <f>'MATCH CALCS'!$G234*2</f>
        <v>0</v>
      </c>
      <c r="E233" s="6">
        <f>'MATCH CALCS'!$G234*2</f>
        <v>0</v>
      </c>
      <c r="F233" s="6">
        <f>'MATCH CALCS'!$G234*2</f>
        <v>0</v>
      </c>
      <c r="G233" s="6">
        <f>'MATCH CALCS'!$G234*2</f>
        <v>0</v>
      </c>
      <c r="H233" s="6">
        <f>'MATCH CALCS'!$G234*2</f>
        <v>0</v>
      </c>
      <c r="I233" s="6">
        <f>'MATCH CALCS'!$G234*2</f>
        <v>0</v>
      </c>
      <c r="J233" s="154">
        <f t="shared" si="1"/>
        <v>0</v>
      </c>
      <c r="K233" s="6">
        <f>'MATCH CALCS'!L234*1</f>
        <v>0</v>
      </c>
      <c r="L233" s="6">
        <f>'MATCH CALCS'!$N234*2</f>
        <v>0</v>
      </c>
      <c r="M233" s="6">
        <f>'MATCH CALCS'!N234*1</f>
        <v>0</v>
      </c>
      <c r="N233" s="6">
        <f>'MATCH CALCS'!$N234*2</f>
        <v>0</v>
      </c>
      <c r="O233" s="6">
        <f>'MATCH CALCS'!$N234*2</f>
        <v>0</v>
      </c>
      <c r="P233" s="6">
        <f>'MATCH CALCS'!$P234*5</f>
        <v>0</v>
      </c>
      <c r="Q233" s="154">
        <f t="shared" si="2"/>
        <v>0</v>
      </c>
      <c r="R233" s="6">
        <f>'MATCH CALCS'!$AD234*1</f>
        <v>0</v>
      </c>
      <c r="S233" s="6">
        <f>'MATCH CALCS'!AC234*3</f>
        <v>0</v>
      </c>
      <c r="T233" s="6">
        <f>'MATCH CALCS'!AD234*3</f>
        <v>0</v>
      </c>
      <c r="U233" s="155">
        <f t="shared" si="3"/>
        <v>0</v>
      </c>
      <c r="V233" s="154">
        <f t="shared" si="4"/>
        <v>0</v>
      </c>
    </row>
    <row r="234" spans="1:22">
      <c r="A234" s="154">
        <f>'MATCH CALCS'!A235</f>
        <v>0</v>
      </c>
      <c r="B234" s="154">
        <f>'MATCH CALCS'!$C235</f>
        <v>0</v>
      </c>
      <c r="C234" s="154">
        <f t="shared" si="0"/>
        <v>0</v>
      </c>
      <c r="D234" s="6">
        <f>'MATCH CALCS'!$G235*2</f>
        <v>0</v>
      </c>
      <c r="E234" s="6">
        <f>'MATCH CALCS'!$G235*2</f>
        <v>0</v>
      </c>
      <c r="F234" s="6">
        <f>'MATCH CALCS'!$G235*2</f>
        <v>0</v>
      </c>
      <c r="G234" s="6">
        <f>'MATCH CALCS'!$G235*2</f>
        <v>0</v>
      </c>
      <c r="H234" s="6">
        <f>'MATCH CALCS'!$G235*2</f>
        <v>0</v>
      </c>
      <c r="I234" s="6">
        <f>'MATCH CALCS'!$G235*2</f>
        <v>0</v>
      </c>
      <c r="J234" s="154">
        <f t="shared" si="1"/>
        <v>0</v>
      </c>
      <c r="K234" s="6">
        <f>'MATCH CALCS'!L235*1</f>
        <v>0</v>
      </c>
      <c r="L234" s="6">
        <f>'MATCH CALCS'!$N235*2</f>
        <v>0</v>
      </c>
      <c r="M234" s="6">
        <f>'MATCH CALCS'!N235*1</f>
        <v>0</v>
      </c>
      <c r="N234" s="6">
        <f>'MATCH CALCS'!$N235*2</f>
        <v>0</v>
      </c>
      <c r="O234" s="6">
        <f>'MATCH CALCS'!$N235*2</f>
        <v>0</v>
      </c>
      <c r="P234" s="6">
        <f>'MATCH CALCS'!$P235*5</f>
        <v>0</v>
      </c>
      <c r="Q234" s="154">
        <f t="shared" si="2"/>
        <v>0</v>
      </c>
      <c r="R234" s="6">
        <f>'MATCH CALCS'!$AD235*1</f>
        <v>0</v>
      </c>
      <c r="S234" s="6">
        <f>'MATCH CALCS'!AC235*3</f>
        <v>0</v>
      </c>
      <c r="T234" s="6">
        <f>'MATCH CALCS'!AD235*3</f>
        <v>0</v>
      </c>
      <c r="U234" s="155">
        <f t="shared" si="3"/>
        <v>0</v>
      </c>
      <c r="V234" s="154">
        <f t="shared" si="4"/>
        <v>0</v>
      </c>
    </row>
    <row r="235" spans="1:22">
      <c r="A235" s="154">
        <f>'MATCH CALCS'!A236</f>
        <v>0</v>
      </c>
      <c r="B235" s="154">
        <f>'MATCH CALCS'!$C236</f>
        <v>0</v>
      </c>
      <c r="C235" s="154">
        <f t="shared" si="0"/>
        <v>0</v>
      </c>
      <c r="D235" s="6">
        <f>'MATCH CALCS'!$G236*2</f>
        <v>0</v>
      </c>
      <c r="E235" s="6">
        <f>'MATCH CALCS'!$G236*2</f>
        <v>0</v>
      </c>
      <c r="F235" s="6">
        <f>'MATCH CALCS'!$G236*2</f>
        <v>0</v>
      </c>
      <c r="G235" s="6">
        <f>'MATCH CALCS'!$G236*2</f>
        <v>0</v>
      </c>
      <c r="H235" s="6">
        <f>'MATCH CALCS'!$G236*2</f>
        <v>0</v>
      </c>
      <c r="I235" s="6">
        <f>'MATCH CALCS'!$G236*2</f>
        <v>0</v>
      </c>
      <c r="J235" s="154">
        <f t="shared" si="1"/>
        <v>0</v>
      </c>
      <c r="K235" s="6">
        <f>'MATCH CALCS'!L236*1</f>
        <v>0</v>
      </c>
      <c r="L235" s="6">
        <f>'MATCH CALCS'!$N236*2</f>
        <v>0</v>
      </c>
      <c r="M235" s="6">
        <f>'MATCH CALCS'!N236*1</f>
        <v>0</v>
      </c>
      <c r="N235" s="6">
        <f>'MATCH CALCS'!$N236*2</f>
        <v>0</v>
      </c>
      <c r="O235" s="6">
        <f>'MATCH CALCS'!$N236*2</f>
        <v>0</v>
      </c>
      <c r="P235" s="6">
        <f>'MATCH CALCS'!$P236*5</f>
        <v>0</v>
      </c>
      <c r="Q235" s="154">
        <f t="shared" si="2"/>
        <v>0</v>
      </c>
      <c r="R235" s="6">
        <f>'MATCH CALCS'!$AD236*1</f>
        <v>0</v>
      </c>
      <c r="S235" s="6">
        <f>'MATCH CALCS'!AC236*3</f>
        <v>0</v>
      </c>
      <c r="T235" s="6">
        <f>'MATCH CALCS'!AD236*3</f>
        <v>0</v>
      </c>
      <c r="U235" s="155">
        <f t="shared" si="3"/>
        <v>0</v>
      </c>
      <c r="V235" s="154">
        <f t="shared" si="4"/>
        <v>0</v>
      </c>
    </row>
    <row r="236" spans="1:22">
      <c r="A236" s="154">
        <f>'MATCH CALCS'!A237</f>
        <v>0</v>
      </c>
      <c r="B236" s="154">
        <f>'MATCH CALCS'!$C237</f>
        <v>0</v>
      </c>
      <c r="C236" s="154">
        <f t="shared" si="0"/>
        <v>0</v>
      </c>
      <c r="D236" s="6">
        <f>'MATCH CALCS'!$G237*2</f>
        <v>0</v>
      </c>
      <c r="E236" s="6">
        <f>'MATCH CALCS'!$G237*2</f>
        <v>0</v>
      </c>
      <c r="F236" s="6">
        <f>'MATCH CALCS'!$G237*2</f>
        <v>0</v>
      </c>
      <c r="G236" s="6">
        <f>'MATCH CALCS'!$G237*2</f>
        <v>0</v>
      </c>
      <c r="H236" s="6">
        <f>'MATCH CALCS'!$G237*2</f>
        <v>0</v>
      </c>
      <c r="I236" s="6">
        <f>'MATCH CALCS'!$G237*2</f>
        <v>0</v>
      </c>
      <c r="J236" s="154">
        <f t="shared" si="1"/>
        <v>0</v>
      </c>
      <c r="K236" s="6">
        <f>'MATCH CALCS'!L237*1</f>
        <v>0</v>
      </c>
      <c r="L236" s="6">
        <f>'MATCH CALCS'!$N237*2</f>
        <v>0</v>
      </c>
      <c r="M236" s="6">
        <f>'MATCH CALCS'!N237*1</f>
        <v>0</v>
      </c>
      <c r="N236" s="6">
        <f>'MATCH CALCS'!$N237*2</f>
        <v>0</v>
      </c>
      <c r="O236" s="6">
        <f>'MATCH CALCS'!$N237*2</f>
        <v>0</v>
      </c>
      <c r="P236" s="6">
        <f>'MATCH CALCS'!$P237*5</f>
        <v>0</v>
      </c>
      <c r="Q236" s="154">
        <f t="shared" si="2"/>
        <v>0</v>
      </c>
      <c r="R236" s="6">
        <f>'MATCH CALCS'!$AD237*1</f>
        <v>0</v>
      </c>
      <c r="S236" s="6">
        <f>'MATCH CALCS'!AC237*3</f>
        <v>0</v>
      </c>
      <c r="T236" s="6">
        <f>'MATCH CALCS'!AD237*3</f>
        <v>0</v>
      </c>
      <c r="U236" s="155">
        <f t="shared" si="3"/>
        <v>0</v>
      </c>
      <c r="V236" s="154">
        <f t="shared" si="4"/>
        <v>0</v>
      </c>
    </row>
    <row r="237" spans="1:22">
      <c r="A237" s="154">
        <f>'MATCH CALCS'!A238</f>
        <v>0</v>
      </c>
      <c r="B237" s="154">
        <f>'MATCH CALCS'!$C238</f>
        <v>0</v>
      </c>
      <c r="C237" s="154">
        <f t="shared" si="0"/>
        <v>0</v>
      </c>
      <c r="D237" s="6">
        <f>'MATCH CALCS'!$G238*2</f>
        <v>0</v>
      </c>
      <c r="E237" s="6">
        <f>'MATCH CALCS'!$G238*2</f>
        <v>0</v>
      </c>
      <c r="F237" s="6">
        <f>'MATCH CALCS'!$G238*2</f>
        <v>0</v>
      </c>
      <c r="G237" s="6">
        <f>'MATCH CALCS'!$G238*2</f>
        <v>0</v>
      </c>
      <c r="H237" s="6">
        <f>'MATCH CALCS'!$G238*2</f>
        <v>0</v>
      </c>
      <c r="I237" s="6">
        <f>'MATCH CALCS'!$G238*2</f>
        <v>0</v>
      </c>
      <c r="J237" s="154">
        <f t="shared" si="1"/>
        <v>0</v>
      </c>
      <c r="K237" s="6">
        <f>'MATCH CALCS'!L238*1</f>
        <v>0</v>
      </c>
      <c r="L237" s="6">
        <f>'MATCH CALCS'!$N238*2</f>
        <v>0</v>
      </c>
      <c r="M237" s="6">
        <f>'MATCH CALCS'!N238*1</f>
        <v>0</v>
      </c>
      <c r="N237" s="6">
        <f>'MATCH CALCS'!$N238*2</f>
        <v>0</v>
      </c>
      <c r="O237" s="6">
        <f>'MATCH CALCS'!$N238*2</f>
        <v>0</v>
      </c>
      <c r="P237" s="6">
        <f>'MATCH CALCS'!$P238*5</f>
        <v>0</v>
      </c>
      <c r="Q237" s="154">
        <f t="shared" si="2"/>
        <v>0</v>
      </c>
      <c r="R237" s="6">
        <f>'MATCH CALCS'!$AD238*1</f>
        <v>0</v>
      </c>
      <c r="S237" s="6">
        <f>'MATCH CALCS'!AC238*3</f>
        <v>0</v>
      </c>
      <c r="T237" s="6">
        <f>'MATCH CALCS'!AD238*3</f>
        <v>0</v>
      </c>
      <c r="U237" s="155">
        <f t="shared" si="3"/>
        <v>0</v>
      </c>
      <c r="V237" s="154">
        <f t="shared" si="4"/>
        <v>0</v>
      </c>
    </row>
    <row r="238" spans="1:22">
      <c r="A238" s="154">
        <f>'MATCH CALCS'!A239</f>
        <v>0</v>
      </c>
      <c r="B238" s="154">
        <f>'MATCH CALCS'!$C239</f>
        <v>0</v>
      </c>
      <c r="C238" s="154">
        <f t="shared" si="0"/>
        <v>0</v>
      </c>
      <c r="D238" s="6">
        <f>'MATCH CALCS'!$G239*2</f>
        <v>0</v>
      </c>
      <c r="E238" s="6">
        <f>'MATCH CALCS'!$G239*2</f>
        <v>0</v>
      </c>
      <c r="F238" s="6">
        <f>'MATCH CALCS'!$G239*2</f>
        <v>0</v>
      </c>
      <c r="G238" s="6">
        <f>'MATCH CALCS'!$G239*2</f>
        <v>0</v>
      </c>
      <c r="H238" s="6">
        <f>'MATCH CALCS'!$G239*2</f>
        <v>0</v>
      </c>
      <c r="I238" s="6">
        <f>'MATCH CALCS'!$G239*2</f>
        <v>0</v>
      </c>
      <c r="J238" s="154">
        <f t="shared" si="1"/>
        <v>0</v>
      </c>
      <c r="K238" s="6">
        <f>'MATCH CALCS'!L239*1</f>
        <v>0</v>
      </c>
      <c r="L238" s="6">
        <f>'MATCH CALCS'!$N239*2</f>
        <v>0</v>
      </c>
      <c r="M238" s="6">
        <f>'MATCH CALCS'!N239*1</f>
        <v>0</v>
      </c>
      <c r="N238" s="6">
        <f>'MATCH CALCS'!$N239*2</f>
        <v>0</v>
      </c>
      <c r="O238" s="6">
        <f>'MATCH CALCS'!$N239*2</f>
        <v>0</v>
      </c>
      <c r="P238" s="6">
        <f>'MATCH CALCS'!$P239*5</f>
        <v>0</v>
      </c>
      <c r="Q238" s="154">
        <f t="shared" si="2"/>
        <v>0</v>
      </c>
      <c r="R238" s="6">
        <f>'MATCH CALCS'!$AD239*1</f>
        <v>0</v>
      </c>
      <c r="S238" s="6">
        <f>'MATCH CALCS'!AC239*3</f>
        <v>0</v>
      </c>
      <c r="T238" s="6">
        <f>'MATCH CALCS'!AD239*3</f>
        <v>0</v>
      </c>
      <c r="U238" s="155">
        <f t="shared" si="3"/>
        <v>0</v>
      </c>
      <c r="V238" s="154">
        <f t="shared" si="4"/>
        <v>0</v>
      </c>
    </row>
    <row r="239" spans="1:22">
      <c r="A239" s="154">
        <f>'MATCH CALCS'!A240</f>
        <v>0</v>
      </c>
      <c r="B239" s="154">
        <f>'MATCH CALCS'!$C240</f>
        <v>0</v>
      </c>
      <c r="C239" s="154">
        <f t="shared" si="0"/>
        <v>0</v>
      </c>
      <c r="D239" s="6">
        <f>'MATCH CALCS'!$G240*2</f>
        <v>0</v>
      </c>
      <c r="E239" s="6">
        <f>'MATCH CALCS'!$G240*2</f>
        <v>0</v>
      </c>
      <c r="F239" s="6">
        <f>'MATCH CALCS'!$G240*2</f>
        <v>0</v>
      </c>
      <c r="G239" s="6">
        <f>'MATCH CALCS'!$G240*2</f>
        <v>0</v>
      </c>
      <c r="H239" s="6">
        <f>'MATCH CALCS'!$G240*2</f>
        <v>0</v>
      </c>
      <c r="I239" s="6">
        <f>'MATCH CALCS'!$G240*2</f>
        <v>0</v>
      </c>
      <c r="J239" s="154">
        <f t="shared" si="1"/>
        <v>0</v>
      </c>
      <c r="K239" s="6">
        <f>'MATCH CALCS'!L240*1</f>
        <v>0</v>
      </c>
      <c r="L239" s="6">
        <f>'MATCH CALCS'!$N240*2</f>
        <v>0</v>
      </c>
      <c r="M239" s="6">
        <f>'MATCH CALCS'!N240*1</f>
        <v>0</v>
      </c>
      <c r="N239" s="6">
        <f>'MATCH CALCS'!$N240*2</f>
        <v>0</v>
      </c>
      <c r="O239" s="6">
        <f>'MATCH CALCS'!$N240*2</f>
        <v>0</v>
      </c>
      <c r="P239" s="6">
        <f>'MATCH CALCS'!$P240*5</f>
        <v>0</v>
      </c>
      <c r="Q239" s="154">
        <f t="shared" si="2"/>
        <v>0</v>
      </c>
      <c r="R239" s="6">
        <f>'MATCH CALCS'!$AD240*1</f>
        <v>0</v>
      </c>
      <c r="S239" s="6">
        <f>'MATCH CALCS'!AC240*3</f>
        <v>0</v>
      </c>
      <c r="T239" s="6">
        <f>'MATCH CALCS'!AD240*3</f>
        <v>0</v>
      </c>
      <c r="U239" s="155">
        <f t="shared" si="3"/>
        <v>0</v>
      </c>
      <c r="V239" s="154">
        <f t="shared" si="4"/>
        <v>0</v>
      </c>
    </row>
    <row r="240" spans="1:22">
      <c r="A240" s="154">
        <f>'MATCH CALCS'!A241</f>
        <v>0</v>
      </c>
      <c r="B240" s="154">
        <f>'MATCH CALCS'!$C241</f>
        <v>0</v>
      </c>
      <c r="C240" s="154">
        <f t="shared" si="0"/>
        <v>0</v>
      </c>
      <c r="D240" s="6">
        <f>'MATCH CALCS'!$G241*2</f>
        <v>0</v>
      </c>
      <c r="E240" s="6">
        <f>'MATCH CALCS'!$G241*2</f>
        <v>0</v>
      </c>
      <c r="F240" s="6">
        <f>'MATCH CALCS'!$G241*2</f>
        <v>0</v>
      </c>
      <c r="G240" s="6">
        <f>'MATCH CALCS'!$G241*2</f>
        <v>0</v>
      </c>
      <c r="H240" s="6">
        <f>'MATCH CALCS'!$G241*2</f>
        <v>0</v>
      </c>
      <c r="I240" s="6">
        <f>'MATCH CALCS'!$G241*2</f>
        <v>0</v>
      </c>
      <c r="J240" s="154">
        <f t="shared" si="1"/>
        <v>0</v>
      </c>
      <c r="K240" s="6">
        <f>'MATCH CALCS'!L241*1</f>
        <v>0</v>
      </c>
      <c r="L240" s="6">
        <f>'MATCH CALCS'!$N241*2</f>
        <v>0</v>
      </c>
      <c r="M240" s="6">
        <f>'MATCH CALCS'!N241*1</f>
        <v>0</v>
      </c>
      <c r="N240" s="6">
        <f>'MATCH CALCS'!$N241*2</f>
        <v>0</v>
      </c>
      <c r="O240" s="6">
        <f>'MATCH CALCS'!$N241*2</f>
        <v>0</v>
      </c>
      <c r="P240" s="6">
        <f>'MATCH CALCS'!$P241*5</f>
        <v>0</v>
      </c>
      <c r="Q240" s="154">
        <f t="shared" si="2"/>
        <v>0</v>
      </c>
      <c r="R240" s="6">
        <f>'MATCH CALCS'!$AD241*1</f>
        <v>0</v>
      </c>
      <c r="S240" s="6">
        <f>'MATCH CALCS'!AC241*3</f>
        <v>0</v>
      </c>
      <c r="T240" s="6">
        <f>'MATCH CALCS'!AD241*3</f>
        <v>0</v>
      </c>
      <c r="U240" s="155">
        <f t="shared" si="3"/>
        <v>0</v>
      </c>
      <c r="V240" s="154">
        <f t="shared" si="4"/>
        <v>0</v>
      </c>
    </row>
    <row r="241" spans="1:22">
      <c r="A241" s="154">
        <f>'MATCH CALCS'!A242</f>
        <v>0</v>
      </c>
      <c r="B241" s="154">
        <f>'MATCH CALCS'!$C242</f>
        <v>0</v>
      </c>
      <c r="C241" s="154">
        <f t="shared" si="0"/>
        <v>0</v>
      </c>
      <c r="D241" s="6">
        <f>'MATCH CALCS'!$G242*2</f>
        <v>0</v>
      </c>
      <c r="E241" s="6">
        <f>'MATCH CALCS'!$G242*2</f>
        <v>0</v>
      </c>
      <c r="F241" s="6">
        <f>'MATCH CALCS'!$G242*2</f>
        <v>0</v>
      </c>
      <c r="G241" s="6">
        <f>'MATCH CALCS'!$G242*2</f>
        <v>0</v>
      </c>
      <c r="H241" s="6">
        <f>'MATCH CALCS'!$G242*2</f>
        <v>0</v>
      </c>
      <c r="I241" s="6">
        <f>'MATCH CALCS'!$G242*2</f>
        <v>0</v>
      </c>
      <c r="J241" s="154">
        <f t="shared" si="1"/>
        <v>0</v>
      </c>
      <c r="K241" s="6">
        <f>'MATCH CALCS'!L242*1</f>
        <v>0</v>
      </c>
      <c r="L241" s="6">
        <f>'MATCH CALCS'!$N242*2</f>
        <v>0</v>
      </c>
      <c r="M241" s="6">
        <f>'MATCH CALCS'!N242*1</f>
        <v>0</v>
      </c>
      <c r="N241" s="6">
        <f>'MATCH CALCS'!$N242*2</f>
        <v>0</v>
      </c>
      <c r="O241" s="6">
        <f>'MATCH CALCS'!$N242*2</f>
        <v>0</v>
      </c>
      <c r="P241" s="6">
        <f>'MATCH CALCS'!$P242*5</f>
        <v>0</v>
      </c>
      <c r="Q241" s="154">
        <f t="shared" si="2"/>
        <v>0</v>
      </c>
      <c r="R241" s="6">
        <f>'MATCH CALCS'!$AD242*1</f>
        <v>0</v>
      </c>
      <c r="S241" s="6">
        <f>'MATCH CALCS'!AC242*3</f>
        <v>0</v>
      </c>
      <c r="T241" s="6">
        <f>'MATCH CALCS'!AD242*3</f>
        <v>0</v>
      </c>
      <c r="U241" s="155">
        <f t="shared" si="3"/>
        <v>0</v>
      </c>
      <c r="V241" s="154">
        <f t="shared" si="4"/>
        <v>0</v>
      </c>
    </row>
    <row r="242" spans="1:22">
      <c r="A242" s="154">
        <f>'MATCH CALCS'!A243</f>
        <v>0</v>
      </c>
      <c r="B242" s="154">
        <f>'MATCH CALCS'!$C243</f>
        <v>0</v>
      </c>
      <c r="C242" s="154">
        <f t="shared" si="0"/>
        <v>0</v>
      </c>
      <c r="D242" s="6">
        <f>'MATCH CALCS'!$G243*2</f>
        <v>0</v>
      </c>
      <c r="E242" s="6">
        <f>'MATCH CALCS'!$G243*2</f>
        <v>0</v>
      </c>
      <c r="F242" s="6">
        <f>'MATCH CALCS'!$G243*2</f>
        <v>0</v>
      </c>
      <c r="G242" s="6">
        <f>'MATCH CALCS'!$G243*2</f>
        <v>0</v>
      </c>
      <c r="H242" s="6">
        <f>'MATCH CALCS'!$G243*2</f>
        <v>0</v>
      </c>
      <c r="I242" s="6">
        <f>'MATCH CALCS'!$G243*2</f>
        <v>0</v>
      </c>
      <c r="J242" s="154">
        <f t="shared" si="1"/>
        <v>0</v>
      </c>
      <c r="K242" s="6">
        <f>'MATCH CALCS'!L243*1</f>
        <v>0</v>
      </c>
      <c r="L242" s="6">
        <f>'MATCH CALCS'!$N243*2</f>
        <v>0</v>
      </c>
      <c r="M242" s="6">
        <f>'MATCH CALCS'!N243*1</f>
        <v>0</v>
      </c>
      <c r="N242" s="6">
        <f>'MATCH CALCS'!$N243*2</f>
        <v>0</v>
      </c>
      <c r="O242" s="6">
        <f>'MATCH CALCS'!$N243*2</f>
        <v>0</v>
      </c>
      <c r="P242" s="6">
        <f>'MATCH CALCS'!$P243*5</f>
        <v>0</v>
      </c>
      <c r="Q242" s="154">
        <f t="shared" si="2"/>
        <v>0</v>
      </c>
      <c r="R242" s="6">
        <f>'MATCH CALCS'!$AD243*1</f>
        <v>0</v>
      </c>
      <c r="S242" s="6">
        <f>'MATCH CALCS'!AC243*3</f>
        <v>0</v>
      </c>
      <c r="T242" s="6">
        <f>'MATCH CALCS'!AD243*3</f>
        <v>0</v>
      </c>
      <c r="U242" s="155">
        <f t="shared" si="3"/>
        <v>0</v>
      </c>
      <c r="V242" s="154">
        <f t="shared" si="4"/>
        <v>0</v>
      </c>
    </row>
    <row r="243" spans="1:22">
      <c r="A243" s="154">
        <f>'MATCH CALCS'!A244</f>
        <v>0</v>
      </c>
      <c r="B243" s="154">
        <f>'MATCH CALCS'!$C244</f>
        <v>0</v>
      </c>
      <c r="C243" s="154">
        <f t="shared" si="0"/>
        <v>0</v>
      </c>
      <c r="D243" s="6">
        <f>'MATCH CALCS'!$G244*2</f>
        <v>0</v>
      </c>
      <c r="E243" s="6">
        <f>'MATCH CALCS'!$G244*2</f>
        <v>0</v>
      </c>
      <c r="F243" s="6">
        <f>'MATCH CALCS'!$G244*2</f>
        <v>0</v>
      </c>
      <c r="G243" s="6">
        <f>'MATCH CALCS'!$G244*2</f>
        <v>0</v>
      </c>
      <c r="H243" s="6">
        <f>'MATCH CALCS'!$G244*2</f>
        <v>0</v>
      </c>
      <c r="I243" s="6">
        <f>'MATCH CALCS'!$G244*2</f>
        <v>0</v>
      </c>
      <c r="J243" s="154">
        <f t="shared" si="1"/>
        <v>0</v>
      </c>
      <c r="K243" s="6">
        <f>'MATCH CALCS'!L244*1</f>
        <v>0</v>
      </c>
      <c r="L243" s="6">
        <f>'MATCH CALCS'!$N244*2</f>
        <v>0</v>
      </c>
      <c r="M243" s="6">
        <f>'MATCH CALCS'!N244*1</f>
        <v>0</v>
      </c>
      <c r="N243" s="6">
        <f>'MATCH CALCS'!$N244*2</f>
        <v>0</v>
      </c>
      <c r="O243" s="6">
        <f>'MATCH CALCS'!$N244*2</f>
        <v>0</v>
      </c>
      <c r="P243" s="6">
        <f>'MATCH CALCS'!$P244*5</f>
        <v>0</v>
      </c>
      <c r="Q243" s="154">
        <f t="shared" si="2"/>
        <v>0</v>
      </c>
      <c r="R243" s="6">
        <f>'MATCH CALCS'!$AD244*1</f>
        <v>0</v>
      </c>
      <c r="S243" s="6">
        <f>'MATCH CALCS'!AC244*3</f>
        <v>0</v>
      </c>
      <c r="T243" s="6">
        <f>'MATCH CALCS'!AD244*3</f>
        <v>0</v>
      </c>
      <c r="U243" s="155">
        <f t="shared" si="3"/>
        <v>0</v>
      </c>
      <c r="V243" s="154">
        <f t="shared" si="4"/>
        <v>0</v>
      </c>
    </row>
    <row r="244" spans="1:22">
      <c r="A244" s="154">
        <f>'MATCH CALCS'!A245</f>
        <v>0</v>
      </c>
      <c r="B244" s="154">
        <f>'MATCH CALCS'!$C245</f>
        <v>0</v>
      </c>
      <c r="C244" s="154">
        <f t="shared" si="0"/>
        <v>0</v>
      </c>
      <c r="D244" s="6">
        <f>'MATCH CALCS'!$G245*2</f>
        <v>0</v>
      </c>
      <c r="E244" s="6">
        <f>'MATCH CALCS'!$G245*2</f>
        <v>0</v>
      </c>
      <c r="F244" s="6">
        <f>'MATCH CALCS'!$G245*2</f>
        <v>0</v>
      </c>
      <c r="G244" s="6">
        <f>'MATCH CALCS'!$G245*2</f>
        <v>0</v>
      </c>
      <c r="H244" s="6">
        <f>'MATCH CALCS'!$G245*2</f>
        <v>0</v>
      </c>
      <c r="I244" s="6">
        <f>'MATCH CALCS'!$G245*2</f>
        <v>0</v>
      </c>
      <c r="J244" s="154">
        <f t="shared" si="1"/>
        <v>0</v>
      </c>
      <c r="K244" s="6">
        <f>'MATCH CALCS'!L245*1</f>
        <v>0</v>
      </c>
      <c r="L244" s="6">
        <f>'MATCH CALCS'!$N245*2</f>
        <v>0</v>
      </c>
      <c r="M244" s="6">
        <f>'MATCH CALCS'!N245*1</f>
        <v>0</v>
      </c>
      <c r="N244" s="6">
        <f>'MATCH CALCS'!$N245*2</f>
        <v>0</v>
      </c>
      <c r="O244" s="6">
        <f>'MATCH CALCS'!$N245*2</f>
        <v>0</v>
      </c>
      <c r="P244" s="6">
        <f>'MATCH CALCS'!$P245*5</f>
        <v>0</v>
      </c>
      <c r="Q244" s="154">
        <f t="shared" si="2"/>
        <v>0</v>
      </c>
      <c r="R244" s="6">
        <f>'MATCH CALCS'!$AD245*1</f>
        <v>0</v>
      </c>
      <c r="S244" s="6">
        <f>'MATCH CALCS'!AC245*3</f>
        <v>0</v>
      </c>
      <c r="T244" s="6">
        <f>'MATCH CALCS'!AD245*3</f>
        <v>0</v>
      </c>
      <c r="U244" s="155">
        <f t="shared" si="3"/>
        <v>0</v>
      </c>
      <c r="V244" s="154">
        <f t="shared" si="4"/>
        <v>0</v>
      </c>
    </row>
    <row r="245" spans="1:22">
      <c r="A245" s="154">
        <f>'MATCH CALCS'!A246</f>
        <v>0</v>
      </c>
      <c r="B245" s="154">
        <f>'MATCH CALCS'!$C246</f>
        <v>0</v>
      </c>
      <c r="C245" s="154">
        <f t="shared" si="0"/>
        <v>0</v>
      </c>
      <c r="D245" s="6">
        <f>'MATCH CALCS'!$G246*2</f>
        <v>0</v>
      </c>
      <c r="E245" s="6">
        <f>'MATCH CALCS'!$G246*2</f>
        <v>0</v>
      </c>
      <c r="F245" s="6">
        <f>'MATCH CALCS'!$G246*2</f>
        <v>0</v>
      </c>
      <c r="G245" s="6">
        <f>'MATCH CALCS'!$G246*2</f>
        <v>0</v>
      </c>
      <c r="H245" s="6">
        <f>'MATCH CALCS'!$G246*2</f>
        <v>0</v>
      </c>
      <c r="I245" s="6">
        <f>'MATCH CALCS'!$G246*2</f>
        <v>0</v>
      </c>
      <c r="J245" s="154">
        <f t="shared" si="1"/>
        <v>0</v>
      </c>
      <c r="K245" s="6">
        <f>'MATCH CALCS'!L246*1</f>
        <v>0</v>
      </c>
      <c r="L245" s="6">
        <f>'MATCH CALCS'!$N246*2</f>
        <v>0</v>
      </c>
      <c r="M245" s="6">
        <f>'MATCH CALCS'!N246*1</f>
        <v>0</v>
      </c>
      <c r="N245" s="6">
        <f>'MATCH CALCS'!$N246*2</f>
        <v>0</v>
      </c>
      <c r="O245" s="6">
        <f>'MATCH CALCS'!$N246*2</f>
        <v>0</v>
      </c>
      <c r="P245" s="6">
        <f>'MATCH CALCS'!$P246*5</f>
        <v>0</v>
      </c>
      <c r="Q245" s="154">
        <f t="shared" si="2"/>
        <v>0</v>
      </c>
      <c r="R245" s="6">
        <f>'MATCH CALCS'!$AD246*1</f>
        <v>0</v>
      </c>
      <c r="S245" s="6">
        <f>'MATCH CALCS'!AC246*3</f>
        <v>0</v>
      </c>
      <c r="T245" s="6">
        <f>'MATCH CALCS'!AD246*3</f>
        <v>0</v>
      </c>
      <c r="U245" s="155">
        <f t="shared" si="3"/>
        <v>0</v>
      </c>
      <c r="V245" s="154">
        <f t="shared" si="4"/>
        <v>0</v>
      </c>
    </row>
    <row r="246" spans="1:22">
      <c r="A246" s="154">
        <f>'MATCH CALCS'!A247</f>
        <v>0</v>
      </c>
      <c r="B246" s="154">
        <f>'MATCH CALCS'!$C247</f>
        <v>0</v>
      </c>
      <c r="C246" s="154">
        <f t="shared" si="0"/>
        <v>0</v>
      </c>
      <c r="D246" s="6">
        <f>'MATCH CALCS'!$G247*2</f>
        <v>0</v>
      </c>
      <c r="E246" s="6">
        <f>'MATCH CALCS'!$G247*2</f>
        <v>0</v>
      </c>
      <c r="F246" s="6">
        <f>'MATCH CALCS'!$G247*2</f>
        <v>0</v>
      </c>
      <c r="G246" s="6">
        <f>'MATCH CALCS'!$G247*2</f>
        <v>0</v>
      </c>
      <c r="H246" s="6">
        <f>'MATCH CALCS'!$G247*2</f>
        <v>0</v>
      </c>
      <c r="I246" s="6">
        <f>'MATCH CALCS'!$G247*2</f>
        <v>0</v>
      </c>
      <c r="J246" s="154">
        <f t="shared" si="1"/>
        <v>0</v>
      </c>
      <c r="K246" s="6">
        <f>'MATCH CALCS'!L247*1</f>
        <v>0</v>
      </c>
      <c r="L246" s="6">
        <f>'MATCH CALCS'!$N247*2</f>
        <v>0</v>
      </c>
      <c r="M246" s="6">
        <f>'MATCH CALCS'!N247*1</f>
        <v>0</v>
      </c>
      <c r="N246" s="6">
        <f>'MATCH CALCS'!$N247*2</f>
        <v>0</v>
      </c>
      <c r="O246" s="6">
        <f>'MATCH CALCS'!$N247*2</f>
        <v>0</v>
      </c>
      <c r="P246" s="6">
        <f>'MATCH CALCS'!$P247*5</f>
        <v>0</v>
      </c>
      <c r="Q246" s="154">
        <f t="shared" si="2"/>
        <v>0</v>
      </c>
      <c r="R246" s="6">
        <f>'MATCH CALCS'!$AD247*1</f>
        <v>0</v>
      </c>
      <c r="S246" s="6">
        <f>'MATCH CALCS'!AC247*3</f>
        <v>0</v>
      </c>
      <c r="T246" s="6">
        <f>'MATCH CALCS'!AD247*3</f>
        <v>0</v>
      </c>
      <c r="U246" s="155">
        <f t="shared" si="3"/>
        <v>0</v>
      </c>
      <c r="V246" s="154">
        <f t="shared" si="4"/>
        <v>0</v>
      </c>
    </row>
    <row r="247" spans="1:22">
      <c r="A247" s="154">
        <f>'MATCH CALCS'!A248</f>
        <v>0</v>
      </c>
      <c r="B247" s="154">
        <f>'MATCH CALCS'!$C248</f>
        <v>0</v>
      </c>
      <c r="C247" s="154">
        <f t="shared" si="0"/>
        <v>0</v>
      </c>
      <c r="D247" s="6">
        <f>'MATCH CALCS'!$G248*2</f>
        <v>0</v>
      </c>
      <c r="E247" s="6">
        <f>'MATCH CALCS'!$G248*2</f>
        <v>0</v>
      </c>
      <c r="F247" s="6">
        <f>'MATCH CALCS'!$G248*2</f>
        <v>0</v>
      </c>
      <c r="G247" s="6">
        <f>'MATCH CALCS'!$G248*2</f>
        <v>0</v>
      </c>
      <c r="H247" s="6">
        <f>'MATCH CALCS'!$G248*2</f>
        <v>0</v>
      </c>
      <c r="I247" s="6">
        <f>'MATCH CALCS'!$G248*2</f>
        <v>0</v>
      </c>
      <c r="J247" s="154">
        <f t="shared" si="1"/>
        <v>0</v>
      </c>
      <c r="K247" s="6">
        <f>'MATCH CALCS'!L248*1</f>
        <v>0</v>
      </c>
      <c r="L247" s="6">
        <f>'MATCH CALCS'!$N248*2</f>
        <v>0</v>
      </c>
      <c r="M247" s="6">
        <f>'MATCH CALCS'!N248*1</f>
        <v>0</v>
      </c>
      <c r="N247" s="6">
        <f>'MATCH CALCS'!$N248*2</f>
        <v>0</v>
      </c>
      <c r="O247" s="6">
        <f>'MATCH CALCS'!$N248*2</f>
        <v>0</v>
      </c>
      <c r="P247" s="6">
        <f>'MATCH CALCS'!$P248*5</f>
        <v>0</v>
      </c>
      <c r="Q247" s="154">
        <f t="shared" si="2"/>
        <v>0</v>
      </c>
      <c r="R247" s="6">
        <f>'MATCH CALCS'!$AD248*1</f>
        <v>0</v>
      </c>
      <c r="S247" s="6">
        <f>'MATCH CALCS'!AC248*3</f>
        <v>0</v>
      </c>
      <c r="T247" s="6">
        <f>'MATCH CALCS'!AD248*3</f>
        <v>0</v>
      </c>
      <c r="U247" s="155">
        <f t="shared" si="3"/>
        <v>0</v>
      </c>
      <c r="V247" s="154">
        <f t="shared" si="4"/>
        <v>0</v>
      </c>
    </row>
    <row r="248" spans="1:22">
      <c r="A248" s="154">
        <f>'MATCH CALCS'!A249</f>
        <v>0</v>
      </c>
      <c r="B248" s="154">
        <f>'MATCH CALCS'!$C249</f>
        <v>0</v>
      </c>
      <c r="C248" s="154">
        <f t="shared" si="0"/>
        <v>0</v>
      </c>
      <c r="D248" s="6">
        <f>'MATCH CALCS'!$G249*2</f>
        <v>0</v>
      </c>
      <c r="E248" s="6">
        <f>'MATCH CALCS'!$G249*2</f>
        <v>0</v>
      </c>
      <c r="F248" s="6">
        <f>'MATCH CALCS'!$G249*2</f>
        <v>0</v>
      </c>
      <c r="G248" s="6">
        <f>'MATCH CALCS'!$G249*2</f>
        <v>0</v>
      </c>
      <c r="H248" s="6">
        <f>'MATCH CALCS'!$G249*2</f>
        <v>0</v>
      </c>
      <c r="I248" s="6">
        <f>'MATCH CALCS'!$G249*2</f>
        <v>0</v>
      </c>
      <c r="J248" s="154">
        <f t="shared" si="1"/>
        <v>0</v>
      </c>
      <c r="K248" s="6">
        <f>'MATCH CALCS'!L249*1</f>
        <v>0</v>
      </c>
      <c r="L248" s="6">
        <f>'MATCH CALCS'!$N249*2</f>
        <v>0</v>
      </c>
      <c r="M248" s="6">
        <f>'MATCH CALCS'!N249*1</f>
        <v>0</v>
      </c>
      <c r="N248" s="6">
        <f>'MATCH CALCS'!$N249*2</f>
        <v>0</v>
      </c>
      <c r="O248" s="6">
        <f>'MATCH CALCS'!$N249*2</f>
        <v>0</v>
      </c>
      <c r="P248" s="6">
        <f>'MATCH CALCS'!$P249*5</f>
        <v>0</v>
      </c>
      <c r="Q248" s="154">
        <f t="shared" si="2"/>
        <v>0</v>
      </c>
      <c r="R248" s="6">
        <f>'MATCH CALCS'!$AD249*1</f>
        <v>0</v>
      </c>
      <c r="S248" s="6">
        <f>'MATCH CALCS'!AC249*3</f>
        <v>0</v>
      </c>
      <c r="T248" s="6">
        <f>'MATCH CALCS'!AD249*3</f>
        <v>0</v>
      </c>
      <c r="U248" s="155">
        <f t="shared" si="3"/>
        <v>0</v>
      </c>
      <c r="V248" s="154">
        <f t="shared" si="4"/>
        <v>0</v>
      </c>
    </row>
    <row r="249" spans="1:22">
      <c r="A249" s="154">
        <f>'MATCH CALCS'!A250</f>
        <v>0</v>
      </c>
      <c r="B249" s="154">
        <f>'MATCH CALCS'!$C250</f>
        <v>0</v>
      </c>
      <c r="C249" s="154">
        <f t="shared" si="0"/>
        <v>0</v>
      </c>
      <c r="D249" s="6">
        <f>'MATCH CALCS'!$G250*2</f>
        <v>0</v>
      </c>
      <c r="E249" s="6">
        <f>'MATCH CALCS'!$G250*2</f>
        <v>0</v>
      </c>
      <c r="F249" s="6">
        <f>'MATCH CALCS'!$G250*2</f>
        <v>0</v>
      </c>
      <c r="G249" s="6">
        <f>'MATCH CALCS'!$G250*2</f>
        <v>0</v>
      </c>
      <c r="H249" s="6">
        <f>'MATCH CALCS'!$G250*2</f>
        <v>0</v>
      </c>
      <c r="I249" s="6">
        <f>'MATCH CALCS'!$G250*2</f>
        <v>0</v>
      </c>
      <c r="J249" s="154">
        <f t="shared" si="1"/>
        <v>0</v>
      </c>
      <c r="K249" s="6">
        <f>'MATCH CALCS'!L250*1</f>
        <v>0</v>
      </c>
      <c r="L249" s="6">
        <f>'MATCH CALCS'!$N250*2</f>
        <v>0</v>
      </c>
      <c r="M249" s="6">
        <f>'MATCH CALCS'!N250*1</f>
        <v>0</v>
      </c>
      <c r="N249" s="6">
        <f>'MATCH CALCS'!$N250*2</f>
        <v>0</v>
      </c>
      <c r="O249" s="6">
        <f>'MATCH CALCS'!$N250*2</f>
        <v>0</v>
      </c>
      <c r="P249" s="6">
        <f>'MATCH CALCS'!$P250*5</f>
        <v>0</v>
      </c>
      <c r="Q249" s="154">
        <f t="shared" si="2"/>
        <v>0</v>
      </c>
      <c r="R249" s="6">
        <f>'MATCH CALCS'!$AD250*1</f>
        <v>0</v>
      </c>
      <c r="S249" s="6">
        <f>'MATCH CALCS'!AC250*3</f>
        <v>0</v>
      </c>
      <c r="T249" s="6">
        <f>'MATCH CALCS'!AD250*3</f>
        <v>0</v>
      </c>
      <c r="U249" s="155">
        <f t="shared" si="3"/>
        <v>0</v>
      </c>
      <c r="V249" s="154">
        <f t="shared" si="4"/>
        <v>0</v>
      </c>
    </row>
    <row r="250" spans="1:22">
      <c r="A250" s="154">
        <f>'MATCH CALCS'!A251</f>
        <v>0</v>
      </c>
      <c r="B250" s="154">
        <f>'MATCH CALCS'!$C251</f>
        <v>0</v>
      </c>
      <c r="C250" s="154">
        <f t="shared" si="0"/>
        <v>0</v>
      </c>
      <c r="D250" s="6">
        <f>'MATCH CALCS'!$G251*2</f>
        <v>0</v>
      </c>
      <c r="E250" s="6">
        <f>'MATCH CALCS'!$G251*2</f>
        <v>0</v>
      </c>
      <c r="F250" s="6">
        <f>'MATCH CALCS'!$G251*2</f>
        <v>0</v>
      </c>
      <c r="G250" s="6">
        <f>'MATCH CALCS'!$G251*2</f>
        <v>0</v>
      </c>
      <c r="H250" s="6">
        <f>'MATCH CALCS'!$G251*2</f>
        <v>0</v>
      </c>
      <c r="I250" s="6">
        <f>'MATCH CALCS'!$G251*2</f>
        <v>0</v>
      </c>
      <c r="J250" s="154">
        <f t="shared" si="1"/>
        <v>0</v>
      </c>
      <c r="K250" s="6">
        <f>'MATCH CALCS'!L251*1</f>
        <v>0</v>
      </c>
      <c r="L250" s="6">
        <f>'MATCH CALCS'!$N251*2</f>
        <v>0</v>
      </c>
      <c r="M250" s="6">
        <f>'MATCH CALCS'!N251*1</f>
        <v>0</v>
      </c>
      <c r="N250" s="6">
        <f>'MATCH CALCS'!$N251*2</f>
        <v>0</v>
      </c>
      <c r="O250" s="6">
        <f>'MATCH CALCS'!$N251*2</f>
        <v>0</v>
      </c>
      <c r="P250" s="6">
        <f>'MATCH CALCS'!$P251*5</f>
        <v>0</v>
      </c>
      <c r="Q250" s="154">
        <f t="shared" si="2"/>
        <v>0</v>
      </c>
      <c r="R250" s="6">
        <f>'MATCH CALCS'!$AD251*1</f>
        <v>0</v>
      </c>
      <c r="S250" s="6">
        <f>'MATCH CALCS'!AC251*3</f>
        <v>0</v>
      </c>
      <c r="T250" s="6">
        <f>'MATCH CALCS'!AD251*3</f>
        <v>0</v>
      </c>
      <c r="U250" s="155">
        <f t="shared" si="3"/>
        <v>0</v>
      </c>
      <c r="V250" s="154">
        <f t="shared" si="4"/>
        <v>0</v>
      </c>
    </row>
    <row r="251" spans="1:22">
      <c r="A251" s="154">
        <f>'MATCH CALCS'!A252</f>
        <v>0</v>
      </c>
      <c r="B251" s="154">
        <f>'MATCH CALCS'!$C252</f>
        <v>0</v>
      </c>
      <c r="C251" s="154">
        <f t="shared" si="0"/>
        <v>0</v>
      </c>
      <c r="D251" s="6">
        <f>'MATCH CALCS'!$G252*2</f>
        <v>0</v>
      </c>
      <c r="E251" s="6">
        <f>'MATCH CALCS'!$G252*2</f>
        <v>0</v>
      </c>
      <c r="F251" s="6">
        <f>'MATCH CALCS'!$G252*2</f>
        <v>0</v>
      </c>
      <c r="G251" s="6">
        <f>'MATCH CALCS'!$G252*2</f>
        <v>0</v>
      </c>
      <c r="H251" s="6">
        <f>'MATCH CALCS'!$G252*2</f>
        <v>0</v>
      </c>
      <c r="I251" s="6">
        <f>'MATCH CALCS'!$G252*2</f>
        <v>0</v>
      </c>
      <c r="J251" s="154">
        <f t="shared" si="1"/>
        <v>0</v>
      </c>
      <c r="K251" s="6">
        <f>'MATCH CALCS'!L252*1</f>
        <v>0</v>
      </c>
      <c r="L251" s="6">
        <f>'MATCH CALCS'!$N252*2</f>
        <v>0</v>
      </c>
      <c r="M251" s="6">
        <f>'MATCH CALCS'!N252*1</f>
        <v>0</v>
      </c>
      <c r="N251" s="6">
        <f>'MATCH CALCS'!$N252*2</f>
        <v>0</v>
      </c>
      <c r="O251" s="6">
        <f>'MATCH CALCS'!$N252*2</f>
        <v>0</v>
      </c>
      <c r="P251" s="6">
        <f>'MATCH CALCS'!$P252*5</f>
        <v>0</v>
      </c>
      <c r="Q251" s="154">
        <f t="shared" si="2"/>
        <v>0</v>
      </c>
      <c r="R251" s="6">
        <f>'MATCH CALCS'!$AD252*1</f>
        <v>0</v>
      </c>
      <c r="S251" s="6">
        <f>'MATCH CALCS'!AC252*3</f>
        <v>0</v>
      </c>
      <c r="T251" s="6">
        <f>'MATCH CALCS'!AD252*3</f>
        <v>0</v>
      </c>
      <c r="U251" s="155">
        <f t="shared" si="3"/>
        <v>0</v>
      </c>
      <c r="V251" s="154">
        <f t="shared" si="4"/>
        <v>0</v>
      </c>
    </row>
    <row r="252" spans="1:22">
      <c r="A252" s="154">
        <f>'MATCH CALCS'!A253</f>
        <v>0</v>
      </c>
      <c r="B252" s="154">
        <f>'MATCH CALCS'!$C253</f>
        <v>0</v>
      </c>
      <c r="C252" s="154">
        <f t="shared" si="0"/>
        <v>0</v>
      </c>
      <c r="D252" s="6">
        <f>'MATCH CALCS'!$G253*2</f>
        <v>0</v>
      </c>
      <c r="E252" s="6">
        <f>'MATCH CALCS'!$G253*2</f>
        <v>0</v>
      </c>
      <c r="F252" s="6">
        <f>'MATCH CALCS'!$G253*2</f>
        <v>0</v>
      </c>
      <c r="G252" s="6">
        <f>'MATCH CALCS'!$G253*2</f>
        <v>0</v>
      </c>
      <c r="H252" s="6">
        <f>'MATCH CALCS'!$G253*2</f>
        <v>0</v>
      </c>
      <c r="I252" s="6">
        <f>'MATCH CALCS'!$G253*2</f>
        <v>0</v>
      </c>
      <c r="J252" s="154">
        <f t="shared" si="1"/>
        <v>0</v>
      </c>
      <c r="K252" s="6">
        <f>'MATCH CALCS'!L253*1</f>
        <v>0</v>
      </c>
      <c r="L252" s="6">
        <f>'MATCH CALCS'!$N253*2</f>
        <v>0</v>
      </c>
      <c r="M252" s="6">
        <f>'MATCH CALCS'!N253*1</f>
        <v>0</v>
      </c>
      <c r="N252" s="6">
        <f>'MATCH CALCS'!$N253*2</f>
        <v>0</v>
      </c>
      <c r="O252" s="6">
        <f>'MATCH CALCS'!$N253*2</f>
        <v>0</v>
      </c>
      <c r="P252" s="6">
        <f>'MATCH CALCS'!$P253*5</f>
        <v>0</v>
      </c>
      <c r="Q252" s="154">
        <f t="shared" si="2"/>
        <v>0</v>
      </c>
      <c r="R252" s="6">
        <f>'MATCH CALCS'!$AD253*1</f>
        <v>0</v>
      </c>
      <c r="S252" s="6">
        <f>'MATCH CALCS'!AC253*3</f>
        <v>0</v>
      </c>
      <c r="T252" s="6">
        <f>'MATCH CALCS'!AD253*3</f>
        <v>0</v>
      </c>
      <c r="U252" s="155">
        <f t="shared" si="3"/>
        <v>0</v>
      </c>
      <c r="V252" s="154">
        <f t="shared" si="4"/>
        <v>0</v>
      </c>
    </row>
    <row r="253" spans="1:22">
      <c r="A253" s="154">
        <f>'MATCH CALCS'!A254</f>
        <v>0</v>
      </c>
      <c r="B253" s="154">
        <f>'MATCH CALCS'!$C254</f>
        <v>0</v>
      </c>
      <c r="C253" s="154">
        <f t="shared" si="0"/>
        <v>0</v>
      </c>
      <c r="D253" s="6">
        <f>'MATCH CALCS'!$G254*2</f>
        <v>0</v>
      </c>
      <c r="E253" s="6">
        <f>'MATCH CALCS'!$G254*2</f>
        <v>0</v>
      </c>
      <c r="F253" s="6">
        <f>'MATCH CALCS'!$G254*2</f>
        <v>0</v>
      </c>
      <c r="G253" s="6">
        <f>'MATCH CALCS'!$G254*2</f>
        <v>0</v>
      </c>
      <c r="H253" s="6">
        <f>'MATCH CALCS'!$G254*2</f>
        <v>0</v>
      </c>
      <c r="I253" s="6">
        <f>'MATCH CALCS'!$G254*2</f>
        <v>0</v>
      </c>
      <c r="J253" s="154">
        <f t="shared" si="1"/>
        <v>0</v>
      </c>
      <c r="K253" s="6">
        <f>'MATCH CALCS'!L254*1</f>
        <v>0</v>
      </c>
      <c r="L253" s="6">
        <f>'MATCH CALCS'!$N254*2</f>
        <v>0</v>
      </c>
      <c r="M253" s="6">
        <f>'MATCH CALCS'!N254*1</f>
        <v>0</v>
      </c>
      <c r="N253" s="6">
        <f>'MATCH CALCS'!$N254*2</f>
        <v>0</v>
      </c>
      <c r="O253" s="6">
        <f>'MATCH CALCS'!$N254*2</f>
        <v>0</v>
      </c>
      <c r="P253" s="6">
        <f>'MATCH CALCS'!$P254*5</f>
        <v>0</v>
      </c>
      <c r="Q253" s="154">
        <f t="shared" si="2"/>
        <v>0</v>
      </c>
      <c r="R253" s="6">
        <f>'MATCH CALCS'!$AD254*1</f>
        <v>0</v>
      </c>
      <c r="S253" s="6">
        <f>'MATCH CALCS'!AC254*3</f>
        <v>0</v>
      </c>
      <c r="T253" s="6">
        <f>'MATCH CALCS'!AD254*3</f>
        <v>0</v>
      </c>
      <c r="U253" s="155">
        <f t="shared" si="3"/>
        <v>0</v>
      </c>
      <c r="V253" s="154">
        <f t="shared" si="4"/>
        <v>0</v>
      </c>
    </row>
    <row r="254" spans="1:22">
      <c r="A254" s="154">
        <f>'MATCH CALCS'!A255</f>
        <v>0</v>
      </c>
      <c r="B254" s="154">
        <f>'MATCH CALCS'!$C255</f>
        <v>0</v>
      </c>
      <c r="C254" s="154">
        <f t="shared" si="0"/>
        <v>0</v>
      </c>
      <c r="D254" s="6">
        <f>'MATCH CALCS'!$G255*2</f>
        <v>0</v>
      </c>
      <c r="E254" s="6">
        <f>'MATCH CALCS'!$G255*2</f>
        <v>0</v>
      </c>
      <c r="F254" s="6">
        <f>'MATCH CALCS'!$G255*2</f>
        <v>0</v>
      </c>
      <c r="G254" s="6">
        <f>'MATCH CALCS'!$G255*2</f>
        <v>0</v>
      </c>
      <c r="H254" s="6">
        <f>'MATCH CALCS'!$G255*2</f>
        <v>0</v>
      </c>
      <c r="I254" s="6">
        <f>'MATCH CALCS'!$G255*2</f>
        <v>0</v>
      </c>
      <c r="J254" s="154">
        <f t="shared" si="1"/>
        <v>0</v>
      </c>
      <c r="K254" s="6">
        <f>'MATCH CALCS'!L255*1</f>
        <v>0</v>
      </c>
      <c r="L254" s="6">
        <f>'MATCH CALCS'!$N255*2</f>
        <v>0</v>
      </c>
      <c r="M254" s="6">
        <f>'MATCH CALCS'!N255*1</f>
        <v>0</v>
      </c>
      <c r="N254" s="6">
        <f>'MATCH CALCS'!$N255*2</f>
        <v>0</v>
      </c>
      <c r="O254" s="6">
        <f>'MATCH CALCS'!$N255*2</f>
        <v>0</v>
      </c>
      <c r="P254" s="6">
        <f>'MATCH CALCS'!$P255*5</f>
        <v>0</v>
      </c>
      <c r="Q254" s="154">
        <f t="shared" si="2"/>
        <v>0</v>
      </c>
      <c r="R254" s="6">
        <f>'MATCH CALCS'!$AD255*1</f>
        <v>0</v>
      </c>
      <c r="S254" s="6">
        <f>'MATCH CALCS'!AC255*3</f>
        <v>0</v>
      </c>
      <c r="T254" s="6">
        <f>'MATCH CALCS'!AD255*3</f>
        <v>0</v>
      </c>
      <c r="U254" s="155">
        <f t="shared" si="3"/>
        <v>0</v>
      </c>
      <c r="V254" s="154">
        <f t="shared" si="4"/>
        <v>0</v>
      </c>
    </row>
    <row r="255" spans="1:22">
      <c r="A255" s="154">
        <f>'MATCH CALCS'!A256</f>
        <v>0</v>
      </c>
      <c r="B255" s="154">
        <f>'MATCH CALCS'!$C256</f>
        <v>0</v>
      </c>
      <c r="C255" s="154">
        <f t="shared" si="0"/>
        <v>0</v>
      </c>
      <c r="D255" s="6">
        <f>'MATCH CALCS'!$G256*2</f>
        <v>0</v>
      </c>
      <c r="E255" s="6">
        <f>'MATCH CALCS'!$G256*2</f>
        <v>0</v>
      </c>
      <c r="F255" s="6">
        <f>'MATCH CALCS'!$G256*2</f>
        <v>0</v>
      </c>
      <c r="G255" s="6">
        <f>'MATCH CALCS'!$G256*2</f>
        <v>0</v>
      </c>
      <c r="H255" s="6">
        <f>'MATCH CALCS'!$G256*2</f>
        <v>0</v>
      </c>
      <c r="I255" s="6">
        <f>'MATCH CALCS'!$G256*2</f>
        <v>0</v>
      </c>
      <c r="J255" s="154">
        <f t="shared" si="1"/>
        <v>0</v>
      </c>
      <c r="K255" s="6">
        <f>'MATCH CALCS'!L256*1</f>
        <v>0</v>
      </c>
      <c r="L255" s="6">
        <f>'MATCH CALCS'!$N256*2</f>
        <v>0</v>
      </c>
      <c r="M255" s="6">
        <f>'MATCH CALCS'!N256*1</f>
        <v>0</v>
      </c>
      <c r="N255" s="6">
        <f>'MATCH CALCS'!$N256*2</f>
        <v>0</v>
      </c>
      <c r="O255" s="6">
        <f>'MATCH CALCS'!$N256*2</f>
        <v>0</v>
      </c>
      <c r="P255" s="6">
        <f>'MATCH CALCS'!$P256*5</f>
        <v>0</v>
      </c>
      <c r="Q255" s="154">
        <f t="shared" si="2"/>
        <v>0</v>
      </c>
      <c r="R255" s="6">
        <f>'MATCH CALCS'!$AD256*1</f>
        <v>0</v>
      </c>
      <c r="S255" s="6">
        <f>'MATCH CALCS'!AC256*3</f>
        <v>0</v>
      </c>
      <c r="T255" s="6">
        <f>'MATCH CALCS'!AD256*3</f>
        <v>0</v>
      </c>
      <c r="U255" s="155">
        <f t="shared" si="3"/>
        <v>0</v>
      </c>
      <c r="V255" s="154">
        <f t="shared" si="4"/>
        <v>0</v>
      </c>
    </row>
    <row r="256" spans="1:22">
      <c r="A256" s="154">
        <f>'MATCH CALCS'!A257</f>
        <v>0</v>
      </c>
      <c r="B256" s="154">
        <f>'MATCH CALCS'!$C257</f>
        <v>0</v>
      </c>
      <c r="C256" s="154">
        <f t="shared" si="0"/>
        <v>0</v>
      </c>
      <c r="D256" s="6">
        <f>'MATCH CALCS'!$G257*2</f>
        <v>0</v>
      </c>
      <c r="E256" s="6">
        <f>'MATCH CALCS'!$G257*2</f>
        <v>0</v>
      </c>
      <c r="F256" s="6">
        <f>'MATCH CALCS'!$G257*2</f>
        <v>0</v>
      </c>
      <c r="G256" s="6">
        <f>'MATCH CALCS'!$G257*2</f>
        <v>0</v>
      </c>
      <c r="H256" s="6">
        <f>'MATCH CALCS'!$G257*2</f>
        <v>0</v>
      </c>
      <c r="I256" s="6">
        <f>'MATCH CALCS'!$G257*2</f>
        <v>0</v>
      </c>
      <c r="J256" s="154">
        <f t="shared" si="1"/>
        <v>0</v>
      </c>
      <c r="K256" s="6">
        <f>'MATCH CALCS'!L257*1</f>
        <v>0</v>
      </c>
      <c r="L256" s="6">
        <f>'MATCH CALCS'!$N257*2</f>
        <v>0</v>
      </c>
      <c r="M256" s="6">
        <f>'MATCH CALCS'!N257*1</f>
        <v>0</v>
      </c>
      <c r="N256" s="6">
        <f>'MATCH CALCS'!$N257*2</f>
        <v>0</v>
      </c>
      <c r="O256" s="6">
        <f>'MATCH CALCS'!$N257*2</f>
        <v>0</v>
      </c>
      <c r="P256" s="6">
        <f>'MATCH CALCS'!$P257*5</f>
        <v>0</v>
      </c>
      <c r="Q256" s="154">
        <f t="shared" si="2"/>
        <v>0</v>
      </c>
      <c r="R256" s="6">
        <f>'MATCH CALCS'!$AD257*1</f>
        <v>0</v>
      </c>
      <c r="S256" s="6">
        <f>'MATCH CALCS'!AC257*3</f>
        <v>0</v>
      </c>
      <c r="T256" s="6">
        <f>'MATCH CALCS'!AD257*3</f>
        <v>0</v>
      </c>
      <c r="U256" s="155">
        <f t="shared" si="3"/>
        <v>0</v>
      </c>
      <c r="V256" s="154">
        <f t="shared" si="4"/>
        <v>0</v>
      </c>
    </row>
    <row r="257" spans="1:22">
      <c r="A257" s="154">
        <f>'MATCH CALCS'!A258</f>
        <v>0</v>
      </c>
      <c r="B257" s="154">
        <f>'MATCH CALCS'!$C258</f>
        <v>0</v>
      </c>
      <c r="C257" s="154">
        <f t="shared" ref="C257:C511" si="9">SUM($D257:$I257)</f>
        <v>0</v>
      </c>
      <c r="D257" s="6">
        <f>'MATCH CALCS'!$G258*2</f>
        <v>0</v>
      </c>
      <c r="E257" s="6">
        <f>'MATCH CALCS'!$G258*2</f>
        <v>0</v>
      </c>
      <c r="F257" s="6">
        <f>'MATCH CALCS'!$G258*2</f>
        <v>0</v>
      </c>
      <c r="G257" s="6">
        <f>'MATCH CALCS'!$G258*2</f>
        <v>0</v>
      </c>
      <c r="H257" s="6">
        <f>'MATCH CALCS'!$G258*2</f>
        <v>0</v>
      </c>
      <c r="I257" s="6">
        <f>'MATCH CALCS'!$G258*2</f>
        <v>0</v>
      </c>
      <c r="J257" s="154">
        <f t="shared" ref="J257:J511" si="10">SUM($K257:$P257)</f>
        <v>0</v>
      </c>
      <c r="K257" s="6">
        <f>'MATCH CALCS'!L258*1</f>
        <v>0</v>
      </c>
      <c r="L257" s="6">
        <f>'MATCH CALCS'!$N258*2</f>
        <v>0</v>
      </c>
      <c r="M257" s="6">
        <f>'MATCH CALCS'!N258*1</f>
        <v>0</v>
      </c>
      <c r="N257" s="6">
        <f>'MATCH CALCS'!$N258*2</f>
        <v>0</v>
      </c>
      <c r="O257" s="6">
        <f>'MATCH CALCS'!$N258*2</f>
        <v>0</v>
      </c>
      <c r="P257" s="6">
        <f>'MATCH CALCS'!$P258*5</f>
        <v>0</v>
      </c>
      <c r="Q257" s="154">
        <f t="shared" ref="Q257:Q511" si="11">SUM(U257)</f>
        <v>0</v>
      </c>
      <c r="R257" s="6">
        <f>'MATCH CALCS'!$AD258*1</f>
        <v>0</v>
      </c>
      <c r="S257" s="6">
        <f>'MATCH CALCS'!AC258*3</f>
        <v>0</v>
      </c>
      <c r="T257" s="6">
        <f>'MATCH CALCS'!AD258*3</f>
        <v>0</v>
      </c>
      <c r="U257" s="155">
        <f t="shared" ref="U257:U511" si="12">SUM(R257:T257)</f>
        <v>0</v>
      </c>
      <c r="V257" s="154">
        <f t="shared" ref="V257:V511" si="13">SUM(Q257,J257,C257,)</f>
        <v>0</v>
      </c>
    </row>
    <row r="258" spans="1:22">
      <c r="A258" s="154">
        <f>'MATCH CALCS'!A259</f>
        <v>0</v>
      </c>
      <c r="B258" s="154">
        <f>'MATCH CALCS'!$C259</f>
        <v>0</v>
      </c>
      <c r="C258" s="154">
        <f t="shared" si="9"/>
        <v>0</v>
      </c>
      <c r="D258" s="6">
        <f>'MATCH CALCS'!$G259*2</f>
        <v>0</v>
      </c>
      <c r="E258" s="6">
        <f>'MATCH CALCS'!$G259*2</f>
        <v>0</v>
      </c>
      <c r="F258" s="6">
        <f>'MATCH CALCS'!$G259*2</f>
        <v>0</v>
      </c>
      <c r="G258" s="6">
        <f>'MATCH CALCS'!$G259*2</f>
        <v>0</v>
      </c>
      <c r="H258" s="6">
        <f>'MATCH CALCS'!$G259*2</f>
        <v>0</v>
      </c>
      <c r="I258" s="6">
        <f>'MATCH CALCS'!$G259*2</f>
        <v>0</v>
      </c>
      <c r="J258" s="154">
        <f t="shared" si="10"/>
        <v>0</v>
      </c>
      <c r="K258" s="6">
        <f>'MATCH CALCS'!L259*1</f>
        <v>0</v>
      </c>
      <c r="L258" s="6">
        <f>'MATCH CALCS'!$N259*2</f>
        <v>0</v>
      </c>
      <c r="M258" s="6">
        <f>'MATCH CALCS'!N259*1</f>
        <v>0</v>
      </c>
      <c r="N258" s="6">
        <f>'MATCH CALCS'!$N259*2</f>
        <v>0</v>
      </c>
      <c r="O258" s="6">
        <f>'MATCH CALCS'!$N259*2</f>
        <v>0</v>
      </c>
      <c r="P258" s="6">
        <f>'MATCH CALCS'!$P259*5</f>
        <v>0</v>
      </c>
      <c r="Q258" s="154">
        <f t="shared" si="11"/>
        <v>0</v>
      </c>
      <c r="R258" s="6">
        <f>'MATCH CALCS'!$AD259*1</f>
        <v>0</v>
      </c>
      <c r="S258" s="6">
        <f>'MATCH CALCS'!AC259*3</f>
        <v>0</v>
      </c>
      <c r="T258" s="6">
        <f>'MATCH CALCS'!AD259*3</f>
        <v>0</v>
      </c>
      <c r="U258" s="155">
        <f t="shared" si="12"/>
        <v>0</v>
      </c>
      <c r="V258" s="154">
        <f t="shared" si="13"/>
        <v>0</v>
      </c>
    </row>
    <row r="259" spans="1:22">
      <c r="A259" s="154">
        <f>'MATCH CALCS'!A260</f>
        <v>0</v>
      </c>
      <c r="B259" s="154">
        <f>'MATCH CALCS'!$C260</f>
        <v>0</v>
      </c>
      <c r="C259" s="154">
        <f t="shared" si="9"/>
        <v>0</v>
      </c>
      <c r="D259" s="6">
        <f>'MATCH CALCS'!$G260*2</f>
        <v>0</v>
      </c>
      <c r="E259" s="6">
        <f>'MATCH CALCS'!$G260*2</f>
        <v>0</v>
      </c>
      <c r="F259" s="6">
        <f>'MATCH CALCS'!$G260*2</f>
        <v>0</v>
      </c>
      <c r="G259" s="6">
        <f>'MATCH CALCS'!$G260*2</f>
        <v>0</v>
      </c>
      <c r="H259" s="6">
        <f>'MATCH CALCS'!$G260*2</f>
        <v>0</v>
      </c>
      <c r="I259" s="6">
        <f>'MATCH CALCS'!$G260*2</f>
        <v>0</v>
      </c>
      <c r="J259" s="154">
        <f t="shared" si="10"/>
        <v>0</v>
      </c>
      <c r="K259" s="6">
        <f>'MATCH CALCS'!L260*1</f>
        <v>0</v>
      </c>
      <c r="L259" s="6">
        <f>'MATCH CALCS'!$N260*2</f>
        <v>0</v>
      </c>
      <c r="M259" s="6">
        <f>'MATCH CALCS'!N260*1</f>
        <v>0</v>
      </c>
      <c r="N259" s="6">
        <f>'MATCH CALCS'!$N260*2</f>
        <v>0</v>
      </c>
      <c r="O259" s="6">
        <f>'MATCH CALCS'!$N260*2</f>
        <v>0</v>
      </c>
      <c r="P259" s="6">
        <f>'MATCH CALCS'!$P260*5</f>
        <v>0</v>
      </c>
      <c r="Q259" s="154">
        <f t="shared" si="11"/>
        <v>0</v>
      </c>
      <c r="R259" s="6">
        <f>'MATCH CALCS'!$AD260*1</f>
        <v>0</v>
      </c>
      <c r="S259" s="6">
        <f>'MATCH CALCS'!AC260*3</f>
        <v>0</v>
      </c>
      <c r="T259" s="6">
        <f>'MATCH CALCS'!AD260*3</f>
        <v>0</v>
      </c>
      <c r="U259" s="155">
        <f t="shared" si="12"/>
        <v>0</v>
      </c>
      <c r="V259" s="154">
        <f t="shared" si="13"/>
        <v>0</v>
      </c>
    </row>
    <row r="260" spans="1:22">
      <c r="A260" s="154">
        <f>'MATCH CALCS'!A261</f>
        <v>0</v>
      </c>
      <c r="B260" s="154">
        <f>'MATCH CALCS'!$C261</f>
        <v>0</v>
      </c>
      <c r="C260" s="154">
        <f t="shared" si="9"/>
        <v>0</v>
      </c>
      <c r="D260" s="6">
        <f>'MATCH CALCS'!$G261*2</f>
        <v>0</v>
      </c>
      <c r="E260" s="6">
        <f>'MATCH CALCS'!$G261*2</f>
        <v>0</v>
      </c>
      <c r="F260" s="6">
        <f>'MATCH CALCS'!$G261*2</f>
        <v>0</v>
      </c>
      <c r="G260" s="6">
        <f>'MATCH CALCS'!$G261*2</f>
        <v>0</v>
      </c>
      <c r="H260" s="6">
        <f>'MATCH CALCS'!$G261*2</f>
        <v>0</v>
      </c>
      <c r="I260" s="6">
        <f>'MATCH CALCS'!$G261*2</f>
        <v>0</v>
      </c>
      <c r="J260" s="154">
        <f t="shared" si="10"/>
        <v>0</v>
      </c>
      <c r="K260" s="6">
        <f>'MATCH CALCS'!L261*1</f>
        <v>0</v>
      </c>
      <c r="L260" s="6">
        <f>'MATCH CALCS'!$N261*2</f>
        <v>0</v>
      </c>
      <c r="M260" s="6">
        <f>'MATCH CALCS'!N261*1</f>
        <v>0</v>
      </c>
      <c r="N260" s="6">
        <f>'MATCH CALCS'!$N261*2</f>
        <v>0</v>
      </c>
      <c r="O260" s="6">
        <f>'MATCH CALCS'!$N261*2</f>
        <v>0</v>
      </c>
      <c r="P260" s="6">
        <f>'MATCH CALCS'!$P261*5</f>
        <v>0</v>
      </c>
      <c r="Q260" s="154">
        <f t="shared" si="11"/>
        <v>0</v>
      </c>
      <c r="R260" s="6">
        <f>'MATCH CALCS'!$AD261*1</f>
        <v>0</v>
      </c>
      <c r="S260" s="6">
        <f>'MATCH CALCS'!AC261*3</f>
        <v>0</v>
      </c>
      <c r="T260" s="6">
        <f>'MATCH CALCS'!AD261*3</f>
        <v>0</v>
      </c>
      <c r="U260" s="155">
        <f t="shared" si="12"/>
        <v>0</v>
      </c>
      <c r="V260" s="154">
        <f t="shared" si="13"/>
        <v>0</v>
      </c>
    </row>
    <row r="261" spans="1:22">
      <c r="A261" s="154">
        <f>'MATCH CALCS'!A262</f>
        <v>0</v>
      </c>
      <c r="B261" s="154">
        <f>'MATCH CALCS'!$C262</f>
        <v>0</v>
      </c>
      <c r="C261" s="154">
        <f t="shared" si="9"/>
        <v>0</v>
      </c>
      <c r="D261" s="6">
        <f>'MATCH CALCS'!$G262*2</f>
        <v>0</v>
      </c>
      <c r="E261" s="6">
        <f>'MATCH CALCS'!$G262*2</f>
        <v>0</v>
      </c>
      <c r="F261" s="6">
        <f>'MATCH CALCS'!$G262*2</f>
        <v>0</v>
      </c>
      <c r="G261" s="6">
        <f>'MATCH CALCS'!$G262*2</f>
        <v>0</v>
      </c>
      <c r="H261" s="6">
        <f>'MATCH CALCS'!$G262*2</f>
        <v>0</v>
      </c>
      <c r="I261" s="6">
        <f>'MATCH CALCS'!$G262*2</f>
        <v>0</v>
      </c>
      <c r="J261" s="154">
        <f t="shared" si="10"/>
        <v>0</v>
      </c>
      <c r="K261" s="6">
        <f>'MATCH CALCS'!L262*1</f>
        <v>0</v>
      </c>
      <c r="L261" s="6">
        <f>'MATCH CALCS'!$N262*2</f>
        <v>0</v>
      </c>
      <c r="M261" s="6">
        <f>'MATCH CALCS'!N262*1</f>
        <v>0</v>
      </c>
      <c r="N261" s="6">
        <f>'MATCH CALCS'!$N262*2</f>
        <v>0</v>
      </c>
      <c r="O261" s="6">
        <f>'MATCH CALCS'!$N262*2</f>
        <v>0</v>
      </c>
      <c r="P261" s="6">
        <f>'MATCH CALCS'!$P262*5</f>
        <v>0</v>
      </c>
      <c r="Q261" s="154">
        <f t="shared" si="11"/>
        <v>0</v>
      </c>
      <c r="R261" s="6">
        <f>'MATCH CALCS'!$AD262*1</f>
        <v>0</v>
      </c>
      <c r="S261" s="6">
        <f>'MATCH CALCS'!AC262*3</f>
        <v>0</v>
      </c>
      <c r="T261" s="6">
        <f>'MATCH CALCS'!AD262*3</f>
        <v>0</v>
      </c>
      <c r="U261" s="155">
        <f t="shared" si="12"/>
        <v>0</v>
      </c>
      <c r="V261" s="154">
        <f t="shared" si="13"/>
        <v>0</v>
      </c>
    </row>
    <row r="262" spans="1:22">
      <c r="A262" s="154">
        <f>'MATCH CALCS'!A263</f>
        <v>0</v>
      </c>
      <c r="B262" s="154">
        <f>'MATCH CALCS'!$C263</f>
        <v>0</v>
      </c>
      <c r="C262" s="154">
        <f t="shared" si="9"/>
        <v>0</v>
      </c>
      <c r="D262" s="6">
        <f>'MATCH CALCS'!$G263*2</f>
        <v>0</v>
      </c>
      <c r="E262" s="6">
        <f>'MATCH CALCS'!$G263*2</f>
        <v>0</v>
      </c>
      <c r="F262" s="6">
        <f>'MATCH CALCS'!$G263*2</f>
        <v>0</v>
      </c>
      <c r="G262" s="6">
        <f>'MATCH CALCS'!$G263*2</f>
        <v>0</v>
      </c>
      <c r="H262" s="6">
        <f>'MATCH CALCS'!$G263*2</f>
        <v>0</v>
      </c>
      <c r="I262" s="6">
        <f>'MATCH CALCS'!$G263*2</f>
        <v>0</v>
      </c>
      <c r="J262" s="154">
        <f t="shared" si="10"/>
        <v>0</v>
      </c>
      <c r="K262" s="6">
        <f>'MATCH CALCS'!L263*1</f>
        <v>0</v>
      </c>
      <c r="L262" s="6">
        <f>'MATCH CALCS'!$N263*2</f>
        <v>0</v>
      </c>
      <c r="M262" s="6">
        <f>'MATCH CALCS'!N263*1</f>
        <v>0</v>
      </c>
      <c r="N262" s="6">
        <f>'MATCH CALCS'!$N263*2</f>
        <v>0</v>
      </c>
      <c r="O262" s="6">
        <f>'MATCH CALCS'!$N263*2</f>
        <v>0</v>
      </c>
      <c r="P262" s="6">
        <f>'MATCH CALCS'!$P263*5</f>
        <v>0</v>
      </c>
      <c r="Q262" s="154">
        <f t="shared" si="11"/>
        <v>0</v>
      </c>
      <c r="R262" s="6">
        <f>'MATCH CALCS'!$AD263*1</f>
        <v>0</v>
      </c>
      <c r="S262" s="6">
        <f>'MATCH CALCS'!AC263*3</f>
        <v>0</v>
      </c>
      <c r="T262" s="6">
        <f>'MATCH CALCS'!AD263*3</f>
        <v>0</v>
      </c>
      <c r="U262" s="155">
        <f t="shared" si="12"/>
        <v>0</v>
      </c>
      <c r="V262" s="154">
        <f t="shared" si="13"/>
        <v>0</v>
      </c>
    </row>
    <row r="263" spans="1:22">
      <c r="A263" s="154">
        <f>'MATCH CALCS'!A264</f>
        <v>0</v>
      </c>
      <c r="B263" s="154">
        <f>'MATCH CALCS'!$C264</f>
        <v>0</v>
      </c>
      <c r="C263" s="154">
        <f t="shared" si="9"/>
        <v>0</v>
      </c>
      <c r="D263" s="6">
        <f>'MATCH CALCS'!$G264*2</f>
        <v>0</v>
      </c>
      <c r="E263" s="6">
        <f>'MATCH CALCS'!$G264*2</f>
        <v>0</v>
      </c>
      <c r="F263" s="6">
        <f>'MATCH CALCS'!$G264*2</f>
        <v>0</v>
      </c>
      <c r="G263" s="6">
        <f>'MATCH CALCS'!$G264*2</f>
        <v>0</v>
      </c>
      <c r="H263" s="6">
        <f>'MATCH CALCS'!$G264*2</f>
        <v>0</v>
      </c>
      <c r="I263" s="6">
        <f>'MATCH CALCS'!$G264*2</f>
        <v>0</v>
      </c>
      <c r="J263" s="154">
        <f t="shared" si="10"/>
        <v>0</v>
      </c>
      <c r="K263" s="6">
        <f>'MATCH CALCS'!L264*1</f>
        <v>0</v>
      </c>
      <c r="L263" s="6">
        <f>'MATCH CALCS'!$N264*2</f>
        <v>0</v>
      </c>
      <c r="M263" s="6">
        <f>'MATCH CALCS'!N264*1</f>
        <v>0</v>
      </c>
      <c r="N263" s="6">
        <f>'MATCH CALCS'!$N264*2</f>
        <v>0</v>
      </c>
      <c r="O263" s="6">
        <f>'MATCH CALCS'!$N264*2</f>
        <v>0</v>
      </c>
      <c r="P263" s="6">
        <f>'MATCH CALCS'!$P264*5</f>
        <v>0</v>
      </c>
      <c r="Q263" s="154">
        <f t="shared" si="11"/>
        <v>0</v>
      </c>
      <c r="R263" s="6">
        <f>'MATCH CALCS'!$AD264*1</f>
        <v>0</v>
      </c>
      <c r="S263" s="6">
        <f>'MATCH CALCS'!AC264*3</f>
        <v>0</v>
      </c>
      <c r="T263" s="6">
        <f>'MATCH CALCS'!AD264*3</f>
        <v>0</v>
      </c>
      <c r="U263" s="155">
        <f t="shared" si="12"/>
        <v>0</v>
      </c>
      <c r="V263" s="154">
        <f t="shared" si="13"/>
        <v>0</v>
      </c>
    </row>
    <row r="264" spans="1:22">
      <c r="A264" s="154">
        <f>'MATCH CALCS'!A265</f>
        <v>0</v>
      </c>
      <c r="B264" s="154">
        <f>'MATCH CALCS'!$C265</f>
        <v>0</v>
      </c>
      <c r="C264" s="154">
        <f t="shared" si="9"/>
        <v>0</v>
      </c>
      <c r="D264" s="6">
        <f>'MATCH CALCS'!$G265*2</f>
        <v>0</v>
      </c>
      <c r="E264" s="6">
        <f>'MATCH CALCS'!$G265*2</f>
        <v>0</v>
      </c>
      <c r="F264" s="6">
        <f>'MATCH CALCS'!$G265*2</f>
        <v>0</v>
      </c>
      <c r="G264" s="6">
        <f>'MATCH CALCS'!$G265*2</f>
        <v>0</v>
      </c>
      <c r="H264" s="6">
        <f>'MATCH CALCS'!$G265*2</f>
        <v>0</v>
      </c>
      <c r="I264" s="6">
        <f>'MATCH CALCS'!$G265*2</f>
        <v>0</v>
      </c>
      <c r="J264" s="154">
        <f t="shared" si="10"/>
        <v>0</v>
      </c>
      <c r="K264" s="6">
        <f>'MATCH CALCS'!L265*1</f>
        <v>0</v>
      </c>
      <c r="L264" s="6">
        <f>'MATCH CALCS'!$N265*2</f>
        <v>0</v>
      </c>
      <c r="M264" s="6">
        <f>'MATCH CALCS'!N265*1</f>
        <v>0</v>
      </c>
      <c r="N264" s="6">
        <f>'MATCH CALCS'!$N265*2</f>
        <v>0</v>
      </c>
      <c r="O264" s="6">
        <f>'MATCH CALCS'!$N265*2</f>
        <v>0</v>
      </c>
      <c r="P264" s="6">
        <f>'MATCH CALCS'!$P265*5</f>
        <v>0</v>
      </c>
      <c r="Q264" s="154">
        <f t="shared" si="11"/>
        <v>0</v>
      </c>
      <c r="R264" s="6">
        <f>'MATCH CALCS'!$AD265*1</f>
        <v>0</v>
      </c>
      <c r="S264" s="6">
        <f>'MATCH CALCS'!AC265*3</f>
        <v>0</v>
      </c>
      <c r="T264" s="6">
        <f>'MATCH CALCS'!AD265*3</f>
        <v>0</v>
      </c>
      <c r="U264" s="155">
        <f t="shared" si="12"/>
        <v>0</v>
      </c>
      <c r="V264" s="154">
        <f t="shared" si="13"/>
        <v>0</v>
      </c>
    </row>
    <row r="265" spans="1:22">
      <c r="A265" s="154">
        <f>'MATCH CALCS'!A266</f>
        <v>0</v>
      </c>
      <c r="B265" s="154">
        <f>'MATCH CALCS'!$C266</f>
        <v>0</v>
      </c>
      <c r="C265" s="154">
        <f t="shared" si="9"/>
        <v>0</v>
      </c>
      <c r="D265" s="6">
        <f>'MATCH CALCS'!$G266*2</f>
        <v>0</v>
      </c>
      <c r="E265" s="6">
        <f>'MATCH CALCS'!$G266*2</f>
        <v>0</v>
      </c>
      <c r="F265" s="6">
        <f>'MATCH CALCS'!$G266*2</f>
        <v>0</v>
      </c>
      <c r="G265" s="6">
        <f>'MATCH CALCS'!$G266*2</f>
        <v>0</v>
      </c>
      <c r="H265" s="6">
        <f>'MATCH CALCS'!$G266*2</f>
        <v>0</v>
      </c>
      <c r="I265" s="6">
        <f>'MATCH CALCS'!$G266*2</f>
        <v>0</v>
      </c>
      <c r="J265" s="154">
        <f t="shared" si="10"/>
        <v>0</v>
      </c>
      <c r="K265" s="6">
        <f>'MATCH CALCS'!L266*1</f>
        <v>0</v>
      </c>
      <c r="L265" s="6">
        <f>'MATCH CALCS'!$N266*2</f>
        <v>0</v>
      </c>
      <c r="M265" s="6">
        <f>'MATCH CALCS'!N266*1</f>
        <v>0</v>
      </c>
      <c r="N265" s="6">
        <f>'MATCH CALCS'!$N266*2</f>
        <v>0</v>
      </c>
      <c r="O265" s="6">
        <f>'MATCH CALCS'!$N266*2</f>
        <v>0</v>
      </c>
      <c r="P265" s="6">
        <f>'MATCH CALCS'!$P266*5</f>
        <v>0</v>
      </c>
      <c r="Q265" s="154">
        <f t="shared" si="11"/>
        <v>0</v>
      </c>
      <c r="R265" s="6">
        <f>'MATCH CALCS'!$AD266*1</f>
        <v>0</v>
      </c>
      <c r="S265" s="6">
        <f>'MATCH CALCS'!AC266*3</f>
        <v>0</v>
      </c>
      <c r="T265" s="6">
        <f>'MATCH CALCS'!AD266*3</f>
        <v>0</v>
      </c>
      <c r="U265" s="155">
        <f t="shared" si="12"/>
        <v>0</v>
      </c>
      <c r="V265" s="154">
        <f t="shared" si="13"/>
        <v>0</v>
      </c>
    </row>
    <row r="266" spans="1:22">
      <c r="A266" s="154">
        <f>'MATCH CALCS'!A267</f>
        <v>0</v>
      </c>
      <c r="B266" s="154">
        <f>'MATCH CALCS'!$C267</f>
        <v>0</v>
      </c>
      <c r="C266" s="154">
        <f t="shared" si="9"/>
        <v>0</v>
      </c>
      <c r="D266" s="6">
        <f>'MATCH CALCS'!$G267*2</f>
        <v>0</v>
      </c>
      <c r="E266" s="6">
        <f>'MATCH CALCS'!$G267*2</f>
        <v>0</v>
      </c>
      <c r="F266" s="6">
        <f>'MATCH CALCS'!$G267*2</f>
        <v>0</v>
      </c>
      <c r="G266" s="6">
        <f>'MATCH CALCS'!$G267*2</f>
        <v>0</v>
      </c>
      <c r="H266" s="6">
        <f>'MATCH CALCS'!$G267*2</f>
        <v>0</v>
      </c>
      <c r="I266" s="6">
        <f>'MATCH CALCS'!$G267*2</f>
        <v>0</v>
      </c>
      <c r="J266" s="154">
        <f t="shared" si="10"/>
        <v>0</v>
      </c>
      <c r="K266" s="6">
        <f>'MATCH CALCS'!L267*1</f>
        <v>0</v>
      </c>
      <c r="L266" s="6">
        <f>'MATCH CALCS'!$N267*2</f>
        <v>0</v>
      </c>
      <c r="M266" s="6">
        <f>'MATCH CALCS'!N267*1</f>
        <v>0</v>
      </c>
      <c r="N266" s="6">
        <f>'MATCH CALCS'!$N267*2</f>
        <v>0</v>
      </c>
      <c r="O266" s="6">
        <f>'MATCH CALCS'!$N267*2</f>
        <v>0</v>
      </c>
      <c r="P266" s="6">
        <f>'MATCH CALCS'!$P267*5</f>
        <v>0</v>
      </c>
      <c r="Q266" s="154">
        <f t="shared" si="11"/>
        <v>0</v>
      </c>
      <c r="R266" s="6">
        <f>'MATCH CALCS'!$AD267*1</f>
        <v>0</v>
      </c>
      <c r="S266" s="6">
        <f>'MATCH CALCS'!AC267*3</f>
        <v>0</v>
      </c>
      <c r="T266" s="6">
        <f>'MATCH CALCS'!AD267*3</f>
        <v>0</v>
      </c>
      <c r="U266" s="155">
        <f t="shared" si="12"/>
        <v>0</v>
      </c>
      <c r="V266" s="154">
        <f t="shared" si="13"/>
        <v>0</v>
      </c>
    </row>
    <row r="267" spans="1:22">
      <c r="A267" s="154">
        <f>'MATCH CALCS'!A268</f>
        <v>0</v>
      </c>
      <c r="B267" s="154">
        <f>'MATCH CALCS'!$C268</f>
        <v>0</v>
      </c>
      <c r="C267" s="154">
        <f t="shared" si="9"/>
        <v>0</v>
      </c>
      <c r="D267" s="6">
        <f>'MATCH CALCS'!$G268*2</f>
        <v>0</v>
      </c>
      <c r="E267" s="6">
        <f>'MATCH CALCS'!$G268*2</f>
        <v>0</v>
      </c>
      <c r="F267" s="6">
        <f>'MATCH CALCS'!$G268*2</f>
        <v>0</v>
      </c>
      <c r="G267" s="6">
        <f>'MATCH CALCS'!$G268*2</f>
        <v>0</v>
      </c>
      <c r="H267" s="6">
        <f>'MATCH CALCS'!$G268*2</f>
        <v>0</v>
      </c>
      <c r="I267" s="6">
        <f>'MATCH CALCS'!$G268*2</f>
        <v>0</v>
      </c>
      <c r="J267" s="154">
        <f t="shared" si="10"/>
        <v>0</v>
      </c>
      <c r="K267" s="6">
        <f>'MATCH CALCS'!L268*1</f>
        <v>0</v>
      </c>
      <c r="L267" s="6">
        <f>'MATCH CALCS'!$N268*2</f>
        <v>0</v>
      </c>
      <c r="M267" s="6">
        <f>'MATCH CALCS'!N268*1</f>
        <v>0</v>
      </c>
      <c r="N267" s="6">
        <f>'MATCH CALCS'!$N268*2</f>
        <v>0</v>
      </c>
      <c r="O267" s="6">
        <f>'MATCH CALCS'!$N268*2</f>
        <v>0</v>
      </c>
      <c r="P267" s="6">
        <f>'MATCH CALCS'!$P268*5</f>
        <v>0</v>
      </c>
      <c r="Q267" s="154">
        <f t="shared" si="11"/>
        <v>0</v>
      </c>
      <c r="R267" s="6">
        <f>'MATCH CALCS'!$AD268*1</f>
        <v>0</v>
      </c>
      <c r="S267" s="6">
        <f>'MATCH CALCS'!AC268*3</f>
        <v>0</v>
      </c>
      <c r="T267" s="6">
        <f>'MATCH CALCS'!AD268*3</f>
        <v>0</v>
      </c>
      <c r="U267" s="155">
        <f t="shared" si="12"/>
        <v>0</v>
      </c>
      <c r="V267" s="154">
        <f t="shared" si="13"/>
        <v>0</v>
      </c>
    </row>
    <row r="268" spans="1:22">
      <c r="A268" s="154">
        <f>'MATCH CALCS'!A269</f>
        <v>0</v>
      </c>
      <c r="B268" s="154">
        <f>'MATCH CALCS'!$C269</f>
        <v>0</v>
      </c>
      <c r="C268" s="154">
        <f t="shared" si="9"/>
        <v>0</v>
      </c>
      <c r="D268" s="6">
        <f>'MATCH CALCS'!$G269*2</f>
        <v>0</v>
      </c>
      <c r="E268" s="6">
        <f>'MATCH CALCS'!$G269*2</f>
        <v>0</v>
      </c>
      <c r="F268" s="6">
        <f>'MATCH CALCS'!$G269*2</f>
        <v>0</v>
      </c>
      <c r="G268" s="6">
        <f>'MATCH CALCS'!$G269*2</f>
        <v>0</v>
      </c>
      <c r="H268" s="6">
        <f>'MATCH CALCS'!$G269*2</f>
        <v>0</v>
      </c>
      <c r="I268" s="6">
        <f>'MATCH CALCS'!$G269*2</f>
        <v>0</v>
      </c>
      <c r="J268" s="154">
        <f t="shared" si="10"/>
        <v>0</v>
      </c>
      <c r="K268" s="6">
        <f>'MATCH CALCS'!L269*1</f>
        <v>0</v>
      </c>
      <c r="L268" s="6">
        <f>'MATCH CALCS'!$N269*2</f>
        <v>0</v>
      </c>
      <c r="M268" s="6">
        <f>'MATCH CALCS'!N269*1</f>
        <v>0</v>
      </c>
      <c r="N268" s="6">
        <f>'MATCH CALCS'!$N269*2</f>
        <v>0</v>
      </c>
      <c r="O268" s="6">
        <f>'MATCH CALCS'!$N269*2</f>
        <v>0</v>
      </c>
      <c r="P268" s="6">
        <f>'MATCH CALCS'!$P269*5</f>
        <v>0</v>
      </c>
      <c r="Q268" s="154">
        <f t="shared" si="11"/>
        <v>0</v>
      </c>
      <c r="R268" s="6">
        <f>'MATCH CALCS'!$AD269*1</f>
        <v>0</v>
      </c>
      <c r="S268" s="6">
        <f>'MATCH CALCS'!AC269*3</f>
        <v>0</v>
      </c>
      <c r="T268" s="6">
        <f>'MATCH CALCS'!AD269*3</f>
        <v>0</v>
      </c>
      <c r="U268" s="155">
        <f t="shared" si="12"/>
        <v>0</v>
      </c>
      <c r="V268" s="154">
        <f t="shared" si="13"/>
        <v>0</v>
      </c>
    </row>
    <row r="269" spans="1:22">
      <c r="A269" s="154">
        <f>'MATCH CALCS'!A270</f>
        <v>0</v>
      </c>
      <c r="B269" s="154">
        <f>'MATCH CALCS'!$C270</f>
        <v>0</v>
      </c>
      <c r="C269" s="154">
        <f t="shared" si="9"/>
        <v>0</v>
      </c>
      <c r="D269" s="6">
        <f>'MATCH CALCS'!$G270*2</f>
        <v>0</v>
      </c>
      <c r="E269" s="6">
        <f>'MATCH CALCS'!$G270*2</f>
        <v>0</v>
      </c>
      <c r="F269" s="6">
        <f>'MATCH CALCS'!$G270*2</f>
        <v>0</v>
      </c>
      <c r="G269" s="6">
        <f>'MATCH CALCS'!$G270*2</f>
        <v>0</v>
      </c>
      <c r="H269" s="6">
        <f>'MATCH CALCS'!$G270*2</f>
        <v>0</v>
      </c>
      <c r="I269" s="6">
        <f>'MATCH CALCS'!$G270*2</f>
        <v>0</v>
      </c>
      <c r="J269" s="154">
        <f t="shared" si="10"/>
        <v>0</v>
      </c>
      <c r="K269" s="6">
        <f>'MATCH CALCS'!L270*1</f>
        <v>0</v>
      </c>
      <c r="L269" s="6">
        <f>'MATCH CALCS'!$N270*2</f>
        <v>0</v>
      </c>
      <c r="M269" s="6">
        <f>'MATCH CALCS'!N270*1</f>
        <v>0</v>
      </c>
      <c r="N269" s="6">
        <f>'MATCH CALCS'!$N270*2</f>
        <v>0</v>
      </c>
      <c r="O269" s="6">
        <f>'MATCH CALCS'!$N270*2</f>
        <v>0</v>
      </c>
      <c r="P269" s="6">
        <f>'MATCH CALCS'!$P270*5</f>
        <v>0</v>
      </c>
      <c r="Q269" s="154">
        <f t="shared" si="11"/>
        <v>0</v>
      </c>
      <c r="R269" s="6">
        <f>'MATCH CALCS'!$AD270*1</f>
        <v>0</v>
      </c>
      <c r="S269" s="6">
        <f>'MATCH CALCS'!AC270*3</f>
        <v>0</v>
      </c>
      <c r="T269" s="6">
        <f>'MATCH CALCS'!AD270*3</f>
        <v>0</v>
      </c>
      <c r="U269" s="155">
        <f t="shared" si="12"/>
        <v>0</v>
      </c>
      <c r="V269" s="154">
        <f t="shared" si="13"/>
        <v>0</v>
      </c>
    </row>
    <row r="270" spans="1:22">
      <c r="A270" s="154">
        <f>'MATCH CALCS'!A271</f>
        <v>0</v>
      </c>
      <c r="B270" s="154">
        <f>'MATCH CALCS'!$C271</f>
        <v>0</v>
      </c>
      <c r="C270" s="154">
        <f t="shared" si="9"/>
        <v>0</v>
      </c>
      <c r="D270" s="6">
        <f>'MATCH CALCS'!$G271*2</f>
        <v>0</v>
      </c>
      <c r="E270" s="6">
        <f>'MATCH CALCS'!$G271*2</f>
        <v>0</v>
      </c>
      <c r="F270" s="6">
        <f>'MATCH CALCS'!$G271*2</f>
        <v>0</v>
      </c>
      <c r="G270" s="6">
        <f>'MATCH CALCS'!$G271*2</f>
        <v>0</v>
      </c>
      <c r="H270" s="6">
        <f>'MATCH CALCS'!$G271*2</f>
        <v>0</v>
      </c>
      <c r="I270" s="6">
        <f>'MATCH CALCS'!$G271*2</f>
        <v>0</v>
      </c>
      <c r="J270" s="154">
        <f t="shared" si="10"/>
        <v>0</v>
      </c>
      <c r="K270" s="6">
        <f>'MATCH CALCS'!L271*1</f>
        <v>0</v>
      </c>
      <c r="L270" s="6">
        <f>'MATCH CALCS'!$N271*2</f>
        <v>0</v>
      </c>
      <c r="M270" s="6">
        <f>'MATCH CALCS'!N271*1</f>
        <v>0</v>
      </c>
      <c r="N270" s="6">
        <f>'MATCH CALCS'!$N271*2</f>
        <v>0</v>
      </c>
      <c r="O270" s="6">
        <f>'MATCH CALCS'!$N271*2</f>
        <v>0</v>
      </c>
      <c r="P270" s="6">
        <f>'MATCH CALCS'!$P271*5</f>
        <v>0</v>
      </c>
      <c r="Q270" s="154">
        <f t="shared" si="11"/>
        <v>0</v>
      </c>
      <c r="R270" s="6">
        <f>'MATCH CALCS'!$AD271*1</f>
        <v>0</v>
      </c>
      <c r="S270" s="6">
        <f>'MATCH CALCS'!AC271*3</f>
        <v>0</v>
      </c>
      <c r="T270" s="6">
        <f>'MATCH CALCS'!AD271*3</f>
        <v>0</v>
      </c>
      <c r="U270" s="155">
        <f t="shared" si="12"/>
        <v>0</v>
      </c>
      <c r="V270" s="154">
        <f t="shared" si="13"/>
        <v>0</v>
      </c>
    </row>
    <row r="271" spans="1:22">
      <c r="A271" s="154">
        <f>'MATCH CALCS'!A272</f>
        <v>0</v>
      </c>
      <c r="B271" s="154">
        <f>'MATCH CALCS'!$C272</f>
        <v>0</v>
      </c>
      <c r="C271" s="154">
        <f t="shared" si="9"/>
        <v>0</v>
      </c>
      <c r="D271" s="6">
        <f>'MATCH CALCS'!$G272*2</f>
        <v>0</v>
      </c>
      <c r="E271" s="6">
        <f>'MATCH CALCS'!$G272*2</f>
        <v>0</v>
      </c>
      <c r="F271" s="6">
        <f>'MATCH CALCS'!$G272*2</f>
        <v>0</v>
      </c>
      <c r="G271" s="6">
        <f>'MATCH CALCS'!$G272*2</f>
        <v>0</v>
      </c>
      <c r="H271" s="6">
        <f>'MATCH CALCS'!$G272*2</f>
        <v>0</v>
      </c>
      <c r="I271" s="6">
        <f>'MATCH CALCS'!$G272*2</f>
        <v>0</v>
      </c>
      <c r="J271" s="154">
        <f t="shared" si="10"/>
        <v>0</v>
      </c>
      <c r="K271" s="6">
        <f>'MATCH CALCS'!L272*1</f>
        <v>0</v>
      </c>
      <c r="L271" s="6">
        <f>'MATCH CALCS'!$N272*2</f>
        <v>0</v>
      </c>
      <c r="M271" s="6">
        <f>'MATCH CALCS'!N272*1</f>
        <v>0</v>
      </c>
      <c r="N271" s="6">
        <f>'MATCH CALCS'!$N272*2</f>
        <v>0</v>
      </c>
      <c r="O271" s="6">
        <f>'MATCH CALCS'!$N272*2</f>
        <v>0</v>
      </c>
      <c r="P271" s="6">
        <f>'MATCH CALCS'!$P272*5</f>
        <v>0</v>
      </c>
      <c r="Q271" s="154">
        <f t="shared" si="11"/>
        <v>0</v>
      </c>
      <c r="R271" s="6">
        <f>'MATCH CALCS'!$AD272*1</f>
        <v>0</v>
      </c>
      <c r="S271" s="6">
        <f>'MATCH CALCS'!AC272*3</f>
        <v>0</v>
      </c>
      <c r="T271" s="6">
        <f>'MATCH CALCS'!AD272*3</f>
        <v>0</v>
      </c>
      <c r="U271" s="155">
        <f t="shared" si="12"/>
        <v>0</v>
      </c>
      <c r="V271" s="154">
        <f t="shared" si="13"/>
        <v>0</v>
      </c>
    </row>
    <row r="272" spans="1:22">
      <c r="A272" s="154">
        <f>'MATCH CALCS'!A273</f>
        <v>0</v>
      </c>
      <c r="B272" s="154">
        <f>'MATCH CALCS'!$C273</f>
        <v>0</v>
      </c>
      <c r="C272" s="154">
        <f t="shared" si="9"/>
        <v>0</v>
      </c>
      <c r="D272" s="6">
        <f>'MATCH CALCS'!$G273*2</f>
        <v>0</v>
      </c>
      <c r="E272" s="6">
        <f>'MATCH CALCS'!$G273*2</f>
        <v>0</v>
      </c>
      <c r="F272" s="6">
        <f>'MATCH CALCS'!$G273*2</f>
        <v>0</v>
      </c>
      <c r="G272" s="6">
        <f>'MATCH CALCS'!$G273*2</f>
        <v>0</v>
      </c>
      <c r="H272" s="6">
        <f>'MATCH CALCS'!$G273*2</f>
        <v>0</v>
      </c>
      <c r="I272" s="6">
        <f>'MATCH CALCS'!$G273*2</f>
        <v>0</v>
      </c>
      <c r="J272" s="154">
        <f t="shared" si="10"/>
        <v>0</v>
      </c>
      <c r="K272" s="6">
        <f>'MATCH CALCS'!L273*1</f>
        <v>0</v>
      </c>
      <c r="L272" s="6">
        <f>'MATCH CALCS'!$N273*2</f>
        <v>0</v>
      </c>
      <c r="M272" s="6">
        <f>'MATCH CALCS'!N273*1</f>
        <v>0</v>
      </c>
      <c r="N272" s="6">
        <f>'MATCH CALCS'!$N273*2</f>
        <v>0</v>
      </c>
      <c r="O272" s="6">
        <f>'MATCH CALCS'!$N273*2</f>
        <v>0</v>
      </c>
      <c r="P272" s="6">
        <f>'MATCH CALCS'!$P273*5</f>
        <v>0</v>
      </c>
      <c r="Q272" s="154">
        <f t="shared" si="11"/>
        <v>0</v>
      </c>
      <c r="R272" s="6">
        <f>'MATCH CALCS'!$AD273*1</f>
        <v>0</v>
      </c>
      <c r="S272" s="6">
        <f>'MATCH CALCS'!AC273*3</f>
        <v>0</v>
      </c>
      <c r="T272" s="6">
        <f>'MATCH CALCS'!AD273*3</f>
        <v>0</v>
      </c>
      <c r="U272" s="155">
        <f t="shared" si="12"/>
        <v>0</v>
      </c>
      <c r="V272" s="154">
        <f t="shared" si="13"/>
        <v>0</v>
      </c>
    </row>
    <row r="273" spans="1:22">
      <c r="A273" s="154">
        <f>'MATCH CALCS'!A274</f>
        <v>0</v>
      </c>
      <c r="B273" s="154">
        <f>'MATCH CALCS'!$C274</f>
        <v>0</v>
      </c>
      <c r="C273" s="154">
        <f t="shared" si="9"/>
        <v>0</v>
      </c>
      <c r="D273" s="6">
        <f>'MATCH CALCS'!$G274*2</f>
        <v>0</v>
      </c>
      <c r="E273" s="6">
        <f>'MATCH CALCS'!$G274*2</f>
        <v>0</v>
      </c>
      <c r="F273" s="6">
        <f>'MATCH CALCS'!$G274*2</f>
        <v>0</v>
      </c>
      <c r="G273" s="6">
        <f>'MATCH CALCS'!$G274*2</f>
        <v>0</v>
      </c>
      <c r="H273" s="6">
        <f>'MATCH CALCS'!$G274*2</f>
        <v>0</v>
      </c>
      <c r="I273" s="6">
        <f>'MATCH CALCS'!$G274*2</f>
        <v>0</v>
      </c>
      <c r="J273" s="154">
        <f t="shared" si="10"/>
        <v>0</v>
      </c>
      <c r="K273" s="6">
        <f>'MATCH CALCS'!L274*1</f>
        <v>0</v>
      </c>
      <c r="L273" s="6">
        <f>'MATCH CALCS'!$N274*2</f>
        <v>0</v>
      </c>
      <c r="M273" s="6">
        <f>'MATCH CALCS'!N274*1</f>
        <v>0</v>
      </c>
      <c r="N273" s="6">
        <f>'MATCH CALCS'!$N274*2</f>
        <v>0</v>
      </c>
      <c r="O273" s="6">
        <f>'MATCH CALCS'!$N274*2</f>
        <v>0</v>
      </c>
      <c r="P273" s="6">
        <f>'MATCH CALCS'!$P274*5</f>
        <v>0</v>
      </c>
      <c r="Q273" s="154">
        <f t="shared" si="11"/>
        <v>0</v>
      </c>
      <c r="R273" s="6">
        <f>'MATCH CALCS'!$AD274*1</f>
        <v>0</v>
      </c>
      <c r="S273" s="6">
        <f>'MATCH CALCS'!AC274*3</f>
        <v>0</v>
      </c>
      <c r="T273" s="6">
        <f>'MATCH CALCS'!AD274*3</f>
        <v>0</v>
      </c>
      <c r="U273" s="155">
        <f t="shared" si="12"/>
        <v>0</v>
      </c>
      <c r="V273" s="154">
        <f t="shared" si="13"/>
        <v>0</v>
      </c>
    </row>
    <row r="274" spans="1:22">
      <c r="A274" s="154">
        <f>'MATCH CALCS'!A275</f>
        <v>0</v>
      </c>
      <c r="B274" s="154">
        <f>'MATCH CALCS'!$C275</f>
        <v>0</v>
      </c>
      <c r="C274" s="154">
        <f t="shared" si="9"/>
        <v>0</v>
      </c>
      <c r="D274" s="6">
        <f>'MATCH CALCS'!$G275*2</f>
        <v>0</v>
      </c>
      <c r="E274" s="6">
        <f>'MATCH CALCS'!$G275*2</f>
        <v>0</v>
      </c>
      <c r="F274" s="6">
        <f>'MATCH CALCS'!$G275*2</f>
        <v>0</v>
      </c>
      <c r="G274" s="6">
        <f>'MATCH CALCS'!$G275*2</f>
        <v>0</v>
      </c>
      <c r="H274" s="6">
        <f>'MATCH CALCS'!$G275*2</f>
        <v>0</v>
      </c>
      <c r="I274" s="6">
        <f>'MATCH CALCS'!$G275*2</f>
        <v>0</v>
      </c>
      <c r="J274" s="154">
        <f t="shared" si="10"/>
        <v>0</v>
      </c>
      <c r="K274" s="6">
        <f>'MATCH CALCS'!L275*1</f>
        <v>0</v>
      </c>
      <c r="L274" s="6">
        <f>'MATCH CALCS'!$N275*2</f>
        <v>0</v>
      </c>
      <c r="M274" s="6">
        <f>'MATCH CALCS'!N275*1</f>
        <v>0</v>
      </c>
      <c r="N274" s="6">
        <f>'MATCH CALCS'!$N275*2</f>
        <v>0</v>
      </c>
      <c r="O274" s="6">
        <f>'MATCH CALCS'!$N275*2</f>
        <v>0</v>
      </c>
      <c r="P274" s="6">
        <f>'MATCH CALCS'!$P275*5</f>
        <v>0</v>
      </c>
      <c r="Q274" s="154">
        <f t="shared" si="11"/>
        <v>0</v>
      </c>
      <c r="R274" s="6">
        <f>'MATCH CALCS'!$AD275*1</f>
        <v>0</v>
      </c>
      <c r="S274" s="6">
        <f>'MATCH CALCS'!AC275*3</f>
        <v>0</v>
      </c>
      <c r="T274" s="6">
        <f>'MATCH CALCS'!AD275*3</f>
        <v>0</v>
      </c>
      <c r="U274" s="155">
        <f t="shared" si="12"/>
        <v>0</v>
      </c>
      <c r="V274" s="154">
        <f t="shared" si="13"/>
        <v>0</v>
      </c>
    </row>
    <row r="275" spans="1:22">
      <c r="A275" s="154">
        <f>'MATCH CALCS'!A276</f>
        <v>0</v>
      </c>
      <c r="B275" s="154">
        <f>'MATCH CALCS'!$C276</f>
        <v>0</v>
      </c>
      <c r="C275" s="154">
        <f t="shared" si="9"/>
        <v>0</v>
      </c>
      <c r="D275" s="6">
        <f>'MATCH CALCS'!$G276*2</f>
        <v>0</v>
      </c>
      <c r="E275" s="6">
        <f>'MATCH CALCS'!$G276*2</f>
        <v>0</v>
      </c>
      <c r="F275" s="6">
        <f>'MATCH CALCS'!$G276*2</f>
        <v>0</v>
      </c>
      <c r="G275" s="6">
        <f>'MATCH CALCS'!$G276*2</f>
        <v>0</v>
      </c>
      <c r="H275" s="6">
        <f>'MATCH CALCS'!$G276*2</f>
        <v>0</v>
      </c>
      <c r="I275" s="6">
        <f>'MATCH CALCS'!$G276*2</f>
        <v>0</v>
      </c>
      <c r="J275" s="154">
        <f t="shared" si="10"/>
        <v>0</v>
      </c>
      <c r="K275" s="6">
        <f>'MATCH CALCS'!L276*1</f>
        <v>0</v>
      </c>
      <c r="L275" s="6">
        <f>'MATCH CALCS'!$N276*2</f>
        <v>0</v>
      </c>
      <c r="M275" s="6">
        <f>'MATCH CALCS'!N276*1</f>
        <v>0</v>
      </c>
      <c r="N275" s="6">
        <f>'MATCH CALCS'!$N276*2</f>
        <v>0</v>
      </c>
      <c r="O275" s="6">
        <f>'MATCH CALCS'!$N276*2</f>
        <v>0</v>
      </c>
      <c r="P275" s="6">
        <f>'MATCH CALCS'!$P276*5</f>
        <v>0</v>
      </c>
      <c r="Q275" s="154">
        <f t="shared" si="11"/>
        <v>0</v>
      </c>
      <c r="R275" s="6">
        <f>'MATCH CALCS'!$AD276*1</f>
        <v>0</v>
      </c>
      <c r="S275" s="6">
        <f>'MATCH CALCS'!AC276*3</f>
        <v>0</v>
      </c>
      <c r="T275" s="6">
        <f>'MATCH CALCS'!AD276*3</f>
        <v>0</v>
      </c>
      <c r="U275" s="155">
        <f t="shared" si="12"/>
        <v>0</v>
      </c>
      <c r="V275" s="154">
        <f t="shared" si="13"/>
        <v>0</v>
      </c>
    </row>
    <row r="276" spans="1:22">
      <c r="A276" s="154">
        <f>'MATCH CALCS'!A277</f>
        <v>0</v>
      </c>
      <c r="B276" s="154">
        <f>'MATCH CALCS'!$C277</f>
        <v>0</v>
      </c>
      <c r="C276" s="154">
        <f t="shared" si="9"/>
        <v>0</v>
      </c>
      <c r="D276" s="6">
        <f>'MATCH CALCS'!$G277*2</f>
        <v>0</v>
      </c>
      <c r="E276" s="6">
        <f>'MATCH CALCS'!$G277*2</f>
        <v>0</v>
      </c>
      <c r="F276" s="6">
        <f>'MATCH CALCS'!$G277*2</f>
        <v>0</v>
      </c>
      <c r="G276" s="6">
        <f>'MATCH CALCS'!$G277*2</f>
        <v>0</v>
      </c>
      <c r="H276" s="6">
        <f>'MATCH CALCS'!$G277*2</f>
        <v>0</v>
      </c>
      <c r="I276" s="6">
        <f>'MATCH CALCS'!$G277*2</f>
        <v>0</v>
      </c>
      <c r="J276" s="154">
        <f t="shared" si="10"/>
        <v>0</v>
      </c>
      <c r="K276" s="6">
        <f>'MATCH CALCS'!L277*1</f>
        <v>0</v>
      </c>
      <c r="L276" s="6">
        <f>'MATCH CALCS'!$N277*2</f>
        <v>0</v>
      </c>
      <c r="M276" s="6">
        <f>'MATCH CALCS'!N277*1</f>
        <v>0</v>
      </c>
      <c r="N276" s="6">
        <f>'MATCH CALCS'!$N277*2</f>
        <v>0</v>
      </c>
      <c r="O276" s="6">
        <f>'MATCH CALCS'!$N277*2</f>
        <v>0</v>
      </c>
      <c r="P276" s="6">
        <f>'MATCH CALCS'!$P277*5</f>
        <v>0</v>
      </c>
      <c r="Q276" s="154">
        <f t="shared" si="11"/>
        <v>0</v>
      </c>
      <c r="R276" s="6">
        <f>'MATCH CALCS'!$AD277*1</f>
        <v>0</v>
      </c>
      <c r="S276" s="6">
        <f>'MATCH CALCS'!AC277*3</f>
        <v>0</v>
      </c>
      <c r="T276" s="6">
        <f>'MATCH CALCS'!AD277*3</f>
        <v>0</v>
      </c>
      <c r="U276" s="155">
        <f t="shared" si="12"/>
        <v>0</v>
      </c>
      <c r="V276" s="154">
        <f t="shared" si="13"/>
        <v>0</v>
      </c>
    </row>
    <row r="277" spans="1:22">
      <c r="A277" s="154">
        <f>'MATCH CALCS'!A278</f>
        <v>0</v>
      </c>
      <c r="B277" s="154">
        <f>'MATCH CALCS'!$C278</f>
        <v>0</v>
      </c>
      <c r="C277" s="154">
        <f t="shared" si="9"/>
        <v>0</v>
      </c>
      <c r="D277" s="6">
        <f>'MATCH CALCS'!$G278*2</f>
        <v>0</v>
      </c>
      <c r="E277" s="6">
        <f>'MATCH CALCS'!$G278*2</f>
        <v>0</v>
      </c>
      <c r="F277" s="6">
        <f>'MATCH CALCS'!$G278*2</f>
        <v>0</v>
      </c>
      <c r="G277" s="6">
        <f>'MATCH CALCS'!$G278*2</f>
        <v>0</v>
      </c>
      <c r="H277" s="6">
        <f>'MATCH CALCS'!$G278*2</f>
        <v>0</v>
      </c>
      <c r="I277" s="6">
        <f>'MATCH CALCS'!$G278*2</f>
        <v>0</v>
      </c>
      <c r="J277" s="154">
        <f t="shared" si="10"/>
        <v>0</v>
      </c>
      <c r="K277" s="6">
        <f>'MATCH CALCS'!L278*1</f>
        <v>0</v>
      </c>
      <c r="L277" s="6">
        <f>'MATCH CALCS'!$N278*2</f>
        <v>0</v>
      </c>
      <c r="M277" s="6">
        <f>'MATCH CALCS'!N278*1</f>
        <v>0</v>
      </c>
      <c r="N277" s="6">
        <f>'MATCH CALCS'!$N278*2</f>
        <v>0</v>
      </c>
      <c r="O277" s="6">
        <f>'MATCH CALCS'!$N278*2</f>
        <v>0</v>
      </c>
      <c r="P277" s="6">
        <f>'MATCH CALCS'!$P278*5</f>
        <v>0</v>
      </c>
      <c r="Q277" s="154">
        <f t="shared" si="11"/>
        <v>0</v>
      </c>
      <c r="R277" s="6">
        <f>'MATCH CALCS'!$AD278*1</f>
        <v>0</v>
      </c>
      <c r="S277" s="6">
        <f>'MATCH CALCS'!AC278*3</f>
        <v>0</v>
      </c>
      <c r="T277" s="6">
        <f>'MATCH CALCS'!AD278*3</f>
        <v>0</v>
      </c>
      <c r="U277" s="155">
        <f t="shared" si="12"/>
        <v>0</v>
      </c>
      <c r="V277" s="154">
        <f t="shared" si="13"/>
        <v>0</v>
      </c>
    </row>
    <row r="278" spans="1:22">
      <c r="A278" s="154">
        <f>'MATCH CALCS'!A279</f>
        <v>0</v>
      </c>
      <c r="B278" s="154">
        <f>'MATCH CALCS'!$C279</f>
        <v>0</v>
      </c>
      <c r="C278" s="154">
        <f t="shared" si="9"/>
        <v>0</v>
      </c>
      <c r="D278" s="6">
        <f>'MATCH CALCS'!$G279*2</f>
        <v>0</v>
      </c>
      <c r="E278" s="6">
        <f>'MATCH CALCS'!$G279*2</f>
        <v>0</v>
      </c>
      <c r="F278" s="6">
        <f>'MATCH CALCS'!$G279*2</f>
        <v>0</v>
      </c>
      <c r="G278" s="6">
        <f>'MATCH CALCS'!$G279*2</f>
        <v>0</v>
      </c>
      <c r="H278" s="6">
        <f>'MATCH CALCS'!$G279*2</f>
        <v>0</v>
      </c>
      <c r="I278" s="6">
        <f>'MATCH CALCS'!$G279*2</f>
        <v>0</v>
      </c>
      <c r="J278" s="154">
        <f t="shared" si="10"/>
        <v>0</v>
      </c>
      <c r="K278" s="6">
        <f>'MATCH CALCS'!L279*1</f>
        <v>0</v>
      </c>
      <c r="L278" s="6">
        <f>'MATCH CALCS'!$N279*2</f>
        <v>0</v>
      </c>
      <c r="M278" s="6">
        <f>'MATCH CALCS'!N279*1</f>
        <v>0</v>
      </c>
      <c r="N278" s="6">
        <f>'MATCH CALCS'!$N279*2</f>
        <v>0</v>
      </c>
      <c r="O278" s="6">
        <f>'MATCH CALCS'!$N279*2</f>
        <v>0</v>
      </c>
      <c r="P278" s="6">
        <f>'MATCH CALCS'!$P279*5</f>
        <v>0</v>
      </c>
      <c r="Q278" s="154">
        <f t="shared" si="11"/>
        <v>0</v>
      </c>
      <c r="R278" s="6">
        <f>'MATCH CALCS'!$AD279*1</f>
        <v>0</v>
      </c>
      <c r="S278" s="6">
        <f>'MATCH CALCS'!AC279*3</f>
        <v>0</v>
      </c>
      <c r="T278" s="6">
        <f>'MATCH CALCS'!AD279*3</f>
        <v>0</v>
      </c>
      <c r="U278" s="155">
        <f t="shared" si="12"/>
        <v>0</v>
      </c>
      <c r="V278" s="154">
        <f t="shared" si="13"/>
        <v>0</v>
      </c>
    </row>
    <row r="279" spans="1:22">
      <c r="A279" s="154">
        <f>'MATCH CALCS'!A280</f>
        <v>0</v>
      </c>
      <c r="B279" s="154">
        <f>'MATCH CALCS'!$C280</f>
        <v>0</v>
      </c>
      <c r="C279" s="154">
        <f t="shared" si="9"/>
        <v>0</v>
      </c>
      <c r="D279" s="6">
        <f>'MATCH CALCS'!$G280*2</f>
        <v>0</v>
      </c>
      <c r="E279" s="6">
        <f>'MATCH CALCS'!$G280*2</f>
        <v>0</v>
      </c>
      <c r="F279" s="6">
        <f>'MATCH CALCS'!$G280*2</f>
        <v>0</v>
      </c>
      <c r="G279" s="6">
        <f>'MATCH CALCS'!$G280*2</f>
        <v>0</v>
      </c>
      <c r="H279" s="6">
        <f>'MATCH CALCS'!$G280*2</f>
        <v>0</v>
      </c>
      <c r="I279" s="6">
        <f>'MATCH CALCS'!$G280*2</f>
        <v>0</v>
      </c>
      <c r="J279" s="154">
        <f t="shared" si="10"/>
        <v>0</v>
      </c>
      <c r="K279" s="6">
        <f>'MATCH CALCS'!L280*1</f>
        <v>0</v>
      </c>
      <c r="L279" s="6">
        <f>'MATCH CALCS'!$N280*2</f>
        <v>0</v>
      </c>
      <c r="M279" s="6">
        <f>'MATCH CALCS'!N280*1</f>
        <v>0</v>
      </c>
      <c r="N279" s="6">
        <f>'MATCH CALCS'!$N280*2</f>
        <v>0</v>
      </c>
      <c r="O279" s="6">
        <f>'MATCH CALCS'!$N280*2</f>
        <v>0</v>
      </c>
      <c r="P279" s="6">
        <f>'MATCH CALCS'!$P280*5</f>
        <v>0</v>
      </c>
      <c r="Q279" s="154">
        <f t="shared" si="11"/>
        <v>0</v>
      </c>
      <c r="R279" s="6">
        <f>'MATCH CALCS'!$AD280*1</f>
        <v>0</v>
      </c>
      <c r="S279" s="6">
        <f>'MATCH CALCS'!AC280*3</f>
        <v>0</v>
      </c>
      <c r="T279" s="6">
        <f>'MATCH CALCS'!AD280*3</f>
        <v>0</v>
      </c>
      <c r="U279" s="155">
        <f t="shared" si="12"/>
        <v>0</v>
      </c>
      <c r="V279" s="154">
        <f t="shared" si="13"/>
        <v>0</v>
      </c>
    </row>
    <row r="280" spans="1:22">
      <c r="A280" s="154">
        <f>'MATCH CALCS'!A281</f>
        <v>0</v>
      </c>
      <c r="B280" s="154">
        <f>'MATCH CALCS'!$C281</f>
        <v>0</v>
      </c>
      <c r="C280" s="154">
        <f t="shared" si="9"/>
        <v>0</v>
      </c>
      <c r="D280" s="6">
        <f>'MATCH CALCS'!$G281*2</f>
        <v>0</v>
      </c>
      <c r="E280" s="6">
        <f>'MATCH CALCS'!$G281*2</f>
        <v>0</v>
      </c>
      <c r="F280" s="6">
        <f>'MATCH CALCS'!$G281*2</f>
        <v>0</v>
      </c>
      <c r="G280" s="6">
        <f>'MATCH CALCS'!$G281*2</f>
        <v>0</v>
      </c>
      <c r="H280" s="6">
        <f>'MATCH CALCS'!$G281*2</f>
        <v>0</v>
      </c>
      <c r="I280" s="6">
        <f>'MATCH CALCS'!$G281*2</f>
        <v>0</v>
      </c>
      <c r="J280" s="154">
        <f t="shared" si="10"/>
        <v>0</v>
      </c>
      <c r="K280" s="6">
        <f>'MATCH CALCS'!L281*1</f>
        <v>0</v>
      </c>
      <c r="L280" s="6">
        <f>'MATCH CALCS'!$N281*2</f>
        <v>0</v>
      </c>
      <c r="M280" s="6">
        <f>'MATCH CALCS'!N281*1</f>
        <v>0</v>
      </c>
      <c r="N280" s="6">
        <f>'MATCH CALCS'!$N281*2</f>
        <v>0</v>
      </c>
      <c r="O280" s="6">
        <f>'MATCH CALCS'!$N281*2</f>
        <v>0</v>
      </c>
      <c r="P280" s="6">
        <f>'MATCH CALCS'!$P281*5</f>
        <v>0</v>
      </c>
      <c r="Q280" s="154">
        <f t="shared" si="11"/>
        <v>0</v>
      </c>
      <c r="R280" s="6">
        <f>'MATCH CALCS'!$AD281*1</f>
        <v>0</v>
      </c>
      <c r="S280" s="6">
        <f>'MATCH CALCS'!AC281*3</f>
        <v>0</v>
      </c>
      <c r="T280" s="6">
        <f>'MATCH CALCS'!AD281*3</f>
        <v>0</v>
      </c>
      <c r="U280" s="155">
        <f t="shared" si="12"/>
        <v>0</v>
      </c>
      <c r="V280" s="154">
        <f t="shared" si="13"/>
        <v>0</v>
      </c>
    </row>
    <row r="281" spans="1:22">
      <c r="A281" s="154">
        <f>'MATCH CALCS'!A282</f>
        <v>0</v>
      </c>
      <c r="B281" s="154">
        <f>'MATCH CALCS'!$C282</f>
        <v>0</v>
      </c>
      <c r="C281" s="154">
        <f t="shared" si="9"/>
        <v>0</v>
      </c>
      <c r="D281" s="6">
        <f>'MATCH CALCS'!$G282*2</f>
        <v>0</v>
      </c>
      <c r="E281" s="6">
        <f>'MATCH CALCS'!$G282*2</f>
        <v>0</v>
      </c>
      <c r="F281" s="6">
        <f>'MATCH CALCS'!$G282*2</f>
        <v>0</v>
      </c>
      <c r="G281" s="6">
        <f>'MATCH CALCS'!$G282*2</f>
        <v>0</v>
      </c>
      <c r="H281" s="6">
        <f>'MATCH CALCS'!$G282*2</f>
        <v>0</v>
      </c>
      <c r="I281" s="6">
        <f>'MATCH CALCS'!$G282*2</f>
        <v>0</v>
      </c>
      <c r="J281" s="154">
        <f t="shared" si="10"/>
        <v>0</v>
      </c>
      <c r="K281" s="6">
        <f>'MATCH CALCS'!L282*1</f>
        <v>0</v>
      </c>
      <c r="L281" s="6">
        <f>'MATCH CALCS'!$N282*2</f>
        <v>0</v>
      </c>
      <c r="M281" s="6">
        <f>'MATCH CALCS'!N282*1</f>
        <v>0</v>
      </c>
      <c r="N281" s="6">
        <f>'MATCH CALCS'!$N282*2</f>
        <v>0</v>
      </c>
      <c r="O281" s="6">
        <f>'MATCH CALCS'!$N282*2</f>
        <v>0</v>
      </c>
      <c r="P281" s="6">
        <f>'MATCH CALCS'!$P282*5</f>
        <v>0</v>
      </c>
      <c r="Q281" s="154">
        <f t="shared" si="11"/>
        <v>0</v>
      </c>
      <c r="R281" s="6">
        <f>'MATCH CALCS'!$AD282*1</f>
        <v>0</v>
      </c>
      <c r="S281" s="6">
        <f>'MATCH CALCS'!AC282*3</f>
        <v>0</v>
      </c>
      <c r="T281" s="6">
        <f>'MATCH CALCS'!AD282*3</f>
        <v>0</v>
      </c>
      <c r="U281" s="155">
        <f t="shared" si="12"/>
        <v>0</v>
      </c>
      <c r="V281" s="154">
        <f t="shared" si="13"/>
        <v>0</v>
      </c>
    </row>
    <row r="282" spans="1:22">
      <c r="A282" s="154">
        <f>'MATCH CALCS'!A283</f>
        <v>0</v>
      </c>
      <c r="B282" s="154">
        <f>'MATCH CALCS'!$C283</f>
        <v>0</v>
      </c>
      <c r="C282" s="154">
        <f t="shared" si="9"/>
        <v>0</v>
      </c>
      <c r="D282" s="6">
        <f>'MATCH CALCS'!$G283*2</f>
        <v>0</v>
      </c>
      <c r="E282" s="6">
        <f>'MATCH CALCS'!$G283*2</f>
        <v>0</v>
      </c>
      <c r="F282" s="6">
        <f>'MATCH CALCS'!$G283*2</f>
        <v>0</v>
      </c>
      <c r="G282" s="6">
        <f>'MATCH CALCS'!$G283*2</f>
        <v>0</v>
      </c>
      <c r="H282" s="6">
        <f>'MATCH CALCS'!$G283*2</f>
        <v>0</v>
      </c>
      <c r="I282" s="6">
        <f>'MATCH CALCS'!$G283*2</f>
        <v>0</v>
      </c>
      <c r="J282" s="154">
        <f t="shared" si="10"/>
        <v>0</v>
      </c>
      <c r="K282" s="6">
        <f>'MATCH CALCS'!L283*1</f>
        <v>0</v>
      </c>
      <c r="L282" s="6">
        <f>'MATCH CALCS'!$N283*2</f>
        <v>0</v>
      </c>
      <c r="M282" s="6">
        <f>'MATCH CALCS'!N283*1</f>
        <v>0</v>
      </c>
      <c r="N282" s="6">
        <f>'MATCH CALCS'!$N283*2</f>
        <v>0</v>
      </c>
      <c r="O282" s="6">
        <f>'MATCH CALCS'!$N283*2</f>
        <v>0</v>
      </c>
      <c r="P282" s="6">
        <f>'MATCH CALCS'!$P283*5</f>
        <v>0</v>
      </c>
      <c r="Q282" s="154">
        <f t="shared" si="11"/>
        <v>0</v>
      </c>
      <c r="R282" s="6">
        <f>'MATCH CALCS'!$AD283*1</f>
        <v>0</v>
      </c>
      <c r="S282" s="6">
        <f>'MATCH CALCS'!AC283*3</f>
        <v>0</v>
      </c>
      <c r="T282" s="6">
        <f>'MATCH CALCS'!AD283*3</f>
        <v>0</v>
      </c>
      <c r="U282" s="155">
        <f t="shared" si="12"/>
        <v>0</v>
      </c>
      <c r="V282" s="154">
        <f t="shared" si="13"/>
        <v>0</v>
      </c>
    </row>
    <row r="283" spans="1:22">
      <c r="A283" s="154">
        <f>'MATCH CALCS'!A284</f>
        <v>0</v>
      </c>
      <c r="B283" s="154">
        <f>'MATCH CALCS'!$C284</f>
        <v>0</v>
      </c>
      <c r="C283" s="154">
        <f t="shared" si="9"/>
        <v>0</v>
      </c>
      <c r="D283" s="6">
        <f>'MATCH CALCS'!$G284*2</f>
        <v>0</v>
      </c>
      <c r="E283" s="6">
        <f>'MATCH CALCS'!$G284*2</f>
        <v>0</v>
      </c>
      <c r="F283" s="6">
        <f>'MATCH CALCS'!$G284*2</f>
        <v>0</v>
      </c>
      <c r="G283" s="6">
        <f>'MATCH CALCS'!$G284*2</f>
        <v>0</v>
      </c>
      <c r="H283" s="6">
        <f>'MATCH CALCS'!$G284*2</f>
        <v>0</v>
      </c>
      <c r="I283" s="6">
        <f>'MATCH CALCS'!$G284*2</f>
        <v>0</v>
      </c>
      <c r="J283" s="154">
        <f t="shared" si="10"/>
        <v>0</v>
      </c>
      <c r="K283" s="6">
        <f>'MATCH CALCS'!L284*1</f>
        <v>0</v>
      </c>
      <c r="L283" s="6">
        <f>'MATCH CALCS'!$N284*2</f>
        <v>0</v>
      </c>
      <c r="M283" s="6">
        <f>'MATCH CALCS'!N284*1</f>
        <v>0</v>
      </c>
      <c r="N283" s="6">
        <f>'MATCH CALCS'!$N284*2</f>
        <v>0</v>
      </c>
      <c r="O283" s="6">
        <f>'MATCH CALCS'!$N284*2</f>
        <v>0</v>
      </c>
      <c r="P283" s="6">
        <f>'MATCH CALCS'!$P284*5</f>
        <v>0</v>
      </c>
      <c r="Q283" s="154">
        <f t="shared" si="11"/>
        <v>0</v>
      </c>
      <c r="R283" s="6">
        <f>'MATCH CALCS'!$AD284*1</f>
        <v>0</v>
      </c>
      <c r="S283" s="6">
        <f>'MATCH CALCS'!AC284*3</f>
        <v>0</v>
      </c>
      <c r="T283" s="6">
        <f>'MATCH CALCS'!AD284*3</f>
        <v>0</v>
      </c>
      <c r="U283" s="155">
        <f t="shared" si="12"/>
        <v>0</v>
      </c>
      <c r="V283" s="154">
        <f t="shared" si="13"/>
        <v>0</v>
      </c>
    </row>
    <row r="284" spans="1:22">
      <c r="A284" s="154">
        <f>'MATCH CALCS'!A285</f>
        <v>0</v>
      </c>
      <c r="B284" s="154">
        <f>'MATCH CALCS'!$C285</f>
        <v>0</v>
      </c>
      <c r="C284" s="154">
        <f t="shared" si="9"/>
        <v>0</v>
      </c>
      <c r="D284" s="6">
        <f>'MATCH CALCS'!$G285*2</f>
        <v>0</v>
      </c>
      <c r="E284" s="6">
        <f>'MATCH CALCS'!$G285*2</f>
        <v>0</v>
      </c>
      <c r="F284" s="6">
        <f>'MATCH CALCS'!$G285*2</f>
        <v>0</v>
      </c>
      <c r="G284" s="6">
        <f>'MATCH CALCS'!$G285*2</f>
        <v>0</v>
      </c>
      <c r="H284" s="6">
        <f>'MATCH CALCS'!$G285*2</f>
        <v>0</v>
      </c>
      <c r="I284" s="6">
        <f>'MATCH CALCS'!$G285*2</f>
        <v>0</v>
      </c>
      <c r="J284" s="154">
        <f t="shared" si="10"/>
        <v>0</v>
      </c>
      <c r="K284" s="6">
        <f>'MATCH CALCS'!L285*1</f>
        <v>0</v>
      </c>
      <c r="L284" s="6">
        <f>'MATCH CALCS'!$N285*2</f>
        <v>0</v>
      </c>
      <c r="M284" s="6">
        <f>'MATCH CALCS'!N285*1</f>
        <v>0</v>
      </c>
      <c r="N284" s="6">
        <f>'MATCH CALCS'!$N285*2</f>
        <v>0</v>
      </c>
      <c r="O284" s="6">
        <f>'MATCH CALCS'!$N285*2</f>
        <v>0</v>
      </c>
      <c r="P284" s="6">
        <f>'MATCH CALCS'!$P285*5</f>
        <v>0</v>
      </c>
      <c r="Q284" s="154">
        <f t="shared" si="11"/>
        <v>0</v>
      </c>
      <c r="R284" s="6">
        <f>'MATCH CALCS'!$AD285*1</f>
        <v>0</v>
      </c>
      <c r="S284" s="6">
        <f>'MATCH CALCS'!AC285*3</f>
        <v>0</v>
      </c>
      <c r="T284" s="6">
        <f>'MATCH CALCS'!AD285*3</f>
        <v>0</v>
      </c>
      <c r="U284" s="155">
        <f t="shared" si="12"/>
        <v>0</v>
      </c>
      <c r="V284" s="154">
        <f t="shared" si="13"/>
        <v>0</v>
      </c>
    </row>
    <row r="285" spans="1:22">
      <c r="A285" s="154">
        <f>'MATCH CALCS'!A286</f>
        <v>0</v>
      </c>
      <c r="B285" s="154">
        <f>'MATCH CALCS'!$C286</f>
        <v>0</v>
      </c>
      <c r="C285" s="154">
        <f t="shared" si="9"/>
        <v>0</v>
      </c>
      <c r="D285" s="6">
        <f>'MATCH CALCS'!$G286*2</f>
        <v>0</v>
      </c>
      <c r="E285" s="6">
        <f>'MATCH CALCS'!$G286*2</f>
        <v>0</v>
      </c>
      <c r="F285" s="6">
        <f>'MATCH CALCS'!$G286*2</f>
        <v>0</v>
      </c>
      <c r="G285" s="6">
        <f>'MATCH CALCS'!$G286*2</f>
        <v>0</v>
      </c>
      <c r="H285" s="6">
        <f>'MATCH CALCS'!$G286*2</f>
        <v>0</v>
      </c>
      <c r="I285" s="6">
        <f>'MATCH CALCS'!$G286*2</f>
        <v>0</v>
      </c>
      <c r="J285" s="154">
        <f t="shared" si="10"/>
        <v>0</v>
      </c>
      <c r="K285" s="6">
        <f>'MATCH CALCS'!L286*1</f>
        <v>0</v>
      </c>
      <c r="L285" s="6">
        <f>'MATCH CALCS'!$N286*2</f>
        <v>0</v>
      </c>
      <c r="M285" s="6">
        <f>'MATCH CALCS'!N286*1</f>
        <v>0</v>
      </c>
      <c r="N285" s="6">
        <f>'MATCH CALCS'!$N286*2</f>
        <v>0</v>
      </c>
      <c r="O285" s="6">
        <f>'MATCH CALCS'!$N286*2</f>
        <v>0</v>
      </c>
      <c r="P285" s="6">
        <f>'MATCH CALCS'!$P286*5</f>
        <v>0</v>
      </c>
      <c r="Q285" s="154">
        <f t="shared" si="11"/>
        <v>0</v>
      </c>
      <c r="R285" s="6">
        <f>'MATCH CALCS'!$AD286*1</f>
        <v>0</v>
      </c>
      <c r="S285" s="6">
        <f>'MATCH CALCS'!AC286*3</f>
        <v>0</v>
      </c>
      <c r="T285" s="6">
        <f>'MATCH CALCS'!AD286*3</f>
        <v>0</v>
      </c>
      <c r="U285" s="155">
        <f t="shared" si="12"/>
        <v>0</v>
      </c>
      <c r="V285" s="154">
        <f t="shared" si="13"/>
        <v>0</v>
      </c>
    </row>
    <row r="286" spans="1:22">
      <c r="A286" s="154">
        <f>'MATCH CALCS'!A287</f>
        <v>0</v>
      </c>
      <c r="B286" s="154">
        <f>'MATCH CALCS'!$C287</f>
        <v>0</v>
      </c>
      <c r="C286" s="154">
        <f t="shared" si="9"/>
        <v>0</v>
      </c>
      <c r="D286" s="6">
        <f>'MATCH CALCS'!$G287*2</f>
        <v>0</v>
      </c>
      <c r="E286" s="6">
        <f>'MATCH CALCS'!$G287*2</f>
        <v>0</v>
      </c>
      <c r="F286" s="6">
        <f>'MATCH CALCS'!$G287*2</f>
        <v>0</v>
      </c>
      <c r="G286" s="6">
        <f>'MATCH CALCS'!$G287*2</f>
        <v>0</v>
      </c>
      <c r="H286" s="6">
        <f>'MATCH CALCS'!$G287*2</f>
        <v>0</v>
      </c>
      <c r="I286" s="6">
        <f>'MATCH CALCS'!$G287*2</f>
        <v>0</v>
      </c>
      <c r="J286" s="154">
        <f t="shared" si="10"/>
        <v>0</v>
      </c>
      <c r="K286" s="6">
        <f>'MATCH CALCS'!L287*1</f>
        <v>0</v>
      </c>
      <c r="L286" s="6">
        <f>'MATCH CALCS'!$N287*2</f>
        <v>0</v>
      </c>
      <c r="M286" s="6">
        <f>'MATCH CALCS'!N287*1</f>
        <v>0</v>
      </c>
      <c r="N286" s="6">
        <f>'MATCH CALCS'!$N287*2</f>
        <v>0</v>
      </c>
      <c r="O286" s="6">
        <f>'MATCH CALCS'!$N287*2</f>
        <v>0</v>
      </c>
      <c r="P286" s="6">
        <f>'MATCH CALCS'!$P287*5</f>
        <v>0</v>
      </c>
      <c r="Q286" s="154">
        <f t="shared" si="11"/>
        <v>0</v>
      </c>
      <c r="R286" s="6">
        <f>'MATCH CALCS'!$AD287*1</f>
        <v>0</v>
      </c>
      <c r="S286" s="6">
        <f>'MATCH CALCS'!AC287*3</f>
        <v>0</v>
      </c>
      <c r="T286" s="6">
        <f>'MATCH CALCS'!AD287*3</f>
        <v>0</v>
      </c>
      <c r="U286" s="155">
        <f t="shared" si="12"/>
        <v>0</v>
      </c>
      <c r="V286" s="154">
        <f t="shared" si="13"/>
        <v>0</v>
      </c>
    </row>
    <row r="287" spans="1:22">
      <c r="A287" s="154">
        <f>'MATCH CALCS'!A288</f>
        <v>0</v>
      </c>
      <c r="B287" s="154">
        <f>'MATCH CALCS'!$C288</f>
        <v>0</v>
      </c>
      <c r="C287" s="154">
        <f t="shared" si="9"/>
        <v>0</v>
      </c>
      <c r="D287" s="6">
        <f>'MATCH CALCS'!$G288*2</f>
        <v>0</v>
      </c>
      <c r="E287" s="6">
        <f>'MATCH CALCS'!$G288*2</f>
        <v>0</v>
      </c>
      <c r="F287" s="6">
        <f>'MATCH CALCS'!$G288*2</f>
        <v>0</v>
      </c>
      <c r="G287" s="6">
        <f>'MATCH CALCS'!$G288*2</f>
        <v>0</v>
      </c>
      <c r="H287" s="6">
        <f>'MATCH CALCS'!$G288*2</f>
        <v>0</v>
      </c>
      <c r="I287" s="6">
        <f>'MATCH CALCS'!$G288*2</f>
        <v>0</v>
      </c>
      <c r="J287" s="154">
        <f t="shared" si="10"/>
        <v>0</v>
      </c>
      <c r="K287" s="6">
        <f>'MATCH CALCS'!L288*1</f>
        <v>0</v>
      </c>
      <c r="L287" s="6">
        <f>'MATCH CALCS'!$N288*2</f>
        <v>0</v>
      </c>
      <c r="M287" s="6">
        <f>'MATCH CALCS'!N288*1</f>
        <v>0</v>
      </c>
      <c r="N287" s="6">
        <f>'MATCH CALCS'!$N288*2</f>
        <v>0</v>
      </c>
      <c r="O287" s="6">
        <f>'MATCH CALCS'!$N288*2</f>
        <v>0</v>
      </c>
      <c r="P287" s="6">
        <f>'MATCH CALCS'!$P288*5</f>
        <v>0</v>
      </c>
      <c r="Q287" s="154">
        <f t="shared" si="11"/>
        <v>0</v>
      </c>
      <c r="R287" s="6">
        <f>'MATCH CALCS'!$AD288*1</f>
        <v>0</v>
      </c>
      <c r="S287" s="6">
        <f>'MATCH CALCS'!AC288*3</f>
        <v>0</v>
      </c>
      <c r="T287" s="6">
        <f>'MATCH CALCS'!AD288*3</f>
        <v>0</v>
      </c>
      <c r="U287" s="155">
        <f t="shared" si="12"/>
        <v>0</v>
      </c>
      <c r="V287" s="154">
        <f t="shared" si="13"/>
        <v>0</v>
      </c>
    </row>
    <row r="288" spans="1:22">
      <c r="A288" s="154">
        <f>'MATCH CALCS'!A289</f>
        <v>0</v>
      </c>
      <c r="B288" s="154">
        <f>'MATCH CALCS'!$C289</f>
        <v>0</v>
      </c>
      <c r="C288" s="154">
        <f t="shared" si="9"/>
        <v>0</v>
      </c>
      <c r="D288" s="6">
        <f>'MATCH CALCS'!$G289*2</f>
        <v>0</v>
      </c>
      <c r="E288" s="6">
        <f>'MATCH CALCS'!$G289*2</f>
        <v>0</v>
      </c>
      <c r="F288" s="6">
        <f>'MATCH CALCS'!$G289*2</f>
        <v>0</v>
      </c>
      <c r="G288" s="6">
        <f>'MATCH CALCS'!$G289*2</f>
        <v>0</v>
      </c>
      <c r="H288" s="6">
        <f>'MATCH CALCS'!$G289*2</f>
        <v>0</v>
      </c>
      <c r="I288" s="6">
        <f>'MATCH CALCS'!$G289*2</f>
        <v>0</v>
      </c>
      <c r="J288" s="154">
        <f t="shared" si="10"/>
        <v>0</v>
      </c>
      <c r="K288" s="6">
        <f>'MATCH CALCS'!L289*1</f>
        <v>0</v>
      </c>
      <c r="L288" s="6">
        <f>'MATCH CALCS'!$N289*2</f>
        <v>0</v>
      </c>
      <c r="M288" s="6">
        <f>'MATCH CALCS'!N289*1</f>
        <v>0</v>
      </c>
      <c r="N288" s="6">
        <f>'MATCH CALCS'!$N289*2</f>
        <v>0</v>
      </c>
      <c r="O288" s="6">
        <f>'MATCH CALCS'!$N289*2</f>
        <v>0</v>
      </c>
      <c r="P288" s="6">
        <f>'MATCH CALCS'!$P289*5</f>
        <v>0</v>
      </c>
      <c r="Q288" s="154">
        <f t="shared" si="11"/>
        <v>0</v>
      </c>
      <c r="R288" s="6">
        <f>'MATCH CALCS'!$AD289*1</f>
        <v>0</v>
      </c>
      <c r="S288" s="6">
        <f>'MATCH CALCS'!AC289*3</f>
        <v>0</v>
      </c>
      <c r="T288" s="6">
        <f>'MATCH CALCS'!AD289*3</f>
        <v>0</v>
      </c>
      <c r="U288" s="155">
        <f t="shared" si="12"/>
        <v>0</v>
      </c>
      <c r="V288" s="154">
        <f t="shared" si="13"/>
        <v>0</v>
      </c>
    </row>
    <row r="289" spans="1:22">
      <c r="A289" s="154">
        <f>'MATCH CALCS'!A290</f>
        <v>0</v>
      </c>
      <c r="B289" s="154">
        <f>'MATCH CALCS'!$C290</f>
        <v>0</v>
      </c>
      <c r="C289" s="154">
        <f t="shared" si="9"/>
        <v>0</v>
      </c>
      <c r="D289" s="6">
        <f>'MATCH CALCS'!$G290*2</f>
        <v>0</v>
      </c>
      <c r="E289" s="6">
        <f>'MATCH CALCS'!$G290*2</f>
        <v>0</v>
      </c>
      <c r="F289" s="6">
        <f>'MATCH CALCS'!$G290*2</f>
        <v>0</v>
      </c>
      <c r="G289" s="6">
        <f>'MATCH CALCS'!$G290*2</f>
        <v>0</v>
      </c>
      <c r="H289" s="6">
        <f>'MATCH CALCS'!$G290*2</f>
        <v>0</v>
      </c>
      <c r="I289" s="6">
        <f>'MATCH CALCS'!$G290*2</f>
        <v>0</v>
      </c>
      <c r="J289" s="154">
        <f t="shared" si="10"/>
        <v>0</v>
      </c>
      <c r="K289" s="6">
        <f>'MATCH CALCS'!L290*1</f>
        <v>0</v>
      </c>
      <c r="L289" s="6">
        <f>'MATCH CALCS'!$N290*2</f>
        <v>0</v>
      </c>
      <c r="M289" s="6">
        <f>'MATCH CALCS'!N290*1</f>
        <v>0</v>
      </c>
      <c r="N289" s="6">
        <f>'MATCH CALCS'!$N290*2</f>
        <v>0</v>
      </c>
      <c r="O289" s="6">
        <f>'MATCH CALCS'!$N290*2</f>
        <v>0</v>
      </c>
      <c r="P289" s="6">
        <f>'MATCH CALCS'!$P290*5</f>
        <v>0</v>
      </c>
      <c r="Q289" s="154">
        <f t="shared" si="11"/>
        <v>0</v>
      </c>
      <c r="R289" s="6">
        <f>'MATCH CALCS'!$AD290*1</f>
        <v>0</v>
      </c>
      <c r="S289" s="6">
        <f>'MATCH CALCS'!AC290*3</f>
        <v>0</v>
      </c>
      <c r="T289" s="6">
        <f>'MATCH CALCS'!AD290*3</f>
        <v>0</v>
      </c>
      <c r="U289" s="155">
        <f t="shared" si="12"/>
        <v>0</v>
      </c>
      <c r="V289" s="154">
        <f t="shared" si="13"/>
        <v>0</v>
      </c>
    </row>
    <row r="290" spans="1:22">
      <c r="A290" s="154">
        <f>'MATCH CALCS'!A291</f>
        <v>0</v>
      </c>
      <c r="B290" s="154">
        <f>'MATCH CALCS'!$C291</f>
        <v>0</v>
      </c>
      <c r="C290" s="154">
        <f t="shared" si="9"/>
        <v>0</v>
      </c>
      <c r="D290" s="6">
        <f>'MATCH CALCS'!$G291*2</f>
        <v>0</v>
      </c>
      <c r="E290" s="6">
        <f>'MATCH CALCS'!$G291*2</f>
        <v>0</v>
      </c>
      <c r="F290" s="6">
        <f>'MATCH CALCS'!$G291*2</f>
        <v>0</v>
      </c>
      <c r="G290" s="6">
        <f>'MATCH CALCS'!$G291*2</f>
        <v>0</v>
      </c>
      <c r="H290" s="6">
        <f>'MATCH CALCS'!$G291*2</f>
        <v>0</v>
      </c>
      <c r="I290" s="6">
        <f>'MATCH CALCS'!$G291*2</f>
        <v>0</v>
      </c>
      <c r="J290" s="154">
        <f t="shared" si="10"/>
        <v>0</v>
      </c>
      <c r="K290" s="6">
        <f>'MATCH CALCS'!L291*1</f>
        <v>0</v>
      </c>
      <c r="L290" s="6">
        <f>'MATCH CALCS'!$N291*2</f>
        <v>0</v>
      </c>
      <c r="M290" s="6">
        <f>'MATCH CALCS'!N291*1</f>
        <v>0</v>
      </c>
      <c r="N290" s="6">
        <f>'MATCH CALCS'!$N291*2</f>
        <v>0</v>
      </c>
      <c r="O290" s="6">
        <f>'MATCH CALCS'!$N291*2</f>
        <v>0</v>
      </c>
      <c r="P290" s="6">
        <f>'MATCH CALCS'!$P291*5</f>
        <v>0</v>
      </c>
      <c r="Q290" s="154">
        <f t="shared" si="11"/>
        <v>0</v>
      </c>
      <c r="R290" s="6">
        <f>'MATCH CALCS'!$AD291*1</f>
        <v>0</v>
      </c>
      <c r="S290" s="6">
        <f>'MATCH CALCS'!AC291*3</f>
        <v>0</v>
      </c>
      <c r="T290" s="6">
        <f>'MATCH CALCS'!AD291*3</f>
        <v>0</v>
      </c>
      <c r="U290" s="155">
        <f t="shared" si="12"/>
        <v>0</v>
      </c>
      <c r="V290" s="154">
        <f t="shared" si="13"/>
        <v>0</v>
      </c>
    </row>
    <row r="291" spans="1:22">
      <c r="A291" s="154">
        <f>'MATCH CALCS'!A292</f>
        <v>0</v>
      </c>
      <c r="B291" s="154">
        <f>'MATCH CALCS'!$C292</f>
        <v>0</v>
      </c>
      <c r="C291" s="154">
        <f t="shared" si="9"/>
        <v>0</v>
      </c>
      <c r="D291" s="6">
        <f>'MATCH CALCS'!$G292*2</f>
        <v>0</v>
      </c>
      <c r="E291" s="6">
        <f>'MATCH CALCS'!$G292*2</f>
        <v>0</v>
      </c>
      <c r="F291" s="6">
        <f>'MATCH CALCS'!$G292*2</f>
        <v>0</v>
      </c>
      <c r="G291" s="6">
        <f>'MATCH CALCS'!$G292*2</f>
        <v>0</v>
      </c>
      <c r="H291" s="6">
        <f>'MATCH CALCS'!$G292*2</f>
        <v>0</v>
      </c>
      <c r="I291" s="6">
        <f>'MATCH CALCS'!$G292*2</f>
        <v>0</v>
      </c>
      <c r="J291" s="154">
        <f t="shared" si="10"/>
        <v>0</v>
      </c>
      <c r="K291" s="6">
        <f>'MATCH CALCS'!L292*1</f>
        <v>0</v>
      </c>
      <c r="L291" s="6">
        <f>'MATCH CALCS'!$N292*2</f>
        <v>0</v>
      </c>
      <c r="M291" s="6">
        <f>'MATCH CALCS'!N292*1</f>
        <v>0</v>
      </c>
      <c r="N291" s="6">
        <f>'MATCH CALCS'!$N292*2</f>
        <v>0</v>
      </c>
      <c r="O291" s="6">
        <f>'MATCH CALCS'!$N292*2</f>
        <v>0</v>
      </c>
      <c r="P291" s="6">
        <f>'MATCH CALCS'!$P292*5</f>
        <v>0</v>
      </c>
      <c r="Q291" s="154">
        <f t="shared" si="11"/>
        <v>0</v>
      </c>
      <c r="R291" s="6">
        <f>'MATCH CALCS'!$AD292*1</f>
        <v>0</v>
      </c>
      <c r="S291" s="6">
        <f>'MATCH CALCS'!AC292*3</f>
        <v>0</v>
      </c>
      <c r="T291" s="6">
        <f>'MATCH CALCS'!AD292*3</f>
        <v>0</v>
      </c>
      <c r="U291" s="155">
        <f t="shared" si="12"/>
        <v>0</v>
      </c>
      <c r="V291" s="154">
        <f t="shared" si="13"/>
        <v>0</v>
      </c>
    </row>
    <row r="292" spans="1:22">
      <c r="A292" s="154">
        <f>'MATCH CALCS'!A293</f>
        <v>0</v>
      </c>
      <c r="B292" s="154">
        <f>'MATCH CALCS'!$C293</f>
        <v>0</v>
      </c>
      <c r="C292" s="154">
        <f t="shared" si="9"/>
        <v>0</v>
      </c>
      <c r="D292" s="6">
        <f>'MATCH CALCS'!$G293*2</f>
        <v>0</v>
      </c>
      <c r="E292" s="6">
        <f>'MATCH CALCS'!$G293*2</f>
        <v>0</v>
      </c>
      <c r="F292" s="6">
        <f>'MATCH CALCS'!$G293*2</f>
        <v>0</v>
      </c>
      <c r="G292" s="6">
        <f>'MATCH CALCS'!$G293*2</f>
        <v>0</v>
      </c>
      <c r="H292" s="6">
        <f>'MATCH CALCS'!$G293*2</f>
        <v>0</v>
      </c>
      <c r="I292" s="6">
        <f>'MATCH CALCS'!$G293*2</f>
        <v>0</v>
      </c>
      <c r="J292" s="154">
        <f t="shared" si="10"/>
        <v>0</v>
      </c>
      <c r="K292" s="6">
        <f>'MATCH CALCS'!L293*1</f>
        <v>0</v>
      </c>
      <c r="L292" s="6">
        <f>'MATCH CALCS'!$N293*2</f>
        <v>0</v>
      </c>
      <c r="M292" s="6">
        <f>'MATCH CALCS'!N293*1</f>
        <v>0</v>
      </c>
      <c r="N292" s="6">
        <f>'MATCH CALCS'!$N293*2</f>
        <v>0</v>
      </c>
      <c r="O292" s="6">
        <f>'MATCH CALCS'!$N293*2</f>
        <v>0</v>
      </c>
      <c r="P292" s="6">
        <f>'MATCH CALCS'!$P293*5</f>
        <v>0</v>
      </c>
      <c r="Q292" s="154">
        <f t="shared" si="11"/>
        <v>0</v>
      </c>
      <c r="R292" s="6">
        <f>'MATCH CALCS'!$AD293*1</f>
        <v>0</v>
      </c>
      <c r="S292" s="6">
        <f>'MATCH CALCS'!AC293*3</f>
        <v>0</v>
      </c>
      <c r="T292" s="6">
        <f>'MATCH CALCS'!AD293*3</f>
        <v>0</v>
      </c>
      <c r="U292" s="155">
        <f t="shared" si="12"/>
        <v>0</v>
      </c>
      <c r="V292" s="154">
        <f t="shared" si="13"/>
        <v>0</v>
      </c>
    </row>
    <row r="293" spans="1:22">
      <c r="A293" s="154">
        <f>'MATCH CALCS'!A294</f>
        <v>0</v>
      </c>
      <c r="B293" s="154">
        <f>'MATCH CALCS'!$C294</f>
        <v>0</v>
      </c>
      <c r="C293" s="154">
        <f t="shared" si="9"/>
        <v>0</v>
      </c>
      <c r="D293" s="6">
        <f>'MATCH CALCS'!$G294*2</f>
        <v>0</v>
      </c>
      <c r="E293" s="6">
        <f>'MATCH CALCS'!$G294*2</f>
        <v>0</v>
      </c>
      <c r="F293" s="6">
        <f>'MATCH CALCS'!$G294*2</f>
        <v>0</v>
      </c>
      <c r="G293" s="6">
        <f>'MATCH CALCS'!$G294*2</f>
        <v>0</v>
      </c>
      <c r="H293" s="6">
        <f>'MATCH CALCS'!$G294*2</f>
        <v>0</v>
      </c>
      <c r="I293" s="6">
        <f>'MATCH CALCS'!$G294*2</f>
        <v>0</v>
      </c>
      <c r="J293" s="154">
        <f t="shared" si="10"/>
        <v>0</v>
      </c>
      <c r="K293" s="6">
        <f>'MATCH CALCS'!L294*1</f>
        <v>0</v>
      </c>
      <c r="L293" s="6">
        <f>'MATCH CALCS'!$N294*2</f>
        <v>0</v>
      </c>
      <c r="M293" s="6">
        <f>'MATCH CALCS'!N294*1</f>
        <v>0</v>
      </c>
      <c r="N293" s="6">
        <f>'MATCH CALCS'!$N294*2</f>
        <v>0</v>
      </c>
      <c r="O293" s="6">
        <f>'MATCH CALCS'!$N294*2</f>
        <v>0</v>
      </c>
      <c r="P293" s="6">
        <f>'MATCH CALCS'!$P294*5</f>
        <v>0</v>
      </c>
      <c r="Q293" s="154">
        <f t="shared" si="11"/>
        <v>0</v>
      </c>
      <c r="R293" s="6">
        <f>'MATCH CALCS'!$AD294*1</f>
        <v>0</v>
      </c>
      <c r="S293" s="6">
        <f>'MATCH CALCS'!AC294*3</f>
        <v>0</v>
      </c>
      <c r="T293" s="6">
        <f>'MATCH CALCS'!AD294*3</f>
        <v>0</v>
      </c>
      <c r="U293" s="155">
        <f t="shared" si="12"/>
        <v>0</v>
      </c>
      <c r="V293" s="154">
        <f t="shared" si="13"/>
        <v>0</v>
      </c>
    </row>
    <row r="294" spans="1:22">
      <c r="A294" s="154">
        <f>'MATCH CALCS'!A295</f>
        <v>0</v>
      </c>
      <c r="B294" s="154">
        <f>'MATCH CALCS'!$C295</f>
        <v>0</v>
      </c>
      <c r="C294" s="154">
        <f t="shared" si="9"/>
        <v>0</v>
      </c>
      <c r="D294" s="6">
        <f>'MATCH CALCS'!$G295*2</f>
        <v>0</v>
      </c>
      <c r="E294" s="6">
        <f>'MATCH CALCS'!$G295*2</f>
        <v>0</v>
      </c>
      <c r="F294" s="6">
        <f>'MATCH CALCS'!$G295*2</f>
        <v>0</v>
      </c>
      <c r="G294" s="6">
        <f>'MATCH CALCS'!$G295*2</f>
        <v>0</v>
      </c>
      <c r="H294" s="6">
        <f>'MATCH CALCS'!$G295*2</f>
        <v>0</v>
      </c>
      <c r="I294" s="6">
        <f>'MATCH CALCS'!$G295*2</f>
        <v>0</v>
      </c>
      <c r="J294" s="154">
        <f t="shared" si="10"/>
        <v>0</v>
      </c>
      <c r="K294" s="6">
        <f>'MATCH CALCS'!L295*1</f>
        <v>0</v>
      </c>
      <c r="L294" s="6">
        <f>'MATCH CALCS'!$N295*2</f>
        <v>0</v>
      </c>
      <c r="M294" s="6">
        <f>'MATCH CALCS'!N295*1</f>
        <v>0</v>
      </c>
      <c r="N294" s="6">
        <f>'MATCH CALCS'!$N295*2</f>
        <v>0</v>
      </c>
      <c r="O294" s="6">
        <f>'MATCH CALCS'!$N295*2</f>
        <v>0</v>
      </c>
      <c r="P294" s="6">
        <f>'MATCH CALCS'!$P295*5</f>
        <v>0</v>
      </c>
      <c r="Q294" s="154">
        <f t="shared" si="11"/>
        <v>0</v>
      </c>
      <c r="R294" s="6">
        <f>'MATCH CALCS'!$AD295*1</f>
        <v>0</v>
      </c>
      <c r="S294" s="6">
        <f>'MATCH CALCS'!AC295*3</f>
        <v>0</v>
      </c>
      <c r="T294" s="6">
        <f>'MATCH CALCS'!AD295*3</f>
        <v>0</v>
      </c>
      <c r="U294" s="155">
        <f t="shared" si="12"/>
        <v>0</v>
      </c>
      <c r="V294" s="154">
        <f t="shared" si="13"/>
        <v>0</v>
      </c>
    </row>
    <row r="295" spans="1:22">
      <c r="A295" s="154">
        <f>'MATCH CALCS'!A296</f>
        <v>0</v>
      </c>
      <c r="B295" s="154">
        <f>'MATCH CALCS'!$C296</f>
        <v>0</v>
      </c>
      <c r="C295" s="154">
        <f t="shared" si="9"/>
        <v>0</v>
      </c>
      <c r="D295" s="6">
        <f>'MATCH CALCS'!$G296*2</f>
        <v>0</v>
      </c>
      <c r="E295" s="6">
        <f>'MATCH CALCS'!$G296*2</f>
        <v>0</v>
      </c>
      <c r="F295" s="6">
        <f>'MATCH CALCS'!$G296*2</f>
        <v>0</v>
      </c>
      <c r="G295" s="6">
        <f>'MATCH CALCS'!$G296*2</f>
        <v>0</v>
      </c>
      <c r="H295" s="6">
        <f>'MATCH CALCS'!$G296*2</f>
        <v>0</v>
      </c>
      <c r="I295" s="6">
        <f>'MATCH CALCS'!$G296*2</f>
        <v>0</v>
      </c>
      <c r="J295" s="154">
        <f t="shared" si="10"/>
        <v>0</v>
      </c>
      <c r="K295" s="6">
        <f>'MATCH CALCS'!L296*1</f>
        <v>0</v>
      </c>
      <c r="L295" s="6">
        <f>'MATCH CALCS'!$N296*2</f>
        <v>0</v>
      </c>
      <c r="M295" s="6">
        <f>'MATCH CALCS'!N296*1</f>
        <v>0</v>
      </c>
      <c r="N295" s="6">
        <f>'MATCH CALCS'!$N296*2</f>
        <v>0</v>
      </c>
      <c r="O295" s="6">
        <f>'MATCH CALCS'!$N296*2</f>
        <v>0</v>
      </c>
      <c r="P295" s="6">
        <f>'MATCH CALCS'!$P296*5</f>
        <v>0</v>
      </c>
      <c r="Q295" s="154">
        <f t="shared" si="11"/>
        <v>0</v>
      </c>
      <c r="R295" s="6">
        <f>'MATCH CALCS'!$AD296*1</f>
        <v>0</v>
      </c>
      <c r="S295" s="6">
        <f>'MATCH CALCS'!AC296*3</f>
        <v>0</v>
      </c>
      <c r="T295" s="6">
        <f>'MATCH CALCS'!AD296*3</f>
        <v>0</v>
      </c>
      <c r="U295" s="155">
        <f t="shared" si="12"/>
        <v>0</v>
      </c>
      <c r="V295" s="154">
        <f t="shared" si="13"/>
        <v>0</v>
      </c>
    </row>
    <row r="296" spans="1:22">
      <c r="A296" s="154">
        <f>'MATCH CALCS'!A297</f>
        <v>0</v>
      </c>
      <c r="B296" s="154">
        <f>'MATCH CALCS'!$C297</f>
        <v>0</v>
      </c>
      <c r="C296" s="154">
        <f t="shared" si="9"/>
        <v>0</v>
      </c>
      <c r="D296" s="6">
        <f>'MATCH CALCS'!$G297*2</f>
        <v>0</v>
      </c>
      <c r="E296" s="6">
        <f>'MATCH CALCS'!$G297*2</f>
        <v>0</v>
      </c>
      <c r="F296" s="6">
        <f>'MATCH CALCS'!$G297*2</f>
        <v>0</v>
      </c>
      <c r="G296" s="6">
        <f>'MATCH CALCS'!$G297*2</f>
        <v>0</v>
      </c>
      <c r="H296" s="6">
        <f>'MATCH CALCS'!$G297*2</f>
        <v>0</v>
      </c>
      <c r="I296" s="6">
        <f>'MATCH CALCS'!$G297*2</f>
        <v>0</v>
      </c>
      <c r="J296" s="154">
        <f t="shared" si="10"/>
        <v>0</v>
      </c>
      <c r="K296" s="6">
        <f>'MATCH CALCS'!L297*1</f>
        <v>0</v>
      </c>
      <c r="L296" s="6">
        <f>'MATCH CALCS'!$N297*2</f>
        <v>0</v>
      </c>
      <c r="M296" s="6">
        <f>'MATCH CALCS'!N297*1</f>
        <v>0</v>
      </c>
      <c r="N296" s="6">
        <f>'MATCH CALCS'!$N297*2</f>
        <v>0</v>
      </c>
      <c r="O296" s="6">
        <f>'MATCH CALCS'!$N297*2</f>
        <v>0</v>
      </c>
      <c r="P296" s="6">
        <f>'MATCH CALCS'!$P297*5</f>
        <v>0</v>
      </c>
      <c r="Q296" s="154">
        <f t="shared" si="11"/>
        <v>0</v>
      </c>
      <c r="R296" s="6">
        <f>'MATCH CALCS'!$AD297*1</f>
        <v>0</v>
      </c>
      <c r="S296" s="6">
        <f>'MATCH CALCS'!AC297*3</f>
        <v>0</v>
      </c>
      <c r="T296" s="6">
        <f>'MATCH CALCS'!AD297*3</f>
        <v>0</v>
      </c>
      <c r="U296" s="155">
        <f t="shared" si="12"/>
        <v>0</v>
      </c>
      <c r="V296" s="154">
        <f t="shared" si="13"/>
        <v>0</v>
      </c>
    </row>
    <row r="297" spans="1:22">
      <c r="A297" s="154">
        <f>'MATCH CALCS'!A298</f>
        <v>0</v>
      </c>
      <c r="B297" s="154">
        <f>'MATCH CALCS'!$C298</f>
        <v>0</v>
      </c>
      <c r="C297" s="154">
        <f t="shared" si="9"/>
        <v>0</v>
      </c>
      <c r="D297" s="6">
        <f>'MATCH CALCS'!$G298*2</f>
        <v>0</v>
      </c>
      <c r="E297" s="6">
        <f>'MATCH CALCS'!$G298*2</f>
        <v>0</v>
      </c>
      <c r="F297" s="6">
        <f>'MATCH CALCS'!$G298*2</f>
        <v>0</v>
      </c>
      <c r="G297" s="6">
        <f>'MATCH CALCS'!$G298*2</f>
        <v>0</v>
      </c>
      <c r="H297" s="6">
        <f>'MATCH CALCS'!$G298*2</f>
        <v>0</v>
      </c>
      <c r="I297" s="6">
        <f>'MATCH CALCS'!$G298*2</f>
        <v>0</v>
      </c>
      <c r="J297" s="154">
        <f t="shared" si="10"/>
        <v>0</v>
      </c>
      <c r="K297" s="6">
        <f>'MATCH CALCS'!L298*1</f>
        <v>0</v>
      </c>
      <c r="L297" s="6">
        <f>'MATCH CALCS'!$N298*2</f>
        <v>0</v>
      </c>
      <c r="M297" s="6">
        <f>'MATCH CALCS'!N298*1</f>
        <v>0</v>
      </c>
      <c r="N297" s="6">
        <f>'MATCH CALCS'!$N298*2</f>
        <v>0</v>
      </c>
      <c r="O297" s="6">
        <f>'MATCH CALCS'!$N298*2</f>
        <v>0</v>
      </c>
      <c r="P297" s="6">
        <f>'MATCH CALCS'!$P298*5</f>
        <v>0</v>
      </c>
      <c r="Q297" s="154">
        <f t="shared" si="11"/>
        <v>0</v>
      </c>
      <c r="R297" s="6">
        <f>'MATCH CALCS'!$AD298*1</f>
        <v>0</v>
      </c>
      <c r="S297" s="6">
        <f>'MATCH CALCS'!AC298*3</f>
        <v>0</v>
      </c>
      <c r="T297" s="6">
        <f>'MATCH CALCS'!AD298*3</f>
        <v>0</v>
      </c>
      <c r="U297" s="155">
        <f t="shared" si="12"/>
        <v>0</v>
      </c>
      <c r="V297" s="154">
        <f t="shared" si="13"/>
        <v>0</v>
      </c>
    </row>
    <row r="298" spans="1:22">
      <c r="A298" s="154">
        <f>'MATCH CALCS'!A299</f>
        <v>0</v>
      </c>
      <c r="B298" s="154">
        <f>'MATCH CALCS'!$C299</f>
        <v>0</v>
      </c>
      <c r="C298" s="154">
        <f t="shared" si="9"/>
        <v>0</v>
      </c>
      <c r="D298" s="6">
        <f>'MATCH CALCS'!$G299*2</f>
        <v>0</v>
      </c>
      <c r="E298" s="6">
        <f>'MATCH CALCS'!$G299*2</f>
        <v>0</v>
      </c>
      <c r="F298" s="6">
        <f>'MATCH CALCS'!$G299*2</f>
        <v>0</v>
      </c>
      <c r="G298" s="6">
        <f>'MATCH CALCS'!$G299*2</f>
        <v>0</v>
      </c>
      <c r="H298" s="6">
        <f>'MATCH CALCS'!$G299*2</f>
        <v>0</v>
      </c>
      <c r="I298" s="6">
        <f>'MATCH CALCS'!$G299*2</f>
        <v>0</v>
      </c>
      <c r="J298" s="154">
        <f t="shared" si="10"/>
        <v>0</v>
      </c>
      <c r="K298" s="6">
        <f>'MATCH CALCS'!L299*1</f>
        <v>0</v>
      </c>
      <c r="L298" s="6">
        <f>'MATCH CALCS'!$N299*2</f>
        <v>0</v>
      </c>
      <c r="M298" s="6">
        <f>'MATCH CALCS'!N299*1</f>
        <v>0</v>
      </c>
      <c r="N298" s="6">
        <f>'MATCH CALCS'!$N299*2</f>
        <v>0</v>
      </c>
      <c r="O298" s="6">
        <f>'MATCH CALCS'!$N299*2</f>
        <v>0</v>
      </c>
      <c r="P298" s="6">
        <f>'MATCH CALCS'!$P299*5</f>
        <v>0</v>
      </c>
      <c r="Q298" s="154">
        <f t="shared" si="11"/>
        <v>0</v>
      </c>
      <c r="R298" s="6">
        <f>'MATCH CALCS'!$AD299*1</f>
        <v>0</v>
      </c>
      <c r="S298" s="6">
        <f>'MATCH CALCS'!AC299*3</f>
        <v>0</v>
      </c>
      <c r="T298" s="6">
        <f>'MATCH CALCS'!AD299*3</f>
        <v>0</v>
      </c>
      <c r="U298" s="155">
        <f t="shared" si="12"/>
        <v>0</v>
      </c>
      <c r="V298" s="154">
        <f t="shared" si="13"/>
        <v>0</v>
      </c>
    </row>
    <row r="299" spans="1:22">
      <c r="A299" s="154">
        <f>'MATCH CALCS'!A300</f>
        <v>0</v>
      </c>
      <c r="B299" s="154">
        <f>'MATCH CALCS'!$C300</f>
        <v>0</v>
      </c>
      <c r="C299" s="154">
        <f t="shared" si="9"/>
        <v>0</v>
      </c>
      <c r="D299" s="6">
        <f>'MATCH CALCS'!$G300*2</f>
        <v>0</v>
      </c>
      <c r="E299" s="6">
        <f>'MATCH CALCS'!$G300*2</f>
        <v>0</v>
      </c>
      <c r="F299" s="6">
        <f>'MATCH CALCS'!$G300*2</f>
        <v>0</v>
      </c>
      <c r="G299" s="6">
        <f>'MATCH CALCS'!$G300*2</f>
        <v>0</v>
      </c>
      <c r="H299" s="6">
        <f>'MATCH CALCS'!$G300*2</f>
        <v>0</v>
      </c>
      <c r="I299" s="6">
        <f>'MATCH CALCS'!$G300*2</f>
        <v>0</v>
      </c>
      <c r="J299" s="154">
        <f t="shared" si="10"/>
        <v>0</v>
      </c>
      <c r="K299" s="6">
        <f>'MATCH CALCS'!L300*1</f>
        <v>0</v>
      </c>
      <c r="L299" s="6">
        <f>'MATCH CALCS'!$N300*2</f>
        <v>0</v>
      </c>
      <c r="M299" s="6">
        <f>'MATCH CALCS'!N300*1</f>
        <v>0</v>
      </c>
      <c r="N299" s="6">
        <f>'MATCH CALCS'!$N300*2</f>
        <v>0</v>
      </c>
      <c r="O299" s="6">
        <f>'MATCH CALCS'!$N300*2</f>
        <v>0</v>
      </c>
      <c r="P299" s="6">
        <f>'MATCH CALCS'!$P300*5</f>
        <v>0</v>
      </c>
      <c r="Q299" s="154">
        <f t="shared" si="11"/>
        <v>0</v>
      </c>
      <c r="R299" s="6">
        <f>'MATCH CALCS'!$AD300*1</f>
        <v>0</v>
      </c>
      <c r="S299" s="6">
        <f>'MATCH CALCS'!AC300*3</f>
        <v>0</v>
      </c>
      <c r="T299" s="6">
        <f>'MATCH CALCS'!AD300*3</f>
        <v>0</v>
      </c>
      <c r="U299" s="155">
        <f t="shared" si="12"/>
        <v>0</v>
      </c>
      <c r="V299" s="154">
        <f t="shared" si="13"/>
        <v>0</v>
      </c>
    </row>
    <row r="300" spans="1:22">
      <c r="A300" s="154">
        <f>'MATCH CALCS'!A301</f>
        <v>0</v>
      </c>
      <c r="B300" s="154">
        <f>'MATCH CALCS'!$C301</f>
        <v>0</v>
      </c>
      <c r="C300" s="154">
        <f t="shared" si="9"/>
        <v>0</v>
      </c>
      <c r="D300" s="6">
        <f>'MATCH CALCS'!$G301*2</f>
        <v>0</v>
      </c>
      <c r="E300" s="6">
        <f>'MATCH CALCS'!$G301*2</f>
        <v>0</v>
      </c>
      <c r="F300" s="6">
        <f>'MATCH CALCS'!$G301*2</f>
        <v>0</v>
      </c>
      <c r="G300" s="6">
        <f>'MATCH CALCS'!$G301*2</f>
        <v>0</v>
      </c>
      <c r="H300" s="6">
        <f>'MATCH CALCS'!$G301*2</f>
        <v>0</v>
      </c>
      <c r="I300" s="6">
        <f>'MATCH CALCS'!$G301*2</f>
        <v>0</v>
      </c>
      <c r="J300" s="154">
        <f t="shared" si="10"/>
        <v>0</v>
      </c>
      <c r="K300" s="6">
        <f>'MATCH CALCS'!L301*1</f>
        <v>0</v>
      </c>
      <c r="L300" s="6">
        <f>'MATCH CALCS'!$N301*2</f>
        <v>0</v>
      </c>
      <c r="M300" s="6">
        <f>'MATCH CALCS'!N301*1</f>
        <v>0</v>
      </c>
      <c r="N300" s="6">
        <f>'MATCH CALCS'!$N301*2</f>
        <v>0</v>
      </c>
      <c r="O300" s="6">
        <f>'MATCH CALCS'!$N301*2</f>
        <v>0</v>
      </c>
      <c r="P300" s="6">
        <f>'MATCH CALCS'!$P301*5</f>
        <v>0</v>
      </c>
      <c r="Q300" s="154">
        <f t="shared" si="11"/>
        <v>0</v>
      </c>
      <c r="R300" s="6">
        <f>'MATCH CALCS'!$AD301*1</f>
        <v>0</v>
      </c>
      <c r="S300" s="6">
        <f>'MATCH CALCS'!AC301*3</f>
        <v>0</v>
      </c>
      <c r="T300" s="6">
        <f>'MATCH CALCS'!AD301*3</f>
        <v>0</v>
      </c>
      <c r="U300" s="155">
        <f t="shared" si="12"/>
        <v>0</v>
      </c>
      <c r="V300" s="154">
        <f t="shared" si="13"/>
        <v>0</v>
      </c>
    </row>
    <row r="301" spans="1:22">
      <c r="A301" s="154">
        <f>'MATCH CALCS'!A302</f>
        <v>0</v>
      </c>
      <c r="B301" s="154">
        <f>'MATCH CALCS'!$C302</f>
        <v>0</v>
      </c>
      <c r="C301" s="154">
        <f t="shared" si="9"/>
        <v>0</v>
      </c>
      <c r="D301" s="6">
        <f>'MATCH CALCS'!$G302*2</f>
        <v>0</v>
      </c>
      <c r="E301" s="6">
        <f>'MATCH CALCS'!$G302*2</f>
        <v>0</v>
      </c>
      <c r="F301" s="6">
        <f>'MATCH CALCS'!$G302*2</f>
        <v>0</v>
      </c>
      <c r="G301" s="6">
        <f>'MATCH CALCS'!$G302*2</f>
        <v>0</v>
      </c>
      <c r="H301" s="6">
        <f>'MATCH CALCS'!$G302*2</f>
        <v>0</v>
      </c>
      <c r="I301" s="6">
        <f>'MATCH CALCS'!$G302*2</f>
        <v>0</v>
      </c>
      <c r="J301" s="154">
        <f t="shared" si="10"/>
        <v>0</v>
      </c>
      <c r="K301" s="6">
        <f>'MATCH CALCS'!L302*1</f>
        <v>0</v>
      </c>
      <c r="L301" s="6">
        <f>'MATCH CALCS'!$N302*2</f>
        <v>0</v>
      </c>
      <c r="M301" s="6">
        <f>'MATCH CALCS'!N302*1</f>
        <v>0</v>
      </c>
      <c r="N301" s="6">
        <f>'MATCH CALCS'!$N302*2</f>
        <v>0</v>
      </c>
      <c r="O301" s="6">
        <f>'MATCH CALCS'!$N302*2</f>
        <v>0</v>
      </c>
      <c r="P301" s="6">
        <f>'MATCH CALCS'!$P302*5</f>
        <v>0</v>
      </c>
      <c r="Q301" s="154">
        <f t="shared" si="11"/>
        <v>0</v>
      </c>
      <c r="R301" s="6">
        <f>'MATCH CALCS'!$AD302*1</f>
        <v>0</v>
      </c>
      <c r="S301" s="6">
        <f>'MATCH CALCS'!AC302*3</f>
        <v>0</v>
      </c>
      <c r="T301" s="6">
        <f>'MATCH CALCS'!AD302*3</f>
        <v>0</v>
      </c>
      <c r="U301" s="155">
        <f t="shared" si="12"/>
        <v>0</v>
      </c>
      <c r="V301" s="154">
        <f t="shared" si="13"/>
        <v>0</v>
      </c>
    </row>
    <row r="302" spans="1:22">
      <c r="A302" s="154">
        <f>'MATCH CALCS'!A303</f>
        <v>0</v>
      </c>
      <c r="B302" s="154">
        <f>'MATCH CALCS'!$C303</f>
        <v>0</v>
      </c>
      <c r="C302" s="154">
        <f t="shared" si="9"/>
        <v>0</v>
      </c>
      <c r="D302" s="6">
        <f>'MATCH CALCS'!$G303*2</f>
        <v>0</v>
      </c>
      <c r="E302" s="6">
        <f>'MATCH CALCS'!$G303*2</f>
        <v>0</v>
      </c>
      <c r="F302" s="6">
        <f>'MATCH CALCS'!$G303*2</f>
        <v>0</v>
      </c>
      <c r="G302" s="6">
        <f>'MATCH CALCS'!$G303*2</f>
        <v>0</v>
      </c>
      <c r="H302" s="6">
        <f>'MATCH CALCS'!$G303*2</f>
        <v>0</v>
      </c>
      <c r="I302" s="6">
        <f>'MATCH CALCS'!$G303*2</f>
        <v>0</v>
      </c>
      <c r="J302" s="154">
        <f t="shared" si="10"/>
        <v>0</v>
      </c>
      <c r="K302" s="6">
        <f>'MATCH CALCS'!L303*1</f>
        <v>0</v>
      </c>
      <c r="L302" s="6">
        <f>'MATCH CALCS'!$N303*2</f>
        <v>0</v>
      </c>
      <c r="M302" s="6">
        <f>'MATCH CALCS'!N303*1</f>
        <v>0</v>
      </c>
      <c r="N302" s="6">
        <f>'MATCH CALCS'!$N303*2</f>
        <v>0</v>
      </c>
      <c r="O302" s="6">
        <f>'MATCH CALCS'!$N303*2</f>
        <v>0</v>
      </c>
      <c r="P302" s="6">
        <f>'MATCH CALCS'!$P303*5</f>
        <v>0</v>
      </c>
      <c r="Q302" s="154">
        <f t="shared" si="11"/>
        <v>0</v>
      </c>
      <c r="R302" s="6">
        <f>'MATCH CALCS'!$AD303*1</f>
        <v>0</v>
      </c>
      <c r="S302" s="6">
        <f>'MATCH CALCS'!AC303*3</f>
        <v>0</v>
      </c>
      <c r="T302" s="6">
        <f>'MATCH CALCS'!AD303*3</f>
        <v>0</v>
      </c>
      <c r="U302" s="155">
        <f t="shared" si="12"/>
        <v>0</v>
      </c>
      <c r="V302" s="154">
        <f t="shared" si="13"/>
        <v>0</v>
      </c>
    </row>
    <row r="303" spans="1:22">
      <c r="A303" s="154">
        <f>'MATCH CALCS'!A304</f>
        <v>0</v>
      </c>
      <c r="B303" s="154">
        <f>'MATCH CALCS'!$C304</f>
        <v>0</v>
      </c>
      <c r="C303" s="154">
        <f t="shared" si="9"/>
        <v>0</v>
      </c>
      <c r="D303" s="6">
        <f>'MATCH CALCS'!$G304*2</f>
        <v>0</v>
      </c>
      <c r="E303" s="6">
        <f>'MATCH CALCS'!$G304*2</f>
        <v>0</v>
      </c>
      <c r="F303" s="6">
        <f>'MATCH CALCS'!$G304*2</f>
        <v>0</v>
      </c>
      <c r="G303" s="6">
        <f>'MATCH CALCS'!$G304*2</f>
        <v>0</v>
      </c>
      <c r="H303" s="6">
        <f>'MATCH CALCS'!$G304*2</f>
        <v>0</v>
      </c>
      <c r="I303" s="6">
        <f>'MATCH CALCS'!$G304*2</f>
        <v>0</v>
      </c>
      <c r="J303" s="154">
        <f t="shared" si="10"/>
        <v>0</v>
      </c>
      <c r="K303" s="6">
        <f>'MATCH CALCS'!L304*1</f>
        <v>0</v>
      </c>
      <c r="L303" s="6">
        <f>'MATCH CALCS'!$N304*2</f>
        <v>0</v>
      </c>
      <c r="M303" s="6">
        <f>'MATCH CALCS'!N304*1</f>
        <v>0</v>
      </c>
      <c r="N303" s="6">
        <f>'MATCH CALCS'!$N304*2</f>
        <v>0</v>
      </c>
      <c r="O303" s="6">
        <f>'MATCH CALCS'!$N304*2</f>
        <v>0</v>
      </c>
      <c r="P303" s="6">
        <f>'MATCH CALCS'!$P304*5</f>
        <v>0</v>
      </c>
      <c r="Q303" s="154">
        <f t="shared" si="11"/>
        <v>0</v>
      </c>
      <c r="R303" s="6">
        <f>'MATCH CALCS'!$AD304*1</f>
        <v>0</v>
      </c>
      <c r="S303" s="6">
        <f>'MATCH CALCS'!AC304*3</f>
        <v>0</v>
      </c>
      <c r="T303" s="6">
        <f>'MATCH CALCS'!AD304*3</f>
        <v>0</v>
      </c>
      <c r="U303" s="155">
        <f t="shared" si="12"/>
        <v>0</v>
      </c>
      <c r="V303" s="154">
        <f t="shared" si="13"/>
        <v>0</v>
      </c>
    </row>
    <row r="304" spans="1:22">
      <c r="A304" s="154">
        <f>'MATCH CALCS'!A305</f>
        <v>0</v>
      </c>
      <c r="B304" s="154">
        <f>'MATCH CALCS'!$C305</f>
        <v>0</v>
      </c>
      <c r="C304" s="154">
        <f t="shared" si="9"/>
        <v>0</v>
      </c>
      <c r="D304" s="6">
        <f>'MATCH CALCS'!$G305*2</f>
        <v>0</v>
      </c>
      <c r="E304" s="6">
        <f>'MATCH CALCS'!$G305*2</f>
        <v>0</v>
      </c>
      <c r="F304" s="6">
        <f>'MATCH CALCS'!$G305*2</f>
        <v>0</v>
      </c>
      <c r="G304" s="6">
        <f>'MATCH CALCS'!$G305*2</f>
        <v>0</v>
      </c>
      <c r="H304" s="6">
        <f>'MATCH CALCS'!$G305*2</f>
        <v>0</v>
      </c>
      <c r="I304" s="6">
        <f>'MATCH CALCS'!$G305*2</f>
        <v>0</v>
      </c>
      <c r="J304" s="154">
        <f t="shared" si="10"/>
        <v>0</v>
      </c>
      <c r="K304" s="6">
        <f>'MATCH CALCS'!L305*1</f>
        <v>0</v>
      </c>
      <c r="L304" s="6">
        <f>'MATCH CALCS'!$N305*2</f>
        <v>0</v>
      </c>
      <c r="M304" s="6">
        <f>'MATCH CALCS'!N305*1</f>
        <v>0</v>
      </c>
      <c r="N304" s="6">
        <f>'MATCH CALCS'!$N305*2</f>
        <v>0</v>
      </c>
      <c r="O304" s="6">
        <f>'MATCH CALCS'!$N305*2</f>
        <v>0</v>
      </c>
      <c r="P304" s="6">
        <f>'MATCH CALCS'!$P305*5</f>
        <v>0</v>
      </c>
      <c r="Q304" s="154">
        <f t="shared" si="11"/>
        <v>0</v>
      </c>
      <c r="R304" s="6">
        <f>'MATCH CALCS'!$AD305*1</f>
        <v>0</v>
      </c>
      <c r="S304" s="6">
        <f>'MATCH CALCS'!AC305*3</f>
        <v>0</v>
      </c>
      <c r="T304" s="6">
        <f>'MATCH CALCS'!AD305*3</f>
        <v>0</v>
      </c>
      <c r="U304" s="155">
        <f t="shared" si="12"/>
        <v>0</v>
      </c>
      <c r="V304" s="154">
        <f t="shared" si="13"/>
        <v>0</v>
      </c>
    </row>
    <row r="305" spans="1:22">
      <c r="A305" s="154">
        <f>'MATCH CALCS'!A306</f>
        <v>0</v>
      </c>
      <c r="B305" s="154">
        <f>'MATCH CALCS'!$C306</f>
        <v>0</v>
      </c>
      <c r="C305" s="154">
        <f t="shared" si="9"/>
        <v>0</v>
      </c>
      <c r="D305" s="6">
        <f>'MATCH CALCS'!$G306*2</f>
        <v>0</v>
      </c>
      <c r="E305" s="6">
        <f>'MATCH CALCS'!$G306*2</f>
        <v>0</v>
      </c>
      <c r="F305" s="6">
        <f>'MATCH CALCS'!$G306*2</f>
        <v>0</v>
      </c>
      <c r="G305" s="6">
        <f>'MATCH CALCS'!$G306*2</f>
        <v>0</v>
      </c>
      <c r="H305" s="6">
        <f>'MATCH CALCS'!$G306*2</f>
        <v>0</v>
      </c>
      <c r="I305" s="6">
        <f>'MATCH CALCS'!$G306*2</f>
        <v>0</v>
      </c>
      <c r="J305" s="154">
        <f t="shared" si="10"/>
        <v>0</v>
      </c>
      <c r="K305" s="6">
        <f>'MATCH CALCS'!L306*1</f>
        <v>0</v>
      </c>
      <c r="L305" s="6">
        <f>'MATCH CALCS'!$N306*2</f>
        <v>0</v>
      </c>
      <c r="M305" s="6">
        <f>'MATCH CALCS'!N306*1</f>
        <v>0</v>
      </c>
      <c r="N305" s="6">
        <f>'MATCH CALCS'!$N306*2</f>
        <v>0</v>
      </c>
      <c r="O305" s="6">
        <f>'MATCH CALCS'!$N306*2</f>
        <v>0</v>
      </c>
      <c r="P305" s="6">
        <f>'MATCH CALCS'!$P306*5</f>
        <v>0</v>
      </c>
      <c r="Q305" s="154">
        <f t="shared" si="11"/>
        <v>0</v>
      </c>
      <c r="R305" s="6">
        <f>'MATCH CALCS'!$AD306*1</f>
        <v>0</v>
      </c>
      <c r="S305" s="6">
        <f>'MATCH CALCS'!AC306*3</f>
        <v>0</v>
      </c>
      <c r="T305" s="6">
        <f>'MATCH CALCS'!AD306*3</f>
        <v>0</v>
      </c>
      <c r="U305" s="155">
        <f t="shared" si="12"/>
        <v>0</v>
      </c>
      <c r="V305" s="154">
        <f t="shared" si="13"/>
        <v>0</v>
      </c>
    </row>
    <row r="306" spans="1:22">
      <c r="A306" s="154">
        <f>'MATCH CALCS'!A307</f>
        <v>0</v>
      </c>
      <c r="B306" s="154">
        <f>'MATCH CALCS'!$C307</f>
        <v>0</v>
      </c>
      <c r="C306" s="154">
        <f t="shared" si="9"/>
        <v>0</v>
      </c>
      <c r="D306" s="6">
        <f>'MATCH CALCS'!$G307*2</f>
        <v>0</v>
      </c>
      <c r="E306" s="6">
        <f>'MATCH CALCS'!$G307*2</f>
        <v>0</v>
      </c>
      <c r="F306" s="6">
        <f>'MATCH CALCS'!$G307*2</f>
        <v>0</v>
      </c>
      <c r="G306" s="6">
        <f>'MATCH CALCS'!$G307*2</f>
        <v>0</v>
      </c>
      <c r="H306" s="6">
        <f>'MATCH CALCS'!$G307*2</f>
        <v>0</v>
      </c>
      <c r="I306" s="6">
        <f>'MATCH CALCS'!$G307*2</f>
        <v>0</v>
      </c>
      <c r="J306" s="154">
        <f t="shared" si="10"/>
        <v>0</v>
      </c>
      <c r="K306" s="6">
        <f>'MATCH CALCS'!L307*1</f>
        <v>0</v>
      </c>
      <c r="L306" s="6">
        <f>'MATCH CALCS'!$N307*2</f>
        <v>0</v>
      </c>
      <c r="M306" s="6">
        <f>'MATCH CALCS'!N307*1</f>
        <v>0</v>
      </c>
      <c r="N306" s="6">
        <f>'MATCH CALCS'!$N307*2</f>
        <v>0</v>
      </c>
      <c r="O306" s="6">
        <f>'MATCH CALCS'!$N307*2</f>
        <v>0</v>
      </c>
      <c r="P306" s="6">
        <f>'MATCH CALCS'!$P307*5</f>
        <v>0</v>
      </c>
      <c r="Q306" s="154">
        <f t="shared" si="11"/>
        <v>0</v>
      </c>
      <c r="R306" s="6">
        <f>'MATCH CALCS'!$AD307*1</f>
        <v>0</v>
      </c>
      <c r="S306" s="6">
        <f>'MATCH CALCS'!AC307*3</f>
        <v>0</v>
      </c>
      <c r="T306" s="6">
        <f>'MATCH CALCS'!AD307*3</f>
        <v>0</v>
      </c>
      <c r="U306" s="155">
        <f t="shared" si="12"/>
        <v>0</v>
      </c>
      <c r="V306" s="154">
        <f t="shared" si="13"/>
        <v>0</v>
      </c>
    </row>
    <row r="307" spans="1:22">
      <c r="A307" s="154">
        <f>'MATCH CALCS'!A308</f>
        <v>0</v>
      </c>
      <c r="B307" s="154">
        <f>'MATCH CALCS'!$C308</f>
        <v>0</v>
      </c>
      <c r="C307" s="154">
        <f t="shared" si="9"/>
        <v>0</v>
      </c>
      <c r="D307" s="6">
        <f>'MATCH CALCS'!$G308*2</f>
        <v>0</v>
      </c>
      <c r="E307" s="6">
        <f>'MATCH CALCS'!$G308*2</f>
        <v>0</v>
      </c>
      <c r="F307" s="6">
        <f>'MATCH CALCS'!$G308*2</f>
        <v>0</v>
      </c>
      <c r="G307" s="6">
        <f>'MATCH CALCS'!$G308*2</f>
        <v>0</v>
      </c>
      <c r="H307" s="6">
        <f>'MATCH CALCS'!$G308*2</f>
        <v>0</v>
      </c>
      <c r="I307" s="6">
        <f>'MATCH CALCS'!$G308*2</f>
        <v>0</v>
      </c>
      <c r="J307" s="154">
        <f t="shared" si="10"/>
        <v>0</v>
      </c>
      <c r="K307" s="6">
        <f>'MATCH CALCS'!L308*1</f>
        <v>0</v>
      </c>
      <c r="L307" s="6">
        <f>'MATCH CALCS'!$N308*2</f>
        <v>0</v>
      </c>
      <c r="M307" s="6">
        <f>'MATCH CALCS'!N308*1</f>
        <v>0</v>
      </c>
      <c r="N307" s="6">
        <f>'MATCH CALCS'!$N308*2</f>
        <v>0</v>
      </c>
      <c r="O307" s="6">
        <f>'MATCH CALCS'!$N308*2</f>
        <v>0</v>
      </c>
      <c r="P307" s="6">
        <f>'MATCH CALCS'!$P308*5</f>
        <v>0</v>
      </c>
      <c r="Q307" s="154">
        <f t="shared" si="11"/>
        <v>0</v>
      </c>
      <c r="R307" s="6">
        <f>'MATCH CALCS'!$AD308*1</f>
        <v>0</v>
      </c>
      <c r="S307" s="6">
        <f>'MATCH CALCS'!AC308*3</f>
        <v>0</v>
      </c>
      <c r="T307" s="6">
        <f>'MATCH CALCS'!AD308*3</f>
        <v>0</v>
      </c>
      <c r="U307" s="155">
        <f t="shared" si="12"/>
        <v>0</v>
      </c>
      <c r="V307" s="154">
        <f t="shared" si="13"/>
        <v>0</v>
      </c>
    </row>
    <row r="308" spans="1:22">
      <c r="A308" s="154">
        <f>'MATCH CALCS'!A309</f>
        <v>0</v>
      </c>
      <c r="B308" s="154">
        <f>'MATCH CALCS'!$C309</f>
        <v>0</v>
      </c>
      <c r="C308" s="154">
        <f t="shared" si="9"/>
        <v>0</v>
      </c>
      <c r="D308" s="6">
        <f>'MATCH CALCS'!$G309*2</f>
        <v>0</v>
      </c>
      <c r="E308" s="6">
        <f>'MATCH CALCS'!$G309*2</f>
        <v>0</v>
      </c>
      <c r="F308" s="6">
        <f>'MATCH CALCS'!$G309*2</f>
        <v>0</v>
      </c>
      <c r="G308" s="6">
        <f>'MATCH CALCS'!$G309*2</f>
        <v>0</v>
      </c>
      <c r="H308" s="6">
        <f>'MATCH CALCS'!$G309*2</f>
        <v>0</v>
      </c>
      <c r="I308" s="6">
        <f>'MATCH CALCS'!$G309*2</f>
        <v>0</v>
      </c>
      <c r="J308" s="154">
        <f t="shared" si="10"/>
        <v>0</v>
      </c>
      <c r="K308" s="6">
        <f>'MATCH CALCS'!L309*1</f>
        <v>0</v>
      </c>
      <c r="L308" s="6">
        <f>'MATCH CALCS'!$N309*2</f>
        <v>0</v>
      </c>
      <c r="M308" s="6">
        <f>'MATCH CALCS'!N309*1</f>
        <v>0</v>
      </c>
      <c r="N308" s="6">
        <f>'MATCH CALCS'!$N309*2</f>
        <v>0</v>
      </c>
      <c r="O308" s="6">
        <f>'MATCH CALCS'!$N309*2</f>
        <v>0</v>
      </c>
      <c r="P308" s="6">
        <f>'MATCH CALCS'!$P309*5</f>
        <v>0</v>
      </c>
      <c r="Q308" s="154">
        <f t="shared" si="11"/>
        <v>0</v>
      </c>
      <c r="R308" s="6">
        <f>'MATCH CALCS'!$AD309*1</f>
        <v>0</v>
      </c>
      <c r="S308" s="6">
        <f>'MATCH CALCS'!AC309*3</f>
        <v>0</v>
      </c>
      <c r="T308" s="6">
        <f>'MATCH CALCS'!AD309*3</f>
        <v>0</v>
      </c>
      <c r="U308" s="155">
        <f t="shared" si="12"/>
        <v>0</v>
      </c>
      <c r="V308" s="154">
        <f t="shared" si="13"/>
        <v>0</v>
      </c>
    </row>
    <row r="309" spans="1:22">
      <c r="A309" s="154">
        <f>'MATCH CALCS'!A310</f>
        <v>0</v>
      </c>
      <c r="B309" s="154">
        <f>'MATCH CALCS'!$C310</f>
        <v>0</v>
      </c>
      <c r="C309" s="154">
        <f t="shared" si="9"/>
        <v>0</v>
      </c>
      <c r="D309" s="6">
        <f>'MATCH CALCS'!$G310*2</f>
        <v>0</v>
      </c>
      <c r="E309" s="6">
        <f>'MATCH CALCS'!$G310*2</f>
        <v>0</v>
      </c>
      <c r="F309" s="6">
        <f>'MATCH CALCS'!$G310*2</f>
        <v>0</v>
      </c>
      <c r="G309" s="6">
        <f>'MATCH CALCS'!$G310*2</f>
        <v>0</v>
      </c>
      <c r="H309" s="6">
        <f>'MATCH CALCS'!$G310*2</f>
        <v>0</v>
      </c>
      <c r="I309" s="6">
        <f>'MATCH CALCS'!$G310*2</f>
        <v>0</v>
      </c>
      <c r="J309" s="154">
        <f t="shared" si="10"/>
        <v>0</v>
      </c>
      <c r="K309" s="6">
        <f>'MATCH CALCS'!L310*1</f>
        <v>0</v>
      </c>
      <c r="L309" s="6">
        <f>'MATCH CALCS'!$N310*2</f>
        <v>0</v>
      </c>
      <c r="M309" s="6">
        <f>'MATCH CALCS'!N310*1</f>
        <v>0</v>
      </c>
      <c r="N309" s="6">
        <f>'MATCH CALCS'!$N310*2</f>
        <v>0</v>
      </c>
      <c r="O309" s="6">
        <f>'MATCH CALCS'!$N310*2</f>
        <v>0</v>
      </c>
      <c r="P309" s="6">
        <f>'MATCH CALCS'!$P310*5</f>
        <v>0</v>
      </c>
      <c r="Q309" s="154">
        <f t="shared" si="11"/>
        <v>0</v>
      </c>
      <c r="R309" s="6">
        <f>'MATCH CALCS'!$AD310*1</f>
        <v>0</v>
      </c>
      <c r="S309" s="6">
        <f>'MATCH CALCS'!AC310*3</f>
        <v>0</v>
      </c>
      <c r="T309" s="6">
        <f>'MATCH CALCS'!AD310*3</f>
        <v>0</v>
      </c>
      <c r="U309" s="155">
        <f t="shared" si="12"/>
        <v>0</v>
      </c>
      <c r="V309" s="154">
        <f t="shared" si="13"/>
        <v>0</v>
      </c>
    </row>
    <row r="310" spans="1:22">
      <c r="A310" s="154">
        <f>'MATCH CALCS'!A311</f>
        <v>0</v>
      </c>
      <c r="B310" s="154">
        <f>'MATCH CALCS'!$C311</f>
        <v>0</v>
      </c>
      <c r="C310" s="154">
        <f t="shared" si="9"/>
        <v>0</v>
      </c>
      <c r="D310" s="6">
        <f>'MATCH CALCS'!$G311*2</f>
        <v>0</v>
      </c>
      <c r="E310" s="6">
        <f>'MATCH CALCS'!$G311*2</f>
        <v>0</v>
      </c>
      <c r="F310" s="6">
        <f>'MATCH CALCS'!$G311*2</f>
        <v>0</v>
      </c>
      <c r="G310" s="6">
        <f>'MATCH CALCS'!$G311*2</f>
        <v>0</v>
      </c>
      <c r="H310" s="6">
        <f>'MATCH CALCS'!$G311*2</f>
        <v>0</v>
      </c>
      <c r="I310" s="6">
        <f>'MATCH CALCS'!$G311*2</f>
        <v>0</v>
      </c>
      <c r="J310" s="154">
        <f t="shared" si="10"/>
        <v>0</v>
      </c>
      <c r="K310" s="6">
        <f>'MATCH CALCS'!L311*1</f>
        <v>0</v>
      </c>
      <c r="L310" s="6">
        <f>'MATCH CALCS'!$N311*2</f>
        <v>0</v>
      </c>
      <c r="M310" s="6">
        <f>'MATCH CALCS'!N311*1</f>
        <v>0</v>
      </c>
      <c r="N310" s="6">
        <f>'MATCH CALCS'!$N311*2</f>
        <v>0</v>
      </c>
      <c r="O310" s="6">
        <f>'MATCH CALCS'!$N311*2</f>
        <v>0</v>
      </c>
      <c r="P310" s="6">
        <f>'MATCH CALCS'!$P311*5</f>
        <v>0</v>
      </c>
      <c r="Q310" s="154">
        <f t="shared" si="11"/>
        <v>0</v>
      </c>
      <c r="R310" s="6">
        <f>'MATCH CALCS'!$AD311*1</f>
        <v>0</v>
      </c>
      <c r="S310" s="6">
        <f>'MATCH CALCS'!AC311*3</f>
        <v>0</v>
      </c>
      <c r="T310" s="6">
        <f>'MATCH CALCS'!AD311*3</f>
        <v>0</v>
      </c>
      <c r="U310" s="155">
        <f t="shared" si="12"/>
        <v>0</v>
      </c>
      <c r="V310" s="154">
        <f t="shared" si="13"/>
        <v>0</v>
      </c>
    </row>
    <row r="311" spans="1:22">
      <c r="A311" s="154">
        <f>'MATCH CALCS'!A312</f>
        <v>0</v>
      </c>
      <c r="B311" s="154">
        <f>'MATCH CALCS'!$C312</f>
        <v>0</v>
      </c>
      <c r="C311" s="154">
        <f t="shared" si="9"/>
        <v>0</v>
      </c>
      <c r="D311" s="6">
        <f>'MATCH CALCS'!$G312*2</f>
        <v>0</v>
      </c>
      <c r="E311" s="6">
        <f>'MATCH CALCS'!$G312*2</f>
        <v>0</v>
      </c>
      <c r="F311" s="6">
        <f>'MATCH CALCS'!$G312*2</f>
        <v>0</v>
      </c>
      <c r="G311" s="6">
        <f>'MATCH CALCS'!$G312*2</f>
        <v>0</v>
      </c>
      <c r="H311" s="6">
        <f>'MATCH CALCS'!$G312*2</f>
        <v>0</v>
      </c>
      <c r="I311" s="6">
        <f>'MATCH CALCS'!$G312*2</f>
        <v>0</v>
      </c>
      <c r="J311" s="154">
        <f t="shared" si="10"/>
        <v>0</v>
      </c>
      <c r="K311" s="6">
        <f>'MATCH CALCS'!L312*1</f>
        <v>0</v>
      </c>
      <c r="L311" s="6">
        <f>'MATCH CALCS'!$N312*2</f>
        <v>0</v>
      </c>
      <c r="M311" s="6">
        <f>'MATCH CALCS'!N312*1</f>
        <v>0</v>
      </c>
      <c r="N311" s="6">
        <f>'MATCH CALCS'!$N312*2</f>
        <v>0</v>
      </c>
      <c r="O311" s="6">
        <f>'MATCH CALCS'!$N312*2</f>
        <v>0</v>
      </c>
      <c r="P311" s="6">
        <f>'MATCH CALCS'!$P312*5</f>
        <v>0</v>
      </c>
      <c r="Q311" s="154">
        <f t="shared" si="11"/>
        <v>0</v>
      </c>
      <c r="R311" s="6">
        <f>'MATCH CALCS'!$AD312*1</f>
        <v>0</v>
      </c>
      <c r="S311" s="6">
        <f>'MATCH CALCS'!AC312*3</f>
        <v>0</v>
      </c>
      <c r="T311" s="6">
        <f>'MATCH CALCS'!AD312*3</f>
        <v>0</v>
      </c>
      <c r="U311" s="155">
        <f t="shared" si="12"/>
        <v>0</v>
      </c>
      <c r="V311" s="154">
        <f t="shared" si="13"/>
        <v>0</v>
      </c>
    </row>
    <row r="312" spans="1:22">
      <c r="A312" s="154">
        <f>'MATCH CALCS'!A313</f>
        <v>0</v>
      </c>
      <c r="B312" s="154">
        <f>'MATCH CALCS'!$C313</f>
        <v>0</v>
      </c>
      <c r="C312" s="154">
        <f t="shared" si="9"/>
        <v>0</v>
      </c>
      <c r="D312" s="6">
        <f>'MATCH CALCS'!$G313*2</f>
        <v>0</v>
      </c>
      <c r="E312" s="6">
        <f>'MATCH CALCS'!$G313*2</f>
        <v>0</v>
      </c>
      <c r="F312" s="6">
        <f>'MATCH CALCS'!$G313*2</f>
        <v>0</v>
      </c>
      <c r="G312" s="6">
        <f>'MATCH CALCS'!$G313*2</f>
        <v>0</v>
      </c>
      <c r="H312" s="6">
        <f>'MATCH CALCS'!$G313*2</f>
        <v>0</v>
      </c>
      <c r="I312" s="6">
        <f>'MATCH CALCS'!$G313*2</f>
        <v>0</v>
      </c>
      <c r="J312" s="154">
        <f t="shared" si="10"/>
        <v>0</v>
      </c>
      <c r="K312" s="6">
        <f>'MATCH CALCS'!L313*1</f>
        <v>0</v>
      </c>
      <c r="L312" s="6">
        <f>'MATCH CALCS'!$N313*2</f>
        <v>0</v>
      </c>
      <c r="M312" s="6">
        <f>'MATCH CALCS'!N313*1</f>
        <v>0</v>
      </c>
      <c r="N312" s="6">
        <f>'MATCH CALCS'!$N313*2</f>
        <v>0</v>
      </c>
      <c r="O312" s="6">
        <f>'MATCH CALCS'!$N313*2</f>
        <v>0</v>
      </c>
      <c r="P312" s="6">
        <f>'MATCH CALCS'!$P313*5</f>
        <v>0</v>
      </c>
      <c r="Q312" s="154">
        <f t="shared" si="11"/>
        <v>0</v>
      </c>
      <c r="R312" s="6">
        <f>'MATCH CALCS'!$AD313*1</f>
        <v>0</v>
      </c>
      <c r="S312" s="6">
        <f>'MATCH CALCS'!AC313*3</f>
        <v>0</v>
      </c>
      <c r="T312" s="6">
        <f>'MATCH CALCS'!AD313*3</f>
        <v>0</v>
      </c>
      <c r="U312" s="155">
        <f t="shared" si="12"/>
        <v>0</v>
      </c>
      <c r="V312" s="154">
        <f t="shared" si="13"/>
        <v>0</v>
      </c>
    </row>
    <row r="313" spans="1:22">
      <c r="A313" s="154">
        <f>'MATCH CALCS'!A314</f>
        <v>0</v>
      </c>
      <c r="B313" s="154">
        <f>'MATCH CALCS'!$C314</f>
        <v>0</v>
      </c>
      <c r="C313" s="154">
        <f t="shared" si="9"/>
        <v>0</v>
      </c>
      <c r="D313" s="6">
        <f>'MATCH CALCS'!$G314*2</f>
        <v>0</v>
      </c>
      <c r="E313" s="6">
        <f>'MATCH CALCS'!$G314*2</f>
        <v>0</v>
      </c>
      <c r="F313" s="6">
        <f>'MATCH CALCS'!$G314*2</f>
        <v>0</v>
      </c>
      <c r="G313" s="6">
        <f>'MATCH CALCS'!$G314*2</f>
        <v>0</v>
      </c>
      <c r="H313" s="6">
        <f>'MATCH CALCS'!$G314*2</f>
        <v>0</v>
      </c>
      <c r="I313" s="6">
        <f>'MATCH CALCS'!$G314*2</f>
        <v>0</v>
      </c>
      <c r="J313" s="154">
        <f t="shared" si="10"/>
        <v>0</v>
      </c>
      <c r="K313" s="6">
        <f>'MATCH CALCS'!L314*1</f>
        <v>0</v>
      </c>
      <c r="L313" s="6">
        <f>'MATCH CALCS'!$N314*2</f>
        <v>0</v>
      </c>
      <c r="M313" s="6">
        <f>'MATCH CALCS'!N314*1</f>
        <v>0</v>
      </c>
      <c r="N313" s="6">
        <f>'MATCH CALCS'!$N314*2</f>
        <v>0</v>
      </c>
      <c r="O313" s="6">
        <f>'MATCH CALCS'!$N314*2</f>
        <v>0</v>
      </c>
      <c r="P313" s="6">
        <f>'MATCH CALCS'!$P314*5</f>
        <v>0</v>
      </c>
      <c r="Q313" s="154">
        <f t="shared" si="11"/>
        <v>0</v>
      </c>
      <c r="R313" s="6">
        <f>'MATCH CALCS'!$AD314*1</f>
        <v>0</v>
      </c>
      <c r="S313" s="6">
        <f>'MATCH CALCS'!AC314*3</f>
        <v>0</v>
      </c>
      <c r="T313" s="6">
        <f>'MATCH CALCS'!AD314*3</f>
        <v>0</v>
      </c>
      <c r="U313" s="155">
        <f t="shared" si="12"/>
        <v>0</v>
      </c>
      <c r="V313" s="154">
        <f t="shared" si="13"/>
        <v>0</v>
      </c>
    </row>
    <row r="314" spans="1:22">
      <c r="A314" s="154">
        <f>'MATCH CALCS'!A315</f>
        <v>0</v>
      </c>
      <c r="B314" s="154">
        <f>'MATCH CALCS'!$C315</f>
        <v>0</v>
      </c>
      <c r="C314" s="154">
        <f t="shared" si="9"/>
        <v>0</v>
      </c>
      <c r="D314" s="6">
        <f>'MATCH CALCS'!$G315*2</f>
        <v>0</v>
      </c>
      <c r="E314" s="6">
        <f>'MATCH CALCS'!$G315*2</f>
        <v>0</v>
      </c>
      <c r="F314" s="6">
        <f>'MATCH CALCS'!$G315*2</f>
        <v>0</v>
      </c>
      <c r="G314" s="6">
        <f>'MATCH CALCS'!$G315*2</f>
        <v>0</v>
      </c>
      <c r="H314" s="6">
        <f>'MATCH CALCS'!$G315*2</f>
        <v>0</v>
      </c>
      <c r="I314" s="6">
        <f>'MATCH CALCS'!$G315*2</f>
        <v>0</v>
      </c>
      <c r="J314" s="154">
        <f t="shared" si="10"/>
        <v>0</v>
      </c>
      <c r="K314" s="6">
        <f>'MATCH CALCS'!L315*1</f>
        <v>0</v>
      </c>
      <c r="L314" s="6">
        <f>'MATCH CALCS'!$N315*2</f>
        <v>0</v>
      </c>
      <c r="M314" s="6">
        <f>'MATCH CALCS'!N315*1</f>
        <v>0</v>
      </c>
      <c r="N314" s="6">
        <f>'MATCH CALCS'!$N315*2</f>
        <v>0</v>
      </c>
      <c r="O314" s="6">
        <f>'MATCH CALCS'!$N315*2</f>
        <v>0</v>
      </c>
      <c r="P314" s="6">
        <f>'MATCH CALCS'!$P315*5</f>
        <v>0</v>
      </c>
      <c r="Q314" s="154">
        <f t="shared" si="11"/>
        <v>0</v>
      </c>
      <c r="R314" s="6">
        <f>'MATCH CALCS'!$AD315*1</f>
        <v>0</v>
      </c>
      <c r="S314" s="6">
        <f>'MATCH CALCS'!AC315*3</f>
        <v>0</v>
      </c>
      <c r="T314" s="6">
        <f>'MATCH CALCS'!AD315*3</f>
        <v>0</v>
      </c>
      <c r="U314" s="155">
        <f t="shared" si="12"/>
        <v>0</v>
      </c>
      <c r="V314" s="154">
        <f t="shared" si="13"/>
        <v>0</v>
      </c>
    </row>
    <row r="315" spans="1:22">
      <c r="A315" s="154">
        <f>'MATCH CALCS'!A316</f>
        <v>0</v>
      </c>
      <c r="B315" s="154">
        <f>'MATCH CALCS'!$C316</f>
        <v>0</v>
      </c>
      <c r="C315" s="154">
        <f t="shared" si="9"/>
        <v>0</v>
      </c>
      <c r="D315" s="6">
        <f>'MATCH CALCS'!$G316*2</f>
        <v>0</v>
      </c>
      <c r="E315" s="6">
        <f>'MATCH CALCS'!$G316*2</f>
        <v>0</v>
      </c>
      <c r="F315" s="6">
        <f>'MATCH CALCS'!$G316*2</f>
        <v>0</v>
      </c>
      <c r="G315" s="6">
        <f>'MATCH CALCS'!$G316*2</f>
        <v>0</v>
      </c>
      <c r="H315" s="6">
        <f>'MATCH CALCS'!$G316*2</f>
        <v>0</v>
      </c>
      <c r="I315" s="6">
        <f>'MATCH CALCS'!$G316*2</f>
        <v>0</v>
      </c>
      <c r="J315" s="154">
        <f t="shared" si="10"/>
        <v>0</v>
      </c>
      <c r="K315" s="6">
        <f>'MATCH CALCS'!L316*1</f>
        <v>0</v>
      </c>
      <c r="L315" s="6">
        <f>'MATCH CALCS'!$N316*2</f>
        <v>0</v>
      </c>
      <c r="M315" s="6">
        <f>'MATCH CALCS'!N316*1</f>
        <v>0</v>
      </c>
      <c r="N315" s="6">
        <f>'MATCH CALCS'!$N316*2</f>
        <v>0</v>
      </c>
      <c r="O315" s="6">
        <f>'MATCH CALCS'!$N316*2</f>
        <v>0</v>
      </c>
      <c r="P315" s="6">
        <f>'MATCH CALCS'!$P316*5</f>
        <v>0</v>
      </c>
      <c r="Q315" s="154">
        <f t="shared" si="11"/>
        <v>0</v>
      </c>
      <c r="R315" s="6">
        <f>'MATCH CALCS'!$AD316*1</f>
        <v>0</v>
      </c>
      <c r="S315" s="6">
        <f>'MATCH CALCS'!AC316*3</f>
        <v>0</v>
      </c>
      <c r="T315" s="6">
        <f>'MATCH CALCS'!AD316*3</f>
        <v>0</v>
      </c>
      <c r="U315" s="155">
        <f t="shared" si="12"/>
        <v>0</v>
      </c>
      <c r="V315" s="154">
        <f t="shared" si="13"/>
        <v>0</v>
      </c>
    </row>
    <row r="316" spans="1:22">
      <c r="A316" s="154">
        <f>'MATCH CALCS'!A317</f>
        <v>0</v>
      </c>
      <c r="B316" s="154">
        <f>'MATCH CALCS'!$C317</f>
        <v>0</v>
      </c>
      <c r="C316" s="154">
        <f t="shared" si="9"/>
        <v>0</v>
      </c>
      <c r="D316" s="6">
        <f>'MATCH CALCS'!$G317*2</f>
        <v>0</v>
      </c>
      <c r="E316" s="6">
        <f>'MATCH CALCS'!$G317*2</f>
        <v>0</v>
      </c>
      <c r="F316" s="6">
        <f>'MATCH CALCS'!$G317*2</f>
        <v>0</v>
      </c>
      <c r="G316" s="6">
        <f>'MATCH CALCS'!$G317*2</f>
        <v>0</v>
      </c>
      <c r="H316" s="6">
        <f>'MATCH CALCS'!$G317*2</f>
        <v>0</v>
      </c>
      <c r="I316" s="6">
        <f>'MATCH CALCS'!$G317*2</f>
        <v>0</v>
      </c>
      <c r="J316" s="154">
        <f t="shared" si="10"/>
        <v>0</v>
      </c>
      <c r="K316" s="6">
        <f>'MATCH CALCS'!L317*1</f>
        <v>0</v>
      </c>
      <c r="L316" s="6">
        <f>'MATCH CALCS'!$N317*2</f>
        <v>0</v>
      </c>
      <c r="M316" s="6">
        <f>'MATCH CALCS'!N317*1</f>
        <v>0</v>
      </c>
      <c r="N316" s="6">
        <f>'MATCH CALCS'!$N317*2</f>
        <v>0</v>
      </c>
      <c r="O316" s="6">
        <f>'MATCH CALCS'!$N317*2</f>
        <v>0</v>
      </c>
      <c r="P316" s="6">
        <f>'MATCH CALCS'!$P317*5</f>
        <v>0</v>
      </c>
      <c r="Q316" s="154">
        <f t="shared" si="11"/>
        <v>0</v>
      </c>
      <c r="R316" s="6">
        <f>'MATCH CALCS'!$AD317*1</f>
        <v>0</v>
      </c>
      <c r="S316" s="6">
        <f>'MATCH CALCS'!AC317*3</f>
        <v>0</v>
      </c>
      <c r="T316" s="6">
        <f>'MATCH CALCS'!AD317*3</f>
        <v>0</v>
      </c>
      <c r="U316" s="155">
        <f t="shared" si="12"/>
        <v>0</v>
      </c>
      <c r="V316" s="154">
        <f t="shared" si="13"/>
        <v>0</v>
      </c>
    </row>
    <row r="317" spans="1:22">
      <c r="A317" s="154">
        <f>'MATCH CALCS'!A318</f>
        <v>0</v>
      </c>
      <c r="B317" s="154">
        <f>'MATCH CALCS'!$C318</f>
        <v>0</v>
      </c>
      <c r="C317" s="154">
        <f t="shared" si="9"/>
        <v>0</v>
      </c>
      <c r="D317" s="6">
        <f>'MATCH CALCS'!$G318*2</f>
        <v>0</v>
      </c>
      <c r="E317" s="6">
        <f>'MATCH CALCS'!$G318*2</f>
        <v>0</v>
      </c>
      <c r="F317" s="6">
        <f>'MATCH CALCS'!$G318*2</f>
        <v>0</v>
      </c>
      <c r="G317" s="6">
        <f>'MATCH CALCS'!$G318*2</f>
        <v>0</v>
      </c>
      <c r="H317" s="6">
        <f>'MATCH CALCS'!$G318*2</f>
        <v>0</v>
      </c>
      <c r="I317" s="6">
        <f>'MATCH CALCS'!$G318*2</f>
        <v>0</v>
      </c>
      <c r="J317" s="154">
        <f t="shared" si="10"/>
        <v>0</v>
      </c>
      <c r="K317" s="6">
        <f>'MATCH CALCS'!L318*1</f>
        <v>0</v>
      </c>
      <c r="L317" s="6">
        <f>'MATCH CALCS'!$N318*2</f>
        <v>0</v>
      </c>
      <c r="M317" s="6">
        <f>'MATCH CALCS'!N318*1</f>
        <v>0</v>
      </c>
      <c r="N317" s="6">
        <f>'MATCH CALCS'!$N318*2</f>
        <v>0</v>
      </c>
      <c r="O317" s="6">
        <f>'MATCH CALCS'!$N318*2</f>
        <v>0</v>
      </c>
      <c r="P317" s="6">
        <f>'MATCH CALCS'!$P318*5</f>
        <v>0</v>
      </c>
      <c r="Q317" s="154">
        <f t="shared" si="11"/>
        <v>0</v>
      </c>
      <c r="R317" s="6">
        <f>'MATCH CALCS'!$AD318*1</f>
        <v>0</v>
      </c>
      <c r="S317" s="6">
        <f>'MATCH CALCS'!AC318*3</f>
        <v>0</v>
      </c>
      <c r="T317" s="6">
        <f>'MATCH CALCS'!AD318*3</f>
        <v>0</v>
      </c>
      <c r="U317" s="155">
        <f t="shared" si="12"/>
        <v>0</v>
      </c>
      <c r="V317" s="154">
        <f t="shared" si="13"/>
        <v>0</v>
      </c>
    </row>
    <row r="318" spans="1:22">
      <c r="A318" s="154">
        <f>'MATCH CALCS'!A319</f>
        <v>0</v>
      </c>
      <c r="B318" s="154">
        <f>'MATCH CALCS'!$C319</f>
        <v>0</v>
      </c>
      <c r="C318" s="154">
        <f t="shared" si="9"/>
        <v>0</v>
      </c>
      <c r="D318" s="6">
        <f>'MATCH CALCS'!$G319*2</f>
        <v>0</v>
      </c>
      <c r="E318" s="6">
        <f>'MATCH CALCS'!$G319*2</f>
        <v>0</v>
      </c>
      <c r="F318" s="6">
        <f>'MATCH CALCS'!$G319*2</f>
        <v>0</v>
      </c>
      <c r="G318" s="6">
        <f>'MATCH CALCS'!$G319*2</f>
        <v>0</v>
      </c>
      <c r="H318" s="6">
        <f>'MATCH CALCS'!$G319*2</f>
        <v>0</v>
      </c>
      <c r="I318" s="6">
        <f>'MATCH CALCS'!$G319*2</f>
        <v>0</v>
      </c>
      <c r="J318" s="154">
        <f t="shared" si="10"/>
        <v>0</v>
      </c>
      <c r="K318" s="6">
        <f>'MATCH CALCS'!L319*1</f>
        <v>0</v>
      </c>
      <c r="L318" s="6">
        <f>'MATCH CALCS'!$N319*2</f>
        <v>0</v>
      </c>
      <c r="M318" s="6">
        <f>'MATCH CALCS'!N319*1</f>
        <v>0</v>
      </c>
      <c r="N318" s="6">
        <f>'MATCH CALCS'!$N319*2</f>
        <v>0</v>
      </c>
      <c r="O318" s="6">
        <f>'MATCH CALCS'!$N319*2</f>
        <v>0</v>
      </c>
      <c r="P318" s="6">
        <f>'MATCH CALCS'!$P319*5</f>
        <v>0</v>
      </c>
      <c r="Q318" s="154">
        <f t="shared" si="11"/>
        <v>0</v>
      </c>
      <c r="R318" s="6">
        <f>'MATCH CALCS'!$AD319*1</f>
        <v>0</v>
      </c>
      <c r="S318" s="6">
        <f>'MATCH CALCS'!AC319*3</f>
        <v>0</v>
      </c>
      <c r="T318" s="6">
        <f>'MATCH CALCS'!AD319*3</f>
        <v>0</v>
      </c>
      <c r="U318" s="155">
        <f t="shared" si="12"/>
        <v>0</v>
      </c>
      <c r="V318" s="154">
        <f t="shared" si="13"/>
        <v>0</v>
      </c>
    </row>
    <row r="319" spans="1:22">
      <c r="A319" s="154">
        <f>'MATCH CALCS'!A320</f>
        <v>0</v>
      </c>
      <c r="B319" s="154">
        <f>'MATCH CALCS'!$C320</f>
        <v>0</v>
      </c>
      <c r="C319" s="154">
        <f t="shared" si="9"/>
        <v>0</v>
      </c>
      <c r="D319" s="6">
        <f>'MATCH CALCS'!$G320*2</f>
        <v>0</v>
      </c>
      <c r="E319" s="6">
        <f>'MATCH CALCS'!$G320*2</f>
        <v>0</v>
      </c>
      <c r="F319" s="6">
        <f>'MATCH CALCS'!$G320*2</f>
        <v>0</v>
      </c>
      <c r="G319" s="6">
        <f>'MATCH CALCS'!$G320*2</f>
        <v>0</v>
      </c>
      <c r="H319" s="6">
        <f>'MATCH CALCS'!$G320*2</f>
        <v>0</v>
      </c>
      <c r="I319" s="6">
        <f>'MATCH CALCS'!$G320*2</f>
        <v>0</v>
      </c>
      <c r="J319" s="154">
        <f t="shared" si="10"/>
        <v>0</v>
      </c>
      <c r="K319" s="6">
        <f>'MATCH CALCS'!L320*1</f>
        <v>0</v>
      </c>
      <c r="L319" s="6">
        <f>'MATCH CALCS'!$N320*2</f>
        <v>0</v>
      </c>
      <c r="M319" s="6">
        <f>'MATCH CALCS'!N320*1</f>
        <v>0</v>
      </c>
      <c r="N319" s="6">
        <f>'MATCH CALCS'!$N320*2</f>
        <v>0</v>
      </c>
      <c r="O319" s="6">
        <f>'MATCH CALCS'!$N320*2</f>
        <v>0</v>
      </c>
      <c r="P319" s="6">
        <f>'MATCH CALCS'!$P320*5</f>
        <v>0</v>
      </c>
      <c r="Q319" s="154">
        <f t="shared" si="11"/>
        <v>0</v>
      </c>
      <c r="R319" s="6">
        <f>'MATCH CALCS'!$AD320*1</f>
        <v>0</v>
      </c>
      <c r="S319" s="6">
        <f>'MATCH CALCS'!AC320*3</f>
        <v>0</v>
      </c>
      <c r="T319" s="6">
        <f>'MATCH CALCS'!AD320*3</f>
        <v>0</v>
      </c>
      <c r="U319" s="155">
        <f t="shared" si="12"/>
        <v>0</v>
      </c>
      <c r="V319" s="154">
        <f t="shared" si="13"/>
        <v>0</v>
      </c>
    </row>
    <row r="320" spans="1:22">
      <c r="A320" s="154">
        <f>'MATCH CALCS'!A321</f>
        <v>0</v>
      </c>
      <c r="B320" s="154">
        <f>'MATCH CALCS'!$C321</f>
        <v>0</v>
      </c>
      <c r="C320" s="154">
        <f t="shared" si="9"/>
        <v>0</v>
      </c>
      <c r="D320" s="6">
        <f>'MATCH CALCS'!$G321*2</f>
        <v>0</v>
      </c>
      <c r="E320" s="6">
        <f>'MATCH CALCS'!$G321*2</f>
        <v>0</v>
      </c>
      <c r="F320" s="6">
        <f>'MATCH CALCS'!$G321*2</f>
        <v>0</v>
      </c>
      <c r="G320" s="6">
        <f>'MATCH CALCS'!$G321*2</f>
        <v>0</v>
      </c>
      <c r="H320" s="6">
        <f>'MATCH CALCS'!$G321*2</f>
        <v>0</v>
      </c>
      <c r="I320" s="6">
        <f>'MATCH CALCS'!$G321*2</f>
        <v>0</v>
      </c>
      <c r="J320" s="154">
        <f t="shared" si="10"/>
        <v>0</v>
      </c>
      <c r="K320" s="6">
        <f>'MATCH CALCS'!L321*1</f>
        <v>0</v>
      </c>
      <c r="L320" s="6">
        <f>'MATCH CALCS'!$N321*2</f>
        <v>0</v>
      </c>
      <c r="M320" s="6">
        <f>'MATCH CALCS'!N321*1</f>
        <v>0</v>
      </c>
      <c r="N320" s="6">
        <f>'MATCH CALCS'!$N321*2</f>
        <v>0</v>
      </c>
      <c r="O320" s="6">
        <f>'MATCH CALCS'!$N321*2</f>
        <v>0</v>
      </c>
      <c r="P320" s="6">
        <f>'MATCH CALCS'!$P321*5</f>
        <v>0</v>
      </c>
      <c r="Q320" s="154">
        <f t="shared" si="11"/>
        <v>0</v>
      </c>
      <c r="R320" s="6">
        <f>'MATCH CALCS'!$AD321*1</f>
        <v>0</v>
      </c>
      <c r="S320" s="6">
        <f>'MATCH CALCS'!AC321*3</f>
        <v>0</v>
      </c>
      <c r="T320" s="6">
        <f>'MATCH CALCS'!AD321*3</f>
        <v>0</v>
      </c>
      <c r="U320" s="155">
        <f t="shared" si="12"/>
        <v>0</v>
      </c>
      <c r="V320" s="154">
        <f t="shared" si="13"/>
        <v>0</v>
      </c>
    </row>
    <row r="321" spans="1:22">
      <c r="A321" s="154">
        <f>'MATCH CALCS'!A322</f>
        <v>0</v>
      </c>
      <c r="B321" s="154">
        <f>'MATCH CALCS'!$C322</f>
        <v>0</v>
      </c>
      <c r="C321" s="154">
        <f t="shared" si="9"/>
        <v>0</v>
      </c>
      <c r="D321" s="6">
        <f>'MATCH CALCS'!$G322*2</f>
        <v>0</v>
      </c>
      <c r="E321" s="6">
        <f>'MATCH CALCS'!$G322*2</f>
        <v>0</v>
      </c>
      <c r="F321" s="6">
        <f>'MATCH CALCS'!$G322*2</f>
        <v>0</v>
      </c>
      <c r="G321" s="6">
        <f>'MATCH CALCS'!$G322*2</f>
        <v>0</v>
      </c>
      <c r="H321" s="6">
        <f>'MATCH CALCS'!$G322*2</f>
        <v>0</v>
      </c>
      <c r="I321" s="6">
        <f>'MATCH CALCS'!$G322*2</f>
        <v>0</v>
      </c>
      <c r="J321" s="154">
        <f t="shared" si="10"/>
        <v>0</v>
      </c>
      <c r="K321" s="6">
        <f>'MATCH CALCS'!L322*1</f>
        <v>0</v>
      </c>
      <c r="L321" s="6">
        <f>'MATCH CALCS'!$N322*2</f>
        <v>0</v>
      </c>
      <c r="M321" s="6">
        <f>'MATCH CALCS'!N322*1</f>
        <v>0</v>
      </c>
      <c r="N321" s="6">
        <f>'MATCH CALCS'!$N322*2</f>
        <v>0</v>
      </c>
      <c r="O321" s="6">
        <f>'MATCH CALCS'!$N322*2</f>
        <v>0</v>
      </c>
      <c r="P321" s="6">
        <f>'MATCH CALCS'!$P322*5</f>
        <v>0</v>
      </c>
      <c r="Q321" s="154">
        <f t="shared" si="11"/>
        <v>0</v>
      </c>
      <c r="R321" s="6">
        <f>'MATCH CALCS'!$AD322*1</f>
        <v>0</v>
      </c>
      <c r="S321" s="6">
        <f>'MATCH CALCS'!AC322*3</f>
        <v>0</v>
      </c>
      <c r="T321" s="6">
        <f>'MATCH CALCS'!AD322*3</f>
        <v>0</v>
      </c>
      <c r="U321" s="155">
        <f t="shared" si="12"/>
        <v>0</v>
      </c>
      <c r="V321" s="154">
        <f t="shared" si="13"/>
        <v>0</v>
      </c>
    </row>
    <row r="322" spans="1:22">
      <c r="A322" s="154">
        <f>'MATCH CALCS'!A323</f>
        <v>0</v>
      </c>
      <c r="B322" s="154">
        <f>'MATCH CALCS'!$C323</f>
        <v>0</v>
      </c>
      <c r="C322" s="154">
        <f t="shared" si="9"/>
        <v>0</v>
      </c>
      <c r="D322" s="6">
        <f>'MATCH CALCS'!$G323*2</f>
        <v>0</v>
      </c>
      <c r="E322" s="6">
        <f>'MATCH CALCS'!$G323*2</f>
        <v>0</v>
      </c>
      <c r="F322" s="6">
        <f>'MATCH CALCS'!$G323*2</f>
        <v>0</v>
      </c>
      <c r="G322" s="6">
        <f>'MATCH CALCS'!$G323*2</f>
        <v>0</v>
      </c>
      <c r="H322" s="6">
        <f>'MATCH CALCS'!$G323*2</f>
        <v>0</v>
      </c>
      <c r="I322" s="6">
        <f>'MATCH CALCS'!$G323*2</f>
        <v>0</v>
      </c>
      <c r="J322" s="154">
        <f t="shared" si="10"/>
        <v>0</v>
      </c>
      <c r="K322" s="6">
        <f>'MATCH CALCS'!L323*1</f>
        <v>0</v>
      </c>
      <c r="L322" s="6">
        <f>'MATCH CALCS'!$N323*2</f>
        <v>0</v>
      </c>
      <c r="M322" s="6">
        <f>'MATCH CALCS'!N323*1</f>
        <v>0</v>
      </c>
      <c r="N322" s="6">
        <f>'MATCH CALCS'!$N323*2</f>
        <v>0</v>
      </c>
      <c r="O322" s="6">
        <f>'MATCH CALCS'!$N323*2</f>
        <v>0</v>
      </c>
      <c r="P322" s="6">
        <f>'MATCH CALCS'!$P323*5</f>
        <v>0</v>
      </c>
      <c r="Q322" s="154">
        <f t="shared" si="11"/>
        <v>0</v>
      </c>
      <c r="R322" s="6">
        <f>'MATCH CALCS'!$AD323*1</f>
        <v>0</v>
      </c>
      <c r="S322" s="6">
        <f>'MATCH CALCS'!AC323*3</f>
        <v>0</v>
      </c>
      <c r="T322" s="6">
        <f>'MATCH CALCS'!AD323*3</f>
        <v>0</v>
      </c>
      <c r="U322" s="155">
        <f t="shared" si="12"/>
        <v>0</v>
      </c>
      <c r="V322" s="154">
        <f t="shared" si="13"/>
        <v>0</v>
      </c>
    </row>
    <row r="323" spans="1:22">
      <c r="A323" s="154">
        <f>'MATCH CALCS'!A324</f>
        <v>0</v>
      </c>
      <c r="B323" s="154">
        <f>'MATCH CALCS'!$C324</f>
        <v>0</v>
      </c>
      <c r="C323" s="154">
        <f t="shared" si="9"/>
        <v>0</v>
      </c>
      <c r="D323" s="6">
        <f>'MATCH CALCS'!$G324*2</f>
        <v>0</v>
      </c>
      <c r="E323" s="6">
        <f>'MATCH CALCS'!$G324*2</f>
        <v>0</v>
      </c>
      <c r="F323" s="6">
        <f>'MATCH CALCS'!$G324*2</f>
        <v>0</v>
      </c>
      <c r="G323" s="6">
        <f>'MATCH CALCS'!$G324*2</f>
        <v>0</v>
      </c>
      <c r="H323" s="6">
        <f>'MATCH CALCS'!$G324*2</f>
        <v>0</v>
      </c>
      <c r="I323" s="6">
        <f>'MATCH CALCS'!$G324*2</f>
        <v>0</v>
      </c>
      <c r="J323" s="154">
        <f t="shared" si="10"/>
        <v>0</v>
      </c>
      <c r="K323" s="6">
        <f>'MATCH CALCS'!L324*1</f>
        <v>0</v>
      </c>
      <c r="L323" s="6">
        <f>'MATCH CALCS'!$N324*2</f>
        <v>0</v>
      </c>
      <c r="M323" s="6">
        <f>'MATCH CALCS'!N324*1</f>
        <v>0</v>
      </c>
      <c r="N323" s="6">
        <f>'MATCH CALCS'!$N324*2</f>
        <v>0</v>
      </c>
      <c r="O323" s="6">
        <f>'MATCH CALCS'!$N324*2</f>
        <v>0</v>
      </c>
      <c r="P323" s="6">
        <f>'MATCH CALCS'!$P324*5</f>
        <v>0</v>
      </c>
      <c r="Q323" s="154">
        <f t="shared" si="11"/>
        <v>0</v>
      </c>
      <c r="R323" s="6">
        <f>'MATCH CALCS'!$AD324*1</f>
        <v>0</v>
      </c>
      <c r="S323" s="6">
        <f>'MATCH CALCS'!AC324*3</f>
        <v>0</v>
      </c>
      <c r="T323" s="6">
        <f>'MATCH CALCS'!AD324*3</f>
        <v>0</v>
      </c>
      <c r="U323" s="155">
        <f t="shared" si="12"/>
        <v>0</v>
      </c>
      <c r="V323" s="154">
        <f t="shared" si="13"/>
        <v>0</v>
      </c>
    </row>
    <row r="324" spans="1:22">
      <c r="A324" s="154">
        <f>'MATCH CALCS'!A325</f>
        <v>0</v>
      </c>
      <c r="B324" s="154">
        <f>'MATCH CALCS'!$C325</f>
        <v>0</v>
      </c>
      <c r="C324" s="154">
        <f t="shared" si="9"/>
        <v>0</v>
      </c>
      <c r="D324" s="6">
        <f>'MATCH CALCS'!$G325*2</f>
        <v>0</v>
      </c>
      <c r="E324" s="6">
        <f>'MATCH CALCS'!$G325*2</f>
        <v>0</v>
      </c>
      <c r="F324" s="6">
        <f>'MATCH CALCS'!$G325*2</f>
        <v>0</v>
      </c>
      <c r="G324" s="6">
        <f>'MATCH CALCS'!$G325*2</f>
        <v>0</v>
      </c>
      <c r="H324" s="6">
        <f>'MATCH CALCS'!$G325*2</f>
        <v>0</v>
      </c>
      <c r="I324" s="6">
        <f>'MATCH CALCS'!$G325*2</f>
        <v>0</v>
      </c>
      <c r="J324" s="154">
        <f t="shared" si="10"/>
        <v>0</v>
      </c>
      <c r="K324" s="6">
        <f>'MATCH CALCS'!L325*1</f>
        <v>0</v>
      </c>
      <c r="L324" s="6">
        <f>'MATCH CALCS'!$N325*2</f>
        <v>0</v>
      </c>
      <c r="M324" s="6">
        <f>'MATCH CALCS'!N325*1</f>
        <v>0</v>
      </c>
      <c r="N324" s="6">
        <f>'MATCH CALCS'!$N325*2</f>
        <v>0</v>
      </c>
      <c r="O324" s="6">
        <f>'MATCH CALCS'!$N325*2</f>
        <v>0</v>
      </c>
      <c r="P324" s="6">
        <f>'MATCH CALCS'!$P325*5</f>
        <v>0</v>
      </c>
      <c r="Q324" s="154">
        <f t="shared" si="11"/>
        <v>0</v>
      </c>
      <c r="R324" s="6">
        <f>'MATCH CALCS'!$AD325*1</f>
        <v>0</v>
      </c>
      <c r="S324" s="6">
        <f>'MATCH CALCS'!AC325*3</f>
        <v>0</v>
      </c>
      <c r="T324" s="6">
        <f>'MATCH CALCS'!AD325*3</f>
        <v>0</v>
      </c>
      <c r="U324" s="155">
        <f t="shared" si="12"/>
        <v>0</v>
      </c>
      <c r="V324" s="154">
        <f t="shared" si="13"/>
        <v>0</v>
      </c>
    </row>
    <row r="325" spans="1:22">
      <c r="A325" s="154">
        <f>'MATCH CALCS'!A326</f>
        <v>0</v>
      </c>
      <c r="B325" s="154">
        <f>'MATCH CALCS'!$C326</f>
        <v>0</v>
      </c>
      <c r="C325" s="154">
        <f t="shared" si="9"/>
        <v>0</v>
      </c>
      <c r="D325" s="6">
        <f>'MATCH CALCS'!$G326*2</f>
        <v>0</v>
      </c>
      <c r="E325" s="6">
        <f>'MATCH CALCS'!$G326*2</f>
        <v>0</v>
      </c>
      <c r="F325" s="6">
        <f>'MATCH CALCS'!$G326*2</f>
        <v>0</v>
      </c>
      <c r="G325" s="6">
        <f>'MATCH CALCS'!$G326*2</f>
        <v>0</v>
      </c>
      <c r="H325" s="6">
        <f>'MATCH CALCS'!$G326*2</f>
        <v>0</v>
      </c>
      <c r="I325" s="6">
        <f>'MATCH CALCS'!$G326*2</f>
        <v>0</v>
      </c>
      <c r="J325" s="154">
        <f t="shared" si="10"/>
        <v>0</v>
      </c>
      <c r="K325" s="6">
        <f>'MATCH CALCS'!L326*1</f>
        <v>0</v>
      </c>
      <c r="L325" s="6">
        <f>'MATCH CALCS'!$N326*2</f>
        <v>0</v>
      </c>
      <c r="M325" s="6">
        <f>'MATCH CALCS'!N326*1</f>
        <v>0</v>
      </c>
      <c r="N325" s="6">
        <f>'MATCH CALCS'!$N326*2</f>
        <v>0</v>
      </c>
      <c r="O325" s="6">
        <f>'MATCH CALCS'!$N326*2</f>
        <v>0</v>
      </c>
      <c r="P325" s="6">
        <f>'MATCH CALCS'!$P326*5</f>
        <v>0</v>
      </c>
      <c r="Q325" s="154">
        <f t="shared" si="11"/>
        <v>0</v>
      </c>
      <c r="R325" s="6">
        <f>'MATCH CALCS'!$AD326*1</f>
        <v>0</v>
      </c>
      <c r="S325" s="6">
        <f>'MATCH CALCS'!AC326*3</f>
        <v>0</v>
      </c>
      <c r="T325" s="6">
        <f>'MATCH CALCS'!AD326*3</f>
        <v>0</v>
      </c>
      <c r="U325" s="155">
        <f t="shared" si="12"/>
        <v>0</v>
      </c>
      <c r="V325" s="154">
        <f t="shared" si="13"/>
        <v>0</v>
      </c>
    </row>
    <row r="326" spans="1:22">
      <c r="A326" s="154">
        <f>'MATCH CALCS'!A327</f>
        <v>0</v>
      </c>
      <c r="B326" s="154">
        <f>'MATCH CALCS'!$C327</f>
        <v>0</v>
      </c>
      <c r="C326" s="154">
        <f t="shared" si="9"/>
        <v>0</v>
      </c>
      <c r="D326" s="6">
        <f>'MATCH CALCS'!$G327*2</f>
        <v>0</v>
      </c>
      <c r="E326" s="6">
        <f>'MATCH CALCS'!$G327*2</f>
        <v>0</v>
      </c>
      <c r="F326" s="6">
        <f>'MATCH CALCS'!$G327*2</f>
        <v>0</v>
      </c>
      <c r="G326" s="6">
        <f>'MATCH CALCS'!$G327*2</f>
        <v>0</v>
      </c>
      <c r="H326" s="6">
        <f>'MATCH CALCS'!$G327*2</f>
        <v>0</v>
      </c>
      <c r="I326" s="6">
        <f>'MATCH CALCS'!$G327*2</f>
        <v>0</v>
      </c>
      <c r="J326" s="154">
        <f t="shared" si="10"/>
        <v>0</v>
      </c>
      <c r="K326" s="6">
        <f>'MATCH CALCS'!L327*1</f>
        <v>0</v>
      </c>
      <c r="L326" s="6">
        <f>'MATCH CALCS'!$N327*2</f>
        <v>0</v>
      </c>
      <c r="M326" s="6">
        <f>'MATCH CALCS'!N327*1</f>
        <v>0</v>
      </c>
      <c r="N326" s="6">
        <f>'MATCH CALCS'!$N327*2</f>
        <v>0</v>
      </c>
      <c r="O326" s="6">
        <f>'MATCH CALCS'!$N327*2</f>
        <v>0</v>
      </c>
      <c r="P326" s="6">
        <f>'MATCH CALCS'!$P327*5</f>
        <v>0</v>
      </c>
      <c r="Q326" s="154">
        <f t="shared" si="11"/>
        <v>0</v>
      </c>
      <c r="R326" s="6">
        <f>'MATCH CALCS'!$AD327*1</f>
        <v>0</v>
      </c>
      <c r="S326" s="6">
        <f>'MATCH CALCS'!AC327*3</f>
        <v>0</v>
      </c>
      <c r="T326" s="6">
        <f>'MATCH CALCS'!AD327*3</f>
        <v>0</v>
      </c>
      <c r="U326" s="155">
        <f t="shared" si="12"/>
        <v>0</v>
      </c>
      <c r="V326" s="154">
        <f t="shared" si="13"/>
        <v>0</v>
      </c>
    </row>
    <row r="327" spans="1:22">
      <c r="A327" s="154">
        <f>'MATCH CALCS'!A328</f>
        <v>0</v>
      </c>
      <c r="B327" s="154">
        <f>'MATCH CALCS'!$C328</f>
        <v>0</v>
      </c>
      <c r="C327" s="154">
        <f t="shared" si="9"/>
        <v>0</v>
      </c>
      <c r="D327" s="6">
        <f>'MATCH CALCS'!$G328*2</f>
        <v>0</v>
      </c>
      <c r="E327" s="6">
        <f>'MATCH CALCS'!$G328*2</f>
        <v>0</v>
      </c>
      <c r="F327" s="6">
        <f>'MATCH CALCS'!$G328*2</f>
        <v>0</v>
      </c>
      <c r="G327" s="6">
        <f>'MATCH CALCS'!$G328*2</f>
        <v>0</v>
      </c>
      <c r="H327" s="6">
        <f>'MATCH CALCS'!$G328*2</f>
        <v>0</v>
      </c>
      <c r="I327" s="6">
        <f>'MATCH CALCS'!$G328*2</f>
        <v>0</v>
      </c>
      <c r="J327" s="154">
        <f t="shared" si="10"/>
        <v>0</v>
      </c>
      <c r="K327" s="6">
        <f>'MATCH CALCS'!L328*1</f>
        <v>0</v>
      </c>
      <c r="L327" s="6">
        <f>'MATCH CALCS'!$N328*2</f>
        <v>0</v>
      </c>
      <c r="M327" s="6">
        <f>'MATCH CALCS'!N328*1</f>
        <v>0</v>
      </c>
      <c r="N327" s="6">
        <f>'MATCH CALCS'!$N328*2</f>
        <v>0</v>
      </c>
      <c r="O327" s="6">
        <f>'MATCH CALCS'!$N328*2</f>
        <v>0</v>
      </c>
      <c r="P327" s="6">
        <f>'MATCH CALCS'!$P328*5</f>
        <v>0</v>
      </c>
      <c r="Q327" s="154">
        <f t="shared" si="11"/>
        <v>0</v>
      </c>
      <c r="R327" s="6">
        <f>'MATCH CALCS'!$AD328*1</f>
        <v>0</v>
      </c>
      <c r="S327" s="6">
        <f>'MATCH CALCS'!AC328*3</f>
        <v>0</v>
      </c>
      <c r="T327" s="6">
        <f>'MATCH CALCS'!AD328*3</f>
        <v>0</v>
      </c>
      <c r="U327" s="155">
        <f t="shared" si="12"/>
        <v>0</v>
      </c>
      <c r="V327" s="154">
        <f t="shared" si="13"/>
        <v>0</v>
      </c>
    </row>
    <row r="328" spans="1:22">
      <c r="A328" s="154">
        <f>'MATCH CALCS'!A329</f>
        <v>0</v>
      </c>
      <c r="B328" s="154">
        <f>'MATCH CALCS'!$C329</f>
        <v>0</v>
      </c>
      <c r="C328" s="154">
        <f t="shared" si="9"/>
        <v>0</v>
      </c>
      <c r="D328" s="6">
        <f>'MATCH CALCS'!$G329*2</f>
        <v>0</v>
      </c>
      <c r="E328" s="6">
        <f>'MATCH CALCS'!$G329*2</f>
        <v>0</v>
      </c>
      <c r="F328" s="6">
        <f>'MATCH CALCS'!$G329*2</f>
        <v>0</v>
      </c>
      <c r="G328" s="6">
        <f>'MATCH CALCS'!$G329*2</f>
        <v>0</v>
      </c>
      <c r="H328" s="6">
        <f>'MATCH CALCS'!$G329*2</f>
        <v>0</v>
      </c>
      <c r="I328" s="6">
        <f>'MATCH CALCS'!$G329*2</f>
        <v>0</v>
      </c>
      <c r="J328" s="154">
        <f t="shared" si="10"/>
        <v>0</v>
      </c>
      <c r="K328" s="6">
        <f>'MATCH CALCS'!L329*1</f>
        <v>0</v>
      </c>
      <c r="L328" s="6">
        <f>'MATCH CALCS'!$N329*2</f>
        <v>0</v>
      </c>
      <c r="M328" s="6">
        <f>'MATCH CALCS'!N329*1</f>
        <v>0</v>
      </c>
      <c r="N328" s="6">
        <f>'MATCH CALCS'!$N329*2</f>
        <v>0</v>
      </c>
      <c r="O328" s="6">
        <f>'MATCH CALCS'!$N329*2</f>
        <v>0</v>
      </c>
      <c r="P328" s="6">
        <f>'MATCH CALCS'!$P329*5</f>
        <v>0</v>
      </c>
      <c r="Q328" s="154">
        <f t="shared" si="11"/>
        <v>0</v>
      </c>
      <c r="R328" s="6">
        <f>'MATCH CALCS'!$AD329*1</f>
        <v>0</v>
      </c>
      <c r="S328" s="6">
        <f>'MATCH CALCS'!AC329*3</f>
        <v>0</v>
      </c>
      <c r="T328" s="6">
        <f>'MATCH CALCS'!AD329*3</f>
        <v>0</v>
      </c>
      <c r="U328" s="155">
        <f t="shared" si="12"/>
        <v>0</v>
      </c>
      <c r="V328" s="154">
        <f t="shared" si="13"/>
        <v>0</v>
      </c>
    </row>
    <row r="329" spans="1:22">
      <c r="A329" s="154">
        <f>'MATCH CALCS'!A330</f>
        <v>0</v>
      </c>
      <c r="B329" s="154">
        <f>'MATCH CALCS'!$C330</f>
        <v>0</v>
      </c>
      <c r="C329" s="154">
        <f t="shared" si="9"/>
        <v>0</v>
      </c>
      <c r="D329" s="6">
        <f>'MATCH CALCS'!$G330*2</f>
        <v>0</v>
      </c>
      <c r="E329" s="6">
        <f>'MATCH CALCS'!$G330*2</f>
        <v>0</v>
      </c>
      <c r="F329" s="6">
        <f>'MATCH CALCS'!$G330*2</f>
        <v>0</v>
      </c>
      <c r="G329" s="6">
        <f>'MATCH CALCS'!$G330*2</f>
        <v>0</v>
      </c>
      <c r="H329" s="6">
        <f>'MATCH CALCS'!$G330*2</f>
        <v>0</v>
      </c>
      <c r="I329" s="6">
        <f>'MATCH CALCS'!$G330*2</f>
        <v>0</v>
      </c>
      <c r="J329" s="154">
        <f t="shared" si="10"/>
        <v>0</v>
      </c>
      <c r="K329" s="6">
        <f>'MATCH CALCS'!L330*1</f>
        <v>0</v>
      </c>
      <c r="L329" s="6">
        <f>'MATCH CALCS'!$N330*2</f>
        <v>0</v>
      </c>
      <c r="M329" s="6">
        <f>'MATCH CALCS'!N330*1</f>
        <v>0</v>
      </c>
      <c r="N329" s="6">
        <f>'MATCH CALCS'!$N330*2</f>
        <v>0</v>
      </c>
      <c r="O329" s="6">
        <f>'MATCH CALCS'!$N330*2</f>
        <v>0</v>
      </c>
      <c r="P329" s="6">
        <f>'MATCH CALCS'!$P330*5</f>
        <v>0</v>
      </c>
      <c r="Q329" s="154">
        <f t="shared" si="11"/>
        <v>0</v>
      </c>
      <c r="R329" s="6">
        <f>'MATCH CALCS'!$AD330*1</f>
        <v>0</v>
      </c>
      <c r="S329" s="6">
        <f>'MATCH CALCS'!AC330*3</f>
        <v>0</v>
      </c>
      <c r="T329" s="6">
        <f>'MATCH CALCS'!AD330*3</f>
        <v>0</v>
      </c>
      <c r="U329" s="155">
        <f t="shared" si="12"/>
        <v>0</v>
      </c>
      <c r="V329" s="154">
        <f t="shared" si="13"/>
        <v>0</v>
      </c>
    </row>
    <row r="330" spans="1:22">
      <c r="A330" s="154">
        <f>'MATCH CALCS'!A331</f>
        <v>0</v>
      </c>
      <c r="B330" s="154">
        <f>'MATCH CALCS'!$C331</f>
        <v>0</v>
      </c>
      <c r="C330" s="154">
        <f t="shared" si="9"/>
        <v>0</v>
      </c>
      <c r="D330" s="6">
        <f>'MATCH CALCS'!$G331*2</f>
        <v>0</v>
      </c>
      <c r="E330" s="6">
        <f>'MATCH CALCS'!$G331*2</f>
        <v>0</v>
      </c>
      <c r="F330" s="6">
        <f>'MATCH CALCS'!$G331*2</f>
        <v>0</v>
      </c>
      <c r="G330" s="6">
        <f>'MATCH CALCS'!$G331*2</f>
        <v>0</v>
      </c>
      <c r="H330" s="6">
        <f>'MATCH CALCS'!$G331*2</f>
        <v>0</v>
      </c>
      <c r="I330" s="6">
        <f>'MATCH CALCS'!$G331*2</f>
        <v>0</v>
      </c>
      <c r="J330" s="154">
        <f t="shared" si="10"/>
        <v>0</v>
      </c>
      <c r="K330" s="6">
        <f>'MATCH CALCS'!L331*1</f>
        <v>0</v>
      </c>
      <c r="L330" s="6">
        <f>'MATCH CALCS'!$N331*2</f>
        <v>0</v>
      </c>
      <c r="M330" s="6">
        <f>'MATCH CALCS'!N331*1</f>
        <v>0</v>
      </c>
      <c r="N330" s="6">
        <f>'MATCH CALCS'!$N331*2</f>
        <v>0</v>
      </c>
      <c r="O330" s="6">
        <f>'MATCH CALCS'!$N331*2</f>
        <v>0</v>
      </c>
      <c r="P330" s="6">
        <f>'MATCH CALCS'!$P331*5</f>
        <v>0</v>
      </c>
      <c r="Q330" s="154">
        <f t="shared" si="11"/>
        <v>0</v>
      </c>
      <c r="R330" s="6">
        <f>'MATCH CALCS'!$AD331*1</f>
        <v>0</v>
      </c>
      <c r="S330" s="6">
        <f>'MATCH CALCS'!AC331*3</f>
        <v>0</v>
      </c>
      <c r="T330" s="6">
        <f>'MATCH CALCS'!AD331*3</f>
        <v>0</v>
      </c>
      <c r="U330" s="155">
        <f t="shared" si="12"/>
        <v>0</v>
      </c>
      <c r="V330" s="154">
        <f t="shared" si="13"/>
        <v>0</v>
      </c>
    </row>
    <row r="331" spans="1:22">
      <c r="A331" s="154">
        <f>'MATCH CALCS'!A332</f>
        <v>0</v>
      </c>
      <c r="B331" s="154">
        <f>'MATCH CALCS'!$C332</f>
        <v>0</v>
      </c>
      <c r="C331" s="154">
        <f t="shared" si="9"/>
        <v>0</v>
      </c>
      <c r="D331" s="6">
        <f>'MATCH CALCS'!$G332*2</f>
        <v>0</v>
      </c>
      <c r="E331" s="6">
        <f>'MATCH CALCS'!$G332*2</f>
        <v>0</v>
      </c>
      <c r="F331" s="6">
        <f>'MATCH CALCS'!$G332*2</f>
        <v>0</v>
      </c>
      <c r="G331" s="6">
        <f>'MATCH CALCS'!$G332*2</f>
        <v>0</v>
      </c>
      <c r="H331" s="6">
        <f>'MATCH CALCS'!$G332*2</f>
        <v>0</v>
      </c>
      <c r="I331" s="6">
        <f>'MATCH CALCS'!$G332*2</f>
        <v>0</v>
      </c>
      <c r="J331" s="154">
        <f t="shared" si="10"/>
        <v>0</v>
      </c>
      <c r="K331" s="6">
        <f>'MATCH CALCS'!L332*1</f>
        <v>0</v>
      </c>
      <c r="L331" s="6">
        <f>'MATCH CALCS'!$N332*2</f>
        <v>0</v>
      </c>
      <c r="M331" s="6">
        <f>'MATCH CALCS'!N332*1</f>
        <v>0</v>
      </c>
      <c r="N331" s="6">
        <f>'MATCH CALCS'!$N332*2</f>
        <v>0</v>
      </c>
      <c r="O331" s="6">
        <f>'MATCH CALCS'!$N332*2</f>
        <v>0</v>
      </c>
      <c r="P331" s="6">
        <f>'MATCH CALCS'!$P332*5</f>
        <v>0</v>
      </c>
      <c r="Q331" s="154">
        <f t="shared" si="11"/>
        <v>0</v>
      </c>
      <c r="R331" s="6">
        <f>'MATCH CALCS'!$AD332*1</f>
        <v>0</v>
      </c>
      <c r="S331" s="6">
        <f>'MATCH CALCS'!AC332*3</f>
        <v>0</v>
      </c>
      <c r="T331" s="6">
        <f>'MATCH CALCS'!AD332*3</f>
        <v>0</v>
      </c>
      <c r="U331" s="155">
        <f t="shared" si="12"/>
        <v>0</v>
      </c>
      <c r="V331" s="154">
        <f t="shared" si="13"/>
        <v>0</v>
      </c>
    </row>
    <row r="332" spans="1:22">
      <c r="A332" s="154">
        <f>'MATCH CALCS'!A333</f>
        <v>0</v>
      </c>
      <c r="B332" s="154">
        <f>'MATCH CALCS'!$C333</f>
        <v>0</v>
      </c>
      <c r="C332" s="154">
        <f t="shared" si="9"/>
        <v>0</v>
      </c>
      <c r="D332" s="6">
        <f>'MATCH CALCS'!$G333*2</f>
        <v>0</v>
      </c>
      <c r="E332" s="6">
        <f>'MATCH CALCS'!$G333*2</f>
        <v>0</v>
      </c>
      <c r="F332" s="6">
        <f>'MATCH CALCS'!$G333*2</f>
        <v>0</v>
      </c>
      <c r="G332" s="6">
        <f>'MATCH CALCS'!$G333*2</f>
        <v>0</v>
      </c>
      <c r="H332" s="6">
        <f>'MATCH CALCS'!$G333*2</f>
        <v>0</v>
      </c>
      <c r="I332" s="6">
        <f>'MATCH CALCS'!$G333*2</f>
        <v>0</v>
      </c>
      <c r="J332" s="154">
        <f t="shared" si="10"/>
        <v>0</v>
      </c>
      <c r="K332" s="6">
        <f>'MATCH CALCS'!L333*1</f>
        <v>0</v>
      </c>
      <c r="L332" s="6">
        <f>'MATCH CALCS'!$N333*2</f>
        <v>0</v>
      </c>
      <c r="M332" s="6">
        <f>'MATCH CALCS'!N333*1</f>
        <v>0</v>
      </c>
      <c r="N332" s="6">
        <f>'MATCH CALCS'!$N333*2</f>
        <v>0</v>
      </c>
      <c r="O332" s="6">
        <f>'MATCH CALCS'!$N333*2</f>
        <v>0</v>
      </c>
      <c r="P332" s="6">
        <f>'MATCH CALCS'!$P333*5</f>
        <v>0</v>
      </c>
      <c r="Q332" s="154">
        <f t="shared" si="11"/>
        <v>0</v>
      </c>
      <c r="R332" s="6">
        <f>'MATCH CALCS'!$AD333*1</f>
        <v>0</v>
      </c>
      <c r="S332" s="6">
        <f>'MATCH CALCS'!AC333*3</f>
        <v>0</v>
      </c>
      <c r="T332" s="6">
        <f>'MATCH CALCS'!AD333*3</f>
        <v>0</v>
      </c>
      <c r="U332" s="155">
        <f t="shared" si="12"/>
        <v>0</v>
      </c>
      <c r="V332" s="154">
        <f t="shared" si="13"/>
        <v>0</v>
      </c>
    </row>
    <row r="333" spans="1:22">
      <c r="A333" s="154">
        <f>'MATCH CALCS'!A334</f>
        <v>0</v>
      </c>
      <c r="B333" s="154">
        <f>'MATCH CALCS'!$C334</f>
        <v>0</v>
      </c>
      <c r="C333" s="154">
        <f t="shared" si="9"/>
        <v>0</v>
      </c>
      <c r="D333" s="6">
        <f>'MATCH CALCS'!$G334*2</f>
        <v>0</v>
      </c>
      <c r="E333" s="6">
        <f>'MATCH CALCS'!$G334*2</f>
        <v>0</v>
      </c>
      <c r="F333" s="6">
        <f>'MATCH CALCS'!$G334*2</f>
        <v>0</v>
      </c>
      <c r="G333" s="6">
        <f>'MATCH CALCS'!$G334*2</f>
        <v>0</v>
      </c>
      <c r="H333" s="6">
        <f>'MATCH CALCS'!$G334*2</f>
        <v>0</v>
      </c>
      <c r="I333" s="6">
        <f>'MATCH CALCS'!$G334*2</f>
        <v>0</v>
      </c>
      <c r="J333" s="154">
        <f t="shared" si="10"/>
        <v>0</v>
      </c>
      <c r="K333" s="6">
        <f>'MATCH CALCS'!L334*1</f>
        <v>0</v>
      </c>
      <c r="L333" s="6">
        <f>'MATCH CALCS'!$N334*2</f>
        <v>0</v>
      </c>
      <c r="M333" s="6">
        <f>'MATCH CALCS'!N334*1</f>
        <v>0</v>
      </c>
      <c r="N333" s="6">
        <f>'MATCH CALCS'!$N334*2</f>
        <v>0</v>
      </c>
      <c r="O333" s="6">
        <f>'MATCH CALCS'!$N334*2</f>
        <v>0</v>
      </c>
      <c r="P333" s="6">
        <f>'MATCH CALCS'!$P334*5</f>
        <v>0</v>
      </c>
      <c r="Q333" s="154">
        <f t="shared" si="11"/>
        <v>0</v>
      </c>
      <c r="R333" s="6">
        <f>'MATCH CALCS'!$AD334*1</f>
        <v>0</v>
      </c>
      <c r="S333" s="6">
        <f>'MATCH CALCS'!AC334*3</f>
        <v>0</v>
      </c>
      <c r="T333" s="6">
        <f>'MATCH CALCS'!AD334*3</f>
        <v>0</v>
      </c>
      <c r="U333" s="155">
        <f t="shared" si="12"/>
        <v>0</v>
      </c>
      <c r="V333" s="154">
        <f t="shared" si="13"/>
        <v>0</v>
      </c>
    </row>
    <row r="334" spans="1:22">
      <c r="A334" s="154">
        <f>'MATCH CALCS'!A335</f>
        <v>0</v>
      </c>
      <c r="B334" s="154">
        <f>'MATCH CALCS'!$C335</f>
        <v>0</v>
      </c>
      <c r="C334" s="154">
        <f t="shared" si="9"/>
        <v>0</v>
      </c>
      <c r="D334" s="6">
        <f>'MATCH CALCS'!$G335*2</f>
        <v>0</v>
      </c>
      <c r="E334" s="6">
        <f>'MATCH CALCS'!$G335*2</f>
        <v>0</v>
      </c>
      <c r="F334" s="6">
        <f>'MATCH CALCS'!$G335*2</f>
        <v>0</v>
      </c>
      <c r="G334" s="6">
        <f>'MATCH CALCS'!$G335*2</f>
        <v>0</v>
      </c>
      <c r="H334" s="6">
        <f>'MATCH CALCS'!$G335*2</f>
        <v>0</v>
      </c>
      <c r="I334" s="6">
        <f>'MATCH CALCS'!$G335*2</f>
        <v>0</v>
      </c>
      <c r="J334" s="154">
        <f t="shared" si="10"/>
        <v>0</v>
      </c>
      <c r="K334" s="6">
        <f>'MATCH CALCS'!L335*1</f>
        <v>0</v>
      </c>
      <c r="L334" s="6">
        <f>'MATCH CALCS'!$N335*2</f>
        <v>0</v>
      </c>
      <c r="M334" s="6">
        <f>'MATCH CALCS'!N335*1</f>
        <v>0</v>
      </c>
      <c r="N334" s="6">
        <f>'MATCH CALCS'!$N335*2</f>
        <v>0</v>
      </c>
      <c r="O334" s="6">
        <f>'MATCH CALCS'!$N335*2</f>
        <v>0</v>
      </c>
      <c r="P334" s="6">
        <f>'MATCH CALCS'!$P335*5</f>
        <v>0</v>
      </c>
      <c r="Q334" s="154">
        <f t="shared" si="11"/>
        <v>0</v>
      </c>
      <c r="R334" s="6">
        <f>'MATCH CALCS'!$AD335*1</f>
        <v>0</v>
      </c>
      <c r="S334" s="6">
        <f>'MATCH CALCS'!AC335*3</f>
        <v>0</v>
      </c>
      <c r="T334" s="6">
        <f>'MATCH CALCS'!AD335*3</f>
        <v>0</v>
      </c>
      <c r="U334" s="155">
        <f t="shared" si="12"/>
        <v>0</v>
      </c>
      <c r="V334" s="154">
        <f t="shared" si="13"/>
        <v>0</v>
      </c>
    </row>
    <row r="335" spans="1:22">
      <c r="A335" s="154">
        <f>'MATCH CALCS'!A336</f>
        <v>0</v>
      </c>
      <c r="B335" s="154">
        <f>'MATCH CALCS'!$C336</f>
        <v>0</v>
      </c>
      <c r="C335" s="154">
        <f t="shared" si="9"/>
        <v>0</v>
      </c>
      <c r="D335" s="6">
        <f>'MATCH CALCS'!$G336*2</f>
        <v>0</v>
      </c>
      <c r="E335" s="6">
        <f>'MATCH CALCS'!$G336*2</f>
        <v>0</v>
      </c>
      <c r="F335" s="6">
        <f>'MATCH CALCS'!$G336*2</f>
        <v>0</v>
      </c>
      <c r="G335" s="6">
        <f>'MATCH CALCS'!$G336*2</f>
        <v>0</v>
      </c>
      <c r="H335" s="6">
        <f>'MATCH CALCS'!$G336*2</f>
        <v>0</v>
      </c>
      <c r="I335" s="6">
        <f>'MATCH CALCS'!$G336*2</f>
        <v>0</v>
      </c>
      <c r="J335" s="154">
        <f t="shared" si="10"/>
        <v>0</v>
      </c>
      <c r="K335" s="6">
        <f>'MATCH CALCS'!L336*1</f>
        <v>0</v>
      </c>
      <c r="L335" s="6">
        <f>'MATCH CALCS'!$N336*2</f>
        <v>0</v>
      </c>
      <c r="M335" s="6">
        <f>'MATCH CALCS'!N336*1</f>
        <v>0</v>
      </c>
      <c r="N335" s="6">
        <f>'MATCH CALCS'!$N336*2</f>
        <v>0</v>
      </c>
      <c r="O335" s="6">
        <f>'MATCH CALCS'!$N336*2</f>
        <v>0</v>
      </c>
      <c r="P335" s="6">
        <f>'MATCH CALCS'!$P336*5</f>
        <v>0</v>
      </c>
      <c r="Q335" s="154">
        <f t="shared" si="11"/>
        <v>0</v>
      </c>
      <c r="R335" s="6">
        <f>'MATCH CALCS'!$AD336*1</f>
        <v>0</v>
      </c>
      <c r="S335" s="6">
        <f>'MATCH CALCS'!AC336*3</f>
        <v>0</v>
      </c>
      <c r="T335" s="6">
        <f>'MATCH CALCS'!AD336*3</f>
        <v>0</v>
      </c>
      <c r="U335" s="155">
        <f t="shared" si="12"/>
        <v>0</v>
      </c>
      <c r="V335" s="154">
        <f t="shared" si="13"/>
        <v>0</v>
      </c>
    </row>
    <row r="336" spans="1:22">
      <c r="A336" s="154">
        <f>'MATCH CALCS'!A337</f>
        <v>0</v>
      </c>
      <c r="B336" s="154">
        <f>'MATCH CALCS'!$C337</f>
        <v>0</v>
      </c>
      <c r="C336" s="154">
        <f t="shared" si="9"/>
        <v>0</v>
      </c>
      <c r="D336" s="6">
        <f>'MATCH CALCS'!$G337*2</f>
        <v>0</v>
      </c>
      <c r="E336" s="6">
        <f>'MATCH CALCS'!$G337*2</f>
        <v>0</v>
      </c>
      <c r="F336" s="6">
        <f>'MATCH CALCS'!$G337*2</f>
        <v>0</v>
      </c>
      <c r="G336" s="6">
        <f>'MATCH CALCS'!$G337*2</f>
        <v>0</v>
      </c>
      <c r="H336" s="6">
        <f>'MATCH CALCS'!$G337*2</f>
        <v>0</v>
      </c>
      <c r="I336" s="6">
        <f>'MATCH CALCS'!$G337*2</f>
        <v>0</v>
      </c>
      <c r="J336" s="154">
        <f t="shared" si="10"/>
        <v>0</v>
      </c>
      <c r="K336" s="6">
        <f>'MATCH CALCS'!L337*1</f>
        <v>0</v>
      </c>
      <c r="L336" s="6">
        <f>'MATCH CALCS'!$N337*2</f>
        <v>0</v>
      </c>
      <c r="M336" s="6">
        <f>'MATCH CALCS'!N337*1</f>
        <v>0</v>
      </c>
      <c r="N336" s="6">
        <f>'MATCH CALCS'!$N337*2</f>
        <v>0</v>
      </c>
      <c r="O336" s="6">
        <f>'MATCH CALCS'!$N337*2</f>
        <v>0</v>
      </c>
      <c r="P336" s="6">
        <f>'MATCH CALCS'!$P337*5</f>
        <v>0</v>
      </c>
      <c r="Q336" s="154">
        <f t="shared" si="11"/>
        <v>0</v>
      </c>
      <c r="R336" s="6">
        <f>'MATCH CALCS'!$AD337*1</f>
        <v>0</v>
      </c>
      <c r="S336" s="6">
        <f>'MATCH CALCS'!AC337*3</f>
        <v>0</v>
      </c>
      <c r="T336" s="6">
        <f>'MATCH CALCS'!AD337*3</f>
        <v>0</v>
      </c>
      <c r="U336" s="155">
        <f t="shared" si="12"/>
        <v>0</v>
      </c>
      <c r="V336" s="154">
        <f t="shared" si="13"/>
        <v>0</v>
      </c>
    </row>
    <row r="337" spans="1:22">
      <c r="A337" s="154">
        <f>'MATCH CALCS'!A338</f>
        <v>0</v>
      </c>
      <c r="B337" s="154">
        <f>'MATCH CALCS'!$C338</f>
        <v>0</v>
      </c>
      <c r="C337" s="154">
        <f t="shared" si="9"/>
        <v>0</v>
      </c>
      <c r="D337" s="6">
        <f>'MATCH CALCS'!$G338*2</f>
        <v>0</v>
      </c>
      <c r="E337" s="6">
        <f>'MATCH CALCS'!$G338*2</f>
        <v>0</v>
      </c>
      <c r="F337" s="6">
        <f>'MATCH CALCS'!$G338*2</f>
        <v>0</v>
      </c>
      <c r="G337" s="6">
        <f>'MATCH CALCS'!$G338*2</f>
        <v>0</v>
      </c>
      <c r="H337" s="6">
        <f>'MATCH CALCS'!$G338*2</f>
        <v>0</v>
      </c>
      <c r="I337" s="6">
        <f>'MATCH CALCS'!$G338*2</f>
        <v>0</v>
      </c>
      <c r="J337" s="154">
        <f t="shared" si="10"/>
        <v>0</v>
      </c>
      <c r="K337" s="6">
        <f>'MATCH CALCS'!L338*1</f>
        <v>0</v>
      </c>
      <c r="L337" s="6">
        <f>'MATCH CALCS'!$N338*2</f>
        <v>0</v>
      </c>
      <c r="M337" s="6">
        <f>'MATCH CALCS'!N338*1</f>
        <v>0</v>
      </c>
      <c r="N337" s="6">
        <f>'MATCH CALCS'!$N338*2</f>
        <v>0</v>
      </c>
      <c r="O337" s="6">
        <f>'MATCH CALCS'!$N338*2</f>
        <v>0</v>
      </c>
      <c r="P337" s="6">
        <f>'MATCH CALCS'!$P338*5</f>
        <v>0</v>
      </c>
      <c r="Q337" s="154">
        <f t="shared" si="11"/>
        <v>0</v>
      </c>
      <c r="R337" s="6">
        <f>'MATCH CALCS'!$AD338*1</f>
        <v>0</v>
      </c>
      <c r="S337" s="6">
        <f>'MATCH CALCS'!AC338*3</f>
        <v>0</v>
      </c>
      <c r="T337" s="6">
        <f>'MATCH CALCS'!AD338*3</f>
        <v>0</v>
      </c>
      <c r="U337" s="155">
        <f t="shared" si="12"/>
        <v>0</v>
      </c>
      <c r="V337" s="154">
        <f t="shared" si="13"/>
        <v>0</v>
      </c>
    </row>
    <row r="338" spans="1:22">
      <c r="A338" s="154">
        <f>'MATCH CALCS'!A339</f>
        <v>0</v>
      </c>
      <c r="B338" s="154">
        <f>'MATCH CALCS'!$C339</f>
        <v>0</v>
      </c>
      <c r="C338" s="154">
        <f t="shared" si="9"/>
        <v>0</v>
      </c>
      <c r="D338" s="6">
        <f>'MATCH CALCS'!$G339*2</f>
        <v>0</v>
      </c>
      <c r="E338" s="6">
        <f>'MATCH CALCS'!$G339*2</f>
        <v>0</v>
      </c>
      <c r="F338" s="6">
        <f>'MATCH CALCS'!$G339*2</f>
        <v>0</v>
      </c>
      <c r="G338" s="6">
        <f>'MATCH CALCS'!$G339*2</f>
        <v>0</v>
      </c>
      <c r="H338" s="6">
        <f>'MATCH CALCS'!$G339*2</f>
        <v>0</v>
      </c>
      <c r="I338" s="6">
        <f>'MATCH CALCS'!$G339*2</f>
        <v>0</v>
      </c>
      <c r="J338" s="154">
        <f t="shared" si="10"/>
        <v>0</v>
      </c>
      <c r="K338" s="6">
        <f>'MATCH CALCS'!L339*1</f>
        <v>0</v>
      </c>
      <c r="L338" s="6">
        <f>'MATCH CALCS'!$N339*2</f>
        <v>0</v>
      </c>
      <c r="M338" s="6">
        <f>'MATCH CALCS'!N339*1</f>
        <v>0</v>
      </c>
      <c r="N338" s="6">
        <f>'MATCH CALCS'!$N339*2</f>
        <v>0</v>
      </c>
      <c r="O338" s="6">
        <f>'MATCH CALCS'!$N339*2</f>
        <v>0</v>
      </c>
      <c r="P338" s="6">
        <f>'MATCH CALCS'!$P339*5</f>
        <v>0</v>
      </c>
      <c r="Q338" s="154">
        <f t="shared" si="11"/>
        <v>0</v>
      </c>
      <c r="R338" s="6">
        <f>'MATCH CALCS'!$AD339*1</f>
        <v>0</v>
      </c>
      <c r="S338" s="6">
        <f>'MATCH CALCS'!AC339*3</f>
        <v>0</v>
      </c>
      <c r="T338" s="6">
        <f>'MATCH CALCS'!AD339*3</f>
        <v>0</v>
      </c>
      <c r="U338" s="155">
        <f t="shared" si="12"/>
        <v>0</v>
      </c>
      <c r="V338" s="154">
        <f t="shared" si="13"/>
        <v>0</v>
      </c>
    </row>
    <row r="339" spans="1:22">
      <c r="A339" s="154">
        <f>'MATCH CALCS'!A340</f>
        <v>0</v>
      </c>
      <c r="B339" s="154">
        <f>'MATCH CALCS'!$C340</f>
        <v>0</v>
      </c>
      <c r="C339" s="154">
        <f t="shared" si="9"/>
        <v>0</v>
      </c>
      <c r="D339" s="6">
        <f>'MATCH CALCS'!$G340*2</f>
        <v>0</v>
      </c>
      <c r="E339" s="6">
        <f>'MATCH CALCS'!$G340*2</f>
        <v>0</v>
      </c>
      <c r="F339" s="6">
        <f>'MATCH CALCS'!$G340*2</f>
        <v>0</v>
      </c>
      <c r="G339" s="6">
        <f>'MATCH CALCS'!$G340*2</f>
        <v>0</v>
      </c>
      <c r="H339" s="6">
        <f>'MATCH CALCS'!$G340*2</f>
        <v>0</v>
      </c>
      <c r="I339" s="6">
        <f>'MATCH CALCS'!$G340*2</f>
        <v>0</v>
      </c>
      <c r="J339" s="154">
        <f t="shared" si="10"/>
        <v>0</v>
      </c>
      <c r="K339" s="6">
        <f>'MATCH CALCS'!L340*1</f>
        <v>0</v>
      </c>
      <c r="L339" s="6">
        <f>'MATCH CALCS'!$N340*2</f>
        <v>0</v>
      </c>
      <c r="M339" s="6">
        <f>'MATCH CALCS'!N340*1</f>
        <v>0</v>
      </c>
      <c r="N339" s="6">
        <f>'MATCH CALCS'!$N340*2</f>
        <v>0</v>
      </c>
      <c r="O339" s="6">
        <f>'MATCH CALCS'!$N340*2</f>
        <v>0</v>
      </c>
      <c r="P339" s="6">
        <f>'MATCH CALCS'!$P340*5</f>
        <v>0</v>
      </c>
      <c r="Q339" s="154">
        <f t="shared" si="11"/>
        <v>0</v>
      </c>
      <c r="R339" s="6">
        <f>'MATCH CALCS'!$AD340*1</f>
        <v>0</v>
      </c>
      <c r="S339" s="6">
        <f>'MATCH CALCS'!AC340*3</f>
        <v>0</v>
      </c>
      <c r="T339" s="6">
        <f>'MATCH CALCS'!AD340*3</f>
        <v>0</v>
      </c>
      <c r="U339" s="155">
        <f t="shared" si="12"/>
        <v>0</v>
      </c>
      <c r="V339" s="154">
        <f t="shared" si="13"/>
        <v>0</v>
      </c>
    </row>
    <row r="340" spans="1:22">
      <c r="A340" s="154">
        <f>'MATCH CALCS'!A341</f>
        <v>0</v>
      </c>
      <c r="B340" s="154">
        <f>'MATCH CALCS'!$C341</f>
        <v>0</v>
      </c>
      <c r="C340" s="154">
        <f t="shared" si="9"/>
        <v>0</v>
      </c>
      <c r="D340" s="6">
        <f>'MATCH CALCS'!$G341*2</f>
        <v>0</v>
      </c>
      <c r="E340" s="6">
        <f>'MATCH CALCS'!$G341*2</f>
        <v>0</v>
      </c>
      <c r="F340" s="6">
        <f>'MATCH CALCS'!$G341*2</f>
        <v>0</v>
      </c>
      <c r="G340" s="6">
        <f>'MATCH CALCS'!$G341*2</f>
        <v>0</v>
      </c>
      <c r="H340" s="6">
        <f>'MATCH CALCS'!$G341*2</f>
        <v>0</v>
      </c>
      <c r="I340" s="6">
        <f>'MATCH CALCS'!$G341*2</f>
        <v>0</v>
      </c>
      <c r="J340" s="154">
        <f t="shared" si="10"/>
        <v>0</v>
      </c>
      <c r="K340" s="6">
        <f>'MATCH CALCS'!L341*1</f>
        <v>0</v>
      </c>
      <c r="L340" s="6">
        <f>'MATCH CALCS'!$N341*2</f>
        <v>0</v>
      </c>
      <c r="M340" s="6">
        <f>'MATCH CALCS'!N341*1</f>
        <v>0</v>
      </c>
      <c r="N340" s="6">
        <f>'MATCH CALCS'!$N341*2</f>
        <v>0</v>
      </c>
      <c r="O340" s="6">
        <f>'MATCH CALCS'!$N341*2</f>
        <v>0</v>
      </c>
      <c r="P340" s="6">
        <f>'MATCH CALCS'!$P341*5</f>
        <v>0</v>
      </c>
      <c r="Q340" s="154">
        <f t="shared" si="11"/>
        <v>0</v>
      </c>
      <c r="R340" s="6">
        <f>'MATCH CALCS'!$AD341*1</f>
        <v>0</v>
      </c>
      <c r="S340" s="6">
        <f>'MATCH CALCS'!AC341*3</f>
        <v>0</v>
      </c>
      <c r="T340" s="6">
        <f>'MATCH CALCS'!AD341*3</f>
        <v>0</v>
      </c>
      <c r="U340" s="155">
        <f t="shared" si="12"/>
        <v>0</v>
      </c>
      <c r="V340" s="154">
        <f t="shared" si="13"/>
        <v>0</v>
      </c>
    </row>
    <row r="341" spans="1:22">
      <c r="A341" s="154">
        <f>'MATCH CALCS'!A342</f>
        <v>0</v>
      </c>
      <c r="B341" s="154">
        <f>'MATCH CALCS'!$C342</f>
        <v>0</v>
      </c>
      <c r="C341" s="154">
        <f t="shared" si="9"/>
        <v>0</v>
      </c>
      <c r="D341" s="6">
        <f>'MATCH CALCS'!$G342*2</f>
        <v>0</v>
      </c>
      <c r="E341" s="6">
        <f>'MATCH CALCS'!$G342*2</f>
        <v>0</v>
      </c>
      <c r="F341" s="6">
        <f>'MATCH CALCS'!$G342*2</f>
        <v>0</v>
      </c>
      <c r="G341" s="6">
        <f>'MATCH CALCS'!$G342*2</f>
        <v>0</v>
      </c>
      <c r="H341" s="6">
        <f>'MATCH CALCS'!$G342*2</f>
        <v>0</v>
      </c>
      <c r="I341" s="6">
        <f>'MATCH CALCS'!$G342*2</f>
        <v>0</v>
      </c>
      <c r="J341" s="154">
        <f t="shared" si="10"/>
        <v>0</v>
      </c>
      <c r="K341" s="6">
        <f>'MATCH CALCS'!L342*1</f>
        <v>0</v>
      </c>
      <c r="L341" s="6">
        <f>'MATCH CALCS'!$N342*2</f>
        <v>0</v>
      </c>
      <c r="M341" s="6">
        <f>'MATCH CALCS'!N342*1</f>
        <v>0</v>
      </c>
      <c r="N341" s="6">
        <f>'MATCH CALCS'!$N342*2</f>
        <v>0</v>
      </c>
      <c r="O341" s="6">
        <f>'MATCH CALCS'!$N342*2</f>
        <v>0</v>
      </c>
      <c r="P341" s="6">
        <f>'MATCH CALCS'!$P342*5</f>
        <v>0</v>
      </c>
      <c r="Q341" s="154">
        <f t="shared" si="11"/>
        <v>0</v>
      </c>
      <c r="R341" s="6">
        <f>'MATCH CALCS'!$AD342*1</f>
        <v>0</v>
      </c>
      <c r="S341" s="6">
        <f>'MATCH CALCS'!AC342*3</f>
        <v>0</v>
      </c>
      <c r="T341" s="6">
        <f>'MATCH CALCS'!AD342*3</f>
        <v>0</v>
      </c>
      <c r="U341" s="155">
        <f t="shared" si="12"/>
        <v>0</v>
      </c>
      <c r="V341" s="154">
        <f t="shared" si="13"/>
        <v>0</v>
      </c>
    </row>
    <row r="342" spans="1:22">
      <c r="A342" s="154">
        <f>'MATCH CALCS'!A343</f>
        <v>0</v>
      </c>
      <c r="B342" s="154">
        <f>'MATCH CALCS'!$C343</f>
        <v>0</v>
      </c>
      <c r="C342" s="154">
        <f t="shared" si="9"/>
        <v>0</v>
      </c>
      <c r="D342" s="6">
        <f>'MATCH CALCS'!$G343*2</f>
        <v>0</v>
      </c>
      <c r="E342" s="6">
        <f>'MATCH CALCS'!$G343*2</f>
        <v>0</v>
      </c>
      <c r="F342" s="6">
        <f>'MATCH CALCS'!$G343*2</f>
        <v>0</v>
      </c>
      <c r="G342" s="6">
        <f>'MATCH CALCS'!$G343*2</f>
        <v>0</v>
      </c>
      <c r="H342" s="6">
        <f>'MATCH CALCS'!$G343*2</f>
        <v>0</v>
      </c>
      <c r="I342" s="6">
        <f>'MATCH CALCS'!$G343*2</f>
        <v>0</v>
      </c>
      <c r="J342" s="154">
        <f t="shared" si="10"/>
        <v>0</v>
      </c>
      <c r="K342" s="6">
        <f>'MATCH CALCS'!L343*1</f>
        <v>0</v>
      </c>
      <c r="L342" s="6">
        <f>'MATCH CALCS'!$N343*2</f>
        <v>0</v>
      </c>
      <c r="M342" s="6">
        <f>'MATCH CALCS'!N343*1</f>
        <v>0</v>
      </c>
      <c r="N342" s="6">
        <f>'MATCH CALCS'!$N343*2</f>
        <v>0</v>
      </c>
      <c r="O342" s="6">
        <f>'MATCH CALCS'!$N343*2</f>
        <v>0</v>
      </c>
      <c r="P342" s="6">
        <f>'MATCH CALCS'!$P343*5</f>
        <v>0</v>
      </c>
      <c r="Q342" s="154">
        <f t="shared" si="11"/>
        <v>0</v>
      </c>
      <c r="R342" s="6">
        <f>'MATCH CALCS'!$AD343*1</f>
        <v>0</v>
      </c>
      <c r="S342" s="6">
        <f>'MATCH CALCS'!AC343*3</f>
        <v>0</v>
      </c>
      <c r="T342" s="6">
        <f>'MATCH CALCS'!AD343*3</f>
        <v>0</v>
      </c>
      <c r="U342" s="155">
        <f t="shared" si="12"/>
        <v>0</v>
      </c>
      <c r="V342" s="154">
        <f t="shared" si="13"/>
        <v>0</v>
      </c>
    </row>
    <row r="343" spans="1:22">
      <c r="A343" s="154">
        <f>'MATCH CALCS'!A344</f>
        <v>0</v>
      </c>
      <c r="B343" s="154">
        <f>'MATCH CALCS'!$C344</f>
        <v>0</v>
      </c>
      <c r="C343" s="154">
        <f t="shared" si="9"/>
        <v>0</v>
      </c>
      <c r="D343" s="6">
        <f>'MATCH CALCS'!$G344*2</f>
        <v>0</v>
      </c>
      <c r="E343" s="6">
        <f>'MATCH CALCS'!$G344*2</f>
        <v>0</v>
      </c>
      <c r="F343" s="6">
        <f>'MATCH CALCS'!$G344*2</f>
        <v>0</v>
      </c>
      <c r="G343" s="6">
        <f>'MATCH CALCS'!$G344*2</f>
        <v>0</v>
      </c>
      <c r="H343" s="6">
        <f>'MATCH CALCS'!$G344*2</f>
        <v>0</v>
      </c>
      <c r="I343" s="6">
        <f>'MATCH CALCS'!$G344*2</f>
        <v>0</v>
      </c>
      <c r="J343" s="154">
        <f t="shared" si="10"/>
        <v>0</v>
      </c>
      <c r="K343" s="6">
        <f>'MATCH CALCS'!L344*1</f>
        <v>0</v>
      </c>
      <c r="L343" s="6">
        <f>'MATCH CALCS'!$N344*2</f>
        <v>0</v>
      </c>
      <c r="M343" s="6">
        <f>'MATCH CALCS'!N344*1</f>
        <v>0</v>
      </c>
      <c r="N343" s="6">
        <f>'MATCH CALCS'!$N344*2</f>
        <v>0</v>
      </c>
      <c r="O343" s="6">
        <f>'MATCH CALCS'!$N344*2</f>
        <v>0</v>
      </c>
      <c r="P343" s="6">
        <f>'MATCH CALCS'!$P344*5</f>
        <v>0</v>
      </c>
      <c r="Q343" s="154">
        <f t="shared" si="11"/>
        <v>0</v>
      </c>
      <c r="R343" s="6">
        <f>'MATCH CALCS'!$AD344*1</f>
        <v>0</v>
      </c>
      <c r="S343" s="6">
        <f>'MATCH CALCS'!AC344*3</f>
        <v>0</v>
      </c>
      <c r="T343" s="6">
        <f>'MATCH CALCS'!AD344*3</f>
        <v>0</v>
      </c>
      <c r="U343" s="155">
        <f t="shared" si="12"/>
        <v>0</v>
      </c>
      <c r="V343" s="154">
        <f t="shared" si="13"/>
        <v>0</v>
      </c>
    </row>
    <row r="344" spans="1:22">
      <c r="A344" s="154">
        <f>'MATCH CALCS'!A345</f>
        <v>0</v>
      </c>
      <c r="B344" s="154">
        <f>'MATCH CALCS'!$C345</f>
        <v>0</v>
      </c>
      <c r="C344" s="154">
        <f t="shared" si="9"/>
        <v>0</v>
      </c>
      <c r="D344" s="6">
        <f>'MATCH CALCS'!$G345*2</f>
        <v>0</v>
      </c>
      <c r="E344" s="6">
        <f>'MATCH CALCS'!$G345*2</f>
        <v>0</v>
      </c>
      <c r="F344" s="6">
        <f>'MATCH CALCS'!$G345*2</f>
        <v>0</v>
      </c>
      <c r="G344" s="6">
        <f>'MATCH CALCS'!$G345*2</f>
        <v>0</v>
      </c>
      <c r="H344" s="6">
        <f>'MATCH CALCS'!$G345*2</f>
        <v>0</v>
      </c>
      <c r="I344" s="6">
        <f>'MATCH CALCS'!$G345*2</f>
        <v>0</v>
      </c>
      <c r="J344" s="154">
        <f t="shared" si="10"/>
        <v>0</v>
      </c>
      <c r="K344" s="6">
        <f>'MATCH CALCS'!L345*1</f>
        <v>0</v>
      </c>
      <c r="L344" s="6">
        <f>'MATCH CALCS'!$N345*2</f>
        <v>0</v>
      </c>
      <c r="M344" s="6">
        <f>'MATCH CALCS'!N345*1</f>
        <v>0</v>
      </c>
      <c r="N344" s="6">
        <f>'MATCH CALCS'!$N345*2</f>
        <v>0</v>
      </c>
      <c r="O344" s="6">
        <f>'MATCH CALCS'!$N345*2</f>
        <v>0</v>
      </c>
      <c r="P344" s="6">
        <f>'MATCH CALCS'!$P345*5</f>
        <v>0</v>
      </c>
      <c r="Q344" s="154">
        <f t="shared" si="11"/>
        <v>0</v>
      </c>
      <c r="R344" s="6">
        <f>'MATCH CALCS'!$AD345*1</f>
        <v>0</v>
      </c>
      <c r="S344" s="6">
        <f>'MATCH CALCS'!AC345*3</f>
        <v>0</v>
      </c>
      <c r="T344" s="6">
        <f>'MATCH CALCS'!AD345*3</f>
        <v>0</v>
      </c>
      <c r="U344" s="155">
        <f t="shared" si="12"/>
        <v>0</v>
      </c>
      <c r="V344" s="154">
        <f t="shared" si="13"/>
        <v>0</v>
      </c>
    </row>
    <row r="345" spans="1:22">
      <c r="A345" s="154">
        <f>'MATCH CALCS'!A346</f>
        <v>0</v>
      </c>
      <c r="B345" s="154">
        <f>'MATCH CALCS'!$C346</f>
        <v>0</v>
      </c>
      <c r="C345" s="154">
        <f t="shared" si="9"/>
        <v>0</v>
      </c>
      <c r="D345" s="6">
        <f>'MATCH CALCS'!$G346*2</f>
        <v>0</v>
      </c>
      <c r="E345" s="6">
        <f>'MATCH CALCS'!$G346*2</f>
        <v>0</v>
      </c>
      <c r="F345" s="6">
        <f>'MATCH CALCS'!$G346*2</f>
        <v>0</v>
      </c>
      <c r="G345" s="6">
        <f>'MATCH CALCS'!$G346*2</f>
        <v>0</v>
      </c>
      <c r="H345" s="6">
        <f>'MATCH CALCS'!$G346*2</f>
        <v>0</v>
      </c>
      <c r="I345" s="6">
        <f>'MATCH CALCS'!$G346*2</f>
        <v>0</v>
      </c>
      <c r="J345" s="154">
        <f t="shared" si="10"/>
        <v>0</v>
      </c>
      <c r="K345" s="6">
        <f>'MATCH CALCS'!L346*1</f>
        <v>0</v>
      </c>
      <c r="L345" s="6">
        <f>'MATCH CALCS'!$N346*2</f>
        <v>0</v>
      </c>
      <c r="M345" s="6">
        <f>'MATCH CALCS'!N346*1</f>
        <v>0</v>
      </c>
      <c r="N345" s="6">
        <f>'MATCH CALCS'!$N346*2</f>
        <v>0</v>
      </c>
      <c r="O345" s="6">
        <f>'MATCH CALCS'!$N346*2</f>
        <v>0</v>
      </c>
      <c r="P345" s="6">
        <f>'MATCH CALCS'!$P346*5</f>
        <v>0</v>
      </c>
      <c r="Q345" s="154">
        <f t="shared" si="11"/>
        <v>0</v>
      </c>
      <c r="R345" s="6">
        <f>'MATCH CALCS'!$AD346*1</f>
        <v>0</v>
      </c>
      <c r="S345" s="6">
        <f>'MATCH CALCS'!AC346*3</f>
        <v>0</v>
      </c>
      <c r="T345" s="6">
        <f>'MATCH CALCS'!AD346*3</f>
        <v>0</v>
      </c>
      <c r="U345" s="155">
        <f t="shared" si="12"/>
        <v>0</v>
      </c>
      <c r="V345" s="154">
        <f t="shared" si="13"/>
        <v>0</v>
      </c>
    </row>
    <row r="346" spans="1:22">
      <c r="A346" s="154">
        <f>'MATCH CALCS'!A347</f>
        <v>0</v>
      </c>
      <c r="B346" s="154">
        <f>'MATCH CALCS'!$C347</f>
        <v>0</v>
      </c>
      <c r="C346" s="154">
        <f t="shared" si="9"/>
        <v>0</v>
      </c>
      <c r="D346" s="6">
        <f>'MATCH CALCS'!$G347*2</f>
        <v>0</v>
      </c>
      <c r="E346" s="6">
        <f>'MATCH CALCS'!$G347*2</f>
        <v>0</v>
      </c>
      <c r="F346" s="6">
        <f>'MATCH CALCS'!$G347*2</f>
        <v>0</v>
      </c>
      <c r="G346" s="6">
        <f>'MATCH CALCS'!$G347*2</f>
        <v>0</v>
      </c>
      <c r="H346" s="6">
        <f>'MATCH CALCS'!$G347*2</f>
        <v>0</v>
      </c>
      <c r="I346" s="6">
        <f>'MATCH CALCS'!$G347*2</f>
        <v>0</v>
      </c>
      <c r="J346" s="154">
        <f t="shared" si="10"/>
        <v>0</v>
      </c>
      <c r="K346" s="6">
        <f>'MATCH CALCS'!L347*1</f>
        <v>0</v>
      </c>
      <c r="L346" s="6">
        <f>'MATCH CALCS'!$N347*2</f>
        <v>0</v>
      </c>
      <c r="M346" s="6">
        <f>'MATCH CALCS'!N347*1</f>
        <v>0</v>
      </c>
      <c r="N346" s="6">
        <f>'MATCH CALCS'!$N347*2</f>
        <v>0</v>
      </c>
      <c r="O346" s="6">
        <f>'MATCH CALCS'!$N347*2</f>
        <v>0</v>
      </c>
      <c r="P346" s="6">
        <f>'MATCH CALCS'!$P347*5</f>
        <v>0</v>
      </c>
      <c r="Q346" s="154">
        <f t="shared" si="11"/>
        <v>0</v>
      </c>
      <c r="R346" s="6">
        <f>'MATCH CALCS'!$AD347*1</f>
        <v>0</v>
      </c>
      <c r="S346" s="6">
        <f>'MATCH CALCS'!AC347*3</f>
        <v>0</v>
      </c>
      <c r="T346" s="6">
        <f>'MATCH CALCS'!AD347*3</f>
        <v>0</v>
      </c>
      <c r="U346" s="155">
        <f t="shared" si="12"/>
        <v>0</v>
      </c>
      <c r="V346" s="154">
        <f t="shared" si="13"/>
        <v>0</v>
      </c>
    </row>
    <row r="347" spans="1:22">
      <c r="A347" s="154">
        <f>'MATCH CALCS'!A348</f>
        <v>0</v>
      </c>
      <c r="B347" s="154">
        <f>'MATCH CALCS'!$C348</f>
        <v>0</v>
      </c>
      <c r="C347" s="154">
        <f t="shared" si="9"/>
        <v>0</v>
      </c>
      <c r="D347" s="6">
        <f>'MATCH CALCS'!$G348*2</f>
        <v>0</v>
      </c>
      <c r="E347" s="6">
        <f>'MATCH CALCS'!$G348*2</f>
        <v>0</v>
      </c>
      <c r="F347" s="6">
        <f>'MATCH CALCS'!$G348*2</f>
        <v>0</v>
      </c>
      <c r="G347" s="6">
        <f>'MATCH CALCS'!$G348*2</f>
        <v>0</v>
      </c>
      <c r="H347" s="6">
        <f>'MATCH CALCS'!$G348*2</f>
        <v>0</v>
      </c>
      <c r="I347" s="6">
        <f>'MATCH CALCS'!$G348*2</f>
        <v>0</v>
      </c>
      <c r="J347" s="154">
        <f t="shared" si="10"/>
        <v>0</v>
      </c>
      <c r="K347" s="6">
        <f>'MATCH CALCS'!L348*1</f>
        <v>0</v>
      </c>
      <c r="L347" s="6">
        <f>'MATCH CALCS'!$N348*2</f>
        <v>0</v>
      </c>
      <c r="M347" s="6">
        <f>'MATCH CALCS'!N348*1</f>
        <v>0</v>
      </c>
      <c r="N347" s="6">
        <f>'MATCH CALCS'!$N348*2</f>
        <v>0</v>
      </c>
      <c r="O347" s="6">
        <f>'MATCH CALCS'!$N348*2</f>
        <v>0</v>
      </c>
      <c r="P347" s="6">
        <f>'MATCH CALCS'!$P348*5</f>
        <v>0</v>
      </c>
      <c r="Q347" s="154">
        <f t="shared" si="11"/>
        <v>0</v>
      </c>
      <c r="R347" s="6">
        <f>'MATCH CALCS'!$AD348*1</f>
        <v>0</v>
      </c>
      <c r="S347" s="6">
        <f>'MATCH CALCS'!AC348*3</f>
        <v>0</v>
      </c>
      <c r="T347" s="6">
        <f>'MATCH CALCS'!AD348*3</f>
        <v>0</v>
      </c>
      <c r="U347" s="155">
        <f t="shared" si="12"/>
        <v>0</v>
      </c>
      <c r="V347" s="154">
        <f t="shared" si="13"/>
        <v>0</v>
      </c>
    </row>
    <row r="348" spans="1:22">
      <c r="A348" s="154">
        <f>'MATCH CALCS'!A349</f>
        <v>0</v>
      </c>
      <c r="B348" s="154">
        <f>'MATCH CALCS'!$C349</f>
        <v>0</v>
      </c>
      <c r="C348" s="154">
        <f t="shared" si="9"/>
        <v>0</v>
      </c>
      <c r="D348" s="6">
        <f>'MATCH CALCS'!$G349*2</f>
        <v>0</v>
      </c>
      <c r="E348" s="6">
        <f>'MATCH CALCS'!$G349*2</f>
        <v>0</v>
      </c>
      <c r="F348" s="6">
        <f>'MATCH CALCS'!$G349*2</f>
        <v>0</v>
      </c>
      <c r="G348" s="6">
        <f>'MATCH CALCS'!$G349*2</f>
        <v>0</v>
      </c>
      <c r="H348" s="6">
        <f>'MATCH CALCS'!$G349*2</f>
        <v>0</v>
      </c>
      <c r="I348" s="6">
        <f>'MATCH CALCS'!$G349*2</f>
        <v>0</v>
      </c>
      <c r="J348" s="154">
        <f t="shared" si="10"/>
        <v>0</v>
      </c>
      <c r="K348" s="6">
        <f>'MATCH CALCS'!L349*1</f>
        <v>0</v>
      </c>
      <c r="L348" s="6">
        <f>'MATCH CALCS'!$N349*2</f>
        <v>0</v>
      </c>
      <c r="M348" s="6">
        <f>'MATCH CALCS'!N349*1</f>
        <v>0</v>
      </c>
      <c r="N348" s="6">
        <f>'MATCH CALCS'!$N349*2</f>
        <v>0</v>
      </c>
      <c r="O348" s="6">
        <f>'MATCH CALCS'!$N349*2</f>
        <v>0</v>
      </c>
      <c r="P348" s="6">
        <f>'MATCH CALCS'!$P349*5</f>
        <v>0</v>
      </c>
      <c r="Q348" s="154">
        <f t="shared" si="11"/>
        <v>0</v>
      </c>
      <c r="R348" s="6">
        <f>'MATCH CALCS'!$AD349*1</f>
        <v>0</v>
      </c>
      <c r="S348" s="6">
        <f>'MATCH CALCS'!AC349*3</f>
        <v>0</v>
      </c>
      <c r="T348" s="6">
        <f>'MATCH CALCS'!AD349*3</f>
        <v>0</v>
      </c>
      <c r="U348" s="155">
        <f t="shared" si="12"/>
        <v>0</v>
      </c>
      <c r="V348" s="154">
        <f t="shared" si="13"/>
        <v>0</v>
      </c>
    </row>
    <row r="349" spans="1:22">
      <c r="A349" s="154">
        <f>'MATCH CALCS'!A350</f>
        <v>0</v>
      </c>
      <c r="B349" s="154">
        <f>'MATCH CALCS'!$C350</f>
        <v>0</v>
      </c>
      <c r="C349" s="154">
        <f t="shared" si="9"/>
        <v>0</v>
      </c>
      <c r="D349" s="6">
        <f>'MATCH CALCS'!$G350*2</f>
        <v>0</v>
      </c>
      <c r="E349" s="6">
        <f>'MATCH CALCS'!$G350*2</f>
        <v>0</v>
      </c>
      <c r="F349" s="6">
        <f>'MATCH CALCS'!$G350*2</f>
        <v>0</v>
      </c>
      <c r="G349" s="6">
        <f>'MATCH CALCS'!$G350*2</f>
        <v>0</v>
      </c>
      <c r="H349" s="6">
        <f>'MATCH CALCS'!$G350*2</f>
        <v>0</v>
      </c>
      <c r="I349" s="6">
        <f>'MATCH CALCS'!$G350*2</f>
        <v>0</v>
      </c>
      <c r="J349" s="154">
        <f t="shared" si="10"/>
        <v>0</v>
      </c>
      <c r="K349" s="6">
        <f>'MATCH CALCS'!L350*1</f>
        <v>0</v>
      </c>
      <c r="L349" s="6">
        <f>'MATCH CALCS'!$N350*2</f>
        <v>0</v>
      </c>
      <c r="M349" s="6">
        <f>'MATCH CALCS'!N350*1</f>
        <v>0</v>
      </c>
      <c r="N349" s="6">
        <f>'MATCH CALCS'!$N350*2</f>
        <v>0</v>
      </c>
      <c r="O349" s="6">
        <f>'MATCH CALCS'!$N350*2</f>
        <v>0</v>
      </c>
      <c r="P349" s="6">
        <f>'MATCH CALCS'!$P350*5</f>
        <v>0</v>
      </c>
      <c r="Q349" s="154">
        <f t="shared" si="11"/>
        <v>0</v>
      </c>
      <c r="R349" s="6">
        <f>'MATCH CALCS'!$AD350*1</f>
        <v>0</v>
      </c>
      <c r="S349" s="6">
        <f>'MATCH CALCS'!AC350*3</f>
        <v>0</v>
      </c>
      <c r="T349" s="6">
        <f>'MATCH CALCS'!AD350*3</f>
        <v>0</v>
      </c>
      <c r="U349" s="155">
        <f t="shared" si="12"/>
        <v>0</v>
      </c>
      <c r="V349" s="154">
        <f t="shared" si="13"/>
        <v>0</v>
      </c>
    </row>
    <row r="350" spans="1:22">
      <c r="A350" s="154">
        <f>'MATCH CALCS'!A351</f>
        <v>0</v>
      </c>
      <c r="B350" s="154">
        <f>'MATCH CALCS'!$C351</f>
        <v>0</v>
      </c>
      <c r="C350" s="154">
        <f t="shared" si="9"/>
        <v>0</v>
      </c>
      <c r="D350" s="6">
        <f>'MATCH CALCS'!$G351*2</f>
        <v>0</v>
      </c>
      <c r="E350" s="6">
        <f>'MATCH CALCS'!$G351*2</f>
        <v>0</v>
      </c>
      <c r="F350" s="6">
        <f>'MATCH CALCS'!$G351*2</f>
        <v>0</v>
      </c>
      <c r="G350" s="6">
        <f>'MATCH CALCS'!$G351*2</f>
        <v>0</v>
      </c>
      <c r="H350" s="6">
        <f>'MATCH CALCS'!$G351*2</f>
        <v>0</v>
      </c>
      <c r="I350" s="6">
        <f>'MATCH CALCS'!$G351*2</f>
        <v>0</v>
      </c>
      <c r="J350" s="154">
        <f t="shared" si="10"/>
        <v>0</v>
      </c>
      <c r="K350" s="6">
        <f>'MATCH CALCS'!L351*1</f>
        <v>0</v>
      </c>
      <c r="L350" s="6">
        <f>'MATCH CALCS'!$N351*2</f>
        <v>0</v>
      </c>
      <c r="M350" s="6">
        <f>'MATCH CALCS'!N351*1</f>
        <v>0</v>
      </c>
      <c r="N350" s="6">
        <f>'MATCH CALCS'!$N351*2</f>
        <v>0</v>
      </c>
      <c r="O350" s="6">
        <f>'MATCH CALCS'!$N351*2</f>
        <v>0</v>
      </c>
      <c r="P350" s="6">
        <f>'MATCH CALCS'!$P351*5</f>
        <v>0</v>
      </c>
      <c r="Q350" s="154">
        <f t="shared" si="11"/>
        <v>0</v>
      </c>
      <c r="R350" s="6">
        <f>'MATCH CALCS'!$AD351*1</f>
        <v>0</v>
      </c>
      <c r="S350" s="6">
        <f>'MATCH CALCS'!AC351*3</f>
        <v>0</v>
      </c>
      <c r="T350" s="6">
        <f>'MATCH CALCS'!AD351*3</f>
        <v>0</v>
      </c>
      <c r="U350" s="155">
        <f t="shared" si="12"/>
        <v>0</v>
      </c>
      <c r="V350" s="154">
        <f t="shared" si="13"/>
        <v>0</v>
      </c>
    </row>
    <row r="351" spans="1:22">
      <c r="A351" s="154">
        <f>'MATCH CALCS'!A352</f>
        <v>0</v>
      </c>
      <c r="B351" s="154">
        <f>'MATCH CALCS'!$C352</f>
        <v>0</v>
      </c>
      <c r="C351" s="154">
        <f t="shared" si="9"/>
        <v>0</v>
      </c>
      <c r="D351" s="6">
        <f>'MATCH CALCS'!$G352*2</f>
        <v>0</v>
      </c>
      <c r="E351" s="6">
        <f>'MATCH CALCS'!$G352*2</f>
        <v>0</v>
      </c>
      <c r="F351" s="6">
        <f>'MATCH CALCS'!$G352*2</f>
        <v>0</v>
      </c>
      <c r="G351" s="6">
        <f>'MATCH CALCS'!$G352*2</f>
        <v>0</v>
      </c>
      <c r="H351" s="6">
        <f>'MATCH CALCS'!$G352*2</f>
        <v>0</v>
      </c>
      <c r="I351" s="6">
        <f>'MATCH CALCS'!$G352*2</f>
        <v>0</v>
      </c>
      <c r="J351" s="154">
        <f t="shared" si="10"/>
        <v>0</v>
      </c>
      <c r="K351" s="6">
        <f>'MATCH CALCS'!L352*1</f>
        <v>0</v>
      </c>
      <c r="L351" s="6">
        <f>'MATCH CALCS'!$N352*2</f>
        <v>0</v>
      </c>
      <c r="M351" s="6">
        <f>'MATCH CALCS'!N352*1</f>
        <v>0</v>
      </c>
      <c r="N351" s="6">
        <f>'MATCH CALCS'!$N352*2</f>
        <v>0</v>
      </c>
      <c r="O351" s="6">
        <f>'MATCH CALCS'!$N352*2</f>
        <v>0</v>
      </c>
      <c r="P351" s="6">
        <f>'MATCH CALCS'!$P352*5</f>
        <v>0</v>
      </c>
      <c r="Q351" s="154">
        <f t="shared" si="11"/>
        <v>0</v>
      </c>
      <c r="R351" s="6">
        <f>'MATCH CALCS'!$AD352*1</f>
        <v>0</v>
      </c>
      <c r="S351" s="6">
        <f>'MATCH CALCS'!AC352*3</f>
        <v>0</v>
      </c>
      <c r="T351" s="6">
        <f>'MATCH CALCS'!AD352*3</f>
        <v>0</v>
      </c>
      <c r="U351" s="155">
        <f t="shared" si="12"/>
        <v>0</v>
      </c>
      <c r="V351" s="154">
        <f t="shared" si="13"/>
        <v>0</v>
      </c>
    </row>
    <row r="352" spans="1:22">
      <c r="A352" s="154">
        <f>'MATCH CALCS'!A353</f>
        <v>0</v>
      </c>
      <c r="B352" s="154">
        <f>'MATCH CALCS'!$C353</f>
        <v>0</v>
      </c>
      <c r="C352" s="154">
        <f t="shared" si="9"/>
        <v>0</v>
      </c>
      <c r="D352" s="6">
        <f>'MATCH CALCS'!$G353*2</f>
        <v>0</v>
      </c>
      <c r="E352" s="6">
        <f>'MATCH CALCS'!$G353*2</f>
        <v>0</v>
      </c>
      <c r="F352" s="6">
        <f>'MATCH CALCS'!$G353*2</f>
        <v>0</v>
      </c>
      <c r="G352" s="6">
        <f>'MATCH CALCS'!$G353*2</f>
        <v>0</v>
      </c>
      <c r="H352" s="6">
        <f>'MATCH CALCS'!$G353*2</f>
        <v>0</v>
      </c>
      <c r="I352" s="6">
        <f>'MATCH CALCS'!$G353*2</f>
        <v>0</v>
      </c>
      <c r="J352" s="154">
        <f t="shared" si="10"/>
        <v>0</v>
      </c>
      <c r="K352" s="6">
        <f>'MATCH CALCS'!L353*1</f>
        <v>0</v>
      </c>
      <c r="L352" s="6">
        <f>'MATCH CALCS'!$N353*2</f>
        <v>0</v>
      </c>
      <c r="M352" s="6">
        <f>'MATCH CALCS'!N353*1</f>
        <v>0</v>
      </c>
      <c r="N352" s="6">
        <f>'MATCH CALCS'!$N353*2</f>
        <v>0</v>
      </c>
      <c r="O352" s="6">
        <f>'MATCH CALCS'!$N353*2</f>
        <v>0</v>
      </c>
      <c r="P352" s="6">
        <f>'MATCH CALCS'!$P353*5</f>
        <v>0</v>
      </c>
      <c r="Q352" s="154">
        <f t="shared" si="11"/>
        <v>0</v>
      </c>
      <c r="R352" s="6">
        <f>'MATCH CALCS'!$AD353*1</f>
        <v>0</v>
      </c>
      <c r="S352" s="6">
        <f>'MATCH CALCS'!AC353*3</f>
        <v>0</v>
      </c>
      <c r="T352" s="6">
        <f>'MATCH CALCS'!AD353*3</f>
        <v>0</v>
      </c>
      <c r="U352" s="155">
        <f t="shared" si="12"/>
        <v>0</v>
      </c>
      <c r="V352" s="154">
        <f t="shared" si="13"/>
        <v>0</v>
      </c>
    </row>
    <row r="353" spans="1:22">
      <c r="A353" s="154">
        <f>'MATCH CALCS'!A354</f>
        <v>0</v>
      </c>
      <c r="B353" s="154">
        <f>'MATCH CALCS'!$C354</f>
        <v>0</v>
      </c>
      <c r="C353" s="154">
        <f t="shared" si="9"/>
        <v>0</v>
      </c>
      <c r="D353" s="6">
        <f>'MATCH CALCS'!$G354*2</f>
        <v>0</v>
      </c>
      <c r="E353" s="6">
        <f>'MATCH CALCS'!$G354*2</f>
        <v>0</v>
      </c>
      <c r="F353" s="6">
        <f>'MATCH CALCS'!$G354*2</f>
        <v>0</v>
      </c>
      <c r="G353" s="6">
        <f>'MATCH CALCS'!$G354*2</f>
        <v>0</v>
      </c>
      <c r="H353" s="6">
        <f>'MATCH CALCS'!$G354*2</f>
        <v>0</v>
      </c>
      <c r="I353" s="6">
        <f>'MATCH CALCS'!$G354*2</f>
        <v>0</v>
      </c>
      <c r="J353" s="154">
        <f t="shared" si="10"/>
        <v>0</v>
      </c>
      <c r="K353" s="6">
        <f>'MATCH CALCS'!L354*1</f>
        <v>0</v>
      </c>
      <c r="L353" s="6">
        <f>'MATCH CALCS'!$N354*2</f>
        <v>0</v>
      </c>
      <c r="M353" s="6">
        <f>'MATCH CALCS'!N354*1</f>
        <v>0</v>
      </c>
      <c r="N353" s="6">
        <f>'MATCH CALCS'!$N354*2</f>
        <v>0</v>
      </c>
      <c r="O353" s="6">
        <f>'MATCH CALCS'!$N354*2</f>
        <v>0</v>
      </c>
      <c r="P353" s="6">
        <f>'MATCH CALCS'!$P354*5</f>
        <v>0</v>
      </c>
      <c r="Q353" s="154">
        <f t="shared" si="11"/>
        <v>0</v>
      </c>
      <c r="R353" s="6">
        <f>'MATCH CALCS'!$AD354*1</f>
        <v>0</v>
      </c>
      <c r="S353" s="6">
        <f>'MATCH CALCS'!AC354*3</f>
        <v>0</v>
      </c>
      <c r="T353" s="6">
        <f>'MATCH CALCS'!AD354*3</f>
        <v>0</v>
      </c>
      <c r="U353" s="155">
        <f t="shared" si="12"/>
        <v>0</v>
      </c>
      <c r="V353" s="154">
        <f t="shared" si="13"/>
        <v>0</v>
      </c>
    </row>
    <row r="354" spans="1:22">
      <c r="A354" s="154">
        <f>'MATCH CALCS'!A355</f>
        <v>0</v>
      </c>
      <c r="B354" s="154">
        <f>'MATCH CALCS'!$C355</f>
        <v>0</v>
      </c>
      <c r="C354" s="154">
        <f t="shared" si="9"/>
        <v>0</v>
      </c>
      <c r="D354" s="6">
        <f>'MATCH CALCS'!$G355*2</f>
        <v>0</v>
      </c>
      <c r="E354" s="6">
        <f>'MATCH CALCS'!$G355*2</f>
        <v>0</v>
      </c>
      <c r="F354" s="6">
        <f>'MATCH CALCS'!$G355*2</f>
        <v>0</v>
      </c>
      <c r="G354" s="6">
        <f>'MATCH CALCS'!$G355*2</f>
        <v>0</v>
      </c>
      <c r="H354" s="6">
        <f>'MATCH CALCS'!$G355*2</f>
        <v>0</v>
      </c>
      <c r="I354" s="6">
        <f>'MATCH CALCS'!$G355*2</f>
        <v>0</v>
      </c>
      <c r="J354" s="154">
        <f t="shared" si="10"/>
        <v>0</v>
      </c>
      <c r="K354" s="6">
        <f>'MATCH CALCS'!L355*1</f>
        <v>0</v>
      </c>
      <c r="L354" s="6">
        <f>'MATCH CALCS'!$N355*2</f>
        <v>0</v>
      </c>
      <c r="M354" s="6">
        <f>'MATCH CALCS'!N355*1</f>
        <v>0</v>
      </c>
      <c r="N354" s="6">
        <f>'MATCH CALCS'!$N355*2</f>
        <v>0</v>
      </c>
      <c r="O354" s="6">
        <f>'MATCH CALCS'!$N355*2</f>
        <v>0</v>
      </c>
      <c r="P354" s="6">
        <f>'MATCH CALCS'!$P355*5</f>
        <v>0</v>
      </c>
      <c r="Q354" s="154">
        <f t="shared" si="11"/>
        <v>0</v>
      </c>
      <c r="R354" s="6">
        <f>'MATCH CALCS'!$AD355*1</f>
        <v>0</v>
      </c>
      <c r="S354" s="6">
        <f>'MATCH CALCS'!AC355*3</f>
        <v>0</v>
      </c>
      <c r="T354" s="6">
        <f>'MATCH CALCS'!AD355*3</f>
        <v>0</v>
      </c>
      <c r="U354" s="155">
        <f t="shared" si="12"/>
        <v>0</v>
      </c>
      <c r="V354" s="154">
        <f t="shared" si="13"/>
        <v>0</v>
      </c>
    </row>
    <row r="355" spans="1:22">
      <c r="A355" s="154">
        <f>'MATCH CALCS'!A356</f>
        <v>0</v>
      </c>
      <c r="B355" s="154">
        <f>'MATCH CALCS'!$C356</f>
        <v>0</v>
      </c>
      <c r="C355" s="154">
        <f t="shared" si="9"/>
        <v>0</v>
      </c>
      <c r="D355" s="6">
        <f>'MATCH CALCS'!$G356*2</f>
        <v>0</v>
      </c>
      <c r="E355" s="6">
        <f>'MATCH CALCS'!$G356*2</f>
        <v>0</v>
      </c>
      <c r="F355" s="6">
        <f>'MATCH CALCS'!$G356*2</f>
        <v>0</v>
      </c>
      <c r="G355" s="6">
        <f>'MATCH CALCS'!$G356*2</f>
        <v>0</v>
      </c>
      <c r="H355" s="6">
        <f>'MATCH CALCS'!$G356*2</f>
        <v>0</v>
      </c>
      <c r="I355" s="6">
        <f>'MATCH CALCS'!$G356*2</f>
        <v>0</v>
      </c>
      <c r="J355" s="154">
        <f t="shared" si="10"/>
        <v>0</v>
      </c>
      <c r="K355" s="6">
        <f>'MATCH CALCS'!L356*1</f>
        <v>0</v>
      </c>
      <c r="L355" s="6">
        <f>'MATCH CALCS'!$N356*2</f>
        <v>0</v>
      </c>
      <c r="M355" s="6">
        <f>'MATCH CALCS'!N356*1</f>
        <v>0</v>
      </c>
      <c r="N355" s="6">
        <f>'MATCH CALCS'!$N356*2</f>
        <v>0</v>
      </c>
      <c r="O355" s="6">
        <f>'MATCH CALCS'!$N356*2</f>
        <v>0</v>
      </c>
      <c r="P355" s="6">
        <f>'MATCH CALCS'!$P356*5</f>
        <v>0</v>
      </c>
      <c r="Q355" s="154">
        <f t="shared" si="11"/>
        <v>0</v>
      </c>
      <c r="R355" s="6">
        <f>'MATCH CALCS'!$AD356*1</f>
        <v>0</v>
      </c>
      <c r="S355" s="6">
        <f>'MATCH CALCS'!AC356*3</f>
        <v>0</v>
      </c>
      <c r="T355" s="6">
        <f>'MATCH CALCS'!AD356*3</f>
        <v>0</v>
      </c>
      <c r="U355" s="155">
        <f t="shared" si="12"/>
        <v>0</v>
      </c>
      <c r="V355" s="154">
        <f t="shared" si="13"/>
        <v>0</v>
      </c>
    </row>
    <row r="356" spans="1:22">
      <c r="A356" s="154">
        <f>'MATCH CALCS'!A357</f>
        <v>0</v>
      </c>
      <c r="B356" s="154">
        <f>'MATCH CALCS'!$C357</f>
        <v>0</v>
      </c>
      <c r="C356" s="154">
        <f t="shared" si="9"/>
        <v>0</v>
      </c>
      <c r="D356" s="6">
        <f>'MATCH CALCS'!$G357*2</f>
        <v>0</v>
      </c>
      <c r="E356" s="6">
        <f>'MATCH CALCS'!$G357*2</f>
        <v>0</v>
      </c>
      <c r="F356" s="6">
        <f>'MATCH CALCS'!$G357*2</f>
        <v>0</v>
      </c>
      <c r="G356" s="6">
        <f>'MATCH CALCS'!$G357*2</f>
        <v>0</v>
      </c>
      <c r="H356" s="6">
        <f>'MATCH CALCS'!$G357*2</f>
        <v>0</v>
      </c>
      <c r="I356" s="6">
        <f>'MATCH CALCS'!$G357*2</f>
        <v>0</v>
      </c>
      <c r="J356" s="154">
        <f t="shared" si="10"/>
        <v>0</v>
      </c>
      <c r="K356" s="6">
        <f>'MATCH CALCS'!L357*1</f>
        <v>0</v>
      </c>
      <c r="L356" s="6">
        <f>'MATCH CALCS'!$N357*2</f>
        <v>0</v>
      </c>
      <c r="M356" s="6">
        <f>'MATCH CALCS'!N357*1</f>
        <v>0</v>
      </c>
      <c r="N356" s="6">
        <f>'MATCH CALCS'!$N357*2</f>
        <v>0</v>
      </c>
      <c r="O356" s="6">
        <f>'MATCH CALCS'!$N357*2</f>
        <v>0</v>
      </c>
      <c r="P356" s="6">
        <f>'MATCH CALCS'!$P357*5</f>
        <v>0</v>
      </c>
      <c r="Q356" s="154">
        <f t="shared" si="11"/>
        <v>0</v>
      </c>
      <c r="R356" s="6">
        <f>'MATCH CALCS'!$AD357*1</f>
        <v>0</v>
      </c>
      <c r="S356" s="6">
        <f>'MATCH CALCS'!AC357*3</f>
        <v>0</v>
      </c>
      <c r="T356" s="6">
        <f>'MATCH CALCS'!AD357*3</f>
        <v>0</v>
      </c>
      <c r="U356" s="155">
        <f t="shared" si="12"/>
        <v>0</v>
      </c>
      <c r="V356" s="154">
        <f t="shared" si="13"/>
        <v>0</v>
      </c>
    </row>
    <row r="357" spans="1:22">
      <c r="A357" s="154">
        <f>'MATCH CALCS'!A358</f>
        <v>0</v>
      </c>
      <c r="B357" s="154">
        <f>'MATCH CALCS'!$C358</f>
        <v>0</v>
      </c>
      <c r="C357" s="154">
        <f t="shared" si="9"/>
        <v>0</v>
      </c>
      <c r="D357" s="6">
        <f>'MATCH CALCS'!$G358*2</f>
        <v>0</v>
      </c>
      <c r="E357" s="6">
        <f>'MATCH CALCS'!$G358*2</f>
        <v>0</v>
      </c>
      <c r="F357" s="6">
        <f>'MATCH CALCS'!$G358*2</f>
        <v>0</v>
      </c>
      <c r="G357" s="6">
        <f>'MATCH CALCS'!$G358*2</f>
        <v>0</v>
      </c>
      <c r="H357" s="6">
        <f>'MATCH CALCS'!$G358*2</f>
        <v>0</v>
      </c>
      <c r="I357" s="6">
        <f>'MATCH CALCS'!$G358*2</f>
        <v>0</v>
      </c>
      <c r="J357" s="154">
        <f t="shared" si="10"/>
        <v>0</v>
      </c>
      <c r="K357" s="6">
        <f>'MATCH CALCS'!L358*1</f>
        <v>0</v>
      </c>
      <c r="L357" s="6">
        <f>'MATCH CALCS'!$N358*2</f>
        <v>0</v>
      </c>
      <c r="M357" s="6">
        <f>'MATCH CALCS'!N358*1</f>
        <v>0</v>
      </c>
      <c r="N357" s="6">
        <f>'MATCH CALCS'!$N358*2</f>
        <v>0</v>
      </c>
      <c r="O357" s="6">
        <f>'MATCH CALCS'!$N358*2</f>
        <v>0</v>
      </c>
      <c r="P357" s="6">
        <f>'MATCH CALCS'!$P358*5</f>
        <v>0</v>
      </c>
      <c r="Q357" s="154">
        <f t="shared" si="11"/>
        <v>0</v>
      </c>
      <c r="R357" s="6">
        <f>'MATCH CALCS'!$AD358*1</f>
        <v>0</v>
      </c>
      <c r="S357" s="6">
        <f>'MATCH CALCS'!AC358*3</f>
        <v>0</v>
      </c>
      <c r="T357" s="6">
        <f>'MATCH CALCS'!AD358*3</f>
        <v>0</v>
      </c>
      <c r="U357" s="155">
        <f t="shared" si="12"/>
        <v>0</v>
      </c>
      <c r="V357" s="154">
        <f t="shared" si="13"/>
        <v>0</v>
      </c>
    </row>
    <row r="358" spans="1:22">
      <c r="A358" s="154">
        <f>'MATCH CALCS'!A359</f>
        <v>0</v>
      </c>
      <c r="B358" s="154">
        <f>'MATCH CALCS'!$C359</f>
        <v>0</v>
      </c>
      <c r="C358" s="154">
        <f t="shared" si="9"/>
        <v>0</v>
      </c>
      <c r="D358" s="6">
        <f>'MATCH CALCS'!$G359*2</f>
        <v>0</v>
      </c>
      <c r="E358" s="6">
        <f>'MATCH CALCS'!$G359*2</f>
        <v>0</v>
      </c>
      <c r="F358" s="6">
        <f>'MATCH CALCS'!$G359*2</f>
        <v>0</v>
      </c>
      <c r="G358" s="6">
        <f>'MATCH CALCS'!$G359*2</f>
        <v>0</v>
      </c>
      <c r="H358" s="6">
        <f>'MATCH CALCS'!$G359*2</f>
        <v>0</v>
      </c>
      <c r="I358" s="6">
        <f>'MATCH CALCS'!$G359*2</f>
        <v>0</v>
      </c>
      <c r="J358" s="154">
        <f t="shared" si="10"/>
        <v>0</v>
      </c>
      <c r="K358" s="6">
        <f>'MATCH CALCS'!L359*1</f>
        <v>0</v>
      </c>
      <c r="L358" s="6">
        <f>'MATCH CALCS'!$N359*2</f>
        <v>0</v>
      </c>
      <c r="M358" s="6">
        <f>'MATCH CALCS'!N359*1</f>
        <v>0</v>
      </c>
      <c r="N358" s="6">
        <f>'MATCH CALCS'!$N359*2</f>
        <v>0</v>
      </c>
      <c r="O358" s="6">
        <f>'MATCH CALCS'!$N359*2</f>
        <v>0</v>
      </c>
      <c r="P358" s="6">
        <f>'MATCH CALCS'!$P359*5</f>
        <v>0</v>
      </c>
      <c r="Q358" s="154">
        <f t="shared" si="11"/>
        <v>0</v>
      </c>
      <c r="R358" s="6">
        <f>'MATCH CALCS'!$AD359*1</f>
        <v>0</v>
      </c>
      <c r="S358" s="6">
        <f>'MATCH CALCS'!AC359*3</f>
        <v>0</v>
      </c>
      <c r="T358" s="6">
        <f>'MATCH CALCS'!AD359*3</f>
        <v>0</v>
      </c>
      <c r="U358" s="155">
        <f t="shared" si="12"/>
        <v>0</v>
      </c>
      <c r="V358" s="154">
        <f t="shared" si="13"/>
        <v>0</v>
      </c>
    </row>
    <row r="359" spans="1:22">
      <c r="A359" s="154">
        <f>'MATCH CALCS'!A360</f>
        <v>0</v>
      </c>
      <c r="B359" s="154">
        <f>'MATCH CALCS'!$C360</f>
        <v>0</v>
      </c>
      <c r="C359" s="154">
        <f t="shared" si="9"/>
        <v>0</v>
      </c>
      <c r="D359" s="6">
        <f>'MATCH CALCS'!$G360*2</f>
        <v>0</v>
      </c>
      <c r="E359" s="6">
        <f>'MATCH CALCS'!$G360*2</f>
        <v>0</v>
      </c>
      <c r="F359" s="6">
        <f>'MATCH CALCS'!$G360*2</f>
        <v>0</v>
      </c>
      <c r="G359" s="6">
        <f>'MATCH CALCS'!$G360*2</f>
        <v>0</v>
      </c>
      <c r="H359" s="6">
        <f>'MATCH CALCS'!$G360*2</f>
        <v>0</v>
      </c>
      <c r="I359" s="6">
        <f>'MATCH CALCS'!$G360*2</f>
        <v>0</v>
      </c>
      <c r="J359" s="154">
        <f t="shared" si="10"/>
        <v>0</v>
      </c>
      <c r="K359" s="6">
        <f>'MATCH CALCS'!L360*1</f>
        <v>0</v>
      </c>
      <c r="L359" s="6">
        <f>'MATCH CALCS'!$N360*2</f>
        <v>0</v>
      </c>
      <c r="M359" s="6">
        <f>'MATCH CALCS'!N360*1</f>
        <v>0</v>
      </c>
      <c r="N359" s="6">
        <f>'MATCH CALCS'!$N360*2</f>
        <v>0</v>
      </c>
      <c r="O359" s="6">
        <f>'MATCH CALCS'!$N360*2</f>
        <v>0</v>
      </c>
      <c r="P359" s="6">
        <f>'MATCH CALCS'!$P360*5</f>
        <v>0</v>
      </c>
      <c r="Q359" s="154">
        <f t="shared" si="11"/>
        <v>0</v>
      </c>
      <c r="R359" s="6">
        <f>'MATCH CALCS'!$AD360*1</f>
        <v>0</v>
      </c>
      <c r="S359" s="6">
        <f>'MATCH CALCS'!AC360*3</f>
        <v>0</v>
      </c>
      <c r="T359" s="6">
        <f>'MATCH CALCS'!AD360*3</f>
        <v>0</v>
      </c>
      <c r="U359" s="155">
        <f t="shared" si="12"/>
        <v>0</v>
      </c>
      <c r="V359" s="154">
        <f t="shared" si="13"/>
        <v>0</v>
      </c>
    </row>
    <row r="360" spans="1:22">
      <c r="A360" s="154">
        <f>'MATCH CALCS'!A361</f>
        <v>0</v>
      </c>
      <c r="B360" s="154">
        <f>'MATCH CALCS'!$C361</f>
        <v>0</v>
      </c>
      <c r="C360" s="154">
        <f t="shared" si="9"/>
        <v>0</v>
      </c>
      <c r="D360" s="6">
        <f>'MATCH CALCS'!$G361*2</f>
        <v>0</v>
      </c>
      <c r="E360" s="6">
        <f>'MATCH CALCS'!$G361*2</f>
        <v>0</v>
      </c>
      <c r="F360" s="6">
        <f>'MATCH CALCS'!$G361*2</f>
        <v>0</v>
      </c>
      <c r="G360" s="6">
        <f>'MATCH CALCS'!$G361*2</f>
        <v>0</v>
      </c>
      <c r="H360" s="6">
        <f>'MATCH CALCS'!$G361*2</f>
        <v>0</v>
      </c>
      <c r="I360" s="6">
        <f>'MATCH CALCS'!$G361*2</f>
        <v>0</v>
      </c>
      <c r="J360" s="154">
        <f t="shared" si="10"/>
        <v>0</v>
      </c>
      <c r="K360" s="6">
        <f>'MATCH CALCS'!L361*1</f>
        <v>0</v>
      </c>
      <c r="L360" s="6">
        <f>'MATCH CALCS'!$N361*2</f>
        <v>0</v>
      </c>
      <c r="M360" s="6">
        <f>'MATCH CALCS'!N361*1</f>
        <v>0</v>
      </c>
      <c r="N360" s="6">
        <f>'MATCH CALCS'!$N361*2</f>
        <v>0</v>
      </c>
      <c r="O360" s="6">
        <f>'MATCH CALCS'!$N361*2</f>
        <v>0</v>
      </c>
      <c r="P360" s="6">
        <f>'MATCH CALCS'!$P361*5</f>
        <v>0</v>
      </c>
      <c r="Q360" s="154">
        <f t="shared" si="11"/>
        <v>0</v>
      </c>
      <c r="R360" s="6">
        <f>'MATCH CALCS'!$AD361*1</f>
        <v>0</v>
      </c>
      <c r="S360" s="6">
        <f>'MATCH CALCS'!AC361*3</f>
        <v>0</v>
      </c>
      <c r="T360" s="6">
        <f>'MATCH CALCS'!AD361*3</f>
        <v>0</v>
      </c>
      <c r="U360" s="155">
        <f t="shared" si="12"/>
        <v>0</v>
      </c>
      <c r="V360" s="154">
        <f t="shared" si="13"/>
        <v>0</v>
      </c>
    </row>
    <row r="361" spans="1:22">
      <c r="A361" s="154">
        <f>'MATCH CALCS'!A362</f>
        <v>0</v>
      </c>
      <c r="B361" s="154">
        <f>'MATCH CALCS'!$C362</f>
        <v>0</v>
      </c>
      <c r="C361" s="154">
        <f t="shared" si="9"/>
        <v>0</v>
      </c>
      <c r="D361" s="6">
        <f>'MATCH CALCS'!$G362*2</f>
        <v>0</v>
      </c>
      <c r="E361" s="6">
        <f>'MATCH CALCS'!$G362*2</f>
        <v>0</v>
      </c>
      <c r="F361" s="6">
        <f>'MATCH CALCS'!$G362*2</f>
        <v>0</v>
      </c>
      <c r="G361" s="6">
        <f>'MATCH CALCS'!$G362*2</f>
        <v>0</v>
      </c>
      <c r="H361" s="6">
        <f>'MATCH CALCS'!$G362*2</f>
        <v>0</v>
      </c>
      <c r="I361" s="6">
        <f>'MATCH CALCS'!$G362*2</f>
        <v>0</v>
      </c>
      <c r="J361" s="154">
        <f t="shared" si="10"/>
        <v>0</v>
      </c>
      <c r="K361" s="6">
        <f>'MATCH CALCS'!L362*1</f>
        <v>0</v>
      </c>
      <c r="L361" s="6">
        <f>'MATCH CALCS'!$N362*2</f>
        <v>0</v>
      </c>
      <c r="M361" s="6">
        <f>'MATCH CALCS'!N362*1</f>
        <v>0</v>
      </c>
      <c r="N361" s="6">
        <f>'MATCH CALCS'!$N362*2</f>
        <v>0</v>
      </c>
      <c r="O361" s="6">
        <f>'MATCH CALCS'!$N362*2</f>
        <v>0</v>
      </c>
      <c r="P361" s="6">
        <f>'MATCH CALCS'!$P362*5</f>
        <v>0</v>
      </c>
      <c r="Q361" s="154">
        <f t="shared" si="11"/>
        <v>0</v>
      </c>
      <c r="R361" s="6">
        <f>'MATCH CALCS'!$AD362*1</f>
        <v>0</v>
      </c>
      <c r="S361" s="6">
        <f>'MATCH CALCS'!AC362*3</f>
        <v>0</v>
      </c>
      <c r="T361" s="6">
        <f>'MATCH CALCS'!AD362*3</f>
        <v>0</v>
      </c>
      <c r="U361" s="155">
        <f t="shared" si="12"/>
        <v>0</v>
      </c>
      <c r="V361" s="154">
        <f t="shared" si="13"/>
        <v>0</v>
      </c>
    </row>
    <row r="362" spans="1:22">
      <c r="A362" s="154">
        <f>'MATCH CALCS'!A363</f>
        <v>0</v>
      </c>
      <c r="B362" s="154">
        <f>'MATCH CALCS'!$C363</f>
        <v>0</v>
      </c>
      <c r="C362" s="154">
        <f t="shared" si="9"/>
        <v>0</v>
      </c>
      <c r="D362" s="6">
        <f>'MATCH CALCS'!$G363*2</f>
        <v>0</v>
      </c>
      <c r="E362" s="6">
        <f>'MATCH CALCS'!$G363*2</f>
        <v>0</v>
      </c>
      <c r="F362" s="6">
        <f>'MATCH CALCS'!$G363*2</f>
        <v>0</v>
      </c>
      <c r="G362" s="6">
        <f>'MATCH CALCS'!$G363*2</f>
        <v>0</v>
      </c>
      <c r="H362" s="6">
        <f>'MATCH CALCS'!$G363*2</f>
        <v>0</v>
      </c>
      <c r="I362" s="6">
        <f>'MATCH CALCS'!$G363*2</f>
        <v>0</v>
      </c>
      <c r="J362" s="154">
        <f t="shared" si="10"/>
        <v>0</v>
      </c>
      <c r="K362" s="6">
        <f>'MATCH CALCS'!L363*1</f>
        <v>0</v>
      </c>
      <c r="L362" s="6">
        <f>'MATCH CALCS'!$N363*2</f>
        <v>0</v>
      </c>
      <c r="M362" s="6">
        <f>'MATCH CALCS'!N363*1</f>
        <v>0</v>
      </c>
      <c r="N362" s="6">
        <f>'MATCH CALCS'!$N363*2</f>
        <v>0</v>
      </c>
      <c r="O362" s="6">
        <f>'MATCH CALCS'!$N363*2</f>
        <v>0</v>
      </c>
      <c r="P362" s="6">
        <f>'MATCH CALCS'!$P363*5</f>
        <v>0</v>
      </c>
      <c r="Q362" s="154">
        <f t="shared" si="11"/>
        <v>0</v>
      </c>
      <c r="R362" s="6">
        <f>'MATCH CALCS'!$AD363*1</f>
        <v>0</v>
      </c>
      <c r="S362" s="6">
        <f>'MATCH CALCS'!AC363*3</f>
        <v>0</v>
      </c>
      <c r="T362" s="6">
        <f>'MATCH CALCS'!AD363*3</f>
        <v>0</v>
      </c>
      <c r="U362" s="155">
        <f t="shared" si="12"/>
        <v>0</v>
      </c>
      <c r="V362" s="154">
        <f t="shared" si="13"/>
        <v>0</v>
      </c>
    </row>
    <row r="363" spans="1:22">
      <c r="A363" s="154">
        <f>'MATCH CALCS'!A364</f>
        <v>0</v>
      </c>
      <c r="B363" s="154">
        <f>'MATCH CALCS'!$C364</f>
        <v>0</v>
      </c>
      <c r="C363" s="154">
        <f t="shared" si="9"/>
        <v>0</v>
      </c>
      <c r="D363" s="6">
        <f>'MATCH CALCS'!$G364*2</f>
        <v>0</v>
      </c>
      <c r="E363" s="6">
        <f>'MATCH CALCS'!$G364*2</f>
        <v>0</v>
      </c>
      <c r="F363" s="6">
        <f>'MATCH CALCS'!$G364*2</f>
        <v>0</v>
      </c>
      <c r="G363" s="6">
        <f>'MATCH CALCS'!$G364*2</f>
        <v>0</v>
      </c>
      <c r="H363" s="6">
        <f>'MATCH CALCS'!$G364*2</f>
        <v>0</v>
      </c>
      <c r="I363" s="6">
        <f>'MATCH CALCS'!$G364*2</f>
        <v>0</v>
      </c>
      <c r="J363" s="154">
        <f t="shared" si="10"/>
        <v>0</v>
      </c>
      <c r="K363" s="6">
        <f>'MATCH CALCS'!L364*1</f>
        <v>0</v>
      </c>
      <c r="L363" s="6">
        <f>'MATCH CALCS'!$N364*2</f>
        <v>0</v>
      </c>
      <c r="M363" s="6">
        <f>'MATCH CALCS'!N364*1</f>
        <v>0</v>
      </c>
      <c r="N363" s="6">
        <f>'MATCH CALCS'!$N364*2</f>
        <v>0</v>
      </c>
      <c r="O363" s="6">
        <f>'MATCH CALCS'!$N364*2</f>
        <v>0</v>
      </c>
      <c r="P363" s="6">
        <f>'MATCH CALCS'!$P364*5</f>
        <v>0</v>
      </c>
      <c r="Q363" s="154">
        <f t="shared" si="11"/>
        <v>0</v>
      </c>
      <c r="R363" s="6">
        <f>'MATCH CALCS'!$AD364*1</f>
        <v>0</v>
      </c>
      <c r="S363" s="6">
        <f>'MATCH CALCS'!AC364*3</f>
        <v>0</v>
      </c>
      <c r="T363" s="6">
        <f>'MATCH CALCS'!AD364*3</f>
        <v>0</v>
      </c>
      <c r="U363" s="155">
        <f t="shared" si="12"/>
        <v>0</v>
      </c>
      <c r="V363" s="154">
        <f t="shared" si="13"/>
        <v>0</v>
      </c>
    </row>
    <row r="364" spans="1:22">
      <c r="A364" s="154">
        <f>'MATCH CALCS'!A365</f>
        <v>0</v>
      </c>
      <c r="B364" s="154">
        <f>'MATCH CALCS'!$C365</f>
        <v>0</v>
      </c>
      <c r="C364" s="154">
        <f t="shared" si="9"/>
        <v>0</v>
      </c>
      <c r="D364" s="6">
        <f>'MATCH CALCS'!$G365*2</f>
        <v>0</v>
      </c>
      <c r="E364" s="6">
        <f>'MATCH CALCS'!$G365*2</f>
        <v>0</v>
      </c>
      <c r="F364" s="6">
        <f>'MATCH CALCS'!$G365*2</f>
        <v>0</v>
      </c>
      <c r="G364" s="6">
        <f>'MATCH CALCS'!$G365*2</f>
        <v>0</v>
      </c>
      <c r="H364" s="6">
        <f>'MATCH CALCS'!$G365*2</f>
        <v>0</v>
      </c>
      <c r="I364" s="6">
        <f>'MATCH CALCS'!$G365*2</f>
        <v>0</v>
      </c>
      <c r="J364" s="154">
        <f t="shared" si="10"/>
        <v>0</v>
      </c>
      <c r="K364" s="6">
        <f>'MATCH CALCS'!L365*1</f>
        <v>0</v>
      </c>
      <c r="L364" s="6">
        <f>'MATCH CALCS'!$N365*2</f>
        <v>0</v>
      </c>
      <c r="M364" s="6">
        <f>'MATCH CALCS'!N365*1</f>
        <v>0</v>
      </c>
      <c r="N364" s="6">
        <f>'MATCH CALCS'!$N365*2</f>
        <v>0</v>
      </c>
      <c r="O364" s="6">
        <f>'MATCH CALCS'!$N365*2</f>
        <v>0</v>
      </c>
      <c r="P364" s="6">
        <f>'MATCH CALCS'!$P365*5</f>
        <v>0</v>
      </c>
      <c r="Q364" s="154">
        <f t="shared" si="11"/>
        <v>0</v>
      </c>
      <c r="R364" s="6">
        <f>'MATCH CALCS'!$AD365*1</f>
        <v>0</v>
      </c>
      <c r="S364" s="6">
        <f>'MATCH CALCS'!AC365*3</f>
        <v>0</v>
      </c>
      <c r="T364" s="6">
        <f>'MATCH CALCS'!AD365*3</f>
        <v>0</v>
      </c>
      <c r="U364" s="155">
        <f t="shared" si="12"/>
        <v>0</v>
      </c>
      <c r="V364" s="154">
        <f t="shared" si="13"/>
        <v>0</v>
      </c>
    </row>
    <row r="365" spans="1:22">
      <c r="A365" s="154">
        <f>'MATCH CALCS'!A366</f>
        <v>0</v>
      </c>
      <c r="B365" s="154">
        <f>'MATCH CALCS'!$C366</f>
        <v>0</v>
      </c>
      <c r="C365" s="154">
        <f t="shared" si="9"/>
        <v>0</v>
      </c>
      <c r="D365" s="6">
        <f>'MATCH CALCS'!$G366*2</f>
        <v>0</v>
      </c>
      <c r="E365" s="6">
        <f>'MATCH CALCS'!$G366*2</f>
        <v>0</v>
      </c>
      <c r="F365" s="6">
        <f>'MATCH CALCS'!$G366*2</f>
        <v>0</v>
      </c>
      <c r="G365" s="6">
        <f>'MATCH CALCS'!$G366*2</f>
        <v>0</v>
      </c>
      <c r="H365" s="6">
        <f>'MATCH CALCS'!$G366*2</f>
        <v>0</v>
      </c>
      <c r="I365" s="6">
        <f>'MATCH CALCS'!$G366*2</f>
        <v>0</v>
      </c>
      <c r="J365" s="154">
        <f t="shared" si="10"/>
        <v>0</v>
      </c>
      <c r="K365" s="6">
        <f>'MATCH CALCS'!L366*1</f>
        <v>0</v>
      </c>
      <c r="L365" s="6">
        <f>'MATCH CALCS'!$N366*2</f>
        <v>0</v>
      </c>
      <c r="M365" s="6">
        <f>'MATCH CALCS'!N366*1</f>
        <v>0</v>
      </c>
      <c r="N365" s="6">
        <f>'MATCH CALCS'!$N366*2</f>
        <v>0</v>
      </c>
      <c r="O365" s="6">
        <f>'MATCH CALCS'!$N366*2</f>
        <v>0</v>
      </c>
      <c r="P365" s="6">
        <f>'MATCH CALCS'!$P366*5</f>
        <v>0</v>
      </c>
      <c r="Q365" s="154">
        <f t="shared" si="11"/>
        <v>0</v>
      </c>
      <c r="R365" s="6">
        <f>'MATCH CALCS'!$AD366*1</f>
        <v>0</v>
      </c>
      <c r="S365" s="6">
        <f>'MATCH CALCS'!AC366*3</f>
        <v>0</v>
      </c>
      <c r="T365" s="6">
        <f>'MATCH CALCS'!AD366*3</f>
        <v>0</v>
      </c>
      <c r="U365" s="155">
        <f t="shared" si="12"/>
        <v>0</v>
      </c>
      <c r="V365" s="154">
        <f t="shared" si="13"/>
        <v>0</v>
      </c>
    </row>
    <row r="366" spans="1:22">
      <c r="A366" s="154">
        <f>'MATCH CALCS'!A367</f>
        <v>0</v>
      </c>
      <c r="B366" s="154">
        <f>'MATCH CALCS'!$C367</f>
        <v>0</v>
      </c>
      <c r="C366" s="154">
        <f t="shared" si="9"/>
        <v>0</v>
      </c>
      <c r="D366" s="6">
        <f>'MATCH CALCS'!$G367*2</f>
        <v>0</v>
      </c>
      <c r="E366" s="6">
        <f>'MATCH CALCS'!$G367*2</f>
        <v>0</v>
      </c>
      <c r="F366" s="6">
        <f>'MATCH CALCS'!$G367*2</f>
        <v>0</v>
      </c>
      <c r="G366" s="6">
        <f>'MATCH CALCS'!$G367*2</f>
        <v>0</v>
      </c>
      <c r="H366" s="6">
        <f>'MATCH CALCS'!$G367*2</f>
        <v>0</v>
      </c>
      <c r="I366" s="6">
        <f>'MATCH CALCS'!$G367*2</f>
        <v>0</v>
      </c>
      <c r="J366" s="154">
        <f t="shared" si="10"/>
        <v>0</v>
      </c>
      <c r="K366" s="6">
        <f>'MATCH CALCS'!L367*1</f>
        <v>0</v>
      </c>
      <c r="L366" s="6">
        <f>'MATCH CALCS'!$N367*2</f>
        <v>0</v>
      </c>
      <c r="M366" s="6">
        <f>'MATCH CALCS'!N367*1</f>
        <v>0</v>
      </c>
      <c r="N366" s="6">
        <f>'MATCH CALCS'!$N367*2</f>
        <v>0</v>
      </c>
      <c r="O366" s="6">
        <f>'MATCH CALCS'!$N367*2</f>
        <v>0</v>
      </c>
      <c r="P366" s="6">
        <f>'MATCH CALCS'!$P367*5</f>
        <v>0</v>
      </c>
      <c r="Q366" s="154">
        <f t="shared" si="11"/>
        <v>0</v>
      </c>
      <c r="R366" s="6">
        <f>'MATCH CALCS'!$AD367*1</f>
        <v>0</v>
      </c>
      <c r="S366" s="6">
        <f>'MATCH CALCS'!AC367*3</f>
        <v>0</v>
      </c>
      <c r="T366" s="6">
        <f>'MATCH CALCS'!AD367*3</f>
        <v>0</v>
      </c>
      <c r="U366" s="155">
        <f t="shared" si="12"/>
        <v>0</v>
      </c>
      <c r="V366" s="154">
        <f t="shared" si="13"/>
        <v>0</v>
      </c>
    </row>
    <row r="367" spans="1:22">
      <c r="A367" s="154">
        <f>'MATCH CALCS'!A368</f>
        <v>0</v>
      </c>
      <c r="B367" s="154">
        <f>'MATCH CALCS'!$C368</f>
        <v>0</v>
      </c>
      <c r="C367" s="154">
        <f t="shared" si="9"/>
        <v>0</v>
      </c>
      <c r="D367" s="6">
        <f>'MATCH CALCS'!$G368*2</f>
        <v>0</v>
      </c>
      <c r="E367" s="6">
        <f>'MATCH CALCS'!$G368*2</f>
        <v>0</v>
      </c>
      <c r="F367" s="6">
        <f>'MATCH CALCS'!$G368*2</f>
        <v>0</v>
      </c>
      <c r="G367" s="6">
        <f>'MATCH CALCS'!$G368*2</f>
        <v>0</v>
      </c>
      <c r="H367" s="6">
        <f>'MATCH CALCS'!$G368*2</f>
        <v>0</v>
      </c>
      <c r="I367" s="6">
        <f>'MATCH CALCS'!$G368*2</f>
        <v>0</v>
      </c>
      <c r="J367" s="154">
        <f t="shared" si="10"/>
        <v>0</v>
      </c>
      <c r="K367" s="6">
        <f>'MATCH CALCS'!L368*1</f>
        <v>0</v>
      </c>
      <c r="L367" s="6">
        <f>'MATCH CALCS'!$N368*2</f>
        <v>0</v>
      </c>
      <c r="M367" s="6">
        <f>'MATCH CALCS'!N368*1</f>
        <v>0</v>
      </c>
      <c r="N367" s="6">
        <f>'MATCH CALCS'!$N368*2</f>
        <v>0</v>
      </c>
      <c r="O367" s="6">
        <f>'MATCH CALCS'!$N368*2</f>
        <v>0</v>
      </c>
      <c r="P367" s="6">
        <f>'MATCH CALCS'!$P368*5</f>
        <v>0</v>
      </c>
      <c r="Q367" s="154">
        <f t="shared" si="11"/>
        <v>0</v>
      </c>
      <c r="R367" s="6">
        <f>'MATCH CALCS'!$AD368*1</f>
        <v>0</v>
      </c>
      <c r="S367" s="6">
        <f>'MATCH CALCS'!AC368*3</f>
        <v>0</v>
      </c>
      <c r="T367" s="6">
        <f>'MATCH CALCS'!AD368*3</f>
        <v>0</v>
      </c>
      <c r="U367" s="155">
        <f t="shared" si="12"/>
        <v>0</v>
      </c>
      <c r="V367" s="154">
        <f t="shared" si="13"/>
        <v>0</v>
      </c>
    </row>
    <row r="368" spans="1:22">
      <c r="A368" s="154">
        <f>'MATCH CALCS'!A369</f>
        <v>0</v>
      </c>
      <c r="B368" s="154">
        <f>'MATCH CALCS'!$C369</f>
        <v>0</v>
      </c>
      <c r="C368" s="154">
        <f t="shared" si="9"/>
        <v>0</v>
      </c>
      <c r="D368" s="6">
        <f>'MATCH CALCS'!$G369*2</f>
        <v>0</v>
      </c>
      <c r="E368" s="6">
        <f>'MATCH CALCS'!$G369*2</f>
        <v>0</v>
      </c>
      <c r="F368" s="6">
        <f>'MATCH CALCS'!$G369*2</f>
        <v>0</v>
      </c>
      <c r="G368" s="6">
        <f>'MATCH CALCS'!$G369*2</f>
        <v>0</v>
      </c>
      <c r="H368" s="6">
        <f>'MATCH CALCS'!$G369*2</f>
        <v>0</v>
      </c>
      <c r="I368" s="6">
        <f>'MATCH CALCS'!$G369*2</f>
        <v>0</v>
      </c>
      <c r="J368" s="154">
        <f t="shared" si="10"/>
        <v>0</v>
      </c>
      <c r="K368" s="6">
        <f>'MATCH CALCS'!L369*1</f>
        <v>0</v>
      </c>
      <c r="L368" s="6">
        <f>'MATCH CALCS'!$N369*2</f>
        <v>0</v>
      </c>
      <c r="M368" s="6">
        <f>'MATCH CALCS'!N369*1</f>
        <v>0</v>
      </c>
      <c r="N368" s="6">
        <f>'MATCH CALCS'!$N369*2</f>
        <v>0</v>
      </c>
      <c r="O368" s="6">
        <f>'MATCH CALCS'!$N369*2</f>
        <v>0</v>
      </c>
      <c r="P368" s="6">
        <f>'MATCH CALCS'!$P369*5</f>
        <v>0</v>
      </c>
      <c r="Q368" s="154">
        <f t="shared" si="11"/>
        <v>0</v>
      </c>
      <c r="R368" s="6">
        <f>'MATCH CALCS'!$AD369*1</f>
        <v>0</v>
      </c>
      <c r="S368" s="6">
        <f>'MATCH CALCS'!AC369*3</f>
        <v>0</v>
      </c>
      <c r="T368" s="6">
        <f>'MATCH CALCS'!AD369*3</f>
        <v>0</v>
      </c>
      <c r="U368" s="155">
        <f t="shared" si="12"/>
        <v>0</v>
      </c>
      <c r="V368" s="154">
        <f t="shared" si="13"/>
        <v>0</v>
      </c>
    </row>
    <row r="369" spans="1:22">
      <c r="A369" s="154">
        <f>'MATCH CALCS'!A370</f>
        <v>0</v>
      </c>
      <c r="B369" s="154">
        <f>'MATCH CALCS'!$C370</f>
        <v>0</v>
      </c>
      <c r="C369" s="154">
        <f t="shared" si="9"/>
        <v>0</v>
      </c>
      <c r="D369" s="6">
        <f>'MATCH CALCS'!$G370*2</f>
        <v>0</v>
      </c>
      <c r="E369" s="6">
        <f>'MATCH CALCS'!$G370*2</f>
        <v>0</v>
      </c>
      <c r="F369" s="6">
        <f>'MATCH CALCS'!$G370*2</f>
        <v>0</v>
      </c>
      <c r="G369" s="6">
        <f>'MATCH CALCS'!$G370*2</f>
        <v>0</v>
      </c>
      <c r="H369" s="6">
        <f>'MATCH CALCS'!$G370*2</f>
        <v>0</v>
      </c>
      <c r="I369" s="6">
        <f>'MATCH CALCS'!$G370*2</f>
        <v>0</v>
      </c>
      <c r="J369" s="154">
        <f t="shared" si="10"/>
        <v>0</v>
      </c>
      <c r="K369" s="6">
        <f>'MATCH CALCS'!L370*1</f>
        <v>0</v>
      </c>
      <c r="L369" s="6">
        <f>'MATCH CALCS'!$N370*2</f>
        <v>0</v>
      </c>
      <c r="M369" s="6">
        <f>'MATCH CALCS'!N370*1</f>
        <v>0</v>
      </c>
      <c r="N369" s="6">
        <f>'MATCH CALCS'!$N370*2</f>
        <v>0</v>
      </c>
      <c r="O369" s="6">
        <f>'MATCH CALCS'!$N370*2</f>
        <v>0</v>
      </c>
      <c r="P369" s="6">
        <f>'MATCH CALCS'!$P370*5</f>
        <v>0</v>
      </c>
      <c r="Q369" s="154">
        <f t="shared" si="11"/>
        <v>0</v>
      </c>
      <c r="R369" s="6">
        <f>'MATCH CALCS'!$AD370*1</f>
        <v>0</v>
      </c>
      <c r="S369" s="6">
        <f>'MATCH CALCS'!AC370*3</f>
        <v>0</v>
      </c>
      <c r="T369" s="6">
        <f>'MATCH CALCS'!AD370*3</f>
        <v>0</v>
      </c>
      <c r="U369" s="155">
        <f t="shared" si="12"/>
        <v>0</v>
      </c>
      <c r="V369" s="154">
        <f t="shared" si="13"/>
        <v>0</v>
      </c>
    </row>
    <row r="370" spans="1:22">
      <c r="A370" s="154">
        <f>'MATCH CALCS'!A371</f>
        <v>0</v>
      </c>
      <c r="B370" s="154">
        <f>'MATCH CALCS'!$C371</f>
        <v>0</v>
      </c>
      <c r="C370" s="154">
        <f t="shared" si="9"/>
        <v>0</v>
      </c>
      <c r="D370" s="6">
        <f>'MATCH CALCS'!$G371*2</f>
        <v>0</v>
      </c>
      <c r="E370" s="6">
        <f>'MATCH CALCS'!$G371*2</f>
        <v>0</v>
      </c>
      <c r="F370" s="6">
        <f>'MATCH CALCS'!$G371*2</f>
        <v>0</v>
      </c>
      <c r="G370" s="6">
        <f>'MATCH CALCS'!$G371*2</f>
        <v>0</v>
      </c>
      <c r="H370" s="6">
        <f>'MATCH CALCS'!$G371*2</f>
        <v>0</v>
      </c>
      <c r="I370" s="6">
        <f>'MATCH CALCS'!$G371*2</f>
        <v>0</v>
      </c>
      <c r="J370" s="154">
        <f t="shared" si="10"/>
        <v>0</v>
      </c>
      <c r="K370" s="6">
        <f>'MATCH CALCS'!L371*1</f>
        <v>0</v>
      </c>
      <c r="L370" s="6">
        <f>'MATCH CALCS'!$N371*2</f>
        <v>0</v>
      </c>
      <c r="M370" s="6">
        <f>'MATCH CALCS'!N371*1</f>
        <v>0</v>
      </c>
      <c r="N370" s="6">
        <f>'MATCH CALCS'!$N371*2</f>
        <v>0</v>
      </c>
      <c r="O370" s="6">
        <f>'MATCH CALCS'!$N371*2</f>
        <v>0</v>
      </c>
      <c r="P370" s="6">
        <f>'MATCH CALCS'!$P371*5</f>
        <v>0</v>
      </c>
      <c r="Q370" s="154">
        <f t="shared" si="11"/>
        <v>0</v>
      </c>
      <c r="R370" s="6">
        <f>'MATCH CALCS'!$AD371*1</f>
        <v>0</v>
      </c>
      <c r="S370" s="6">
        <f>'MATCH CALCS'!AC371*3</f>
        <v>0</v>
      </c>
      <c r="T370" s="6">
        <f>'MATCH CALCS'!AD371*3</f>
        <v>0</v>
      </c>
      <c r="U370" s="155">
        <f t="shared" si="12"/>
        <v>0</v>
      </c>
      <c r="V370" s="154">
        <f t="shared" si="13"/>
        <v>0</v>
      </c>
    </row>
    <row r="371" spans="1:22">
      <c r="A371" s="154">
        <f>'MATCH CALCS'!A372</f>
        <v>0</v>
      </c>
      <c r="B371" s="154">
        <f>'MATCH CALCS'!$C372</f>
        <v>0</v>
      </c>
      <c r="C371" s="154">
        <f t="shared" si="9"/>
        <v>0</v>
      </c>
      <c r="D371" s="6">
        <f>'MATCH CALCS'!$G372*2</f>
        <v>0</v>
      </c>
      <c r="E371" s="6">
        <f>'MATCH CALCS'!$G372*2</f>
        <v>0</v>
      </c>
      <c r="F371" s="6">
        <f>'MATCH CALCS'!$G372*2</f>
        <v>0</v>
      </c>
      <c r="G371" s="6">
        <f>'MATCH CALCS'!$G372*2</f>
        <v>0</v>
      </c>
      <c r="H371" s="6">
        <f>'MATCH CALCS'!$G372*2</f>
        <v>0</v>
      </c>
      <c r="I371" s="6">
        <f>'MATCH CALCS'!$G372*2</f>
        <v>0</v>
      </c>
      <c r="J371" s="154">
        <f t="shared" si="10"/>
        <v>0</v>
      </c>
      <c r="K371" s="6">
        <f>'MATCH CALCS'!L372*1</f>
        <v>0</v>
      </c>
      <c r="L371" s="6">
        <f>'MATCH CALCS'!$N372*2</f>
        <v>0</v>
      </c>
      <c r="M371" s="6">
        <f>'MATCH CALCS'!N372*1</f>
        <v>0</v>
      </c>
      <c r="N371" s="6">
        <f>'MATCH CALCS'!$N372*2</f>
        <v>0</v>
      </c>
      <c r="O371" s="6">
        <f>'MATCH CALCS'!$N372*2</f>
        <v>0</v>
      </c>
      <c r="P371" s="6">
        <f>'MATCH CALCS'!$P372*5</f>
        <v>0</v>
      </c>
      <c r="Q371" s="154">
        <f t="shared" si="11"/>
        <v>0</v>
      </c>
      <c r="R371" s="6">
        <f>'MATCH CALCS'!$AD372*1</f>
        <v>0</v>
      </c>
      <c r="S371" s="6">
        <f>'MATCH CALCS'!AC372*3</f>
        <v>0</v>
      </c>
      <c r="T371" s="6">
        <f>'MATCH CALCS'!AD372*3</f>
        <v>0</v>
      </c>
      <c r="U371" s="155">
        <f t="shared" si="12"/>
        <v>0</v>
      </c>
      <c r="V371" s="154">
        <f t="shared" si="13"/>
        <v>0</v>
      </c>
    </row>
    <row r="372" spans="1:22">
      <c r="A372" s="154">
        <f>'MATCH CALCS'!A373</f>
        <v>0</v>
      </c>
      <c r="B372" s="154">
        <f>'MATCH CALCS'!$C373</f>
        <v>0</v>
      </c>
      <c r="C372" s="154">
        <f t="shared" si="9"/>
        <v>0</v>
      </c>
      <c r="D372" s="6">
        <f>'MATCH CALCS'!$G373*2</f>
        <v>0</v>
      </c>
      <c r="E372" s="6">
        <f>'MATCH CALCS'!$G373*2</f>
        <v>0</v>
      </c>
      <c r="F372" s="6">
        <f>'MATCH CALCS'!$G373*2</f>
        <v>0</v>
      </c>
      <c r="G372" s="6">
        <f>'MATCH CALCS'!$G373*2</f>
        <v>0</v>
      </c>
      <c r="H372" s="6">
        <f>'MATCH CALCS'!$G373*2</f>
        <v>0</v>
      </c>
      <c r="I372" s="6">
        <f>'MATCH CALCS'!$G373*2</f>
        <v>0</v>
      </c>
      <c r="J372" s="154">
        <f t="shared" si="10"/>
        <v>0</v>
      </c>
      <c r="K372" s="6">
        <f>'MATCH CALCS'!L373*1</f>
        <v>0</v>
      </c>
      <c r="L372" s="6">
        <f>'MATCH CALCS'!$N373*2</f>
        <v>0</v>
      </c>
      <c r="M372" s="6">
        <f>'MATCH CALCS'!N373*1</f>
        <v>0</v>
      </c>
      <c r="N372" s="6">
        <f>'MATCH CALCS'!$N373*2</f>
        <v>0</v>
      </c>
      <c r="O372" s="6">
        <f>'MATCH CALCS'!$N373*2</f>
        <v>0</v>
      </c>
      <c r="P372" s="6">
        <f>'MATCH CALCS'!$P373*5</f>
        <v>0</v>
      </c>
      <c r="Q372" s="154">
        <f t="shared" si="11"/>
        <v>0</v>
      </c>
      <c r="R372" s="6">
        <f>'MATCH CALCS'!$AD373*1</f>
        <v>0</v>
      </c>
      <c r="S372" s="6">
        <f>'MATCH CALCS'!AC373*3</f>
        <v>0</v>
      </c>
      <c r="T372" s="6">
        <f>'MATCH CALCS'!AD373*3</f>
        <v>0</v>
      </c>
      <c r="U372" s="155">
        <f t="shared" si="12"/>
        <v>0</v>
      </c>
      <c r="V372" s="154">
        <f t="shared" si="13"/>
        <v>0</v>
      </c>
    </row>
    <row r="373" spans="1:22">
      <c r="A373" s="154">
        <f>'MATCH CALCS'!A374</f>
        <v>0</v>
      </c>
      <c r="B373" s="154">
        <f>'MATCH CALCS'!$C374</f>
        <v>0</v>
      </c>
      <c r="C373" s="154">
        <f t="shared" si="9"/>
        <v>0</v>
      </c>
      <c r="D373" s="6">
        <f>'MATCH CALCS'!$G374*2</f>
        <v>0</v>
      </c>
      <c r="E373" s="6">
        <f>'MATCH CALCS'!$G374*2</f>
        <v>0</v>
      </c>
      <c r="F373" s="6">
        <f>'MATCH CALCS'!$G374*2</f>
        <v>0</v>
      </c>
      <c r="G373" s="6">
        <f>'MATCH CALCS'!$G374*2</f>
        <v>0</v>
      </c>
      <c r="H373" s="6">
        <f>'MATCH CALCS'!$G374*2</f>
        <v>0</v>
      </c>
      <c r="I373" s="6">
        <f>'MATCH CALCS'!$G374*2</f>
        <v>0</v>
      </c>
      <c r="J373" s="154">
        <f t="shared" si="10"/>
        <v>0</v>
      </c>
      <c r="K373" s="6">
        <f>'MATCH CALCS'!L374*1</f>
        <v>0</v>
      </c>
      <c r="L373" s="6">
        <f>'MATCH CALCS'!$N374*2</f>
        <v>0</v>
      </c>
      <c r="M373" s="6">
        <f>'MATCH CALCS'!N374*1</f>
        <v>0</v>
      </c>
      <c r="N373" s="6">
        <f>'MATCH CALCS'!$N374*2</f>
        <v>0</v>
      </c>
      <c r="O373" s="6">
        <f>'MATCH CALCS'!$N374*2</f>
        <v>0</v>
      </c>
      <c r="P373" s="6">
        <f>'MATCH CALCS'!$P374*5</f>
        <v>0</v>
      </c>
      <c r="Q373" s="154">
        <f t="shared" si="11"/>
        <v>0</v>
      </c>
      <c r="R373" s="6">
        <f>'MATCH CALCS'!$AD374*1</f>
        <v>0</v>
      </c>
      <c r="S373" s="6">
        <f>'MATCH CALCS'!AC374*3</f>
        <v>0</v>
      </c>
      <c r="T373" s="6">
        <f>'MATCH CALCS'!AD374*3</f>
        <v>0</v>
      </c>
      <c r="U373" s="155">
        <f t="shared" si="12"/>
        <v>0</v>
      </c>
      <c r="V373" s="154">
        <f t="shared" si="13"/>
        <v>0</v>
      </c>
    </row>
    <row r="374" spans="1:22">
      <c r="A374" s="154">
        <f>'MATCH CALCS'!A375</f>
        <v>0</v>
      </c>
      <c r="B374" s="154">
        <f>'MATCH CALCS'!$C375</f>
        <v>0</v>
      </c>
      <c r="C374" s="154">
        <f t="shared" si="9"/>
        <v>0</v>
      </c>
      <c r="D374" s="6">
        <f>'MATCH CALCS'!$G375*2</f>
        <v>0</v>
      </c>
      <c r="E374" s="6">
        <f>'MATCH CALCS'!$G375*2</f>
        <v>0</v>
      </c>
      <c r="F374" s="6">
        <f>'MATCH CALCS'!$G375*2</f>
        <v>0</v>
      </c>
      <c r="G374" s="6">
        <f>'MATCH CALCS'!$G375*2</f>
        <v>0</v>
      </c>
      <c r="H374" s="6">
        <f>'MATCH CALCS'!$G375*2</f>
        <v>0</v>
      </c>
      <c r="I374" s="6">
        <f>'MATCH CALCS'!$G375*2</f>
        <v>0</v>
      </c>
      <c r="J374" s="154">
        <f t="shared" si="10"/>
        <v>0</v>
      </c>
      <c r="K374" s="6">
        <f>'MATCH CALCS'!L375*1</f>
        <v>0</v>
      </c>
      <c r="L374" s="6">
        <f>'MATCH CALCS'!$N375*2</f>
        <v>0</v>
      </c>
      <c r="M374" s="6">
        <f>'MATCH CALCS'!N375*1</f>
        <v>0</v>
      </c>
      <c r="N374" s="6">
        <f>'MATCH CALCS'!$N375*2</f>
        <v>0</v>
      </c>
      <c r="O374" s="6">
        <f>'MATCH CALCS'!$N375*2</f>
        <v>0</v>
      </c>
      <c r="P374" s="6">
        <f>'MATCH CALCS'!$P375*5</f>
        <v>0</v>
      </c>
      <c r="Q374" s="154">
        <f t="shared" si="11"/>
        <v>0</v>
      </c>
      <c r="R374" s="6">
        <f>'MATCH CALCS'!$AD375*1</f>
        <v>0</v>
      </c>
      <c r="S374" s="6">
        <f>'MATCH CALCS'!AC375*3</f>
        <v>0</v>
      </c>
      <c r="T374" s="6">
        <f>'MATCH CALCS'!AD375*3</f>
        <v>0</v>
      </c>
      <c r="U374" s="155">
        <f t="shared" si="12"/>
        <v>0</v>
      </c>
      <c r="V374" s="154">
        <f t="shared" si="13"/>
        <v>0</v>
      </c>
    </row>
    <row r="375" spans="1:22">
      <c r="A375" s="154">
        <f>'MATCH CALCS'!A376</f>
        <v>0</v>
      </c>
      <c r="B375" s="154">
        <f>'MATCH CALCS'!$C376</f>
        <v>0</v>
      </c>
      <c r="C375" s="154">
        <f t="shared" si="9"/>
        <v>0</v>
      </c>
      <c r="D375" s="6">
        <f>'MATCH CALCS'!$G376*2</f>
        <v>0</v>
      </c>
      <c r="E375" s="6">
        <f>'MATCH CALCS'!$G376*2</f>
        <v>0</v>
      </c>
      <c r="F375" s="6">
        <f>'MATCH CALCS'!$G376*2</f>
        <v>0</v>
      </c>
      <c r="G375" s="6">
        <f>'MATCH CALCS'!$G376*2</f>
        <v>0</v>
      </c>
      <c r="H375" s="6">
        <f>'MATCH CALCS'!$G376*2</f>
        <v>0</v>
      </c>
      <c r="I375" s="6">
        <f>'MATCH CALCS'!$G376*2</f>
        <v>0</v>
      </c>
      <c r="J375" s="154">
        <f t="shared" si="10"/>
        <v>0</v>
      </c>
      <c r="K375" s="6">
        <f>'MATCH CALCS'!L376*1</f>
        <v>0</v>
      </c>
      <c r="L375" s="6">
        <f>'MATCH CALCS'!$N376*2</f>
        <v>0</v>
      </c>
      <c r="M375" s="6">
        <f>'MATCH CALCS'!N376*1</f>
        <v>0</v>
      </c>
      <c r="N375" s="6">
        <f>'MATCH CALCS'!$N376*2</f>
        <v>0</v>
      </c>
      <c r="O375" s="6">
        <f>'MATCH CALCS'!$N376*2</f>
        <v>0</v>
      </c>
      <c r="P375" s="6">
        <f>'MATCH CALCS'!$P376*5</f>
        <v>0</v>
      </c>
      <c r="Q375" s="154">
        <f t="shared" si="11"/>
        <v>0</v>
      </c>
      <c r="R375" s="6">
        <f>'MATCH CALCS'!$AD376*1</f>
        <v>0</v>
      </c>
      <c r="S375" s="6">
        <f>'MATCH CALCS'!AC376*3</f>
        <v>0</v>
      </c>
      <c r="T375" s="6">
        <f>'MATCH CALCS'!AD376*3</f>
        <v>0</v>
      </c>
      <c r="U375" s="155">
        <f t="shared" si="12"/>
        <v>0</v>
      </c>
      <c r="V375" s="154">
        <f t="shared" si="13"/>
        <v>0</v>
      </c>
    </row>
    <row r="376" spans="1:22">
      <c r="A376" s="154">
        <f>'MATCH CALCS'!A377</f>
        <v>0</v>
      </c>
      <c r="B376" s="154">
        <f>'MATCH CALCS'!$C377</f>
        <v>0</v>
      </c>
      <c r="C376" s="154">
        <f t="shared" si="9"/>
        <v>0</v>
      </c>
      <c r="D376" s="6">
        <f>'MATCH CALCS'!$G377*2</f>
        <v>0</v>
      </c>
      <c r="E376" s="6">
        <f>'MATCH CALCS'!$G377*2</f>
        <v>0</v>
      </c>
      <c r="F376" s="6">
        <f>'MATCH CALCS'!$G377*2</f>
        <v>0</v>
      </c>
      <c r="G376" s="6">
        <f>'MATCH CALCS'!$G377*2</f>
        <v>0</v>
      </c>
      <c r="H376" s="6">
        <f>'MATCH CALCS'!$G377*2</f>
        <v>0</v>
      </c>
      <c r="I376" s="6">
        <f>'MATCH CALCS'!$G377*2</f>
        <v>0</v>
      </c>
      <c r="J376" s="154">
        <f t="shared" si="10"/>
        <v>0</v>
      </c>
      <c r="K376" s="6">
        <f>'MATCH CALCS'!L377*1</f>
        <v>0</v>
      </c>
      <c r="L376" s="6">
        <f>'MATCH CALCS'!$N377*2</f>
        <v>0</v>
      </c>
      <c r="M376" s="6">
        <f>'MATCH CALCS'!N377*1</f>
        <v>0</v>
      </c>
      <c r="N376" s="6">
        <f>'MATCH CALCS'!$N377*2</f>
        <v>0</v>
      </c>
      <c r="O376" s="6">
        <f>'MATCH CALCS'!$N377*2</f>
        <v>0</v>
      </c>
      <c r="P376" s="6">
        <f>'MATCH CALCS'!$P377*5</f>
        <v>0</v>
      </c>
      <c r="Q376" s="154">
        <f t="shared" si="11"/>
        <v>0</v>
      </c>
      <c r="R376" s="6">
        <f>'MATCH CALCS'!$AD377*1</f>
        <v>0</v>
      </c>
      <c r="S376" s="6">
        <f>'MATCH CALCS'!AC377*3</f>
        <v>0</v>
      </c>
      <c r="T376" s="6">
        <f>'MATCH CALCS'!AD377*3</f>
        <v>0</v>
      </c>
      <c r="U376" s="155">
        <f t="shared" si="12"/>
        <v>0</v>
      </c>
      <c r="V376" s="154">
        <f t="shared" si="13"/>
        <v>0</v>
      </c>
    </row>
    <row r="377" spans="1:22">
      <c r="A377" s="154">
        <f>'MATCH CALCS'!A378</f>
        <v>0</v>
      </c>
      <c r="B377" s="154">
        <f>'MATCH CALCS'!$C378</f>
        <v>0</v>
      </c>
      <c r="C377" s="154">
        <f t="shared" si="9"/>
        <v>0</v>
      </c>
      <c r="D377" s="6">
        <f>'MATCH CALCS'!$G378*2</f>
        <v>0</v>
      </c>
      <c r="E377" s="6">
        <f>'MATCH CALCS'!$G378*2</f>
        <v>0</v>
      </c>
      <c r="F377" s="6">
        <f>'MATCH CALCS'!$G378*2</f>
        <v>0</v>
      </c>
      <c r="G377" s="6">
        <f>'MATCH CALCS'!$G378*2</f>
        <v>0</v>
      </c>
      <c r="H377" s="6">
        <f>'MATCH CALCS'!$G378*2</f>
        <v>0</v>
      </c>
      <c r="I377" s="6">
        <f>'MATCH CALCS'!$G378*2</f>
        <v>0</v>
      </c>
      <c r="J377" s="154">
        <f t="shared" si="10"/>
        <v>0</v>
      </c>
      <c r="K377" s="6">
        <f>'MATCH CALCS'!L378*1</f>
        <v>0</v>
      </c>
      <c r="L377" s="6">
        <f>'MATCH CALCS'!$N378*2</f>
        <v>0</v>
      </c>
      <c r="M377" s="6">
        <f>'MATCH CALCS'!N378*1</f>
        <v>0</v>
      </c>
      <c r="N377" s="6">
        <f>'MATCH CALCS'!$N378*2</f>
        <v>0</v>
      </c>
      <c r="O377" s="6">
        <f>'MATCH CALCS'!$N378*2</f>
        <v>0</v>
      </c>
      <c r="P377" s="6">
        <f>'MATCH CALCS'!$P378*5</f>
        <v>0</v>
      </c>
      <c r="Q377" s="154">
        <f t="shared" si="11"/>
        <v>0</v>
      </c>
      <c r="R377" s="6">
        <f>'MATCH CALCS'!$AD378*1</f>
        <v>0</v>
      </c>
      <c r="S377" s="6">
        <f>'MATCH CALCS'!AC378*3</f>
        <v>0</v>
      </c>
      <c r="T377" s="6">
        <f>'MATCH CALCS'!AD378*3</f>
        <v>0</v>
      </c>
      <c r="U377" s="155">
        <f t="shared" si="12"/>
        <v>0</v>
      </c>
      <c r="V377" s="154">
        <f t="shared" si="13"/>
        <v>0</v>
      </c>
    </row>
    <row r="378" spans="1:22">
      <c r="A378" s="154">
        <f>'MATCH CALCS'!A379</f>
        <v>0</v>
      </c>
      <c r="B378" s="154">
        <f>'MATCH CALCS'!$C379</f>
        <v>0</v>
      </c>
      <c r="C378" s="154">
        <f t="shared" si="9"/>
        <v>0</v>
      </c>
      <c r="D378" s="6">
        <f>'MATCH CALCS'!$G379*2</f>
        <v>0</v>
      </c>
      <c r="E378" s="6">
        <f>'MATCH CALCS'!$G379*2</f>
        <v>0</v>
      </c>
      <c r="F378" s="6">
        <f>'MATCH CALCS'!$G379*2</f>
        <v>0</v>
      </c>
      <c r="G378" s="6">
        <f>'MATCH CALCS'!$G379*2</f>
        <v>0</v>
      </c>
      <c r="H378" s="6">
        <f>'MATCH CALCS'!$G379*2</f>
        <v>0</v>
      </c>
      <c r="I378" s="6">
        <f>'MATCH CALCS'!$G379*2</f>
        <v>0</v>
      </c>
      <c r="J378" s="154">
        <f t="shared" si="10"/>
        <v>0</v>
      </c>
      <c r="K378" s="6">
        <f>'MATCH CALCS'!L379*1</f>
        <v>0</v>
      </c>
      <c r="L378" s="6">
        <f>'MATCH CALCS'!$N379*2</f>
        <v>0</v>
      </c>
      <c r="M378" s="6">
        <f>'MATCH CALCS'!N379*1</f>
        <v>0</v>
      </c>
      <c r="N378" s="6">
        <f>'MATCH CALCS'!$N379*2</f>
        <v>0</v>
      </c>
      <c r="O378" s="6">
        <f>'MATCH CALCS'!$N379*2</f>
        <v>0</v>
      </c>
      <c r="P378" s="6">
        <f>'MATCH CALCS'!$P379*5</f>
        <v>0</v>
      </c>
      <c r="Q378" s="154">
        <f t="shared" si="11"/>
        <v>0</v>
      </c>
      <c r="R378" s="6">
        <f>'MATCH CALCS'!$AD379*1</f>
        <v>0</v>
      </c>
      <c r="S378" s="6">
        <f>'MATCH CALCS'!AC379*3</f>
        <v>0</v>
      </c>
      <c r="T378" s="6">
        <f>'MATCH CALCS'!AD379*3</f>
        <v>0</v>
      </c>
      <c r="U378" s="155">
        <f t="shared" si="12"/>
        <v>0</v>
      </c>
      <c r="V378" s="154">
        <f t="shared" si="13"/>
        <v>0</v>
      </c>
    </row>
    <row r="379" spans="1:22">
      <c r="A379" s="154">
        <f>'MATCH CALCS'!A380</f>
        <v>0</v>
      </c>
      <c r="B379" s="154">
        <f>'MATCH CALCS'!$C380</f>
        <v>0</v>
      </c>
      <c r="C379" s="154">
        <f t="shared" si="9"/>
        <v>0</v>
      </c>
      <c r="D379" s="6">
        <f>'MATCH CALCS'!$G380*2</f>
        <v>0</v>
      </c>
      <c r="E379" s="6">
        <f>'MATCH CALCS'!$G380*2</f>
        <v>0</v>
      </c>
      <c r="F379" s="6">
        <f>'MATCH CALCS'!$G380*2</f>
        <v>0</v>
      </c>
      <c r="G379" s="6">
        <f>'MATCH CALCS'!$G380*2</f>
        <v>0</v>
      </c>
      <c r="H379" s="6">
        <f>'MATCH CALCS'!$G380*2</f>
        <v>0</v>
      </c>
      <c r="I379" s="6">
        <f>'MATCH CALCS'!$G380*2</f>
        <v>0</v>
      </c>
      <c r="J379" s="154">
        <f t="shared" si="10"/>
        <v>0</v>
      </c>
      <c r="K379" s="6">
        <f>'MATCH CALCS'!L380*1</f>
        <v>0</v>
      </c>
      <c r="L379" s="6">
        <f>'MATCH CALCS'!$N380*2</f>
        <v>0</v>
      </c>
      <c r="M379" s="6">
        <f>'MATCH CALCS'!N380*1</f>
        <v>0</v>
      </c>
      <c r="N379" s="6">
        <f>'MATCH CALCS'!$N380*2</f>
        <v>0</v>
      </c>
      <c r="O379" s="6">
        <f>'MATCH CALCS'!$N380*2</f>
        <v>0</v>
      </c>
      <c r="P379" s="6">
        <f>'MATCH CALCS'!$P380*5</f>
        <v>0</v>
      </c>
      <c r="Q379" s="154">
        <f t="shared" si="11"/>
        <v>0</v>
      </c>
      <c r="R379" s="6">
        <f>'MATCH CALCS'!$AD380*1</f>
        <v>0</v>
      </c>
      <c r="S379" s="6">
        <f>'MATCH CALCS'!AC380*3</f>
        <v>0</v>
      </c>
      <c r="T379" s="6">
        <f>'MATCH CALCS'!AD380*3</f>
        <v>0</v>
      </c>
      <c r="U379" s="155">
        <f t="shared" si="12"/>
        <v>0</v>
      </c>
      <c r="V379" s="154">
        <f t="shared" si="13"/>
        <v>0</v>
      </c>
    </row>
    <row r="380" spans="1:22">
      <c r="A380" s="154">
        <f>'MATCH CALCS'!A381</f>
        <v>0</v>
      </c>
      <c r="B380" s="154">
        <f>'MATCH CALCS'!$C381</f>
        <v>0</v>
      </c>
      <c r="C380" s="154">
        <f t="shared" si="9"/>
        <v>0</v>
      </c>
      <c r="D380" s="6">
        <f>'MATCH CALCS'!$G381*2</f>
        <v>0</v>
      </c>
      <c r="E380" s="6">
        <f>'MATCH CALCS'!$G381*2</f>
        <v>0</v>
      </c>
      <c r="F380" s="6">
        <f>'MATCH CALCS'!$G381*2</f>
        <v>0</v>
      </c>
      <c r="G380" s="6">
        <f>'MATCH CALCS'!$G381*2</f>
        <v>0</v>
      </c>
      <c r="H380" s="6">
        <f>'MATCH CALCS'!$G381*2</f>
        <v>0</v>
      </c>
      <c r="I380" s="6">
        <f>'MATCH CALCS'!$G381*2</f>
        <v>0</v>
      </c>
      <c r="J380" s="154">
        <f t="shared" si="10"/>
        <v>0</v>
      </c>
      <c r="K380" s="6">
        <f>'MATCH CALCS'!L381*1</f>
        <v>0</v>
      </c>
      <c r="L380" s="6">
        <f>'MATCH CALCS'!$N381*2</f>
        <v>0</v>
      </c>
      <c r="M380" s="6">
        <f>'MATCH CALCS'!N381*1</f>
        <v>0</v>
      </c>
      <c r="N380" s="6">
        <f>'MATCH CALCS'!$N381*2</f>
        <v>0</v>
      </c>
      <c r="O380" s="6">
        <f>'MATCH CALCS'!$N381*2</f>
        <v>0</v>
      </c>
      <c r="P380" s="6">
        <f>'MATCH CALCS'!$P381*5</f>
        <v>0</v>
      </c>
      <c r="Q380" s="154">
        <f t="shared" si="11"/>
        <v>0</v>
      </c>
      <c r="R380" s="6">
        <f>'MATCH CALCS'!$AD381*1</f>
        <v>0</v>
      </c>
      <c r="S380" s="6">
        <f>'MATCH CALCS'!AC381*3</f>
        <v>0</v>
      </c>
      <c r="T380" s="6">
        <f>'MATCH CALCS'!AD381*3</f>
        <v>0</v>
      </c>
      <c r="U380" s="155">
        <f t="shared" si="12"/>
        <v>0</v>
      </c>
      <c r="V380" s="154">
        <f t="shared" si="13"/>
        <v>0</v>
      </c>
    </row>
    <row r="381" spans="1:22">
      <c r="A381" s="154">
        <f>'MATCH CALCS'!A382</f>
        <v>0</v>
      </c>
      <c r="B381" s="154">
        <f>'MATCH CALCS'!$C382</f>
        <v>0</v>
      </c>
      <c r="C381" s="154">
        <f t="shared" si="9"/>
        <v>0</v>
      </c>
      <c r="D381" s="6">
        <f>'MATCH CALCS'!$G382*2</f>
        <v>0</v>
      </c>
      <c r="E381" s="6">
        <f>'MATCH CALCS'!$G382*2</f>
        <v>0</v>
      </c>
      <c r="F381" s="6">
        <f>'MATCH CALCS'!$G382*2</f>
        <v>0</v>
      </c>
      <c r="G381" s="6">
        <f>'MATCH CALCS'!$G382*2</f>
        <v>0</v>
      </c>
      <c r="H381" s="6">
        <f>'MATCH CALCS'!$G382*2</f>
        <v>0</v>
      </c>
      <c r="I381" s="6">
        <f>'MATCH CALCS'!$G382*2</f>
        <v>0</v>
      </c>
      <c r="J381" s="154">
        <f t="shared" si="10"/>
        <v>0</v>
      </c>
      <c r="K381" s="6">
        <f>'MATCH CALCS'!L382*1</f>
        <v>0</v>
      </c>
      <c r="L381" s="6">
        <f>'MATCH CALCS'!$N382*2</f>
        <v>0</v>
      </c>
      <c r="M381" s="6">
        <f>'MATCH CALCS'!N382*1</f>
        <v>0</v>
      </c>
      <c r="N381" s="6">
        <f>'MATCH CALCS'!$N382*2</f>
        <v>0</v>
      </c>
      <c r="O381" s="6">
        <f>'MATCH CALCS'!$N382*2</f>
        <v>0</v>
      </c>
      <c r="P381" s="6">
        <f>'MATCH CALCS'!$P382*5</f>
        <v>0</v>
      </c>
      <c r="Q381" s="154">
        <f t="shared" si="11"/>
        <v>0</v>
      </c>
      <c r="R381" s="6">
        <f>'MATCH CALCS'!$AD382*1</f>
        <v>0</v>
      </c>
      <c r="S381" s="6">
        <f>'MATCH CALCS'!AC382*3</f>
        <v>0</v>
      </c>
      <c r="T381" s="6">
        <f>'MATCH CALCS'!AD382*3</f>
        <v>0</v>
      </c>
      <c r="U381" s="155">
        <f t="shared" si="12"/>
        <v>0</v>
      </c>
      <c r="V381" s="154">
        <f t="shared" si="13"/>
        <v>0</v>
      </c>
    </row>
    <row r="382" spans="1:22">
      <c r="A382" s="154">
        <f>'MATCH CALCS'!A383</f>
        <v>0</v>
      </c>
      <c r="B382" s="154">
        <f>'MATCH CALCS'!$C383</f>
        <v>0</v>
      </c>
      <c r="C382" s="154">
        <f t="shared" si="9"/>
        <v>0</v>
      </c>
      <c r="D382" s="6">
        <f>'MATCH CALCS'!$G383*2</f>
        <v>0</v>
      </c>
      <c r="E382" s="6">
        <f>'MATCH CALCS'!$G383*2</f>
        <v>0</v>
      </c>
      <c r="F382" s="6">
        <f>'MATCH CALCS'!$G383*2</f>
        <v>0</v>
      </c>
      <c r="G382" s="6">
        <f>'MATCH CALCS'!$G383*2</f>
        <v>0</v>
      </c>
      <c r="H382" s="6">
        <f>'MATCH CALCS'!$G383*2</f>
        <v>0</v>
      </c>
      <c r="I382" s="6">
        <f>'MATCH CALCS'!$G383*2</f>
        <v>0</v>
      </c>
      <c r="J382" s="154">
        <f t="shared" si="10"/>
        <v>0</v>
      </c>
      <c r="K382" s="6">
        <f>'MATCH CALCS'!L383*1</f>
        <v>0</v>
      </c>
      <c r="L382" s="6">
        <f>'MATCH CALCS'!$N383*2</f>
        <v>0</v>
      </c>
      <c r="M382" s="6">
        <f>'MATCH CALCS'!N383*1</f>
        <v>0</v>
      </c>
      <c r="N382" s="6">
        <f>'MATCH CALCS'!$N383*2</f>
        <v>0</v>
      </c>
      <c r="O382" s="6">
        <f>'MATCH CALCS'!$N383*2</f>
        <v>0</v>
      </c>
      <c r="P382" s="6">
        <f>'MATCH CALCS'!$P383*5</f>
        <v>0</v>
      </c>
      <c r="Q382" s="154">
        <f t="shared" si="11"/>
        <v>0</v>
      </c>
      <c r="R382" s="6">
        <f>'MATCH CALCS'!$AD383*1</f>
        <v>0</v>
      </c>
      <c r="S382" s="6">
        <f>'MATCH CALCS'!AC383*3</f>
        <v>0</v>
      </c>
      <c r="T382" s="6">
        <f>'MATCH CALCS'!AD383*3</f>
        <v>0</v>
      </c>
      <c r="U382" s="155">
        <f t="shared" si="12"/>
        <v>0</v>
      </c>
      <c r="V382" s="154">
        <f t="shared" si="13"/>
        <v>0</v>
      </c>
    </row>
    <row r="383" spans="1:22">
      <c r="A383" s="154">
        <f>'MATCH CALCS'!A384</f>
        <v>0</v>
      </c>
      <c r="B383" s="154">
        <f>'MATCH CALCS'!$C384</f>
        <v>0</v>
      </c>
      <c r="C383" s="154">
        <f t="shared" si="9"/>
        <v>0</v>
      </c>
      <c r="D383" s="6">
        <f>'MATCH CALCS'!$G384*2</f>
        <v>0</v>
      </c>
      <c r="E383" s="6">
        <f>'MATCH CALCS'!$G384*2</f>
        <v>0</v>
      </c>
      <c r="F383" s="6">
        <f>'MATCH CALCS'!$G384*2</f>
        <v>0</v>
      </c>
      <c r="G383" s="6">
        <f>'MATCH CALCS'!$G384*2</f>
        <v>0</v>
      </c>
      <c r="H383" s="6">
        <f>'MATCH CALCS'!$G384*2</f>
        <v>0</v>
      </c>
      <c r="I383" s="6">
        <f>'MATCH CALCS'!$G384*2</f>
        <v>0</v>
      </c>
      <c r="J383" s="154">
        <f t="shared" si="10"/>
        <v>0</v>
      </c>
      <c r="K383" s="6">
        <f>'MATCH CALCS'!L384*1</f>
        <v>0</v>
      </c>
      <c r="L383" s="6">
        <f>'MATCH CALCS'!$N384*2</f>
        <v>0</v>
      </c>
      <c r="M383" s="6">
        <f>'MATCH CALCS'!N384*1</f>
        <v>0</v>
      </c>
      <c r="N383" s="6">
        <f>'MATCH CALCS'!$N384*2</f>
        <v>0</v>
      </c>
      <c r="O383" s="6">
        <f>'MATCH CALCS'!$N384*2</f>
        <v>0</v>
      </c>
      <c r="P383" s="6">
        <f>'MATCH CALCS'!$P384*5</f>
        <v>0</v>
      </c>
      <c r="Q383" s="154">
        <f t="shared" si="11"/>
        <v>0</v>
      </c>
      <c r="R383" s="6">
        <f>'MATCH CALCS'!$AD384*1</f>
        <v>0</v>
      </c>
      <c r="S383" s="6">
        <f>'MATCH CALCS'!AC384*3</f>
        <v>0</v>
      </c>
      <c r="T383" s="6">
        <f>'MATCH CALCS'!AD384*3</f>
        <v>0</v>
      </c>
      <c r="U383" s="155">
        <f t="shared" si="12"/>
        <v>0</v>
      </c>
      <c r="V383" s="154">
        <f t="shared" si="13"/>
        <v>0</v>
      </c>
    </row>
    <row r="384" spans="1:22">
      <c r="A384" s="154">
        <f>'MATCH CALCS'!A385</f>
        <v>0</v>
      </c>
      <c r="B384" s="154">
        <f>'MATCH CALCS'!$C385</f>
        <v>0</v>
      </c>
      <c r="C384" s="154">
        <f t="shared" si="9"/>
        <v>0</v>
      </c>
      <c r="D384" s="6">
        <f>'MATCH CALCS'!$G385*2</f>
        <v>0</v>
      </c>
      <c r="E384" s="6">
        <f>'MATCH CALCS'!$G385*2</f>
        <v>0</v>
      </c>
      <c r="F384" s="6">
        <f>'MATCH CALCS'!$G385*2</f>
        <v>0</v>
      </c>
      <c r="G384" s="6">
        <f>'MATCH CALCS'!$G385*2</f>
        <v>0</v>
      </c>
      <c r="H384" s="6">
        <f>'MATCH CALCS'!$G385*2</f>
        <v>0</v>
      </c>
      <c r="I384" s="6">
        <f>'MATCH CALCS'!$G385*2</f>
        <v>0</v>
      </c>
      <c r="J384" s="154">
        <f t="shared" si="10"/>
        <v>0</v>
      </c>
      <c r="K384" s="6">
        <f>'MATCH CALCS'!L385*1</f>
        <v>0</v>
      </c>
      <c r="L384" s="6">
        <f>'MATCH CALCS'!$N385*2</f>
        <v>0</v>
      </c>
      <c r="M384" s="6">
        <f>'MATCH CALCS'!N385*1</f>
        <v>0</v>
      </c>
      <c r="N384" s="6">
        <f>'MATCH CALCS'!$N385*2</f>
        <v>0</v>
      </c>
      <c r="O384" s="6">
        <f>'MATCH CALCS'!$N385*2</f>
        <v>0</v>
      </c>
      <c r="P384" s="6">
        <f>'MATCH CALCS'!$P385*5</f>
        <v>0</v>
      </c>
      <c r="Q384" s="154">
        <f t="shared" si="11"/>
        <v>0</v>
      </c>
      <c r="R384" s="6">
        <f>'MATCH CALCS'!$AD385*1</f>
        <v>0</v>
      </c>
      <c r="S384" s="6">
        <f>'MATCH CALCS'!AC385*3</f>
        <v>0</v>
      </c>
      <c r="T384" s="6">
        <f>'MATCH CALCS'!AD385*3</f>
        <v>0</v>
      </c>
      <c r="U384" s="155">
        <f t="shared" si="12"/>
        <v>0</v>
      </c>
      <c r="V384" s="154">
        <f t="shared" si="13"/>
        <v>0</v>
      </c>
    </row>
    <row r="385" spans="1:22">
      <c r="A385" s="154">
        <f>'MATCH CALCS'!A386</f>
        <v>0</v>
      </c>
      <c r="B385" s="154">
        <f>'MATCH CALCS'!$C386</f>
        <v>0</v>
      </c>
      <c r="C385" s="154">
        <f t="shared" si="9"/>
        <v>0</v>
      </c>
      <c r="D385" s="6">
        <f>'MATCH CALCS'!$G386*2</f>
        <v>0</v>
      </c>
      <c r="E385" s="6">
        <f>'MATCH CALCS'!$G386*2</f>
        <v>0</v>
      </c>
      <c r="F385" s="6">
        <f>'MATCH CALCS'!$G386*2</f>
        <v>0</v>
      </c>
      <c r="G385" s="6">
        <f>'MATCH CALCS'!$G386*2</f>
        <v>0</v>
      </c>
      <c r="H385" s="6">
        <f>'MATCH CALCS'!$G386*2</f>
        <v>0</v>
      </c>
      <c r="I385" s="6">
        <f>'MATCH CALCS'!$G386*2</f>
        <v>0</v>
      </c>
      <c r="J385" s="154">
        <f t="shared" si="10"/>
        <v>0</v>
      </c>
      <c r="K385" s="6">
        <f>'MATCH CALCS'!L386*1</f>
        <v>0</v>
      </c>
      <c r="L385" s="6">
        <f>'MATCH CALCS'!$N386*2</f>
        <v>0</v>
      </c>
      <c r="M385" s="6">
        <f>'MATCH CALCS'!N386*1</f>
        <v>0</v>
      </c>
      <c r="N385" s="6">
        <f>'MATCH CALCS'!$N386*2</f>
        <v>0</v>
      </c>
      <c r="O385" s="6">
        <f>'MATCH CALCS'!$N386*2</f>
        <v>0</v>
      </c>
      <c r="P385" s="6">
        <f>'MATCH CALCS'!$P386*5</f>
        <v>0</v>
      </c>
      <c r="Q385" s="154">
        <f t="shared" si="11"/>
        <v>0</v>
      </c>
      <c r="R385" s="6">
        <f>'MATCH CALCS'!$AD386*1</f>
        <v>0</v>
      </c>
      <c r="S385" s="6">
        <f>'MATCH CALCS'!AC386*3</f>
        <v>0</v>
      </c>
      <c r="T385" s="6">
        <f>'MATCH CALCS'!AD386*3</f>
        <v>0</v>
      </c>
      <c r="U385" s="155">
        <f t="shared" si="12"/>
        <v>0</v>
      </c>
      <c r="V385" s="154">
        <f t="shared" si="13"/>
        <v>0</v>
      </c>
    </row>
    <row r="386" spans="1:22">
      <c r="A386" s="154">
        <f>'MATCH CALCS'!A387</f>
        <v>0</v>
      </c>
      <c r="B386" s="154">
        <f>'MATCH CALCS'!$C387</f>
        <v>0</v>
      </c>
      <c r="C386" s="154">
        <f t="shared" si="9"/>
        <v>0</v>
      </c>
      <c r="D386" s="6">
        <f>'MATCH CALCS'!$G387*2</f>
        <v>0</v>
      </c>
      <c r="E386" s="6">
        <f>'MATCH CALCS'!$G387*2</f>
        <v>0</v>
      </c>
      <c r="F386" s="6">
        <f>'MATCH CALCS'!$G387*2</f>
        <v>0</v>
      </c>
      <c r="G386" s="6">
        <f>'MATCH CALCS'!$G387*2</f>
        <v>0</v>
      </c>
      <c r="H386" s="6">
        <f>'MATCH CALCS'!$G387*2</f>
        <v>0</v>
      </c>
      <c r="I386" s="6">
        <f>'MATCH CALCS'!$G387*2</f>
        <v>0</v>
      </c>
      <c r="J386" s="154">
        <f t="shared" si="10"/>
        <v>0</v>
      </c>
      <c r="K386" s="6">
        <f>'MATCH CALCS'!L387*1</f>
        <v>0</v>
      </c>
      <c r="L386" s="6">
        <f>'MATCH CALCS'!$N387*2</f>
        <v>0</v>
      </c>
      <c r="M386" s="6">
        <f>'MATCH CALCS'!N387*1</f>
        <v>0</v>
      </c>
      <c r="N386" s="6">
        <f>'MATCH CALCS'!$N387*2</f>
        <v>0</v>
      </c>
      <c r="O386" s="6">
        <f>'MATCH CALCS'!$N387*2</f>
        <v>0</v>
      </c>
      <c r="P386" s="6">
        <f>'MATCH CALCS'!$P387*5</f>
        <v>0</v>
      </c>
      <c r="Q386" s="154">
        <f t="shared" si="11"/>
        <v>0</v>
      </c>
      <c r="R386" s="6">
        <f>'MATCH CALCS'!$AD387*1</f>
        <v>0</v>
      </c>
      <c r="S386" s="6">
        <f>'MATCH CALCS'!AC387*3</f>
        <v>0</v>
      </c>
      <c r="T386" s="6">
        <f>'MATCH CALCS'!AD387*3</f>
        <v>0</v>
      </c>
      <c r="U386" s="155">
        <f t="shared" si="12"/>
        <v>0</v>
      </c>
      <c r="V386" s="154">
        <f t="shared" si="13"/>
        <v>0</v>
      </c>
    </row>
    <row r="387" spans="1:22">
      <c r="A387" s="154">
        <f>'MATCH CALCS'!A388</f>
        <v>0</v>
      </c>
      <c r="B387" s="154">
        <f>'MATCH CALCS'!$C388</f>
        <v>0</v>
      </c>
      <c r="C387" s="154">
        <f t="shared" si="9"/>
        <v>0</v>
      </c>
      <c r="D387" s="6">
        <f>'MATCH CALCS'!$G388*2</f>
        <v>0</v>
      </c>
      <c r="E387" s="6">
        <f>'MATCH CALCS'!$G388*2</f>
        <v>0</v>
      </c>
      <c r="F387" s="6">
        <f>'MATCH CALCS'!$G388*2</f>
        <v>0</v>
      </c>
      <c r="G387" s="6">
        <f>'MATCH CALCS'!$G388*2</f>
        <v>0</v>
      </c>
      <c r="H387" s="6">
        <f>'MATCH CALCS'!$G388*2</f>
        <v>0</v>
      </c>
      <c r="I387" s="6">
        <f>'MATCH CALCS'!$G388*2</f>
        <v>0</v>
      </c>
      <c r="J387" s="154">
        <f t="shared" si="10"/>
        <v>0</v>
      </c>
      <c r="K387" s="6">
        <f>'MATCH CALCS'!L388*1</f>
        <v>0</v>
      </c>
      <c r="L387" s="6">
        <f>'MATCH CALCS'!$N388*2</f>
        <v>0</v>
      </c>
      <c r="M387" s="6">
        <f>'MATCH CALCS'!N388*1</f>
        <v>0</v>
      </c>
      <c r="N387" s="6">
        <f>'MATCH CALCS'!$N388*2</f>
        <v>0</v>
      </c>
      <c r="O387" s="6">
        <f>'MATCH CALCS'!$N388*2</f>
        <v>0</v>
      </c>
      <c r="P387" s="6">
        <f>'MATCH CALCS'!$P388*5</f>
        <v>0</v>
      </c>
      <c r="Q387" s="154">
        <f t="shared" si="11"/>
        <v>0</v>
      </c>
      <c r="R387" s="6">
        <f>'MATCH CALCS'!$AD388*1</f>
        <v>0</v>
      </c>
      <c r="S387" s="6">
        <f>'MATCH CALCS'!AC388*3</f>
        <v>0</v>
      </c>
      <c r="T387" s="6">
        <f>'MATCH CALCS'!AD388*3</f>
        <v>0</v>
      </c>
      <c r="U387" s="155">
        <f t="shared" si="12"/>
        <v>0</v>
      </c>
      <c r="V387" s="154">
        <f t="shared" si="13"/>
        <v>0</v>
      </c>
    </row>
    <row r="388" spans="1:22">
      <c r="A388" s="154">
        <f>'MATCH CALCS'!A389</f>
        <v>0</v>
      </c>
      <c r="B388" s="154">
        <f>'MATCH CALCS'!$C389</f>
        <v>0</v>
      </c>
      <c r="C388" s="154">
        <f t="shared" si="9"/>
        <v>0</v>
      </c>
      <c r="D388" s="6">
        <f>'MATCH CALCS'!$G389*2</f>
        <v>0</v>
      </c>
      <c r="E388" s="6">
        <f>'MATCH CALCS'!$G389*2</f>
        <v>0</v>
      </c>
      <c r="F388" s="6">
        <f>'MATCH CALCS'!$G389*2</f>
        <v>0</v>
      </c>
      <c r="G388" s="6">
        <f>'MATCH CALCS'!$G389*2</f>
        <v>0</v>
      </c>
      <c r="H388" s="6">
        <f>'MATCH CALCS'!$G389*2</f>
        <v>0</v>
      </c>
      <c r="I388" s="6">
        <f>'MATCH CALCS'!$G389*2</f>
        <v>0</v>
      </c>
      <c r="J388" s="154">
        <f t="shared" si="10"/>
        <v>0</v>
      </c>
      <c r="K388" s="6">
        <f>'MATCH CALCS'!L389*1</f>
        <v>0</v>
      </c>
      <c r="L388" s="6">
        <f>'MATCH CALCS'!$N389*2</f>
        <v>0</v>
      </c>
      <c r="M388" s="6">
        <f>'MATCH CALCS'!N389*1</f>
        <v>0</v>
      </c>
      <c r="N388" s="6">
        <f>'MATCH CALCS'!$N389*2</f>
        <v>0</v>
      </c>
      <c r="O388" s="6">
        <f>'MATCH CALCS'!$N389*2</f>
        <v>0</v>
      </c>
      <c r="P388" s="6">
        <f>'MATCH CALCS'!$P389*5</f>
        <v>0</v>
      </c>
      <c r="Q388" s="154">
        <f t="shared" si="11"/>
        <v>0</v>
      </c>
      <c r="R388" s="6">
        <f>'MATCH CALCS'!$AD389*1</f>
        <v>0</v>
      </c>
      <c r="S388" s="6">
        <f>'MATCH CALCS'!AC389*3</f>
        <v>0</v>
      </c>
      <c r="T388" s="6">
        <f>'MATCH CALCS'!AD389*3</f>
        <v>0</v>
      </c>
      <c r="U388" s="155">
        <f t="shared" si="12"/>
        <v>0</v>
      </c>
      <c r="V388" s="154">
        <f t="shared" si="13"/>
        <v>0</v>
      </c>
    </row>
    <row r="389" spans="1:22">
      <c r="A389" s="154">
        <f>'MATCH CALCS'!A390</f>
        <v>0</v>
      </c>
      <c r="B389" s="154">
        <f>'MATCH CALCS'!$C390</f>
        <v>0</v>
      </c>
      <c r="C389" s="154">
        <f t="shared" si="9"/>
        <v>0</v>
      </c>
      <c r="D389" s="6">
        <f>'MATCH CALCS'!$G390*2</f>
        <v>0</v>
      </c>
      <c r="E389" s="6">
        <f>'MATCH CALCS'!$G390*2</f>
        <v>0</v>
      </c>
      <c r="F389" s="6">
        <f>'MATCH CALCS'!$G390*2</f>
        <v>0</v>
      </c>
      <c r="G389" s="6">
        <f>'MATCH CALCS'!$G390*2</f>
        <v>0</v>
      </c>
      <c r="H389" s="6">
        <f>'MATCH CALCS'!$G390*2</f>
        <v>0</v>
      </c>
      <c r="I389" s="6">
        <f>'MATCH CALCS'!$G390*2</f>
        <v>0</v>
      </c>
      <c r="J389" s="154">
        <f t="shared" si="10"/>
        <v>0</v>
      </c>
      <c r="K389" s="6">
        <f>'MATCH CALCS'!L390*1</f>
        <v>0</v>
      </c>
      <c r="L389" s="6">
        <f>'MATCH CALCS'!$N390*2</f>
        <v>0</v>
      </c>
      <c r="M389" s="6">
        <f>'MATCH CALCS'!N390*1</f>
        <v>0</v>
      </c>
      <c r="N389" s="6">
        <f>'MATCH CALCS'!$N390*2</f>
        <v>0</v>
      </c>
      <c r="O389" s="6">
        <f>'MATCH CALCS'!$N390*2</f>
        <v>0</v>
      </c>
      <c r="P389" s="6">
        <f>'MATCH CALCS'!$P390*5</f>
        <v>0</v>
      </c>
      <c r="Q389" s="154">
        <f t="shared" si="11"/>
        <v>0</v>
      </c>
      <c r="R389" s="6">
        <f>'MATCH CALCS'!$AD390*1</f>
        <v>0</v>
      </c>
      <c r="S389" s="6">
        <f>'MATCH CALCS'!AC390*3</f>
        <v>0</v>
      </c>
      <c r="T389" s="6">
        <f>'MATCH CALCS'!AD390*3</f>
        <v>0</v>
      </c>
      <c r="U389" s="155">
        <f t="shared" si="12"/>
        <v>0</v>
      </c>
      <c r="V389" s="154">
        <f t="shared" si="13"/>
        <v>0</v>
      </c>
    </row>
    <row r="390" spans="1:22">
      <c r="A390" s="154">
        <f>'MATCH CALCS'!A391</f>
        <v>0</v>
      </c>
      <c r="B390" s="154">
        <f>'MATCH CALCS'!$C391</f>
        <v>0</v>
      </c>
      <c r="C390" s="154">
        <f t="shared" si="9"/>
        <v>0</v>
      </c>
      <c r="D390" s="6">
        <f>'MATCH CALCS'!$G391*2</f>
        <v>0</v>
      </c>
      <c r="E390" s="6">
        <f>'MATCH CALCS'!$G391*2</f>
        <v>0</v>
      </c>
      <c r="F390" s="6">
        <f>'MATCH CALCS'!$G391*2</f>
        <v>0</v>
      </c>
      <c r="G390" s="6">
        <f>'MATCH CALCS'!$G391*2</f>
        <v>0</v>
      </c>
      <c r="H390" s="6">
        <f>'MATCH CALCS'!$G391*2</f>
        <v>0</v>
      </c>
      <c r="I390" s="6">
        <f>'MATCH CALCS'!$G391*2</f>
        <v>0</v>
      </c>
      <c r="J390" s="154">
        <f t="shared" si="10"/>
        <v>0</v>
      </c>
      <c r="K390" s="6">
        <f>'MATCH CALCS'!L391*1</f>
        <v>0</v>
      </c>
      <c r="L390" s="6">
        <f>'MATCH CALCS'!$N391*2</f>
        <v>0</v>
      </c>
      <c r="M390" s="6">
        <f>'MATCH CALCS'!N391*1</f>
        <v>0</v>
      </c>
      <c r="N390" s="6">
        <f>'MATCH CALCS'!$N391*2</f>
        <v>0</v>
      </c>
      <c r="O390" s="6">
        <f>'MATCH CALCS'!$N391*2</f>
        <v>0</v>
      </c>
      <c r="P390" s="6">
        <f>'MATCH CALCS'!$P391*5</f>
        <v>0</v>
      </c>
      <c r="Q390" s="154">
        <f t="shared" si="11"/>
        <v>0</v>
      </c>
      <c r="R390" s="6">
        <f>'MATCH CALCS'!$AD391*1</f>
        <v>0</v>
      </c>
      <c r="S390" s="6">
        <f>'MATCH CALCS'!AC391*3</f>
        <v>0</v>
      </c>
      <c r="T390" s="6">
        <f>'MATCH CALCS'!AD391*3</f>
        <v>0</v>
      </c>
      <c r="U390" s="155">
        <f t="shared" si="12"/>
        <v>0</v>
      </c>
      <c r="V390" s="154">
        <f t="shared" si="13"/>
        <v>0</v>
      </c>
    </row>
    <row r="391" spans="1:22">
      <c r="A391" s="154">
        <f>'MATCH CALCS'!A392</f>
        <v>0</v>
      </c>
      <c r="B391" s="154">
        <f>'MATCH CALCS'!$C392</f>
        <v>0</v>
      </c>
      <c r="C391" s="154">
        <f t="shared" si="9"/>
        <v>0</v>
      </c>
      <c r="D391" s="6">
        <f>'MATCH CALCS'!$G392*2</f>
        <v>0</v>
      </c>
      <c r="E391" s="6">
        <f>'MATCH CALCS'!$G392*2</f>
        <v>0</v>
      </c>
      <c r="F391" s="6">
        <f>'MATCH CALCS'!$G392*2</f>
        <v>0</v>
      </c>
      <c r="G391" s="6">
        <f>'MATCH CALCS'!$G392*2</f>
        <v>0</v>
      </c>
      <c r="H391" s="6">
        <f>'MATCH CALCS'!$G392*2</f>
        <v>0</v>
      </c>
      <c r="I391" s="6">
        <f>'MATCH CALCS'!$G392*2</f>
        <v>0</v>
      </c>
      <c r="J391" s="154">
        <f t="shared" si="10"/>
        <v>0</v>
      </c>
      <c r="K391" s="6">
        <f>'MATCH CALCS'!L392*1</f>
        <v>0</v>
      </c>
      <c r="L391" s="6">
        <f>'MATCH CALCS'!$N392*2</f>
        <v>0</v>
      </c>
      <c r="M391" s="6">
        <f>'MATCH CALCS'!N392*1</f>
        <v>0</v>
      </c>
      <c r="N391" s="6">
        <f>'MATCH CALCS'!$N392*2</f>
        <v>0</v>
      </c>
      <c r="O391" s="6">
        <f>'MATCH CALCS'!$N392*2</f>
        <v>0</v>
      </c>
      <c r="P391" s="6">
        <f>'MATCH CALCS'!$P392*5</f>
        <v>0</v>
      </c>
      <c r="Q391" s="154">
        <f t="shared" si="11"/>
        <v>0</v>
      </c>
      <c r="R391" s="6">
        <f>'MATCH CALCS'!$AD392*1</f>
        <v>0</v>
      </c>
      <c r="S391" s="6">
        <f>'MATCH CALCS'!AC392*3</f>
        <v>0</v>
      </c>
      <c r="T391" s="6">
        <f>'MATCH CALCS'!AD392*3</f>
        <v>0</v>
      </c>
      <c r="U391" s="155">
        <f t="shared" si="12"/>
        <v>0</v>
      </c>
      <c r="V391" s="154">
        <f t="shared" si="13"/>
        <v>0</v>
      </c>
    </row>
    <row r="392" spans="1:22">
      <c r="A392" s="154">
        <f>'MATCH CALCS'!A393</f>
        <v>0</v>
      </c>
      <c r="B392" s="154">
        <f>'MATCH CALCS'!$C393</f>
        <v>0</v>
      </c>
      <c r="C392" s="154">
        <f t="shared" si="9"/>
        <v>0</v>
      </c>
      <c r="D392" s="6">
        <f>'MATCH CALCS'!$G393*2</f>
        <v>0</v>
      </c>
      <c r="E392" s="6">
        <f>'MATCH CALCS'!$G393*2</f>
        <v>0</v>
      </c>
      <c r="F392" s="6">
        <f>'MATCH CALCS'!$G393*2</f>
        <v>0</v>
      </c>
      <c r="G392" s="6">
        <f>'MATCH CALCS'!$G393*2</f>
        <v>0</v>
      </c>
      <c r="H392" s="6">
        <f>'MATCH CALCS'!$G393*2</f>
        <v>0</v>
      </c>
      <c r="I392" s="6">
        <f>'MATCH CALCS'!$G393*2</f>
        <v>0</v>
      </c>
      <c r="J392" s="154">
        <f t="shared" si="10"/>
        <v>0</v>
      </c>
      <c r="K392" s="6">
        <f>'MATCH CALCS'!L393*1</f>
        <v>0</v>
      </c>
      <c r="L392" s="6">
        <f>'MATCH CALCS'!$N393*2</f>
        <v>0</v>
      </c>
      <c r="M392" s="6">
        <f>'MATCH CALCS'!N393*1</f>
        <v>0</v>
      </c>
      <c r="N392" s="6">
        <f>'MATCH CALCS'!$N393*2</f>
        <v>0</v>
      </c>
      <c r="O392" s="6">
        <f>'MATCH CALCS'!$N393*2</f>
        <v>0</v>
      </c>
      <c r="P392" s="6">
        <f>'MATCH CALCS'!$P393*5</f>
        <v>0</v>
      </c>
      <c r="Q392" s="154">
        <f t="shared" si="11"/>
        <v>0</v>
      </c>
      <c r="R392" s="6">
        <f>'MATCH CALCS'!$AD393*1</f>
        <v>0</v>
      </c>
      <c r="S392" s="6">
        <f>'MATCH CALCS'!AC393*3</f>
        <v>0</v>
      </c>
      <c r="T392" s="6">
        <f>'MATCH CALCS'!AD393*3</f>
        <v>0</v>
      </c>
      <c r="U392" s="155">
        <f t="shared" si="12"/>
        <v>0</v>
      </c>
      <c r="V392" s="154">
        <f t="shared" si="13"/>
        <v>0</v>
      </c>
    </row>
    <row r="393" spans="1:22">
      <c r="A393" s="154">
        <f>'MATCH CALCS'!A394</f>
        <v>0</v>
      </c>
      <c r="B393" s="154">
        <f>'MATCH CALCS'!$C394</f>
        <v>0</v>
      </c>
      <c r="C393" s="154">
        <f t="shared" si="9"/>
        <v>0</v>
      </c>
      <c r="D393" s="6">
        <f>'MATCH CALCS'!$G394*2</f>
        <v>0</v>
      </c>
      <c r="E393" s="6">
        <f>'MATCH CALCS'!$G394*2</f>
        <v>0</v>
      </c>
      <c r="F393" s="6">
        <f>'MATCH CALCS'!$G394*2</f>
        <v>0</v>
      </c>
      <c r="G393" s="6">
        <f>'MATCH CALCS'!$G394*2</f>
        <v>0</v>
      </c>
      <c r="H393" s="6">
        <f>'MATCH CALCS'!$G394*2</f>
        <v>0</v>
      </c>
      <c r="I393" s="6">
        <f>'MATCH CALCS'!$G394*2</f>
        <v>0</v>
      </c>
      <c r="J393" s="154">
        <f t="shared" si="10"/>
        <v>0</v>
      </c>
      <c r="K393" s="6">
        <f>'MATCH CALCS'!L394*1</f>
        <v>0</v>
      </c>
      <c r="L393" s="6">
        <f>'MATCH CALCS'!$N394*2</f>
        <v>0</v>
      </c>
      <c r="M393" s="6">
        <f>'MATCH CALCS'!N394*1</f>
        <v>0</v>
      </c>
      <c r="N393" s="6">
        <f>'MATCH CALCS'!$N394*2</f>
        <v>0</v>
      </c>
      <c r="O393" s="6">
        <f>'MATCH CALCS'!$N394*2</f>
        <v>0</v>
      </c>
      <c r="P393" s="6">
        <f>'MATCH CALCS'!$P394*5</f>
        <v>0</v>
      </c>
      <c r="Q393" s="154">
        <f t="shared" si="11"/>
        <v>0</v>
      </c>
      <c r="R393" s="6">
        <f>'MATCH CALCS'!$AD394*1</f>
        <v>0</v>
      </c>
      <c r="S393" s="6">
        <f>'MATCH CALCS'!AC394*3</f>
        <v>0</v>
      </c>
      <c r="T393" s="6">
        <f>'MATCH CALCS'!AD394*3</f>
        <v>0</v>
      </c>
      <c r="U393" s="155">
        <f t="shared" si="12"/>
        <v>0</v>
      </c>
      <c r="V393" s="154">
        <f t="shared" si="13"/>
        <v>0</v>
      </c>
    </row>
    <row r="394" spans="1:22">
      <c r="A394" s="154">
        <f>'MATCH CALCS'!A395</f>
        <v>0</v>
      </c>
      <c r="B394" s="154">
        <f>'MATCH CALCS'!$C395</f>
        <v>0</v>
      </c>
      <c r="C394" s="154">
        <f t="shared" si="9"/>
        <v>0</v>
      </c>
      <c r="D394" s="6">
        <f>'MATCH CALCS'!$G395*2</f>
        <v>0</v>
      </c>
      <c r="E394" s="6">
        <f>'MATCH CALCS'!$G395*2</f>
        <v>0</v>
      </c>
      <c r="F394" s="6">
        <f>'MATCH CALCS'!$G395*2</f>
        <v>0</v>
      </c>
      <c r="G394" s="6">
        <f>'MATCH CALCS'!$G395*2</f>
        <v>0</v>
      </c>
      <c r="H394" s="6">
        <f>'MATCH CALCS'!$G395*2</f>
        <v>0</v>
      </c>
      <c r="I394" s="6">
        <f>'MATCH CALCS'!$G395*2</f>
        <v>0</v>
      </c>
      <c r="J394" s="154">
        <f t="shared" si="10"/>
        <v>0</v>
      </c>
      <c r="K394" s="6">
        <f>'MATCH CALCS'!L395*1</f>
        <v>0</v>
      </c>
      <c r="L394" s="6">
        <f>'MATCH CALCS'!$N395*2</f>
        <v>0</v>
      </c>
      <c r="M394" s="6">
        <f>'MATCH CALCS'!N395*1</f>
        <v>0</v>
      </c>
      <c r="N394" s="6">
        <f>'MATCH CALCS'!$N395*2</f>
        <v>0</v>
      </c>
      <c r="O394" s="6">
        <f>'MATCH CALCS'!$N395*2</f>
        <v>0</v>
      </c>
      <c r="P394" s="6">
        <f>'MATCH CALCS'!$P395*5</f>
        <v>0</v>
      </c>
      <c r="Q394" s="154">
        <f t="shared" si="11"/>
        <v>0</v>
      </c>
      <c r="R394" s="6">
        <f>'MATCH CALCS'!$AD395*1</f>
        <v>0</v>
      </c>
      <c r="S394" s="6">
        <f>'MATCH CALCS'!AC395*3</f>
        <v>0</v>
      </c>
      <c r="T394" s="6">
        <f>'MATCH CALCS'!AD395*3</f>
        <v>0</v>
      </c>
      <c r="U394" s="155">
        <f t="shared" si="12"/>
        <v>0</v>
      </c>
      <c r="V394" s="154">
        <f t="shared" si="13"/>
        <v>0</v>
      </c>
    </row>
    <row r="395" spans="1:22">
      <c r="A395" s="154">
        <f>'MATCH CALCS'!A396</f>
        <v>0</v>
      </c>
      <c r="B395" s="154">
        <f>'MATCH CALCS'!$C396</f>
        <v>0</v>
      </c>
      <c r="C395" s="154">
        <f t="shared" si="9"/>
        <v>0</v>
      </c>
      <c r="D395" s="6">
        <f>'MATCH CALCS'!$G396*2</f>
        <v>0</v>
      </c>
      <c r="E395" s="6">
        <f>'MATCH CALCS'!$G396*2</f>
        <v>0</v>
      </c>
      <c r="F395" s="6">
        <f>'MATCH CALCS'!$G396*2</f>
        <v>0</v>
      </c>
      <c r="G395" s="6">
        <f>'MATCH CALCS'!$G396*2</f>
        <v>0</v>
      </c>
      <c r="H395" s="6">
        <f>'MATCH CALCS'!$G396*2</f>
        <v>0</v>
      </c>
      <c r="I395" s="6">
        <f>'MATCH CALCS'!$G396*2</f>
        <v>0</v>
      </c>
      <c r="J395" s="154">
        <f t="shared" si="10"/>
        <v>0</v>
      </c>
      <c r="K395" s="6">
        <f>'MATCH CALCS'!L396*1</f>
        <v>0</v>
      </c>
      <c r="L395" s="6">
        <f>'MATCH CALCS'!$N396*2</f>
        <v>0</v>
      </c>
      <c r="M395" s="6">
        <f>'MATCH CALCS'!N396*1</f>
        <v>0</v>
      </c>
      <c r="N395" s="6">
        <f>'MATCH CALCS'!$N396*2</f>
        <v>0</v>
      </c>
      <c r="O395" s="6">
        <f>'MATCH CALCS'!$N396*2</f>
        <v>0</v>
      </c>
      <c r="P395" s="6">
        <f>'MATCH CALCS'!$P396*5</f>
        <v>0</v>
      </c>
      <c r="Q395" s="154">
        <f t="shared" si="11"/>
        <v>0</v>
      </c>
      <c r="R395" s="6">
        <f>'MATCH CALCS'!$AD396*1</f>
        <v>0</v>
      </c>
      <c r="S395" s="6">
        <f>'MATCH CALCS'!AC396*3</f>
        <v>0</v>
      </c>
      <c r="T395" s="6">
        <f>'MATCH CALCS'!AD396*3</f>
        <v>0</v>
      </c>
      <c r="U395" s="155">
        <f t="shared" si="12"/>
        <v>0</v>
      </c>
      <c r="V395" s="154">
        <f t="shared" si="13"/>
        <v>0</v>
      </c>
    </row>
    <row r="396" spans="1:22">
      <c r="A396" s="154">
        <f>'MATCH CALCS'!A397</f>
        <v>0</v>
      </c>
      <c r="B396" s="154">
        <f>'MATCH CALCS'!$C397</f>
        <v>0</v>
      </c>
      <c r="C396" s="154">
        <f t="shared" si="9"/>
        <v>0</v>
      </c>
      <c r="D396" s="6">
        <f>'MATCH CALCS'!$G397*2</f>
        <v>0</v>
      </c>
      <c r="E396" s="6">
        <f>'MATCH CALCS'!$G397*2</f>
        <v>0</v>
      </c>
      <c r="F396" s="6">
        <f>'MATCH CALCS'!$G397*2</f>
        <v>0</v>
      </c>
      <c r="G396" s="6">
        <f>'MATCH CALCS'!$G397*2</f>
        <v>0</v>
      </c>
      <c r="H396" s="6">
        <f>'MATCH CALCS'!$G397*2</f>
        <v>0</v>
      </c>
      <c r="I396" s="6">
        <f>'MATCH CALCS'!$G397*2</f>
        <v>0</v>
      </c>
      <c r="J396" s="154">
        <f t="shared" si="10"/>
        <v>0</v>
      </c>
      <c r="K396" s="6">
        <f>'MATCH CALCS'!L397*1</f>
        <v>0</v>
      </c>
      <c r="L396" s="6">
        <f>'MATCH CALCS'!$N397*2</f>
        <v>0</v>
      </c>
      <c r="M396" s="6">
        <f>'MATCH CALCS'!N397*1</f>
        <v>0</v>
      </c>
      <c r="N396" s="6">
        <f>'MATCH CALCS'!$N397*2</f>
        <v>0</v>
      </c>
      <c r="O396" s="6">
        <f>'MATCH CALCS'!$N397*2</f>
        <v>0</v>
      </c>
      <c r="P396" s="6">
        <f>'MATCH CALCS'!$P397*5</f>
        <v>0</v>
      </c>
      <c r="Q396" s="154">
        <f t="shared" si="11"/>
        <v>0</v>
      </c>
      <c r="R396" s="6">
        <f>'MATCH CALCS'!$AD397*1</f>
        <v>0</v>
      </c>
      <c r="S396" s="6">
        <f>'MATCH CALCS'!AC397*3</f>
        <v>0</v>
      </c>
      <c r="T396" s="6">
        <f>'MATCH CALCS'!AD397*3</f>
        <v>0</v>
      </c>
      <c r="U396" s="155">
        <f t="shared" si="12"/>
        <v>0</v>
      </c>
      <c r="V396" s="154">
        <f t="shared" si="13"/>
        <v>0</v>
      </c>
    </row>
    <row r="397" spans="1:22">
      <c r="A397" s="154">
        <f>'MATCH CALCS'!A398</f>
        <v>0</v>
      </c>
      <c r="B397" s="154">
        <f>'MATCH CALCS'!$C398</f>
        <v>0</v>
      </c>
      <c r="C397" s="154">
        <f t="shared" si="9"/>
        <v>0</v>
      </c>
      <c r="D397" s="6">
        <f>'MATCH CALCS'!$G398*2</f>
        <v>0</v>
      </c>
      <c r="E397" s="6">
        <f>'MATCH CALCS'!$G398*2</f>
        <v>0</v>
      </c>
      <c r="F397" s="6">
        <f>'MATCH CALCS'!$G398*2</f>
        <v>0</v>
      </c>
      <c r="G397" s="6">
        <f>'MATCH CALCS'!$G398*2</f>
        <v>0</v>
      </c>
      <c r="H397" s="6">
        <f>'MATCH CALCS'!$G398*2</f>
        <v>0</v>
      </c>
      <c r="I397" s="6">
        <f>'MATCH CALCS'!$G398*2</f>
        <v>0</v>
      </c>
      <c r="J397" s="154">
        <f t="shared" si="10"/>
        <v>0</v>
      </c>
      <c r="K397" s="6">
        <f>'MATCH CALCS'!L398*1</f>
        <v>0</v>
      </c>
      <c r="L397" s="6">
        <f>'MATCH CALCS'!$N398*2</f>
        <v>0</v>
      </c>
      <c r="M397" s="6">
        <f>'MATCH CALCS'!N398*1</f>
        <v>0</v>
      </c>
      <c r="N397" s="6">
        <f>'MATCH CALCS'!$N398*2</f>
        <v>0</v>
      </c>
      <c r="O397" s="6">
        <f>'MATCH CALCS'!$N398*2</f>
        <v>0</v>
      </c>
      <c r="P397" s="6">
        <f>'MATCH CALCS'!$P398*5</f>
        <v>0</v>
      </c>
      <c r="Q397" s="154">
        <f t="shared" si="11"/>
        <v>0</v>
      </c>
      <c r="R397" s="6">
        <f>'MATCH CALCS'!$AD398*1</f>
        <v>0</v>
      </c>
      <c r="S397" s="6">
        <f>'MATCH CALCS'!AC398*3</f>
        <v>0</v>
      </c>
      <c r="T397" s="6">
        <f>'MATCH CALCS'!AD398*3</f>
        <v>0</v>
      </c>
      <c r="U397" s="155">
        <f t="shared" si="12"/>
        <v>0</v>
      </c>
      <c r="V397" s="154">
        <f t="shared" si="13"/>
        <v>0</v>
      </c>
    </row>
    <row r="398" spans="1:22">
      <c r="A398" s="154">
        <f>'MATCH CALCS'!A399</f>
        <v>0</v>
      </c>
      <c r="B398" s="154">
        <f>'MATCH CALCS'!$C399</f>
        <v>0</v>
      </c>
      <c r="C398" s="154">
        <f t="shared" si="9"/>
        <v>0</v>
      </c>
      <c r="D398" s="6">
        <f>'MATCH CALCS'!$G399*2</f>
        <v>0</v>
      </c>
      <c r="E398" s="6">
        <f>'MATCH CALCS'!$G399*2</f>
        <v>0</v>
      </c>
      <c r="F398" s="6">
        <f>'MATCH CALCS'!$G399*2</f>
        <v>0</v>
      </c>
      <c r="G398" s="6">
        <f>'MATCH CALCS'!$G399*2</f>
        <v>0</v>
      </c>
      <c r="H398" s="6">
        <f>'MATCH CALCS'!$G399*2</f>
        <v>0</v>
      </c>
      <c r="I398" s="6">
        <f>'MATCH CALCS'!$G399*2</f>
        <v>0</v>
      </c>
      <c r="J398" s="154">
        <f t="shared" si="10"/>
        <v>0</v>
      </c>
      <c r="K398" s="6">
        <f>'MATCH CALCS'!L399*1</f>
        <v>0</v>
      </c>
      <c r="L398" s="6">
        <f>'MATCH CALCS'!$N399*2</f>
        <v>0</v>
      </c>
      <c r="M398" s="6">
        <f>'MATCH CALCS'!N399*1</f>
        <v>0</v>
      </c>
      <c r="N398" s="6">
        <f>'MATCH CALCS'!$N399*2</f>
        <v>0</v>
      </c>
      <c r="O398" s="6">
        <f>'MATCH CALCS'!$N399*2</f>
        <v>0</v>
      </c>
      <c r="P398" s="6">
        <f>'MATCH CALCS'!$P399*5</f>
        <v>0</v>
      </c>
      <c r="Q398" s="154">
        <f t="shared" si="11"/>
        <v>0</v>
      </c>
      <c r="R398" s="6">
        <f>'MATCH CALCS'!$AD399*1</f>
        <v>0</v>
      </c>
      <c r="S398" s="6">
        <f>'MATCH CALCS'!AC399*3</f>
        <v>0</v>
      </c>
      <c r="T398" s="6">
        <f>'MATCH CALCS'!AD399*3</f>
        <v>0</v>
      </c>
      <c r="U398" s="155">
        <f t="shared" si="12"/>
        <v>0</v>
      </c>
      <c r="V398" s="154">
        <f t="shared" si="13"/>
        <v>0</v>
      </c>
    </row>
    <row r="399" spans="1:22">
      <c r="A399" s="154">
        <f>'MATCH CALCS'!A400</f>
        <v>0</v>
      </c>
      <c r="B399" s="154">
        <f>'MATCH CALCS'!$C400</f>
        <v>0</v>
      </c>
      <c r="C399" s="154">
        <f t="shared" si="9"/>
        <v>0</v>
      </c>
      <c r="D399" s="6">
        <f>'MATCH CALCS'!$G400*2</f>
        <v>0</v>
      </c>
      <c r="E399" s="6">
        <f>'MATCH CALCS'!$G400*2</f>
        <v>0</v>
      </c>
      <c r="F399" s="6">
        <f>'MATCH CALCS'!$G400*2</f>
        <v>0</v>
      </c>
      <c r="G399" s="6">
        <f>'MATCH CALCS'!$G400*2</f>
        <v>0</v>
      </c>
      <c r="H399" s="6">
        <f>'MATCH CALCS'!$G400*2</f>
        <v>0</v>
      </c>
      <c r="I399" s="6">
        <f>'MATCH CALCS'!$G400*2</f>
        <v>0</v>
      </c>
      <c r="J399" s="154">
        <f t="shared" si="10"/>
        <v>0</v>
      </c>
      <c r="K399" s="6">
        <f>'MATCH CALCS'!L400*1</f>
        <v>0</v>
      </c>
      <c r="L399" s="6">
        <f>'MATCH CALCS'!$N400*2</f>
        <v>0</v>
      </c>
      <c r="M399" s="6">
        <f>'MATCH CALCS'!N400*1</f>
        <v>0</v>
      </c>
      <c r="N399" s="6">
        <f>'MATCH CALCS'!$N400*2</f>
        <v>0</v>
      </c>
      <c r="O399" s="6">
        <f>'MATCH CALCS'!$N400*2</f>
        <v>0</v>
      </c>
      <c r="P399" s="6">
        <f>'MATCH CALCS'!$P400*5</f>
        <v>0</v>
      </c>
      <c r="Q399" s="154">
        <f t="shared" si="11"/>
        <v>0</v>
      </c>
      <c r="R399" s="6">
        <f>'MATCH CALCS'!$AD400*1</f>
        <v>0</v>
      </c>
      <c r="S399" s="6">
        <f>'MATCH CALCS'!AC400*3</f>
        <v>0</v>
      </c>
      <c r="T399" s="6">
        <f>'MATCH CALCS'!AD400*3</f>
        <v>0</v>
      </c>
      <c r="U399" s="155">
        <f t="shared" si="12"/>
        <v>0</v>
      </c>
      <c r="V399" s="154">
        <f t="shared" si="13"/>
        <v>0</v>
      </c>
    </row>
    <row r="400" spans="1:22">
      <c r="A400" s="154">
        <f>'MATCH CALCS'!A401</f>
        <v>0</v>
      </c>
      <c r="B400" s="154">
        <f>'MATCH CALCS'!$C401</f>
        <v>0</v>
      </c>
      <c r="C400" s="154">
        <f t="shared" si="9"/>
        <v>0</v>
      </c>
      <c r="D400" s="6">
        <f>'MATCH CALCS'!$G401*2</f>
        <v>0</v>
      </c>
      <c r="E400" s="6">
        <f>'MATCH CALCS'!$G401*2</f>
        <v>0</v>
      </c>
      <c r="F400" s="6">
        <f>'MATCH CALCS'!$G401*2</f>
        <v>0</v>
      </c>
      <c r="G400" s="6">
        <f>'MATCH CALCS'!$G401*2</f>
        <v>0</v>
      </c>
      <c r="H400" s="6">
        <f>'MATCH CALCS'!$G401*2</f>
        <v>0</v>
      </c>
      <c r="I400" s="6">
        <f>'MATCH CALCS'!$G401*2</f>
        <v>0</v>
      </c>
      <c r="J400" s="154">
        <f t="shared" si="10"/>
        <v>0</v>
      </c>
      <c r="K400" s="6">
        <f>'MATCH CALCS'!L401*1</f>
        <v>0</v>
      </c>
      <c r="L400" s="6">
        <f>'MATCH CALCS'!$N401*2</f>
        <v>0</v>
      </c>
      <c r="M400" s="6">
        <f>'MATCH CALCS'!N401*1</f>
        <v>0</v>
      </c>
      <c r="N400" s="6">
        <f>'MATCH CALCS'!$N401*2</f>
        <v>0</v>
      </c>
      <c r="O400" s="6">
        <f>'MATCH CALCS'!$N401*2</f>
        <v>0</v>
      </c>
      <c r="P400" s="6">
        <f>'MATCH CALCS'!$P401*5</f>
        <v>0</v>
      </c>
      <c r="Q400" s="154">
        <f t="shared" si="11"/>
        <v>0</v>
      </c>
      <c r="R400" s="6">
        <f>'MATCH CALCS'!$AD401*1</f>
        <v>0</v>
      </c>
      <c r="S400" s="6">
        <f>'MATCH CALCS'!AC401*3</f>
        <v>0</v>
      </c>
      <c r="T400" s="6">
        <f>'MATCH CALCS'!AD401*3</f>
        <v>0</v>
      </c>
      <c r="U400" s="155">
        <f t="shared" si="12"/>
        <v>0</v>
      </c>
      <c r="V400" s="154">
        <f t="shared" si="13"/>
        <v>0</v>
      </c>
    </row>
    <row r="401" spans="1:22">
      <c r="A401" s="154">
        <f>'MATCH CALCS'!A402</f>
        <v>0</v>
      </c>
      <c r="B401" s="154">
        <f>'MATCH CALCS'!$C402</f>
        <v>0</v>
      </c>
      <c r="C401" s="154">
        <f t="shared" si="9"/>
        <v>0</v>
      </c>
      <c r="D401" s="6">
        <f>'MATCH CALCS'!$G402*2</f>
        <v>0</v>
      </c>
      <c r="E401" s="6">
        <f>'MATCH CALCS'!$G402*2</f>
        <v>0</v>
      </c>
      <c r="F401" s="6">
        <f>'MATCH CALCS'!$G402*2</f>
        <v>0</v>
      </c>
      <c r="G401" s="6">
        <f>'MATCH CALCS'!$G402*2</f>
        <v>0</v>
      </c>
      <c r="H401" s="6">
        <f>'MATCH CALCS'!$G402*2</f>
        <v>0</v>
      </c>
      <c r="I401" s="6">
        <f>'MATCH CALCS'!$G402*2</f>
        <v>0</v>
      </c>
      <c r="J401" s="154">
        <f t="shared" si="10"/>
        <v>0</v>
      </c>
      <c r="K401" s="6">
        <f>'MATCH CALCS'!L402*1</f>
        <v>0</v>
      </c>
      <c r="L401" s="6">
        <f>'MATCH CALCS'!$N402*2</f>
        <v>0</v>
      </c>
      <c r="M401" s="6">
        <f>'MATCH CALCS'!N402*1</f>
        <v>0</v>
      </c>
      <c r="N401" s="6">
        <f>'MATCH CALCS'!$N402*2</f>
        <v>0</v>
      </c>
      <c r="O401" s="6">
        <f>'MATCH CALCS'!$N402*2</f>
        <v>0</v>
      </c>
      <c r="P401" s="6">
        <f>'MATCH CALCS'!$P402*5</f>
        <v>0</v>
      </c>
      <c r="Q401" s="154">
        <f t="shared" si="11"/>
        <v>0</v>
      </c>
      <c r="R401" s="6">
        <f>'MATCH CALCS'!$AD402*1</f>
        <v>0</v>
      </c>
      <c r="S401" s="6">
        <f>'MATCH CALCS'!AC402*3</f>
        <v>0</v>
      </c>
      <c r="T401" s="6">
        <f>'MATCH CALCS'!AD402*3</f>
        <v>0</v>
      </c>
      <c r="U401" s="155">
        <f t="shared" si="12"/>
        <v>0</v>
      </c>
      <c r="V401" s="154">
        <f t="shared" si="13"/>
        <v>0</v>
      </c>
    </row>
    <row r="402" spans="1:22">
      <c r="A402" s="154">
        <f>'MATCH CALCS'!A403</f>
        <v>0</v>
      </c>
      <c r="B402" s="154">
        <f>'MATCH CALCS'!$C403</f>
        <v>0</v>
      </c>
      <c r="C402" s="154">
        <f t="shared" si="9"/>
        <v>0</v>
      </c>
      <c r="D402" s="6">
        <f>'MATCH CALCS'!$G403*2</f>
        <v>0</v>
      </c>
      <c r="E402" s="6">
        <f>'MATCH CALCS'!$G403*2</f>
        <v>0</v>
      </c>
      <c r="F402" s="6">
        <f>'MATCH CALCS'!$G403*2</f>
        <v>0</v>
      </c>
      <c r="G402" s="6">
        <f>'MATCH CALCS'!$G403*2</f>
        <v>0</v>
      </c>
      <c r="H402" s="6">
        <f>'MATCH CALCS'!$G403*2</f>
        <v>0</v>
      </c>
      <c r="I402" s="6">
        <f>'MATCH CALCS'!$G403*2</f>
        <v>0</v>
      </c>
      <c r="J402" s="154">
        <f t="shared" si="10"/>
        <v>0</v>
      </c>
      <c r="K402" s="6">
        <f>'MATCH CALCS'!L403*1</f>
        <v>0</v>
      </c>
      <c r="L402" s="6">
        <f>'MATCH CALCS'!$N403*2</f>
        <v>0</v>
      </c>
      <c r="M402" s="6">
        <f>'MATCH CALCS'!N403*1</f>
        <v>0</v>
      </c>
      <c r="N402" s="6">
        <f>'MATCH CALCS'!$N403*2</f>
        <v>0</v>
      </c>
      <c r="O402" s="6">
        <f>'MATCH CALCS'!$N403*2</f>
        <v>0</v>
      </c>
      <c r="P402" s="6">
        <f>'MATCH CALCS'!$P403*5</f>
        <v>0</v>
      </c>
      <c r="Q402" s="154">
        <f t="shared" si="11"/>
        <v>0</v>
      </c>
      <c r="R402" s="6">
        <f>'MATCH CALCS'!$AD403*1</f>
        <v>0</v>
      </c>
      <c r="S402" s="6">
        <f>'MATCH CALCS'!AC403*3</f>
        <v>0</v>
      </c>
      <c r="T402" s="6">
        <f>'MATCH CALCS'!AD403*3</f>
        <v>0</v>
      </c>
      <c r="U402" s="155">
        <f t="shared" si="12"/>
        <v>0</v>
      </c>
      <c r="V402" s="154">
        <f t="shared" si="13"/>
        <v>0</v>
      </c>
    </row>
    <row r="403" spans="1:22">
      <c r="A403" s="154">
        <f>'MATCH CALCS'!A404</f>
        <v>0</v>
      </c>
      <c r="B403" s="154">
        <f>'MATCH CALCS'!$C404</f>
        <v>0</v>
      </c>
      <c r="C403" s="154">
        <f t="shared" si="9"/>
        <v>0</v>
      </c>
      <c r="D403" s="6">
        <f>'MATCH CALCS'!$G404*2</f>
        <v>0</v>
      </c>
      <c r="E403" s="6">
        <f>'MATCH CALCS'!$G404*2</f>
        <v>0</v>
      </c>
      <c r="F403" s="6">
        <f>'MATCH CALCS'!$G404*2</f>
        <v>0</v>
      </c>
      <c r="G403" s="6">
        <f>'MATCH CALCS'!$G404*2</f>
        <v>0</v>
      </c>
      <c r="H403" s="6">
        <f>'MATCH CALCS'!$G404*2</f>
        <v>0</v>
      </c>
      <c r="I403" s="6">
        <f>'MATCH CALCS'!$G404*2</f>
        <v>0</v>
      </c>
      <c r="J403" s="154">
        <f t="shared" si="10"/>
        <v>0</v>
      </c>
      <c r="K403" s="6">
        <f>'MATCH CALCS'!L404*1</f>
        <v>0</v>
      </c>
      <c r="L403" s="6">
        <f>'MATCH CALCS'!$N404*2</f>
        <v>0</v>
      </c>
      <c r="M403" s="6">
        <f>'MATCH CALCS'!N404*1</f>
        <v>0</v>
      </c>
      <c r="N403" s="6">
        <f>'MATCH CALCS'!$N404*2</f>
        <v>0</v>
      </c>
      <c r="O403" s="6">
        <f>'MATCH CALCS'!$N404*2</f>
        <v>0</v>
      </c>
      <c r="P403" s="6">
        <f>'MATCH CALCS'!$P404*5</f>
        <v>0</v>
      </c>
      <c r="Q403" s="154">
        <f t="shared" si="11"/>
        <v>0</v>
      </c>
      <c r="R403" s="6">
        <f>'MATCH CALCS'!$AD404*1</f>
        <v>0</v>
      </c>
      <c r="S403" s="6">
        <f>'MATCH CALCS'!AC404*3</f>
        <v>0</v>
      </c>
      <c r="T403" s="6">
        <f>'MATCH CALCS'!AD404*3</f>
        <v>0</v>
      </c>
      <c r="U403" s="155">
        <f t="shared" si="12"/>
        <v>0</v>
      </c>
      <c r="V403" s="154">
        <f t="shared" si="13"/>
        <v>0</v>
      </c>
    </row>
    <row r="404" spans="1:22">
      <c r="A404" s="154">
        <f>'MATCH CALCS'!A405</f>
        <v>0</v>
      </c>
      <c r="B404" s="154">
        <f>'MATCH CALCS'!$C405</f>
        <v>0</v>
      </c>
      <c r="C404" s="154">
        <f t="shared" si="9"/>
        <v>0</v>
      </c>
      <c r="D404" s="6">
        <f>'MATCH CALCS'!$G405*2</f>
        <v>0</v>
      </c>
      <c r="E404" s="6">
        <f>'MATCH CALCS'!$G405*2</f>
        <v>0</v>
      </c>
      <c r="F404" s="6">
        <f>'MATCH CALCS'!$G405*2</f>
        <v>0</v>
      </c>
      <c r="G404" s="6">
        <f>'MATCH CALCS'!$G405*2</f>
        <v>0</v>
      </c>
      <c r="H404" s="6">
        <f>'MATCH CALCS'!$G405*2</f>
        <v>0</v>
      </c>
      <c r="I404" s="6">
        <f>'MATCH CALCS'!$G405*2</f>
        <v>0</v>
      </c>
      <c r="J404" s="154">
        <f t="shared" si="10"/>
        <v>0</v>
      </c>
      <c r="K404" s="6">
        <f>'MATCH CALCS'!L405*1</f>
        <v>0</v>
      </c>
      <c r="L404" s="6">
        <f>'MATCH CALCS'!$N405*2</f>
        <v>0</v>
      </c>
      <c r="M404" s="6">
        <f>'MATCH CALCS'!N405*1</f>
        <v>0</v>
      </c>
      <c r="N404" s="6">
        <f>'MATCH CALCS'!$N405*2</f>
        <v>0</v>
      </c>
      <c r="O404" s="6">
        <f>'MATCH CALCS'!$N405*2</f>
        <v>0</v>
      </c>
      <c r="P404" s="6">
        <f>'MATCH CALCS'!$P405*5</f>
        <v>0</v>
      </c>
      <c r="Q404" s="154">
        <f t="shared" si="11"/>
        <v>0</v>
      </c>
      <c r="R404" s="6">
        <f>'MATCH CALCS'!$AD405*1</f>
        <v>0</v>
      </c>
      <c r="S404" s="6">
        <f>'MATCH CALCS'!AC405*3</f>
        <v>0</v>
      </c>
      <c r="T404" s="6">
        <f>'MATCH CALCS'!AD405*3</f>
        <v>0</v>
      </c>
      <c r="U404" s="155">
        <f t="shared" si="12"/>
        <v>0</v>
      </c>
      <c r="V404" s="154">
        <f t="shared" si="13"/>
        <v>0</v>
      </c>
    </row>
    <row r="405" spans="1:22">
      <c r="A405" s="154">
        <f>'MATCH CALCS'!A406</f>
        <v>0</v>
      </c>
      <c r="B405" s="154">
        <f>'MATCH CALCS'!$C406</f>
        <v>0</v>
      </c>
      <c r="C405" s="154">
        <f t="shared" si="9"/>
        <v>0</v>
      </c>
      <c r="D405" s="6">
        <f>'MATCH CALCS'!$G406*2</f>
        <v>0</v>
      </c>
      <c r="E405" s="6">
        <f>'MATCH CALCS'!$G406*2</f>
        <v>0</v>
      </c>
      <c r="F405" s="6">
        <f>'MATCH CALCS'!$G406*2</f>
        <v>0</v>
      </c>
      <c r="G405" s="6">
        <f>'MATCH CALCS'!$G406*2</f>
        <v>0</v>
      </c>
      <c r="H405" s="6">
        <f>'MATCH CALCS'!$G406*2</f>
        <v>0</v>
      </c>
      <c r="I405" s="6">
        <f>'MATCH CALCS'!$G406*2</f>
        <v>0</v>
      </c>
      <c r="J405" s="154">
        <f t="shared" si="10"/>
        <v>0</v>
      </c>
      <c r="K405" s="6">
        <f>'MATCH CALCS'!L406*1</f>
        <v>0</v>
      </c>
      <c r="L405" s="6">
        <f>'MATCH CALCS'!$N406*2</f>
        <v>0</v>
      </c>
      <c r="M405" s="6">
        <f>'MATCH CALCS'!N406*1</f>
        <v>0</v>
      </c>
      <c r="N405" s="6">
        <f>'MATCH CALCS'!$N406*2</f>
        <v>0</v>
      </c>
      <c r="O405" s="6">
        <f>'MATCH CALCS'!$N406*2</f>
        <v>0</v>
      </c>
      <c r="P405" s="6">
        <f>'MATCH CALCS'!$P406*5</f>
        <v>0</v>
      </c>
      <c r="Q405" s="154">
        <f t="shared" si="11"/>
        <v>0</v>
      </c>
      <c r="R405" s="6">
        <f>'MATCH CALCS'!$AD406*1</f>
        <v>0</v>
      </c>
      <c r="S405" s="6">
        <f>'MATCH CALCS'!AC406*3</f>
        <v>0</v>
      </c>
      <c r="T405" s="6">
        <f>'MATCH CALCS'!AD406*3</f>
        <v>0</v>
      </c>
      <c r="U405" s="155">
        <f t="shared" si="12"/>
        <v>0</v>
      </c>
      <c r="V405" s="154">
        <f t="shared" si="13"/>
        <v>0</v>
      </c>
    </row>
    <row r="406" spans="1:22">
      <c r="A406" s="154">
        <f>'MATCH CALCS'!A407</f>
        <v>0</v>
      </c>
      <c r="B406" s="154">
        <f>'MATCH CALCS'!$C407</f>
        <v>0</v>
      </c>
      <c r="C406" s="154">
        <f t="shared" si="9"/>
        <v>0</v>
      </c>
      <c r="D406" s="6">
        <f>'MATCH CALCS'!$G407*2</f>
        <v>0</v>
      </c>
      <c r="E406" s="6">
        <f>'MATCH CALCS'!$G407*2</f>
        <v>0</v>
      </c>
      <c r="F406" s="6">
        <f>'MATCH CALCS'!$G407*2</f>
        <v>0</v>
      </c>
      <c r="G406" s="6">
        <f>'MATCH CALCS'!$G407*2</f>
        <v>0</v>
      </c>
      <c r="H406" s="6">
        <f>'MATCH CALCS'!$G407*2</f>
        <v>0</v>
      </c>
      <c r="I406" s="6">
        <f>'MATCH CALCS'!$G407*2</f>
        <v>0</v>
      </c>
      <c r="J406" s="154">
        <f t="shared" si="10"/>
        <v>0</v>
      </c>
      <c r="K406" s="6">
        <f>'MATCH CALCS'!L407*1</f>
        <v>0</v>
      </c>
      <c r="L406" s="6">
        <f>'MATCH CALCS'!$N407*2</f>
        <v>0</v>
      </c>
      <c r="M406" s="6">
        <f>'MATCH CALCS'!N407*1</f>
        <v>0</v>
      </c>
      <c r="N406" s="6">
        <f>'MATCH CALCS'!$N407*2</f>
        <v>0</v>
      </c>
      <c r="O406" s="6">
        <f>'MATCH CALCS'!$N407*2</f>
        <v>0</v>
      </c>
      <c r="P406" s="6">
        <f>'MATCH CALCS'!$P407*5</f>
        <v>0</v>
      </c>
      <c r="Q406" s="154">
        <f t="shared" si="11"/>
        <v>0</v>
      </c>
      <c r="R406" s="6">
        <f>'MATCH CALCS'!$AD407*1</f>
        <v>0</v>
      </c>
      <c r="S406" s="6">
        <f>'MATCH CALCS'!AC407*3</f>
        <v>0</v>
      </c>
      <c r="T406" s="6">
        <f>'MATCH CALCS'!AD407*3</f>
        <v>0</v>
      </c>
      <c r="U406" s="155">
        <f t="shared" si="12"/>
        <v>0</v>
      </c>
      <c r="V406" s="154">
        <f t="shared" si="13"/>
        <v>0</v>
      </c>
    </row>
    <row r="407" spans="1:22">
      <c r="A407" s="154">
        <f>'MATCH CALCS'!A408</f>
        <v>0</v>
      </c>
      <c r="B407" s="154">
        <f>'MATCH CALCS'!$C408</f>
        <v>0</v>
      </c>
      <c r="C407" s="154">
        <f t="shared" si="9"/>
        <v>0</v>
      </c>
      <c r="D407" s="6">
        <f>'MATCH CALCS'!$G408*2</f>
        <v>0</v>
      </c>
      <c r="E407" s="6">
        <f>'MATCH CALCS'!$G408*2</f>
        <v>0</v>
      </c>
      <c r="F407" s="6">
        <f>'MATCH CALCS'!$G408*2</f>
        <v>0</v>
      </c>
      <c r="G407" s="6">
        <f>'MATCH CALCS'!$G408*2</f>
        <v>0</v>
      </c>
      <c r="H407" s="6">
        <f>'MATCH CALCS'!$G408*2</f>
        <v>0</v>
      </c>
      <c r="I407" s="6">
        <f>'MATCH CALCS'!$G408*2</f>
        <v>0</v>
      </c>
      <c r="J407" s="154">
        <f t="shared" si="10"/>
        <v>0</v>
      </c>
      <c r="K407" s="6">
        <f>'MATCH CALCS'!L408*1</f>
        <v>0</v>
      </c>
      <c r="L407" s="6">
        <f>'MATCH CALCS'!$N408*2</f>
        <v>0</v>
      </c>
      <c r="M407" s="6">
        <f>'MATCH CALCS'!N408*1</f>
        <v>0</v>
      </c>
      <c r="N407" s="6">
        <f>'MATCH CALCS'!$N408*2</f>
        <v>0</v>
      </c>
      <c r="O407" s="6">
        <f>'MATCH CALCS'!$N408*2</f>
        <v>0</v>
      </c>
      <c r="P407" s="6">
        <f>'MATCH CALCS'!$P408*5</f>
        <v>0</v>
      </c>
      <c r="Q407" s="154">
        <f t="shared" si="11"/>
        <v>0</v>
      </c>
      <c r="R407" s="6">
        <f>'MATCH CALCS'!$AD408*1</f>
        <v>0</v>
      </c>
      <c r="S407" s="6">
        <f>'MATCH CALCS'!AC408*3</f>
        <v>0</v>
      </c>
      <c r="T407" s="6">
        <f>'MATCH CALCS'!AD408*3</f>
        <v>0</v>
      </c>
      <c r="U407" s="155">
        <f t="shared" si="12"/>
        <v>0</v>
      </c>
      <c r="V407" s="154">
        <f t="shared" si="13"/>
        <v>0</v>
      </c>
    </row>
    <row r="408" spans="1:22">
      <c r="A408" s="154">
        <f>'MATCH CALCS'!A409</f>
        <v>0</v>
      </c>
      <c r="B408" s="154">
        <f>'MATCH CALCS'!$C409</f>
        <v>0</v>
      </c>
      <c r="C408" s="154">
        <f t="shared" si="9"/>
        <v>0</v>
      </c>
      <c r="D408" s="6">
        <f>'MATCH CALCS'!$G409*2</f>
        <v>0</v>
      </c>
      <c r="E408" s="6">
        <f>'MATCH CALCS'!$G409*2</f>
        <v>0</v>
      </c>
      <c r="F408" s="6">
        <f>'MATCH CALCS'!$G409*2</f>
        <v>0</v>
      </c>
      <c r="G408" s="6">
        <f>'MATCH CALCS'!$G409*2</f>
        <v>0</v>
      </c>
      <c r="H408" s="6">
        <f>'MATCH CALCS'!$G409*2</f>
        <v>0</v>
      </c>
      <c r="I408" s="6">
        <f>'MATCH CALCS'!$G409*2</f>
        <v>0</v>
      </c>
      <c r="J408" s="154">
        <f t="shared" si="10"/>
        <v>0</v>
      </c>
      <c r="K408" s="6">
        <f>'MATCH CALCS'!L409*1</f>
        <v>0</v>
      </c>
      <c r="L408" s="6">
        <f>'MATCH CALCS'!$N409*2</f>
        <v>0</v>
      </c>
      <c r="M408" s="6">
        <f>'MATCH CALCS'!N409*1</f>
        <v>0</v>
      </c>
      <c r="N408" s="6">
        <f>'MATCH CALCS'!$N409*2</f>
        <v>0</v>
      </c>
      <c r="O408" s="6">
        <f>'MATCH CALCS'!$N409*2</f>
        <v>0</v>
      </c>
      <c r="P408" s="6">
        <f>'MATCH CALCS'!$P409*5</f>
        <v>0</v>
      </c>
      <c r="Q408" s="154">
        <f t="shared" si="11"/>
        <v>0</v>
      </c>
      <c r="R408" s="6">
        <f>'MATCH CALCS'!$AD409*1</f>
        <v>0</v>
      </c>
      <c r="S408" s="6">
        <f>'MATCH CALCS'!AC409*3</f>
        <v>0</v>
      </c>
      <c r="T408" s="6">
        <f>'MATCH CALCS'!AD409*3</f>
        <v>0</v>
      </c>
      <c r="U408" s="155">
        <f t="shared" si="12"/>
        <v>0</v>
      </c>
      <c r="V408" s="154">
        <f t="shared" si="13"/>
        <v>0</v>
      </c>
    </row>
    <row r="409" spans="1:22">
      <c r="A409" s="154">
        <f>'MATCH CALCS'!A410</f>
        <v>0</v>
      </c>
      <c r="B409" s="154">
        <f>'MATCH CALCS'!$C410</f>
        <v>0</v>
      </c>
      <c r="C409" s="154">
        <f t="shared" si="9"/>
        <v>0</v>
      </c>
      <c r="D409" s="6">
        <f>'MATCH CALCS'!$G410*2</f>
        <v>0</v>
      </c>
      <c r="E409" s="6">
        <f>'MATCH CALCS'!$G410*2</f>
        <v>0</v>
      </c>
      <c r="F409" s="6">
        <f>'MATCH CALCS'!$G410*2</f>
        <v>0</v>
      </c>
      <c r="G409" s="6">
        <f>'MATCH CALCS'!$G410*2</f>
        <v>0</v>
      </c>
      <c r="H409" s="6">
        <f>'MATCH CALCS'!$G410*2</f>
        <v>0</v>
      </c>
      <c r="I409" s="6">
        <f>'MATCH CALCS'!$G410*2</f>
        <v>0</v>
      </c>
      <c r="J409" s="154">
        <f t="shared" si="10"/>
        <v>0</v>
      </c>
      <c r="K409" s="6">
        <f>'MATCH CALCS'!L410*1</f>
        <v>0</v>
      </c>
      <c r="L409" s="6">
        <f>'MATCH CALCS'!$N410*2</f>
        <v>0</v>
      </c>
      <c r="M409" s="6">
        <f>'MATCH CALCS'!N410*1</f>
        <v>0</v>
      </c>
      <c r="N409" s="6">
        <f>'MATCH CALCS'!$N410*2</f>
        <v>0</v>
      </c>
      <c r="O409" s="6">
        <f>'MATCH CALCS'!$N410*2</f>
        <v>0</v>
      </c>
      <c r="P409" s="6">
        <f>'MATCH CALCS'!$P410*5</f>
        <v>0</v>
      </c>
      <c r="Q409" s="154">
        <f t="shared" si="11"/>
        <v>0</v>
      </c>
      <c r="R409" s="6">
        <f>'MATCH CALCS'!$AD410*1</f>
        <v>0</v>
      </c>
      <c r="S409" s="6">
        <f>'MATCH CALCS'!AC410*3</f>
        <v>0</v>
      </c>
      <c r="T409" s="6">
        <f>'MATCH CALCS'!AD410*3</f>
        <v>0</v>
      </c>
      <c r="U409" s="155">
        <f t="shared" si="12"/>
        <v>0</v>
      </c>
      <c r="V409" s="154">
        <f t="shared" si="13"/>
        <v>0</v>
      </c>
    </row>
    <row r="410" spans="1:22">
      <c r="A410" s="154">
        <f>'MATCH CALCS'!A411</f>
        <v>0</v>
      </c>
      <c r="B410" s="154">
        <f>'MATCH CALCS'!$C411</f>
        <v>0</v>
      </c>
      <c r="C410" s="154">
        <f t="shared" si="9"/>
        <v>0</v>
      </c>
      <c r="D410" s="6">
        <f>'MATCH CALCS'!$G411*2</f>
        <v>0</v>
      </c>
      <c r="E410" s="6">
        <f>'MATCH CALCS'!$G411*2</f>
        <v>0</v>
      </c>
      <c r="F410" s="6">
        <f>'MATCH CALCS'!$G411*2</f>
        <v>0</v>
      </c>
      <c r="G410" s="6">
        <f>'MATCH CALCS'!$G411*2</f>
        <v>0</v>
      </c>
      <c r="H410" s="6">
        <f>'MATCH CALCS'!$G411*2</f>
        <v>0</v>
      </c>
      <c r="I410" s="6">
        <f>'MATCH CALCS'!$G411*2</f>
        <v>0</v>
      </c>
      <c r="J410" s="154">
        <f t="shared" si="10"/>
        <v>0</v>
      </c>
      <c r="K410" s="6">
        <f>'MATCH CALCS'!L411*1</f>
        <v>0</v>
      </c>
      <c r="L410" s="6">
        <f>'MATCH CALCS'!$N411*2</f>
        <v>0</v>
      </c>
      <c r="M410" s="6">
        <f>'MATCH CALCS'!N411*1</f>
        <v>0</v>
      </c>
      <c r="N410" s="6">
        <f>'MATCH CALCS'!$N411*2</f>
        <v>0</v>
      </c>
      <c r="O410" s="6">
        <f>'MATCH CALCS'!$N411*2</f>
        <v>0</v>
      </c>
      <c r="P410" s="6">
        <f>'MATCH CALCS'!$P411*5</f>
        <v>0</v>
      </c>
      <c r="Q410" s="154">
        <f t="shared" si="11"/>
        <v>0</v>
      </c>
      <c r="R410" s="6">
        <f>'MATCH CALCS'!$AD411*1</f>
        <v>0</v>
      </c>
      <c r="S410" s="6">
        <f>'MATCH CALCS'!AC411*3</f>
        <v>0</v>
      </c>
      <c r="T410" s="6">
        <f>'MATCH CALCS'!AD411*3</f>
        <v>0</v>
      </c>
      <c r="U410" s="155">
        <f t="shared" si="12"/>
        <v>0</v>
      </c>
      <c r="V410" s="154">
        <f t="shared" si="13"/>
        <v>0</v>
      </c>
    </row>
    <row r="411" spans="1:22">
      <c r="A411" s="154">
        <f>'MATCH CALCS'!A412</f>
        <v>0</v>
      </c>
      <c r="B411" s="154">
        <f>'MATCH CALCS'!$C412</f>
        <v>0</v>
      </c>
      <c r="C411" s="154">
        <f t="shared" si="9"/>
        <v>0</v>
      </c>
      <c r="D411" s="6">
        <f>'MATCH CALCS'!$G412*2</f>
        <v>0</v>
      </c>
      <c r="E411" s="6">
        <f>'MATCH CALCS'!$G412*2</f>
        <v>0</v>
      </c>
      <c r="F411" s="6">
        <f>'MATCH CALCS'!$G412*2</f>
        <v>0</v>
      </c>
      <c r="G411" s="6">
        <f>'MATCH CALCS'!$G412*2</f>
        <v>0</v>
      </c>
      <c r="H411" s="6">
        <f>'MATCH CALCS'!$G412*2</f>
        <v>0</v>
      </c>
      <c r="I411" s="6">
        <f>'MATCH CALCS'!$G412*2</f>
        <v>0</v>
      </c>
      <c r="J411" s="154">
        <f t="shared" si="10"/>
        <v>0</v>
      </c>
      <c r="K411" s="6">
        <f>'MATCH CALCS'!L412*1</f>
        <v>0</v>
      </c>
      <c r="L411" s="6">
        <f>'MATCH CALCS'!$N412*2</f>
        <v>0</v>
      </c>
      <c r="M411" s="6">
        <f>'MATCH CALCS'!N412*1</f>
        <v>0</v>
      </c>
      <c r="N411" s="6">
        <f>'MATCH CALCS'!$N412*2</f>
        <v>0</v>
      </c>
      <c r="O411" s="6">
        <f>'MATCH CALCS'!$N412*2</f>
        <v>0</v>
      </c>
      <c r="P411" s="6">
        <f>'MATCH CALCS'!$P412*5</f>
        <v>0</v>
      </c>
      <c r="Q411" s="154">
        <f t="shared" si="11"/>
        <v>0</v>
      </c>
      <c r="R411" s="6">
        <f>'MATCH CALCS'!$AD412*1</f>
        <v>0</v>
      </c>
      <c r="S411" s="6">
        <f>'MATCH CALCS'!AC412*3</f>
        <v>0</v>
      </c>
      <c r="T411" s="6">
        <f>'MATCH CALCS'!AD412*3</f>
        <v>0</v>
      </c>
      <c r="U411" s="155">
        <f t="shared" si="12"/>
        <v>0</v>
      </c>
      <c r="V411" s="154">
        <f t="shared" si="13"/>
        <v>0</v>
      </c>
    </row>
    <row r="412" spans="1:22">
      <c r="A412" s="154">
        <f>'MATCH CALCS'!A413</f>
        <v>0</v>
      </c>
      <c r="B412" s="154">
        <f>'MATCH CALCS'!$C413</f>
        <v>0</v>
      </c>
      <c r="C412" s="154">
        <f t="shared" si="9"/>
        <v>0</v>
      </c>
      <c r="D412" s="6">
        <f>'MATCH CALCS'!$G413*2</f>
        <v>0</v>
      </c>
      <c r="E412" s="6">
        <f>'MATCH CALCS'!$G413*2</f>
        <v>0</v>
      </c>
      <c r="F412" s="6">
        <f>'MATCH CALCS'!$G413*2</f>
        <v>0</v>
      </c>
      <c r="G412" s="6">
        <f>'MATCH CALCS'!$G413*2</f>
        <v>0</v>
      </c>
      <c r="H412" s="6">
        <f>'MATCH CALCS'!$G413*2</f>
        <v>0</v>
      </c>
      <c r="I412" s="6">
        <f>'MATCH CALCS'!$G413*2</f>
        <v>0</v>
      </c>
      <c r="J412" s="154">
        <f t="shared" si="10"/>
        <v>0</v>
      </c>
      <c r="K412" s="6">
        <f>'MATCH CALCS'!L413*1</f>
        <v>0</v>
      </c>
      <c r="L412" s="6">
        <f>'MATCH CALCS'!$N413*2</f>
        <v>0</v>
      </c>
      <c r="M412" s="6">
        <f>'MATCH CALCS'!N413*1</f>
        <v>0</v>
      </c>
      <c r="N412" s="6">
        <f>'MATCH CALCS'!$N413*2</f>
        <v>0</v>
      </c>
      <c r="O412" s="6">
        <f>'MATCH CALCS'!$N413*2</f>
        <v>0</v>
      </c>
      <c r="P412" s="6">
        <f>'MATCH CALCS'!$P413*5</f>
        <v>0</v>
      </c>
      <c r="Q412" s="154">
        <f t="shared" si="11"/>
        <v>0</v>
      </c>
      <c r="R412" s="6">
        <f>'MATCH CALCS'!$AD413*1</f>
        <v>0</v>
      </c>
      <c r="S412" s="6">
        <f>'MATCH CALCS'!AC413*3</f>
        <v>0</v>
      </c>
      <c r="T412" s="6">
        <f>'MATCH CALCS'!AD413*3</f>
        <v>0</v>
      </c>
      <c r="U412" s="155">
        <f t="shared" si="12"/>
        <v>0</v>
      </c>
      <c r="V412" s="154">
        <f t="shared" si="13"/>
        <v>0</v>
      </c>
    </row>
    <row r="413" spans="1:22">
      <c r="A413" s="154">
        <f>'MATCH CALCS'!A414</f>
        <v>0</v>
      </c>
      <c r="B413" s="154">
        <f>'MATCH CALCS'!$C414</f>
        <v>0</v>
      </c>
      <c r="C413" s="154">
        <f t="shared" si="9"/>
        <v>0</v>
      </c>
      <c r="D413" s="6">
        <f>'MATCH CALCS'!$G414*2</f>
        <v>0</v>
      </c>
      <c r="E413" s="6">
        <f>'MATCH CALCS'!$G414*2</f>
        <v>0</v>
      </c>
      <c r="F413" s="6">
        <f>'MATCH CALCS'!$G414*2</f>
        <v>0</v>
      </c>
      <c r="G413" s="6">
        <f>'MATCH CALCS'!$G414*2</f>
        <v>0</v>
      </c>
      <c r="H413" s="6">
        <f>'MATCH CALCS'!$G414*2</f>
        <v>0</v>
      </c>
      <c r="I413" s="6">
        <f>'MATCH CALCS'!$G414*2</f>
        <v>0</v>
      </c>
      <c r="J413" s="154">
        <f t="shared" si="10"/>
        <v>0</v>
      </c>
      <c r="K413" s="6">
        <f>'MATCH CALCS'!L414*1</f>
        <v>0</v>
      </c>
      <c r="L413" s="6">
        <f>'MATCH CALCS'!$N414*2</f>
        <v>0</v>
      </c>
      <c r="M413" s="6">
        <f>'MATCH CALCS'!N414*1</f>
        <v>0</v>
      </c>
      <c r="N413" s="6">
        <f>'MATCH CALCS'!$N414*2</f>
        <v>0</v>
      </c>
      <c r="O413" s="6">
        <f>'MATCH CALCS'!$N414*2</f>
        <v>0</v>
      </c>
      <c r="P413" s="6">
        <f>'MATCH CALCS'!$P414*5</f>
        <v>0</v>
      </c>
      <c r="Q413" s="154">
        <f t="shared" si="11"/>
        <v>0</v>
      </c>
      <c r="R413" s="6">
        <f>'MATCH CALCS'!$AD414*1</f>
        <v>0</v>
      </c>
      <c r="S413" s="6">
        <f>'MATCH CALCS'!AC414*3</f>
        <v>0</v>
      </c>
      <c r="T413" s="6">
        <f>'MATCH CALCS'!AD414*3</f>
        <v>0</v>
      </c>
      <c r="U413" s="155">
        <f t="shared" si="12"/>
        <v>0</v>
      </c>
      <c r="V413" s="154">
        <f t="shared" si="13"/>
        <v>0</v>
      </c>
    </row>
    <row r="414" spans="1:22">
      <c r="A414" s="154">
        <f>'MATCH CALCS'!A415</f>
        <v>0</v>
      </c>
      <c r="B414" s="154">
        <f>'MATCH CALCS'!$C415</f>
        <v>0</v>
      </c>
      <c r="C414" s="154">
        <f t="shared" si="9"/>
        <v>0</v>
      </c>
      <c r="D414" s="6">
        <f>'MATCH CALCS'!$G415*2</f>
        <v>0</v>
      </c>
      <c r="E414" s="6">
        <f>'MATCH CALCS'!$G415*2</f>
        <v>0</v>
      </c>
      <c r="F414" s="6">
        <f>'MATCH CALCS'!$G415*2</f>
        <v>0</v>
      </c>
      <c r="G414" s="6">
        <f>'MATCH CALCS'!$G415*2</f>
        <v>0</v>
      </c>
      <c r="H414" s="6">
        <f>'MATCH CALCS'!$G415*2</f>
        <v>0</v>
      </c>
      <c r="I414" s="6">
        <f>'MATCH CALCS'!$G415*2</f>
        <v>0</v>
      </c>
      <c r="J414" s="154">
        <f t="shared" si="10"/>
        <v>0</v>
      </c>
      <c r="K414" s="6">
        <f>'MATCH CALCS'!L415*1</f>
        <v>0</v>
      </c>
      <c r="L414" s="6">
        <f>'MATCH CALCS'!$N415*2</f>
        <v>0</v>
      </c>
      <c r="M414" s="6">
        <f>'MATCH CALCS'!N415*1</f>
        <v>0</v>
      </c>
      <c r="N414" s="6">
        <f>'MATCH CALCS'!$N415*2</f>
        <v>0</v>
      </c>
      <c r="O414" s="6">
        <f>'MATCH CALCS'!$N415*2</f>
        <v>0</v>
      </c>
      <c r="P414" s="6">
        <f>'MATCH CALCS'!$P415*5</f>
        <v>0</v>
      </c>
      <c r="Q414" s="154">
        <f t="shared" si="11"/>
        <v>0</v>
      </c>
      <c r="R414" s="6">
        <f>'MATCH CALCS'!$AD415*1</f>
        <v>0</v>
      </c>
      <c r="S414" s="6">
        <f>'MATCH CALCS'!AC415*3</f>
        <v>0</v>
      </c>
      <c r="T414" s="6">
        <f>'MATCH CALCS'!AD415*3</f>
        <v>0</v>
      </c>
      <c r="U414" s="155">
        <f t="shared" si="12"/>
        <v>0</v>
      </c>
      <c r="V414" s="154">
        <f t="shared" si="13"/>
        <v>0</v>
      </c>
    </row>
    <row r="415" spans="1:22">
      <c r="A415" s="154">
        <f>'MATCH CALCS'!A416</f>
        <v>0</v>
      </c>
      <c r="B415" s="154">
        <f>'MATCH CALCS'!$C416</f>
        <v>0</v>
      </c>
      <c r="C415" s="154">
        <f t="shared" si="9"/>
        <v>0</v>
      </c>
      <c r="D415" s="6">
        <f>'MATCH CALCS'!$G416*2</f>
        <v>0</v>
      </c>
      <c r="E415" s="6">
        <f>'MATCH CALCS'!$G416*2</f>
        <v>0</v>
      </c>
      <c r="F415" s="6">
        <f>'MATCH CALCS'!$G416*2</f>
        <v>0</v>
      </c>
      <c r="G415" s="6">
        <f>'MATCH CALCS'!$G416*2</f>
        <v>0</v>
      </c>
      <c r="H415" s="6">
        <f>'MATCH CALCS'!$G416*2</f>
        <v>0</v>
      </c>
      <c r="I415" s="6">
        <f>'MATCH CALCS'!$G416*2</f>
        <v>0</v>
      </c>
      <c r="J415" s="154">
        <f t="shared" si="10"/>
        <v>0</v>
      </c>
      <c r="K415" s="6">
        <f>'MATCH CALCS'!L416*1</f>
        <v>0</v>
      </c>
      <c r="L415" s="6">
        <f>'MATCH CALCS'!$N416*2</f>
        <v>0</v>
      </c>
      <c r="M415" s="6">
        <f>'MATCH CALCS'!N416*1</f>
        <v>0</v>
      </c>
      <c r="N415" s="6">
        <f>'MATCH CALCS'!$N416*2</f>
        <v>0</v>
      </c>
      <c r="O415" s="6">
        <f>'MATCH CALCS'!$N416*2</f>
        <v>0</v>
      </c>
      <c r="P415" s="6">
        <f>'MATCH CALCS'!$P416*5</f>
        <v>0</v>
      </c>
      <c r="Q415" s="154">
        <f t="shared" si="11"/>
        <v>0</v>
      </c>
      <c r="R415" s="6">
        <f>'MATCH CALCS'!$AD416*1</f>
        <v>0</v>
      </c>
      <c r="S415" s="6">
        <f>'MATCH CALCS'!AC416*3</f>
        <v>0</v>
      </c>
      <c r="T415" s="6">
        <f>'MATCH CALCS'!AD416*3</f>
        <v>0</v>
      </c>
      <c r="U415" s="155">
        <f t="shared" si="12"/>
        <v>0</v>
      </c>
      <c r="V415" s="154">
        <f t="shared" si="13"/>
        <v>0</v>
      </c>
    </row>
    <row r="416" spans="1:22">
      <c r="A416" s="154">
        <f>'MATCH CALCS'!A417</f>
        <v>0</v>
      </c>
      <c r="B416" s="154">
        <f>'MATCH CALCS'!$C417</f>
        <v>0</v>
      </c>
      <c r="C416" s="154">
        <f t="shared" si="9"/>
        <v>0</v>
      </c>
      <c r="D416" s="6">
        <f>'MATCH CALCS'!$G417*2</f>
        <v>0</v>
      </c>
      <c r="E416" s="6">
        <f>'MATCH CALCS'!$G417*2</f>
        <v>0</v>
      </c>
      <c r="F416" s="6">
        <f>'MATCH CALCS'!$G417*2</f>
        <v>0</v>
      </c>
      <c r="G416" s="6">
        <f>'MATCH CALCS'!$G417*2</f>
        <v>0</v>
      </c>
      <c r="H416" s="6">
        <f>'MATCH CALCS'!$G417*2</f>
        <v>0</v>
      </c>
      <c r="I416" s="6">
        <f>'MATCH CALCS'!$G417*2</f>
        <v>0</v>
      </c>
      <c r="J416" s="154">
        <f t="shared" si="10"/>
        <v>0</v>
      </c>
      <c r="K416" s="6">
        <f>'MATCH CALCS'!L417*1</f>
        <v>0</v>
      </c>
      <c r="L416" s="6">
        <f>'MATCH CALCS'!$N417*2</f>
        <v>0</v>
      </c>
      <c r="M416" s="6">
        <f>'MATCH CALCS'!N417*1</f>
        <v>0</v>
      </c>
      <c r="N416" s="6">
        <f>'MATCH CALCS'!$N417*2</f>
        <v>0</v>
      </c>
      <c r="O416" s="6">
        <f>'MATCH CALCS'!$N417*2</f>
        <v>0</v>
      </c>
      <c r="P416" s="6">
        <f>'MATCH CALCS'!$P417*5</f>
        <v>0</v>
      </c>
      <c r="Q416" s="154">
        <f t="shared" si="11"/>
        <v>0</v>
      </c>
      <c r="R416" s="6">
        <f>'MATCH CALCS'!$AD417*1</f>
        <v>0</v>
      </c>
      <c r="S416" s="6">
        <f>'MATCH CALCS'!AC417*3</f>
        <v>0</v>
      </c>
      <c r="T416" s="6">
        <f>'MATCH CALCS'!AD417*3</f>
        <v>0</v>
      </c>
      <c r="U416" s="155">
        <f t="shared" si="12"/>
        <v>0</v>
      </c>
      <c r="V416" s="154">
        <f t="shared" si="13"/>
        <v>0</v>
      </c>
    </row>
    <row r="417" spans="1:22">
      <c r="A417" s="154">
        <f>'MATCH CALCS'!A418</f>
        <v>0</v>
      </c>
      <c r="B417" s="154">
        <f>'MATCH CALCS'!$C418</f>
        <v>0</v>
      </c>
      <c r="C417" s="154">
        <f t="shared" si="9"/>
        <v>0</v>
      </c>
      <c r="D417" s="6">
        <f>'MATCH CALCS'!$G418*2</f>
        <v>0</v>
      </c>
      <c r="E417" s="6">
        <f>'MATCH CALCS'!$G418*2</f>
        <v>0</v>
      </c>
      <c r="F417" s="6">
        <f>'MATCH CALCS'!$G418*2</f>
        <v>0</v>
      </c>
      <c r="G417" s="6">
        <f>'MATCH CALCS'!$G418*2</f>
        <v>0</v>
      </c>
      <c r="H417" s="6">
        <f>'MATCH CALCS'!$G418*2</f>
        <v>0</v>
      </c>
      <c r="I417" s="6">
        <f>'MATCH CALCS'!$G418*2</f>
        <v>0</v>
      </c>
      <c r="J417" s="154">
        <f t="shared" si="10"/>
        <v>0</v>
      </c>
      <c r="K417" s="6">
        <f>'MATCH CALCS'!L418*1</f>
        <v>0</v>
      </c>
      <c r="L417" s="6">
        <f>'MATCH CALCS'!$N418*2</f>
        <v>0</v>
      </c>
      <c r="M417" s="6">
        <f>'MATCH CALCS'!N418*1</f>
        <v>0</v>
      </c>
      <c r="N417" s="6">
        <f>'MATCH CALCS'!$N418*2</f>
        <v>0</v>
      </c>
      <c r="O417" s="6">
        <f>'MATCH CALCS'!$N418*2</f>
        <v>0</v>
      </c>
      <c r="P417" s="6">
        <f>'MATCH CALCS'!$P418*5</f>
        <v>0</v>
      </c>
      <c r="Q417" s="154">
        <f t="shared" si="11"/>
        <v>0</v>
      </c>
      <c r="R417" s="6">
        <f>'MATCH CALCS'!$AD418*1</f>
        <v>0</v>
      </c>
      <c r="S417" s="6">
        <f>'MATCH CALCS'!AC418*3</f>
        <v>0</v>
      </c>
      <c r="T417" s="6">
        <f>'MATCH CALCS'!AD418*3</f>
        <v>0</v>
      </c>
      <c r="U417" s="155">
        <f t="shared" si="12"/>
        <v>0</v>
      </c>
      <c r="V417" s="154">
        <f t="shared" si="13"/>
        <v>0</v>
      </c>
    </row>
    <row r="418" spans="1:22">
      <c r="A418" s="154">
        <f>'MATCH CALCS'!A419</f>
        <v>0</v>
      </c>
      <c r="B418" s="154">
        <f>'MATCH CALCS'!$C419</f>
        <v>0</v>
      </c>
      <c r="C418" s="154">
        <f t="shared" si="9"/>
        <v>0</v>
      </c>
      <c r="D418" s="6">
        <f>'MATCH CALCS'!$G419*2</f>
        <v>0</v>
      </c>
      <c r="E418" s="6">
        <f>'MATCH CALCS'!$G419*2</f>
        <v>0</v>
      </c>
      <c r="F418" s="6">
        <f>'MATCH CALCS'!$G419*2</f>
        <v>0</v>
      </c>
      <c r="G418" s="6">
        <f>'MATCH CALCS'!$G419*2</f>
        <v>0</v>
      </c>
      <c r="H418" s="6">
        <f>'MATCH CALCS'!$G419*2</f>
        <v>0</v>
      </c>
      <c r="I418" s="6">
        <f>'MATCH CALCS'!$G419*2</f>
        <v>0</v>
      </c>
      <c r="J418" s="154">
        <f t="shared" si="10"/>
        <v>0</v>
      </c>
      <c r="K418" s="6">
        <f>'MATCH CALCS'!L419*1</f>
        <v>0</v>
      </c>
      <c r="L418" s="6">
        <f>'MATCH CALCS'!$N419*2</f>
        <v>0</v>
      </c>
      <c r="M418" s="6">
        <f>'MATCH CALCS'!N419*1</f>
        <v>0</v>
      </c>
      <c r="N418" s="6">
        <f>'MATCH CALCS'!$N419*2</f>
        <v>0</v>
      </c>
      <c r="O418" s="6">
        <f>'MATCH CALCS'!$N419*2</f>
        <v>0</v>
      </c>
      <c r="P418" s="6">
        <f>'MATCH CALCS'!$P419*5</f>
        <v>0</v>
      </c>
      <c r="Q418" s="154">
        <f t="shared" si="11"/>
        <v>0</v>
      </c>
      <c r="R418" s="6">
        <f>'MATCH CALCS'!$AD419*1</f>
        <v>0</v>
      </c>
      <c r="S418" s="6">
        <f>'MATCH CALCS'!AC419*3</f>
        <v>0</v>
      </c>
      <c r="T418" s="6">
        <f>'MATCH CALCS'!AD419*3</f>
        <v>0</v>
      </c>
      <c r="U418" s="155">
        <f t="shared" si="12"/>
        <v>0</v>
      </c>
      <c r="V418" s="154">
        <f t="shared" si="13"/>
        <v>0</v>
      </c>
    </row>
    <row r="419" spans="1:22">
      <c r="A419" s="154">
        <f>'MATCH CALCS'!A420</f>
        <v>0</v>
      </c>
      <c r="B419" s="154">
        <f>'MATCH CALCS'!$C420</f>
        <v>0</v>
      </c>
      <c r="C419" s="154">
        <f t="shared" si="9"/>
        <v>0</v>
      </c>
      <c r="D419" s="6">
        <f>'MATCH CALCS'!$G420*2</f>
        <v>0</v>
      </c>
      <c r="E419" s="6">
        <f>'MATCH CALCS'!$G420*2</f>
        <v>0</v>
      </c>
      <c r="F419" s="6">
        <f>'MATCH CALCS'!$G420*2</f>
        <v>0</v>
      </c>
      <c r="G419" s="6">
        <f>'MATCH CALCS'!$G420*2</f>
        <v>0</v>
      </c>
      <c r="H419" s="6">
        <f>'MATCH CALCS'!$G420*2</f>
        <v>0</v>
      </c>
      <c r="I419" s="6">
        <f>'MATCH CALCS'!$G420*2</f>
        <v>0</v>
      </c>
      <c r="J419" s="154">
        <f t="shared" si="10"/>
        <v>0</v>
      </c>
      <c r="K419" s="6">
        <f>'MATCH CALCS'!L420*1</f>
        <v>0</v>
      </c>
      <c r="L419" s="6">
        <f>'MATCH CALCS'!$N420*2</f>
        <v>0</v>
      </c>
      <c r="M419" s="6">
        <f>'MATCH CALCS'!N420*1</f>
        <v>0</v>
      </c>
      <c r="N419" s="6">
        <f>'MATCH CALCS'!$N420*2</f>
        <v>0</v>
      </c>
      <c r="O419" s="6">
        <f>'MATCH CALCS'!$N420*2</f>
        <v>0</v>
      </c>
      <c r="P419" s="6">
        <f>'MATCH CALCS'!$P420*5</f>
        <v>0</v>
      </c>
      <c r="Q419" s="154">
        <f t="shared" si="11"/>
        <v>0</v>
      </c>
      <c r="R419" s="6">
        <f>'MATCH CALCS'!$AD420*1</f>
        <v>0</v>
      </c>
      <c r="S419" s="6">
        <f>'MATCH CALCS'!AC420*3</f>
        <v>0</v>
      </c>
      <c r="T419" s="6">
        <f>'MATCH CALCS'!AD420*3</f>
        <v>0</v>
      </c>
      <c r="U419" s="155">
        <f t="shared" si="12"/>
        <v>0</v>
      </c>
      <c r="V419" s="154">
        <f t="shared" si="13"/>
        <v>0</v>
      </c>
    </row>
    <row r="420" spans="1:22">
      <c r="A420" s="154">
        <f>'MATCH CALCS'!A421</f>
        <v>0</v>
      </c>
      <c r="B420" s="154">
        <f>'MATCH CALCS'!$C421</f>
        <v>0</v>
      </c>
      <c r="C420" s="154">
        <f t="shared" si="9"/>
        <v>0</v>
      </c>
      <c r="D420" s="6">
        <f>'MATCH CALCS'!$G421*2</f>
        <v>0</v>
      </c>
      <c r="E420" s="6">
        <f>'MATCH CALCS'!$G421*2</f>
        <v>0</v>
      </c>
      <c r="F420" s="6">
        <f>'MATCH CALCS'!$G421*2</f>
        <v>0</v>
      </c>
      <c r="G420" s="6">
        <f>'MATCH CALCS'!$G421*2</f>
        <v>0</v>
      </c>
      <c r="H420" s="6">
        <f>'MATCH CALCS'!$G421*2</f>
        <v>0</v>
      </c>
      <c r="I420" s="6">
        <f>'MATCH CALCS'!$G421*2</f>
        <v>0</v>
      </c>
      <c r="J420" s="154">
        <f t="shared" si="10"/>
        <v>0</v>
      </c>
      <c r="K420" s="6">
        <f>'MATCH CALCS'!L421*1</f>
        <v>0</v>
      </c>
      <c r="L420" s="6">
        <f>'MATCH CALCS'!$N421*2</f>
        <v>0</v>
      </c>
      <c r="M420" s="6">
        <f>'MATCH CALCS'!N421*1</f>
        <v>0</v>
      </c>
      <c r="N420" s="6">
        <f>'MATCH CALCS'!$N421*2</f>
        <v>0</v>
      </c>
      <c r="O420" s="6">
        <f>'MATCH CALCS'!$N421*2</f>
        <v>0</v>
      </c>
      <c r="P420" s="6">
        <f>'MATCH CALCS'!$P421*5</f>
        <v>0</v>
      </c>
      <c r="Q420" s="154">
        <f t="shared" si="11"/>
        <v>0</v>
      </c>
      <c r="R420" s="6">
        <f>'MATCH CALCS'!$AD421*1</f>
        <v>0</v>
      </c>
      <c r="S420" s="6">
        <f>'MATCH CALCS'!AC421*3</f>
        <v>0</v>
      </c>
      <c r="T420" s="6">
        <f>'MATCH CALCS'!AD421*3</f>
        <v>0</v>
      </c>
      <c r="U420" s="155">
        <f t="shared" si="12"/>
        <v>0</v>
      </c>
      <c r="V420" s="154">
        <f t="shared" si="13"/>
        <v>0</v>
      </c>
    </row>
    <row r="421" spans="1:22">
      <c r="A421" s="154">
        <f>'MATCH CALCS'!A422</f>
        <v>0</v>
      </c>
      <c r="B421" s="154">
        <f>'MATCH CALCS'!$C422</f>
        <v>0</v>
      </c>
      <c r="C421" s="154">
        <f t="shared" si="9"/>
        <v>0</v>
      </c>
      <c r="D421" s="6">
        <f>'MATCH CALCS'!$G422*2</f>
        <v>0</v>
      </c>
      <c r="E421" s="6">
        <f>'MATCH CALCS'!$G422*2</f>
        <v>0</v>
      </c>
      <c r="F421" s="6">
        <f>'MATCH CALCS'!$G422*2</f>
        <v>0</v>
      </c>
      <c r="G421" s="6">
        <f>'MATCH CALCS'!$G422*2</f>
        <v>0</v>
      </c>
      <c r="H421" s="6">
        <f>'MATCH CALCS'!$G422*2</f>
        <v>0</v>
      </c>
      <c r="I421" s="6">
        <f>'MATCH CALCS'!$G422*2</f>
        <v>0</v>
      </c>
      <c r="J421" s="154">
        <f t="shared" si="10"/>
        <v>0</v>
      </c>
      <c r="K421" s="6">
        <f>'MATCH CALCS'!L422*1</f>
        <v>0</v>
      </c>
      <c r="L421" s="6">
        <f>'MATCH CALCS'!$N422*2</f>
        <v>0</v>
      </c>
      <c r="M421" s="6">
        <f>'MATCH CALCS'!N422*1</f>
        <v>0</v>
      </c>
      <c r="N421" s="6">
        <f>'MATCH CALCS'!$N422*2</f>
        <v>0</v>
      </c>
      <c r="O421" s="6">
        <f>'MATCH CALCS'!$N422*2</f>
        <v>0</v>
      </c>
      <c r="P421" s="6">
        <f>'MATCH CALCS'!$P422*5</f>
        <v>0</v>
      </c>
      <c r="Q421" s="154">
        <f t="shared" si="11"/>
        <v>0</v>
      </c>
      <c r="R421" s="6">
        <f>'MATCH CALCS'!$AD422*1</f>
        <v>0</v>
      </c>
      <c r="S421" s="6">
        <f>'MATCH CALCS'!AC422*3</f>
        <v>0</v>
      </c>
      <c r="T421" s="6">
        <f>'MATCH CALCS'!AD422*3</f>
        <v>0</v>
      </c>
      <c r="U421" s="155">
        <f t="shared" si="12"/>
        <v>0</v>
      </c>
      <c r="V421" s="154">
        <f t="shared" si="13"/>
        <v>0</v>
      </c>
    </row>
    <row r="422" spans="1:22">
      <c r="A422" s="154">
        <f>'MATCH CALCS'!A423</f>
        <v>0</v>
      </c>
      <c r="B422" s="154">
        <f>'MATCH CALCS'!$C423</f>
        <v>0</v>
      </c>
      <c r="C422" s="154">
        <f t="shared" si="9"/>
        <v>0</v>
      </c>
      <c r="D422" s="6">
        <f>'MATCH CALCS'!$G423*2</f>
        <v>0</v>
      </c>
      <c r="E422" s="6">
        <f>'MATCH CALCS'!$G423*2</f>
        <v>0</v>
      </c>
      <c r="F422" s="6">
        <f>'MATCH CALCS'!$G423*2</f>
        <v>0</v>
      </c>
      <c r="G422" s="6">
        <f>'MATCH CALCS'!$G423*2</f>
        <v>0</v>
      </c>
      <c r="H422" s="6">
        <f>'MATCH CALCS'!$G423*2</f>
        <v>0</v>
      </c>
      <c r="I422" s="6">
        <f>'MATCH CALCS'!$G423*2</f>
        <v>0</v>
      </c>
      <c r="J422" s="154">
        <f t="shared" si="10"/>
        <v>0</v>
      </c>
      <c r="K422" s="6">
        <f>'MATCH CALCS'!L423*1</f>
        <v>0</v>
      </c>
      <c r="L422" s="6">
        <f>'MATCH CALCS'!$N423*2</f>
        <v>0</v>
      </c>
      <c r="M422" s="6">
        <f>'MATCH CALCS'!N423*1</f>
        <v>0</v>
      </c>
      <c r="N422" s="6">
        <f>'MATCH CALCS'!$N423*2</f>
        <v>0</v>
      </c>
      <c r="O422" s="6">
        <f>'MATCH CALCS'!$N423*2</f>
        <v>0</v>
      </c>
      <c r="P422" s="6">
        <f>'MATCH CALCS'!$P423*5</f>
        <v>0</v>
      </c>
      <c r="Q422" s="154">
        <f t="shared" si="11"/>
        <v>0</v>
      </c>
      <c r="R422" s="6">
        <f>'MATCH CALCS'!$AD423*1</f>
        <v>0</v>
      </c>
      <c r="S422" s="6">
        <f>'MATCH CALCS'!AC423*3</f>
        <v>0</v>
      </c>
      <c r="T422" s="6">
        <f>'MATCH CALCS'!AD423*3</f>
        <v>0</v>
      </c>
      <c r="U422" s="155">
        <f t="shared" si="12"/>
        <v>0</v>
      </c>
      <c r="V422" s="154">
        <f t="shared" si="13"/>
        <v>0</v>
      </c>
    </row>
    <row r="423" spans="1:22">
      <c r="A423" s="154">
        <f>'MATCH CALCS'!A424</f>
        <v>0</v>
      </c>
      <c r="B423" s="154">
        <f>'MATCH CALCS'!$C424</f>
        <v>0</v>
      </c>
      <c r="C423" s="154">
        <f t="shared" si="9"/>
        <v>0</v>
      </c>
      <c r="D423" s="6">
        <f>'MATCH CALCS'!$G424*2</f>
        <v>0</v>
      </c>
      <c r="E423" s="6">
        <f>'MATCH CALCS'!$G424*2</f>
        <v>0</v>
      </c>
      <c r="F423" s="6">
        <f>'MATCH CALCS'!$G424*2</f>
        <v>0</v>
      </c>
      <c r="G423" s="6">
        <f>'MATCH CALCS'!$G424*2</f>
        <v>0</v>
      </c>
      <c r="H423" s="6">
        <f>'MATCH CALCS'!$G424*2</f>
        <v>0</v>
      </c>
      <c r="I423" s="6">
        <f>'MATCH CALCS'!$G424*2</f>
        <v>0</v>
      </c>
      <c r="J423" s="154">
        <f t="shared" si="10"/>
        <v>0</v>
      </c>
      <c r="K423" s="6">
        <f>'MATCH CALCS'!L424*1</f>
        <v>0</v>
      </c>
      <c r="L423" s="6">
        <f>'MATCH CALCS'!$N424*2</f>
        <v>0</v>
      </c>
      <c r="M423" s="6">
        <f>'MATCH CALCS'!N424*1</f>
        <v>0</v>
      </c>
      <c r="N423" s="6">
        <f>'MATCH CALCS'!$N424*2</f>
        <v>0</v>
      </c>
      <c r="O423" s="6">
        <f>'MATCH CALCS'!$N424*2</f>
        <v>0</v>
      </c>
      <c r="P423" s="6">
        <f>'MATCH CALCS'!$P424*5</f>
        <v>0</v>
      </c>
      <c r="Q423" s="154">
        <f t="shared" si="11"/>
        <v>0</v>
      </c>
      <c r="R423" s="6">
        <f>'MATCH CALCS'!$AD424*1</f>
        <v>0</v>
      </c>
      <c r="S423" s="6">
        <f>'MATCH CALCS'!AC424*3</f>
        <v>0</v>
      </c>
      <c r="T423" s="6">
        <f>'MATCH CALCS'!AD424*3</f>
        <v>0</v>
      </c>
      <c r="U423" s="155">
        <f t="shared" si="12"/>
        <v>0</v>
      </c>
      <c r="V423" s="154">
        <f t="shared" si="13"/>
        <v>0</v>
      </c>
    </row>
    <row r="424" spans="1:22">
      <c r="A424" s="154">
        <f>'MATCH CALCS'!A425</f>
        <v>0</v>
      </c>
      <c r="B424" s="154">
        <f>'MATCH CALCS'!$C425</f>
        <v>0</v>
      </c>
      <c r="C424" s="154">
        <f t="shared" si="9"/>
        <v>0</v>
      </c>
      <c r="D424" s="6">
        <f>'MATCH CALCS'!$G425*2</f>
        <v>0</v>
      </c>
      <c r="E424" s="6">
        <f>'MATCH CALCS'!$G425*2</f>
        <v>0</v>
      </c>
      <c r="F424" s="6">
        <f>'MATCH CALCS'!$G425*2</f>
        <v>0</v>
      </c>
      <c r="G424" s="6">
        <f>'MATCH CALCS'!$G425*2</f>
        <v>0</v>
      </c>
      <c r="H424" s="6">
        <f>'MATCH CALCS'!$G425*2</f>
        <v>0</v>
      </c>
      <c r="I424" s="6">
        <f>'MATCH CALCS'!$G425*2</f>
        <v>0</v>
      </c>
      <c r="J424" s="154">
        <f t="shared" si="10"/>
        <v>0</v>
      </c>
      <c r="K424" s="6">
        <f>'MATCH CALCS'!L425*1</f>
        <v>0</v>
      </c>
      <c r="L424" s="6">
        <f>'MATCH CALCS'!$N425*2</f>
        <v>0</v>
      </c>
      <c r="M424" s="6">
        <f>'MATCH CALCS'!N425*1</f>
        <v>0</v>
      </c>
      <c r="N424" s="6">
        <f>'MATCH CALCS'!$N425*2</f>
        <v>0</v>
      </c>
      <c r="O424" s="6">
        <f>'MATCH CALCS'!$N425*2</f>
        <v>0</v>
      </c>
      <c r="P424" s="6">
        <f>'MATCH CALCS'!$P425*5</f>
        <v>0</v>
      </c>
      <c r="Q424" s="154">
        <f t="shared" si="11"/>
        <v>0</v>
      </c>
      <c r="R424" s="6">
        <f>'MATCH CALCS'!$AD425*1</f>
        <v>0</v>
      </c>
      <c r="S424" s="6">
        <f>'MATCH CALCS'!AC425*3</f>
        <v>0</v>
      </c>
      <c r="T424" s="6">
        <f>'MATCH CALCS'!AD425*3</f>
        <v>0</v>
      </c>
      <c r="U424" s="155">
        <f t="shared" si="12"/>
        <v>0</v>
      </c>
      <c r="V424" s="154">
        <f t="shared" si="13"/>
        <v>0</v>
      </c>
    </row>
    <row r="425" spans="1:22">
      <c r="A425" s="154">
        <f>'MATCH CALCS'!A426</f>
        <v>0</v>
      </c>
      <c r="B425" s="154">
        <f>'MATCH CALCS'!$C426</f>
        <v>0</v>
      </c>
      <c r="C425" s="154">
        <f t="shared" si="9"/>
        <v>0</v>
      </c>
      <c r="D425" s="6">
        <f>'MATCH CALCS'!$G426*2</f>
        <v>0</v>
      </c>
      <c r="E425" s="6">
        <f>'MATCH CALCS'!$G426*2</f>
        <v>0</v>
      </c>
      <c r="F425" s="6">
        <f>'MATCH CALCS'!$G426*2</f>
        <v>0</v>
      </c>
      <c r="G425" s="6">
        <f>'MATCH CALCS'!$G426*2</f>
        <v>0</v>
      </c>
      <c r="H425" s="6">
        <f>'MATCH CALCS'!$G426*2</f>
        <v>0</v>
      </c>
      <c r="I425" s="6">
        <f>'MATCH CALCS'!$G426*2</f>
        <v>0</v>
      </c>
      <c r="J425" s="154">
        <f t="shared" si="10"/>
        <v>0</v>
      </c>
      <c r="K425" s="6">
        <f>'MATCH CALCS'!L426*1</f>
        <v>0</v>
      </c>
      <c r="L425" s="6">
        <f>'MATCH CALCS'!$N426*2</f>
        <v>0</v>
      </c>
      <c r="M425" s="6">
        <f>'MATCH CALCS'!N426*1</f>
        <v>0</v>
      </c>
      <c r="N425" s="6">
        <f>'MATCH CALCS'!$N426*2</f>
        <v>0</v>
      </c>
      <c r="O425" s="6">
        <f>'MATCH CALCS'!$N426*2</f>
        <v>0</v>
      </c>
      <c r="P425" s="6">
        <f>'MATCH CALCS'!$P426*5</f>
        <v>0</v>
      </c>
      <c r="Q425" s="154">
        <f t="shared" si="11"/>
        <v>0</v>
      </c>
      <c r="R425" s="6">
        <f>'MATCH CALCS'!$AD426*1</f>
        <v>0</v>
      </c>
      <c r="S425" s="6">
        <f>'MATCH CALCS'!AC426*3</f>
        <v>0</v>
      </c>
      <c r="T425" s="6">
        <f>'MATCH CALCS'!AD426*3</f>
        <v>0</v>
      </c>
      <c r="U425" s="155">
        <f t="shared" si="12"/>
        <v>0</v>
      </c>
      <c r="V425" s="154">
        <f t="shared" si="13"/>
        <v>0</v>
      </c>
    </row>
    <row r="426" spans="1:22">
      <c r="A426" s="154">
        <f>'MATCH CALCS'!A427</f>
        <v>0</v>
      </c>
      <c r="B426" s="154">
        <f>'MATCH CALCS'!$C427</f>
        <v>0</v>
      </c>
      <c r="C426" s="154">
        <f t="shared" si="9"/>
        <v>0</v>
      </c>
      <c r="D426" s="6">
        <f>'MATCH CALCS'!$G427*2</f>
        <v>0</v>
      </c>
      <c r="E426" s="6">
        <f>'MATCH CALCS'!$G427*2</f>
        <v>0</v>
      </c>
      <c r="F426" s="6">
        <f>'MATCH CALCS'!$G427*2</f>
        <v>0</v>
      </c>
      <c r="G426" s="6">
        <f>'MATCH CALCS'!$G427*2</f>
        <v>0</v>
      </c>
      <c r="H426" s="6">
        <f>'MATCH CALCS'!$G427*2</f>
        <v>0</v>
      </c>
      <c r="I426" s="6">
        <f>'MATCH CALCS'!$G427*2</f>
        <v>0</v>
      </c>
      <c r="J426" s="154">
        <f t="shared" si="10"/>
        <v>0</v>
      </c>
      <c r="K426" s="6">
        <f>'MATCH CALCS'!L427*1</f>
        <v>0</v>
      </c>
      <c r="L426" s="6">
        <f>'MATCH CALCS'!$N427*2</f>
        <v>0</v>
      </c>
      <c r="M426" s="6">
        <f>'MATCH CALCS'!N427*1</f>
        <v>0</v>
      </c>
      <c r="N426" s="6">
        <f>'MATCH CALCS'!$N427*2</f>
        <v>0</v>
      </c>
      <c r="O426" s="6">
        <f>'MATCH CALCS'!$N427*2</f>
        <v>0</v>
      </c>
      <c r="P426" s="6">
        <f>'MATCH CALCS'!$P427*5</f>
        <v>0</v>
      </c>
      <c r="Q426" s="154">
        <f t="shared" si="11"/>
        <v>0</v>
      </c>
      <c r="R426" s="6">
        <f>'MATCH CALCS'!$AD427*1</f>
        <v>0</v>
      </c>
      <c r="S426" s="6">
        <f>'MATCH CALCS'!AC427*3</f>
        <v>0</v>
      </c>
      <c r="T426" s="6">
        <f>'MATCH CALCS'!AD427*3</f>
        <v>0</v>
      </c>
      <c r="U426" s="155">
        <f t="shared" si="12"/>
        <v>0</v>
      </c>
      <c r="V426" s="154">
        <f t="shared" si="13"/>
        <v>0</v>
      </c>
    </row>
    <row r="427" spans="1:22">
      <c r="A427" s="154">
        <f>'MATCH CALCS'!A428</f>
        <v>0</v>
      </c>
      <c r="B427" s="154">
        <f>'MATCH CALCS'!$C428</f>
        <v>0</v>
      </c>
      <c r="C427" s="154">
        <f t="shared" si="9"/>
        <v>0</v>
      </c>
      <c r="D427" s="6">
        <f>'MATCH CALCS'!$G428*2</f>
        <v>0</v>
      </c>
      <c r="E427" s="6">
        <f>'MATCH CALCS'!$G428*2</f>
        <v>0</v>
      </c>
      <c r="F427" s="6">
        <f>'MATCH CALCS'!$G428*2</f>
        <v>0</v>
      </c>
      <c r="G427" s="6">
        <f>'MATCH CALCS'!$G428*2</f>
        <v>0</v>
      </c>
      <c r="H427" s="6">
        <f>'MATCH CALCS'!$G428*2</f>
        <v>0</v>
      </c>
      <c r="I427" s="6">
        <f>'MATCH CALCS'!$G428*2</f>
        <v>0</v>
      </c>
      <c r="J427" s="154">
        <f t="shared" si="10"/>
        <v>0</v>
      </c>
      <c r="K427" s="6">
        <f>'MATCH CALCS'!L428*1</f>
        <v>0</v>
      </c>
      <c r="L427" s="6">
        <f>'MATCH CALCS'!$N428*2</f>
        <v>0</v>
      </c>
      <c r="M427" s="6">
        <f>'MATCH CALCS'!N428*1</f>
        <v>0</v>
      </c>
      <c r="N427" s="6">
        <f>'MATCH CALCS'!$N428*2</f>
        <v>0</v>
      </c>
      <c r="O427" s="6">
        <f>'MATCH CALCS'!$N428*2</f>
        <v>0</v>
      </c>
      <c r="P427" s="6">
        <f>'MATCH CALCS'!$P428*5</f>
        <v>0</v>
      </c>
      <c r="Q427" s="154">
        <f t="shared" si="11"/>
        <v>0</v>
      </c>
      <c r="R427" s="6">
        <f>'MATCH CALCS'!$AD428*1</f>
        <v>0</v>
      </c>
      <c r="S427" s="6">
        <f>'MATCH CALCS'!AC428*3</f>
        <v>0</v>
      </c>
      <c r="T427" s="6">
        <f>'MATCH CALCS'!AD428*3</f>
        <v>0</v>
      </c>
      <c r="U427" s="155">
        <f t="shared" si="12"/>
        <v>0</v>
      </c>
      <c r="V427" s="154">
        <f t="shared" si="13"/>
        <v>0</v>
      </c>
    </row>
    <row r="428" spans="1:22">
      <c r="A428" s="154">
        <f>'MATCH CALCS'!A429</f>
        <v>0</v>
      </c>
      <c r="B428" s="154">
        <f>'MATCH CALCS'!$C429</f>
        <v>0</v>
      </c>
      <c r="C428" s="154">
        <f t="shared" si="9"/>
        <v>0</v>
      </c>
      <c r="D428" s="6">
        <f>'MATCH CALCS'!$G429*2</f>
        <v>0</v>
      </c>
      <c r="E428" s="6">
        <f>'MATCH CALCS'!$G429*2</f>
        <v>0</v>
      </c>
      <c r="F428" s="6">
        <f>'MATCH CALCS'!$G429*2</f>
        <v>0</v>
      </c>
      <c r="G428" s="6">
        <f>'MATCH CALCS'!$G429*2</f>
        <v>0</v>
      </c>
      <c r="H428" s="6">
        <f>'MATCH CALCS'!$G429*2</f>
        <v>0</v>
      </c>
      <c r="I428" s="6">
        <f>'MATCH CALCS'!$G429*2</f>
        <v>0</v>
      </c>
      <c r="J428" s="154">
        <f t="shared" si="10"/>
        <v>0</v>
      </c>
      <c r="K428" s="6">
        <f>'MATCH CALCS'!L429*1</f>
        <v>0</v>
      </c>
      <c r="L428" s="6">
        <f>'MATCH CALCS'!$N429*2</f>
        <v>0</v>
      </c>
      <c r="M428" s="6">
        <f>'MATCH CALCS'!N429*1</f>
        <v>0</v>
      </c>
      <c r="N428" s="6">
        <f>'MATCH CALCS'!$N429*2</f>
        <v>0</v>
      </c>
      <c r="O428" s="6">
        <f>'MATCH CALCS'!$N429*2</f>
        <v>0</v>
      </c>
      <c r="P428" s="6">
        <f>'MATCH CALCS'!$P429*5</f>
        <v>0</v>
      </c>
      <c r="Q428" s="154">
        <f t="shared" si="11"/>
        <v>0</v>
      </c>
      <c r="R428" s="6">
        <f>'MATCH CALCS'!$AD429*1</f>
        <v>0</v>
      </c>
      <c r="S428" s="6">
        <f>'MATCH CALCS'!AC429*3</f>
        <v>0</v>
      </c>
      <c r="T428" s="6">
        <f>'MATCH CALCS'!AD429*3</f>
        <v>0</v>
      </c>
      <c r="U428" s="155">
        <f t="shared" si="12"/>
        <v>0</v>
      </c>
      <c r="V428" s="154">
        <f t="shared" si="13"/>
        <v>0</v>
      </c>
    </row>
    <row r="429" spans="1:22">
      <c r="A429" s="154">
        <f>'MATCH CALCS'!A430</f>
        <v>0</v>
      </c>
      <c r="B429" s="154">
        <f>'MATCH CALCS'!$C430</f>
        <v>0</v>
      </c>
      <c r="C429" s="154">
        <f t="shared" si="9"/>
        <v>0</v>
      </c>
      <c r="D429" s="6">
        <f>'MATCH CALCS'!$G430*2</f>
        <v>0</v>
      </c>
      <c r="E429" s="6">
        <f>'MATCH CALCS'!$G430*2</f>
        <v>0</v>
      </c>
      <c r="F429" s="6">
        <f>'MATCH CALCS'!$G430*2</f>
        <v>0</v>
      </c>
      <c r="G429" s="6">
        <f>'MATCH CALCS'!$G430*2</f>
        <v>0</v>
      </c>
      <c r="H429" s="6">
        <f>'MATCH CALCS'!$G430*2</f>
        <v>0</v>
      </c>
      <c r="I429" s="6">
        <f>'MATCH CALCS'!$G430*2</f>
        <v>0</v>
      </c>
      <c r="J429" s="154">
        <f t="shared" si="10"/>
        <v>0</v>
      </c>
      <c r="K429" s="6">
        <f>'MATCH CALCS'!L430*1</f>
        <v>0</v>
      </c>
      <c r="L429" s="6">
        <f>'MATCH CALCS'!$N430*2</f>
        <v>0</v>
      </c>
      <c r="M429" s="6">
        <f>'MATCH CALCS'!N430*1</f>
        <v>0</v>
      </c>
      <c r="N429" s="6">
        <f>'MATCH CALCS'!$N430*2</f>
        <v>0</v>
      </c>
      <c r="O429" s="6">
        <f>'MATCH CALCS'!$N430*2</f>
        <v>0</v>
      </c>
      <c r="P429" s="6">
        <f>'MATCH CALCS'!$P430*5</f>
        <v>0</v>
      </c>
      <c r="Q429" s="154">
        <f t="shared" si="11"/>
        <v>0</v>
      </c>
      <c r="R429" s="6">
        <f>'MATCH CALCS'!$AD430*1</f>
        <v>0</v>
      </c>
      <c r="S429" s="6">
        <f>'MATCH CALCS'!AC430*3</f>
        <v>0</v>
      </c>
      <c r="T429" s="6">
        <f>'MATCH CALCS'!AD430*3</f>
        <v>0</v>
      </c>
      <c r="U429" s="155">
        <f t="shared" si="12"/>
        <v>0</v>
      </c>
      <c r="V429" s="154">
        <f t="shared" si="13"/>
        <v>0</v>
      </c>
    </row>
    <row r="430" spans="1:22">
      <c r="A430" s="154">
        <f>'MATCH CALCS'!A431</f>
        <v>0</v>
      </c>
      <c r="B430" s="154">
        <f>'MATCH CALCS'!$C431</f>
        <v>0</v>
      </c>
      <c r="C430" s="154">
        <f t="shared" si="9"/>
        <v>0</v>
      </c>
      <c r="D430" s="6">
        <f>'MATCH CALCS'!$G431*2</f>
        <v>0</v>
      </c>
      <c r="E430" s="6">
        <f>'MATCH CALCS'!$G431*2</f>
        <v>0</v>
      </c>
      <c r="F430" s="6">
        <f>'MATCH CALCS'!$G431*2</f>
        <v>0</v>
      </c>
      <c r="G430" s="6">
        <f>'MATCH CALCS'!$G431*2</f>
        <v>0</v>
      </c>
      <c r="H430" s="6">
        <f>'MATCH CALCS'!$G431*2</f>
        <v>0</v>
      </c>
      <c r="I430" s="6">
        <f>'MATCH CALCS'!$G431*2</f>
        <v>0</v>
      </c>
      <c r="J430" s="154">
        <f t="shared" si="10"/>
        <v>0</v>
      </c>
      <c r="K430" s="6">
        <f>'MATCH CALCS'!L431*1</f>
        <v>0</v>
      </c>
      <c r="L430" s="6">
        <f>'MATCH CALCS'!$N431*2</f>
        <v>0</v>
      </c>
      <c r="M430" s="6">
        <f>'MATCH CALCS'!N431*1</f>
        <v>0</v>
      </c>
      <c r="N430" s="6">
        <f>'MATCH CALCS'!$N431*2</f>
        <v>0</v>
      </c>
      <c r="O430" s="6">
        <f>'MATCH CALCS'!$N431*2</f>
        <v>0</v>
      </c>
      <c r="P430" s="6">
        <f>'MATCH CALCS'!$P431*5</f>
        <v>0</v>
      </c>
      <c r="Q430" s="154">
        <f t="shared" si="11"/>
        <v>0</v>
      </c>
      <c r="R430" s="6">
        <f>'MATCH CALCS'!$AD431*1</f>
        <v>0</v>
      </c>
      <c r="S430" s="6">
        <f>'MATCH CALCS'!AC431*3</f>
        <v>0</v>
      </c>
      <c r="T430" s="6">
        <f>'MATCH CALCS'!AD431*3</f>
        <v>0</v>
      </c>
      <c r="U430" s="155">
        <f t="shared" si="12"/>
        <v>0</v>
      </c>
      <c r="V430" s="154">
        <f t="shared" si="13"/>
        <v>0</v>
      </c>
    </row>
    <row r="431" spans="1:22">
      <c r="A431" s="154">
        <f>'MATCH CALCS'!A432</f>
        <v>0</v>
      </c>
      <c r="B431" s="154">
        <f>'MATCH CALCS'!$C432</f>
        <v>0</v>
      </c>
      <c r="C431" s="154">
        <f t="shared" si="9"/>
        <v>0</v>
      </c>
      <c r="D431" s="6">
        <f>'MATCH CALCS'!$G432*2</f>
        <v>0</v>
      </c>
      <c r="E431" s="6">
        <f>'MATCH CALCS'!$G432*2</f>
        <v>0</v>
      </c>
      <c r="F431" s="6">
        <f>'MATCH CALCS'!$G432*2</f>
        <v>0</v>
      </c>
      <c r="G431" s="6">
        <f>'MATCH CALCS'!$G432*2</f>
        <v>0</v>
      </c>
      <c r="H431" s="6">
        <f>'MATCH CALCS'!$G432*2</f>
        <v>0</v>
      </c>
      <c r="I431" s="6">
        <f>'MATCH CALCS'!$G432*2</f>
        <v>0</v>
      </c>
      <c r="J431" s="154">
        <f t="shared" si="10"/>
        <v>0</v>
      </c>
      <c r="K431" s="6">
        <f>'MATCH CALCS'!L432*1</f>
        <v>0</v>
      </c>
      <c r="L431" s="6">
        <f>'MATCH CALCS'!$N432*2</f>
        <v>0</v>
      </c>
      <c r="M431" s="6">
        <f>'MATCH CALCS'!N432*1</f>
        <v>0</v>
      </c>
      <c r="N431" s="6">
        <f>'MATCH CALCS'!$N432*2</f>
        <v>0</v>
      </c>
      <c r="O431" s="6">
        <f>'MATCH CALCS'!$N432*2</f>
        <v>0</v>
      </c>
      <c r="P431" s="6">
        <f>'MATCH CALCS'!$P432*5</f>
        <v>0</v>
      </c>
      <c r="Q431" s="154">
        <f t="shared" si="11"/>
        <v>0</v>
      </c>
      <c r="R431" s="6">
        <f>'MATCH CALCS'!$AD432*1</f>
        <v>0</v>
      </c>
      <c r="S431" s="6">
        <f>'MATCH CALCS'!AC432*3</f>
        <v>0</v>
      </c>
      <c r="T431" s="6">
        <f>'MATCH CALCS'!AD432*3</f>
        <v>0</v>
      </c>
      <c r="U431" s="155">
        <f t="shared" si="12"/>
        <v>0</v>
      </c>
      <c r="V431" s="154">
        <f t="shared" si="13"/>
        <v>0</v>
      </c>
    </row>
    <row r="432" spans="1:22">
      <c r="A432" s="154">
        <f>'MATCH CALCS'!A433</f>
        <v>0</v>
      </c>
      <c r="B432" s="154">
        <f>'MATCH CALCS'!$C433</f>
        <v>0</v>
      </c>
      <c r="C432" s="154">
        <f t="shared" si="9"/>
        <v>0</v>
      </c>
      <c r="D432" s="6">
        <f>'MATCH CALCS'!$G433*2</f>
        <v>0</v>
      </c>
      <c r="E432" s="6">
        <f>'MATCH CALCS'!$G433*2</f>
        <v>0</v>
      </c>
      <c r="F432" s="6">
        <f>'MATCH CALCS'!$G433*2</f>
        <v>0</v>
      </c>
      <c r="G432" s="6">
        <f>'MATCH CALCS'!$G433*2</f>
        <v>0</v>
      </c>
      <c r="H432" s="6">
        <f>'MATCH CALCS'!$G433*2</f>
        <v>0</v>
      </c>
      <c r="I432" s="6">
        <f>'MATCH CALCS'!$G433*2</f>
        <v>0</v>
      </c>
      <c r="J432" s="154">
        <f t="shared" si="10"/>
        <v>0</v>
      </c>
      <c r="K432" s="6">
        <f>'MATCH CALCS'!L433*1</f>
        <v>0</v>
      </c>
      <c r="L432" s="6">
        <f>'MATCH CALCS'!$N433*2</f>
        <v>0</v>
      </c>
      <c r="M432" s="6">
        <f>'MATCH CALCS'!N433*1</f>
        <v>0</v>
      </c>
      <c r="N432" s="6">
        <f>'MATCH CALCS'!$N433*2</f>
        <v>0</v>
      </c>
      <c r="O432" s="6">
        <f>'MATCH CALCS'!$N433*2</f>
        <v>0</v>
      </c>
      <c r="P432" s="6">
        <f>'MATCH CALCS'!$P433*5</f>
        <v>0</v>
      </c>
      <c r="Q432" s="154">
        <f t="shared" si="11"/>
        <v>0</v>
      </c>
      <c r="R432" s="6">
        <f>'MATCH CALCS'!$AD433*1</f>
        <v>0</v>
      </c>
      <c r="S432" s="6">
        <f>'MATCH CALCS'!AC433*3</f>
        <v>0</v>
      </c>
      <c r="T432" s="6">
        <f>'MATCH CALCS'!AD433*3</f>
        <v>0</v>
      </c>
      <c r="U432" s="155">
        <f t="shared" si="12"/>
        <v>0</v>
      </c>
      <c r="V432" s="154">
        <f t="shared" si="13"/>
        <v>0</v>
      </c>
    </row>
    <row r="433" spans="1:22">
      <c r="A433" s="154">
        <f>'MATCH CALCS'!A434</f>
        <v>0</v>
      </c>
      <c r="B433" s="154">
        <f>'MATCH CALCS'!$C434</f>
        <v>0</v>
      </c>
      <c r="C433" s="154">
        <f t="shared" si="9"/>
        <v>0</v>
      </c>
      <c r="D433" s="6">
        <f>'MATCH CALCS'!$G434*2</f>
        <v>0</v>
      </c>
      <c r="E433" s="6">
        <f>'MATCH CALCS'!$G434*2</f>
        <v>0</v>
      </c>
      <c r="F433" s="6">
        <f>'MATCH CALCS'!$G434*2</f>
        <v>0</v>
      </c>
      <c r="G433" s="6">
        <f>'MATCH CALCS'!$G434*2</f>
        <v>0</v>
      </c>
      <c r="H433" s="6">
        <f>'MATCH CALCS'!$G434*2</f>
        <v>0</v>
      </c>
      <c r="I433" s="6">
        <f>'MATCH CALCS'!$G434*2</f>
        <v>0</v>
      </c>
      <c r="J433" s="154">
        <f t="shared" si="10"/>
        <v>0</v>
      </c>
      <c r="K433" s="6">
        <f>'MATCH CALCS'!L434*1</f>
        <v>0</v>
      </c>
      <c r="L433" s="6">
        <f>'MATCH CALCS'!$N434*2</f>
        <v>0</v>
      </c>
      <c r="M433" s="6">
        <f>'MATCH CALCS'!N434*1</f>
        <v>0</v>
      </c>
      <c r="N433" s="6">
        <f>'MATCH CALCS'!$N434*2</f>
        <v>0</v>
      </c>
      <c r="O433" s="6">
        <f>'MATCH CALCS'!$N434*2</f>
        <v>0</v>
      </c>
      <c r="P433" s="6">
        <f>'MATCH CALCS'!$P434*5</f>
        <v>0</v>
      </c>
      <c r="Q433" s="154">
        <f t="shared" si="11"/>
        <v>0</v>
      </c>
      <c r="R433" s="6">
        <f>'MATCH CALCS'!$AD434*1</f>
        <v>0</v>
      </c>
      <c r="S433" s="6">
        <f>'MATCH CALCS'!AC434*3</f>
        <v>0</v>
      </c>
      <c r="T433" s="6">
        <f>'MATCH CALCS'!AD434*3</f>
        <v>0</v>
      </c>
      <c r="U433" s="155">
        <f t="shared" si="12"/>
        <v>0</v>
      </c>
      <c r="V433" s="154">
        <f t="shared" si="13"/>
        <v>0</v>
      </c>
    </row>
    <row r="434" spans="1:22">
      <c r="A434" s="154">
        <f>'MATCH CALCS'!A435</f>
        <v>0</v>
      </c>
      <c r="B434" s="154">
        <f>'MATCH CALCS'!$C435</f>
        <v>0</v>
      </c>
      <c r="C434" s="154">
        <f t="shared" si="9"/>
        <v>0</v>
      </c>
      <c r="D434" s="6">
        <f>'MATCH CALCS'!$G435*2</f>
        <v>0</v>
      </c>
      <c r="E434" s="6">
        <f>'MATCH CALCS'!$G435*2</f>
        <v>0</v>
      </c>
      <c r="F434" s="6">
        <f>'MATCH CALCS'!$G435*2</f>
        <v>0</v>
      </c>
      <c r="G434" s="6">
        <f>'MATCH CALCS'!$G435*2</f>
        <v>0</v>
      </c>
      <c r="H434" s="6">
        <f>'MATCH CALCS'!$G435*2</f>
        <v>0</v>
      </c>
      <c r="I434" s="6">
        <f>'MATCH CALCS'!$G435*2</f>
        <v>0</v>
      </c>
      <c r="J434" s="154">
        <f t="shared" si="10"/>
        <v>0</v>
      </c>
      <c r="K434" s="6">
        <f>'MATCH CALCS'!L435*1</f>
        <v>0</v>
      </c>
      <c r="L434" s="6">
        <f>'MATCH CALCS'!$N435*2</f>
        <v>0</v>
      </c>
      <c r="M434" s="6">
        <f>'MATCH CALCS'!N435*1</f>
        <v>0</v>
      </c>
      <c r="N434" s="6">
        <f>'MATCH CALCS'!$N435*2</f>
        <v>0</v>
      </c>
      <c r="O434" s="6">
        <f>'MATCH CALCS'!$N435*2</f>
        <v>0</v>
      </c>
      <c r="P434" s="6">
        <f>'MATCH CALCS'!$P435*5</f>
        <v>0</v>
      </c>
      <c r="Q434" s="154">
        <f t="shared" si="11"/>
        <v>0</v>
      </c>
      <c r="R434" s="6">
        <f>'MATCH CALCS'!$AD435*1</f>
        <v>0</v>
      </c>
      <c r="S434" s="6">
        <f>'MATCH CALCS'!AC435*3</f>
        <v>0</v>
      </c>
      <c r="T434" s="6">
        <f>'MATCH CALCS'!AD435*3</f>
        <v>0</v>
      </c>
      <c r="U434" s="155">
        <f t="shared" si="12"/>
        <v>0</v>
      </c>
      <c r="V434" s="154">
        <f t="shared" si="13"/>
        <v>0</v>
      </c>
    </row>
    <row r="435" spans="1:22">
      <c r="A435" s="154">
        <f>'MATCH CALCS'!A436</f>
        <v>0</v>
      </c>
      <c r="B435" s="154">
        <f>'MATCH CALCS'!$C436</f>
        <v>0</v>
      </c>
      <c r="C435" s="154">
        <f t="shared" si="9"/>
        <v>0</v>
      </c>
      <c r="D435" s="6">
        <f>'MATCH CALCS'!$G436*2</f>
        <v>0</v>
      </c>
      <c r="E435" s="6">
        <f>'MATCH CALCS'!$G436*2</f>
        <v>0</v>
      </c>
      <c r="F435" s="6">
        <f>'MATCH CALCS'!$G436*2</f>
        <v>0</v>
      </c>
      <c r="G435" s="6">
        <f>'MATCH CALCS'!$G436*2</f>
        <v>0</v>
      </c>
      <c r="H435" s="6">
        <f>'MATCH CALCS'!$G436*2</f>
        <v>0</v>
      </c>
      <c r="I435" s="6">
        <f>'MATCH CALCS'!$G436*2</f>
        <v>0</v>
      </c>
      <c r="J435" s="154">
        <f t="shared" si="10"/>
        <v>0</v>
      </c>
      <c r="K435" s="6">
        <f>'MATCH CALCS'!L436*1</f>
        <v>0</v>
      </c>
      <c r="L435" s="6">
        <f>'MATCH CALCS'!$N436*2</f>
        <v>0</v>
      </c>
      <c r="M435" s="6">
        <f>'MATCH CALCS'!N436*1</f>
        <v>0</v>
      </c>
      <c r="N435" s="6">
        <f>'MATCH CALCS'!$N436*2</f>
        <v>0</v>
      </c>
      <c r="O435" s="6">
        <f>'MATCH CALCS'!$N436*2</f>
        <v>0</v>
      </c>
      <c r="P435" s="6">
        <f>'MATCH CALCS'!$P436*5</f>
        <v>0</v>
      </c>
      <c r="Q435" s="154">
        <f t="shared" si="11"/>
        <v>0</v>
      </c>
      <c r="R435" s="6">
        <f>'MATCH CALCS'!$AD436*1</f>
        <v>0</v>
      </c>
      <c r="S435" s="6">
        <f>'MATCH CALCS'!AC436*3</f>
        <v>0</v>
      </c>
      <c r="T435" s="6">
        <f>'MATCH CALCS'!AD436*3</f>
        <v>0</v>
      </c>
      <c r="U435" s="155">
        <f t="shared" si="12"/>
        <v>0</v>
      </c>
      <c r="V435" s="154">
        <f t="shared" si="13"/>
        <v>0</v>
      </c>
    </row>
    <row r="436" spans="1:22">
      <c r="A436" s="154">
        <f>'MATCH CALCS'!A437</f>
        <v>0</v>
      </c>
      <c r="B436" s="154">
        <f>'MATCH CALCS'!$C437</f>
        <v>0</v>
      </c>
      <c r="C436" s="154">
        <f t="shared" si="9"/>
        <v>0</v>
      </c>
      <c r="D436" s="6">
        <f>'MATCH CALCS'!$G437*2</f>
        <v>0</v>
      </c>
      <c r="E436" s="6">
        <f>'MATCH CALCS'!$G437*2</f>
        <v>0</v>
      </c>
      <c r="F436" s="6">
        <f>'MATCH CALCS'!$G437*2</f>
        <v>0</v>
      </c>
      <c r="G436" s="6">
        <f>'MATCH CALCS'!$G437*2</f>
        <v>0</v>
      </c>
      <c r="H436" s="6">
        <f>'MATCH CALCS'!$G437*2</f>
        <v>0</v>
      </c>
      <c r="I436" s="6">
        <f>'MATCH CALCS'!$G437*2</f>
        <v>0</v>
      </c>
      <c r="J436" s="154">
        <f t="shared" si="10"/>
        <v>0</v>
      </c>
      <c r="K436" s="6">
        <f>'MATCH CALCS'!L437*1</f>
        <v>0</v>
      </c>
      <c r="L436" s="6">
        <f>'MATCH CALCS'!$N437*2</f>
        <v>0</v>
      </c>
      <c r="M436" s="6">
        <f>'MATCH CALCS'!N437*1</f>
        <v>0</v>
      </c>
      <c r="N436" s="6">
        <f>'MATCH CALCS'!$N437*2</f>
        <v>0</v>
      </c>
      <c r="O436" s="6">
        <f>'MATCH CALCS'!$N437*2</f>
        <v>0</v>
      </c>
      <c r="P436" s="6">
        <f>'MATCH CALCS'!$P437*5</f>
        <v>0</v>
      </c>
      <c r="Q436" s="154">
        <f t="shared" si="11"/>
        <v>0</v>
      </c>
      <c r="R436" s="6">
        <f>'MATCH CALCS'!$AD437*1</f>
        <v>0</v>
      </c>
      <c r="S436" s="6">
        <f>'MATCH CALCS'!AC437*3</f>
        <v>0</v>
      </c>
      <c r="T436" s="6">
        <f>'MATCH CALCS'!AD437*3</f>
        <v>0</v>
      </c>
      <c r="U436" s="155">
        <f t="shared" si="12"/>
        <v>0</v>
      </c>
      <c r="V436" s="154">
        <f t="shared" si="13"/>
        <v>0</v>
      </c>
    </row>
    <row r="437" spans="1:22">
      <c r="A437" s="154">
        <f>'MATCH CALCS'!A438</f>
        <v>0</v>
      </c>
      <c r="B437" s="154">
        <f>'MATCH CALCS'!$C438</f>
        <v>0</v>
      </c>
      <c r="C437" s="154">
        <f t="shared" si="9"/>
        <v>0</v>
      </c>
      <c r="D437" s="6">
        <f>'MATCH CALCS'!$G438*2</f>
        <v>0</v>
      </c>
      <c r="E437" s="6">
        <f>'MATCH CALCS'!$G438*2</f>
        <v>0</v>
      </c>
      <c r="F437" s="6">
        <f>'MATCH CALCS'!$G438*2</f>
        <v>0</v>
      </c>
      <c r="G437" s="6">
        <f>'MATCH CALCS'!$G438*2</f>
        <v>0</v>
      </c>
      <c r="H437" s="6">
        <f>'MATCH CALCS'!$G438*2</f>
        <v>0</v>
      </c>
      <c r="I437" s="6">
        <f>'MATCH CALCS'!$G438*2</f>
        <v>0</v>
      </c>
      <c r="J437" s="154">
        <f t="shared" si="10"/>
        <v>0</v>
      </c>
      <c r="K437" s="6">
        <f>'MATCH CALCS'!L438*1</f>
        <v>0</v>
      </c>
      <c r="L437" s="6">
        <f>'MATCH CALCS'!$N438*2</f>
        <v>0</v>
      </c>
      <c r="M437" s="6">
        <f>'MATCH CALCS'!N438*1</f>
        <v>0</v>
      </c>
      <c r="N437" s="6">
        <f>'MATCH CALCS'!$N438*2</f>
        <v>0</v>
      </c>
      <c r="O437" s="6">
        <f>'MATCH CALCS'!$N438*2</f>
        <v>0</v>
      </c>
      <c r="P437" s="6">
        <f>'MATCH CALCS'!$P438*5</f>
        <v>0</v>
      </c>
      <c r="Q437" s="154">
        <f t="shared" si="11"/>
        <v>0</v>
      </c>
      <c r="R437" s="6">
        <f>'MATCH CALCS'!$AD438*1</f>
        <v>0</v>
      </c>
      <c r="S437" s="6">
        <f>'MATCH CALCS'!AC438*3</f>
        <v>0</v>
      </c>
      <c r="T437" s="6">
        <f>'MATCH CALCS'!AD438*3</f>
        <v>0</v>
      </c>
      <c r="U437" s="155">
        <f t="shared" si="12"/>
        <v>0</v>
      </c>
      <c r="V437" s="154">
        <f t="shared" si="13"/>
        <v>0</v>
      </c>
    </row>
    <row r="438" spans="1:22">
      <c r="A438" s="154">
        <f>'MATCH CALCS'!A439</f>
        <v>0</v>
      </c>
      <c r="B438" s="154">
        <f>'MATCH CALCS'!$C439</f>
        <v>0</v>
      </c>
      <c r="C438" s="154">
        <f t="shared" si="9"/>
        <v>0</v>
      </c>
      <c r="D438" s="6">
        <f>'MATCH CALCS'!$G439*2</f>
        <v>0</v>
      </c>
      <c r="E438" s="6">
        <f>'MATCH CALCS'!$G439*2</f>
        <v>0</v>
      </c>
      <c r="F438" s="6">
        <f>'MATCH CALCS'!$G439*2</f>
        <v>0</v>
      </c>
      <c r="G438" s="6">
        <f>'MATCH CALCS'!$G439*2</f>
        <v>0</v>
      </c>
      <c r="H438" s="6">
        <f>'MATCH CALCS'!$G439*2</f>
        <v>0</v>
      </c>
      <c r="I438" s="6">
        <f>'MATCH CALCS'!$G439*2</f>
        <v>0</v>
      </c>
      <c r="J438" s="154">
        <f t="shared" si="10"/>
        <v>0</v>
      </c>
      <c r="K438" s="6">
        <f>'MATCH CALCS'!L439*1</f>
        <v>0</v>
      </c>
      <c r="L438" s="6">
        <f>'MATCH CALCS'!$N439*2</f>
        <v>0</v>
      </c>
      <c r="M438" s="6">
        <f>'MATCH CALCS'!N439*1</f>
        <v>0</v>
      </c>
      <c r="N438" s="6">
        <f>'MATCH CALCS'!$N439*2</f>
        <v>0</v>
      </c>
      <c r="O438" s="6">
        <f>'MATCH CALCS'!$N439*2</f>
        <v>0</v>
      </c>
      <c r="P438" s="6">
        <f>'MATCH CALCS'!$P439*5</f>
        <v>0</v>
      </c>
      <c r="Q438" s="154">
        <f t="shared" si="11"/>
        <v>0</v>
      </c>
      <c r="R438" s="6">
        <f>'MATCH CALCS'!$AD439*1</f>
        <v>0</v>
      </c>
      <c r="S438" s="6">
        <f>'MATCH CALCS'!AC439*3</f>
        <v>0</v>
      </c>
      <c r="T438" s="6">
        <f>'MATCH CALCS'!AD439*3</f>
        <v>0</v>
      </c>
      <c r="U438" s="155">
        <f t="shared" si="12"/>
        <v>0</v>
      </c>
      <c r="V438" s="154">
        <f t="shared" si="13"/>
        <v>0</v>
      </c>
    </row>
    <row r="439" spans="1:22">
      <c r="A439" s="154">
        <f>'MATCH CALCS'!A440</f>
        <v>0</v>
      </c>
      <c r="B439" s="154">
        <f>'MATCH CALCS'!$C440</f>
        <v>0</v>
      </c>
      <c r="C439" s="154">
        <f t="shared" si="9"/>
        <v>0</v>
      </c>
      <c r="D439" s="6">
        <f>'MATCH CALCS'!$G440*2</f>
        <v>0</v>
      </c>
      <c r="E439" s="6">
        <f>'MATCH CALCS'!$G440*2</f>
        <v>0</v>
      </c>
      <c r="F439" s="6">
        <f>'MATCH CALCS'!$G440*2</f>
        <v>0</v>
      </c>
      <c r="G439" s="6">
        <f>'MATCH CALCS'!$G440*2</f>
        <v>0</v>
      </c>
      <c r="H439" s="6">
        <f>'MATCH CALCS'!$G440*2</f>
        <v>0</v>
      </c>
      <c r="I439" s="6">
        <f>'MATCH CALCS'!$G440*2</f>
        <v>0</v>
      </c>
      <c r="J439" s="154">
        <f t="shared" si="10"/>
        <v>0</v>
      </c>
      <c r="K439" s="6">
        <f>'MATCH CALCS'!L440*1</f>
        <v>0</v>
      </c>
      <c r="L439" s="6">
        <f>'MATCH CALCS'!$N440*2</f>
        <v>0</v>
      </c>
      <c r="M439" s="6">
        <f>'MATCH CALCS'!N440*1</f>
        <v>0</v>
      </c>
      <c r="N439" s="6">
        <f>'MATCH CALCS'!$N440*2</f>
        <v>0</v>
      </c>
      <c r="O439" s="6">
        <f>'MATCH CALCS'!$N440*2</f>
        <v>0</v>
      </c>
      <c r="P439" s="6">
        <f>'MATCH CALCS'!$P440*5</f>
        <v>0</v>
      </c>
      <c r="Q439" s="154">
        <f t="shared" si="11"/>
        <v>0</v>
      </c>
      <c r="R439" s="6">
        <f>'MATCH CALCS'!$AD440*1</f>
        <v>0</v>
      </c>
      <c r="S439" s="6">
        <f>'MATCH CALCS'!AC440*3</f>
        <v>0</v>
      </c>
      <c r="T439" s="6">
        <f>'MATCH CALCS'!AD440*3</f>
        <v>0</v>
      </c>
      <c r="U439" s="155">
        <f t="shared" si="12"/>
        <v>0</v>
      </c>
      <c r="V439" s="154">
        <f t="shared" si="13"/>
        <v>0</v>
      </c>
    </row>
    <row r="440" spans="1:22">
      <c r="A440" s="154">
        <f>'MATCH CALCS'!A441</f>
        <v>0</v>
      </c>
      <c r="B440" s="154">
        <f>'MATCH CALCS'!$C441</f>
        <v>0</v>
      </c>
      <c r="C440" s="154">
        <f t="shared" si="9"/>
        <v>0</v>
      </c>
      <c r="D440" s="6">
        <f>'MATCH CALCS'!$G441*2</f>
        <v>0</v>
      </c>
      <c r="E440" s="6">
        <f>'MATCH CALCS'!$G441*2</f>
        <v>0</v>
      </c>
      <c r="F440" s="6">
        <f>'MATCH CALCS'!$G441*2</f>
        <v>0</v>
      </c>
      <c r="G440" s="6">
        <f>'MATCH CALCS'!$G441*2</f>
        <v>0</v>
      </c>
      <c r="H440" s="6">
        <f>'MATCH CALCS'!$G441*2</f>
        <v>0</v>
      </c>
      <c r="I440" s="6">
        <f>'MATCH CALCS'!$G441*2</f>
        <v>0</v>
      </c>
      <c r="J440" s="154">
        <f t="shared" si="10"/>
        <v>0</v>
      </c>
      <c r="K440" s="6">
        <f>'MATCH CALCS'!L441*1</f>
        <v>0</v>
      </c>
      <c r="L440" s="6">
        <f>'MATCH CALCS'!$N441*2</f>
        <v>0</v>
      </c>
      <c r="M440" s="6">
        <f>'MATCH CALCS'!N441*1</f>
        <v>0</v>
      </c>
      <c r="N440" s="6">
        <f>'MATCH CALCS'!$N441*2</f>
        <v>0</v>
      </c>
      <c r="O440" s="6">
        <f>'MATCH CALCS'!$N441*2</f>
        <v>0</v>
      </c>
      <c r="P440" s="6">
        <f>'MATCH CALCS'!$P441*5</f>
        <v>0</v>
      </c>
      <c r="Q440" s="154">
        <f t="shared" si="11"/>
        <v>0</v>
      </c>
      <c r="R440" s="6">
        <f>'MATCH CALCS'!$AD441*1</f>
        <v>0</v>
      </c>
      <c r="S440" s="6">
        <f>'MATCH CALCS'!AC441*3</f>
        <v>0</v>
      </c>
      <c r="T440" s="6">
        <f>'MATCH CALCS'!AD441*3</f>
        <v>0</v>
      </c>
      <c r="U440" s="155">
        <f t="shared" si="12"/>
        <v>0</v>
      </c>
      <c r="V440" s="154">
        <f t="shared" si="13"/>
        <v>0</v>
      </c>
    </row>
    <row r="441" spans="1:22">
      <c r="A441" s="154">
        <f>'MATCH CALCS'!A442</f>
        <v>0</v>
      </c>
      <c r="B441" s="154">
        <f>'MATCH CALCS'!$C442</f>
        <v>0</v>
      </c>
      <c r="C441" s="154">
        <f t="shared" si="9"/>
        <v>0</v>
      </c>
      <c r="D441" s="6">
        <f>'MATCH CALCS'!$G442*2</f>
        <v>0</v>
      </c>
      <c r="E441" s="6">
        <f>'MATCH CALCS'!$G442*2</f>
        <v>0</v>
      </c>
      <c r="F441" s="6">
        <f>'MATCH CALCS'!$G442*2</f>
        <v>0</v>
      </c>
      <c r="G441" s="6">
        <f>'MATCH CALCS'!$G442*2</f>
        <v>0</v>
      </c>
      <c r="H441" s="6">
        <f>'MATCH CALCS'!$G442*2</f>
        <v>0</v>
      </c>
      <c r="I441" s="6">
        <f>'MATCH CALCS'!$G442*2</f>
        <v>0</v>
      </c>
      <c r="J441" s="154">
        <f t="shared" si="10"/>
        <v>0</v>
      </c>
      <c r="K441" s="6">
        <f>'MATCH CALCS'!L442*1</f>
        <v>0</v>
      </c>
      <c r="L441" s="6">
        <f>'MATCH CALCS'!$N442*2</f>
        <v>0</v>
      </c>
      <c r="M441" s="6">
        <f>'MATCH CALCS'!N442*1</f>
        <v>0</v>
      </c>
      <c r="N441" s="6">
        <f>'MATCH CALCS'!$N442*2</f>
        <v>0</v>
      </c>
      <c r="O441" s="6">
        <f>'MATCH CALCS'!$N442*2</f>
        <v>0</v>
      </c>
      <c r="P441" s="6">
        <f>'MATCH CALCS'!$P442*5</f>
        <v>0</v>
      </c>
      <c r="Q441" s="154">
        <f t="shared" si="11"/>
        <v>0</v>
      </c>
      <c r="R441" s="6">
        <f>'MATCH CALCS'!$AD442*1</f>
        <v>0</v>
      </c>
      <c r="S441" s="6">
        <f>'MATCH CALCS'!AC442*3</f>
        <v>0</v>
      </c>
      <c r="T441" s="6">
        <f>'MATCH CALCS'!AD442*3</f>
        <v>0</v>
      </c>
      <c r="U441" s="155">
        <f t="shared" si="12"/>
        <v>0</v>
      </c>
      <c r="V441" s="154">
        <f t="shared" si="13"/>
        <v>0</v>
      </c>
    </row>
    <row r="442" spans="1:22">
      <c r="A442" s="154">
        <f>'MATCH CALCS'!A443</f>
        <v>0</v>
      </c>
      <c r="B442" s="154">
        <f>'MATCH CALCS'!$C443</f>
        <v>0</v>
      </c>
      <c r="C442" s="154">
        <f t="shared" si="9"/>
        <v>0</v>
      </c>
      <c r="D442" s="6">
        <f>'MATCH CALCS'!$G443*2</f>
        <v>0</v>
      </c>
      <c r="E442" s="6">
        <f>'MATCH CALCS'!$G443*2</f>
        <v>0</v>
      </c>
      <c r="F442" s="6">
        <f>'MATCH CALCS'!$G443*2</f>
        <v>0</v>
      </c>
      <c r="G442" s="6">
        <f>'MATCH CALCS'!$G443*2</f>
        <v>0</v>
      </c>
      <c r="H442" s="6">
        <f>'MATCH CALCS'!$G443*2</f>
        <v>0</v>
      </c>
      <c r="I442" s="6">
        <f>'MATCH CALCS'!$G443*2</f>
        <v>0</v>
      </c>
      <c r="J442" s="154">
        <f t="shared" si="10"/>
        <v>0</v>
      </c>
      <c r="K442" s="6">
        <f>'MATCH CALCS'!L443*1</f>
        <v>0</v>
      </c>
      <c r="L442" s="6">
        <f>'MATCH CALCS'!$N443*2</f>
        <v>0</v>
      </c>
      <c r="M442" s="6">
        <f>'MATCH CALCS'!N443*1</f>
        <v>0</v>
      </c>
      <c r="N442" s="6">
        <f>'MATCH CALCS'!$N443*2</f>
        <v>0</v>
      </c>
      <c r="O442" s="6">
        <f>'MATCH CALCS'!$N443*2</f>
        <v>0</v>
      </c>
      <c r="P442" s="6">
        <f>'MATCH CALCS'!$P443*5</f>
        <v>0</v>
      </c>
      <c r="Q442" s="154">
        <f t="shared" si="11"/>
        <v>0</v>
      </c>
      <c r="R442" s="6">
        <f>'MATCH CALCS'!$AD443*1</f>
        <v>0</v>
      </c>
      <c r="S442" s="6">
        <f>'MATCH CALCS'!AC443*3</f>
        <v>0</v>
      </c>
      <c r="T442" s="6">
        <f>'MATCH CALCS'!AD443*3</f>
        <v>0</v>
      </c>
      <c r="U442" s="155">
        <f t="shared" si="12"/>
        <v>0</v>
      </c>
      <c r="V442" s="154">
        <f t="shared" si="13"/>
        <v>0</v>
      </c>
    </row>
    <row r="443" spans="1:22">
      <c r="A443" s="154">
        <f>'MATCH CALCS'!A444</f>
        <v>0</v>
      </c>
      <c r="B443" s="154">
        <f>'MATCH CALCS'!$C444</f>
        <v>0</v>
      </c>
      <c r="C443" s="154">
        <f t="shared" si="9"/>
        <v>0</v>
      </c>
      <c r="D443" s="6">
        <f>'MATCH CALCS'!$G444*2</f>
        <v>0</v>
      </c>
      <c r="E443" s="6">
        <f>'MATCH CALCS'!$G444*2</f>
        <v>0</v>
      </c>
      <c r="F443" s="6">
        <f>'MATCH CALCS'!$G444*2</f>
        <v>0</v>
      </c>
      <c r="G443" s="6">
        <f>'MATCH CALCS'!$G444*2</f>
        <v>0</v>
      </c>
      <c r="H443" s="6">
        <f>'MATCH CALCS'!$G444*2</f>
        <v>0</v>
      </c>
      <c r="I443" s="6">
        <f>'MATCH CALCS'!$G444*2</f>
        <v>0</v>
      </c>
      <c r="J443" s="154">
        <f t="shared" si="10"/>
        <v>0</v>
      </c>
      <c r="K443" s="6">
        <f>'MATCH CALCS'!L444*1</f>
        <v>0</v>
      </c>
      <c r="L443" s="6">
        <f>'MATCH CALCS'!$N444*2</f>
        <v>0</v>
      </c>
      <c r="M443" s="6">
        <f>'MATCH CALCS'!N444*1</f>
        <v>0</v>
      </c>
      <c r="N443" s="6">
        <f>'MATCH CALCS'!$N444*2</f>
        <v>0</v>
      </c>
      <c r="O443" s="6">
        <f>'MATCH CALCS'!$N444*2</f>
        <v>0</v>
      </c>
      <c r="P443" s="6">
        <f>'MATCH CALCS'!$P444*5</f>
        <v>0</v>
      </c>
      <c r="Q443" s="154">
        <f t="shared" si="11"/>
        <v>0</v>
      </c>
      <c r="R443" s="6">
        <f>'MATCH CALCS'!$AD444*1</f>
        <v>0</v>
      </c>
      <c r="S443" s="6">
        <f>'MATCH CALCS'!AC444*3</f>
        <v>0</v>
      </c>
      <c r="T443" s="6">
        <f>'MATCH CALCS'!AD444*3</f>
        <v>0</v>
      </c>
      <c r="U443" s="155">
        <f t="shared" si="12"/>
        <v>0</v>
      </c>
      <c r="V443" s="154">
        <f t="shared" si="13"/>
        <v>0</v>
      </c>
    </row>
    <row r="444" spans="1:22">
      <c r="A444" s="154">
        <f>'MATCH CALCS'!A445</f>
        <v>0</v>
      </c>
      <c r="B444" s="154">
        <f>'MATCH CALCS'!$C445</f>
        <v>0</v>
      </c>
      <c r="C444" s="154">
        <f t="shared" si="9"/>
        <v>0</v>
      </c>
      <c r="D444" s="6">
        <f>'MATCH CALCS'!$G445*2</f>
        <v>0</v>
      </c>
      <c r="E444" s="6">
        <f>'MATCH CALCS'!$G445*2</f>
        <v>0</v>
      </c>
      <c r="F444" s="6">
        <f>'MATCH CALCS'!$G445*2</f>
        <v>0</v>
      </c>
      <c r="G444" s="6">
        <f>'MATCH CALCS'!$G445*2</f>
        <v>0</v>
      </c>
      <c r="H444" s="6">
        <f>'MATCH CALCS'!$G445*2</f>
        <v>0</v>
      </c>
      <c r="I444" s="6">
        <f>'MATCH CALCS'!$G445*2</f>
        <v>0</v>
      </c>
      <c r="J444" s="154">
        <f t="shared" si="10"/>
        <v>0</v>
      </c>
      <c r="K444" s="6">
        <f>'MATCH CALCS'!L445*1</f>
        <v>0</v>
      </c>
      <c r="L444" s="6">
        <f>'MATCH CALCS'!$N445*2</f>
        <v>0</v>
      </c>
      <c r="M444" s="6">
        <f>'MATCH CALCS'!N445*1</f>
        <v>0</v>
      </c>
      <c r="N444" s="6">
        <f>'MATCH CALCS'!$N445*2</f>
        <v>0</v>
      </c>
      <c r="O444" s="6">
        <f>'MATCH CALCS'!$N445*2</f>
        <v>0</v>
      </c>
      <c r="P444" s="6">
        <f>'MATCH CALCS'!$P445*5</f>
        <v>0</v>
      </c>
      <c r="Q444" s="154">
        <f t="shared" si="11"/>
        <v>0</v>
      </c>
      <c r="R444" s="6">
        <f>'MATCH CALCS'!$AD445*1</f>
        <v>0</v>
      </c>
      <c r="S444" s="6">
        <f>'MATCH CALCS'!AC445*3</f>
        <v>0</v>
      </c>
      <c r="T444" s="6">
        <f>'MATCH CALCS'!AD445*3</f>
        <v>0</v>
      </c>
      <c r="U444" s="155">
        <f t="shared" si="12"/>
        <v>0</v>
      </c>
      <c r="V444" s="154">
        <f t="shared" si="13"/>
        <v>0</v>
      </c>
    </row>
    <row r="445" spans="1:22">
      <c r="A445" s="154">
        <f>'MATCH CALCS'!A446</f>
        <v>0</v>
      </c>
      <c r="B445" s="154">
        <f>'MATCH CALCS'!$C446</f>
        <v>0</v>
      </c>
      <c r="C445" s="154">
        <f t="shared" si="9"/>
        <v>0</v>
      </c>
      <c r="D445" s="6">
        <f>'MATCH CALCS'!$G446*2</f>
        <v>0</v>
      </c>
      <c r="E445" s="6">
        <f>'MATCH CALCS'!$G446*2</f>
        <v>0</v>
      </c>
      <c r="F445" s="6">
        <f>'MATCH CALCS'!$G446*2</f>
        <v>0</v>
      </c>
      <c r="G445" s="6">
        <f>'MATCH CALCS'!$G446*2</f>
        <v>0</v>
      </c>
      <c r="H445" s="6">
        <f>'MATCH CALCS'!$G446*2</f>
        <v>0</v>
      </c>
      <c r="I445" s="6">
        <f>'MATCH CALCS'!$G446*2</f>
        <v>0</v>
      </c>
      <c r="J445" s="154">
        <f t="shared" si="10"/>
        <v>0</v>
      </c>
      <c r="K445" s="6">
        <f>'MATCH CALCS'!L446*1</f>
        <v>0</v>
      </c>
      <c r="L445" s="6">
        <f>'MATCH CALCS'!$N446*2</f>
        <v>0</v>
      </c>
      <c r="M445" s="6">
        <f>'MATCH CALCS'!N446*1</f>
        <v>0</v>
      </c>
      <c r="N445" s="6">
        <f>'MATCH CALCS'!$N446*2</f>
        <v>0</v>
      </c>
      <c r="O445" s="6">
        <f>'MATCH CALCS'!$N446*2</f>
        <v>0</v>
      </c>
      <c r="P445" s="6">
        <f>'MATCH CALCS'!$P446*5</f>
        <v>0</v>
      </c>
      <c r="Q445" s="154">
        <f t="shared" si="11"/>
        <v>0</v>
      </c>
      <c r="R445" s="6">
        <f>'MATCH CALCS'!$AD446*1</f>
        <v>0</v>
      </c>
      <c r="S445" s="6">
        <f>'MATCH CALCS'!AC446*3</f>
        <v>0</v>
      </c>
      <c r="T445" s="6">
        <f>'MATCH CALCS'!AD446*3</f>
        <v>0</v>
      </c>
      <c r="U445" s="155">
        <f t="shared" si="12"/>
        <v>0</v>
      </c>
      <c r="V445" s="154">
        <f t="shared" si="13"/>
        <v>0</v>
      </c>
    </row>
    <row r="446" spans="1:22">
      <c r="A446" s="154">
        <f>'MATCH CALCS'!A447</f>
        <v>0</v>
      </c>
      <c r="B446" s="154">
        <f>'MATCH CALCS'!$C447</f>
        <v>0</v>
      </c>
      <c r="C446" s="154">
        <f t="shared" si="9"/>
        <v>0</v>
      </c>
      <c r="D446" s="6">
        <f>'MATCH CALCS'!$G447*2</f>
        <v>0</v>
      </c>
      <c r="E446" s="6">
        <f>'MATCH CALCS'!$G447*2</f>
        <v>0</v>
      </c>
      <c r="F446" s="6">
        <f>'MATCH CALCS'!$G447*2</f>
        <v>0</v>
      </c>
      <c r="G446" s="6">
        <f>'MATCH CALCS'!$G447*2</f>
        <v>0</v>
      </c>
      <c r="H446" s="6">
        <f>'MATCH CALCS'!$G447*2</f>
        <v>0</v>
      </c>
      <c r="I446" s="6">
        <f>'MATCH CALCS'!$G447*2</f>
        <v>0</v>
      </c>
      <c r="J446" s="154">
        <f t="shared" si="10"/>
        <v>0</v>
      </c>
      <c r="K446" s="6">
        <f>'MATCH CALCS'!L447*1</f>
        <v>0</v>
      </c>
      <c r="L446" s="6">
        <f>'MATCH CALCS'!$N447*2</f>
        <v>0</v>
      </c>
      <c r="M446" s="6">
        <f>'MATCH CALCS'!N447*1</f>
        <v>0</v>
      </c>
      <c r="N446" s="6">
        <f>'MATCH CALCS'!$N447*2</f>
        <v>0</v>
      </c>
      <c r="O446" s="6">
        <f>'MATCH CALCS'!$N447*2</f>
        <v>0</v>
      </c>
      <c r="P446" s="6">
        <f>'MATCH CALCS'!$P447*5</f>
        <v>0</v>
      </c>
      <c r="Q446" s="154">
        <f t="shared" si="11"/>
        <v>0</v>
      </c>
      <c r="R446" s="6">
        <f>'MATCH CALCS'!$AD447*1</f>
        <v>0</v>
      </c>
      <c r="S446" s="6">
        <f>'MATCH CALCS'!AC447*3</f>
        <v>0</v>
      </c>
      <c r="T446" s="6">
        <f>'MATCH CALCS'!AD447*3</f>
        <v>0</v>
      </c>
      <c r="U446" s="155">
        <f t="shared" si="12"/>
        <v>0</v>
      </c>
      <c r="V446" s="154">
        <f t="shared" si="13"/>
        <v>0</v>
      </c>
    </row>
    <row r="447" spans="1:22">
      <c r="A447" s="154">
        <f>'MATCH CALCS'!A448</f>
        <v>0</v>
      </c>
      <c r="B447" s="154">
        <f>'MATCH CALCS'!$C448</f>
        <v>0</v>
      </c>
      <c r="C447" s="154">
        <f t="shared" si="9"/>
        <v>0</v>
      </c>
      <c r="D447" s="6">
        <f>'MATCH CALCS'!$G448*2</f>
        <v>0</v>
      </c>
      <c r="E447" s="6">
        <f>'MATCH CALCS'!$G448*2</f>
        <v>0</v>
      </c>
      <c r="F447" s="6">
        <f>'MATCH CALCS'!$G448*2</f>
        <v>0</v>
      </c>
      <c r="G447" s="6">
        <f>'MATCH CALCS'!$G448*2</f>
        <v>0</v>
      </c>
      <c r="H447" s="6">
        <f>'MATCH CALCS'!$G448*2</f>
        <v>0</v>
      </c>
      <c r="I447" s="6">
        <f>'MATCH CALCS'!$G448*2</f>
        <v>0</v>
      </c>
      <c r="J447" s="154">
        <f t="shared" si="10"/>
        <v>0</v>
      </c>
      <c r="K447" s="6">
        <f>'MATCH CALCS'!L448*1</f>
        <v>0</v>
      </c>
      <c r="L447" s="6">
        <f>'MATCH CALCS'!$N448*2</f>
        <v>0</v>
      </c>
      <c r="M447" s="6">
        <f>'MATCH CALCS'!N448*1</f>
        <v>0</v>
      </c>
      <c r="N447" s="6">
        <f>'MATCH CALCS'!$N448*2</f>
        <v>0</v>
      </c>
      <c r="O447" s="6">
        <f>'MATCH CALCS'!$N448*2</f>
        <v>0</v>
      </c>
      <c r="P447" s="6">
        <f>'MATCH CALCS'!$P448*5</f>
        <v>0</v>
      </c>
      <c r="Q447" s="154">
        <f t="shared" si="11"/>
        <v>0</v>
      </c>
      <c r="R447" s="6">
        <f>'MATCH CALCS'!$AD448*1</f>
        <v>0</v>
      </c>
      <c r="S447" s="6">
        <f>'MATCH CALCS'!AC448*3</f>
        <v>0</v>
      </c>
      <c r="T447" s="6">
        <f>'MATCH CALCS'!AD448*3</f>
        <v>0</v>
      </c>
      <c r="U447" s="155">
        <f t="shared" si="12"/>
        <v>0</v>
      </c>
      <c r="V447" s="154">
        <f t="shared" si="13"/>
        <v>0</v>
      </c>
    </row>
    <row r="448" spans="1:22">
      <c r="A448" s="154">
        <f>'MATCH CALCS'!A449</f>
        <v>0</v>
      </c>
      <c r="B448" s="154">
        <f>'MATCH CALCS'!$C449</f>
        <v>0</v>
      </c>
      <c r="C448" s="154">
        <f t="shared" si="9"/>
        <v>0</v>
      </c>
      <c r="D448" s="6">
        <f>'MATCH CALCS'!$G449*2</f>
        <v>0</v>
      </c>
      <c r="E448" s="6">
        <f>'MATCH CALCS'!$G449*2</f>
        <v>0</v>
      </c>
      <c r="F448" s="6">
        <f>'MATCH CALCS'!$G449*2</f>
        <v>0</v>
      </c>
      <c r="G448" s="6">
        <f>'MATCH CALCS'!$G449*2</f>
        <v>0</v>
      </c>
      <c r="H448" s="6">
        <f>'MATCH CALCS'!$G449*2</f>
        <v>0</v>
      </c>
      <c r="I448" s="6">
        <f>'MATCH CALCS'!$G449*2</f>
        <v>0</v>
      </c>
      <c r="J448" s="154">
        <f t="shared" si="10"/>
        <v>0</v>
      </c>
      <c r="K448" s="6">
        <f>'MATCH CALCS'!L449*1</f>
        <v>0</v>
      </c>
      <c r="L448" s="6">
        <f>'MATCH CALCS'!$N449*2</f>
        <v>0</v>
      </c>
      <c r="M448" s="6">
        <f>'MATCH CALCS'!N449*1</f>
        <v>0</v>
      </c>
      <c r="N448" s="6">
        <f>'MATCH CALCS'!$N449*2</f>
        <v>0</v>
      </c>
      <c r="O448" s="6">
        <f>'MATCH CALCS'!$N449*2</f>
        <v>0</v>
      </c>
      <c r="P448" s="6">
        <f>'MATCH CALCS'!$P449*5</f>
        <v>0</v>
      </c>
      <c r="Q448" s="154">
        <f t="shared" si="11"/>
        <v>0</v>
      </c>
      <c r="R448" s="6">
        <f>'MATCH CALCS'!$AD449*1</f>
        <v>0</v>
      </c>
      <c r="S448" s="6">
        <f>'MATCH CALCS'!AC449*3</f>
        <v>0</v>
      </c>
      <c r="T448" s="6">
        <f>'MATCH CALCS'!AD449*3</f>
        <v>0</v>
      </c>
      <c r="U448" s="155">
        <f t="shared" si="12"/>
        <v>0</v>
      </c>
      <c r="V448" s="154">
        <f t="shared" si="13"/>
        <v>0</v>
      </c>
    </row>
    <row r="449" spans="1:22">
      <c r="A449" s="154">
        <f>'MATCH CALCS'!A450</f>
        <v>0</v>
      </c>
      <c r="B449" s="154">
        <f>'MATCH CALCS'!$C450</f>
        <v>0</v>
      </c>
      <c r="C449" s="154">
        <f t="shared" si="9"/>
        <v>0</v>
      </c>
      <c r="D449" s="6">
        <f>'MATCH CALCS'!$G450*2</f>
        <v>0</v>
      </c>
      <c r="E449" s="6">
        <f>'MATCH CALCS'!$G450*2</f>
        <v>0</v>
      </c>
      <c r="F449" s="6">
        <f>'MATCH CALCS'!$G450*2</f>
        <v>0</v>
      </c>
      <c r="G449" s="6">
        <f>'MATCH CALCS'!$G450*2</f>
        <v>0</v>
      </c>
      <c r="H449" s="6">
        <f>'MATCH CALCS'!$G450*2</f>
        <v>0</v>
      </c>
      <c r="I449" s="6">
        <f>'MATCH CALCS'!$G450*2</f>
        <v>0</v>
      </c>
      <c r="J449" s="154">
        <f t="shared" si="10"/>
        <v>0</v>
      </c>
      <c r="K449" s="6">
        <f>'MATCH CALCS'!L450*1</f>
        <v>0</v>
      </c>
      <c r="L449" s="6">
        <f>'MATCH CALCS'!$N450*2</f>
        <v>0</v>
      </c>
      <c r="M449" s="6">
        <f>'MATCH CALCS'!N450*1</f>
        <v>0</v>
      </c>
      <c r="N449" s="6">
        <f>'MATCH CALCS'!$N450*2</f>
        <v>0</v>
      </c>
      <c r="O449" s="6">
        <f>'MATCH CALCS'!$N450*2</f>
        <v>0</v>
      </c>
      <c r="P449" s="6">
        <f>'MATCH CALCS'!$P450*5</f>
        <v>0</v>
      </c>
      <c r="Q449" s="154">
        <f t="shared" si="11"/>
        <v>0</v>
      </c>
      <c r="R449" s="6">
        <f>'MATCH CALCS'!$AD450*1</f>
        <v>0</v>
      </c>
      <c r="S449" s="6">
        <f>'MATCH CALCS'!AC450*3</f>
        <v>0</v>
      </c>
      <c r="T449" s="6">
        <f>'MATCH CALCS'!AD450*3</f>
        <v>0</v>
      </c>
      <c r="U449" s="155">
        <f t="shared" si="12"/>
        <v>0</v>
      </c>
      <c r="V449" s="154">
        <f t="shared" si="13"/>
        <v>0</v>
      </c>
    </row>
    <row r="450" spans="1:22">
      <c r="A450" s="154">
        <f>'MATCH CALCS'!A451</f>
        <v>0</v>
      </c>
      <c r="B450" s="154">
        <f>'MATCH CALCS'!$C451</f>
        <v>0</v>
      </c>
      <c r="C450" s="154">
        <f t="shared" si="9"/>
        <v>0</v>
      </c>
      <c r="D450" s="6">
        <f>'MATCH CALCS'!$G451*2</f>
        <v>0</v>
      </c>
      <c r="E450" s="6">
        <f>'MATCH CALCS'!$G451*2</f>
        <v>0</v>
      </c>
      <c r="F450" s="6">
        <f>'MATCH CALCS'!$G451*2</f>
        <v>0</v>
      </c>
      <c r="G450" s="6">
        <f>'MATCH CALCS'!$G451*2</f>
        <v>0</v>
      </c>
      <c r="H450" s="6">
        <f>'MATCH CALCS'!$G451*2</f>
        <v>0</v>
      </c>
      <c r="I450" s="6">
        <f>'MATCH CALCS'!$G451*2</f>
        <v>0</v>
      </c>
      <c r="J450" s="154">
        <f t="shared" si="10"/>
        <v>0</v>
      </c>
      <c r="K450" s="6">
        <f>'MATCH CALCS'!L451*1</f>
        <v>0</v>
      </c>
      <c r="L450" s="6">
        <f>'MATCH CALCS'!$N451*2</f>
        <v>0</v>
      </c>
      <c r="M450" s="6">
        <f>'MATCH CALCS'!N451*1</f>
        <v>0</v>
      </c>
      <c r="N450" s="6">
        <f>'MATCH CALCS'!$N451*2</f>
        <v>0</v>
      </c>
      <c r="O450" s="6">
        <f>'MATCH CALCS'!$N451*2</f>
        <v>0</v>
      </c>
      <c r="P450" s="6">
        <f>'MATCH CALCS'!$P451*5</f>
        <v>0</v>
      </c>
      <c r="Q450" s="154">
        <f t="shared" si="11"/>
        <v>0</v>
      </c>
      <c r="R450" s="6">
        <f>'MATCH CALCS'!$AD451*1</f>
        <v>0</v>
      </c>
      <c r="S450" s="6">
        <f>'MATCH CALCS'!AC451*3</f>
        <v>0</v>
      </c>
      <c r="T450" s="6">
        <f>'MATCH CALCS'!AD451*3</f>
        <v>0</v>
      </c>
      <c r="U450" s="155">
        <f t="shared" si="12"/>
        <v>0</v>
      </c>
      <c r="V450" s="154">
        <f t="shared" si="13"/>
        <v>0</v>
      </c>
    </row>
    <row r="451" spans="1:22">
      <c r="A451" s="154">
        <f>'MATCH CALCS'!A452</f>
        <v>0</v>
      </c>
      <c r="B451" s="154">
        <f>'MATCH CALCS'!$C452</f>
        <v>0</v>
      </c>
      <c r="C451" s="154">
        <f t="shared" si="9"/>
        <v>0</v>
      </c>
      <c r="D451" s="6">
        <f>'MATCH CALCS'!$G452*2</f>
        <v>0</v>
      </c>
      <c r="E451" s="6">
        <f>'MATCH CALCS'!$G452*2</f>
        <v>0</v>
      </c>
      <c r="F451" s="6">
        <f>'MATCH CALCS'!$G452*2</f>
        <v>0</v>
      </c>
      <c r="G451" s="6">
        <f>'MATCH CALCS'!$G452*2</f>
        <v>0</v>
      </c>
      <c r="H451" s="6">
        <f>'MATCH CALCS'!$G452*2</f>
        <v>0</v>
      </c>
      <c r="I451" s="6">
        <f>'MATCH CALCS'!$G452*2</f>
        <v>0</v>
      </c>
      <c r="J451" s="154">
        <f t="shared" si="10"/>
        <v>0</v>
      </c>
      <c r="K451" s="6">
        <f>'MATCH CALCS'!L452*1</f>
        <v>0</v>
      </c>
      <c r="L451" s="6">
        <f>'MATCH CALCS'!$N452*2</f>
        <v>0</v>
      </c>
      <c r="M451" s="6">
        <f>'MATCH CALCS'!N452*1</f>
        <v>0</v>
      </c>
      <c r="N451" s="6">
        <f>'MATCH CALCS'!$N452*2</f>
        <v>0</v>
      </c>
      <c r="O451" s="6">
        <f>'MATCH CALCS'!$N452*2</f>
        <v>0</v>
      </c>
      <c r="P451" s="6">
        <f>'MATCH CALCS'!$P452*5</f>
        <v>0</v>
      </c>
      <c r="Q451" s="154">
        <f t="shared" si="11"/>
        <v>0</v>
      </c>
      <c r="R451" s="6">
        <f>'MATCH CALCS'!$AD452*1</f>
        <v>0</v>
      </c>
      <c r="S451" s="6">
        <f>'MATCH CALCS'!AC452*3</f>
        <v>0</v>
      </c>
      <c r="T451" s="6">
        <f>'MATCH CALCS'!AD452*3</f>
        <v>0</v>
      </c>
      <c r="U451" s="155">
        <f t="shared" si="12"/>
        <v>0</v>
      </c>
      <c r="V451" s="154">
        <f t="shared" si="13"/>
        <v>0</v>
      </c>
    </row>
    <row r="452" spans="1:22">
      <c r="A452" s="154">
        <f>'MATCH CALCS'!A453</f>
        <v>0</v>
      </c>
      <c r="B452" s="154">
        <f>'MATCH CALCS'!$C453</f>
        <v>0</v>
      </c>
      <c r="C452" s="154">
        <f t="shared" si="9"/>
        <v>0</v>
      </c>
      <c r="D452" s="6">
        <f>'MATCH CALCS'!$G453*2</f>
        <v>0</v>
      </c>
      <c r="E452" s="6">
        <f>'MATCH CALCS'!$G453*2</f>
        <v>0</v>
      </c>
      <c r="F452" s="6">
        <f>'MATCH CALCS'!$G453*2</f>
        <v>0</v>
      </c>
      <c r="G452" s="6">
        <f>'MATCH CALCS'!$G453*2</f>
        <v>0</v>
      </c>
      <c r="H452" s="6">
        <f>'MATCH CALCS'!$G453*2</f>
        <v>0</v>
      </c>
      <c r="I452" s="6">
        <f>'MATCH CALCS'!$G453*2</f>
        <v>0</v>
      </c>
      <c r="J452" s="154">
        <f t="shared" si="10"/>
        <v>0</v>
      </c>
      <c r="K452" s="6">
        <f>'MATCH CALCS'!L453*1</f>
        <v>0</v>
      </c>
      <c r="L452" s="6">
        <f>'MATCH CALCS'!$N453*2</f>
        <v>0</v>
      </c>
      <c r="M452" s="6">
        <f>'MATCH CALCS'!N453*1</f>
        <v>0</v>
      </c>
      <c r="N452" s="6">
        <f>'MATCH CALCS'!$N453*2</f>
        <v>0</v>
      </c>
      <c r="O452" s="6">
        <f>'MATCH CALCS'!$N453*2</f>
        <v>0</v>
      </c>
      <c r="P452" s="6">
        <f>'MATCH CALCS'!$P453*5</f>
        <v>0</v>
      </c>
      <c r="Q452" s="154">
        <f t="shared" si="11"/>
        <v>0</v>
      </c>
      <c r="R452" s="6">
        <f>'MATCH CALCS'!$AD453*1</f>
        <v>0</v>
      </c>
      <c r="S452" s="6">
        <f>'MATCH CALCS'!AC453*3</f>
        <v>0</v>
      </c>
      <c r="T452" s="6">
        <f>'MATCH CALCS'!AD453*3</f>
        <v>0</v>
      </c>
      <c r="U452" s="155">
        <f t="shared" si="12"/>
        <v>0</v>
      </c>
      <c r="V452" s="154">
        <f t="shared" si="13"/>
        <v>0</v>
      </c>
    </row>
    <row r="453" spans="1:22">
      <c r="A453" s="154">
        <f>'MATCH CALCS'!A454</f>
        <v>0</v>
      </c>
      <c r="B453" s="154">
        <f>'MATCH CALCS'!$C454</f>
        <v>0</v>
      </c>
      <c r="C453" s="154">
        <f t="shared" si="9"/>
        <v>0</v>
      </c>
      <c r="D453" s="6">
        <f>'MATCH CALCS'!$G454*2</f>
        <v>0</v>
      </c>
      <c r="E453" s="6">
        <f>'MATCH CALCS'!$G454*2</f>
        <v>0</v>
      </c>
      <c r="F453" s="6">
        <f>'MATCH CALCS'!$G454*2</f>
        <v>0</v>
      </c>
      <c r="G453" s="6">
        <f>'MATCH CALCS'!$G454*2</f>
        <v>0</v>
      </c>
      <c r="H453" s="6">
        <f>'MATCH CALCS'!$G454*2</f>
        <v>0</v>
      </c>
      <c r="I453" s="6">
        <f>'MATCH CALCS'!$G454*2</f>
        <v>0</v>
      </c>
      <c r="J453" s="154">
        <f t="shared" si="10"/>
        <v>0</v>
      </c>
      <c r="K453" s="6">
        <f>'MATCH CALCS'!L454*1</f>
        <v>0</v>
      </c>
      <c r="L453" s="6">
        <f>'MATCH CALCS'!$N454*2</f>
        <v>0</v>
      </c>
      <c r="M453" s="6">
        <f>'MATCH CALCS'!N454*1</f>
        <v>0</v>
      </c>
      <c r="N453" s="6">
        <f>'MATCH CALCS'!$N454*2</f>
        <v>0</v>
      </c>
      <c r="O453" s="6">
        <f>'MATCH CALCS'!$N454*2</f>
        <v>0</v>
      </c>
      <c r="P453" s="6">
        <f>'MATCH CALCS'!$P454*5</f>
        <v>0</v>
      </c>
      <c r="Q453" s="154">
        <f t="shared" si="11"/>
        <v>0</v>
      </c>
      <c r="R453" s="6">
        <f>'MATCH CALCS'!$AD454*1</f>
        <v>0</v>
      </c>
      <c r="S453" s="6">
        <f>'MATCH CALCS'!AC454*3</f>
        <v>0</v>
      </c>
      <c r="T453" s="6">
        <f>'MATCH CALCS'!AD454*3</f>
        <v>0</v>
      </c>
      <c r="U453" s="155">
        <f t="shared" si="12"/>
        <v>0</v>
      </c>
      <c r="V453" s="154">
        <f t="shared" si="13"/>
        <v>0</v>
      </c>
    </row>
    <row r="454" spans="1:22">
      <c r="A454" s="154">
        <f>'MATCH CALCS'!A455</f>
        <v>0</v>
      </c>
      <c r="B454" s="154">
        <f>'MATCH CALCS'!$C455</f>
        <v>0</v>
      </c>
      <c r="C454" s="154">
        <f t="shared" si="9"/>
        <v>0</v>
      </c>
      <c r="D454" s="6">
        <f>'MATCH CALCS'!$G455*2</f>
        <v>0</v>
      </c>
      <c r="E454" s="6">
        <f>'MATCH CALCS'!$G455*2</f>
        <v>0</v>
      </c>
      <c r="F454" s="6">
        <f>'MATCH CALCS'!$G455*2</f>
        <v>0</v>
      </c>
      <c r="G454" s="6">
        <f>'MATCH CALCS'!$G455*2</f>
        <v>0</v>
      </c>
      <c r="H454" s="6">
        <f>'MATCH CALCS'!$G455*2</f>
        <v>0</v>
      </c>
      <c r="I454" s="6">
        <f>'MATCH CALCS'!$G455*2</f>
        <v>0</v>
      </c>
      <c r="J454" s="154">
        <f t="shared" si="10"/>
        <v>0</v>
      </c>
      <c r="K454" s="6">
        <f>'MATCH CALCS'!L455*1</f>
        <v>0</v>
      </c>
      <c r="L454" s="6">
        <f>'MATCH CALCS'!$N455*2</f>
        <v>0</v>
      </c>
      <c r="M454" s="6">
        <f>'MATCH CALCS'!N455*1</f>
        <v>0</v>
      </c>
      <c r="N454" s="6">
        <f>'MATCH CALCS'!$N455*2</f>
        <v>0</v>
      </c>
      <c r="O454" s="6">
        <f>'MATCH CALCS'!$N455*2</f>
        <v>0</v>
      </c>
      <c r="P454" s="6">
        <f>'MATCH CALCS'!$P455*5</f>
        <v>0</v>
      </c>
      <c r="Q454" s="154">
        <f t="shared" si="11"/>
        <v>0</v>
      </c>
      <c r="R454" s="6">
        <f>'MATCH CALCS'!$AD455*1</f>
        <v>0</v>
      </c>
      <c r="S454" s="6">
        <f>'MATCH CALCS'!AC455*3</f>
        <v>0</v>
      </c>
      <c r="T454" s="6">
        <f>'MATCH CALCS'!AD455*3</f>
        <v>0</v>
      </c>
      <c r="U454" s="155">
        <f t="shared" si="12"/>
        <v>0</v>
      </c>
      <c r="V454" s="154">
        <f t="shared" si="13"/>
        <v>0</v>
      </c>
    </row>
    <row r="455" spans="1:22">
      <c r="A455" s="154">
        <f>'MATCH CALCS'!A456</f>
        <v>0</v>
      </c>
      <c r="B455" s="154">
        <f>'MATCH CALCS'!$C456</f>
        <v>0</v>
      </c>
      <c r="C455" s="154">
        <f t="shared" si="9"/>
        <v>0</v>
      </c>
      <c r="D455" s="6">
        <f>'MATCH CALCS'!$G456*2</f>
        <v>0</v>
      </c>
      <c r="E455" s="6">
        <f>'MATCH CALCS'!$G456*2</f>
        <v>0</v>
      </c>
      <c r="F455" s="6">
        <f>'MATCH CALCS'!$G456*2</f>
        <v>0</v>
      </c>
      <c r="G455" s="6">
        <f>'MATCH CALCS'!$G456*2</f>
        <v>0</v>
      </c>
      <c r="H455" s="6">
        <f>'MATCH CALCS'!$G456*2</f>
        <v>0</v>
      </c>
      <c r="I455" s="6">
        <f>'MATCH CALCS'!$G456*2</f>
        <v>0</v>
      </c>
      <c r="J455" s="154">
        <f t="shared" si="10"/>
        <v>0</v>
      </c>
      <c r="K455" s="6">
        <f>'MATCH CALCS'!L456*1</f>
        <v>0</v>
      </c>
      <c r="L455" s="6">
        <f>'MATCH CALCS'!$N456*2</f>
        <v>0</v>
      </c>
      <c r="M455" s="6">
        <f>'MATCH CALCS'!N456*1</f>
        <v>0</v>
      </c>
      <c r="N455" s="6">
        <f>'MATCH CALCS'!$N456*2</f>
        <v>0</v>
      </c>
      <c r="O455" s="6">
        <f>'MATCH CALCS'!$N456*2</f>
        <v>0</v>
      </c>
      <c r="P455" s="6">
        <f>'MATCH CALCS'!$P456*5</f>
        <v>0</v>
      </c>
      <c r="Q455" s="154">
        <f t="shared" si="11"/>
        <v>0</v>
      </c>
      <c r="R455" s="6">
        <f>'MATCH CALCS'!$AD456*1</f>
        <v>0</v>
      </c>
      <c r="S455" s="6">
        <f>'MATCH CALCS'!AC456*3</f>
        <v>0</v>
      </c>
      <c r="T455" s="6">
        <f>'MATCH CALCS'!AD456*3</f>
        <v>0</v>
      </c>
      <c r="U455" s="155">
        <f t="shared" si="12"/>
        <v>0</v>
      </c>
      <c r="V455" s="154">
        <f t="shared" si="13"/>
        <v>0</v>
      </c>
    </row>
    <row r="456" spans="1:22">
      <c r="A456" s="154">
        <f>'MATCH CALCS'!A457</f>
        <v>0</v>
      </c>
      <c r="B456" s="154">
        <f>'MATCH CALCS'!$C457</f>
        <v>0</v>
      </c>
      <c r="C456" s="154">
        <f t="shared" si="9"/>
        <v>0</v>
      </c>
      <c r="D456" s="6">
        <f>'MATCH CALCS'!$G457*2</f>
        <v>0</v>
      </c>
      <c r="E456" s="6">
        <f>'MATCH CALCS'!$G457*2</f>
        <v>0</v>
      </c>
      <c r="F456" s="6">
        <f>'MATCH CALCS'!$G457*2</f>
        <v>0</v>
      </c>
      <c r="G456" s="6">
        <f>'MATCH CALCS'!$G457*2</f>
        <v>0</v>
      </c>
      <c r="H456" s="6">
        <f>'MATCH CALCS'!$G457*2</f>
        <v>0</v>
      </c>
      <c r="I456" s="6">
        <f>'MATCH CALCS'!$G457*2</f>
        <v>0</v>
      </c>
      <c r="J456" s="154">
        <f t="shared" si="10"/>
        <v>0</v>
      </c>
      <c r="K456" s="6">
        <f>'MATCH CALCS'!L457*1</f>
        <v>0</v>
      </c>
      <c r="L456" s="6">
        <f>'MATCH CALCS'!$N457*2</f>
        <v>0</v>
      </c>
      <c r="M456" s="6">
        <f>'MATCH CALCS'!N457*1</f>
        <v>0</v>
      </c>
      <c r="N456" s="6">
        <f>'MATCH CALCS'!$N457*2</f>
        <v>0</v>
      </c>
      <c r="O456" s="6">
        <f>'MATCH CALCS'!$N457*2</f>
        <v>0</v>
      </c>
      <c r="P456" s="6">
        <f>'MATCH CALCS'!$P457*5</f>
        <v>0</v>
      </c>
      <c r="Q456" s="154">
        <f t="shared" si="11"/>
        <v>0</v>
      </c>
      <c r="R456" s="6">
        <f>'MATCH CALCS'!$AD457*1</f>
        <v>0</v>
      </c>
      <c r="S456" s="6">
        <f>'MATCH CALCS'!AC457*3</f>
        <v>0</v>
      </c>
      <c r="T456" s="6">
        <f>'MATCH CALCS'!AD457*3</f>
        <v>0</v>
      </c>
      <c r="U456" s="155">
        <f t="shared" si="12"/>
        <v>0</v>
      </c>
      <c r="V456" s="154">
        <f t="shared" si="13"/>
        <v>0</v>
      </c>
    </row>
    <row r="457" spans="1:22">
      <c r="A457" s="154">
        <f>'MATCH CALCS'!A458</f>
        <v>0</v>
      </c>
      <c r="B457" s="154">
        <f>'MATCH CALCS'!$C458</f>
        <v>0</v>
      </c>
      <c r="C457" s="154">
        <f t="shared" si="9"/>
        <v>0</v>
      </c>
      <c r="D457" s="6">
        <f>'MATCH CALCS'!$G458*2</f>
        <v>0</v>
      </c>
      <c r="E457" s="6">
        <f>'MATCH CALCS'!$G458*2</f>
        <v>0</v>
      </c>
      <c r="F457" s="6">
        <f>'MATCH CALCS'!$G458*2</f>
        <v>0</v>
      </c>
      <c r="G457" s="6">
        <f>'MATCH CALCS'!$G458*2</f>
        <v>0</v>
      </c>
      <c r="H457" s="6">
        <f>'MATCH CALCS'!$G458*2</f>
        <v>0</v>
      </c>
      <c r="I457" s="6">
        <f>'MATCH CALCS'!$G458*2</f>
        <v>0</v>
      </c>
      <c r="J457" s="154">
        <f t="shared" si="10"/>
        <v>0</v>
      </c>
      <c r="K457" s="6">
        <f>'MATCH CALCS'!L458*1</f>
        <v>0</v>
      </c>
      <c r="L457" s="6">
        <f>'MATCH CALCS'!$N458*2</f>
        <v>0</v>
      </c>
      <c r="M457" s="6">
        <f>'MATCH CALCS'!N458*1</f>
        <v>0</v>
      </c>
      <c r="N457" s="6">
        <f>'MATCH CALCS'!$N458*2</f>
        <v>0</v>
      </c>
      <c r="O457" s="6">
        <f>'MATCH CALCS'!$N458*2</f>
        <v>0</v>
      </c>
      <c r="P457" s="6">
        <f>'MATCH CALCS'!$P458*5</f>
        <v>0</v>
      </c>
      <c r="Q457" s="154">
        <f t="shared" si="11"/>
        <v>0</v>
      </c>
      <c r="R457" s="6">
        <f>'MATCH CALCS'!$AD458*1</f>
        <v>0</v>
      </c>
      <c r="S457" s="6">
        <f>'MATCH CALCS'!AC458*3</f>
        <v>0</v>
      </c>
      <c r="T457" s="6">
        <f>'MATCH CALCS'!AD458*3</f>
        <v>0</v>
      </c>
      <c r="U457" s="155">
        <f t="shared" si="12"/>
        <v>0</v>
      </c>
      <c r="V457" s="154">
        <f t="shared" si="13"/>
        <v>0</v>
      </c>
    </row>
    <row r="458" spans="1:22">
      <c r="A458" s="154">
        <f>'MATCH CALCS'!A459</f>
        <v>0</v>
      </c>
      <c r="B458" s="154">
        <f>'MATCH CALCS'!$C459</f>
        <v>0</v>
      </c>
      <c r="C458" s="154">
        <f t="shared" si="9"/>
        <v>0</v>
      </c>
      <c r="D458" s="6">
        <f>'MATCH CALCS'!$G459*2</f>
        <v>0</v>
      </c>
      <c r="E458" s="6">
        <f>'MATCH CALCS'!$G459*2</f>
        <v>0</v>
      </c>
      <c r="F458" s="6">
        <f>'MATCH CALCS'!$G459*2</f>
        <v>0</v>
      </c>
      <c r="G458" s="6">
        <f>'MATCH CALCS'!$G459*2</f>
        <v>0</v>
      </c>
      <c r="H458" s="6">
        <f>'MATCH CALCS'!$G459*2</f>
        <v>0</v>
      </c>
      <c r="I458" s="6">
        <f>'MATCH CALCS'!$G459*2</f>
        <v>0</v>
      </c>
      <c r="J458" s="154">
        <f t="shared" si="10"/>
        <v>0</v>
      </c>
      <c r="K458" s="6">
        <f>'MATCH CALCS'!L459*1</f>
        <v>0</v>
      </c>
      <c r="L458" s="6">
        <f>'MATCH CALCS'!$N459*2</f>
        <v>0</v>
      </c>
      <c r="M458" s="6">
        <f>'MATCH CALCS'!N459*1</f>
        <v>0</v>
      </c>
      <c r="N458" s="6">
        <f>'MATCH CALCS'!$N459*2</f>
        <v>0</v>
      </c>
      <c r="O458" s="6">
        <f>'MATCH CALCS'!$N459*2</f>
        <v>0</v>
      </c>
      <c r="P458" s="6">
        <f>'MATCH CALCS'!$P459*5</f>
        <v>0</v>
      </c>
      <c r="Q458" s="154">
        <f t="shared" si="11"/>
        <v>0</v>
      </c>
      <c r="R458" s="6">
        <f>'MATCH CALCS'!$AD459*1</f>
        <v>0</v>
      </c>
      <c r="S458" s="6">
        <f>'MATCH CALCS'!AC459*3</f>
        <v>0</v>
      </c>
      <c r="T458" s="6">
        <f>'MATCH CALCS'!AD459*3</f>
        <v>0</v>
      </c>
      <c r="U458" s="155">
        <f t="shared" si="12"/>
        <v>0</v>
      </c>
      <c r="V458" s="154">
        <f t="shared" si="13"/>
        <v>0</v>
      </c>
    </row>
    <row r="459" spans="1:22">
      <c r="A459" s="154">
        <f>'MATCH CALCS'!A460</f>
        <v>0</v>
      </c>
      <c r="B459" s="154">
        <f>'MATCH CALCS'!$C460</f>
        <v>0</v>
      </c>
      <c r="C459" s="154">
        <f t="shared" si="9"/>
        <v>0</v>
      </c>
      <c r="D459" s="6">
        <f>'MATCH CALCS'!$G460*2</f>
        <v>0</v>
      </c>
      <c r="E459" s="6">
        <f>'MATCH CALCS'!$G460*2</f>
        <v>0</v>
      </c>
      <c r="F459" s="6">
        <f>'MATCH CALCS'!$G460*2</f>
        <v>0</v>
      </c>
      <c r="G459" s="6">
        <f>'MATCH CALCS'!$G460*2</f>
        <v>0</v>
      </c>
      <c r="H459" s="6">
        <f>'MATCH CALCS'!$G460*2</f>
        <v>0</v>
      </c>
      <c r="I459" s="6">
        <f>'MATCH CALCS'!$G460*2</f>
        <v>0</v>
      </c>
      <c r="J459" s="154">
        <f t="shared" si="10"/>
        <v>0</v>
      </c>
      <c r="K459" s="6">
        <f>'MATCH CALCS'!L460*1</f>
        <v>0</v>
      </c>
      <c r="L459" s="6">
        <f>'MATCH CALCS'!$N460*2</f>
        <v>0</v>
      </c>
      <c r="M459" s="6">
        <f>'MATCH CALCS'!N460*1</f>
        <v>0</v>
      </c>
      <c r="N459" s="6">
        <f>'MATCH CALCS'!$N460*2</f>
        <v>0</v>
      </c>
      <c r="O459" s="6">
        <f>'MATCH CALCS'!$N460*2</f>
        <v>0</v>
      </c>
      <c r="P459" s="6">
        <f>'MATCH CALCS'!$P460*5</f>
        <v>0</v>
      </c>
      <c r="Q459" s="154">
        <f t="shared" si="11"/>
        <v>0</v>
      </c>
      <c r="R459" s="6">
        <f>'MATCH CALCS'!$AD460*1</f>
        <v>0</v>
      </c>
      <c r="S459" s="6">
        <f>'MATCH CALCS'!AC460*3</f>
        <v>0</v>
      </c>
      <c r="T459" s="6">
        <f>'MATCH CALCS'!AD460*3</f>
        <v>0</v>
      </c>
      <c r="U459" s="155">
        <f t="shared" si="12"/>
        <v>0</v>
      </c>
      <c r="V459" s="154">
        <f t="shared" si="13"/>
        <v>0</v>
      </c>
    </row>
    <row r="460" spans="1:22">
      <c r="A460" s="154">
        <f>'MATCH CALCS'!A461</f>
        <v>0</v>
      </c>
      <c r="B460" s="154">
        <f>'MATCH CALCS'!$C461</f>
        <v>0</v>
      </c>
      <c r="C460" s="154">
        <f t="shared" si="9"/>
        <v>0</v>
      </c>
      <c r="D460" s="6">
        <f>'MATCH CALCS'!$G461*2</f>
        <v>0</v>
      </c>
      <c r="E460" s="6">
        <f>'MATCH CALCS'!$G461*2</f>
        <v>0</v>
      </c>
      <c r="F460" s="6">
        <f>'MATCH CALCS'!$G461*2</f>
        <v>0</v>
      </c>
      <c r="G460" s="6">
        <f>'MATCH CALCS'!$G461*2</f>
        <v>0</v>
      </c>
      <c r="H460" s="6">
        <f>'MATCH CALCS'!$G461*2</f>
        <v>0</v>
      </c>
      <c r="I460" s="6">
        <f>'MATCH CALCS'!$G461*2</f>
        <v>0</v>
      </c>
      <c r="J460" s="154">
        <f t="shared" si="10"/>
        <v>0</v>
      </c>
      <c r="K460" s="6">
        <f>'MATCH CALCS'!L461*1</f>
        <v>0</v>
      </c>
      <c r="L460" s="6">
        <f>'MATCH CALCS'!$N461*2</f>
        <v>0</v>
      </c>
      <c r="M460" s="6">
        <f>'MATCH CALCS'!N461*1</f>
        <v>0</v>
      </c>
      <c r="N460" s="6">
        <f>'MATCH CALCS'!$N461*2</f>
        <v>0</v>
      </c>
      <c r="O460" s="6">
        <f>'MATCH CALCS'!$N461*2</f>
        <v>0</v>
      </c>
      <c r="P460" s="6">
        <f>'MATCH CALCS'!$P461*5</f>
        <v>0</v>
      </c>
      <c r="Q460" s="154">
        <f t="shared" si="11"/>
        <v>0</v>
      </c>
      <c r="R460" s="6">
        <f>'MATCH CALCS'!$AD461*1</f>
        <v>0</v>
      </c>
      <c r="S460" s="6">
        <f>'MATCH CALCS'!AC461*3</f>
        <v>0</v>
      </c>
      <c r="T460" s="6">
        <f>'MATCH CALCS'!AD461*3</f>
        <v>0</v>
      </c>
      <c r="U460" s="155">
        <f t="shared" si="12"/>
        <v>0</v>
      </c>
      <c r="V460" s="154">
        <f t="shared" si="13"/>
        <v>0</v>
      </c>
    </row>
    <row r="461" spans="1:22">
      <c r="A461" s="154">
        <f>'MATCH CALCS'!A462</f>
        <v>0</v>
      </c>
      <c r="B461" s="154">
        <f>'MATCH CALCS'!$C462</f>
        <v>0</v>
      </c>
      <c r="C461" s="154">
        <f t="shared" si="9"/>
        <v>0</v>
      </c>
      <c r="D461" s="6">
        <f>'MATCH CALCS'!$G462*2</f>
        <v>0</v>
      </c>
      <c r="E461" s="6">
        <f>'MATCH CALCS'!$G462*2</f>
        <v>0</v>
      </c>
      <c r="F461" s="6">
        <f>'MATCH CALCS'!$G462*2</f>
        <v>0</v>
      </c>
      <c r="G461" s="6">
        <f>'MATCH CALCS'!$G462*2</f>
        <v>0</v>
      </c>
      <c r="H461" s="6">
        <f>'MATCH CALCS'!$G462*2</f>
        <v>0</v>
      </c>
      <c r="I461" s="6">
        <f>'MATCH CALCS'!$G462*2</f>
        <v>0</v>
      </c>
      <c r="J461" s="154">
        <f t="shared" si="10"/>
        <v>0</v>
      </c>
      <c r="K461" s="6">
        <f>'MATCH CALCS'!L462*1</f>
        <v>0</v>
      </c>
      <c r="L461" s="6">
        <f>'MATCH CALCS'!$N462*2</f>
        <v>0</v>
      </c>
      <c r="M461" s="6">
        <f>'MATCH CALCS'!N462*1</f>
        <v>0</v>
      </c>
      <c r="N461" s="6">
        <f>'MATCH CALCS'!$N462*2</f>
        <v>0</v>
      </c>
      <c r="O461" s="6">
        <f>'MATCH CALCS'!$N462*2</f>
        <v>0</v>
      </c>
      <c r="P461" s="6">
        <f>'MATCH CALCS'!$P462*5</f>
        <v>0</v>
      </c>
      <c r="Q461" s="154">
        <f t="shared" si="11"/>
        <v>0</v>
      </c>
      <c r="R461" s="6">
        <f>'MATCH CALCS'!$AD462*1</f>
        <v>0</v>
      </c>
      <c r="S461" s="6">
        <f>'MATCH CALCS'!AC462*3</f>
        <v>0</v>
      </c>
      <c r="T461" s="6">
        <f>'MATCH CALCS'!AD462*3</f>
        <v>0</v>
      </c>
      <c r="U461" s="155">
        <f t="shared" si="12"/>
        <v>0</v>
      </c>
      <c r="V461" s="154">
        <f t="shared" si="13"/>
        <v>0</v>
      </c>
    </row>
    <row r="462" spans="1:22">
      <c r="A462" s="154">
        <f>'MATCH CALCS'!A463</f>
        <v>0</v>
      </c>
      <c r="B462" s="154">
        <f>'MATCH CALCS'!$C463</f>
        <v>0</v>
      </c>
      <c r="C462" s="154">
        <f t="shared" si="9"/>
        <v>0</v>
      </c>
      <c r="D462" s="6">
        <f>'MATCH CALCS'!$G463*2</f>
        <v>0</v>
      </c>
      <c r="E462" s="6">
        <f>'MATCH CALCS'!$G463*2</f>
        <v>0</v>
      </c>
      <c r="F462" s="6">
        <f>'MATCH CALCS'!$G463*2</f>
        <v>0</v>
      </c>
      <c r="G462" s="6">
        <f>'MATCH CALCS'!$G463*2</f>
        <v>0</v>
      </c>
      <c r="H462" s="6">
        <f>'MATCH CALCS'!$G463*2</f>
        <v>0</v>
      </c>
      <c r="I462" s="6">
        <f>'MATCH CALCS'!$G463*2</f>
        <v>0</v>
      </c>
      <c r="J462" s="154">
        <f t="shared" si="10"/>
        <v>0</v>
      </c>
      <c r="K462" s="6">
        <f>'MATCH CALCS'!L463*1</f>
        <v>0</v>
      </c>
      <c r="L462" s="6">
        <f>'MATCH CALCS'!$N463*2</f>
        <v>0</v>
      </c>
      <c r="M462" s="6">
        <f>'MATCH CALCS'!N463*1</f>
        <v>0</v>
      </c>
      <c r="N462" s="6">
        <f>'MATCH CALCS'!$N463*2</f>
        <v>0</v>
      </c>
      <c r="O462" s="6">
        <f>'MATCH CALCS'!$N463*2</f>
        <v>0</v>
      </c>
      <c r="P462" s="6">
        <f>'MATCH CALCS'!$P463*5</f>
        <v>0</v>
      </c>
      <c r="Q462" s="154">
        <f t="shared" si="11"/>
        <v>0</v>
      </c>
      <c r="R462" s="6">
        <f>'MATCH CALCS'!$AD463*1</f>
        <v>0</v>
      </c>
      <c r="S462" s="6">
        <f>'MATCH CALCS'!AC463*3</f>
        <v>0</v>
      </c>
      <c r="T462" s="6">
        <f>'MATCH CALCS'!AD463*3</f>
        <v>0</v>
      </c>
      <c r="U462" s="155">
        <f t="shared" si="12"/>
        <v>0</v>
      </c>
      <c r="V462" s="154">
        <f t="shared" si="13"/>
        <v>0</v>
      </c>
    </row>
    <row r="463" spans="1:22">
      <c r="A463" s="154">
        <f>'MATCH CALCS'!A464</f>
        <v>0</v>
      </c>
      <c r="B463" s="154">
        <f>'MATCH CALCS'!$C464</f>
        <v>0</v>
      </c>
      <c r="C463" s="154">
        <f t="shared" si="9"/>
        <v>0</v>
      </c>
      <c r="D463" s="6">
        <f>'MATCH CALCS'!$G464*2</f>
        <v>0</v>
      </c>
      <c r="E463" s="6">
        <f>'MATCH CALCS'!$G464*2</f>
        <v>0</v>
      </c>
      <c r="F463" s="6">
        <f>'MATCH CALCS'!$G464*2</f>
        <v>0</v>
      </c>
      <c r="G463" s="6">
        <f>'MATCH CALCS'!$G464*2</f>
        <v>0</v>
      </c>
      <c r="H463" s="6">
        <f>'MATCH CALCS'!$G464*2</f>
        <v>0</v>
      </c>
      <c r="I463" s="6">
        <f>'MATCH CALCS'!$G464*2</f>
        <v>0</v>
      </c>
      <c r="J463" s="154">
        <f t="shared" si="10"/>
        <v>0</v>
      </c>
      <c r="K463" s="6">
        <f>'MATCH CALCS'!L464*1</f>
        <v>0</v>
      </c>
      <c r="L463" s="6">
        <f>'MATCH CALCS'!$N464*2</f>
        <v>0</v>
      </c>
      <c r="M463" s="6">
        <f>'MATCH CALCS'!N464*1</f>
        <v>0</v>
      </c>
      <c r="N463" s="6">
        <f>'MATCH CALCS'!$N464*2</f>
        <v>0</v>
      </c>
      <c r="O463" s="6">
        <f>'MATCH CALCS'!$N464*2</f>
        <v>0</v>
      </c>
      <c r="P463" s="6">
        <f>'MATCH CALCS'!$P464*5</f>
        <v>0</v>
      </c>
      <c r="Q463" s="154">
        <f t="shared" si="11"/>
        <v>0</v>
      </c>
      <c r="R463" s="6">
        <f>'MATCH CALCS'!$AD464*1</f>
        <v>0</v>
      </c>
      <c r="S463" s="6">
        <f>'MATCH CALCS'!AC464*3</f>
        <v>0</v>
      </c>
      <c r="T463" s="6">
        <f>'MATCH CALCS'!AD464*3</f>
        <v>0</v>
      </c>
      <c r="U463" s="155">
        <f t="shared" si="12"/>
        <v>0</v>
      </c>
      <c r="V463" s="154">
        <f t="shared" si="13"/>
        <v>0</v>
      </c>
    </row>
    <row r="464" spans="1:22">
      <c r="A464" s="154">
        <f>'MATCH CALCS'!A465</f>
        <v>0</v>
      </c>
      <c r="B464" s="154">
        <f>'MATCH CALCS'!$C465</f>
        <v>0</v>
      </c>
      <c r="C464" s="154">
        <f t="shared" si="9"/>
        <v>0</v>
      </c>
      <c r="D464" s="6">
        <f>'MATCH CALCS'!$G465*2</f>
        <v>0</v>
      </c>
      <c r="E464" s="6">
        <f>'MATCH CALCS'!$G465*2</f>
        <v>0</v>
      </c>
      <c r="F464" s="6">
        <f>'MATCH CALCS'!$G465*2</f>
        <v>0</v>
      </c>
      <c r="G464" s="6">
        <f>'MATCH CALCS'!$G465*2</f>
        <v>0</v>
      </c>
      <c r="H464" s="6">
        <f>'MATCH CALCS'!$G465*2</f>
        <v>0</v>
      </c>
      <c r="I464" s="6">
        <f>'MATCH CALCS'!$G465*2</f>
        <v>0</v>
      </c>
      <c r="J464" s="154">
        <f t="shared" si="10"/>
        <v>0</v>
      </c>
      <c r="K464" s="6">
        <f>'MATCH CALCS'!L465*1</f>
        <v>0</v>
      </c>
      <c r="L464" s="6">
        <f>'MATCH CALCS'!$N465*2</f>
        <v>0</v>
      </c>
      <c r="M464" s="6">
        <f>'MATCH CALCS'!N465*1</f>
        <v>0</v>
      </c>
      <c r="N464" s="6">
        <f>'MATCH CALCS'!$N465*2</f>
        <v>0</v>
      </c>
      <c r="O464" s="6">
        <f>'MATCH CALCS'!$N465*2</f>
        <v>0</v>
      </c>
      <c r="P464" s="6">
        <f>'MATCH CALCS'!$P465*5</f>
        <v>0</v>
      </c>
      <c r="Q464" s="154">
        <f t="shared" si="11"/>
        <v>0</v>
      </c>
      <c r="R464" s="6">
        <f>'MATCH CALCS'!$AD465*1</f>
        <v>0</v>
      </c>
      <c r="S464" s="6">
        <f>'MATCH CALCS'!AC465*3</f>
        <v>0</v>
      </c>
      <c r="T464" s="6">
        <f>'MATCH CALCS'!AD465*3</f>
        <v>0</v>
      </c>
      <c r="U464" s="155">
        <f t="shared" si="12"/>
        <v>0</v>
      </c>
      <c r="V464" s="154">
        <f t="shared" si="13"/>
        <v>0</v>
      </c>
    </row>
    <row r="465" spans="1:22">
      <c r="A465" s="154">
        <f>'MATCH CALCS'!A466</f>
        <v>0</v>
      </c>
      <c r="B465" s="154">
        <f>'MATCH CALCS'!$C466</f>
        <v>0</v>
      </c>
      <c r="C465" s="154">
        <f t="shared" si="9"/>
        <v>0</v>
      </c>
      <c r="D465" s="6">
        <f>'MATCH CALCS'!$G466*2</f>
        <v>0</v>
      </c>
      <c r="E465" s="6">
        <f>'MATCH CALCS'!$G466*2</f>
        <v>0</v>
      </c>
      <c r="F465" s="6">
        <f>'MATCH CALCS'!$G466*2</f>
        <v>0</v>
      </c>
      <c r="G465" s="6">
        <f>'MATCH CALCS'!$G466*2</f>
        <v>0</v>
      </c>
      <c r="H465" s="6">
        <f>'MATCH CALCS'!$G466*2</f>
        <v>0</v>
      </c>
      <c r="I465" s="6">
        <f>'MATCH CALCS'!$G466*2</f>
        <v>0</v>
      </c>
      <c r="J465" s="154">
        <f t="shared" si="10"/>
        <v>0</v>
      </c>
      <c r="K465" s="6">
        <f>'MATCH CALCS'!L466*1</f>
        <v>0</v>
      </c>
      <c r="L465" s="6">
        <f>'MATCH CALCS'!$N466*2</f>
        <v>0</v>
      </c>
      <c r="M465" s="6">
        <f>'MATCH CALCS'!N466*1</f>
        <v>0</v>
      </c>
      <c r="N465" s="6">
        <f>'MATCH CALCS'!$N466*2</f>
        <v>0</v>
      </c>
      <c r="O465" s="6">
        <f>'MATCH CALCS'!$N466*2</f>
        <v>0</v>
      </c>
      <c r="P465" s="6">
        <f>'MATCH CALCS'!$P466*5</f>
        <v>0</v>
      </c>
      <c r="Q465" s="154">
        <f t="shared" si="11"/>
        <v>0</v>
      </c>
      <c r="R465" s="6">
        <f>'MATCH CALCS'!$AD466*1</f>
        <v>0</v>
      </c>
      <c r="S465" s="6">
        <f>'MATCH CALCS'!AC466*3</f>
        <v>0</v>
      </c>
      <c r="T465" s="6">
        <f>'MATCH CALCS'!AD466*3</f>
        <v>0</v>
      </c>
      <c r="U465" s="155">
        <f t="shared" si="12"/>
        <v>0</v>
      </c>
      <c r="V465" s="154">
        <f t="shared" si="13"/>
        <v>0</v>
      </c>
    </row>
    <row r="466" spans="1:22">
      <c r="A466" s="154">
        <f>'MATCH CALCS'!A467</f>
        <v>0</v>
      </c>
      <c r="B466" s="154">
        <f>'MATCH CALCS'!$C467</f>
        <v>0</v>
      </c>
      <c r="C466" s="154">
        <f t="shared" si="9"/>
        <v>0</v>
      </c>
      <c r="D466" s="6">
        <f>'MATCH CALCS'!$G467*2</f>
        <v>0</v>
      </c>
      <c r="E466" s="6">
        <f>'MATCH CALCS'!$G467*2</f>
        <v>0</v>
      </c>
      <c r="F466" s="6">
        <f>'MATCH CALCS'!$G467*2</f>
        <v>0</v>
      </c>
      <c r="G466" s="6">
        <f>'MATCH CALCS'!$G467*2</f>
        <v>0</v>
      </c>
      <c r="H466" s="6">
        <f>'MATCH CALCS'!$G467*2</f>
        <v>0</v>
      </c>
      <c r="I466" s="6">
        <f>'MATCH CALCS'!$G467*2</f>
        <v>0</v>
      </c>
      <c r="J466" s="154">
        <f t="shared" si="10"/>
        <v>0</v>
      </c>
      <c r="K466" s="6">
        <f>'MATCH CALCS'!L467*1</f>
        <v>0</v>
      </c>
      <c r="L466" s="6">
        <f>'MATCH CALCS'!$N467*2</f>
        <v>0</v>
      </c>
      <c r="M466" s="6">
        <f>'MATCH CALCS'!N467*1</f>
        <v>0</v>
      </c>
      <c r="N466" s="6">
        <f>'MATCH CALCS'!$N467*2</f>
        <v>0</v>
      </c>
      <c r="O466" s="6">
        <f>'MATCH CALCS'!$N467*2</f>
        <v>0</v>
      </c>
      <c r="P466" s="6">
        <f>'MATCH CALCS'!$P467*5</f>
        <v>0</v>
      </c>
      <c r="Q466" s="154">
        <f t="shared" si="11"/>
        <v>0</v>
      </c>
      <c r="R466" s="6">
        <f>'MATCH CALCS'!$AD467*1</f>
        <v>0</v>
      </c>
      <c r="S466" s="6">
        <f>'MATCH CALCS'!AC467*3</f>
        <v>0</v>
      </c>
      <c r="T466" s="6">
        <f>'MATCH CALCS'!AD467*3</f>
        <v>0</v>
      </c>
      <c r="U466" s="155">
        <f t="shared" si="12"/>
        <v>0</v>
      </c>
      <c r="V466" s="154">
        <f t="shared" si="13"/>
        <v>0</v>
      </c>
    </row>
    <row r="467" spans="1:22">
      <c r="A467" s="154">
        <f>'MATCH CALCS'!A468</f>
        <v>0</v>
      </c>
      <c r="B467" s="154">
        <f>'MATCH CALCS'!$C468</f>
        <v>0</v>
      </c>
      <c r="C467" s="154">
        <f t="shared" si="9"/>
        <v>0</v>
      </c>
      <c r="D467" s="6">
        <f>'MATCH CALCS'!$G468*2</f>
        <v>0</v>
      </c>
      <c r="E467" s="6">
        <f>'MATCH CALCS'!$G468*2</f>
        <v>0</v>
      </c>
      <c r="F467" s="6">
        <f>'MATCH CALCS'!$G468*2</f>
        <v>0</v>
      </c>
      <c r="G467" s="6">
        <f>'MATCH CALCS'!$G468*2</f>
        <v>0</v>
      </c>
      <c r="H467" s="6">
        <f>'MATCH CALCS'!$G468*2</f>
        <v>0</v>
      </c>
      <c r="I467" s="6">
        <f>'MATCH CALCS'!$G468*2</f>
        <v>0</v>
      </c>
      <c r="J467" s="154">
        <f t="shared" si="10"/>
        <v>0</v>
      </c>
      <c r="K467" s="6">
        <f>'MATCH CALCS'!L468*1</f>
        <v>0</v>
      </c>
      <c r="L467" s="6">
        <f>'MATCH CALCS'!$N468*2</f>
        <v>0</v>
      </c>
      <c r="M467" s="6">
        <f>'MATCH CALCS'!N468*1</f>
        <v>0</v>
      </c>
      <c r="N467" s="6">
        <f>'MATCH CALCS'!$N468*2</f>
        <v>0</v>
      </c>
      <c r="O467" s="6">
        <f>'MATCH CALCS'!$N468*2</f>
        <v>0</v>
      </c>
      <c r="P467" s="6">
        <f>'MATCH CALCS'!$P468*5</f>
        <v>0</v>
      </c>
      <c r="Q467" s="154">
        <f t="shared" si="11"/>
        <v>0</v>
      </c>
      <c r="R467" s="6">
        <f>'MATCH CALCS'!$AD468*1</f>
        <v>0</v>
      </c>
      <c r="S467" s="6">
        <f>'MATCH CALCS'!AC468*3</f>
        <v>0</v>
      </c>
      <c r="T467" s="6">
        <f>'MATCH CALCS'!AD468*3</f>
        <v>0</v>
      </c>
      <c r="U467" s="155">
        <f t="shared" si="12"/>
        <v>0</v>
      </c>
      <c r="V467" s="154">
        <f t="shared" si="13"/>
        <v>0</v>
      </c>
    </row>
    <row r="468" spans="1:22">
      <c r="A468" s="154">
        <f>'MATCH CALCS'!A469</f>
        <v>0</v>
      </c>
      <c r="B468" s="154">
        <f>'MATCH CALCS'!$C469</f>
        <v>0</v>
      </c>
      <c r="C468" s="154">
        <f t="shared" si="9"/>
        <v>0</v>
      </c>
      <c r="D468" s="6">
        <f>'MATCH CALCS'!$G469*2</f>
        <v>0</v>
      </c>
      <c r="E468" s="6">
        <f>'MATCH CALCS'!$G469*2</f>
        <v>0</v>
      </c>
      <c r="F468" s="6">
        <f>'MATCH CALCS'!$G469*2</f>
        <v>0</v>
      </c>
      <c r="G468" s="6">
        <f>'MATCH CALCS'!$G469*2</f>
        <v>0</v>
      </c>
      <c r="H468" s="6">
        <f>'MATCH CALCS'!$G469*2</f>
        <v>0</v>
      </c>
      <c r="I468" s="6">
        <f>'MATCH CALCS'!$G469*2</f>
        <v>0</v>
      </c>
      <c r="J468" s="154">
        <f t="shared" si="10"/>
        <v>0</v>
      </c>
      <c r="K468" s="6">
        <f>'MATCH CALCS'!L469*1</f>
        <v>0</v>
      </c>
      <c r="L468" s="6">
        <f>'MATCH CALCS'!$N469*2</f>
        <v>0</v>
      </c>
      <c r="M468" s="6">
        <f>'MATCH CALCS'!N469*1</f>
        <v>0</v>
      </c>
      <c r="N468" s="6">
        <f>'MATCH CALCS'!$N469*2</f>
        <v>0</v>
      </c>
      <c r="O468" s="6">
        <f>'MATCH CALCS'!$N469*2</f>
        <v>0</v>
      </c>
      <c r="P468" s="6">
        <f>'MATCH CALCS'!$P469*5</f>
        <v>0</v>
      </c>
      <c r="Q468" s="154">
        <f t="shared" si="11"/>
        <v>0</v>
      </c>
      <c r="R468" s="6">
        <f>'MATCH CALCS'!$AD469*1</f>
        <v>0</v>
      </c>
      <c r="S468" s="6">
        <f>'MATCH CALCS'!AC469*3</f>
        <v>0</v>
      </c>
      <c r="T468" s="6">
        <f>'MATCH CALCS'!AD469*3</f>
        <v>0</v>
      </c>
      <c r="U468" s="155">
        <f t="shared" si="12"/>
        <v>0</v>
      </c>
      <c r="V468" s="154">
        <f t="shared" si="13"/>
        <v>0</v>
      </c>
    </row>
    <row r="469" spans="1:22">
      <c r="A469" s="154">
        <f>'MATCH CALCS'!A470</f>
        <v>0</v>
      </c>
      <c r="B469" s="154">
        <f>'MATCH CALCS'!$C470</f>
        <v>0</v>
      </c>
      <c r="C469" s="154">
        <f t="shared" si="9"/>
        <v>0</v>
      </c>
      <c r="D469" s="6">
        <f>'MATCH CALCS'!$G470*2</f>
        <v>0</v>
      </c>
      <c r="E469" s="6">
        <f>'MATCH CALCS'!$G470*2</f>
        <v>0</v>
      </c>
      <c r="F469" s="6">
        <f>'MATCH CALCS'!$G470*2</f>
        <v>0</v>
      </c>
      <c r="G469" s="6">
        <f>'MATCH CALCS'!$G470*2</f>
        <v>0</v>
      </c>
      <c r="H469" s="6">
        <f>'MATCH CALCS'!$G470*2</f>
        <v>0</v>
      </c>
      <c r="I469" s="6">
        <f>'MATCH CALCS'!$G470*2</f>
        <v>0</v>
      </c>
      <c r="J469" s="154">
        <f t="shared" si="10"/>
        <v>0</v>
      </c>
      <c r="K469" s="6">
        <f>'MATCH CALCS'!L470*1</f>
        <v>0</v>
      </c>
      <c r="L469" s="6">
        <f>'MATCH CALCS'!$N470*2</f>
        <v>0</v>
      </c>
      <c r="M469" s="6">
        <f>'MATCH CALCS'!N470*1</f>
        <v>0</v>
      </c>
      <c r="N469" s="6">
        <f>'MATCH CALCS'!$N470*2</f>
        <v>0</v>
      </c>
      <c r="O469" s="6">
        <f>'MATCH CALCS'!$N470*2</f>
        <v>0</v>
      </c>
      <c r="P469" s="6">
        <f>'MATCH CALCS'!$P470*5</f>
        <v>0</v>
      </c>
      <c r="Q469" s="154">
        <f t="shared" si="11"/>
        <v>0</v>
      </c>
      <c r="R469" s="6">
        <f>'MATCH CALCS'!$AD470*1</f>
        <v>0</v>
      </c>
      <c r="S469" s="6">
        <f>'MATCH CALCS'!AC470*3</f>
        <v>0</v>
      </c>
      <c r="T469" s="6">
        <f>'MATCH CALCS'!AD470*3</f>
        <v>0</v>
      </c>
      <c r="U469" s="155">
        <f t="shared" si="12"/>
        <v>0</v>
      </c>
      <c r="V469" s="154">
        <f t="shared" si="13"/>
        <v>0</v>
      </c>
    </row>
    <row r="470" spans="1:22">
      <c r="A470" s="154">
        <f>'MATCH CALCS'!A471</f>
        <v>0</v>
      </c>
      <c r="B470" s="154">
        <f>'MATCH CALCS'!$C471</f>
        <v>0</v>
      </c>
      <c r="C470" s="154">
        <f t="shared" si="9"/>
        <v>0</v>
      </c>
      <c r="D470" s="6">
        <f>'MATCH CALCS'!$G471*2</f>
        <v>0</v>
      </c>
      <c r="E470" s="6">
        <f>'MATCH CALCS'!$G471*2</f>
        <v>0</v>
      </c>
      <c r="F470" s="6">
        <f>'MATCH CALCS'!$G471*2</f>
        <v>0</v>
      </c>
      <c r="G470" s="6">
        <f>'MATCH CALCS'!$G471*2</f>
        <v>0</v>
      </c>
      <c r="H470" s="6">
        <f>'MATCH CALCS'!$G471*2</f>
        <v>0</v>
      </c>
      <c r="I470" s="6">
        <f>'MATCH CALCS'!$G471*2</f>
        <v>0</v>
      </c>
      <c r="J470" s="154">
        <f t="shared" si="10"/>
        <v>0</v>
      </c>
      <c r="K470" s="6">
        <f>'MATCH CALCS'!L471*1</f>
        <v>0</v>
      </c>
      <c r="L470" s="6">
        <f>'MATCH CALCS'!$N471*2</f>
        <v>0</v>
      </c>
      <c r="M470" s="6">
        <f>'MATCH CALCS'!N471*1</f>
        <v>0</v>
      </c>
      <c r="N470" s="6">
        <f>'MATCH CALCS'!$N471*2</f>
        <v>0</v>
      </c>
      <c r="O470" s="6">
        <f>'MATCH CALCS'!$N471*2</f>
        <v>0</v>
      </c>
      <c r="P470" s="6">
        <f>'MATCH CALCS'!$P471*5</f>
        <v>0</v>
      </c>
      <c r="Q470" s="154">
        <f t="shared" si="11"/>
        <v>0</v>
      </c>
      <c r="R470" s="6">
        <f>'MATCH CALCS'!$AD471*1</f>
        <v>0</v>
      </c>
      <c r="S470" s="6">
        <f>'MATCH CALCS'!AC471*3</f>
        <v>0</v>
      </c>
      <c r="T470" s="6">
        <f>'MATCH CALCS'!AD471*3</f>
        <v>0</v>
      </c>
      <c r="U470" s="155">
        <f t="shared" si="12"/>
        <v>0</v>
      </c>
      <c r="V470" s="154">
        <f t="shared" si="13"/>
        <v>0</v>
      </c>
    </row>
    <row r="471" spans="1:22">
      <c r="A471" s="154">
        <f>'MATCH CALCS'!A472</f>
        <v>0</v>
      </c>
      <c r="B471" s="154">
        <f>'MATCH CALCS'!$C472</f>
        <v>0</v>
      </c>
      <c r="C471" s="154">
        <f t="shared" si="9"/>
        <v>0</v>
      </c>
      <c r="D471" s="6">
        <f>'MATCH CALCS'!$G472*2</f>
        <v>0</v>
      </c>
      <c r="E471" s="6">
        <f>'MATCH CALCS'!$G472*2</f>
        <v>0</v>
      </c>
      <c r="F471" s="6">
        <f>'MATCH CALCS'!$G472*2</f>
        <v>0</v>
      </c>
      <c r="G471" s="6">
        <f>'MATCH CALCS'!$G472*2</f>
        <v>0</v>
      </c>
      <c r="H471" s="6">
        <f>'MATCH CALCS'!$G472*2</f>
        <v>0</v>
      </c>
      <c r="I471" s="6">
        <f>'MATCH CALCS'!$G472*2</f>
        <v>0</v>
      </c>
      <c r="J471" s="154">
        <f t="shared" si="10"/>
        <v>0</v>
      </c>
      <c r="K471" s="6">
        <f>'MATCH CALCS'!L472*1</f>
        <v>0</v>
      </c>
      <c r="L471" s="6">
        <f>'MATCH CALCS'!$N472*2</f>
        <v>0</v>
      </c>
      <c r="M471" s="6">
        <f>'MATCH CALCS'!N472*1</f>
        <v>0</v>
      </c>
      <c r="N471" s="6">
        <f>'MATCH CALCS'!$N472*2</f>
        <v>0</v>
      </c>
      <c r="O471" s="6">
        <f>'MATCH CALCS'!$N472*2</f>
        <v>0</v>
      </c>
      <c r="P471" s="6">
        <f>'MATCH CALCS'!$P472*5</f>
        <v>0</v>
      </c>
      <c r="Q471" s="154">
        <f t="shared" si="11"/>
        <v>0</v>
      </c>
      <c r="R471" s="6">
        <f>'MATCH CALCS'!$AD472*1</f>
        <v>0</v>
      </c>
      <c r="S471" s="6">
        <f>'MATCH CALCS'!AC472*3</f>
        <v>0</v>
      </c>
      <c r="T471" s="6">
        <f>'MATCH CALCS'!AD472*3</f>
        <v>0</v>
      </c>
      <c r="U471" s="155">
        <f t="shared" si="12"/>
        <v>0</v>
      </c>
      <c r="V471" s="154">
        <f t="shared" si="13"/>
        <v>0</v>
      </c>
    </row>
    <row r="472" spans="1:22">
      <c r="A472" s="154">
        <f>'MATCH CALCS'!A473</f>
        <v>0</v>
      </c>
      <c r="B472" s="154">
        <f>'MATCH CALCS'!$C473</f>
        <v>0</v>
      </c>
      <c r="C472" s="154">
        <f t="shared" si="9"/>
        <v>0</v>
      </c>
      <c r="D472" s="6">
        <f>'MATCH CALCS'!$G473*2</f>
        <v>0</v>
      </c>
      <c r="E472" s="6">
        <f>'MATCH CALCS'!$G473*2</f>
        <v>0</v>
      </c>
      <c r="F472" s="6">
        <f>'MATCH CALCS'!$G473*2</f>
        <v>0</v>
      </c>
      <c r="G472" s="6">
        <f>'MATCH CALCS'!$G473*2</f>
        <v>0</v>
      </c>
      <c r="H472" s="6">
        <f>'MATCH CALCS'!$G473*2</f>
        <v>0</v>
      </c>
      <c r="I472" s="6">
        <f>'MATCH CALCS'!$G473*2</f>
        <v>0</v>
      </c>
      <c r="J472" s="154">
        <f t="shared" si="10"/>
        <v>0</v>
      </c>
      <c r="K472" s="6">
        <f>'MATCH CALCS'!L473*1</f>
        <v>0</v>
      </c>
      <c r="L472" s="6">
        <f>'MATCH CALCS'!$N473*2</f>
        <v>0</v>
      </c>
      <c r="M472" s="6">
        <f>'MATCH CALCS'!N473*1</f>
        <v>0</v>
      </c>
      <c r="N472" s="6">
        <f>'MATCH CALCS'!$N473*2</f>
        <v>0</v>
      </c>
      <c r="O472" s="6">
        <f>'MATCH CALCS'!$N473*2</f>
        <v>0</v>
      </c>
      <c r="P472" s="6">
        <f>'MATCH CALCS'!$P473*5</f>
        <v>0</v>
      </c>
      <c r="Q472" s="154">
        <f t="shared" si="11"/>
        <v>0</v>
      </c>
      <c r="R472" s="6">
        <f>'MATCH CALCS'!$AD473*1</f>
        <v>0</v>
      </c>
      <c r="S472" s="6">
        <f>'MATCH CALCS'!AC473*3</f>
        <v>0</v>
      </c>
      <c r="T472" s="6">
        <f>'MATCH CALCS'!AD473*3</f>
        <v>0</v>
      </c>
      <c r="U472" s="155">
        <f t="shared" si="12"/>
        <v>0</v>
      </c>
      <c r="V472" s="154">
        <f t="shared" si="13"/>
        <v>0</v>
      </c>
    </row>
    <row r="473" spans="1:22">
      <c r="A473" s="154">
        <f>'MATCH CALCS'!A474</f>
        <v>0</v>
      </c>
      <c r="B473" s="154">
        <f>'MATCH CALCS'!$C474</f>
        <v>0</v>
      </c>
      <c r="C473" s="154">
        <f t="shared" si="9"/>
        <v>0</v>
      </c>
      <c r="D473" s="6">
        <f>'MATCH CALCS'!$G474*2</f>
        <v>0</v>
      </c>
      <c r="E473" s="6">
        <f>'MATCH CALCS'!$G474*2</f>
        <v>0</v>
      </c>
      <c r="F473" s="6">
        <f>'MATCH CALCS'!$G474*2</f>
        <v>0</v>
      </c>
      <c r="G473" s="6">
        <f>'MATCH CALCS'!$G474*2</f>
        <v>0</v>
      </c>
      <c r="H473" s="6">
        <f>'MATCH CALCS'!$G474*2</f>
        <v>0</v>
      </c>
      <c r="I473" s="6">
        <f>'MATCH CALCS'!$G474*2</f>
        <v>0</v>
      </c>
      <c r="J473" s="154">
        <f t="shared" si="10"/>
        <v>0</v>
      </c>
      <c r="K473" s="6">
        <f>'MATCH CALCS'!L474*1</f>
        <v>0</v>
      </c>
      <c r="L473" s="6">
        <f>'MATCH CALCS'!$N474*2</f>
        <v>0</v>
      </c>
      <c r="M473" s="6">
        <f>'MATCH CALCS'!N474*1</f>
        <v>0</v>
      </c>
      <c r="N473" s="6">
        <f>'MATCH CALCS'!$N474*2</f>
        <v>0</v>
      </c>
      <c r="O473" s="6">
        <f>'MATCH CALCS'!$N474*2</f>
        <v>0</v>
      </c>
      <c r="P473" s="6">
        <f>'MATCH CALCS'!$P474*5</f>
        <v>0</v>
      </c>
      <c r="Q473" s="154">
        <f t="shared" si="11"/>
        <v>0</v>
      </c>
      <c r="R473" s="6">
        <f>'MATCH CALCS'!$AD474*1</f>
        <v>0</v>
      </c>
      <c r="S473" s="6">
        <f>'MATCH CALCS'!AC474*3</f>
        <v>0</v>
      </c>
      <c r="T473" s="6">
        <f>'MATCH CALCS'!AD474*3</f>
        <v>0</v>
      </c>
      <c r="U473" s="155">
        <f t="shared" si="12"/>
        <v>0</v>
      </c>
      <c r="V473" s="154">
        <f t="shared" si="13"/>
        <v>0</v>
      </c>
    </row>
    <row r="474" spans="1:22">
      <c r="A474" s="154">
        <f>'MATCH CALCS'!A475</f>
        <v>0</v>
      </c>
      <c r="B474" s="154">
        <f>'MATCH CALCS'!$C475</f>
        <v>0</v>
      </c>
      <c r="C474" s="154">
        <f t="shared" si="9"/>
        <v>0</v>
      </c>
      <c r="D474" s="6">
        <f>'MATCH CALCS'!$G475*2</f>
        <v>0</v>
      </c>
      <c r="E474" s="6">
        <f>'MATCH CALCS'!$G475*2</f>
        <v>0</v>
      </c>
      <c r="F474" s="6">
        <f>'MATCH CALCS'!$G475*2</f>
        <v>0</v>
      </c>
      <c r="G474" s="6">
        <f>'MATCH CALCS'!$G475*2</f>
        <v>0</v>
      </c>
      <c r="H474" s="6">
        <f>'MATCH CALCS'!$G475*2</f>
        <v>0</v>
      </c>
      <c r="I474" s="6">
        <f>'MATCH CALCS'!$G475*2</f>
        <v>0</v>
      </c>
      <c r="J474" s="154">
        <f t="shared" si="10"/>
        <v>0</v>
      </c>
      <c r="K474" s="6">
        <f>'MATCH CALCS'!L475*1</f>
        <v>0</v>
      </c>
      <c r="L474" s="6">
        <f>'MATCH CALCS'!$N475*2</f>
        <v>0</v>
      </c>
      <c r="M474" s="6">
        <f>'MATCH CALCS'!N475*1</f>
        <v>0</v>
      </c>
      <c r="N474" s="6">
        <f>'MATCH CALCS'!$N475*2</f>
        <v>0</v>
      </c>
      <c r="O474" s="6">
        <f>'MATCH CALCS'!$N475*2</f>
        <v>0</v>
      </c>
      <c r="P474" s="6">
        <f>'MATCH CALCS'!$P475*5</f>
        <v>0</v>
      </c>
      <c r="Q474" s="154">
        <f t="shared" si="11"/>
        <v>0</v>
      </c>
      <c r="R474" s="6">
        <f>'MATCH CALCS'!$AD475*1</f>
        <v>0</v>
      </c>
      <c r="S474" s="6">
        <f>'MATCH CALCS'!AC475*3</f>
        <v>0</v>
      </c>
      <c r="T474" s="6">
        <f>'MATCH CALCS'!AD475*3</f>
        <v>0</v>
      </c>
      <c r="U474" s="155">
        <f t="shared" si="12"/>
        <v>0</v>
      </c>
      <c r="V474" s="154">
        <f t="shared" si="13"/>
        <v>0</v>
      </c>
    </row>
    <row r="475" spans="1:22">
      <c r="A475" s="154">
        <f>'MATCH CALCS'!A476</f>
        <v>0</v>
      </c>
      <c r="B475" s="154">
        <f>'MATCH CALCS'!$C476</f>
        <v>0</v>
      </c>
      <c r="C475" s="154">
        <f t="shared" si="9"/>
        <v>0</v>
      </c>
      <c r="D475" s="6">
        <f>'MATCH CALCS'!$G476*2</f>
        <v>0</v>
      </c>
      <c r="E475" s="6">
        <f>'MATCH CALCS'!$G476*2</f>
        <v>0</v>
      </c>
      <c r="F475" s="6">
        <f>'MATCH CALCS'!$G476*2</f>
        <v>0</v>
      </c>
      <c r="G475" s="6">
        <f>'MATCH CALCS'!$G476*2</f>
        <v>0</v>
      </c>
      <c r="H475" s="6">
        <f>'MATCH CALCS'!$G476*2</f>
        <v>0</v>
      </c>
      <c r="I475" s="6">
        <f>'MATCH CALCS'!$G476*2</f>
        <v>0</v>
      </c>
      <c r="J475" s="154">
        <f t="shared" si="10"/>
        <v>0</v>
      </c>
      <c r="K475" s="6">
        <f>'MATCH CALCS'!L476*1</f>
        <v>0</v>
      </c>
      <c r="L475" s="6">
        <f>'MATCH CALCS'!$N476*2</f>
        <v>0</v>
      </c>
      <c r="M475" s="6">
        <f>'MATCH CALCS'!N476*1</f>
        <v>0</v>
      </c>
      <c r="N475" s="6">
        <f>'MATCH CALCS'!$N476*2</f>
        <v>0</v>
      </c>
      <c r="O475" s="6">
        <f>'MATCH CALCS'!$N476*2</f>
        <v>0</v>
      </c>
      <c r="P475" s="6">
        <f>'MATCH CALCS'!$P476*5</f>
        <v>0</v>
      </c>
      <c r="Q475" s="154">
        <f t="shared" si="11"/>
        <v>0</v>
      </c>
      <c r="R475" s="6">
        <f>'MATCH CALCS'!$AD476*1</f>
        <v>0</v>
      </c>
      <c r="S475" s="6">
        <f>'MATCH CALCS'!AC476*3</f>
        <v>0</v>
      </c>
      <c r="T475" s="6">
        <f>'MATCH CALCS'!AD476*3</f>
        <v>0</v>
      </c>
      <c r="U475" s="155">
        <f t="shared" si="12"/>
        <v>0</v>
      </c>
      <c r="V475" s="154">
        <f t="shared" si="13"/>
        <v>0</v>
      </c>
    </row>
    <row r="476" spans="1:22">
      <c r="A476" s="154">
        <f>'MATCH CALCS'!A477</f>
        <v>0</v>
      </c>
      <c r="B476" s="154">
        <f>'MATCH CALCS'!$C477</f>
        <v>0</v>
      </c>
      <c r="C476" s="154">
        <f t="shared" si="9"/>
        <v>0</v>
      </c>
      <c r="D476" s="6">
        <f>'MATCH CALCS'!$G477*2</f>
        <v>0</v>
      </c>
      <c r="E476" s="6">
        <f>'MATCH CALCS'!$G477*2</f>
        <v>0</v>
      </c>
      <c r="F476" s="6">
        <f>'MATCH CALCS'!$G477*2</f>
        <v>0</v>
      </c>
      <c r="G476" s="6">
        <f>'MATCH CALCS'!$G477*2</f>
        <v>0</v>
      </c>
      <c r="H476" s="6">
        <f>'MATCH CALCS'!$G477*2</f>
        <v>0</v>
      </c>
      <c r="I476" s="6">
        <f>'MATCH CALCS'!$G477*2</f>
        <v>0</v>
      </c>
      <c r="J476" s="154">
        <f t="shared" si="10"/>
        <v>0</v>
      </c>
      <c r="K476" s="6">
        <f>'MATCH CALCS'!L477*1</f>
        <v>0</v>
      </c>
      <c r="L476" s="6">
        <f>'MATCH CALCS'!$N477*2</f>
        <v>0</v>
      </c>
      <c r="M476" s="6">
        <f>'MATCH CALCS'!N477*1</f>
        <v>0</v>
      </c>
      <c r="N476" s="6">
        <f>'MATCH CALCS'!$N477*2</f>
        <v>0</v>
      </c>
      <c r="O476" s="6">
        <f>'MATCH CALCS'!$N477*2</f>
        <v>0</v>
      </c>
      <c r="P476" s="6">
        <f>'MATCH CALCS'!$P477*5</f>
        <v>0</v>
      </c>
      <c r="Q476" s="154">
        <f t="shared" si="11"/>
        <v>0</v>
      </c>
      <c r="R476" s="6">
        <f>'MATCH CALCS'!$AD477*1</f>
        <v>0</v>
      </c>
      <c r="S476" s="6">
        <f>'MATCH CALCS'!AC477*3</f>
        <v>0</v>
      </c>
      <c r="T476" s="6">
        <f>'MATCH CALCS'!AD477*3</f>
        <v>0</v>
      </c>
      <c r="U476" s="155">
        <f t="shared" si="12"/>
        <v>0</v>
      </c>
      <c r="V476" s="154">
        <f t="shared" si="13"/>
        <v>0</v>
      </c>
    </row>
    <row r="477" spans="1:22">
      <c r="A477" s="154">
        <f>'MATCH CALCS'!A478</f>
        <v>0</v>
      </c>
      <c r="B477" s="154">
        <f>'MATCH CALCS'!$C478</f>
        <v>0</v>
      </c>
      <c r="C477" s="154">
        <f t="shared" si="9"/>
        <v>0</v>
      </c>
      <c r="D477" s="6">
        <f>'MATCH CALCS'!$G478*2</f>
        <v>0</v>
      </c>
      <c r="E477" s="6">
        <f>'MATCH CALCS'!$G478*2</f>
        <v>0</v>
      </c>
      <c r="F477" s="6">
        <f>'MATCH CALCS'!$G478*2</f>
        <v>0</v>
      </c>
      <c r="G477" s="6">
        <f>'MATCH CALCS'!$G478*2</f>
        <v>0</v>
      </c>
      <c r="H477" s="6">
        <f>'MATCH CALCS'!$G478*2</f>
        <v>0</v>
      </c>
      <c r="I477" s="6">
        <f>'MATCH CALCS'!$G478*2</f>
        <v>0</v>
      </c>
      <c r="J477" s="154">
        <f t="shared" si="10"/>
        <v>0</v>
      </c>
      <c r="K477" s="6">
        <f>'MATCH CALCS'!L478*1</f>
        <v>0</v>
      </c>
      <c r="L477" s="6">
        <f>'MATCH CALCS'!$N478*2</f>
        <v>0</v>
      </c>
      <c r="M477" s="6">
        <f>'MATCH CALCS'!N478*1</f>
        <v>0</v>
      </c>
      <c r="N477" s="6">
        <f>'MATCH CALCS'!$N478*2</f>
        <v>0</v>
      </c>
      <c r="O477" s="6">
        <f>'MATCH CALCS'!$N478*2</f>
        <v>0</v>
      </c>
      <c r="P477" s="6">
        <f>'MATCH CALCS'!$P478*5</f>
        <v>0</v>
      </c>
      <c r="Q477" s="154">
        <f t="shared" si="11"/>
        <v>0</v>
      </c>
      <c r="R477" s="6">
        <f>'MATCH CALCS'!$AD478*1</f>
        <v>0</v>
      </c>
      <c r="S477" s="6">
        <f>'MATCH CALCS'!AC478*3</f>
        <v>0</v>
      </c>
      <c r="T477" s="6">
        <f>'MATCH CALCS'!AD478*3</f>
        <v>0</v>
      </c>
      <c r="U477" s="155">
        <f t="shared" si="12"/>
        <v>0</v>
      </c>
      <c r="V477" s="154">
        <f t="shared" si="13"/>
        <v>0</v>
      </c>
    </row>
    <row r="478" spans="1:22">
      <c r="A478" s="154">
        <f>'MATCH CALCS'!A479</f>
        <v>0</v>
      </c>
      <c r="B478" s="154">
        <f>'MATCH CALCS'!$C479</f>
        <v>0</v>
      </c>
      <c r="C478" s="154">
        <f t="shared" si="9"/>
        <v>0</v>
      </c>
      <c r="D478" s="6">
        <f>'MATCH CALCS'!$G479*2</f>
        <v>0</v>
      </c>
      <c r="E478" s="6">
        <f>'MATCH CALCS'!$G479*2</f>
        <v>0</v>
      </c>
      <c r="F478" s="6">
        <f>'MATCH CALCS'!$G479*2</f>
        <v>0</v>
      </c>
      <c r="G478" s="6">
        <f>'MATCH CALCS'!$G479*2</f>
        <v>0</v>
      </c>
      <c r="H478" s="6">
        <f>'MATCH CALCS'!$G479*2</f>
        <v>0</v>
      </c>
      <c r="I478" s="6">
        <f>'MATCH CALCS'!$G479*2</f>
        <v>0</v>
      </c>
      <c r="J478" s="154">
        <f t="shared" si="10"/>
        <v>0</v>
      </c>
      <c r="K478" s="6">
        <f>'MATCH CALCS'!L479*1</f>
        <v>0</v>
      </c>
      <c r="L478" s="6">
        <f>'MATCH CALCS'!$N479*2</f>
        <v>0</v>
      </c>
      <c r="M478" s="6">
        <f>'MATCH CALCS'!N479*1</f>
        <v>0</v>
      </c>
      <c r="N478" s="6">
        <f>'MATCH CALCS'!$N479*2</f>
        <v>0</v>
      </c>
      <c r="O478" s="6">
        <f>'MATCH CALCS'!$N479*2</f>
        <v>0</v>
      </c>
      <c r="P478" s="6">
        <f>'MATCH CALCS'!$P479*5</f>
        <v>0</v>
      </c>
      <c r="Q478" s="154">
        <f t="shared" si="11"/>
        <v>0</v>
      </c>
      <c r="R478" s="6">
        <f>'MATCH CALCS'!$AD479*1</f>
        <v>0</v>
      </c>
      <c r="S478" s="6">
        <f>'MATCH CALCS'!AC479*3</f>
        <v>0</v>
      </c>
      <c r="T478" s="6">
        <f>'MATCH CALCS'!AD479*3</f>
        <v>0</v>
      </c>
      <c r="U478" s="155">
        <f t="shared" si="12"/>
        <v>0</v>
      </c>
      <c r="V478" s="154">
        <f t="shared" si="13"/>
        <v>0</v>
      </c>
    </row>
    <row r="479" spans="1:22">
      <c r="A479" s="154">
        <f>'MATCH CALCS'!A480</f>
        <v>0</v>
      </c>
      <c r="B479" s="154">
        <f>'MATCH CALCS'!$C480</f>
        <v>0</v>
      </c>
      <c r="C479" s="154">
        <f t="shared" si="9"/>
        <v>0</v>
      </c>
      <c r="D479" s="6">
        <f>'MATCH CALCS'!$G480*2</f>
        <v>0</v>
      </c>
      <c r="E479" s="6">
        <f>'MATCH CALCS'!$G480*2</f>
        <v>0</v>
      </c>
      <c r="F479" s="6">
        <f>'MATCH CALCS'!$G480*2</f>
        <v>0</v>
      </c>
      <c r="G479" s="6">
        <f>'MATCH CALCS'!$G480*2</f>
        <v>0</v>
      </c>
      <c r="H479" s="6">
        <f>'MATCH CALCS'!$G480*2</f>
        <v>0</v>
      </c>
      <c r="I479" s="6">
        <f>'MATCH CALCS'!$G480*2</f>
        <v>0</v>
      </c>
      <c r="J479" s="154">
        <f t="shared" si="10"/>
        <v>0</v>
      </c>
      <c r="K479" s="6">
        <f>'MATCH CALCS'!L480*1</f>
        <v>0</v>
      </c>
      <c r="L479" s="6">
        <f>'MATCH CALCS'!$N480*2</f>
        <v>0</v>
      </c>
      <c r="M479" s="6">
        <f>'MATCH CALCS'!N480*1</f>
        <v>0</v>
      </c>
      <c r="N479" s="6">
        <f>'MATCH CALCS'!$N480*2</f>
        <v>0</v>
      </c>
      <c r="O479" s="6">
        <f>'MATCH CALCS'!$N480*2</f>
        <v>0</v>
      </c>
      <c r="P479" s="6">
        <f>'MATCH CALCS'!$P480*5</f>
        <v>0</v>
      </c>
      <c r="Q479" s="154">
        <f t="shared" si="11"/>
        <v>0</v>
      </c>
      <c r="R479" s="6">
        <f>'MATCH CALCS'!$AD480*1</f>
        <v>0</v>
      </c>
      <c r="S479" s="6">
        <f>'MATCH CALCS'!AC480*3</f>
        <v>0</v>
      </c>
      <c r="T479" s="6">
        <f>'MATCH CALCS'!AD480*3</f>
        <v>0</v>
      </c>
      <c r="U479" s="155">
        <f t="shared" si="12"/>
        <v>0</v>
      </c>
      <c r="V479" s="154">
        <f t="shared" si="13"/>
        <v>0</v>
      </c>
    </row>
    <row r="480" spans="1:22">
      <c r="A480" s="154">
        <f>'MATCH CALCS'!A481</f>
        <v>0</v>
      </c>
      <c r="B480" s="154">
        <f>'MATCH CALCS'!$C481</f>
        <v>0</v>
      </c>
      <c r="C480" s="154">
        <f t="shared" si="9"/>
        <v>0</v>
      </c>
      <c r="D480" s="6">
        <f>'MATCH CALCS'!$G481*2</f>
        <v>0</v>
      </c>
      <c r="E480" s="6">
        <f>'MATCH CALCS'!$G481*2</f>
        <v>0</v>
      </c>
      <c r="F480" s="6">
        <f>'MATCH CALCS'!$G481*2</f>
        <v>0</v>
      </c>
      <c r="G480" s="6">
        <f>'MATCH CALCS'!$G481*2</f>
        <v>0</v>
      </c>
      <c r="H480" s="6">
        <f>'MATCH CALCS'!$G481*2</f>
        <v>0</v>
      </c>
      <c r="I480" s="6">
        <f>'MATCH CALCS'!$G481*2</f>
        <v>0</v>
      </c>
      <c r="J480" s="154">
        <f t="shared" si="10"/>
        <v>0</v>
      </c>
      <c r="K480" s="6">
        <f>'MATCH CALCS'!L481*1</f>
        <v>0</v>
      </c>
      <c r="L480" s="6">
        <f>'MATCH CALCS'!$N481*2</f>
        <v>0</v>
      </c>
      <c r="M480" s="6">
        <f>'MATCH CALCS'!N481*1</f>
        <v>0</v>
      </c>
      <c r="N480" s="6">
        <f>'MATCH CALCS'!$N481*2</f>
        <v>0</v>
      </c>
      <c r="O480" s="6">
        <f>'MATCH CALCS'!$N481*2</f>
        <v>0</v>
      </c>
      <c r="P480" s="6">
        <f>'MATCH CALCS'!$P481*5</f>
        <v>0</v>
      </c>
      <c r="Q480" s="154">
        <f t="shared" si="11"/>
        <v>0</v>
      </c>
      <c r="R480" s="6">
        <f>'MATCH CALCS'!$AD481*1</f>
        <v>0</v>
      </c>
      <c r="S480" s="6">
        <f>'MATCH CALCS'!AC481*3</f>
        <v>0</v>
      </c>
      <c r="T480" s="6">
        <f>'MATCH CALCS'!AD481*3</f>
        <v>0</v>
      </c>
      <c r="U480" s="155">
        <f t="shared" si="12"/>
        <v>0</v>
      </c>
      <c r="V480" s="154">
        <f t="shared" si="13"/>
        <v>0</v>
      </c>
    </row>
    <row r="481" spans="1:22">
      <c r="A481" s="154">
        <f>'MATCH CALCS'!A482</f>
        <v>0</v>
      </c>
      <c r="B481" s="154">
        <f>'MATCH CALCS'!$C482</f>
        <v>0</v>
      </c>
      <c r="C481" s="154">
        <f t="shared" si="9"/>
        <v>0</v>
      </c>
      <c r="D481" s="6">
        <f>'MATCH CALCS'!$G482*2</f>
        <v>0</v>
      </c>
      <c r="E481" s="6">
        <f>'MATCH CALCS'!$G482*2</f>
        <v>0</v>
      </c>
      <c r="F481" s="6">
        <f>'MATCH CALCS'!$G482*2</f>
        <v>0</v>
      </c>
      <c r="G481" s="6">
        <f>'MATCH CALCS'!$G482*2</f>
        <v>0</v>
      </c>
      <c r="H481" s="6">
        <f>'MATCH CALCS'!$G482*2</f>
        <v>0</v>
      </c>
      <c r="I481" s="6">
        <f>'MATCH CALCS'!$G482*2</f>
        <v>0</v>
      </c>
      <c r="J481" s="154">
        <f t="shared" si="10"/>
        <v>0</v>
      </c>
      <c r="K481" s="6">
        <f>'MATCH CALCS'!L482*1</f>
        <v>0</v>
      </c>
      <c r="L481" s="6">
        <f>'MATCH CALCS'!$N482*2</f>
        <v>0</v>
      </c>
      <c r="M481" s="6">
        <f>'MATCH CALCS'!N482*1</f>
        <v>0</v>
      </c>
      <c r="N481" s="6">
        <f>'MATCH CALCS'!$N482*2</f>
        <v>0</v>
      </c>
      <c r="O481" s="6">
        <f>'MATCH CALCS'!$N482*2</f>
        <v>0</v>
      </c>
      <c r="P481" s="6">
        <f>'MATCH CALCS'!$P482*5</f>
        <v>0</v>
      </c>
      <c r="Q481" s="154">
        <f t="shared" si="11"/>
        <v>0</v>
      </c>
      <c r="R481" s="6">
        <f>'MATCH CALCS'!$AD482*1</f>
        <v>0</v>
      </c>
      <c r="S481" s="6">
        <f>'MATCH CALCS'!AC482*3</f>
        <v>0</v>
      </c>
      <c r="T481" s="6">
        <f>'MATCH CALCS'!AD482*3</f>
        <v>0</v>
      </c>
      <c r="U481" s="155">
        <f t="shared" si="12"/>
        <v>0</v>
      </c>
      <c r="V481" s="154">
        <f t="shared" si="13"/>
        <v>0</v>
      </c>
    </row>
    <row r="482" spans="1:22">
      <c r="A482" s="154">
        <f>'MATCH CALCS'!A483</f>
        <v>0</v>
      </c>
      <c r="B482" s="154">
        <f>'MATCH CALCS'!$C483</f>
        <v>0</v>
      </c>
      <c r="C482" s="154">
        <f t="shared" si="9"/>
        <v>0</v>
      </c>
      <c r="D482" s="6">
        <f>'MATCH CALCS'!$G483*2</f>
        <v>0</v>
      </c>
      <c r="E482" s="6">
        <f>'MATCH CALCS'!$G483*2</f>
        <v>0</v>
      </c>
      <c r="F482" s="6">
        <f>'MATCH CALCS'!$G483*2</f>
        <v>0</v>
      </c>
      <c r="G482" s="6">
        <f>'MATCH CALCS'!$G483*2</f>
        <v>0</v>
      </c>
      <c r="H482" s="6">
        <f>'MATCH CALCS'!$G483*2</f>
        <v>0</v>
      </c>
      <c r="I482" s="6">
        <f>'MATCH CALCS'!$G483*2</f>
        <v>0</v>
      </c>
      <c r="J482" s="154">
        <f t="shared" si="10"/>
        <v>0</v>
      </c>
      <c r="K482" s="6">
        <f>'MATCH CALCS'!L483*1</f>
        <v>0</v>
      </c>
      <c r="L482" s="6">
        <f>'MATCH CALCS'!$N483*2</f>
        <v>0</v>
      </c>
      <c r="M482" s="6">
        <f>'MATCH CALCS'!N483*1</f>
        <v>0</v>
      </c>
      <c r="N482" s="6">
        <f>'MATCH CALCS'!$N483*2</f>
        <v>0</v>
      </c>
      <c r="O482" s="6">
        <f>'MATCH CALCS'!$N483*2</f>
        <v>0</v>
      </c>
      <c r="P482" s="6">
        <f>'MATCH CALCS'!$P483*5</f>
        <v>0</v>
      </c>
      <c r="Q482" s="154">
        <f t="shared" si="11"/>
        <v>0</v>
      </c>
      <c r="R482" s="6">
        <f>'MATCH CALCS'!$AD483*1</f>
        <v>0</v>
      </c>
      <c r="S482" s="6">
        <f>'MATCH CALCS'!AC483*3</f>
        <v>0</v>
      </c>
      <c r="T482" s="6">
        <f>'MATCH CALCS'!AD483*3</f>
        <v>0</v>
      </c>
      <c r="U482" s="155">
        <f t="shared" si="12"/>
        <v>0</v>
      </c>
      <c r="V482" s="154">
        <f t="shared" si="13"/>
        <v>0</v>
      </c>
    </row>
    <row r="483" spans="1:22">
      <c r="A483" s="154">
        <f>'MATCH CALCS'!A484</f>
        <v>0</v>
      </c>
      <c r="B483" s="154">
        <f>'MATCH CALCS'!$C484</f>
        <v>0</v>
      </c>
      <c r="C483" s="154">
        <f t="shared" si="9"/>
        <v>0</v>
      </c>
      <c r="D483" s="6">
        <f>'MATCH CALCS'!$G484*2</f>
        <v>0</v>
      </c>
      <c r="E483" s="6">
        <f>'MATCH CALCS'!$G484*2</f>
        <v>0</v>
      </c>
      <c r="F483" s="6">
        <f>'MATCH CALCS'!$G484*2</f>
        <v>0</v>
      </c>
      <c r="G483" s="6">
        <f>'MATCH CALCS'!$G484*2</f>
        <v>0</v>
      </c>
      <c r="H483" s="6">
        <f>'MATCH CALCS'!$G484*2</f>
        <v>0</v>
      </c>
      <c r="I483" s="6">
        <f>'MATCH CALCS'!$G484*2</f>
        <v>0</v>
      </c>
      <c r="J483" s="154">
        <f t="shared" si="10"/>
        <v>0</v>
      </c>
      <c r="K483" s="6">
        <f>'MATCH CALCS'!L484*1</f>
        <v>0</v>
      </c>
      <c r="L483" s="6">
        <f>'MATCH CALCS'!$N484*2</f>
        <v>0</v>
      </c>
      <c r="M483" s="6">
        <f>'MATCH CALCS'!N484*1</f>
        <v>0</v>
      </c>
      <c r="N483" s="6">
        <f>'MATCH CALCS'!$N484*2</f>
        <v>0</v>
      </c>
      <c r="O483" s="6">
        <f>'MATCH CALCS'!$N484*2</f>
        <v>0</v>
      </c>
      <c r="P483" s="6">
        <f>'MATCH CALCS'!$P484*5</f>
        <v>0</v>
      </c>
      <c r="Q483" s="154">
        <f t="shared" si="11"/>
        <v>0</v>
      </c>
      <c r="R483" s="6">
        <f>'MATCH CALCS'!$AD484*1</f>
        <v>0</v>
      </c>
      <c r="S483" s="6">
        <f>'MATCH CALCS'!AC484*3</f>
        <v>0</v>
      </c>
      <c r="T483" s="6">
        <f>'MATCH CALCS'!AD484*3</f>
        <v>0</v>
      </c>
      <c r="U483" s="155">
        <f t="shared" si="12"/>
        <v>0</v>
      </c>
      <c r="V483" s="154">
        <f t="shared" si="13"/>
        <v>0</v>
      </c>
    </row>
    <row r="484" spans="1:22">
      <c r="A484" s="154">
        <f>'MATCH CALCS'!A485</f>
        <v>0</v>
      </c>
      <c r="B484" s="154">
        <f>'MATCH CALCS'!$C485</f>
        <v>0</v>
      </c>
      <c r="C484" s="154">
        <f t="shared" si="9"/>
        <v>0</v>
      </c>
      <c r="D484" s="6">
        <f>'MATCH CALCS'!$G485*2</f>
        <v>0</v>
      </c>
      <c r="E484" s="6">
        <f>'MATCH CALCS'!$G485*2</f>
        <v>0</v>
      </c>
      <c r="F484" s="6">
        <f>'MATCH CALCS'!$G485*2</f>
        <v>0</v>
      </c>
      <c r="G484" s="6">
        <f>'MATCH CALCS'!$G485*2</f>
        <v>0</v>
      </c>
      <c r="H484" s="6">
        <f>'MATCH CALCS'!$G485*2</f>
        <v>0</v>
      </c>
      <c r="I484" s="6">
        <f>'MATCH CALCS'!$G485*2</f>
        <v>0</v>
      </c>
      <c r="J484" s="154">
        <f t="shared" si="10"/>
        <v>0</v>
      </c>
      <c r="K484" s="6">
        <f>'MATCH CALCS'!L485*1</f>
        <v>0</v>
      </c>
      <c r="L484" s="6">
        <f>'MATCH CALCS'!$N485*2</f>
        <v>0</v>
      </c>
      <c r="M484" s="6">
        <f>'MATCH CALCS'!N485*1</f>
        <v>0</v>
      </c>
      <c r="N484" s="6">
        <f>'MATCH CALCS'!$N485*2</f>
        <v>0</v>
      </c>
      <c r="O484" s="6">
        <f>'MATCH CALCS'!$N485*2</f>
        <v>0</v>
      </c>
      <c r="P484" s="6">
        <f>'MATCH CALCS'!$P485*5</f>
        <v>0</v>
      </c>
      <c r="Q484" s="154">
        <f t="shared" si="11"/>
        <v>0</v>
      </c>
      <c r="R484" s="6">
        <f>'MATCH CALCS'!$AD485*1</f>
        <v>0</v>
      </c>
      <c r="S484" s="6">
        <f>'MATCH CALCS'!AC485*3</f>
        <v>0</v>
      </c>
      <c r="T484" s="6">
        <f>'MATCH CALCS'!AD485*3</f>
        <v>0</v>
      </c>
      <c r="U484" s="155">
        <f t="shared" si="12"/>
        <v>0</v>
      </c>
      <c r="V484" s="154">
        <f t="shared" si="13"/>
        <v>0</v>
      </c>
    </row>
    <row r="485" spans="1:22">
      <c r="A485" s="154">
        <f>'MATCH CALCS'!A486</f>
        <v>0</v>
      </c>
      <c r="B485" s="154">
        <f>'MATCH CALCS'!$C486</f>
        <v>0</v>
      </c>
      <c r="C485" s="154">
        <f t="shared" si="9"/>
        <v>0</v>
      </c>
      <c r="D485" s="6">
        <f>'MATCH CALCS'!$G486*2</f>
        <v>0</v>
      </c>
      <c r="E485" s="6">
        <f>'MATCH CALCS'!$G486*2</f>
        <v>0</v>
      </c>
      <c r="F485" s="6">
        <f>'MATCH CALCS'!$G486*2</f>
        <v>0</v>
      </c>
      <c r="G485" s="6">
        <f>'MATCH CALCS'!$G486*2</f>
        <v>0</v>
      </c>
      <c r="H485" s="6">
        <f>'MATCH CALCS'!$G486*2</f>
        <v>0</v>
      </c>
      <c r="I485" s="6">
        <f>'MATCH CALCS'!$G486*2</f>
        <v>0</v>
      </c>
      <c r="J485" s="154">
        <f t="shared" si="10"/>
        <v>0</v>
      </c>
      <c r="K485" s="6">
        <f>'MATCH CALCS'!L486*1</f>
        <v>0</v>
      </c>
      <c r="L485" s="6">
        <f>'MATCH CALCS'!$N486*2</f>
        <v>0</v>
      </c>
      <c r="M485" s="6">
        <f>'MATCH CALCS'!N486*1</f>
        <v>0</v>
      </c>
      <c r="N485" s="6">
        <f>'MATCH CALCS'!$N486*2</f>
        <v>0</v>
      </c>
      <c r="O485" s="6">
        <f>'MATCH CALCS'!$N486*2</f>
        <v>0</v>
      </c>
      <c r="P485" s="6">
        <f>'MATCH CALCS'!$P486*5</f>
        <v>0</v>
      </c>
      <c r="Q485" s="154">
        <f t="shared" si="11"/>
        <v>0</v>
      </c>
      <c r="R485" s="6">
        <f>'MATCH CALCS'!$AD486*1</f>
        <v>0</v>
      </c>
      <c r="S485" s="6">
        <f>'MATCH CALCS'!AC486*3</f>
        <v>0</v>
      </c>
      <c r="T485" s="6">
        <f>'MATCH CALCS'!AD486*3</f>
        <v>0</v>
      </c>
      <c r="U485" s="155">
        <f t="shared" si="12"/>
        <v>0</v>
      </c>
      <c r="V485" s="154">
        <f t="shared" si="13"/>
        <v>0</v>
      </c>
    </row>
    <row r="486" spans="1:22">
      <c r="A486" s="154">
        <f>'MATCH CALCS'!A487</f>
        <v>0</v>
      </c>
      <c r="B486" s="154">
        <f>'MATCH CALCS'!$C487</f>
        <v>0</v>
      </c>
      <c r="C486" s="154">
        <f t="shared" si="9"/>
        <v>0</v>
      </c>
      <c r="D486" s="6">
        <f>'MATCH CALCS'!$G487*2</f>
        <v>0</v>
      </c>
      <c r="E486" s="6">
        <f>'MATCH CALCS'!$G487*2</f>
        <v>0</v>
      </c>
      <c r="F486" s="6">
        <f>'MATCH CALCS'!$G487*2</f>
        <v>0</v>
      </c>
      <c r="G486" s="6">
        <f>'MATCH CALCS'!$G487*2</f>
        <v>0</v>
      </c>
      <c r="H486" s="6">
        <f>'MATCH CALCS'!$G487*2</f>
        <v>0</v>
      </c>
      <c r="I486" s="6">
        <f>'MATCH CALCS'!$G487*2</f>
        <v>0</v>
      </c>
      <c r="J486" s="154">
        <f t="shared" si="10"/>
        <v>0</v>
      </c>
      <c r="K486" s="6">
        <f>'MATCH CALCS'!L487*1</f>
        <v>0</v>
      </c>
      <c r="L486" s="6">
        <f>'MATCH CALCS'!$N487*2</f>
        <v>0</v>
      </c>
      <c r="M486" s="6">
        <f>'MATCH CALCS'!N487*1</f>
        <v>0</v>
      </c>
      <c r="N486" s="6">
        <f>'MATCH CALCS'!$N487*2</f>
        <v>0</v>
      </c>
      <c r="O486" s="6">
        <f>'MATCH CALCS'!$N487*2</f>
        <v>0</v>
      </c>
      <c r="P486" s="6">
        <f>'MATCH CALCS'!$P487*5</f>
        <v>0</v>
      </c>
      <c r="Q486" s="154">
        <f t="shared" si="11"/>
        <v>0</v>
      </c>
      <c r="R486" s="6">
        <f>'MATCH CALCS'!$AD487*1</f>
        <v>0</v>
      </c>
      <c r="S486" s="6">
        <f>'MATCH CALCS'!AC487*3</f>
        <v>0</v>
      </c>
      <c r="T486" s="6">
        <f>'MATCH CALCS'!AD487*3</f>
        <v>0</v>
      </c>
      <c r="U486" s="155">
        <f t="shared" si="12"/>
        <v>0</v>
      </c>
      <c r="V486" s="154">
        <f t="shared" si="13"/>
        <v>0</v>
      </c>
    </row>
    <row r="487" spans="1:22">
      <c r="A487" s="154">
        <f>'MATCH CALCS'!A488</f>
        <v>0</v>
      </c>
      <c r="B487" s="154">
        <f>'MATCH CALCS'!$C488</f>
        <v>0</v>
      </c>
      <c r="C487" s="154">
        <f t="shared" si="9"/>
        <v>0</v>
      </c>
      <c r="D487" s="6">
        <f>'MATCH CALCS'!$G488*2</f>
        <v>0</v>
      </c>
      <c r="E487" s="6">
        <f>'MATCH CALCS'!$G488*2</f>
        <v>0</v>
      </c>
      <c r="F487" s="6">
        <f>'MATCH CALCS'!$G488*2</f>
        <v>0</v>
      </c>
      <c r="G487" s="6">
        <f>'MATCH CALCS'!$G488*2</f>
        <v>0</v>
      </c>
      <c r="H487" s="6">
        <f>'MATCH CALCS'!$G488*2</f>
        <v>0</v>
      </c>
      <c r="I487" s="6">
        <f>'MATCH CALCS'!$G488*2</f>
        <v>0</v>
      </c>
      <c r="J487" s="154">
        <f t="shared" si="10"/>
        <v>0</v>
      </c>
      <c r="K487" s="6">
        <f>'MATCH CALCS'!L488*1</f>
        <v>0</v>
      </c>
      <c r="L487" s="6">
        <f>'MATCH CALCS'!$N488*2</f>
        <v>0</v>
      </c>
      <c r="M487" s="6">
        <f>'MATCH CALCS'!N488*1</f>
        <v>0</v>
      </c>
      <c r="N487" s="6">
        <f>'MATCH CALCS'!$N488*2</f>
        <v>0</v>
      </c>
      <c r="O487" s="6">
        <f>'MATCH CALCS'!$N488*2</f>
        <v>0</v>
      </c>
      <c r="P487" s="6">
        <f>'MATCH CALCS'!$P488*5</f>
        <v>0</v>
      </c>
      <c r="Q487" s="154">
        <f t="shared" si="11"/>
        <v>0</v>
      </c>
      <c r="R487" s="6">
        <f>'MATCH CALCS'!$AD488*1</f>
        <v>0</v>
      </c>
      <c r="S487" s="6">
        <f>'MATCH CALCS'!AC488*3</f>
        <v>0</v>
      </c>
      <c r="T487" s="6">
        <f>'MATCH CALCS'!AD488*3</f>
        <v>0</v>
      </c>
      <c r="U487" s="155">
        <f t="shared" si="12"/>
        <v>0</v>
      </c>
      <c r="V487" s="154">
        <f t="shared" si="13"/>
        <v>0</v>
      </c>
    </row>
    <row r="488" spans="1:22">
      <c r="A488" s="154">
        <f>'MATCH CALCS'!A489</f>
        <v>0</v>
      </c>
      <c r="B488" s="154">
        <f>'MATCH CALCS'!$C489</f>
        <v>0</v>
      </c>
      <c r="C488" s="154">
        <f t="shared" si="9"/>
        <v>0</v>
      </c>
      <c r="D488" s="6">
        <f>'MATCH CALCS'!$G489*2</f>
        <v>0</v>
      </c>
      <c r="E488" s="6">
        <f>'MATCH CALCS'!$G489*2</f>
        <v>0</v>
      </c>
      <c r="F488" s="6">
        <f>'MATCH CALCS'!$G489*2</f>
        <v>0</v>
      </c>
      <c r="G488" s="6">
        <f>'MATCH CALCS'!$G489*2</f>
        <v>0</v>
      </c>
      <c r="H488" s="6">
        <f>'MATCH CALCS'!$G489*2</f>
        <v>0</v>
      </c>
      <c r="I488" s="6">
        <f>'MATCH CALCS'!$G489*2</f>
        <v>0</v>
      </c>
      <c r="J488" s="154">
        <f t="shared" si="10"/>
        <v>0</v>
      </c>
      <c r="K488" s="6">
        <f>'MATCH CALCS'!L489*1</f>
        <v>0</v>
      </c>
      <c r="L488" s="6">
        <f>'MATCH CALCS'!$N489*2</f>
        <v>0</v>
      </c>
      <c r="M488" s="6">
        <f>'MATCH CALCS'!N489*1</f>
        <v>0</v>
      </c>
      <c r="N488" s="6">
        <f>'MATCH CALCS'!$N489*2</f>
        <v>0</v>
      </c>
      <c r="O488" s="6">
        <f>'MATCH CALCS'!$N489*2</f>
        <v>0</v>
      </c>
      <c r="P488" s="6">
        <f>'MATCH CALCS'!$P489*5</f>
        <v>0</v>
      </c>
      <c r="Q488" s="154">
        <f t="shared" si="11"/>
        <v>0</v>
      </c>
      <c r="R488" s="6">
        <f>'MATCH CALCS'!$AD489*1</f>
        <v>0</v>
      </c>
      <c r="S488" s="6">
        <f>'MATCH CALCS'!AC489*3</f>
        <v>0</v>
      </c>
      <c r="T488" s="6">
        <f>'MATCH CALCS'!AD489*3</f>
        <v>0</v>
      </c>
      <c r="U488" s="155">
        <f t="shared" si="12"/>
        <v>0</v>
      </c>
      <c r="V488" s="154">
        <f t="shared" si="13"/>
        <v>0</v>
      </c>
    </row>
    <row r="489" spans="1:22">
      <c r="A489" s="154">
        <f>'MATCH CALCS'!A490</f>
        <v>0</v>
      </c>
      <c r="B489" s="154">
        <f>'MATCH CALCS'!$C490</f>
        <v>0</v>
      </c>
      <c r="C489" s="154">
        <f t="shared" si="9"/>
        <v>0</v>
      </c>
      <c r="D489" s="6">
        <f>'MATCH CALCS'!$G490*2</f>
        <v>0</v>
      </c>
      <c r="E489" s="6">
        <f>'MATCH CALCS'!$G490*2</f>
        <v>0</v>
      </c>
      <c r="F489" s="6">
        <f>'MATCH CALCS'!$G490*2</f>
        <v>0</v>
      </c>
      <c r="G489" s="6">
        <f>'MATCH CALCS'!$G490*2</f>
        <v>0</v>
      </c>
      <c r="H489" s="6">
        <f>'MATCH CALCS'!$G490*2</f>
        <v>0</v>
      </c>
      <c r="I489" s="6">
        <f>'MATCH CALCS'!$G490*2</f>
        <v>0</v>
      </c>
      <c r="J489" s="154">
        <f t="shared" si="10"/>
        <v>0</v>
      </c>
      <c r="K489" s="6">
        <f>'MATCH CALCS'!L490*1</f>
        <v>0</v>
      </c>
      <c r="L489" s="6">
        <f>'MATCH CALCS'!$N490*2</f>
        <v>0</v>
      </c>
      <c r="M489" s="6">
        <f>'MATCH CALCS'!N490*1</f>
        <v>0</v>
      </c>
      <c r="N489" s="6">
        <f>'MATCH CALCS'!$N490*2</f>
        <v>0</v>
      </c>
      <c r="O489" s="6">
        <f>'MATCH CALCS'!$N490*2</f>
        <v>0</v>
      </c>
      <c r="P489" s="6">
        <f>'MATCH CALCS'!$P490*5</f>
        <v>0</v>
      </c>
      <c r="Q489" s="154">
        <f t="shared" si="11"/>
        <v>0</v>
      </c>
      <c r="R489" s="6">
        <f>'MATCH CALCS'!$AD490*1</f>
        <v>0</v>
      </c>
      <c r="S489" s="6">
        <f>'MATCH CALCS'!AC490*3</f>
        <v>0</v>
      </c>
      <c r="T489" s="6">
        <f>'MATCH CALCS'!AD490*3</f>
        <v>0</v>
      </c>
      <c r="U489" s="155">
        <f t="shared" si="12"/>
        <v>0</v>
      </c>
      <c r="V489" s="154">
        <f t="shared" si="13"/>
        <v>0</v>
      </c>
    </row>
    <row r="490" spans="1:22">
      <c r="A490" s="154">
        <f>'MATCH CALCS'!A491</f>
        <v>0</v>
      </c>
      <c r="B490" s="154">
        <f>'MATCH CALCS'!$C491</f>
        <v>0</v>
      </c>
      <c r="C490" s="154">
        <f t="shared" si="9"/>
        <v>0</v>
      </c>
      <c r="D490" s="6">
        <f>'MATCH CALCS'!$G491*2</f>
        <v>0</v>
      </c>
      <c r="E490" s="6">
        <f>'MATCH CALCS'!$G491*2</f>
        <v>0</v>
      </c>
      <c r="F490" s="6">
        <f>'MATCH CALCS'!$G491*2</f>
        <v>0</v>
      </c>
      <c r="G490" s="6">
        <f>'MATCH CALCS'!$G491*2</f>
        <v>0</v>
      </c>
      <c r="H490" s="6">
        <f>'MATCH CALCS'!$G491*2</f>
        <v>0</v>
      </c>
      <c r="I490" s="6">
        <f>'MATCH CALCS'!$G491*2</f>
        <v>0</v>
      </c>
      <c r="J490" s="154">
        <f t="shared" si="10"/>
        <v>0</v>
      </c>
      <c r="K490" s="6">
        <f>'MATCH CALCS'!L491*1</f>
        <v>0</v>
      </c>
      <c r="L490" s="6">
        <f>'MATCH CALCS'!$N491*2</f>
        <v>0</v>
      </c>
      <c r="M490" s="6">
        <f>'MATCH CALCS'!N491*1</f>
        <v>0</v>
      </c>
      <c r="N490" s="6">
        <f>'MATCH CALCS'!$N491*2</f>
        <v>0</v>
      </c>
      <c r="O490" s="6">
        <f>'MATCH CALCS'!$N491*2</f>
        <v>0</v>
      </c>
      <c r="P490" s="6">
        <f>'MATCH CALCS'!$P491*5</f>
        <v>0</v>
      </c>
      <c r="Q490" s="154">
        <f t="shared" si="11"/>
        <v>0</v>
      </c>
      <c r="R490" s="6">
        <f>'MATCH CALCS'!$AD491*1</f>
        <v>0</v>
      </c>
      <c r="S490" s="6">
        <f>'MATCH CALCS'!AC491*3</f>
        <v>0</v>
      </c>
      <c r="T490" s="6">
        <f>'MATCH CALCS'!AD491*3</f>
        <v>0</v>
      </c>
      <c r="U490" s="155">
        <f t="shared" si="12"/>
        <v>0</v>
      </c>
      <c r="V490" s="154">
        <f t="shared" si="13"/>
        <v>0</v>
      </c>
    </row>
    <row r="491" spans="1:22">
      <c r="A491" s="154">
        <f>'MATCH CALCS'!A492</f>
        <v>0</v>
      </c>
      <c r="B491" s="154">
        <f>'MATCH CALCS'!$C492</f>
        <v>0</v>
      </c>
      <c r="C491" s="154">
        <f t="shared" si="9"/>
        <v>0</v>
      </c>
      <c r="D491" s="6">
        <f>'MATCH CALCS'!$G492*2</f>
        <v>0</v>
      </c>
      <c r="E491" s="6">
        <f>'MATCH CALCS'!$G492*2</f>
        <v>0</v>
      </c>
      <c r="F491" s="6">
        <f>'MATCH CALCS'!$G492*2</f>
        <v>0</v>
      </c>
      <c r="G491" s="6">
        <f>'MATCH CALCS'!$G492*2</f>
        <v>0</v>
      </c>
      <c r="H491" s="6">
        <f>'MATCH CALCS'!$G492*2</f>
        <v>0</v>
      </c>
      <c r="I491" s="6">
        <f>'MATCH CALCS'!$G492*2</f>
        <v>0</v>
      </c>
      <c r="J491" s="154">
        <f t="shared" si="10"/>
        <v>0</v>
      </c>
      <c r="K491" s="6">
        <f>'MATCH CALCS'!L492*1</f>
        <v>0</v>
      </c>
      <c r="L491" s="6">
        <f>'MATCH CALCS'!$N492*2</f>
        <v>0</v>
      </c>
      <c r="M491" s="6">
        <f>'MATCH CALCS'!N492*1</f>
        <v>0</v>
      </c>
      <c r="N491" s="6">
        <f>'MATCH CALCS'!$N492*2</f>
        <v>0</v>
      </c>
      <c r="O491" s="6">
        <f>'MATCH CALCS'!$N492*2</f>
        <v>0</v>
      </c>
      <c r="P491" s="6">
        <f>'MATCH CALCS'!$P492*5</f>
        <v>0</v>
      </c>
      <c r="Q491" s="154">
        <f t="shared" si="11"/>
        <v>0</v>
      </c>
      <c r="R491" s="6">
        <f>'MATCH CALCS'!$AD492*1</f>
        <v>0</v>
      </c>
      <c r="S491" s="6">
        <f>'MATCH CALCS'!AC492*3</f>
        <v>0</v>
      </c>
      <c r="T491" s="6">
        <f>'MATCH CALCS'!AD492*3</f>
        <v>0</v>
      </c>
      <c r="U491" s="155">
        <f t="shared" si="12"/>
        <v>0</v>
      </c>
      <c r="V491" s="154">
        <f t="shared" si="13"/>
        <v>0</v>
      </c>
    </row>
    <row r="492" spans="1:22">
      <c r="A492" s="154">
        <f>'MATCH CALCS'!A493</f>
        <v>0</v>
      </c>
      <c r="B492" s="154">
        <f>'MATCH CALCS'!$C493</f>
        <v>0</v>
      </c>
      <c r="C492" s="154">
        <f t="shared" si="9"/>
        <v>0</v>
      </c>
      <c r="D492" s="6">
        <f>'MATCH CALCS'!$G493*2</f>
        <v>0</v>
      </c>
      <c r="E492" s="6">
        <f>'MATCH CALCS'!$G493*2</f>
        <v>0</v>
      </c>
      <c r="F492" s="6">
        <f>'MATCH CALCS'!$G493*2</f>
        <v>0</v>
      </c>
      <c r="G492" s="6">
        <f>'MATCH CALCS'!$G493*2</f>
        <v>0</v>
      </c>
      <c r="H492" s="6">
        <f>'MATCH CALCS'!$G493*2</f>
        <v>0</v>
      </c>
      <c r="I492" s="6">
        <f>'MATCH CALCS'!$G493*2</f>
        <v>0</v>
      </c>
      <c r="J492" s="154">
        <f t="shared" si="10"/>
        <v>0</v>
      </c>
      <c r="K492" s="6">
        <f>'MATCH CALCS'!L493*1</f>
        <v>0</v>
      </c>
      <c r="L492" s="6">
        <f>'MATCH CALCS'!$N493*2</f>
        <v>0</v>
      </c>
      <c r="M492" s="6">
        <f>'MATCH CALCS'!N493*1</f>
        <v>0</v>
      </c>
      <c r="N492" s="6">
        <f>'MATCH CALCS'!$N493*2</f>
        <v>0</v>
      </c>
      <c r="O492" s="6">
        <f>'MATCH CALCS'!$N493*2</f>
        <v>0</v>
      </c>
      <c r="P492" s="6">
        <f>'MATCH CALCS'!$P493*5</f>
        <v>0</v>
      </c>
      <c r="Q492" s="154">
        <f t="shared" si="11"/>
        <v>0</v>
      </c>
      <c r="R492" s="6">
        <f>'MATCH CALCS'!$AD493*1</f>
        <v>0</v>
      </c>
      <c r="S492" s="6">
        <f>'MATCH CALCS'!AC493*3</f>
        <v>0</v>
      </c>
      <c r="T492" s="6">
        <f>'MATCH CALCS'!AD493*3</f>
        <v>0</v>
      </c>
      <c r="U492" s="155">
        <f t="shared" si="12"/>
        <v>0</v>
      </c>
      <c r="V492" s="154">
        <f t="shared" si="13"/>
        <v>0</v>
      </c>
    </row>
    <row r="493" spans="1:22">
      <c r="A493" s="154">
        <f>'MATCH CALCS'!A494</f>
        <v>0</v>
      </c>
      <c r="B493" s="154">
        <f>'MATCH CALCS'!$C494</f>
        <v>0</v>
      </c>
      <c r="C493" s="154">
        <f t="shared" si="9"/>
        <v>0</v>
      </c>
      <c r="D493" s="6">
        <f>'MATCH CALCS'!$G494*2</f>
        <v>0</v>
      </c>
      <c r="E493" s="6">
        <f>'MATCH CALCS'!$G494*2</f>
        <v>0</v>
      </c>
      <c r="F493" s="6">
        <f>'MATCH CALCS'!$G494*2</f>
        <v>0</v>
      </c>
      <c r="G493" s="6">
        <f>'MATCH CALCS'!$G494*2</f>
        <v>0</v>
      </c>
      <c r="H493" s="6">
        <f>'MATCH CALCS'!$G494*2</f>
        <v>0</v>
      </c>
      <c r="I493" s="6">
        <f>'MATCH CALCS'!$G494*2</f>
        <v>0</v>
      </c>
      <c r="J493" s="154">
        <f t="shared" si="10"/>
        <v>0</v>
      </c>
      <c r="K493" s="6">
        <f>'MATCH CALCS'!L494*1</f>
        <v>0</v>
      </c>
      <c r="L493" s="6">
        <f>'MATCH CALCS'!$N494*2</f>
        <v>0</v>
      </c>
      <c r="M493" s="6">
        <f>'MATCH CALCS'!N494*1</f>
        <v>0</v>
      </c>
      <c r="N493" s="6">
        <f>'MATCH CALCS'!$N494*2</f>
        <v>0</v>
      </c>
      <c r="O493" s="6">
        <f>'MATCH CALCS'!$N494*2</f>
        <v>0</v>
      </c>
      <c r="P493" s="6">
        <f>'MATCH CALCS'!$P494*5</f>
        <v>0</v>
      </c>
      <c r="Q493" s="154">
        <f t="shared" si="11"/>
        <v>0</v>
      </c>
      <c r="R493" s="6">
        <f>'MATCH CALCS'!$AD494*1</f>
        <v>0</v>
      </c>
      <c r="S493" s="6">
        <f>'MATCH CALCS'!AC494*3</f>
        <v>0</v>
      </c>
      <c r="T493" s="6">
        <f>'MATCH CALCS'!AD494*3</f>
        <v>0</v>
      </c>
      <c r="U493" s="155">
        <f t="shared" si="12"/>
        <v>0</v>
      </c>
      <c r="V493" s="154">
        <f t="shared" si="13"/>
        <v>0</v>
      </c>
    </row>
    <row r="494" spans="1:22">
      <c r="A494" s="154">
        <f>'MATCH CALCS'!A495</f>
        <v>0</v>
      </c>
      <c r="B494" s="154">
        <f>'MATCH CALCS'!$C495</f>
        <v>0</v>
      </c>
      <c r="C494" s="154">
        <f t="shared" si="9"/>
        <v>0</v>
      </c>
      <c r="D494" s="6">
        <f>'MATCH CALCS'!$G495*2</f>
        <v>0</v>
      </c>
      <c r="E494" s="6">
        <f>'MATCH CALCS'!$G495*2</f>
        <v>0</v>
      </c>
      <c r="F494" s="6">
        <f>'MATCH CALCS'!$G495*2</f>
        <v>0</v>
      </c>
      <c r="G494" s="6">
        <f>'MATCH CALCS'!$G495*2</f>
        <v>0</v>
      </c>
      <c r="H494" s="6">
        <f>'MATCH CALCS'!$G495*2</f>
        <v>0</v>
      </c>
      <c r="I494" s="6">
        <f>'MATCH CALCS'!$G495*2</f>
        <v>0</v>
      </c>
      <c r="J494" s="154">
        <f t="shared" si="10"/>
        <v>0</v>
      </c>
      <c r="K494" s="6">
        <f>'MATCH CALCS'!L495*1</f>
        <v>0</v>
      </c>
      <c r="L494" s="6">
        <f>'MATCH CALCS'!$N495*2</f>
        <v>0</v>
      </c>
      <c r="M494" s="6">
        <f>'MATCH CALCS'!N495*1</f>
        <v>0</v>
      </c>
      <c r="N494" s="6">
        <f>'MATCH CALCS'!$N495*2</f>
        <v>0</v>
      </c>
      <c r="O494" s="6">
        <f>'MATCH CALCS'!$N495*2</f>
        <v>0</v>
      </c>
      <c r="P494" s="6">
        <f>'MATCH CALCS'!$P495*5</f>
        <v>0</v>
      </c>
      <c r="Q494" s="154">
        <f t="shared" si="11"/>
        <v>0</v>
      </c>
      <c r="R494" s="6">
        <f>'MATCH CALCS'!$AD495*1</f>
        <v>0</v>
      </c>
      <c r="S494" s="6">
        <f>'MATCH CALCS'!AC495*3</f>
        <v>0</v>
      </c>
      <c r="T494" s="6">
        <f>'MATCH CALCS'!AD495*3</f>
        <v>0</v>
      </c>
      <c r="U494" s="155">
        <f t="shared" si="12"/>
        <v>0</v>
      </c>
      <c r="V494" s="154">
        <f t="shared" si="13"/>
        <v>0</v>
      </c>
    </row>
    <row r="495" spans="1:22">
      <c r="A495" s="154">
        <f>'MATCH CALCS'!A496</f>
        <v>0</v>
      </c>
      <c r="B495" s="154">
        <f>'MATCH CALCS'!$C496</f>
        <v>0</v>
      </c>
      <c r="C495" s="154">
        <f t="shared" si="9"/>
        <v>0</v>
      </c>
      <c r="D495" s="6">
        <f>'MATCH CALCS'!$G496*2</f>
        <v>0</v>
      </c>
      <c r="E495" s="6">
        <f>'MATCH CALCS'!$G496*2</f>
        <v>0</v>
      </c>
      <c r="F495" s="6">
        <f>'MATCH CALCS'!$G496*2</f>
        <v>0</v>
      </c>
      <c r="G495" s="6">
        <f>'MATCH CALCS'!$G496*2</f>
        <v>0</v>
      </c>
      <c r="H495" s="6">
        <f>'MATCH CALCS'!$G496*2</f>
        <v>0</v>
      </c>
      <c r="I495" s="6">
        <f>'MATCH CALCS'!$G496*2</f>
        <v>0</v>
      </c>
      <c r="J495" s="154">
        <f t="shared" si="10"/>
        <v>0</v>
      </c>
      <c r="K495" s="6">
        <f>'MATCH CALCS'!L496*1</f>
        <v>0</v>
      </c>
      <c r="L495" s="6">
        <f>'MATCH CALCS'!$N496*2</f>
        <v>0</v>
      </c>
      <c r="M495" s="6">
        <f>'MATCH CALCS'!N496*1</f>
        <v>0</v>
      </c>
      <c r="N495" s="6">
        <f>'MATCH CALCS'!$N496*2</f>
        <v>0</v>
      </c>
      <c r="O495" s="6">
        <f>'MATCH CALCS'!$N496*2</f>
        <v>0</v>
      </c>
      <c r="P495" s="6">
        <f>'MATCH CALCS'!$P496*5</f>
        <v>0</v>
      </c>
      <c r="Q495" s="154">
        <f t="shared" si="11"/>
        <v>0</v>
      </c>
      <c r="R495" s="6">
        <f>'MATCH CALCS'!$AD496*1</f>
        <v>0</v>
      </c>
      <c r="S495" s="6">
        <f>'MATCH CALCS'!AC496*3</f>
        <v>0</v>
      </c>
      <c r="T495" s="6">
        <f>'MATCH CALCS'!AD496*3</f>
        <v>0</v>
      </c>
      <c r="U495" s="155">
        <f t="shared" si="12"/>
        <v>0</v>
      </c>
      <c r="V495" s="154">
        <f t="shared" si="13"/>
        <v>0</v>
      </c>
    </row>
    <row r="496" spans="1:22">
      <c r="A496" s="154">
        <f>'MATCH CALCS'!A497</f>
        <v>0</v>
      </c>
      <c r="B496" s="154">
        <f>'MATCH CALCS'!$C497</f>
        <v>0</v>
      </c>
      <c r="C496" s="154">
        <f t="shared" si="9"/>
        <v>0</v>
      </c>
      <c r="D496" s="6">
        <f>'MATCH CALCS'!$G497*2</f>
        <v>0</v>
      </c>
      <c r="E496" s="6">
        <f>'MATCH CALCS'!$G497*2</f>
        <v>0</v>
      </c>
      <c r="F496" s="6">
        <f>'MATCH CALCS'!$G497*2</f>
        <v>0</v>
      </c>
      <c r="G496" s="6">
        <f>'MATCH CALCS'!$G497*2</f>
        <v>0</v>
      </c>
      <c r="H496" s="6">
        <f>'MATCH CALCS'!$G497*2</f>
        <v>0</v>
      </c>
      <c r="I496" s="6">
        <f>'MATCH CALCS'!$G497*2</f>
        <v>0</v>
      </c>
      <c r="J496" s="154">
        <f t="shared" si="10"/>
        <v>0</v>
      </c>
      <c r="K496" s="6">
        <f>'MATCH CALCS'!L497*1</f>
        <v>0</v>
      </c>
      <c r="L496" s="6">
        <f>'MATCH CALCS'!$N497*2</f>
        <v>0</v>
      </c>
      <c r="M496" s="6">
        <f>'MATCH CALCS'!N497*1</f>
        <v>0</v>
      </c>
      <c r="N496" s="6">
        <f>'MATCH CALCS'!$N497*2</f>
        <v>0</v>
      </c>
      <c r="O496" s="6">
        <f>'MATCH CALCS'!$N497*2</f>
        <v>0</v>
      </c>
      <c r="P496" s="6">
        <f>'MATCH CALCS'!$P497*5</f>
        <v>0</v>
      </c>
      <c r="Q496" s="154">
        <f t="shared" si="11"/>
        <v>0</v>
      </c>
      <c r="R496" s="6">
        <f>'MATCH CALCS'!$AD497*1</f>
        <v>0</v>
      </c>
      <c r="S496" s="6">
        <f>'MATCH CALCS'!AC497*3</f>
        <v>0</v>
      </c>
      <c r="T496" s="6">
        <f>'MATCH CALCS'!AD497*3</f>
        <v>0</v>
      </c>
      <c r="U496" s="155">
        <f t="shared" si="12"/>
        <v>0</v>
      </c>
      <c r="V496" s="154">
        <f t="shared" si="13"/>
        <v>0</v>
      </c>
    </row>
    <row r="497" spans="1:22">
      <c r="A497" s="154">
        <f>'MATCH CALCS'!A498</f>
        <v>0</v>
      </c>
      <c r="B497" s="154">
        <f>'MATCH CALCS'!$C498</f>
        <v>0</v>
      </c>
      <c r="C497" s="154">
        <f t="shared" si="9"/>
        <v>0</v>
      </c>
      <c r="D497" s="6">
        <f>'MATCH CALCS'!$G498*2</f>
        <v>0</v>
      </c>
      <c r="E497" s="6">
        <f>'MATCH CALCS'!$G498*2</f>
        <v>0</v>
      </c>
      <c r="F497" s="6">
        <f>'MATCH CALCS'!$G498*2</f>
        <v>0</v>
      </c>
      <c r="G497" s="6">
        <f>'MATCH CALCS'!$G498*2</f>
        <v>0</v>
      </c>
      <c r="H497" s="6">
        <f>'MATCH CALCS'!$G498*2</f>
        <v>0</v>
      </c>
      <c r="I497" s="6">
        <f>'MATCH CALCS'!$G498*2</f>
        <v>0</v>
      </c>
      <c r="J497" s="154">
        <f t="shared" si="10"/>
        <v>0</v>
      </c>
      <c r="K497" s="6">
        <f>'MATCH CALCS'!L498*1</f>
        <v>0</v>
      </c>
      <c r="L497" s="6">
        <f>'MATCH CALCS'!$N498*2</f>
        <v>0</v>
      </c>
      <c r="M497" s="6">
        <f>'MATCH CALCS'!N498*1</f>
        <v>0</v>
      </c>
      <c r="N497" s="6">
        <f>'MATCH CALCS'!$N498*2</f>
        <v>0</v>
      </c>
      <c r="O497" s="6">
        <f>'MATCH CALCS'!$N498*2</f>
        <v>0</v>
      </c>
      <c r="P497" s="6">
        <f>'MATCH CALCS'!$P498*5</f>
        <v>0</v>
      </c>
      <c r="Q497" s="154">
        <f t="shared" si="11"/>
        <v>0</v>
      </c>
      <c r="R497" s="6">
        <f>'MATCH CALCS'!$AD498*1</f>
        <v>0</v>
      </c>
      <c r="S497" s="6">
        <f>'MATCH CALCS'!AC498*3</f>
        <v>0</v>
      </c>
      <c r="T497" s="6">
        <f>'MATCH CALCS'!AD498*3</f>
        <v>0</v>
      </c>
      <c r="U497" s="155">
        <f t="shared" si="12"/>
        <v>0</v>
      </c>
      <c r="V497" s="154">
        <f t="shared" si="13"/>
        <v>0</v>
      </c>
    </row>
    <row r="498" spans="1:22">
      <c r="A498" s="154">
        <f>'MATCH CALCS'!A499</f>
        <v>0</v>
      </c>
      <c r="B498" s="154">
        <f>'MATCH CALCS'!$C499</f>
        <v>0</v>
      </c>
      <c r="C498" s="154">
        <f t="shared" si="9"/>
        <v>0</v>
      </c>
      <c r="D498" s="6">
        <f>'MATCH CALCS'!$G499*2</f>
        <v>0</v>
      </c>
      <c r="E498" s="6">
        <f>'MATCH CALCS'!$G499*2</f>
        <v>0</v>
      </c>
      <c r="F498" s="6">
        <f>'MATCH CALCS'!$G499*2</f>
        <v>0</v>
      </c>
      <c r="G498" s="6">
        <f>'MATCH CALCS'!$G499*2</f>
        <v>0</v>
      </c>
      <c r="H498" s="6">
        <f>'MATCH CALCS'!$G499*2</f>
        <v>0</v>
      </c>
      <c r="I498" s="6">
        <f>'MATCH CALCS'!$G499*2</f>
        <v>0</v>
      </c>
      <c r="J498" s="154">
        <f t="shared" si="10"/>
        <v>0</v>
      </c>
      <c r="K498" s="6">
        <f>'MATCH CALCS'!L499*1</f>
        <v>0</v>
      </c>
      <c r="L498" s="6">
        <f>'MATCH CALCS'!$N499*2</f>
        <v>0</v>
      </c>
      <c r="M498" s="6">
        <f>'MATCH CALCS'!N499*1</f>
        <v>0</v>
      </c>
      <c r="N498" s="6">
        <f>'MATCH CALCS'!$N499*2</f>
        <v>0</v>
      </c>
      <c r="O498" s="6">
        <f>'MATCH CALCS'!$N499*2</f>
        <v>0</v>
      </c>
      <c r="P498" s="6">
        <f>'MATCH CALCS'!$P499*5</f>
        <v>0</v>
      </c>
      <c r="Q498" s="154">
        <f t="shared" si="11"/>
        <v>0</v>
      </c>
      <c r="R498" s="6">
        <f>'MATCH CALCS'!$AD499*1</f>
        <v>0</v>
      </c>
      <c r="S498" s="6">
        <f>'MATCH CALCS'!AC499*3</f>
        <v>0</v>
      </c>
      <c r="T498" s="6">
        <f>'MATCH CALCS'!AD499*3</f>
        <v>0</v>
      </c>
      <c r="U498" s="155">
        <f t="shared" si="12"/>
        <v>0</v>
      </c>
      <c r="V498" s="154">
        <f t="shared" si="13"/>
        <v>0</v>
      </c>
    </row>
    <row r="499" spans="1:22">
      <c r="A499" s="154">
        <f>'MATCH CALCS'!A500</f>
        <v>0</v>
      </c>
      <c r="B499" s="154">
        <f>'MATCH CALCS'!$C500</f>
        <v>0</v>
      </c>
      <c r="C499" s="154">
        <f t="shared" si="9"/>
        <v>0</v>
      </c>
      <c r="D499" s="6">
        <f>'MATCH CALCS'!$G500*2</f>
        <v>0</v>
      </c>
      <c r="E499" s="6">
        <f>'MATCH CALCS'!$G500*2</f>
        <v>0</v>
      </c>
      <c r="F499" s="6">
        <f>'MATCH CALCS'!$G500*2</f>
        <v>0</v>
      </c>
      <c r="G499" s="6">
        <f>'MATCH CALCS'!$G500*2</f>
        <v>0</v>
      </c>
      <c r="H499" s="6">
        <f>'MATCH CALCS'!$G500*2</f>
        <v>0</v>
      </c>
      <c r="I499" s="6">
        <f>'MATCH CALCS'!$G500*2</f>
        <v>0</v>
      </c>
      <c r="J499" s="154">
        <f t="shared" si="10"/>
        <v>0</v>
      </c>
      <c r="K499" s="6">
        <f>'MATCH CALCS'!L500*1</f>
        <v>0</v>
      </c>
      <c r="L499" s="6">
        <f>'MATCH CALCS'!$N500*2</f>
        <v>0</v>
      </c>
      <c r="M499" s="6">
        <f>'MATCH CALCS'!N500*1</f>
        <v>0</v>
      </c>
      <c r="N499" s="6">
        <f>'MATCH CALCS'!$N500*2</f>
        <v>0</v>
      </c>
      <c r="O499" s="6">
        <f>'MATCH CALCS'!$N500*2</f>
        <v>0</v>
      </c>
      <c r="P499" s="6">
        <f>'MATCH CALCS'!$P500*5</f>
        <v>0</v>
      </c>
      <c r="Q499" s="154">
        <f t="shared" si="11"/>
        <v>0</v>
      </c>
      <c r="R499" s="6">
        <f>'MATCH CALCS'!$AD500*1</f>
        <v>0</v>
      </c>
      <c r="S499" s="6">
        <f>'MATCH CALCS'!AC500*3</f>
        <v>0</v>
      </c>
      <c r="T499" s="6">
        <f>'MATCH CALCS'!AD500*3</f>
        <v>0</v>
      </c>
      <c r="U499" s="155">
        <f t="shared" si="12"/>
        <v>0</v>
      </c>
      <c r="V499" s="154">
        <f t="shared" si="13"/>
        <v>0</v>
      </c>
    </row>
    <row r="500" spans="1:22">
      <c r="A500" s="154">
        <f>'MATCH CALCS'!A501</f>
        <v>0</v>
      </c>
      <c r="B500" s="154">
        <f>'MATCH CALCS'!$C501</f>
        <v>0</v>
      </c>
      <c r="C500" s="154">
        <f t="shared" si="9"/>
        <v>0</v>
      </c>
      <c r="D500" s="6">
        <f>'MATCH CALCS'!$G501*2</f>
        <v>0</v>
      </c>
      <c r="E500" s="6">
        <f>'MATCH CALCS'!$G501*2</f>
        <v>0</v>
      </c>
      <c r="F500" s="6">
        <f>'MATCH CALCS'!$G501*2</f>
        <v>0</v>
      </c>
      <c r="G500" s="6">
        <f>'MATCH CALCS'!$G501*2</f>
        <v>0</v>
      </c>
      <c r="H500" s="6">
        <f>'MATCH CALCS'!$G501*2</f>
        <v>0</v>
      </c>
      <c r="I500" s="6">
        <f>'MATCH CALCS'!$G501*2</f>
        <v>0</v>
      </c>
      <c r="J500" s="154">
        <f t="shared" si="10"/>
        <v>0</v>
      </c>
      <c r="K500" s="6">
        <f>'MATCH CALCS'!L501*1</f>
        <v>0</v>
      </c>
      <c r="L500" s="6">
        <f>'MATCH CALCS'!$N501*2</f>
        <v>0</v>
      </c>
      <c r="M500" s="6">
        <f>'MATCH CALCS'!N501*1</f>
        <v>0</v>
      </c>
      <c r="N500" s="6">
        <f>'MATCH CALCS'!$N501*2</f>
        <v>0</v>
      </c>
      <c r="O500" s="6">
        <f>'MATCH CALCS'!$N501*2</f>
        <v>0</v>
      </c>
      <c r="P500" s="6">
        <f>'MATCH CALCS'!$P501*5</f>
        <v>0</v>
      </c>
      <c r="Q500" s="154">
        <f t="shared" si="11"/>
        <v>0</v>
      </c>
      <c r="R500" s="6">
        <f>'MATCH CALCS'!$AD501*1</f>
        <v>0</v>
      </c>
      <c r="S500" s="6">
        <f>'MATCH CALCS'!AC501*3</f>
        <v>0</v>
      </c>
      <c r="T500" s="6">
        <f>'MATCH CALCS'!AD501*3</f>
        <v>0</v>
      </c>
      <c r="U500" s="155">
        <f t="shared" si="12"/>
        <v>0</v>
      </c>
      <c r="V500" s="154">
        <f t="shared" si="13"/>
        <v>0</v>
      </c>
    </row>
    <row r="501" spans="1:22">
      <c r="A501" s="154">
        <f>'MATCH CALCS'!A502</f>
        <v>0</v>
      </c>
      <c r="B501" s="154">
        <f>'MATCH CALCS'!$C502</f>
        <v>0</v>
      </c>
      <c r="C501" s="154">
        <f t="shared" si="9"/>
        <v>0</v>
      </c>
      <c r="D501" s="6">
        <f>'MATCH CALCS'!$G502*2</f>
        <v>0</v>
      </c>
      <c r="E501" s="6">
        <f>'MATCH CALCS'!$G502*2</f>
        <v>0</v>
      </c>
      <c r="F501" s="6">
        <f>'MATCH CALCS'!$G502*2</f>
        <v>0</v>
      </c>
      <c r="G501" s="6">
        <f>'MATCH CALCS'!$G502*2</f>
        <v>0</v>
      </c>
      <c r="H501" s="6">
        <f>'MATCH CALCS'!$G502*2</f>
        <v>0</v>
      </c>
      <c r="I501" s="6">
        <f>'MATCH CALCS'!$G502*2</f>
        <v>0</v>
      </c>
      <c r="J501" s="154">
        <f t="shared" si="10"/>
        <v>0</v>
      </c>
      <c r="K501" s="6">
        <f>'MATCH CALCS'!L502*1</f>
        <v>0</v>
      </c>
      <c r="L501" s="6">
        <f>'MATCH CALCS'!$N502*2</f>
        <v>0</v>
      </c>
      <c r="M501" s="6">
        <f>'MATCH CALCS'!N502*1</f>
        <v>0</v>
      </c>
      <c r="N501" s="6">
        <f>'MATCH CALCS'!$N502*2</f>
        <v>0</v>
      </c>
      <c r="O501" s="6">
        <f>'MATCH CALCS'!$N502*2</f>
        <v>0</v>
      </c>
      <c r="P501" s="6">
        <f>'MATCH CALCS'!$P502*5</f>
        <v>0</v>
      </c>
      <c r="Q501" s="154">
        <f t="shared" si="11"/>
        <v>0</v>
      </c>
      <c r="R501" s="6">
        <f>'MATCH CALCS'!$AD502*1</f>
        <v>0</v>
      </c>
      <c r="S501" s="6">
        <f>'MATCH CALCS'!AC502*3</f>
        <v>0</v>
      </c>
      <c r="T501" s="6">
        <f>'MATCH CALCS'!AD502*3</f>
        <v>0</v>
      </c>
      <c r="U501" s="155">
        <f t="shared" si="12"/>
        <v>0</v>
      </c>
      <c r="V501" s="154">
        <f t="shared" si="13"/>
        <v>0</v>
      </c>
    </row>
    <row r="502" spans="1:22">
      <c r="A502" s="154">
        <f>'MATCH CALCS'!A503</f>
        <v>0</v>
      </c>
      <c r="B502" s="154">
        <f>'MATCH CALCS'!$C503</f>
        <v>0</v>
      </c>
      <c r="C502" s="154">
        <f t="shared" si="9"/>
        <v>0</v>
      </c>
      <c r="D502" s="6">
        <f>'MATCH CALCS'!$G503*2</f>
        <v>0</v>
      </c>
      <c r="E502" s="6">
        <f>'MATCH CALCS'!$G503*2</f>
        <v>0</v>
      </c>
      <c r="F502" s="6">
        <f>'MATCH CALCS'!$G503*2</f>
        <v>0</v>
      </c>
      <c r="G502" s="6">
        <f>'MATCH CALCS'!$G503*2</f>
        <v>0</v>
      </c>
      <c r="H502" s="6">
        <f>'MATCH CALCS'!$G503*2</f>
        <v>0</v>
      </c>
      <c r="I502" s="6">
        <f>'MATCH CALCS'!$G503*2</f>
        <v>0</v>
      </c>
      <c r="J502" s="154">
        <f t="shared" si="10"/>
        <v>0</v>
      </c>
      <c r="K502" s="6">
        <f>'MATCH CALCS'!L503*1</f>
        <v>0</v>
      </c>
      <c r="L502" s="6">
        <f>'MATCH CALCS'!$N503*2</f>
        <v>0</v>
      </c>
      <c r="M502" s="6">
        <f>'MATCH CALCS'!N503*1</f>
        <v>0</v>
      </c>
      <c r="N502" s="6">
        <f>'MATCH CALCS'!$N503*2</f>
        <v>0</v>
      </c>
      <c r="O502" s="6">
        <f>'MATCH CALCS'!$N503*2</f>
        <v>0</v>
      </c>
      <c r="P502" s="6">
        <f>'MATCH CALCS'!$P503*5</f>
        <v>0</v>
      </c>
      <c r="Q502" s="154">
        <f t="shared" si="11"/>
        <v>0</v>
      </c>
      <c r="R502" s="6">
        <f>'MATCH CALCS'!$AD503*1</f>
        <v>0</v>
      </c>
      <c r="S502" s="6">
        <f>'MATCH CALCS'!AC503*3</f>
        <v>0</v>
      </c>
      <c r="T502" s="6">
        <f>'MATCH CALCS'!AD503*3</f>
        <v>0</v>
      </c>
      <c r="U502" s="155">
        <f t="shared" si="12"/>
        <v>0</v>
      </c>
      <c r="V502" s="154">
        <f t="shared" si="13"/>
        <v>0</v>
      </c>
    </row>
    <row r="503" spans="1:22">
      <c r="A503" s="154">
        <f>'MATCH CALCS'!A504</f>
        <v>0</v>
      </c>
      <c r="B503" s="154">
        <f>'MATCH CALCS'!$C504</f>
        <v>0</v>
      </c>
      <c r="C503" s="154">
        <f t="shared" si="9"/>
        <v>0</v>
      </c>
      <c r="D503" s="6">
        <f>'MATCH CALCS'!$G504*2</f>
        <v>0</v>
      </c>
      <c r="E503" s="6">
        <f>'MATCH CALCS'!$G504*2</f>
        <v>0</v>
      </c>
      <c r="F503" s="6">
        <f>'MATCH CALCS'!$G504*2</f>
        <v>0</v>
      </c>
      <c r="G503" s="6">
        <f>'MATCH CALCS'!$G504*2</f>
        <v>0</v>
      </c>
      <c r="H503" s="6">
        <f>'MATCH CALCS'!$G504*2</f>
        <v>0</v>
      </c>
      <c r="I503" s="6">
        <f>'MATCH CALCS'!$G504*2</f>
        <v>0</v>
      </c>
      <c r="J503" s="154">
        <f t="shared" si="10"/>
        <v>0</v>
      </c>
      <c r="K503" s="6">
        <f>'MATCH CALCS'!L504*1</f>
        <v>0</v>
      </c>
      <c r="L503" s="6">
        <f>'MATCH CALCS'!$N504*2</f>
        <v>0</v>
      </c>
      <c r="M503" s="6">
        <f>'MATCH CALCS'!N504*1</f>
        <v>0</v>
      </c>
      <c r="N503" s="6">
        <f>'MATCH CALCS'!$N504*2</f>
        <v>0</v>
      </c>
      <c r="O503" s="6">
        <f>'MATCH CALCS'!$N504*2</f>
        <v>0</v>
      </c>
      <c r="P503" s="6">
        <f>'MATCH CALCS'!$P504*5</f>
        <v>0</v>
      </c>
      <c r="Q503" s="154">
        <f t="shared" si="11"/>
        <v>0</v>
      </c>
      <c r="R503" s="6">
        <f>'MATCH CALCS'!$AD504*1</f>
        <v>0</v>
      </c>
      <c r="S503" s="6">
        <f>'MATCH CALCS'!AC504*3</f>
        <v>0</v>
      </c>
      <c r="T503" s="6">
        <f>'MATCH CALCS'!AD504*3</f>
        <v>0</v>
      </c>
      <c r="U503" s="155">
        <f t="shared" si="12"/>
        <v>0</v>
      </c>
      <c r="V503" s="154">
        <f t="shared" si="13"/>
        <v>0</v>
      </c>
    </row>
    <row r="504" spans="1:22">
      <c r="A504" s="154">
        <f>'MATCH CALCS'!A505</f>
        <v>0</v>
      </c>
      <c r="B504" s="154">
        <f>'MATCH CALCS'!$C505</f>
        <v>0</v>
      </c>
      <c r="C504" s="154">
        <f t="shared" si="9"/>
        <v>0</v>
      </c>
      <c r="D504" s="6">
        <f>'MATCH CALCS'!$G505*2</f>
        <v>0</v>
      </c>
      <c r="E504" s="6">
        <f>'MATCH CALCS'!$G505*2</f>
        <v>0</v>
      </c>
      <c r="F504" s="6">
        <f>'MATCH CALCS'!$G505*2</f>
        <v>0</v>
      </c>
      <c r="G504" s="6">
        <f>'MATCH CALCS'!$G505*2</f>
        <v>0</v>
      </c>
      <c r="H504" s="6">
        <f>'MATCH CALCS'!$G505*2</f>
        <v>0</v>
      </c>
      <c r="I504" s="6">
        <f>'MATCH CALCS'!$G505*2</f>
        <v>0</v>
      </c>
      <c r="J504" s="154">
        <f t="shared" si="10"/>
        <v>0</v>
      </c>
      <c r="K504" s="6">
        <f>'MATCH CALCS'!L505*1</f>
        <v>0</v>
      </c>
      <c r="L504" s="6">
        <f>'MATCH CALCS'!$N505*2</f>
        <v>0</v>
      </c>
      <c r="M504" s="6">
        <f>'MATCH CALCS'!N505*1</f>
        <v>0</v>
      </c>
      <c r="N504" s="6">
        <f>'MATCH CALCS'!$N505*2</f>
        <v>0</v>
      </c>
      <c r="O504" s="6">
        <f>'MATCH CALCS'!$N505*2</f>
        <v>0</v>
      </c>
      <c r="P504" s="6">
        <f>'MATCH CALCS'!$P505*5</f>
        <v>0</v>
      </c>
      <c r="Q504" s="154">
        <f t="shared" si="11"/>
        <v>0</v>
      </c>
      <c r="R504" s="6">
        <f>'MATCH CALCS'!$AD505*1</f>
        <v>0</v>
      </c>
      <c r="S504" s="6">
        <f>'MATCH CALCS'!AC505*3</f>
        <v>0</v>
      </c>
      <c r="T504" s="6">
        <f>'MATCH CALCS'!AD505*3</f>
        <v>0</v>
      </c>
      <c r="U504" s="155">
        <f t="shared" si="12"/>
        <v>0</v>
      </c>
      <c r="V504" s="154">
        <f t="shared" si="13"/>
        <v>0</v>
      </c>
    </row>
    <row r="505" spans="1:22">
      <c r="A505" s="154">
        <f>'MATCH CALCS'!A506</f>
        <v>0</v>
      </c>
      <c r="B505" s="154">
        <f>'MATCH CALCS'!$C506</f>
        <v>0</v>
      </c>
      <c r="C505" s="154">
        <f t="shared" si="9"/>
        <v>0</v>
      </c>
      <c r="D505" s="6">
        <f>'MATCH CALCS'!$G506*2</f>
        <v>0</v>
      </c>
      <c r="E505" s="6">
        <f>'MATCH CALCS'!$G506*2</f>
        <v>0</v>
      </c>
      <c r="F505" s="6">
        <f>'MATCH CALCS'!$G506*2</f>
        <v>0</v>
      </c>
      <c r="G505" s="6">
        <f>'MATCH CALCS'!$G506*2</f>
        <v>0</v>
      </c>
      <c r="H505" s="6">
        <f>'MATCH CALCS'!$G506*2</f>
        <v>0</v>
      </c>
      <c r="I505" s="6">
        <f>'MATCH CALCS'!$G506*2</f>
        <v>0</v>
      </c>
      <c r="J505" s="154">
        <f t="shared" si="10"/>
        <v>0</v>
      </c>
      <c r="K505" s="6">
        <f>'MATCH CALCS'!L506*1</f>
        <v>0</v>
      </c>
      <c r="L505" s="6">
        <f>'MATCH CALCS'!$N506*2</f>
        <v>0</v>
      </c>
      <c r="M505" s="6">
        <f>'MATCH CALCS'!N506*1</f>
        <v>0</v>
      </c>
      <c r="N505" s="6">
        <f>'MATCH CALCS'!$N506*2</f>
        <v>0</v>
      </c>
      <c r="O505" s="6">
        <f>'MATCH CALCS'!$N506*2</f>
        <v>0</v>
      </c>
      <c r="P505" s="6">
        <f>'MATCH CALCS'!$P506*5</f>
        <v>0</v>
      </c>
      <c r="Q505" s="154">
        <f t="shared" si="11"/>
        <v>0</v>
      </c>
      <c r="R505" s="6">
        <f>'MATCH CALCS'!$AD506*1</f>
        <v>0</v>
      </c>
      <c r="S505" s="6">
        <f>'MATCH CALCS'!AC506*3</f>
        <v>0</v>
      </c>
      <c r="T505" s="6">
        <f>'MATCH CALCS'!AD506*3</f>
        <v>0</v>
      </c>
      <c r="U505" s="155">
        <f t="shared" si="12"/>
        <v>0</v>
      </c>
      <c r="V505" s="154">
        <f t="shared" si="13"/>
        <v>0</v>
      </c>
    </row>
    <row r="506" spans="1:22">
      <c r="A506" s="154">
        <f>'MATCH CALCS'!A507</f>
        <v>0</v>
      </c>
      <c r="B506" s="154">
        <f>'MATCH CALCS'!$C507</f>
        <v>0</v>
      </c>
      <c r="C506" s="154">
        <f t="shared" si="9"/>
        <v>0</v>
      </c>
      <c r="D506" s="6">
        <f>'MATCH CALCS'!$G507*2</f>
        <v>0</v>
      </c>
      <c r="E506" s="6">
        <f>'MATCH CALCS'!$G507*2</f>
        <v>0</v>
      </c>
      <c r="F506" s="6">
        <f>'MATCH CALCS'!$G507*2</f>
        <v>0</v>
      </c>
      <c r="G506" s="6">
        <f>'MATCH CALCS'!$G507*2</f>
        <v>0</v>
      </c>
      <c r="H506" s="6">
        <f>'MATCH CALCS'!$G507*2</f>
        <v>0</v>
      </c>
      <c r="I506" s="6">
        <f>'MATCH CALCS'!$G507*2</f>
        <v>0</v>
      </c>
      <c r="J506" s="154">
        <f t="shared" si="10"/>
        <v>0</v>
      </c>
      <c r="K506" s="6">
        <f>'MATCH CALCS'!L507*1</f>
        <v>0</v>
      </c>
      <c r="L506" s="6">
        <f>'MATCH CALCS'!$N507*2</f>
        <v>0</v>
      </c>
      <c r="M506" s="6">
        <f>'MATCH CALCS'!N507*1</f>
        <v>0</v>
      </c>
      <c r="N506" s="6">
        <f>'MATCH CALCS'!$N507*2</f>
        <v>0</v>
      </c>
      <c r="O506" s="6">
        <f>'MATCH CALCS'!$N507*2</f>
        <v>0</v>
      </c>
      <c r="P506" s="6">
        <f>'MATCH CALCS'!$P507*5</f>
        <v>0</v>
      </c>
      <c r="Q506" s="154">
        <f t="shared" si="11"/>
        <v>0</v>
      </c>
      <c r="R506" s="6">
        <f>'MATCH CALCS'!$AD507*1</f>
        <v>0</v>
      </c>
      <c r="S506" s="6">
        <f>'MATCH CALCS'!AC507*3</f>
        <v>0</v>
      </c>
      <c r="T506" s="6">
        <f>'MATCH CALCS'!AD507*3</f>
        <v>0</v>
      </c>
      <c r="U506" s="155">
        <f t="shared" si="12"/>
        <v>0</v>
      </c>
      <c r="V506" s="154">
        <f t="shared" si="13"/>
        <v>0</v>
      </c>
    </row>
    <row r="507" spans="1:22">
      <c r="A507" s="154">
        <f>'MATCH CALCS'!A508</f>
        <v>0</v>
      </c>
      <c r="B507" s="154">
        <f>'MATCH CALCS'!$C508</f>
        <v>0</v>
      </c>
      <c r="C507" s="154">
        <f t="shared" si="9"/>
        <v>0</v>
      </c>
      <c r="D507" s="6">
        <f>'MATCH CALCS'!$G508*2</f>
        <v>0</v>
      </c>
      <c r="E507" s="6">
        <f>'MATCH CALCS'!$G508*2</f>
        <v>0</v>
      </c>
      <c r="F507" s="6">
        <f>'MATCH CALCS'!$G508*2</f>
        <v>0</v>
      </c>
      <c r="G507" s="6">
        <f>'MATCH CALCS'!$G508*2</f>
        <v>0</v>
      </c>
      <c r="H507" s="6">
        <f>'MATCH CALCS'!$G508*2</f>
        <v>0</v>
      </c>
      <c r="I507" s="6">
        <f>'MATCH CALCS'!$G508*2</f>
        <v>0</v>
      </c>
      <c r="J507" s="154">
        <f t="shared" si="10"/>
        <v>0</v>
      </c>
      <c r="K507" s="6">
        <f>'MATCH CALCS'!L508*1</f>
        <v>0</v>
      </c>
      <c r="L507" s="6">
        <f>'MATCH CALCS'!$N508*2</f>
        <v>0</v>
      </c>
      <c r="M507" s="6">
        <f>'MATCH CALCS'!N508*1</f>
        <v>0</v>
      </c>
      <c r="N507" s="6">
        <f>'MATCH CALCS'!$N508*2</f>
        <v>0</v>
      </c>
      <c r="O507" s="6">
        <f>'MATCH CALCS'!$N508*2</f>
        <v>0</v>
      </c>
      <c r="P507" s="6">
        <f>'MATCH CALCS'!$P508*5</f>
        <v>0</v>
      </c>
      <c r="Q507" s="154">
        <f t="shared" si="11"/>
        <v>0</v>
      </c>
      <c r="R507" s="6">
        <f>'MATCH CALCS'!$AD508*1</f>
        <v>0</v>
      </c>
      <c r="S507" s="6">
        <f>'MATCH CALCS'!AC508*3</f>
        <v>0</v>
      </c>
      <c r="T507" s="6">
        <f>'MATCH CALCS'!AD508*3</f>
        <v>0</v>
      </c>
      <c r="U507" s="155">
        <f t="shared" si="12"/>
        <v>0</v>
      </c>
      <c r="V507" s="154">
        <f t="shared" si="13"/>
        <v>0</v>
      </c>
    </row>
    <row r="508" spans="1:22">
      <c r="A508" s="154">
        <f>'MATCH CALCS'!A509</f>
        <v>0</v>
      </c>
      <c r="B508" s="154">
        <f>'MATCH CALCS'!$C509</f>
        <v>0</v>
      </c>
      <c r="C508" s="154">
        <f t="shared" si="9"/>
        <v>0</v>
      </c>
      <c r="D508" s="6">
        <f>'MATCH CALCS'!$G509*2</f>
        <v>0</v>
      </c>
      <c r="E508" s="6">
        <f>'MATCH CALCS'!$G509*2</f>
        <v>0</v>
      </c>
      <c r="F508" s="6">
        <f>'MATCH CALCS'!$G509*2</f>
        <v>0</v>
      </c>
      <c r="G508" s="6">
        <f>'MATCH CALCS'!$G509*2</f>
        <v>0</v>
      </c>
      <c r="H508" s="6">
        <f>'MATCH CALCS'!$G509*2</f>
        <v>0</v>
      </c>
      <c r="I508" s="6">
        <f>'MATCH CALCS'!$G509*2</f>
        <v>0</v>
      </c>
      <c r="J508" s="154">
        <f t="shared" si="10"/>
        <v>0</v>
      </c>
      <c r="K508" s="6">
        <f>'MATCH CALCS'!L509*1</f>
        <v>0</v>
      </c>
      <c r="L508" s="6">
        <f>'MATCH CALCS'!$N509*2</f>
        <v>0</v>
      </c>
      <c r="M508" s="6">
        <f>'MATCH CALCS'!N509*1</f>
        <v>0</v>
      </c>
      <c r="N508" s="6">
        <f>'MATCH CALCS'!$N509*2</f>
        <v>0</v>
      </c>
      <c r="O508" s="6">
        <f>'MATCH CALCS'!$N509*2</f>
        <v>0</v>
      </c>
      <c r="P508" s="6">
        <f>'MATCH CALCS'!$P509*5</f>
        <v>0</v>
      </c>
      <c r="Q508" s="154">
        <f t="shared" si="11"/>
        <v>0</v>
      </c>
      <c r="R508" s="6">
        <f>'MATCH CALCS'!$AD509*1</f>
        <v>0</v>
      </c>
      <c r="S508" s="6">
        <f>'MATCH CALCS'!AC509*3</f>
        <v>0</v>
      </c>
      <c r="T508" s="6">
        <f>'MATCH CALCS'!AD509*3</f>
        <v>0</v>
      </c>
      <c r="U508" s="155">
        <f t="shared" si="12"/>
        <v>0</v>
      </c>
      <c r="V508" s="154">
        <f t="shared" si="13"/>
        <v>0</v>
      </c>
    </row>
    <row r="509" spans="1:22">
      <c r="A509" s="154">
        <f>'MATCH CALCS'!A510</f>
        <v>0</v>
      </c>
      <c r="B509" s="154">
        <f>'MATCH CALCS'!$C510</f>
        <v>0</v>
      </c>
      <c r="C509" s="154">
        <f t="shared" si="9"/>
        <v>0</v>
      </c>
      <c r="D509" s="6">
        <f>'MATCH CALCS'!$G510*2</f>
        <v>0</v>
      </c>
      <c r="E509" s="6">
        <f>'MATCH CALCS'!$G510*2</f>
        <v>0</v>
      </c>
      <c r="F509" s="6">
        <f>'MATCH CALCS'!$G510*2</f>
        <v>0</v>
      </c>
      <c r="G509" s="6">
        <f>'MATCH CALCS'!$G510*2</f>
        <v>0</v>
      </c>
      <c r="H509" s="6">
        <f>'MATCH CALCS'!$G510*2</f>
        <v>0</v>
      </c>
      <c r="I509" s="6">
        <f>'MATCH CALCS'!$G510*2</f>
        <v>0</v>
      </c>
      <c r="J509" s="154">
        <f t="shared" si="10"/>
        <v>0</v>
      </c>
      <c r="K509" s="6">
        <f>'MATCH CALCS'!L510*1</f>
        <v>0</v>
      </c>
      <c r="L509" s="6">
        <f>'MATCH CALCS'!$N510*2</f>
        <v>0</v>
      </c>
      <c r="M509" s="6">
        <f>'MATCH CALCS'!N510*1</f>
        <v>0</v>
      </c>
      <c r="N509" s="6">
        <f>'MATCH CALCS'!$N510*2</f>
        <v>0</v>
      </c>
      <c r="O509" s="6">
        <f>'MATCH CALCS'!$N510*2</f>
        <v>0</v>
      </c>
      <c r="P509" s="6">
        <f>'MATCH CALCS'!$P510*5</f>
        <v>0</v>
      </c>
      <c r="Q509" s="154">
        <f t="shared" si="11"/>
        <v>0</v>
      </c>
      <c r="R509" s="6">
        <f>'MATCH CALCS'!$AD510*1</f>
        <v>0</v>
      </c>
      <c r="S509" s="6">
        <f>'MATCH CALCS'!AC510*3</f>
        <v>0</v>
      </c>
      <c r="T509" s="6">
        <f>'MATCH CALCS'!AD510*3</f>
        <v>0</v>
      </c>
      <c r="U509" s="155">
        <f t="shared" si="12"/>
        <v>0</v>
      </c>
      <c r="V509" s="154">
        <f t="shared" si="13"/>
        <v>0</v>
      </c>
    </row>
    <row r="510" spans="1:22">
      <c r="A510" s="154">
        <f>'MATCH CALCS'!A511</f>
        <v>0</v>
      </c>
      <c r="B510" s="154">
        <f>'MATCH CALCS'!$C511</f>
        <v>0</v>
      </c>
      <c r="C510" s="154">
        <f t="shared" si="9"/>
        <v>0</v>
      </c>
      <c r="D510" s="6">
        <f>'MATCH CALCS'!$G511*2</f>
        <v>0</v>
      </c>
      <c r="E510" s="6">
        <f>'MATCH CALCS'!$G511*2</f>
        <v>0</v>
      </c>
      <c r="F510" s="6">
        <f>'MATCH CALCS'!$G511*2</f>
        <v>0</v>
      </c>
      <c r="G510" s="6">
        <f>'MATCH CALCS'!$G511*2</f>
        <v>0</v>
      </c>
      <c r="H510" s="6">
        <f>'MATCH CALCS'!$G511*2</f>
        <v>0</v>
      </c>
      <c r="I510" s="6">
        <f>'MATCH CALCS'!$G511*2</f>
        <v>0</v>
      </c>
      <c r="J510" s="154">
        <f t="shared" si="10"/>
        <v>0</v>
      </c>
      <c r="K510" s="6">
        <f>'MATCH CALCS'!L511*1</f>
        <v>0</v>
      </c>
      <c r="L510" s="6">
        <f>'MATCH CALCS'!$N511*2</f>
        <v>0</v>
      </c>
      <c r="M510" s="6">
        <f>'MATCH CALCS'!N511*1</f>
        <v>0</v>
      </c>
      <c r="N510" s="6">
        <f>'MATCH CALCS'!$N511*2</f>
        <v>0</v>
      </c>
      <c r="O510" s="6">
        <f>'MATCH CALCS'!$N511*2</f>
        <v>0</v>
      </c>
      <c r="P510" s="6">
        <f>'MATCH CALCS'!$P511*5</f>
        <v>0</v>
      </c>
      <c r="Q510" s="154">
        <f t="shared" si="11"/>
        <v>0</v>
      </c>
      <c r="R510" s="6">
        <f>'MATCH CALCS'!$AD511*1</f>
        <v>0</v>
      </c>
      <c r="S510" s="6">
        <f>'MATCH CALCS'!AC511*3</f>
        <v>0</v>
      </c>
      <c r="T510" s="6">
        <f>'MATCH CALCS'!AD511*3</f>
        <v>0</v>
      </c>
      <c r="U510" s="155">
        <f t="shared" si="12"/>
        <v>0</v>
      </c>
      <c r="V510" s="154">
        <f t="shared" si="13"/>
        <v>0</v>
      </c>
    </row>
    <row r="511" spans="1:22">
      <c r="A511" s="154">
        <f>'MATCH CALCS'!A512</f>
        <v>0</v>
      </c>
      <c r="B511" s="154">
        <f>'MATCH CALCS'!$C512</f>
        <v>0</v>
      </c>
      <c r="C511" s="154">
        <f t="shared" si="9"/>
        <v>0</v>
      </c>
      <c r="D511" s="6">
        <f>'MATCH CALCS'!$G512*2</f>
        <v>0</v>
      </c>
      <c r="E511" s="6">
        <f>'MATCH CALCS'!$G512*2</f>
        <v>0</v>
      </c>
      <c r="F511" s="6">
        <f>'MATCH CALCS'!$G512*2</f>
        <v>0</v>
      </c>
      <c r="G511" s="6">
        <f>'MATCH CALCS'!$G512*2</f>
        <v>0</v>
      </c>
      <c r="H511" s="6">
        <f>'MATCH CALCS'!$G512*2</f>
        <v>0</v>
      </c>
      <c r="I511" s="6">
        <f>'MATCH CALCS'!$G512*2</f>
        <v>0</v>
      </c>
      <c r="J511" s="154">
        <f t="shared" si="10"/>
        <v>0</v>
      </c>
      <c r="K511" s="6">
        <f>'MATCH CALCS'!L512*1</f>
        <v>0</v>
      </c>
      <c r="L511" s="6">
        <f>'MATCH CALCS'!$N512*2</f>
        <v>0</v>
      </c>
      <c r="M511" s="6">
        <f>'MATCH CALCS'!N512*1</f>
        <v>0</v>
      </c>
      <c r="N511" s="6">
        <f>'MATCH CALCS'!$N512*2</f>
        <v>0</v>
      </c>
      <c r="O511" s="6">
        <f>'MATCH CALCS'!$N512*2</f>
        <v>0</v>
      </c>
      <c r="P511" s="6">
        <f>'MATCH CALCS'!$P512*5</f>
        <v>0</v>
      </c>
      <c r="Q511" s="154">
        <f t="shared" si="11"/>
        <v>0</v>
      </c>
      <c r="R511" s="6">
        <f>'MATCH CALCS'!$AD512*1</f>
        <v>0</v>
      </c>
      <c r="S511" s="6">
        <f>'MATCH CALCS'!AC512*3</f>
        <v>0</v>
      </c>
      <c r="T511" s="6">
        <f>'MATCH CALCS'!AD512*3</f>
        <v>0</v>
      </c>
      <c r="U511" s="155">
        <f t="shared" si="12"/>
        <v>0</v>
      </c>
      <c r="V511" s="154">
        <f t="shared" si="13"/>
        <v>0</v>
      </c>
    </row>
    <row r="512" spans="1:22">
      <c r="A512" s="154">
        <f>'MATCH CALCS'!A513</f>
        <v>0</v>
      </c>
      <c r="B512" s="154">
        <f>'MATCH CALCS'!$C513</f>
        <v>0</v>
      </c>
      <c r="C512" s="154">
        <f t="shared" ref="C512:C766" si="14">SUM($D512:$I512)</f>
        <v>0</v>
      </c>
      <c r="D512" s="6">
        <f>'MATCH CALCS'!$G513*2</f>
        <v>0</v>
      </c>
      <c r="E512" s="6">
        <f>'MATCH CALCS'!$G513*2</f>
        <v>0</v>
      </c>
      <c r="F512" s="6">
        <f>'MATCH CALCS'!$G513*2</f>
        <v>0</v>
      </c>
      <c r="G512" s="6">
        <f>'MATCH CALCS'!$G513*2</f>
        <v>0</v>
      </c>
      <c r="H512" s="6">
        <f>'MATCH CALCS'!$G513*2</f>
        <v>0</v>
      </c>
      <c r="I512" s="6">
        <f>'MATCH CALCS'!$G513*2</f>
        <v>0</v>
      </c>
      <c r="J512" s="154">
        <f t="shared" ref="J512:J766" si="15">SUM($K512:$P512)</f>
        <v>0</v>
      </c>
      <c r="K512" s="6">
        <f>'MATCH CALCS'!L513*1</f>
        <v>0</v>
      </c>
      <c r="L512" s="6">
        <f>'MATCH CALCS'!$N513*2</f>
        <v>0</v>
      </c>
      <c r="M512" s="6">
        <f>'MATCH CALCS'!N513*1</f>
        <v>0</v>
      </c>
      <c r="N512" s="6">
        <f>'MATCH CALCS'!$N513*2</f>
        <v>0</v>
      </c>
      <c r="O512" s="6">
        <f>'MATCH CALCS'!$N513*2</f>
        <v>0</v>
      </c>
      <c r="P512" s="6">
        <f>'MATCH CALCS'!$P513*5</f>
        <v>0</v>
      </c>
      <c r="Q512" s="154">
        <f t="shared" ref="Q512:Q766" si="16">SUM(U512)</f>
        <v>0</v>
      </c>
      <c r="R512" s="6">
        <f>'MATCH CALCS'!$AD513*1</f>
        <v>0</v>
      </c>
      <c r="S512" s="6">
        <f>'MATCH CALCS'!AC513*3</f>
        <v>0</v>
      </c>
      <c r="T512" s="6">
        <f>'MATCH CALCS'!AD513*3</f>
        <v>0</v>
      </c>
      <c r="U512" s="155">
        <f t="shared" ref="U512:U766" si="17">SUM(R512:T512)</f>
        <v>0</v>
      </c>
      <c r="V512" s="154">
        <f t="shared" ref="V512:V766" si="18">SUM(Q512,J512,C512,)</f>
        <v>0</v>
      </c>
    </row>
    <row r="513" spans="1:22">
      <c r="A513" s="154">
        <f>'MATCH CALCS'!A514</f>
        <v>0</v>
      </c>
      <c r="B513" s="154">
        <f>'MATCH CALCS'!$C514</f>
        <v>0</v>
      </c>
      <c r="C513" s="154">
        <f t="shared" si="14"/>
        <v>0</v>
      </c>
      <c r="D513" s="6">
        <f>'MATCH CALCS'!$G514*2</f>
        <v>0</v>
      </c>
      <c r="E513" s="6">
        <f>'MATCH CALCS'!$G514*2</f>
        <v>0</v>
      </c>
      <c r="F513" s="6">
        <f>'MATCH CALCS'!$G514*2</f>
        <v>0</v>
      </c>
      <c r="G513" s="6">
        <f>'MATCH CALCS'!$G514*2</f>
        <v>0</v>
      </c>
      <c r="H513" s="6">
        <f>'MATCH CALCS'!$G514*2</f>
        <v>0</v>
      </c>
      <c r="I513" s="6">
        <f>'MATCH CALCS'!$G514*2</f>
        <v>0</v>
      </c>
      <c r="J513" s="154">
        <f t="shared" si="15"/>
        <v>0</v>
      </c>
      <c r="K513" s="6">
        <f>'MATCH CALCS'!L514*1</f>
        <v>0</v>
      </c>
      <c r="L513" s="6">
        <f>'MATCH CALCS'!$N514*2</f>
        <v>0</v>
      </c>
      <c r="M513" s="6">
        <f>'MATCH CALCS'!N514*1</f>
        <v>0</v>
      </c>
      <c r="N513" s="6">
        <f>'MATCH CALCS'!$N514*2</f>
        <v>0</v>
      </c>
      <c r="O513" s="6">
        <f>'MATCH CALCS'!$N514*2</f>
        <v>0</v>
      </c>
      <c r="P513" s="6">
        <f>'MATCH CALCS'!$P514*5</f>
        <v>0</v>
      </c>
      <c r="Q513" s="154">
        <f t="shared" si="16"/>
        <v>0</v>
      </c>
      <c r="R513" s="6">
        <f>'MATCH CALCS'!$AD514*1</f>
        <v>0</v>
      </c>
      <c r="S513" s="6">
        <f>'MATCH CALCS'!AC514*3</f>
        <v>0</v>
      </c>
      <c r="T513" s="6">
        <f>'MATCH CALCS'!AD514*3</f>
        <v>0</v>
      </c>
      <c r="U513" s="155">
        <f t="shared" si="17"/>
        <v>0</v>
      </c>
      <c r="V513" s="154">
        <f t="shared" si="18"/>
        <v>0</v>
      </c>
    </row>
    <row r="514" spans="1:22">
      <c r="A514" s="154">
        <f>'MATCH CALCS'!A515</f>
        <v>0</v>
      </c>
      <c r="B514" s="154">
        <f>'MATCH CALCS'!$C515</f>
        <v>0</v>
      </c>
      <c r="C514" s="154">
        <f t="shared" si="14"/>
        <v>0</v>
      </c>
      <c r="D514" s="6">
        <f>'MATCH CALCS'!$G515*2</f>
        <v>0</v>
      </c>
      <c r="E514" s="6">
        <f>'MATCH CALCS'!$G515*2</f>
        <v>0</v>
      </c>
      <c r="F514" s="6">
        <f>'MATCH CALCS'!$G515*2</f>
        <v>0</v>
      </c>
      <c r="G514" s="6">
        <f>'MATCH CALCS'!$G515*2</f>
        <v>0</v>
      </c>
      <c r="H514" s="6">
        <f>'MATCH CALCS'!$G515*2</f>
        <v>0</v>
      </c>
      <c r="I514" s="6">
        <f>'MATCH CALCS'!$G515*2</f>
        <v>0</v>
      </c>
      <c r="J514" s="154">
        <f t="shared" si="15"/>
        <v>0</v>
      </c>
      <c r="K514" s="6">
        <f>'MATCH CALCS'!L515*1</f>
        <v>0</v>
      </c>
      <c r="L514" s="6">
        <f>'MATCH CALCS'!$N515*2</f>
        <v>0</v>
      </c>
      <c r="M514" s="6">
        <f>'MATCH CALCS'!N515*1</f>
        <v>0</v>
      </c>
      <c r="N514" s="6">
        <f>'MATCH CALCS'!$N515*2</f>
        <v>0</v>
      </c>
      <c r="O514" s="6">
        <f>'MATCH CALCS'!$N515*2</f>
        <v>0</v>
      </c>
      <c r="P514" s="6">
        <f>'MATCH CALCS'!$P515*5</f>
        <v>0</v>
      </c>
      <c r="Q514" s="154">
        <f t="shared" si="16"/>
        <v>0</v>
      </c>
      <c r="R514" s="6">
        <f>'MATCH CALCS'!$AD515*1</f>
        <v>0</v>
      </c>
      <c r="S514" s="6">
        <f>'MATCH CALCS'!AC515*3</f>
        <v>0</v>
      </c>
      <c r="T514" s="6">
        <f>'MATCH CALCS'!AD515*3</f>
        <v>0</v>
      </c>
      <c r="U514" s="155">
        <f t="shared" si="17"/>
        <v>0</v>
      </c>
      <c r="V514" s="154">
        <f t="shared" si="18"/>
        <v>0</v>
      </c>
    </row>
    <row r="515" spans="1:22">
      <c r="A515" s="154">
        <f>'MATCH CALCS'!A516</f>
        <v>0</v>
      </c>
      <c r="B515" s="154">
        <f>'MATCH CALCS'!$C516</f>
        <v>0</v>
      </c>
      <c r="C515" s="154">
        <f t="shared" si="14"/>
        <v>0</v>
      </c>
      <c r="D515" s="6">
        <f>'MATCH CALCS'!$G516*2</f>
        <v>0</v>
      </c>
      <c r="E515" s="6">
        <f>'MATCH CALCS'!$G516*2</f>
        <v>0</v>
      </c>
      <c r="F515" s="6">
        <f>'MATCH CALCS'!$G516*2</f>
        <v>0</v>
      </c>
      <c r="G515" s="6">
        <f>'MATCH CALCS'!$G516*2</f>
        <v>0</v>
      </c>
      <c r="H515" s="6">
        <f>'MATCH CALCS'!$G516*2</f>
        <v>0</v>
      </c>
      <c r="I515" s="6">
        <f>'MATCH CALCS'!$G516*2</f>
        <v>0</v>
      </c>
      <c r="J515" s="154">
        <f t="shared" si="15"/>
        <v>0</v>
      </c>
      <c r="K515" s="6">
        <f>'MATCH CALCS'!L516*1</f>
        <v>0</v>
      </c>
      <c r="L515" s="6">
        <f>'MATCH CALCS'!$N516*2</f>
        <v>0</v>
      </c>
      <c r="M515" s="6">
        <f>'MATCH CALCS'!N516*1</f>
        <v>0</v>
      </c>
      <c r="N515" s="6">
        <f>'MATCH CALCS'!$N516*2</f>
        <v>0</v>
      </c>
      <c r="O515" s="6">
        <f>'MATCH CALCS'!$N516*2</f>
        <v>0</v>
      </c>
      <c r="P515" s="6">
        <f>'MATCH CALCS'!$P516*5</f>
        <v>0</v>
      </c>
      <c r="Q515" s="154">
        <f t="shared" si="16"/>
        <v>0</v>
      </c>
      <c r="R515" s="6">
        <f>'MATCH CALCS'!$AD516*1</f>
        <v>0</v>
      </c>
      <c r="S515" s="6">
        <f>'MATCH CALCS'!AC516*3</f>
        <v>0</v>
      </c>
      <c r="T515" s="6">
        <f>'MATCH CALCS'!AD516*3</f>
        <v>0</v>
      </c>
      <c r="U515" s="155">
        <f t="shared" si="17"/>
        <v>0</v>
      </c>
      <c r="V515" s="154">
        <f t="shared" si="18"/>
        <v>0</v>
      </c>
    </row>
    <row r="516" spans="1:22">
      <c r="A516" s="154">
        <f>'MATCH CALCS'!A517</f>
        <v>0</v>
      </c>
      <c r="B516" s="154">
        <f>'MATCH CALCS'!$C517</f>
        <v>0</v>
      </c>
      <c r="C516" s="154">
        <f t="shared" si="14"/>
        <v>0</v>
      </c>
      <c r="D516" s="6">
        <f>'MATCH CALCS'!$G517*2</f>
        <v>0</v>
      </c>
      <c r="E516" s="6">
        <f>'MATCH CALCS'!$G517*2</f>
        <v>0</v>
      </c>
      <c r="F516" s="6">
        <f>'MATCH CALCS'!$G517*2</f>
        <v>0</v>
      </c>
      <c r="G516" s="6">
        <f>'MATCH CALCS'!$G517*2</f>
        <v>0</v>
      </c>
      <c r="H516" s="6">
        <f>'MATCH CALCS'!$G517*2</f>
        <v>0</v>
      </c>
      <c r="I516" s="6">
        <f>'MATCH CALCS'!$G517*2</f>
        <v>0</v>
      </c>
      <c r="J516" s="154">
        <f t="shared" si="15"/>
        <v>0</v>
      </c>
      <c r="K516" s="6">
        <f>'MATCH CALCS'!L517*1</f>
        <v>0</v>
      </c>
      <c r="L516" s="6">
        <f>'MATCH CALCS'!$N517*2</f>
        <v>0</v>
      </c>
      <c r="M516" s="6">
        <f>'MATCH CALCS'!N517*1</f>
        <v>0</v>
      </c>
      <c r="N516" s="6">
        <f>'MATCH CALCS'!$N517*2</f>
        <v>0</v>
      </c>
      <c r="O516" s="6">
        <f>'MATCH CALCS'!$N517*2</f>
        <v>0</v>
      </c>
      <c r="P516" s="6">
        <f>'MATCH CALCS'!$P517*5</f>
        <v>0</v>
      </c>
      <c r="Q516" s="154">
        <f t="shared" si="16"/>
        <v>0</v>
      </c>
      <c r="R516" s="6">
        <f>'MATCH CALCS'!$AD517*1</f>
        <v>0</v>
      </c>
      <c r="S516" s="6">
        <f>'MATCH CALCS'!AC517*3</f>
        <v>0</v>
      </c>
      <c r="T516" s="6">
        <f>'MATCH CALCS'!AD517*3</f>
        <v>0</v>
      </c>
      <c r="U516" s="155">
        <f t="shared" si="17"/>
        <v>0</v>
      </c>
      <c r="V516" s="154">
        <f t="shared" si="18"/>
        <v>0</v>
      </c>
    </row>
    <row r="517" spans="1:22">
      <c r="A517" s="154">
        <f>'MATCH CALCS'!A518</f>
        <v>0</v>
      </c>
      <c r="B517" s="154">
        <f>'MATCH CALCS'!$C518</f>
        <v>0</v>
      </c>
      <c r="C517" s="154">
        <f t="shared" si="14"/>
        <v>0</v>
      </c>
      <c r="D517" s="6">
        <f>'MATCH CALCS'!$G518*2</f>
        <v>0</v>
      </c>
      <c r="E517" s="6">
        <f>'MATCH CALCS'!$G518*2</f>
        <v>0</v>
      </c>
      <c r="F517" s="6">
        <f>'MATCH CALCS'!$G518*2</f>
        <v>0</v>
      </c>
      <c r="G517" s="6">
        <f>'MATCH CALCS'!$G518*2</f>
        <v>0</v>
      </c>
      <c r="H517" s="6">
        <f>'MATCH CALCS'!$G518*2</f>
        <v>0</v>
      </c>
      <c r="I517" s="6">
        <f>'MATCH CALCS'!$G518*2</f>
        <v>0</v>
      </c>
      <c r="J517" s="154">
        <f t="shared" si="15"/>
        <v>0</v>
      </c>
      <c r="K517" s="6">
        <f>'MATCH CALCS'!L518*1</f>
        <v>0</v>
      </c>
      <c r="L517" s="6">
        <f>'MATCH CALCS'!$N518*2</f>
        <v>0</v>
      </c>
      <c r="M517" s="6">
        <f>'MATCH CALCS'!N518*1</f>
        <v>0</v>
      </c>
      <c r="N517" s="6">
        <f>'MATCH CALCS'!$N518*2</f>
        <v>0</v>
      </c>
      <c r="O517" s="6">
        <f>'MATCH CALCS'!$N518*2</f>
        <v>0</v>
      </c>
      <c r="P517" s="6">
        <f>'MATCH CALCS'!$P518*5</f>
        <v>0</v>
      </c>
      <c r="Q517" s="154">
        <f t="shared" si="16"/>
        <v>0</v>
      </c>
      <c r="R517" s="6">
        <f>'MATCH CALCS'!$AD518*1</f>
        <v>0</v>
      </c>
      <c r="S517" s="6">
        <f>'MATCH CALCS'!AC518*3</f>
        <v>0</v>
      </c>
      <c r="T517" s="6">
        <f>'MATCH CALCS'!AD518*3</f>
        <v>0</v>
      </c>
      <c r="U517" s="155">
        <f t="shared" si="17"/>
        <v>0</v>
      </c>
      <c r="V517" s="154">
        <f t="shared" si="18"/>
        <v>0</v>
      </c>
    </row>
    <row r="518" spans="1:22">
      <c r="A518" s="154">
        <f>'MATCH CALCS'!A519</f>
        <v>0</v>
      </c>
      <c r="B518" s="154">
        <f>'MATCH CALCS'!$C519</f>
        <v>0</v>
      </c>
      <c r="C518" s="154">
        <f t="shared" si="14"/>
        <v>0</v>
      </c>
      <c r="D518" s="6">
        <f>'MATCH CALCS'!$G519*2</f>
        <v>0</v>
      </c>
      <c r="E518" s="6">
        <f>'MATCH CALCS'!$G519*2</f>
        <v>0</v>
      </c>
      <c r="F518" s="6">
        <f>'MATCH CALCS'!$G519*2</f>
        <v>0</v>
      </c>
      <c r="G518" s="6">
        <f>'MATCH CALCS'!$G519*2</f>
        <v>0</v>
      </c>
      <c r="H518" s="6">
        <f>'MATCH CALCS'!$G519*2</f>
        <v>0</v>
      </c>
      <c r="I518" s="6">
        <f>'MATCH CALCS'!$G519*2</f>
        <v>0</v>
      </c>
      <c r="J518" s="154">
        <f t="shared" si="15"/>
        <v>0</v>
      </c>
      <c r="K518" s="6">
        <f>'MATCH CALCS'!L519*1</f>
        <v>0</v>
      </c>
      <c r="L518" s="6">
        <f>'MATCH CALCS'!$N519*2</f>
        <v>0</v>
      </c>
      <c r="M518" s="6">
        <f>'MATCH CALCS'!N519*1</f>
        <v>0</v>
      </c>
      <c r="N518" s="6">
        <f>'MATCH CALCS'!$N519*2</f>
        <v>0</v>
      </c>
      <c r="O518" s="6">
        <f>'MATCH CALCS'!$N519*2</f>
        <v>0</v>
      </c>
      <c r="P518" s="6">
        <f>'MATCH CALCS'!$P519*5</f>
        <v>0</v>
      </c>
      <c r="Q518" s="154">
        <f t="shared" si="16"/>
        <v>0</v>
      </c>
      <c r="R518" s="6">
        <f>'MATCH CALCS'!$AD519*1</f>
        <v>0</v>
      </c>
      <c r="S518" s="6">
        <f>'MATCH CALCS'!AC519*3</f>
        <v>0</v>
      </c>
      <c r="T518" s="6">
        <f>'MATCH CALCS'!AD519*3</f>
        <v>0</v>
      </c>
      <c r="U518" s="155">
        <f t="shared" si="17"/>
        <v>0</v>
      </c>
      <c r="V518" s="154">
        <f t="shared" si="18"/>
        <v>0</v>
      </c>
    </row>
    <row r="519" spans="1:22">
      <c r="A519" s="154">
        <f>'MATCH CALCS'!A520</f>
        <v>0</v>
      </c>
      <c r="B519" s="154">
        <f>'MATCH CALCS'!$C520</f>
        <v>0</v>
      </c>
      <c r="C519" s="154">
        <f t="shared" si="14"/>
        <v>0</v>
      </c>
      <c r="D519" s="6">
        <f>'MATCH CALCS'!$G520*2</f>
        <v>0</v>
      </c>
      <c r="E519" s="6">
        <f>'MATCH CALCS'!$G520*2</f>
        <v>0</v>
      </c>
      <c r="F519" s="6">
        <f>'MATCH CALCS'!$G520*2</f>
        <v>0</v>
      </c>
      <c r="G519" s="6">
        <f>'MATCH CALCS'!$G520*2</f>
        <v>0</v>
      </c>
      <c r="H519" s="6">
        <f>'MATCH CALCS'!$G520*2</f>
        <v>0</v>
      </c>
      <c r="I519" s="6">
        <f>'MATCH CALCS'!$G520*2</f>
        <v>0</v>
      </c>
      <c r="J519" s="154">
        <f t="shared" si="15"/>
        <v>0</v>
      </c>
      <c r="K519" s="6">
        <f>'MATCH CALCS'!L520*1</f>
        <v>0</v>
      </c>
      <c r="L519" s="6">
        <f>'MATCH CALCS'!$N520*2</f>
        <v>0</v>
      </c>
      <c r="M519" s="6">
        <f>'MATCH CALCS'!N520*1</f>
        <v>0</v>
      </c>
      <c r="N519" s="6">
        <f>'MATCH CALCS'!$N520*2</f>
        <v>0</v>
      </c>
      <c r="O519" s="6">
        <f>'MATCH CALCS'!$N520*2</f>
        <v>0</v>
      </c>
      <c r="P519" s="6">
        <f>'MATCH CALCS'!$P520*5</f>
        <v>0</v>
      </c>
      <c r="Q519" s="154">
        <f t="shared" si="16"/>
        <v>0</v>
      </c>
      <c r="R519" s="6">
        <f>'MATCH CALCS'!$AD520*1</f>
        <v>0</v>
      </c>
      <c r="S519" s="6">
        <f>'MATCH CALCS'!AC520*3</f>
        <v>0</v>
      </c>
      <c r="T519" s="6">
        <f>'MATCH CALCS'!AD520*3</f>
        <v>0</v>
      </c>
      <c r="U519" s="155">
        <f t="shared" si="17"/>
        <v>0</v>
      </c>
      <c r="V519" s="154">
        <f t="shared" si="18"/>
        <v>0</v>
      </c>
    </row>
    <row r="520" spans="1:22">
      <c r="A520" s="154">
        <f>'MATCH CALCS'!A521</f>
        <v>0</v>
      </c>
      <c r="B520" s="154">
        <f>'MATCH CALCS'!$C521</f>
        <v>0</v>
      </c>
      <c r="C520" s="154">
        <f t="shared" si="14"/>
        <v>0</v>
      </c>
      <c r="D520" s="6">
        <f>'MATCH CALCS'!$G521*2</f>
        <v>0</v>
      </c>
      <c r="E520" s="6">
        <f>'MATCH CALCS'!$G521*2</f>
        <v>0</v>
      </c>
      <c r="F520" s="6">
        <f>'MATCH CALCS'!$G521*2</f>
        <v>0</v>
      </c>
      <c r="G520" s="6">
        <f>'MATCH CALCS'!$G521*2</f>
        <v>0</v>
      </c>
      <c r="H520" s="6">
        <f>'MATCH CALCS'!$G521*2</f>
        <v>0</v>
      </c>
      <c r="I520" s="6">
        <f>'MATCH CALCS'!$G521*2</f>
        <v>0</v>
      </c>
      <c r="J520" s="154">
        <f t="shared" si="15"/>
        <v>0</v>
      </c>
      <c r="K520" s="6">
        <f>'MATCH CALCS'!L521*1</f>
        <v>0</v>
      </c>
      <c r="L520" s="6">
        <f>'MATCH CALCS'!$N521*2</f>
        <v>0</v>
      </c>
      <c r="M520" s="6">
        <f>'MATCH CALCS'!N521*1</f>
        <v>0</v>
      </c>
      <c r="N520" s="6">
        <f>'MATCH CALCS'!$N521*2</f>
        <v>0</v>
      </c>
      <c r="O520" s="6">
        <f>'MATCH CALCS'!$N521*2</f>
        <v>0</v>
      </c>
      <c r="P520" s="6">
        <f>'MATCH CALCS'!$P521*5</f>
        <v>0</v>
      </c>
      <c r="Q520" s="154">
        <f t="shared" si="16"/>
        <v>0</v>
      </c>
      <c r="R520" s="6">
        <f>'MATCH CALCS'!$AD521*1</f>
        <v>0</v>
      </c>
      <c r="S520" s="6">
        <f>'MATCH CALCS'!AC521*3</f>
        <v>0</v>
      </c>
      <c r="T520" s="6">
        <f>'MATCH CALCS'!AD521*3</f>
        <v>0</v>
      </c>
      <c r="U520" s="155">
        <f t="shared" si="17"/>
        <v>0</v>
      </c>
      <c r="V520" s="154">
        <f t="shared" si="18"/>
        <v>0</v>
      </c>
    </row>
    <row r="521" spans="1:22">
      <c r="A521" s="154">
        <f>'MATCH CALCS'!A522</f>
        <v>0</v>
      </c>
      <c r="B521" s="154">
        <f>'MATCH CALCS'!$C522</f>
        <v>0</v>
      </c>
      <c r="C521" s="154">
        <f t="shared" si="14"/>
        <v>0</v>
      </c>
      <c r="D521" s="6">
        <f>'MATCH CALCS'!$G522*2</f>
        <v>0</v>
      </c>
      <c r="E521" s="6">
        <f>'MATCH CALCS'!$G522*2</f>
        <v>0</v>
      </c>
      <c r="F521" s="6">
        <f>'MATCH CALCS'!$G522*2</f>
        <v>0</v>
      </c>
      <c r="G521" s="6">
        <f>'MATCH CALCS'!$G522*2</f>
        <v>0</v>
      </c>
      <c r="H521" s="6">
        <f>'MATCH CALCS'!$G522*2</f>
        <v>0</v>
      </c>
      <c r="I521" s="6">
        <f>'MATCH CALCS'!$G522*2</f>
        <v>0</v>
      </c>
      <c r="J521" s="154">
        <f t="shared" si="15"/>
        <v>0</v>
      </c>
      <c r="K521" s="6">
        <f>'MATCH CALCS'!L522*1</f>
        <v>0</v>
      </c>
      <c r="L521" s="6">
        <f>'MATCH CALCS'!$N522*2</f>
        <v>0</v>
      </c>
      <c r="M521" s="6">
        <f>'MATCH CALCS'!N522*1</f>
        <v>0</v>
      </c>
      <c r="N521" s="6">
        <f>'MATCH CALCS'!$N522*2</f>
        <v>0</v>
      </c>
      <c r="O521" s="6">
        <f>'MATCH CALCS'!$N522*2</f>
        <v>0</v>
      </c>
      <c r="P521" s="6">
        <f>'MATCH CALCS'!$P522*5</f>
        <v>0</v>
      </c>
      <c r="Q521" s="154">
        <f t="shared" si="16"/>
        <v>0</v>
      </c>
      <c r="R521" s="6">
        <f>'MATCH CALCS'!$AD522*1</f>
        <v>0</v>
      </c>
      <c r="S521" s="6">
        <f>'MATCH CALCS'!AC522*3</f>
        <v>0</v>
      </c>
      <c r="T521" s="6">
        <f>'MATCH CALCS'!AD522*3</f>
        <v>0</v>
      </c>
      <c r="U521" s="155">
        <f t="shared" si="17"/>
        <v>0</v>
      </c>
      <c r="V521" s="154">
        <f t="shared" si="18"/>
        <v>0</v>
      </c>
    </row>
    <row r="522" spans="1:22">
      <c r="A522" s="154">
        <f>'MATCH CALCS'!A523</f>
        <v>0</v>
      </c>
      <c r="B522" s="154">
        <f>'MATCH CALCS'!$C523</f>
        <v>0</v>
      </c>
      <c r="C522" s="154">
        <f t="shared" si="14"/>
        <v>0</v>
      </c>
      <c r="D522" s="6">
        <f>'MATCH CALCS'!$G523*2</f>
        <v>0</v>
      </c>
      <c r="E522" s="6">
        <f>'MATCH CALCS'!$G523*2</f>
        <v>0</v>
      </c>
      <c r="F522" s="6">
        <f>'MATCH CALCS'!$G523*2</f>
        <v>0</v>
      </c>
      <c r="G522" s="6">
        <f>'MATCH CALCS'!$G523*2</f>
        <v>0</v>
      </c>
      <c r="H522" s="6">
        <f>'MATCH CALCS'!$G523*2</f>
        <v>0</v>
      </c>
      <c r="I522" s="6">
        <f>'MATCH CALCS'!$G523*2</f>
        <v>0</v>
      </c>
      <c r="J522" s="154">
        <f t="shared" si="15"/>
        <v>0</v>
      </c>
      <c r="K522" s="6">
        <f>'MATCH CALCS'!L523*1</f>
        <v>0</v>
      </c>
      <c r="L522" s="6">
        <f>'MATCH CALCS'!$N523*2</f>
        <v>0</v>
      </c>
      <c r="M522" s="6">
        <f>'MATCH CALCS'!N523*1</f>
        <v>0</v>
      </c>
      <c r="N522" s="6">
        <f>'MATCH CALCS'!$N523*2</f>
        <v>0</v>
      </c>
      <c r="O522" s="6">
        <f>'MATCH CALCS'!$N523*2</f>
        <v>0</v>
      </c>
      <c r="P522" s="6">
        <f>'MATCH CALCS'!$P523*5</f>
        <v>0</v>
      </c>
      <c r="Q522" s="154">
        <f t="shared" si="16"/>
        <v>0</v>
      </c>
      <c r="R522" s="6">
        <f>'MATCH CALCS'!$AD523*1</f>
        <v>0</v>
      </c>
      <c r="S522" s="6">
        <f>'MATCH CALCS'!AC523*3</f>
        <v>0</v>
      </c>
      <c r="T522" s="6">
        <f>'MATCH CALCS'!AD523*3</f>
        <v>0</v>
      </c>
      <c r="U522" s="155">
        <f t="shared" si="17"/>
        <v>0</v>
      </c>
      <c r="V522" s="154">
        <f t="shared" si="18"/>
        <v>0</v>
      </c>
    </row>
    <row r="523" spans="1:22">
      <c r="A523" s="154">
        <f>'MATCH CALCS'!A524</f>
        <v>0</v>
      </c>
      <c r="B523" s="154">
        <f>'MATCH CALCS'!$C524</f>
        <v>0</v>
      </c>
      <c r="C523" s="154">
        <f t="shared" si="14"/>
        <v>0</v>
      </c>
      <c r="D523" s="6">
        <f>'MATCH CALCS'!$G524*2</f>
        <v>0</v>
      </c>
      <c r="E523" s="6">
        <f>'MATCH CALCS'!$G524*2</f>
        <v>0</v>
      </c>
      <c r="F523" s="6">
        <f>'MATCH CALCS'!$G524*2</f>
        <v>0</v>
      </c>
      <c r="G523" s="6">
        <f>'MATCH CALCS'!$G524*2</f>
        <v>0</v>
      </c>
      <c r="H523" s="6">
        <f>'MATCH CALCS'!$G524*2</f>
        <v>0</v>
      </c>
      <c r="I523" s="6">
        <f>'MATCH CALCS'!$G524*2</f>
        <v>0</v>
      </c>
      <c r="J523" s="154">
        <f t="shared" si="15"/>
        <v>0</v>
      </c>
      <c r="K523" s="6">
        <f>'MATCH CALCS'!L524*1</f>
        <v>0</v>
      </c>
      <c r="L523" s="6">
        <f>'MATCH CALCS'!$N524*2</f>
        <v>0</v>
      </c>
      <c r="M523" s="6">
        <f>'MATCH CALCS'!N524*1</f>
        <v>0</v>
      </c>
      <c r="N523" s="6">
        <f>'MATCH CALCS'!$N524*2</f>
        <v>0</v>
      </c>
      <c r="O523" s="6">
        <f>'MATCH CALCS'!$N524*2</f>
        <v>0</v>
      </c>
      <c r="P523" s="6">
        <f>'MATCH CALCS'!$P524*5</f>
        <v>0</v>
      </c>
      <c r="Q523" s="154">
        <f t="shared" si="16"/>
        <v>0</v>
      </c>
      <c r="R523" s="6">
        <f>'MATCH CALCS'!$AD524*1</f>
        <v>0</v>
      </c>
      <c r="S523" s="6">
        <f>'MATCH CALCS'!AC524*3</f>
        <v>0</v>
      </c>
      <c r="T523" s="6">
        <f>'MATCH CALCS'!AD524*3</f>
        <v>0</v>
      </c>
      <c r="U523" s="155">
        <f t="shared" si="17"/>
        <v>0</v>
      </c>
      <c r="V523" s="154">
        <f t="shared" si="18"/>
        <v>0</v>
      </c>
    </row>
    <row r="524" spans="1:22">
      <c r="A524" s="154">
        <f>'MATCH CALCS'!A525</f>
        <v>0</v>
      </c>
      <c r="B524" s="154">
        <f>'MATCH CALCS'!$C525</f>
        <v>0</v>
      </c>
      <c r="C524" s="154">
        <f t="shared" si="14"/>
        <v>0</v>
      </c>
      <c r="D524" s="6">
        <f>'MATCH CALCS'!$G525*2</f>
        <v>0</v>
      </c>
      <c r="E524" s="6">
        <f>'MATCH CALCS'!$G525*2</f>
        <v>0</v>
      </c>
      <c r="F524" s="6">
        <f>'MATCH CALCS'!$G525*2</f>
        <v>0</v>
      </c>
      <c r="G524" s="6">
        <f>'MATCH CALCS'!$G525*2</f>
        <v>0</v>
      </c>
      <c r="H524" s="6">
        <f>'MATCH CALCS'!$G525*2</f>
        <v>0</v>
      </c>
      <c r="I524" s="6">
        <f>'MATCH CALCS'!$G525*2</f>
        <v>0</v>
      </c>
      <c r="J524" s="154">
        <f t="shared" si="15"/>
        <v>0</v>
      </c>
      <c r="K524" s="6">
        <f>'MATCH CALCS'!L525*1</f>
        <v>0</v>
      </c>
      <c r="L524" s="6">
        <f>'MATCH CALCS'!$N525*2</f>
        <v>0</v>
      </c>
      <c r="M524" s="6">
        <f>'MATCH CALCS'!N525*1</f>
        <v>0</v>
      </c>
      <c r="N524" s="6">
        <f>'MATCH CALCS'!$N525*2</f>
        <v>0</v>
      </c>
      <c r="O524" s="6">
        <f>'MATCH CALCS'!$N525*2</f>
        <v>0</v>
      </c>
      <c r="P524" s="6">
        <f>'MATCH CALCS'!$P525*5</f>
        <v>0</v>
      </c>
      <c r="Q524" s="154">
        <f t="shared" si="16"/>
        <v>0</v>
      </c>
      <c r="R524" s="6">
        <f>'MATCH CALCS'!$AD525*1</f>
        <v>0</v>
      </c>
      <c r="S524" s="6">
        <f>'MATCH CALCS'!AC525*3</f>
        <v>0</v>
      </c>
      <c r="T524" s="6">
        <f>'MATCH CALCS'!AD525*3</f>
        <v>0</v>
      </c>
      <c r="U524" s="155">
        <f t="shared" si="17"/>
        <v>0</v>
      </c>
      <c r="V524" s="154">
        <f t="shared" si="18"/>
        <v>0</v>
      </c>
    </row>
    <row r="525" spans="1:22">
      <c r="A525" s="154">
        <f>'MATCH CALCS'!A526</f>
        <v>0</v>
      </c>
      <c r="B525" s="154">
        <f>'MATCH CALCS'!$C526</f>
        <v>0</v>
      </c>
      <c r="C525" s="154">
        <f t="shared" si="14"/>
        <v>0</v>
      </c>
      <c r="D525" s="6">
        <f>'MATCH CALCS'!$G526*2</f>
        <v>0</v>
      </c>
      <c r="E525" s="6">
        <f>'MATCH CALCS'!$G526*2</f>
        <v>0</v>
      </c>
      <c r="F525" s="6">
        <f>'MATCH CALCS'!$G526*2</f>
        <v>0</v>
      </c>
      <c r="G525" s="6">
        <f>'MATCH CALCS'!$G526*2</f>
        <v>0</v>
      </c>
      <c r="H525" s="6">
        <f>'MATCH CALCS'!$G526*2</f>
        <v>0</v>
      </c>
      <c r="I525" s="6">
        <f>'MATCH CALCS'!$G526*2</f>
        <v>0</v>
      </c>
      <c r="J525" s="154">
        <f t="shared" si="15"/>
        <v>0</v>
      </c>
      <c r="K525" s="6">
        <f>'MATCH CALCS'!L526*1</f>
        <v>0</v>
      </c>
      <c r="L525" s="6">
        <f>'MATCH CALCS'!$N526*2</f>
        <v>0</v>
      </c>
      <c r="M525" s="6">
        <f>'MATCH CALCS'!N526*1</f>
        <v>0</v>
      </c>
      <c r="N525" s="6">
        <f>'MATCH CALCS'!$N526*2</f>
        <v>0</v>
      </c>
      <c r="O525" s="6">
        <f>'MATCH CALCS'!$N526*2</f>
        <v>0</v>
      </c>
      <c r="P525" s="6">
        <f>'MATCH CALCS'!$P526*5</f>
        <v>0</v>
      </c>
      <c r="Q525" s="154">
        <f t="shared" si="16"/>
        <v>0</v>
      </c>
      <c r="R525" s="6">
        <f>'MATCH CALCS'!$AD526*1</f>
        <v>0</v>
      </c>
      <c r="S525" s="6">
        <f>'MATCH CALCS'!AC526*3</f>
        <v>0</v>
      </c>
      <c r="T525" s="6">
        <f>'MATCH CALCS'!AD526*3</f>
        <v>0</v>
      </c>
      <c r="U525" s="155">
        <f t="shared" si="17"/>
        <v>0</v>
      </c>
      <c r="V525" s="154">
        <f t="shared" si="18"/>
        <v>0</v>
      </c>
    </row>
    <row r="526" spans="1:22">
      <c r="A526" s="154">
        <f>'MATCH CALCS'!A527</f>
        <v>0</v>
      </c>
      <c r="B526" s="154">
        <f>'MATCH CALCS'!$C527</f>
        <v>0</v>
      </c>
      <c r="C526" s="154">
        <f t="shared" si="14"/>
        <v>0</v>
      </c>
      <c r="D526" s="6">
        <f>'MATCH CALCS'!$G527*2</f>
        <v>0</v>
      </c>
      <c r="E526" s="6">
        <f>'MATCH CALCS'!$G527*2</f>
        <v>0</v>
      </c>
      <c r="F526" s="6">
        <f>'MATCH CALCS'!$G527*2</f>
        <v>0</v>
      </c>
      <c r="G526" s="6">
        <f>'MATCH CALCS'!$G527*2</f>
        <v>0</v>
      </c>
      <c r="H526" s="6">
        <f>'MATCH CALCS'!$G527*2</f>
        <v>0</v>
      </c>
      <c r="I526" s="6">
        <f>'MATCH CALCS'!$G527*2</f>
        <v>0</v>
      </c>
      <c r="J526" s="154">
        <f t="shared" si="15"/>
        <v>0</v>
      </c>
      <c r="K526" s="6">
        <f>'MATCH CALCS'!L527*1</f>
        <v>0</v>
      </c>
      <c r="L526" s="6">
        <f>'MATCH CALCS'!$N527*2</f>
        <v>0</v>
      </c>
      <c r="M526" s="6">
        <f>'MATCH CALCS'!N527*1</f>
        <v>0</v>
      </c>
      <c r="N526" s="6">
        <f>'MATCH CALCS'!$N527*2</f>
        <v>0</v>
      </c>
      <c r="O526" s="6">
        <f>'MATCH CALCS'!$N527*2</f>
        <v>0</v>
      </c>
      <c r="P526" s="6">
        <f>'MATCH CALCS'!$P527*5</f>
        <v>0</v>
      </c>
      <c r="Q526" s="154">
        <f t="shared" si="16"/>
        <v>0</v>
      </c>
      <c r="R526" s="6">
        <f>'MATCH CALCS'!$AD527*1</f>
        <v>0</v>
      </c>
      <c r="S526" s="6">
        <f>'MATCH CALCS'!AC527*3</f>
        <v>0</v>
      </c>
      <c r="T526" s="6">
        <f>'MATCH CALCS'!AD527*3</f>
        <v>0</v>
      </c>
      <c r="U526" s="155">
        <f t="shared" si="17"/>
        <v>0</v>
      </c>
      <c r="V526" s="154">
        <f t="shared" si="18"/>
        <v>0</v>
      </c>
    </row>
    <row r="527" spans="1:22">
      <c r="A527" s="154">
        <f>'MATCH CALCS'!A528</f>
        <v>0</v>
      </c>
      <c r="B527" s="154">
        <f>'MATCH CALCS'!$C528</f>
        <v>0</v>
      </c>
      <c r="C527" s="154">
        <f t="shared" si="14"/>
        <v>0</v>
      </c>
      <c r="D527" s="6">
        <f>'MATCH CALCS'!$G528*2</f>
        <v>0</v>
      </c>
      <c r="E527" s="6">
        <f>'MATCH CALCS'!$G528*2</f>
        <v>0</v>
      </c>
      <c r="F527" s="6">
        <f>'MATCH CALCS'!$G528*2</f>
        <v>0</v>
      </c>
      <c r="G527" s="6">
        <f>'MATCH CALCS'!$G528*2</f>
        <v>0</v>
      </c>
      <c r="H527" s="6">
        <f>'MATCH CALCS'!$G528*2</f>
        <v>0</v>
      </c>
      <c r="I527" s="6">
        <f>'MATCH CALCS'!$G528*2</f>
        <v>0</v>
      </c>
      <c r="J527" s="154">
        <f t="shared" si="15"/>
        <v>0</v>
      </c>
      <c r="K527" s="6">
        <f>'MATCH CALCS'!L528*1</f>
        <v>0</v>
      </c>
      <c r="L527" s="6">
        <f>'MATCH CALCS'!$N528*2</f>
        <v>0</v>
      </c>
      <c r="M527" s="6">
        <f>'MATCH CALCS'!N528*1</f>
        <v>0</v>
      </c>
      <c r="N527" s="6">
        <f>'MATCH CALCS'!$N528*2</f>
        <v>0</v>
      </c>
      <c r="O527" s="6">
        <f>'MATCH CALCS'!$N528*2</f>
        <v>0</v>
      </c>
      <c r="P527" s="6">
        <f>'MATCH CALCS'!$P528*5</f>
        <v>0</v>
      </c>
      <c r="Q527" s="154">
        <f t="shared" si="16"/>
        <v>0</v>
      </c>
      <c r="R527" s="6">
        <f>'MATCH CALCS'!$AD528*1</f>
        <v>0</v>
      </c>
      <c r="S527" s="6">
        <f>'MATCH CALCS'!AC528*3</f>
        <v>0</v>
      </c>
      <c r="T527" s="6">
        <f>'MATCH CALCS'!AD528*3</f>
        <v>0</v>
      </c>
      <c r="U527" s="155">
        <f t="shared" si="17"/>
        <v>0</v>
      </c>
      <c r="V527" s="154">
        <f t="shared" si="18"/>
        <v>0</v>
      </c>
    </row>
    <row r="528" spans="1:22">
      <c r="A528" s="154">
        <f>'MATCH CALCS'!A529</f>
        <v>0</v>
      </c>
      <c r="B528" s="154">
        <f>'MATCH CALCS'!$C529</f>
        <v>0</v>
      </c>
      <c r="C528" s="154">
        <f t="shared" si="14"/>
        <v>0</v>
      </c>
      <c r="D528" s="6">
        <f>'MATCH CALCS'!$G529*2</f>
        <v>0</v>
      </c>
      <c r="E528" s="6">
        <f>'MATCH CALCS'!$G529*2</f>
        <v>0</v>
      </c>
      <c r="F528" s="6">
        <f>'MATCH CALCS'!$G529*2</f>
        <v>0</v>
      </c>
      <c r="G528" s="6">
        <f>'MATCH CALCS'!$G529*2</f>
        <v>0</v>
      </c>
      <c r="H528" s="6">
        <f>'MATCH CALCS'!$G529*2</f>
        <v>0</v>
      </c>
      <c r="I528" s="6">
        <f>'MATCH CALCS'!$G529*2</f>
        <v>0</v>
      </c>
      <c r="J528" s="154">
        <f t="shared" si="15"/>
        <v>0</v>
      </c>
      <c r="K528" s="6">
        <f>'MATCH CALCS'!L529*1</f>
        <v>0</v>
      </c>
      <c r="L528" s="6">
        <f>'MATCH CALCS'!$N529*2</f>
        <v>0</v>
      </c>
      <c r="M528" s="6">
        <f>'MATCH CALCS'!N529*1</f>
        <v>0</v>
      </c>
      <c r="N528" s="6">
        <f>'MATCH CALCS'!$N529*2</f>
        <v>0</v>
      </c>
      <c r="O528" s="6">
        <f>'MATCH CALCS'!$N529*2</f>
        <v>0</v>
      </c>
      <c r="P528" s="6">
        <f>'MATCH CALCS'!$P529*5</f>
        <v>0</v>
      </c>
      <c r="Q528" s="154">
        <f t="shared" si="16"/>
        <v>0</v>
      </c>
      <c r="R528" s="6">
        <f>'MATCH CALCS'!$AD529*1</f>
        <v>0</v>
      </c>
      <c r="S528" s="6">
        <f>'MATCH CALCS'!AC529*3</f>
        <v>0</v>
      </c>
      <c r="T528" s="6">
        <f>'MATCH CALCS'!AD529*3</f>
        <v>0</v>
      </c>
      <c r="U528" s="155">
        <f t="shared" si="17"/>
        <v>0</v>
      </c>
      <c r="V528" s="154">
        <f t="shared" si="18"/>
        <v>0</v>
      </c>
    </row>
    <row r="529" spans="1:22">
      <c r="A529" s="154">
        <f>'MATCH CALCS'!A530</f>
        <v>0</v>
      </c>
      <c r="B529" s="154">
        <f>'MATCH CALCS'!$C530</f>
        <v>0</v>
      </c>
      <c r="C529" s="154">
        <f t="shared" si="14"/>
        <v>0</v>
      </c>
      <c r="D529" s="6">
        <f>'MATCH CALCS'!$G530*2</f>
        <v>0</v>
      </c>
      <c r="E529" s="6">
        <f>'MATCH CALCS'!$G530*2</f>
        <v>0</v>
      </c>
      <c r="F529" s="6">
        <f>'MATCH CALCS'!$G530*2</f>
        <v>0</v>
      </c>
      <c r="G529" s="6">
        <f>'MATCH CALCS'!$G530*2</f>
        <v>0</v>
      </c>
      <c r="H529" s="6">
        <f>'MATCH CALCS'!$G530*2</f>
        <v>0</v>
      </c>
      <c r="I529" s="6">
        <f>'MATCH CALCS'!$G530*2</f>
        <v>0</v>
      </c>
      <c r="J529" s="154">
        <f t="shared" si="15"/>
        <v>0</v>
      </c>
      <c r="K529" s="6">
        <f>'MATCH CALCS'!L530*1</f>
        <v>0</v>
      </c>
      <c r="L529" s="6">
        <f>'MATCH CALCS'!$N530*2</f>
        <v>0</v>
      </c>
      <c r="M529" s="6">
        <f>'MATCH CALCS'!N530*1</f>
        <v>0</v>
      </c>
      <c r="N529" s="6">
        <f>'MATCH CALCS'!$N530*2</f>
        <v>0</v>
      </c>
      <c r="O529" s="6">
        <f>'MATCH CALCS'!$N530*2</f>
        <v>0</v>
      </c>
      <c r="P529" s="6">
        <f>'MATCH CALCS'!$P530*5</f>
        <v>0</v>
      </c>
      <c r="Q529" s="154">
        <f t="shared" si="16"/>
        <v>0</v>
      </c>
      <c r="R529" s="6">
        <f>'MATCH CALCS'!$AD530*1</f>
        <v>0</v>
      </c>
      <c r="S529" s="6">
        <f>'MATCH CALCS'!AC530*3</f>
        <v>0</v>
      </c>
      <c r="T529" s="6">
        <f>'MATCH CALCS'!AD530*3</f>
        <v>0</v>
      </c>
      <c r="U529" s="155">
        <f t="shared" si="17"/>
        <v>0</v>
      </c>
      <c r="V529" s="154">
        <f t="shared" si="18"/>
        <v>0</v>
      </c>
    </row>
    <row r="530" spans="1:22">
      <c r="A530" s="154">
        <f>'MATCH CALCS'!A531</f>
        <v>0</v>
      </c>
      <c r="B530" s="154">
        <f>'MATCH CALCS'!$C531</f>
        <v>0</v>
      </c>
      <c r="C530" s="154">
        <f t="shared" si="14"/>
        <v>0</v>
      </c>
      <c r="D530" s="6">
        <f>'MATCH CALCS'!$G531*2</f>
        <v>0</v>
      </c>
      <c r="E530" s="6">
        <f>'MATCH CALCS'!$G531*2</f>
        <v>0</v>
      </c>
      <c r="F530" s="6">
        <f>'MATCH CALCS'!$G531*2</f>
        <v>0</v>
      </c>
      <c r="G530" s="6">
        <f>'MATCH CALCS'!$G531*2</f>
        <v>0</v>
      </c>
      <c r="H530" s="6">
        <f>'MATCH CALCS'!$G531*2</f>
        <v>0</v>
      </c>
      <c r="I530" s="6">
        <f>'MATCH CALCS'!$G531*2</f>
        <v>0</v>
      </c>
      <c r="J530" s="154">
        <f t="shared" si="15"/>
        <v>0</v>
      </c>
      <c r="K530" s="6">
        <f>'MATCH CALCS'!L531*1</f>
        <v>0</v>
      </c>
      <c r="L530" s="6">
        <f>'MATCH CALCS'!$N531*2</f>
        <v>0</v>
      </c>
      <c r="M530" s="6">
        <f>'MATCH CALCS'!N531*1</f>
        <v>0</v>
      </c>
      <c r="N530" s="6">
        <f>'MATCH CALCS'!$N531*2</f>
        <v>0</v>
      </c>
      <c r="O530" s="6">
        <f>'MATCH CALCS'!$N531*2</f>
        <v>0</v>
      </c>
      <c r="P530" s="6">
        <f>'MATCH CALCS'!$P531*5</f>
        <v>0</v>
      </c>
      <c r="Q530" s="154">
        <f t="shared" si="16"/>
        <v>0</v>
      </c>
      <c r="R530" s="6">
        <f>'MATCH CALCS'!$AD531*1</f>
        <v>0</v>
      </c>
      <c r="S530" s="6">
        <f>'MATCH CALCS'!AC531*3</f>
        <v>0</v>
      </c>
      <c r="T530" s="6">
        <f>'MATCH CALCS'!AD531*3</f>
        <v>0</v>
      </c>
      <c r="U530" s="155">
        <f t="shared" si="17"/>
        <v>0</v>
      </c>
      <c r="V530" s="154">
        <f t="shared" si="18"/>
        <v>0</v>
      </c>
    </row>
    <row r="531" spans="1:22">
      <c r="A531" s="154">
        <f>'MATCH CALCS'!A532</f>
        <v>0</v>
      </c>
      <c r="B531" s="154">
        <f>'MATCH CALCS'!$C532</f>
        <v>0</v>
      </c>
      <c r="C531" s="154">
        <f t="shared" si="14"/>
        <v>0</v>
      </c>
      <c r="D531" s="6">
        <f>'MATCH CALCS'!$G532*2</f>
        <v>0</v>
      </c>
      <c r="E531" s="6">
        <f>'MATCH CALCS'!$G532*2</f>
        <v>0</v>
      </c>
      <c r="F531" s="6">
        <f>'MATCH CALCS'!$G532*2</f>
        <v>0</v>
      </c>
      <c r="G531" s="6">
        <f>'MATCH CALCS'!$G532*2</f>
        <v>0</v>
      </c>
      <c r="H531" s="6">
        <f>'MATCH CALCS'!$G532*2</f>
        <v>0</v>
      </c>
      <c r="I531" s="6">
        <f>'MATCH CALCS'!$G532*2</f>
        <v>0</v>
      </c>
      <c r="J531" s="154">
        <f t="shared" si="15"/>
        <v>0</v>
      </c>
      <c r="K531" s="6">
        <f>'MATCH CALCS'!L532*1</f>
        <v>0</v>
      </c>
      <c r="L531" s="6">
        <f>'MATCH CALCS'!$N532*2</f>
        <v>0</v>
      </c>
      <c r="M531" s="6">
        <f>'MATCH CALCS'!N532*1</f>
        <v>0</v>
      </c>
      <c r="N531" s="6">
        <f>'MATCH CALCS'!$N532*2</f>
        <v>0</v>
      </c>
      <c r="O531" s="6">
        <f>'MATCH CALCS'!$N532*2</f>
        <v>0</v>
      </c>
      <c r="P531" s="6">
        <f>'MATCH CALCS'!$P532*5</f>
        <v>0</v>
      </c>
      <c r="Q531" s="154">
        <f t="shared" si="16"/>
        <v>0</v>
      </c>
      <c r="R531" s="6">
        <f>'MATCH CALCS'!$AD532*1</f>
        <v>0</v>
      </c>
      <c r="S531" s="6">
        <f>'MATCH CALCS'!AC532*3</f>
        <v>0</v>
      </c>
      <c r="T531" s="6">
        <f>'MATCH CALCS'!AD532*3</f>
        <v>0</v>
      </c>
      <c r="U531" s="155">
        <f t="shared" si="17"/>
        <v>0</v>
      </c>
      <c r="V531" s="154">
        <f t="shared" si="18"/>
        <v>0</v>
      </c>
    </row>
    <row r="532" spans="1:22">
      <c r="A532" s="154">
        <f>'MATCH CALCS'!A533</f>
        <v>0</v>
      </c>
      <c r="B532" s="154">
        <f>'MATCH CALCS'!$C533</f>
        <v>0</v>
      </c>
      <c r="C532" s="154">
        <f t="shared" si="14"/>
        <v>0</v>
      </c>
      <c r="D532" s="6">
        <f>'MATCH CALCS'!$G533*2</f>
        <v>0</v>
      </c>
      <c r="E532" s="6">
        <f>'MATCH CALCS'!$G533*2</f>
        <v>0</v>
      </c>
      <c r="F532" s="6">
        <f>'MATCH CALCS'!$G533*2</f>
        <v>0</v>
      </c>
      <c r="G532" s="6">
        <f>'MATCH CALCS'!$G533*2</f>
        <v>0</v>
      </c>
      <c r="H532" s="6">
        <f>'MATCH CALCS'!$G533*2</f>
        <v>0</v>
      </c>
      <c r="I532" s="6">
        <f>'MATCH CALCS'!$G533*2</f>
        <v>0</v>
      </c>
      <c r="J532" s="154">
        <f t="shared" si="15"/>
        <v>0</v>
      </c>
      <c r="K532" s="6">
        <f>'MATCH CALCS'!L533*1</f>
        <v>0</v>
      </c>
      <c r="L532" s="6">
        <f>'MATCH CALCS'!$N533*2</f>
        <v>0</v>
      </c>
      <c r="M532" s="6">
        <f>'MATCH CALCS'!N533*1</f>
        <v>0</v>
      </c>
      <c r="N532" s="6">
        <f>'MATCH CALCS'!$N533*2</f>
        <v>0</v>
      </c>
      <c r="O532" s="6">
        <f>'MATCH CALCS'!$N533*2</f>
        <v>0</v>
      </c>
      <c r="P532" s="6">
        <f>'MATCH CALCS'!$P533*5</f>
        <v>0</v>
      </c>
      <c r="Q532" s="154">
        <f t="shared" si="16"/>
        <v>0</v>
      </c>
      <c r="R532" s="6">
        <f>'MATCH CALCS'!$AD533*1</f>
        <v>0</v>
      </c>
      <c r="S532" s="6">
        <f>'MATCH CALCS'!AC533*3</f>
        <v>0</v>
      </c>
      <c r="T532" s="6">
        <f>'MATCH CALCS'!AD533*3</f>
        <v>0</v>
      </c>
      <c r="U532" s="155">
        <f t="shared" si="17"/>
        <v>0</v>
      </c>
      <c r="V532" s="154">
        <f t="shared" si="18"/>
        <v>0</v>
      </c>
    </row>
    <row r="533" spans="1:22">
      <c r="A533" s="154">
        <f>'MATCH CALCS'!A534</f>
        <v>0</v>
      </c>
      <c r="B533" s="154">
        <f>'MATCH CALCS'!$C534</f>
        <v>0</v>
      </c>
      <c r="C533" s="154">
        <f t="shared" si="14"/>
        <v>0</v>
      </c>
      <c r="D533" s="6">
        <f>'MATCH CALCS'!$G534*2</f>
        <v>0</v>
      </c>
      <c r="E533" s="6">
        <f>'MATCH CALCS'!$G534*2</f>
        <v>0</v>
      </c>
      <c r="F533" s="6">
        <f>'MATCH CALCS'!$G534*2</f>
        <v>0</v>
      </c>
      <c r="G533" s="6">
        <f>'MATCH CALCS'!$G534*2</f>
        <v>0</v>
      </c>
      <c r="H533" s="6">
        <f>'MATCH CALCS'!$G534*2</f>
        <v>0</v>
      </c>
      <c r="I533" s="6">
        <f>'MATCH CALCS'!$G534*2</f>
        <v>0</v>
      </c>
      <c r="J533" s="154">
        <f t="shared" si="15"/>
        <v>0</v>
      </c>
      <c r="K533" s="6">
        <f>'MATCH CALCS'!L534*1</f>
        <v>0</v>
      </c>
      <c r="L533" s="6">
        <f>'MATCH CALCS'!$N534*2</f>
        <v>0</v>
      </c>
      <c r="M533" s="6">
        <f>'MATCH CALCS'!N534*1</f>
        <v>0</v>
      </c>
      <c r="N533" s="6">
        <f>'MATCH CALCS'!$N534*2</f>
        <v>0</v>
      </c>
      <c r="O533" s="6">
        <f>'MATCH CALCS'!$N534*2</f>
        <v>0</v>
      </c>
      <c r="P533" s="6">
        <f>'MATCH CALCS'!$P534*5</f>
        <v>0</v>
      </c>
      <c r="Q533" s="154">
        <f t="shared" si="16"/>
        <v>0</v>
      </c>
      <c r="R533" s="6">
        <f>'MATCH CALCS'!$AD534*1</f>
        <v>0</v>
      </c>
      <c r="S533" s="6">
        <f>'MATCH CALCS'!AC534*3</f>
        <v>0</v>
      </c>
      <c r="T533" s="6">
        <f>'MATCH CALCS'!AD534*3</f>
        <v>0</v>
      </c>
      <c r="U533" s="155">
        <f t="shared" si="17"/>
        <v>0</v>
      </c>
      <c r="V533" s="154">
        <f t="shared" si="18"/>
        <v>0</v>
      </c>
    </row>
    <row r="534" spans="1:22">
      <c r="A534" s="154">
        <f>'MATCH CALCS'!A535</f>
        <v>0</v>
      </c>
      <c r="B534" s="154">
        <f>'MATCH CALCS'!$C535</f>
        <v>0</v>
      </c>
      <c r="C534" s="154">
        <f t="shared" si="14"/>
        <v>0</v>
      </c>
      <c r="D534" s="6">
        <f>'MATCH CALCS'!$G535*2</f>
        <v>0</v>
      </c>
      <c r="E534" s="6">
        <f>'MATCH CALCS'!$G535*2</f>
        <v>0</v>
      </c>
      <c r="F534" s="6">
        <f>'MATCH CALCS'!$G535*2</f>
        <v>0</v>
      </c>
      <c r="G534" s="6">
        <f>'MATCH CALCS'!$G535*2</f>
        <v>0</v>
      </c>
      <c r="H534" s="6">
        <f>'MATCH CALCS'!$G535*2</f>
        <v>0</v>
      </c>
      <c r="I534" s="6">
        <f>'MATCH CALCS'!$G535*2</f>
        <v>0</v>
      </c>
      <c r="J534" s="154">
        <f t="shared" si="15"/>
        <v>0</v>
      </c>
      <c r="K534" s="6">
        <f>'MATCH CALCS'!L535*1</f>
        <v>0</v>
      </c>
      <c r="L534" s="6">
        <f>'MATCH CALCS'!$N535*2</f>
        <v>0</v>
      </c>
      <c r="M534" s="6">
        <f>'MATCH CALCS'!N535*1</f>
        <v>0</v>
      </c>
      <c r="N534" s="6">
        <f>'MATCH CALCS'!$N535*2</f>
        <v>0</v>
      </c>
      <c r="O534" s="6">
        <f>'MATCH CALCS'!$N535*2</f>
        <v>0</v>
      </c>
      <c r="P534" s="6">
        <f>'MATCH CALCS'!$P535*5</f>
        <v>0</v>
      </c>
      <c r="Q534" s="154">
        <f t="shared" si="16"/>
        <v>0</v>
      </c>
      <c r="R534" s="6">
        <f>'MATCH CALCS'!$AD535*1</f>
        <v>0</v>
      </c>
      <c r="S534" s="6">
        <f>'MATCH CALCS'!AC535*3</f>
        <v>0</v>
      </c>
      <c r="T534" s="6">
        <f>'MATCH CALCS'!AD535*3</f>
        <v>0</v>
      </c>
      <c r="U534" s="155">
        <f t="shared" si="17"/>
        <v>0</v>
      </c>
      <c r="V534" s="154">
        <f t="shared" si="18"/>
        <v>0</v>
      </c>
    </row>
    <row r="535" spans="1:22">
      <c r="A535" s="154">
        <f>'MATCH CALCS'!A536</f>
        <v>0</v>
      </c>
      <c r="B535" s="154">
        <f>'MATCH CALCS'!$C536</f>
        <v>0</v>
      </c>
      <c r="C535" s="154">
        <f t="shared" si="14"/>
        <v>0</v>
      </c>
      <c r="D535" s="6">
        <f>'MATCH CALCS'!$G536*2</f>
        <v>0</v>
      </c>
      <c r="E535" s="6">
        <f>'MATCH CALCS'!$G536*2</f>
        <v>0</v>
      </c>
      <c r="F535" s="6">
        <f>'MATCH CALCS'!$G536*2</f>
        <v>0</v>
      </c>
      <c r="G535" s="6">
        <f>'MATCH CALCS'!$G536*2</f>
        <v>0</v>
      </c>
      <c r="H535" s="6">
        <f>'MATCH CALCS'!$G536*2</f>
        <v>0</v>
      </c>
      <c r="I535" s="6">
        <f>'MATCH CALCS'!$G536*2</f>
        <v>0</v>
      </c>
      <c r="J535" s="154">
        <f t="shared" si="15"/>
        <v>0</v>
      </c>
      <c r="K535" s="6">
        <f>'MATCH CALCS'!L536*1</f>
        <v>0</v>
      </c>
      <c r="L535" s="6">
        <f>'MATCH CALCS'!$N536*2</f>
        <v>0</v>
      </c>
      <c r="M535" s="6">
        <f>'MATCH CALCS'!N536*1</f>
        <v>0</v>
      </c>
      <c r="N535" s="6">
        <f>'MATCH CALCS'!$N536*2</f>
        <v>0</v>
      </c>
      <c r="O535" s="6">
        <f>'MATCH CALCS'!$N536*2</f>
        <v>0</v>
      </c>
      <c r="P535" s="6">
        <f>'MATCH CALCS'!$P536*5</f>
        <v>0</v>
      </c>
      <c r="Q535" s="154">
        <f t="shared" si="16"/>
        <v>0</v>
      </c>
      <c r="R535" s="6">
        <f>'MATCH CALCS'!$AD536*1</f>
        <v>0</v>
      </c>
      <c r="S535" s="6">
        <f>'MATCH CALCS'!AC536*3</f>
        <v>0</v>
      </c>
      <c r="T535" s="6">
        <f>'MATCH CALCS'!AD536*3</f>
        <v>0</v>
      </c>
      <c r="U535" s="155">
        <f t="shared" si="17"/>
        <v>0</v>
      </c>
      <c r="V535" s="154">
        <f t="shared" si="18"/>
        <v>0</v>
      </c>
    </row>
    <row r="536" spans="1:22">
      <c r="A536" s="154">
        <f>'MATCH CALCS'!A537</f>
        <v>0</v>
      </c>
      <c r="B536" s="154">
        <f>'MATCH CALCS'!$C537</f>
        <v>0</v>
      </c>
      <c r="C536" s="154">
        <f t="shared" si="14"/>
        <v>0</v>
      </c>
      <c r="D536" s="6">
        <f>'MATCH CALCS'!$G537*2</f>
        <v>0</v>
      </c>
      <c r="E536" s="6">
        <f>'MATCH CALCS'!$G537*2</f>
        <v>0</v>
      </c>
      <c r="F536" s="6">
        <f>'MATCH CALCS'!$G537*2</f>
        <v>0</v>
      </c>
      <c r="G536" s="6">
        <f>'MATCH CALCS'!$G537*2</f>
        <v>0</v>
      </c>
      <c r="H536" s="6">
        <f>'MATCH CALCS'!$G537*2</f>
        <v>0</v>
      </c>
      <c r="I536" s="6">
        <f>'MATCH CALCS'!$G537*2</f>
        <v>0</v>
      </c>
      <c r="J536" s="154">
        <f t="shared" si="15"/>
        <v>0</v>
      </c>
      <c r="K536" s="6">
        <f>'MATCH CALCS'!L537*1</f>
        <v>0</v>
      </c>
      <c r="L536" s="6">
        <f>'MATCH CALCS'!$N537*2</f>
        <v>0</v>
      </c>
      <c r="M536" s="6">
        <f>'MATCH CALCS'!N537*1</f>
        <v>0</v>
      </c>
      <c r="N536" s="6">
        <f>'MATCH CALCS'!$N537*2</f>
        <v>0</v>
      </c>
      <c r="O536" s="6">
        <f>'MATCH CALCS'!$N537*2</f>
        <v>0</v>
      </c>
      <c r="P536" s="6">
        <f>'MATCH CALCS'!$P537*5</f>
        <v>0</v>
      </c>
      <c r="Q536" s="154">
        <f t="shared" si="16"/>
        <v>0</v>
      </c>
      <c r="R536" s="6">
        <f>'MATCH CALCS'!$AD537*1</f>
        <v>0</v>
      </c>
      <c r="S536" s="6">
        <f>'MATCH CALCS'!AC537*3</f>
        <v>0</v>
      </c>
      <c r="T536" s="6">
        <f>'MATCH CALCS'!AD537*3</f>
        <v>0</v>
      </c>
      <c r="U536" s="155">
        <f t="shared" si="17"/>
        <v>0</v>
      </c>
      <c r="V536" s="154">
        <f t="shared" si="18"/>
        <v>0</v>
      </c>
    </row>
    <row r="537" spans="1:22">
      <c r="A537" s="154">
        <f>'MATCH CALCS'!A538</f>
        <v>0</v>
      </c>
      <c r="B537" s="154">
        <f>'MATCH CALCS'!$C538</f>
        <v>0</v>
      </c>
      <c r="C537" s="154">
        <f t="shared" si="14"/>
        <v>0</v>
      </c>
      <c r="D537" s="6">
        <f>'MATCH CALCS'!$G538*2</f>
        <v>0</v>
      </c>
      <c r="E537" s="6">
        <f>'MATCH CALCS'!$G538*2</f>
        <v>0</v>
      </c>
      <c r="F537" s="6">
        <f>'MATCH CALCS'!$G538*2</f>
        <v>0</v>
      </c>
      <c r="G537" s="6">
        <f>'MATCH CALCS'!$G538*2</f>
        <v>0</v>
      </c>
      <c r="H537" s="6">
        <f>'MATCH CALCS'!$G538*2</f>
        <v>0</v>
      </c>
      <c r="I537" s="6">
        <f>'MATCH CALCS'!$G538*2</f>
        <v>0</v>
      </c>
      <c r="J537" s="154">
        <f t="shared" si="15"/>
        <v>0</v>
      </c>
      <c r="K537" s="6">
        <f>'MATCH CALCS'!L538*1</f>
        <v>0</v>
      </c>
      <c r="L537" s="6">
        <f>'MATCH CALCS'!$N538*2</f>
        <v>0</v>
      </c>
      <c r="M537" s="6">
        <f>'MATCH CALCS'!N538*1</f>
        <v>0</v>
      </c>
      <c r="N537" s="6">
        <f>'MATCH CALCS'!$N538*2</f>
        <v>0</v>
      </c>
      <c r="O537" s="6">
        <f>'MATCH CALCS'!$N538*2</f>
        <v>0</v>
      </c>
      <c r="P537" s="6">
        <f>'MATCH CALCS'!$P538*5</f>
        <v>0</v>
      </c>
      <c r="Q537" s="154">
        <f t="shared" si="16"/>
        <v>0</v>
      </c>
      <c r="R537" s="6">
        <f>'MATCH CALCS'!$AD538*1</f>
        <v>0</v>
      </c>
      <c r="S537" s="6">
        <f>'MATCH CALCS'!AC538*3</f>
        <v>0</v>
      </c>
      <c r="T537" s="6">
        <f>'MATCH CALCS'!AD538*3</f>
        <v>0</v>
      </c>
      <c r="U537" s="155">
        <f t="shared" si="17"/>
        <v>0</v>
      </c>
      <c r="V537" s="154">
        <f t="shared" si="18"/>
        <v>0</v>
      </c>
    </row>
    <row r="538" spans="1:22">
      <c r="A538" s="154">
        <f>'MATCH CALCS'!A539</f>
        <v>0</v>
      </c>
      <c r="B538" s="154">
        <f>'MATCH CALCS'!$C539</f>
        <v>0</v>
      </c>
      <c r="C538" s="154">
        <f t="shared" si="14"/>
        <v>0</v>
      </c>
      <c r="D538" s="6">
        <f>'MATCH CALCS'!$G539*2</f>
        <v>0</v>
      </c>
      <c r="E538" s="6">
        <f>'MATCH CALCS'!$G539*2</f>
        <v>0</v>
      </c>
      <c r="F538" s="6">
        <f>'MATCH CALCS'!$G539*2</f>
        <v>0</v>
      </c>
      <c r="G538" s="6">
        <f>'MATCH CALCS'!$G539*2</f>
        <v>0</v>
      </c>
      <c r="H538" s="6">
        <f>'MATCH CALCS'!$G539*2</f>
        <v>0</v>
      </c>
      <c r="I538" s="6">
        <f>'MATCH CALCS'!$G539*2</f>
        <v>0</v>
      </c>
      <c r="J538" s="154">
        <f t="shared" si="15"/>
        <v>0</v>
      </c>
      <c r="K538" s="6">
        <f>'MATCH CALCS'!L539*1</f>
        <v>0</v>
      </c>
      <c r="L538" s="6">
        <f>'MATCH CALCS'!$N539*2</f>
        <v>0</v>
      </c>
      <c r="M538" s="6">
        <f>'MATCH CALCS'!N539*1</f>
        <v>0</v>
      </c>
      <c r="N538" s="6">
        <f>'MATCH CALCS'!$N539*2</f>
        <v>0</v>
      </c>
      <c r="O538" s="6">
        <f>'MATCH CALCS'!$N539*2</f>
        <v>0</v>
      </c>
      <c r="P538" s="6">
        <f>'MATCH CALCS'!$P539*5</f>
        <v>0</v>
      </c>
      <c r="Q538" s="154">
        <f t="shared" si="16"/>
        <v>0</v>
      </c>
      <c r="R538" s="6">
        <f>'MATCH CALCS'!$AD539*1</f>
        <v>0</v>
      </c>
      <c r="S538" s="6">
        <f>'MATCH CALCS'!AC539*3</f>
        <v>0</v>
      </c>
      <c r="T538" s="6">
        <f>'MATCH CALCS'!AD539*3</f>
        <v>0</v>
      </c>
      <c r="U538" s="155">
        <f t="shared" si="17"/>
        <v>0</v>
      </c>
      <c r="V538" s="154">
        <f t="shared" si="18"/>
        <v>0</v>
      </c>
    </row>
    <row r="539" spans="1:22">
      <c r="A539" s="154">
        <f>'MATCH CALCS'!A540</f>
        <v>0</v>
      </c>
      <c r="B539" s="154">
        <f>'MATCH CALCS'!$C540</f>
        <v>0</v>
      </c>
      <c r="C539" s="154">
        <f t="shared" si="14"/>
        <v>0</v>
      </c>
      <c r="D539" s="6">
        <f>'MATCH CALCS'!$G540*2</f>
        <v>0</v>
      </c>
      <c r="E539" s="6">
        <f>'MATCH CALCS'!$G540*2</f>
        <v>0</v>
      </c>
      <c r="F539" s="6">
        <f>'MATCH CALCS'!$G540*2</f>
        <v>0</v>
      </c>
      <c r="G539" s="6">
        <f>'MATCH CALCS'!$G540*2</f>
        <v>0</v>
      </c>
      <c r="H539" s="6">
        <f>'MATCH CALCS'!$G540*2</f>
        <v>0</v>
      </c>
      <c r="I539" s="6">
        <f>'MATCH CALCS'!$G540*2</f>
        <v>0</v>
      </c>
      <c r="J539" s="154">
        <f t="shared" si="15"/>
        <v>0</v>
      </c>
      <c r="K539" s="6">
        <f>'MATCH CALCS'!L540*1</f>
        <v>0</v>
      </c>
      <c r="L539" s="6">
        <f>'MATCH CALCS'!$N540*2</f>
        <v>0</v>
      </c>
      <c r="M539" s="6">
        <f>'MATCH CALCS'!N540*1</f>
        <v>0</v>
      </c>
      <c r="N539" s="6">
        <f>'MATCH CALCS'!$N540*2</f>
        <v>0</v>
      </c>
      <c r="O539" s="6">
        <f>'MATCH CALCS'!$N540*2</f>
        <v>0</v>
      </c>
      <c r="P539" s="6">
        <f>'MATCH CALCS'!$P540*5</f>
        <v>0</v>
      </c>
      <c r="Q539" s="154">
        <f t="shared" si="16"/>
        <v>0</v>
      </c>
      <c r="R539" s="6">
        <f>'MATCH CALCS'!$AD540*1</f>
        <v>0</v>
      </c>
      <c r="S539" s="6">
        <f>'MATCH CALCS'!AC540*3</f>
        <v>0</v>
      </c>
      <c r="T539" s="6">
        <f>'MATCH CALCS'!AD540*3</f>
        <v>0</v>
      </c>
      <c r="U539" s="155">
        <f t="shared" si="17"/>
        <v>0</v>
      </c>
      <c r="V539" s="154">
        <f t="shared" si="18"/>
        <v>0</v>
      </c>
    </row>
    <row r="540" spans="1:22">
      <c r="A540" s="154">
        <f>'MATCH CALCS'!A541</f>
        <v>0</v>
      </c>
      <c r="B540" s="154">
        <f>'MATCH CALCS'!$C541</f>
        <v>0</v>
      </c>
      <c r="C540" s="154">
        <f t="shared" si="14"/>
        <v>0</v>
      </c>
      <c r="D540" s="6">
        <f>'MATCH CALCS'!$G541*2</f>
        <v>0</v>
      </c>
      <c r="E540" s="6">
        <f>'MATCH CALCS'!$G541*2</f>
        <v>0</v>
      </c>
      <c r="F540" s="6">
        <f>'MATCH CALCS'!$G541*2</f>
        <v>0</v>
      </c>
      <c r="G540" s="6">
        <f>'MATCH CALCS'!$G541*2</f>
        <v>0</v>
      </c>
      <c r="H540" s="6">
        <f>'MATCH CALCS'!$G541*2</f>
        <v>0</v>
      </c>
      <c r="I540" s="6">
        <f>'MATCH CALCS'!$G541*2</f>
        <v>0</v>
      </c>
      <c r="J540" s="154">
        <f t="shared" si="15"/>
        <v>0</v>
      </c>
      <c r="K540" s="6">
        <f>'MATCH CALCS'!L541*1</f>
        <v>0</v>
      </c>
      <c r="L540" s="6">
        <f>'MATCH CALCS'!$N541*2</f>
        <v>0</v>
      </c>
      <c r="M540" s="6">
        <f>'MATCH CALCS'!N541*1</f>
        <v>0</v>
      </c>
      <c r="N540" s="6">
        <f>'MATCH CALCS'!$N541*2</f>
        <v>0</v>
      </c>
      <c r="O540" s="6">
        <f>'MATCH CALCS'!$N541*2</f>
        <v>0</v>
      </c>
      <c r="P540" s="6">
        <f>'MATCH CALCS'!$P541*5</f>
        <v>0</v>
      </c>
      <c r="Q540" s="154">
        <f t="shared" si="16"/>
        <v>0</v>
      </c>
      <c r="R540" s="6">
        <f>'MATCH CALCS'!$AD541*1</f>
        <v>0</v>
      </c>
      <c r="S540" s="6">
        <f>'MATCH CALCS'!AC541*3</f>
        <v>0</v>
      </c>
      <c r="T540" s="6">
        <f>'MATCH CALCS'!AD541*3</f>
        <v>0</v>
      </c>
      <c r="U540" s="155">
        <f t="shared" si="17"/>
        <v>0</v>
      </c>
      <c r="V540" s="154">
        <f t="shared" si="18"/>
        <v>0</v>
      </c>
    </row>
    <row r="541" spans="1:22">
      <c r="A541" s="154">
        <f>'MATCH CALCS'!A542</f>
        <v>0</v>
      </c>
      <c r="B541" s="154">
        <f>'MATCH CALCS'!$C542</f>
        <v>0</v>
      </c>
      <c r="C541" s="154">
        <f t="shared" si="14"/>
        <v>0</v>
      </c>
      <c r="D541" s="6">
        <f>'MATCH CALCS'!$G542*2</f>
        <v>0</v>
      </c>
      <c r="E541" s="6">
        <f>'MATCH CALCS'!$G542*2</f>
        <v>0</v>
      </c>
      <c r="F541" s="6">
        <f>'MATCH CALCS'!$G542*2</f>
        <v>0</v>
      </c>
      <c r="G541" s="6">
        <f>'MATCH CALCS'!$G542*2</f>
        <v>0</v>
      </c>
      <c r="H541" s="6">
        <f>'MATCH CALCS'!$G542*2</f>
        <v>0</v>
      </c>
      <c r="I541" s="6">
        <f>'MATCH CALCS'!$G542*2</f>
        <v>0</v>
      </c>
      <c r="J541" s="154">
        <f t="shared" si="15"/>
        <v>0</v>
      </c>
      <c r="K541" s="6">
        <f>'MATCH CALCS'!L542*1</f>
        <v>0</v>
      </c>
      <c r="L541" s="6">
        <f>'MATCH CALCS'!$N542*2</f>
        <v>0</v>
      </c>
      <c r="M541" s="6">
        <f>'MATCH CALCS'!N542*1</f>
        <v>0</v>
      </c>
      <c r="N541" s="6">
        <f>'MATCH CALCS'!$N542*2</f>
        <v>0</v>
      </c>
      <c r="O541" s="6">
        <f>'MATCH CALCS'!$N542*2</f>
        <v>0</v>
      </c>
      <c r="P541" s="6">
        <f>'MATCH CALCS'!$P542*5</f>
        <v>0</v>
      </c>
      <c r="Q541" s="154">
        <f t="shared" si="16"/>
        <v>0</v>
      </c>
      <c r="R541" s="6">
        <f>'MATCH CALCS'!$AD542*1</f>
        <v>0</v>
      </c>
      <c r="S541" s="6">
        <f>'MATCH CALCS'!AC542*3</f>
        <v>0</v>
      </c>
      <c r="T541" s="6">
        <f>'MATCH CALCS'!AD542*3</f>
        <v>0</v>
      </c>
      <c r="U541" s="155">
        <f t="shared" si="17"/>
        <v>0</v>
      </c>
      <c r="V541" s="154">
        <f t="shared" si="18"/>
        <v>0</v>
      </c>
    </row>
    <row r="542" spans="1:22">
      <c r="A542" s="154">
        <f>'MATCH CALCS'!A543</f>
        <v>0</v>
      </c>
      <c r="B542" s="154">
        <f>'MATCH CALCS'!$C543</f>
        <v>0</v>
      </c>
      <c r="C542" s="154">
        <f t="shared" si="14"/>
        <v>0</v>
      </c>
      <c r="D542" s="6">
        <f>'MATCH CALCS'!$G543*2</f>
        <v>0</v>
      </c>
      <c r="E542" s="6">
        <f>'MATCH CALCS'!$G543*2</f>
        <v>0</v>
      </c>
      <c r="F542" s="6">
        <f>'MATCH CALCS'!$G543*2</f>
        <v>0</v>
      </c>
      <c r="G542" s="6">
        <f>'MATCH CALCS'!$G543*2</f>
        <v>0</v>
      </c>
      <c r="H542" s="6">
        <f>'MATCH CALCS'!$G543*2</f>
        <v>0</v>
      </c>
      <c r="I542" s="6">
        <f>'MATCH CALCS'!$G543*2</f>
        <v>0</v>
      </c>
      <c r="J542" s="154">
        <f t="shared" si="15"/>
        <v>0</v>
      </c>
      <c r="K542" s="6">
        <f>'MATCH CALCS'!L543*1</f>
        <v>0</v>
      </c>
      <c r="L542" s="6">
        <f>'MATCH CALCS'!$N543*2</f>
        <v>0</v>
      </c>
      <c r="M542" s="6">
        <f>'MATCH CALCS'!N543*1</f>
        <v>0</v>
      </c>
      <c r="N542" s="6">
        <f>'MATCH CALCS'!$N543*2</f>
        <v>0</v>
      </c>
      <c r="O542" s="6">
        <f>'MATCH CALCS'!$N543*2</f>
        <v>0</v>
      </c>
      <c r="P542" s="6">
        <f>'MATCH CALCS'!$P543*5</f>
        <v>0</v>
      </c>
      <c r="Q542" s="154">
        <f t="shared" si="16"/>
        <v>0</v>
      </c>
      <c r="R542" s="6">
        <f>'MATCH CALCS'!$AD543*1</f>
        <v>0</v>
      </c>
      <c r="S542" s="6">
        <f>'MATCH CALCS'!AC543*3</f>
        <v>0</v>
      </c>
      <c r="T542" s="6">
        <f>'MATCH CALCS'!AD543*3</f>
        <v>0</v>
      </c>
      <c r="U542" s="155">
        <f t="shared" si="17"/>
        <v>0</v>
      </c>
      <c r="V542" s="154">
        <f t="shared" si="18"/>
        <v>0</v>
      </c>
    </row>
    <row r="543" spans="1:22">
      <c r="A543" s="154">
        <f>'MATCH CALCS'!A544</f>
        <v>0</v>
      </c>
      <c r="B543" s="154">
        <f>'MATCH CALCS'!$C544</f>
        <v>0</v>
      </c>
      <c r="C543" s="154">
        <f t="shared" si="14"/>
        <v>0</v>
      </c>
      <c r="D543" s="6">
        <f>'MATCH CALCS'!$G544*2</f>
        <v>0</v>
      </c>
      <c r="E543" s="6">
        <f>'MATCH CALCS'!$G544*2</f>
        <v>0</v>
      </c>
      <c r="F543" s="6">
        <f>'MATCH CALCS'!$G544*2</f>
        <v>0</v>
      </c>
      <c r="G543" s="6">
        <f>'MATCH CALCS'!$G544*2</f>
        <v>0</v>
      </c>
      <c r="H543" s="6">
        <f>'MATCH CALCS'!$G544*2</f>
        <v>0</v>
      </c>
      <c r="I543" s="6">
        <f>'MATCH CALCS'!$G544*2</f>
        <v>0</v>
      </c>
      <c r="J543" s="154">
        <f t="shared" si="15"/>
        <v>0</v>
      </c>
      <c r="K543" s="6">
        <f>'MATCH CALCS'!L544*1</f>
        <v>0</v>
      </c>
      <c r="L543" s="6">
        <f>'MATCH CALCS'!$N544*2</f>
        <v>0</v>
      </c>
      <c r="M543" s="6">
        <f>'MATCH CALCS'!N544*1</f>
        <v>0</v>
      </c>
      <c r="N543" s="6">
        <f>'MATCH CALCS'!$N544*2</f>
        <v>0</v>
      </c>
      <c r="O543" s="6">
        <f>'MATCH CALCS'!$N544*2</f>
        <v>0</v>
      </c>
      <c r="P543" s="6">
        <f>'MATCH CALCS'!$P544*5</f>
        <v>0</v>
      </c>
      <c r="Q543" s="154">
        <f t="shared" si="16"/>
        <v>0</v>
      </c>
      <c r="R543" s="6">
        <f>'MATCH CALCS'!$AD544*1</f>
        <v>0</v>
      </c>
      <c r="S543" s="6">
        <f>'MATCH CALCS'!AC544*3</f>
        <v>0</v>
      </c>
      <c r="T543" s="6">
        <f>'MATCH CALCS'!AD544*3</f>
        <v>0</v>
      </c>
      <c r="U543" s="155">
        <f t="shared" si="17"/>
        <v>0</v>
      </c>
      <c r="V543" s="154">
        <f t="shared" si="18"/>
        <v>0</v>
      </c>
    </row>
    <row r="544" spans="1:22">
      <c r="A544" s="154">
        <f>'MATCH CALCS'!A545</f>
        <v>0</v>
      </c>
      <c r="B544" s="154">
        <f>'MATCH CALCS'!$C545</f>
        <v>0</v>
      </c>
      <c r="C544" s="154">
        <f t="shared" si="14"/>
        <v>0</v>
      </c>
      <c r="D544" s="6">
        <f>'MATCH CALCS'!$G545*2</f>
        <v>0</v>
      </c>
      <c r="E544" s="6">
        <f>'MATCH CALCS'!$G545*2</f>
        <v>0</v>
      </c>
      <c r="F544" s="6">
        <f>'MATCH CALCS'!$G545*2</f>
        <v>0</v>
      </c>
      <c r="G544" s="6">
        <f>'MATCH CALCS'!$G545*2</f>
        <v>0</v>
      </c>
      <c r="H544" s="6">
        <f>'MATCH CALCS'!$G545*2</f>
        <v>0</v>
      </c>
      <c r="I544" s="6">
        <f>'MATCH CALCS'!$G545*2</f>
        <v>0</v>
      </c>
      <c r="J544" s="154">
        <f t="shared" si="15"/>
        <v>0</v>
      </c>
      <c r="K544" s="6">
        <f>'MATCH CALCS'!L545*1</f>
        <v>0</v>
      </c>
      <c r="L544" s="6">
        <f>'MATCH CALCS'!$N545*2</f>
        <v>0</v>
      </c>
      <c r="M544" s="6">
        <f>'MATCH CALCS'!N545*1</f>
        <v>0</v>
      </c>
      <c r="N544" s="6">
        <f>'MATCH CALCS'!$N545*2</f>
        <v>0</v>
      </c>
      <c r="O544" s="6">
        <f>'MATCH CALCS'!$N545*2</f>
        <v>0</v>
      </c>
      <c r="P544" s="6">
        <f>'MATCH CALCS'!$P545*5</f>
        <v>0</v>
      </c>
      <c r="Q544" s="154">
        <f t="shared" si="16"/>
        <v>0</v>
      </c>
      <c r="R544" s="6">
        <f>'MATCH CALCS'!$AD545*1</f>
        <v>0</v>
      </c>
      <c r="S544" s="6">
        <f>'MATCH CALCS'!AC545*3</f>
        <v>0</v>
      </c>
      <c r="T544" s="6">
        <f>'MATCH CALCS'!AD545*3</f>
        <v>0</v>
      </c>
      <c r="U544" s="155">
        <f t="shared" si="17"/>
        <v>0</v>
      </c>
      <c r="V544" s="154">
        <f t="shared" si="18"/>
        <v>0</v>
      </c>
    </row>
    <row r="545" spans="1:22">
      <c r="A545" s="154">
        <f>'MATCH CALCS'!A546</f>
        <v>0</v>
      </c>
      <c r="B545" s="154">
        <f>'MATCH CALCS'!$C546</f>
        <v>0</v>
      </c>
      <c r="C545" s="154">
        <f t="shared" si="14"/>
        <v>0</v>
      </c>
      <c r="D545" s="6">
        <f>'MATCH CALCS'!$G546*2</f>
        <v>0</v>
      </c>
      <c r="E545" s="6">
        <f>'MATCH CALCS'!$G546*2</f>
        <v>0</v>
      </c>
      <c r="F545" s="6">
        <f>'MATCH CALCS'!$G546*2</f>
        <v>0</v>
      </c>
      <c r="G545" s="6">
        <f>'MATCH CALCS'!$G546*2</f>
        <v>0</v>
      </c>
      <c r="H545" s="6">
        <f>'MATCH CALCS'!$G546*2</f>
        <v>0</v>
      </c>
      <c r="I545" s="6">
        <f>'MATCH CALCS'!$G546*2</f>
        <v>0</v>
      </c>
      <c r="J545" s="154">
        <f t="shared" si="15"/>
        <v>0</v>
      </c>
      <c r="K545" s="6">
        <f>'MATCH CALCS'!L546*1</f>
        <v>0</v>
      </c>
      <c r="L545" s="6">
        <f>'MATCH CALCS'!$N546*2</f>
        <v>0</v>
      </c>
      <c r="M545" s="6">
        <f>'MATCH CALCS'!N546*1</f>
        <v>0</v>
      </c>
      <c r="N545" s="6">
        <f>'MATCH CALCS'!$N546*2</f>
        <v>0</v>
      </c>
      <c r="O545" s="6">
        <f>'MATCH CALCS'!$N546*2</f>
        <v>0</v>
      </c>
      <c r="P545" s="6">
        <f>'MATCH CALCS'!$P546*5</f>
        <v>0</v>
      </c>
      <c r="Q545" s="154">
        <f t="shared" si="16"/>
        <v>0</v>
      </c>
      <c r="R545" s="6">
        <f>'MATCH CALCS'!$AD546*1</f>
        <v>0</v>
      </c>
      <c r="S545" s="6">
        <f>'MATCH CALCS'!AC546*3</f>
        <v>0</v>
      </c>
      <c r="T545" s="6">
        <f>'MATCH CALCS'!AD546*3</f>
        <v>0</v>
      </c>
      <c r="U545" s="155">
        <f t="shared" si="17"/>
        <v>0</v>
      </c>
      <c r="V545" s="154">
        <f t="shared" si="18"/>
        <v>0</v>
      </c>
    </row>
    <row r="546" spans="1:22">
      <c r="A546" s="154">
        <f>'MATCH CALCS'!A547</f>
        <v>0</v>
      </c>
      <c r="B546" s="154">
        <f>'MATCH CALCS'!$C547</f>
        <v>0</v>
      </c>
      <c r="C546" s="154">
        <f t="shared" si="14"/>
        <v>0</v>
      </c>
      <c r="D546" s="6">
        <f>'MATCH CALCS'!$G547*2</f>
        <v>0</v>
      </c>
      <c r="E546" s="6">
        <f>'MATCH CALCS'!$G547*2</f>
        <v>0</v>
      </c>
      <c r="F546" s="6">
        <f>'MATCH CALCS'!$G547*2</f>
        <v>0</v>
      </c>
      <c r="G546" s="6">
        <f>'MATCH CALCS'!$G547*2</f>
        <v>0</v>
      </c>
      <c r="H546" s="6">
        <f>'MATCH CALCS'!$G547*2</f>
        <v>0</v>
      </c>
      <c r="I546" s="6">
        <f>'MATCH CALCS'!$G547*2</f>
        <v>0</v>
      </c>
      <c r="J546" s="154">
        <f t="shared" si="15"/>
        <v>0</v>
      </c>
      <c r="K546" s="6">
        <f>'MATCH CALCS'!L547*1</f>
        <v>0</v>
      </c>
      <c r="L546" s="6">
        <f>'MATCH CALCS'!$N547*2</f>
        <v>0</v>
      </c>
      <c r="M546" s="6">
        <f>'MATCH CALCS'!N547*1</f>
        <v>0</v>
      </c>
      <c r="N546" s="6">
        <f>'MATCH CALCS'!$N547*2</f>
        <v>0</v>
      </c>
      <c r="O546" s="6">
        <f>'MATCH CALCS'!$N547*2</f>
        <v>0</v>
      </c>
      <c r="P546" s="6">
        <f>'MATCH CALCS'!$P547*5</f>
        <v>0</v>
      </c>
      <c r="Q546" s="154">
        <f t="shared" si="16"/>
        <v>0</v>
      </c>
      <c r="R546" s="6">
        <f>'MATCH CALCS'!$AD547*1</f>
        <v>0</v>
      </c>
      <c r="S546" s="6">
        <f>'MATCH CALCS'!AC547*3</f>
        <v>0</v>
      </c>
      <c r="T546" s="6">
        <f>'MATCH CALCS'!AD547*3</f>
        <v>0</v>
      </c>
      <c r="U546" s="155">
        <f t="shared" si="17"/>
        <v>0</v>
      </c>
      <c r="V546" s="154">
        <f t="shared" si="18"/>
        <v>0</v>
      </c>
    </row>
    <row r="547" spans="1:22">
      <c r="A547" s="154">
        <f>'MATCH CALCS'!A548</f>
        <v>0</v>
      </c>
      <c r="B547" s="154">
        <f>'MATCH CALCS'!$C548</f>
        <v>0</v>
      </c>
      <c r="C547" s="154">
        <f t="shared" si="14"/>
        <v>0</v>
      </c>
      <c r="D547" s="6">
        <f>'MATCH CALCS'!$G548*2</f>
        <v>0</v>
      </c>
      <c r="E547" s="6">
        <f>'MATCH CALCS'!$G548*2</f>
        <v>0</v>
      </c>
      <c r="F547" s="6">
        <f>'MATCH CALCS'!$G548*2</f>
        <v>0</v>
      </c>
      <c r="G547" s="6">
        <f>'MATCH CALCS'!$G548*2</f>
        <v>0</v>
      </c>
      <c r="H547" s="6">
        <f>'MATCH CALCS'!$G548*2</f>
        <v>0</v>
      </c>
      <c r="I547" s="6">
        <f>'MATCH CALCS'!$G548*2</f>
        <v>0</v>
      </c>
      <c r="J547" s="154">
        <f t="shared" si="15"/>
        <v>0</v>
      </c>
      <c r="K547" s="6">
        <f>'MATCH CALCS'!L548*1</f>
        <v>0</v>
      </c>
      <c r="L547" s="6">
        <f>'MATCH CALCS'!$N548*2</f>
        <v>0</v>
      </c>
      <c r="M547" s="6">
        <f>'MATCH CALCS'!N548*1</f>
        <v>0</v>
      </c>
      <c r="N547" s="6">
        <f>'MATCH CALCS'!$N548*2</f>
        <v>0</v>
      </c>
      <c r="O547" s="6">
        <f>'MATCH CALCS'!$N548*2</f>
        <v>0</v>
      </c>
      <c r="P547" s="6">
        <f>'MATCH CALCS'!$P548*5</f>
        <v>0</v>
      </c>
      <c r="Q547" s="154">
        <f t="shared" si="16"/>
        <v>0</v>
      </c>
      <c r="R547" s="6">
        <f>'MATCH CALCS'!$AD548*1</f>
        <v>0</v>
      </c>
      <c r="S547" s="6">
        <f>'MATCH CALCS'!AC548*3</f>
        <v>0</v>
      </c>
      <c r="T547" s="6">
        <f>'MATCH CALCS'!AD548*3</f>
        <v>0</v>
      </c>
      <c r="U547" s="155">
        <f t="shared" si="17"/>
        <v>0</v>
      </c>
      <c r="V547" s="154">
        <f t="shared" si="18"/>
        <v>0</v>
      </c>
    </row>
    <row r="548" spans="1:22">
      <c r="A548" s="154">
        <f>'MATCH CALCS'!A549</f>
        <v>0</v>
      </c>
      <c r="B548" s="154">
        <f>'MATCH CALCS'!$C549</f>
        <v>0</v>
      </c>
      <c r="C548" s="154">
        <f t="shared" si="14"/>
        <v>0</v>
      </c>
      <c r="D548" s="6">
        <f>'MATCH CALCS'!$G549*2</f>
        <v>0</v>
      </c>
      <c r="E548" s="6">
        <f>'MATCH CALCS'!$G549*2</f>
        <v>0</v>
      </c>
      <c r="F548" s="6">
        <f>'MATCH CALCS'!$G549*2</f>
        <v>0</v>
      </c>
      <c r="G548" s="6">
        <f>'MATCH CALCS'!$G549*2</f>
        <v>0</v>
      </c>
      <c r="H548" s="6">
        <f>'MATCH CALCS'!$G549*2</f>
        <v>0</v>
      </c>
      <c r="I548" s="6">
        <f>'MATCH CALCS'!$G549*2</f>
        <v>0</v>
      </c>
      <c r="J548" s="154">
        <f t="shared" si="15"/>
        <v>0</v>
      </c>
      <c r="K548" s="6">
        <f>'MATCH CALCS'!L549*1</f>
        <v>0</v>
      </c>
      <c r="L548" s="6">
        <f>'MATCH CALCS'!$N549*2</f>
        <v>0</v>
      </c>
      <c r="M548" s="6">
        <f>'MATCH CALCS'!N549*1</f>
        <v>0</v>
      </c>
      <c r="N548" s="6">
        <f>'MATCH CALCS'!$N549*2</f>
        <v>0</v>
      </c>
      <c r="O548" s="6">
        <f>'MATCH CALCS'!$N549*2</f>
        <v>0</v>
      </c>
      <c r="P548" s="6">
        <f>'MATCH CALCS'!$P549*5</f>
        <v>0</v>
      </c>
      <c r="Q548" s="154">
        <f t="shared" si="16"/>
        <v>0</v>
      </c>
      <c r="R548" s="6">
        <f>'MATCH CALCS'!$AD549*1</f>
        <v>0</v>
      </c>
      <c r="S548" s="6">
        <f>'MATCH CALCS'!AC549*3</f>
        <v>0</v>
      </c>
      <c r="T548" s="6">
        <f>'MATCH CALCS'!AD549*3</f>
        <v>0</v>
      </c>
      <c r="U548" s="155">
        <f t="shared" si="17"/>
        <v>0</v>
      </c>
      <c r="V548" s="154">
        <f t="shared" si="18"/>
        <v>0</v>
      </c>
    </row>
    <row r="549" spans="1:22">
      <c r="A549" s="154">
        <f>'MATCH CALCS'!A550</f>
        <v>0</v>
      </c>
      <c r="B549" s="154">
        <f>'MATCH CALCS'!$C550</f>
        <v>0</v>
      </c>
      <c r="C549" s="154">
        <f t="shared" si="14"/>
        <v>0</v>
      </c>
      <c r="D549" s="6">
        <f>'MATCH CALCS'!$G550*2</f>
        <v>0</v>
      </c>
      <c r="E549" s="6">
        <f>'MATCH CALCS'!$G550*2</f>
        <v>0</v>
      </c>
      <c r="F549" s="6">
        <f>'MATCH CALCS'!$G550*2</f>
        <v>0</v>
      </c>
      <c r="G549" s="6">
        <f>'MATCH CALCS'!$G550*2</f>
        <v>0</v>
      </c>
      <c r="H549" s="6">
        <f>'MATCH CALCS'!$G550*2</f>
        <v>0</v>
      </c>
      <c r="I549" s="6">
        <f>'MATCH CALCS'!$G550*2</f>
        <v>0</v>
      </c>
      <c r="J549" s="154">
        <f t="shared" si="15"/>
        <v>0</v>
      </c>
      <c r="K549" s="6">
        <f>'MATCH CALCS'!L550*1</f>
        <v>0</v>
      </c>
      <c r="L549" s="6">
        <f>'MATCH CALCS'!$N550*2</f>
        <v>0</v>
      </c>
      <c r="M549" s="6">
        <f>'MATCH CALCS'!N550*1</f>
        <v>0</v>
      </c>
      <c r="N549" s="6">
        <f>'MATCH CALCS'!$N550*2</f>
        <v>0</v>
      </c>
      <c r="O549" s="6">
        <f>'MATCH CALCS'!$N550*2</f>
        <v>0</v>
      </c>
      <c r="P549" s="6">
        <f>'MATCH CALCS'!$P550*5</f>
        <v>0</v>
      </c>
      <c r="Q549" s="154">
        <f t="shared" si="16"/>
        <v>0</v>
      </c>
      <c r="R549" s="6">
        <f>'MATCH CALCS'!$AD550*1</f>
        <v>0</v>
      </c>
      <c r="S549" s="6">
        <f>'MATCH CALCS'!AC550*3</f>
        <v>0</v>
      </c>
      <c r="T549" s="6">
        <f>'MATCH CALCS'!AD550*3</f>
        <v>0</v>
      </c>
      <c r="U549" s="155">
        <f t="shared" si="17"/>
        <v>0</v>
      </c>
      <c r="V549" s="154">
        <f t="shared" si="18"/>
        <v>0</v>
      </c>
    </row>
    <row r="550" spans="1:22">
      <c r="A550" s="154">
        <f>'MATCH CALCS'!A551</f>
        <v>0</v>
      </c>
      <c r="B550" s="154">
        <f>'MATCH CALCS'!$C551</f>
        <v>0</v>
      </c>
      <c r="C550" s="154">
        <f t="shared" si="14"/>
        <v>0</v>
      </c>
      <c r="D550" s="6">
        <f>'MATCH CALCS'!$G551*2</f>
        <v>0</v>
      </c>
      <c r="E550" s="6">
        <f>'MATCH CALCS'!$G551*2</f>
        <v>0</v>
      </c>
      <c r="F550" s="6">
        <f>'MATCH CALCS'!$G551*2</f>
        <v>0</v>
      </c>
      <c r="G550" s="6">
        <f>'MATCH CALCS'!$G551*2</f>
        <v>0</v>
      </c>
      <c r="H550" s="6">
        <f>'MATCH CALCS'!$G551*2</f>
        <v>0</v>
      </c>
      <c r="I550" s="6">
        <f>'MATCH CALCS'!$G551*2</f>
        <v>0</v>
      </c>
      <c r="J550" s="154">
        <f t="shared" si="15"/>
        <v>0</v>
      </c>
      <c r="K550" s="6">
        <f>'MATCH CALCS'!L551*1</f>
        <v>0</v>
      </c>
      <c r="L550" s="6">
        <f>'MATCH CALCS'!$N551*2</f>
        <v>0</v>
      </c>
      <c r="M550" s="6">
        <f>'MATCH CALCS'!N551*1</f>
        <v>0</v>
      </c>
      <c r="N550" s="6">
        <f>'MATCH CALCS'!$N551*2</f>
        <v>0</v>
      </c>
      <c r="O550" s="6">
        <f>'MATCH CALCS'!$N551*2</f>
        <v>0</v>
      </c>
      <c r="P550" s="6">
        <f>'MATCH CALCS'!$P551*5</f>
        <v>0</v>
      </c>
      <c r="Q550" s="154">
        <f t="shared" si="16"/>
        <v>0</v>
      </c>
      <c r="R550" s="6">
        <f>'MATCH CALCS'!$AD551*1</f>
        <v>0</v>
      </c>
      <c r="S550" s="6">
        <f>'MATCH CALCS'!AC551*3</f>
        <v>0</v>
      </c>
      <c r="T550" s="6">
        <f>'MATCH CALCS'!AD551*3</f>
        <v>0</v>
      </c>
      <c r="U550" s="155">
        <f t="shared" si="17"/>
        <v>0</v>
      </c>
      <c r="V550" s="154">
        <f t="shared" si="18"/>
        <v>0</v>
      </c>
    </row>
    <row r="551" spans="1:22">
      <c r="A551" s="154">
        <f>'MATCH CALCS'!A552</f>
        <v>0</v>
      </c>
      <c r="B551" s="154">
        <f>'MATCH CALCS'!$C552</f>
        <v>0</v>
      </c>
      <c r="C551" s="154">
        <f t="shared" si="14"/>
        <v>0</v>
      </c>
      <c r="D551" s="6">
        <f>'MATCH CALCS'!$G552*2</f>
        <v>0</v>
      </c>
      <c r="E551" s="6">
        <f>'MATCH CALCS'!$G552*2</f>
        <v>0</v>
      </c>
      <c r="F551" s="6">
        <f>'MATCH CALCS'!$G552*2</f>
        <v>0</v>
      </c>
      <c r="G551" s="6">
        <f>'MATCH CALCS'!$G552*2</f>
        <v>0</v>
      </c>
      <c r="H551" s="6">
        <f>'MATCH CALCS'!$G552*2</f>
        <v>0</v>
      </c>
      <c r="I551" s="6">
        <f>'MATCH CALCS'!$G552*2</f>
        <v>0</v>
      </c>
      <c r="J551" s="154">
        <f t="shared" si="15"/>
        <v>0</v>
      </c>
      <c r="K551" s="6">
        <f>'MATCH CALCS'!L552*1</f>
        <v>0</v>
      </c>
      <c r="L551" s="6">
        <f>'MATCH CALCS'!$N552*2</f>
        <v>0</v>
      </c>
      <c r="M551" s="6">
        <f>'MATCH CALCS'!N552*1</f>
        <v>0</v>
      </c>
      <c r="N551" s="6">
        <f>'MATCH CALCS'!$N552*2</f>
        <v>0</v>
      </c>
      <c r="O551" s="6">
        <f>'MATCH CALCS'!$N552*2</f>
        <v>0</v>
      </c>
      <c r="P551" s="6">
        <f>'MATCH CALCS'!$P552*5</f>
        <v>0</v>
      </c>
      <c r="Q551" s="154">
        <f t="shared" si="16"/>
        <v>0</v>
      </c>
      <c r="R551" s="6">
        <f>'MATCH CALCS'!$AD552*1</f>
        <v>0</v>
      </c>
      <c r="S551" s="6">
        <f>'MATCH CALCS'!AC552*3</f>
        <v>0</v>
      </c>
      <c r="T551" s="6">
        <f>'MATCH CALCS'!AD552*3</f>
        <v>0</v>
      </c>
      <c r="U551" s="155">
        <f t="shared" si="17"/>
        <v>0</v>
      </c>
      <c r="V551" s="154">
        <f t="shared" si="18"/>
        <v>0</v>
      </c>
    </row>
    <row r="552" spans="1:22">
      <c r="A552" s="154">
        <f>'MATCH CALCS'!A553</f>
        <v>0</v>
      </c>
      <c r="B552" s="154">
        <f>'MATCH CALCS'!$C553</f>
        <v>0</v>
      </c>
      <c r="C552" s="154">
        <f t="shared" si="14"/>
        <v>0</v>
      </c>
      <c r="D552" s="6">
        <f>'MATCH CALCS'!$G553*2</f>
        <v>0</v>
      </c>
      <c r="E552" s="6">
        <f>'MATCH CALCS'!$G553*2</f>
        <v>0</v>
      </c>
      <c r="F552" s="6">
        <f>'MATCH CALCS'!$G553*2</f>
        <v>0</v>
      </c>
      <c r="G552" s="6">
        <f>'MATCH CALCS'!$G553*2</f>
        <v>0</v>
      </c>
      <c r="H552" s="6">
        <f>'MATCH CALCS'!$G553*2</f>
        <v>0</v>
      </c>
      <c r="I552" s="6">
        <f>'MATCH CALCS'!$G553*2</f>
        <v>0</v>
      </c>
      <c r="J552" s="154">
        <f t="shared" si="15"/>
        <v>0</v>
      </c>
      <c r="K552" s="6">
        <f>'MATCH CALCS'!L553*1</f>
        <v>0</v>
      </c>
      <c r="L552" s="6">
        <f>'MATCH CALCS'!$N553*2</f>
        <v>0</v>
      </c>
      <c r="M552" s="6">
        <f>'MATCH CALCS'!N553*1</f>
        <v>0</v>
      </c>
      <c r="N552" s="6">
        <f>'MATCH CALCS'!$N553*2</f>
        <v>0</v>
      </c>
      <c r="O552" s="6">
        <f>'MATCH CALCS'!$N553*2</f>
        <v>0</v>
      </c>
      <c r="P552" s="6">
        <f>'MATCH CALCS'!$P553*5</f>
        <v>0</v>
      </c>
      <c r="Q552" s="154">
        <f t="shared" si="16"/>
        <v>0</v>
      </c>
      <c r="R552" s="6">
        <f>'MATCH CALCS'!$AD553*1</f>
        <v>0</v>
      </c>
      <c r="S552" s="6">
        <f>'MATCH CALCS'!AC553*3</f>
        <v>0</v>
      </c>
      <c r="T552" s="6">
        <f>'MATCH CALCS'!AD553*3</f>
        <v>0</v>
      </c>
      <c r="U552" s="155">
        <f t="shared" si="17"/>
        <v>0</v>
      </c>
      <c r="V552" s="154">
        <f t="shared" si="18"/>
        <v>0</v>
      </c>
    </row>
    <row r="553" spans="1:22">
      <c r="A553" s="154">
        <f>'MATCH CALCS'!A554</f>
        <v>0</v>
      </c>
      <c r="B553" s="154">
        <f>'MATCH CALCS'!$C554</f>
        <v>0</v>
      </c>
      <c r="C553" s="154">
        <f t="shared" si="14"/>
        <v>0</v>
      </c>
      <c r="D553" s="6">
        <f>'MATCH CALCS'!$G554*2</f>
        <v>0</v>
      </c>
      <c r="E553" s="6">
        <f>'MATCH CALCS'!$G554*2</f>
        <v>0</v>
      </c>
      <c r="F553" s="6">
        <f>'MATCH CALCS'!$G554*2</f>
        <v>0</v>
      </c>
      <c r="G553" s="6">
        <f>'MATCH CALCS'!$G554*2</f>
        <v>0</v>
      </c>
      <c r="H553" s="6">
        <f>'MATCH CALCS'!$G554*2</f>
        <v>0</v>
      </c>
      <c r="I553" s="6">
        <f>'MATCH CALCS'!$G554*2</f>
        <v>0</v>
      </c>
      <c r="J553" s="154">
        <f t="shared" si="15"/>
        <v>0</v>
      </c>
      <c r="K553" s="6">
        <f>'MATCH CALCS'!L554*1</f>
        <v>0</v>
      </c>
      <c r="L553" s="6">
        <f>'MATCH CALCS'!$N554*2</f>
        <v>0</v>
      </c>
      <c r="M553" s="6">
        <f>'MATCH CALCS'!N554*1</f>
        <v>0</v>
      </c>
      <c r="N553" s="6">
        <f>'MATCH CALCS'!$N554*2</f>
        <v>0</v>
      </c>
      <c r="O553" s="6">
        <f>'MATCH CALCS'!$N554*2</f>
        <v>0</v>
      </c>
      <c r="P553" s="6">
        <f>'MATCH CALCS'!$P554*5</f>
        <v>0</v>
      </c>
      <c r="Q553" s="154">
        <f t="shared" si="16"/>
        <v>0</v>
      </c>
      <c r="R553" s="6">
        <f>'MATCH CALCS'!$AD554*1</f>
        <v>0</v>
      </c>
      <c r="S553" s="6">
        <f>'MATCH CALCS'!AC554*3</f>
        <v>0</v>
      </c>
      <c r="T553" s="6">
        <f>'MATCH CALCS'!AD554*3</f>
        <v>0</v>
      </c>
      <c r="U553" s="155">
        <f t="shared" si="17"/>
        <v>0</v>
      </c>
      <c r="V553" s="154">
        <f t="shared" si="18"/>
        <v>0</v>
      </c>
    </row>
    <row r="554" spans="1:22">
      <c r="A554" s="154">
        <f>'MATCH CALCS'!A555</f>
        <v>0</v>
      </c>
      <c r="B554" s="154">
        <f>'MATCH CALCS'!$C555</f>
        <v>0</v>
      </c>
      <c r="C554" s="154">
        <f t="shared" si="14"/>
        <v>0</v>
      </c>
      <c r="D554" s="6">
        <f>'MATCH CALCS'!$G555*2</f>
        <v>0</v>
      </c>
      <c r="E554" s="6">
        <f>'MATCH CALCS'!$G555*2</f>
        <v>0</v>
      </c>
      <c r="F554" s="6">
        <f>'MATCH CALCS'!$G555*2</f>
        <v>0</v>
      </c>
      <c r="G554" s="6">
        <f>'MATCH CALCS'!$G555*2</f>
        <v>0</v>
      </c>
      <c r="H554" s="6">
        <f>'MATCH CALCS'!$G555*2</f>
        <v>0</v>
      </c>
      <c r="I554" s="6">
        <f>'MATCH CALCS'!$G555*2</f>
        <v>0</v>
      </c>
      <c r="J554" s="154">
        <f t="shared" si="15"/>
        <v>0</v>
      </c>
      <c r="K554" s="6">
        <f>'MATCH CALCS'!L555*1</f>
        <v>0</v>
      </c>
      <c r="L554" s="6">
        <f>'MATCH CALCS'!$N555*2</f>
        <v>0</v>
      </c>
      <c r="M554" s="6">
        <f>'MATCH CALCS'!N555*1</f>
        <v>0</v>
      </c>
      <c r="N554" s="6">
        <f>'MATCH CALCS'!$N555*2</f>
        <v>0</v>
      </c>
      <c r="O554" s="6">
        <f>'MATCH CALCS'!$N555*2</f>
        <v>0</v>
      </c>
      <c r="P554" s="6">
        <f>'MATCH CALCS'!$P555*5</f>
        <v>0</v>
      </c>
      <c r="Q554" s="154">
        <f t="shared" si="16"/>
        <v>0</v>
      </c>
      <c r="R554" s="6">
        <f>'MATCH CALCS'!$AD555*1</f>
        <v>0</v>
      </c>
      <c r="S554" s="6">
        <f>'MATCH CALCS'!AC555*3</f>
        <v>0</v>
      </c>
      <c r="T554" s="6">
        <f>'MATCH CALCS'!AD555*3</f>
        <v>0</v>
      </c>
      <c r="U554" s="155">
        <f t="shared" si="17"/>
        <v>0</v>
      </c>
      <c r="V554" s="154">
        <f t="shared" si="18"/>
        <v>0</v>
      </c>
    </row>
    <row r="555" spans="1:22">
      <c r="A555" s="154">
        <f>'MATCH CALCS'!A556</f>
        <v>0</v>
      </c>
      <c r="B555" s="154">
        <f>'MATCH CALCS'!$C556</f>
        <v>0</v>
      </c>
      <c r="C555" s="154">
        <f t="shared" si="14"/>
        <v>0</v>
      </c>
      <c r="D555" s="6">
        <f>'MATCH CALCS'!$G556*2</f>
        <v>0</v>
      </c>
      <c r="E555" s="6">
        <f>'MATCH CALCS'!$G556*2</f>
        <v>0</v>
      </c>
      <c r="F555" s="6">
        <f>'MATCH CALCS'!$G556*2</f>
        <v>0</v>
      </c>
      <c r="G555" s="6">
        <f>'MATCH CALCS'!$G556*2</f>
        <v>0</v>
      </c>
      <c r="H555" s="6">
        <f>'MATCH CALCS'!$G556*2</f>
        <v>0</v>
      </c>
      <c r="I555" s="6">
        <f>'MATCH CALCS'!$G556*2</f>
        <v>0</v>
      </c>
      <c r="J555" s="154">
        <f t="shared" si="15"/>
        <v>0</v>
      </c>
      <c r="K555" s="6">
        <f>'MATCH CALCS'!L556*1</f>
        <v>0</v>
      </c>
      <c r="L555" s="6">
        <f>'MATCH CALCS'!$N556*2</f>
        <v>0</v>
      </c>
      <c r="M555" s="6">
        <f>'MATCH CALCS'!N556*1</f>
        <v>0</v>
      </c>
      <c r="N555" s="6">
        <f>'MATCH CALCS'!$N556*2</f>
        <v>0</v>
      </c>
      <c r="O555" s="6">
        <f>'MATCH CALCS'!$N556*2</f>
        <v>0</v>
      </c>
      <c r="P555" s="6">
        <f>'MATCH CALCS'!$P556*5</f>
        <v>0</v>
      </c>
      <c r="Q555" s="154">
        <f t="shared" si="16"/>
        <v>0</v>
      </c>
      <c r="R555" s="6">
        <f>'MATCH CALCS'!$AD556*1</f>
        <v>0</v>
      </c>
      <c r="S555" s="6">
        <f>'MATCH CALCS'!AC556*3</f>
        <v>0</v>
      </c>
      <c r="T555" s="6">
        <f>'MATCH CALCS'!AD556*3</f>
        <v>0</v>
      </c>
      <c r="U555" s="155">
        <f t="shared" si="17"/>
        <v>0</v>
      </c>
      <c r="V555" s="154">
        <f t="shared" si="18"/>
        <v>0</v>
      </c>
    </row>
    <row r="556" spans="1:22">
      <c r="A556" s="154">
        <f>'MATCH CALCS'!A557</f>
        <v>0</v>
      </c>
      <c r="B556" s="154">
        <f>'MATCH CALCS'!$C557</f>
        <v>0</v>
      </c>
      <c r="C556" s="154">
        <f t="shared" si="14"/>
        <v>0</v>
      </c>
      <c r="D556" s="6">
        <f>'MATCH CALCS'!$G557*2</f>
        <v>0</v>
      </c>
      <c r="E556" s="6">
        <f>'MATCH CALCS'!$G557*2</f>
        <v>0</v>
      </c>
      <c r="F556" s="6">
        <f>'MATCH CALCS'!$G557*2</f>
        <v>0</v>
      </c>
      <c r="G556" s="6">
        <f>'MATCH CALCS'!$G557*2</f>
        <v>0</v>
      </c>
      <c r="H556" s="6">
        <f>'MATCH CALCS'!$G557*2</f>
        <v>0</v>
      </c>
      <c r="I556" s="6">
        <f>'MATCH CALCS'!$G557*2</f>
        <v>0</v>
      </c>
      <c r="J556" s="154">
        <f t="shared" si="15"/>
        <v>0</v>
      </c>
      <c r="K556" s="6">
        <f>'MATCH CALCS'!L557*1</f>
        <v>0</v>
      </c>
      <c r="L556" s="6">
        <f>'MATCH CALCS'!$N557*2</f>
        <v>0</v>
      </c>
      <c r="M556" s="6">
        <f>'MATCH CALCS'!N557*1</f>
        <v>0</v>
      </c>
      <c r="N556" s="6">
        <f>'MATCH CALCS'!$N557*2</f>
        <v>0</v>
      </c>
      <c r="O556" s="6">
        <f>'MATCH CALCS'!$N557*2</f>
        <v>0</v>
      </c>
      <c r="P556" s="6">
        <f>'MATCH CALCS'!$P557*5</f>
        <v>0</v>
      </c>
      <c r="Q556" s="154">
        <f t="shared" si="16"/>
        <v>0</v>
      </c>
      <c r="R556" s="6">
        <f>'MATCH CALCS'!$AD557*1</f>
        <v>0</v>
      </c>
      <c r="S556" s="6">
        <f>'MATCH CALCS'!AC557*3</f>
        <v>0</v>
      </c>
      <c r="T556" s="6">
        <f>'MATCH CALCS'!AD557*3</f>
        <v>0</v>
      </c>
      <c r="U556" s="155">
        <f t="shared" si="17"/>
        <v>0</v>
      </c>
      <c r="V556" s="154">
        <f t="shared" si="18"/>
        <v>0</v>
      </c>
    </row>
    <row r="557" spans="1:22">
      <c r="A557" s="154">
        <f>'MATCH CALCS'!A558</f>
        <v>0</v>
      </c>
      <c r="B557" s="154">
        <f>'MATCH CALCS'!$C558</f>
        <v>0</v>
      </c>
      <c r="C557" s="154">
        <f t="shared" si="14"/>
        <v>0</v>
      </c>
      <c r="D557" s="6">
        <f>'MATCH CALCS'!$G558*2</f>
        <v>0</v>
      </c>
      <c r="E557" s="6">
        <f>'MATCH CALCS'!$G558*2</f>
        <v>0</v>
      </c>
      <c r="F557" s="6">
        <f>'MATCH CALCS'!$G558*2</f>
        <v>0</v>
      </c>
      <c r="G557" s="6">
        <f>'MATCH CALCS'!$G558*2</f>
        <v>0</v>
      </c>
      <c r="H557" s="6">
        <f>'MATCH CALCS'!$G558*2</f>
        <v>0</v>
      </c>
      <c r="I557" s="6">
        <f>'MATCH CALCS'!$G558*2</f>
        <v>0</v>
      </c>
      <c r="J557" s="154">
        <f t="shared" si="15"/>
        <v>0</v>
      </c>
      <c r="K557" s="6">
        <f>'MATCH CALCS'!L558*1</f>
        <v>0</v>
      </c>
      <c r="L557" s="6">
        <f>'MATCH CALCS'!$N558*2</f>
        <v>0</v>
      </c>
      <c r="M557" s="6">
        <f>'MATCH CALCS'!N558*1</f>
        <v>0</v>
      </c>
      <c r="N557" s="6">
        <f>'MATCH CALCS'!$N558*2</f>
        <v>0</v>
      </c>
      <c r="O557" s="6">
        <f>'MATCH CALCS'!$N558*2</f>
        <v>0</v>
      </c>
      <c r="P557" s="6">
        <f>'MATCH CALCS'!$P558*5</f>
        <v>0</v>
      </c>
      <c r="Q557" s="154">
        <f t="shared" si="16"/>
        <v>0</v>
      </c>
      <c r="R557" s="6">
        <f>'MATCH CALCS'!$AD558*1</f>
        <v>0</v>
      </c>
      <c r="S557" s="6">
        <f>'MATCH CALCS'!AC558*3</f>
        <v>0</v>
      </c>
      <c r="T557" s="6">
        <f>'MATCH CALCS'!AD558*3</f>
        <v>0</v>
      </c>
      <c r="U557" s="155">
        <f t="shared" si="17"/>
        <v>0</v>
      </c>
      <c r="V557" s="154">
        <f t="shared" si="18"/>
        <v>0</v>
      </c>
    </row>
    <row r="558" spans="1:22">
      <c r="A558" s="154">
        <f>'MATCH CALCS'!A559</f>
        <v>0</v>
      </c>
      <c r="B558" s="154">
        <f>'MATCH CALCS'!$C559</f>
        <v>0</v>
      </c>
      <c r="C558" s="154">
        <f t="shared" si="14"/>
        <v>0</v>
      </c>
      <c r="D558" s="6">
        <f>'MATCH CALCS'!$G559*2</f>
        <v>0</v>
      </c>
      <c r="E558" s="6">
        <f>'MATCH CALCS'!$G559*2</f>
        <v>0</v>
      </c>
      <c r="F558" s="6">
        <f>'MATCH CALCS'!$G559*2</f>
        <v>0</v>
      </c>
      <c r="G558" s="6">
        <f>'MATCH CALCS'!$G559*2</f>
        <v>0</v>
      </c>
      <c r="H558" s="6">
        <f>'MATCH CALCS'!$G559*2</f>
        <v>0</v>
      </c>
      <c r="I558" s="6">
        <f>'MATCH CALCS'!$G559*2</f>
        <v>0</v>
      </c>
      <c r="J558" s="154">
        <f t="shared" si="15"/>
        <v>0</v>
      </c>
      <c r="K558" s="6">
        <f>'MATCH CALCS'!L559*1</f>
        <v>0</v>
      </c>
      <c r="L558" s="6">
        <f>'MATCH CALCS'!$N559*2</f>
        <v>0</v>
      </c>
      <c r="M558" s="6">
        <f>'MATCH CALCS'!N559*1</f>
        <v>0</v>
      </c>
      <c r="N558" s="6">
        <f>'MATCH CALCS'!$N559*2</f>
        <v>0</v>
      </c>
      <c r="O558" s="6">
        <f>'MATCH CALCS'!$N559*2</f>
        <v>0</v>
      </c>
      <c r="P558" s="6">
        <f>'MATCH CALCS'!$P559*5</f>
        <v>0</v>
      </c>
      <c r="Q558" s="154">
        <f t="shared" si="16"/>
        <v>0</v>
      </c>
      <c r="R558" s="6">
        <f>'MATCH CALCS'!$AD559*1</f>
        <v>0</v>
      </c>
      <c r="S558" s="6">
        <f>'MATCH CALCS'!AC559*3</f>
        <v>0</v>
      </c>
      <c r="T558" s="6">
        <f>'MATCH CALCS'!AD559*3</f>
        <v>0</v>
      </c>
      <c r="U558" s="155">
        <f t="shared" si="17"/>
        <v>0</v>
      </c>
      <c r="V558" s="154">
        <f t="shared" si="18"/>
        <v>0</v>
      </c>
    </row>
    <row r="559" spans="1:22">
      <c r="A559" s="154">
        <f>'MATCH CALCS'!A560</f>
        <v>0</v>
      </c>
      <c r="B559" s="154">
        <f>'MATCH CALCS'!$C560</f>
        <v>0</v>
      </c>
      <c r="C559" s="154">
        <f t="shared" si="14"/>
        <v>0</v>
      </c>
      <c r="D559" s="6">
        <f>'MATCH CALCS'!$G560*2</f>
        <v>0</v>
      </c>
      <c r="E559" s="6">
        <f>'MATCH CALCS'!$G560*2</f>
        <v>0</v>
      </c>
      <c r="F559" s="6">
        <f>'MATCH CALCS'!$G560*2</f>
        <v>0</v>
      </c>
      <c r="G559" s="6">
        <f>'MATCH CALCS'!$G560*2</f>
        <v>0</v>
      </c>
      <c r="H559" s="6">
        <f>'MATCH CALCS'!$G560*2</f>
        <v>0</v>
      </c>
      <c r="I559" s="6">
        <f>'MATCH CALCS'!$G560*2</f>
        <v>0</v>
      </c>
      <c r="J559" s="154">
        <f t="shared" si="15"/>
        <v>0</v>
      </c>
      <c r="K559" s="6">
        <f>'MATCH CALCS'!L560*1</f>
        <v>0</v>
      </c>
      <c r="L559" s="6">
        <f>'MATCH CALCS'!$N560*2</f>
        <v>0</v>
      </c>
      <c r="M559" s="6">
        <f>'MATCH CALCS'!N560*1</f>
        <v>0</v>
      </c>
      <c r="N559" s="6">
        <f>'MATCH CALCS'!$N560*2</f>
        <v>0</v>
      </c>
      <c r="O559" s="6">
        <f>'MATCH CALCS'!$N560*2</f>
        <v>0</v>
      </c>
      <c r="P559" s="6">
        <f>'MATCH CALCS'!$P560*5</f>
        <v>0</v>
      </c>
      <c r="Q559" s="154">
        <f t="shared" si="16"/>
        <v>0</v>
      </c>
      <c r="R559" s="6">
        <f>'MATCH CALCS'!$AD560*1</f>
        <v>0</v>
      </c>
      <c r="S559" s="6">
        <f>'MATCH CALCS'!AC560*3</f>
        <v>0</v>
      </c>
      <c r="T559" s="6">
        <f>'MATCH CALCS'!AD560*3</f>
        <v>0</v>
      </c>
      <c r="U559" s="155">
        <f t="shared" si="17"/>
        <v>0</v>
      </c>
      <c r="V559" s="154">
        <f t="shared" si="18"/>
        <v>0</v>
      </c>
    </row>
    <row r="560" spans="1:22">
      <c r="A560" s="154">
        <f>'MATCH CALCS'!A561</f>
        <v>0</v>
      </c>
      <c r="B560" s="154">
        <f>'MATCH CALCS'!$C561</f>
        <v>0</v>
      </c>
      <c r="C560" s="154">
        <f t="shared" si="14"/>
        <v>0</v>
      </c>
      <c r="D560" s="6">
        <f>'MATCH CALCS'!$G561*2</f>
        <v>0</v>
      </c>
      <c r="E560" s="6">
        <f>'MATCH CALCS'!$G561*2</f>
        <v>0</v>
      </c>
      <c r="F560" s="6">
        <f>'MATCH CALCS'!$G561*2</f>
        <v>0</v>
      </c>
      <c r="G560" s="6">
        <f>'MATCH CALCS'!$G561*2</f>
        <v>0</v>
      </c>
      <c r="H560" s="6">
        <f>'MATCH CALCS'!$G561*2</f>
        <v>0</v>
      </c>
      <c r="I560" s="6">
        <f>'MATCH CALCS'!$G561*2</f>
        <v>0</v>
      </c>
      <c r="J560" s="154">
        <f t="shared" si="15"/>
        <v>0</v>
      </c>
      <c r="K560" s="6">
        <f>'MATCH CALCS'!L561*1</f>
        <v>0</v>
      </c>
      <c r="L560" s="6">
        <f>'MATCH CALCS'!$N561*2</f>
        <v>0</v>
      </c>
      <c r="M560" s="6">
        <f>'MATCH CALCS'!N561*1</f>
        <v>0</v>
      </c>
      <c r="N560" s="6">
        <f>'MATCH CALCS'!$N561*2</f>
        <v>0</v>
      </c>
      <c r="O560" s="6">
        <f>'MATCH CALCS'!$N561*2</f>
        <v>0</v>
      </c>
      <c r="P560" s="6">
        <f>'MATCH CALCS'!$P561*5</f>
        <v>0</v>
      </c>
      <c r="Q560" s="154">
        <f t="shared" si="16"/>
        <v>0</v>
      </c>
      <c r="R560" s="6">
        <f>'MATCH CALCS'!$AD561*1</f>
        <v>0</v>
      </c>
      <c r="S560" s="6">
        <f>'MATCH CALCS'!AC561*3</f>
        <v>0</v>
      </c>
      <c r="T560" s="6">
        <f>'MATCH CALCS'!AD561*3</f>
        <v>0</v>
      </c>
      <c r="U560" s="155">
        <f t="shared" si="17"/>
        <v>0</v>
      </c>
      <c r="V560" s="154">
        <f t="shared" si="18"/>
        <v>0</v>
      </c>
    </row>
    <row r="561" spans="1:22">
      <c r="A561" s="154">
        <f>'MATCH CALCS'!A562</f>
        <v>0</v>
      </c>
      <c r="B561" s="154">
        <f>'MATCH CALCS'!$C562</f>
        <v>0</v>
      </c>
      <c r="C561" s="154">
        <f t="shared" si="14"/>
        <v>0</v>
      </c>
      <c r="D561" s="6">
        <f>'MATCH CALCS'!$G562*2</f>
        <v>0</v>
      </c>
      <c r="E561" s="6">
        <f>'MATCH CALCS'!$G562*2</f>
        <v>0</v>
      </c>
      <c r="F561" s="6">
        <f>'MATCH CALCS'!$G562*2</f>
        <v>0</v>
      </c>
      <c r="G561" s="6">
        <f>'MATCH CALCS'!$G562*2</f>
        <v>0</v>
      </c>
      <c r="H561" s="6">
        <f>'MATCH CALCS'!$G562*2</f>
        <v>0</v>
      </c>
      <c r="I561" s="6">
        <f>'MATCH CALCS'!$G562*2</f>
        <v>0</v>
      </c>
      <c r="J561" s="154">
        <f t="shared" si="15"/>
        <v>0</v>
      </c>
      <c r="K561" s="6">
        <f>'MATCH CALCS'!L562*1</f>
        <v>0</v>
      </c>
      <c r="L561" s="6">
        <f>'MATCH CALCS'!$N562*2</f>
        <v>0</v>
      </c>
      <c r="M561" s="6">
        <f>'MATCH CALCS'!N562*1</f>
        <v>0</v>
      </c>
      <c r="N561" s="6">
        <f>'MATCH CALCS'!$N562*2</f>
        <v>0</v>
      </c>
      <c r="O561" s="6">
        <f>'MATCH CALCS'!$N562*2</f>
        <v>0</v>
      </c>
      <c r="P561" s="6">
        <f>'MATCH CALCS'!$P562*5</f>
        <v>0</v>
      </c>
      <c r="Q561" s="154">
        <f t="shared" si="16"/>
        <v>0</v>
      </c>
      <c r="R561" s="6">
        <f>'MATCH CALCS'!$AD562*1</f>
        <v>0</v>
      </c>
      <c r="S561" s="6">
        <f>'MATCH CALCS'!AC562*3</f>
        <v>0</v>
      </c>
      <c r="T561" s="6">
        <f>'MATCH CALCS'!AD562*3</f>
        <v>0</v>
      </c>
      <c r="U561" s="155">
        <f t="shared" si="17"/>
        <v>0</v>
      </c>
      <c r="V561" s="154">
        <f t="shared" si="18"/>
        <v>0</v>
      </c>
    </row>
    <row r="562" spans="1:22">
      <c r="A562" s="154">
        <f>'MATCH CALCS'!A563</f>
        <v>0</v>
      </c>
      <c r="B562" s="154">
        <f>'MATCH CALCS'!$C563</f>
        <v>0</v>
      </c>
      <c r="C562" s="154">
        <f t="shared" si="14"/>
        <v>0</v>
      </c>
      <c r="D562" s="6">
        <f>'MATCH CALCS'!$G563*2</f>
        <v>0</v>
      </c>
      <c r="E562" s="6">
        <f>'MATCH CALCS'!$G563*2</f>
        <v>0</v>
      </c>
      <c r="F562" s="6">
        <f>'MATCH CALCS'!$G563*2</f>
        <v>0</v>
      </c>
      <c r="G562" s="6">
        <f>'MATCH CALCS'!$G563*2</f>
        <v>0</v>
      </c>
      <c r="H562" s="6">
        <f>'MATCH CALCS'!$G563*2</f>
        <v>0</v>
      </c>
      <c r="I562" s="6">
        <f>'MATCH CALCS'!$G563*2</f>
        <v>0</v>
      </c>
      <c r="J562" s="154">
        <f t="shared" si="15"/>
        <v>0</v>
      </c>
      <c r="K562" s="6">
        <f>'MATCH CALCS'!L563*1</f>
        <v>0</v>
      </c>
      <c r="L562" s="6">
        <f>'MATCH CALCS'!$N563*2</f>
        <v>0</v>
      </c>
      <c r="M562" s="6">
        <f>'MATCH CALCS'!N563*1</f>
        <v>0</v>
      </c>
      <c r="N562" s="6">
        <f>'MATCH CALCS'!$N563*2</f>
        <v>0</v>
      </c>
      <c r="O562" s="6">
        <f>'MATCH CALCS'!$N563*2</f>
        <v>0</v>
      </c>
      <c r="P562" s="6">
        <f>'MATCH CALCS'!$P563*5</f>
        <v>0</v>
      </c>
      <c r="Q562" s="154">
        <f t="shared" si="16"/>
        <v>0</v>
      </c>
      <c r="R562" s="6">
        <f>'MATCH CALCS'!$AD563*1</f>
        <v>0</v>
      </c>
      <c r="S562" s="6">
        <f>'MATCH CALCS'!AC563*3</f>
        <v>0</v>
      </c>
      <c r="T562" s="6">
        <f>'MATCH CALCS'!AD563*3</f>
        <v>0</v>
      </c>
      <c r="U562" s="155">
        <f t="shared" si="17"/>
        <v>0</v>
      </c>
      <c r="V562" s="154">
        <f t="shared" si="18"/>
        <v>0</v>
      </c>
    </row>
    <row r="563" spans="1:22">
      <c r="A563" s="154">
        <f>'MATCH CALCS'!A564</f>
        <v>0</v>
      </c>
      <c r="B563" s="154">
        <f>'MATCH CALCS'!$C564</f>
        <v>0</v>
      </c>
      <c r="C563" s="154">
        <f t="shared" si="14"/>
        <v>0</v>
      </c>
      <c r="D563" s="6">
        <f>'MATCH CALCS'!$G564*2</f>
        <v>0</v>
      </c>
      <c r="E563" s="6">
        <f>'MATCH CALCS'!$G564*2</f>
        <v>0</v>
      </c>
      <c r="F563" s="6">
        <f>'MATCH CALCS'!$G564*2</f>
        <v>0</v>
      </c>
      <c r="G563" s="6">
        <f>'MATCH CALCS'!$G564*2</f>
        <v>0</v>
      </c>
      <c r="H563" s="6">
        <f>'MATCH CALCS'!$G564*2</f>
        <v>0</v>
      </c>
      <c r="I563" s="6">
        <f>'MATCH CALCS'!$G564*2</f>
        <v>0</v>
      </c>
      <c r="J563" s="154">
        <f t="shared" si="15"/>
        <v>0</v>
      </c>
      <c r="K563" s="6">
        <f>'MATCH CALCS'!L564*1</f>
        <v>0</v>
      </c>
      <c r="L563" s="6">
        <f>'MATCH CALCS'!$N564*2</f>
        <v>0</v>
      </c>
      <c r="M563" s="6">
        <f>'MATCH CALCS'!N564*1</f>
        <v>0</v>
      </c>
      <c r="N563" s="6">
        <f>'MATCH CALCS'!$N564*2</f>
        <v>0</v>
      </c>
      <c r="O563" s="6">
        <f>'MATCH CALCS'!$N564*2</f>
        <v>0</v>
      </c>
      <c r="P563" s="6">
        <f>'MATCH CALCS'!$P564*5</f>
        <v>0</v>
      </c>
      <c r="Q563" s="154">
        <f t="shared" si="16"/>
        <v>0</v>
      </c>
      <c r="R563" s="6">
        <f>'MATCH CALCS'!$AD564*1</f>
        <v>0</v>
      </c>
      <c r="S563" s="6">
        <f>'MATCH CALCS'!AC564*3</f>
        <v>0</v>
      </c>
      <c r="T563" s="6">
        <f>'MATCH CALCS'!AD564*3</f>
        <v>0</v>
      </c>
      <c r="U563" s="155">
        <f t="shared" si="17"/>
        <v>0</v>
      </c>
      <c r="V563" s="154">
        <f t="shared" si="18"/>
        <v>0</v>
      </c>
    </row>
    <row r="564" spans="1:22">
      <c r="A564" s="154">
        <f>'MATCH CALCS'!A565</f>
        <v>0</v>
      </c>
      <c r="B564" s="154">
        <f>'MATCH CALCS'!$C565</f>
        <v>0</v>
      </c>
      <c r="C564" s="154">
        <f t="shared" si="14"/>
        <v>0</v>
      </c>
      <c r="D564" s="6">
        <f>'MATCH CALCS'!$G565*2</f>
        <v>0</v>
      </c>
      <c r="E564" s="6">
        <f>'MATCH CALCS'!$G565*2</f>
        <v>0</v>
      </c>
      <c r="F564" s="6">
        <f>'MATCH CALCS'!$G565*2</f>
        <v>0</v>
      </c>
      <c r="G564" s="6">
        <f>'MATCH CALCS'!$G565*2</f>
        <v>0</v>
      </c>
      <c r="H564" s="6">
        <f>'MATCH CALCS'!$G565*2</f>
        <v>0</v>
      </c>
      <c r="I564" s="6">
        <f>'MATCH CALCS'!$G565*2</f>
        <v>0</v>
      </c>
      <c r="J564" s="154">
        <f t="shared" si="15"/>
        <v>0</v>
      </c>
      <c r="K564" s="6">
        <f>'MATCH CALCS'!L565*1</f>
        <v>0</v>
      </c>
      <c r="L564" s="6">
        <f>'MATCH CALCS'!$N565*2</f>
        <v>0</v>
      </c>
      <c r="M564" s="6">
        <f>'MATCH CALCS'!N565*1</f>
        <v>0</v>
      </c>
      <c r="N564" s="6">
        <f>'MATCH CALCS'!$N565*2</f>
        <v>0</v>
      </c>
      <c r="O564" s="6">
        <f>'MATCH CALCS'!$N565*2</f>
        <v>0</v>
      </c>
      <c r="P564" s="6">
        <f>'MATCH CALCS'!$P565*5</f>
        <v>0</v>
      </c>
      <c r="Q564" s="154">
        <f t="shared" si="16"/>
        <v>0</v>
      </c>
      <c r="R564" s="6">
        <f>'MATCH CALCS'!$AD565*1</f>
        <v>0</v>
      </c>
      <c r="S564" s="6">
        <f>'MATCH CALCS'!AC565*3</f>
        <v>0</v>
      </c>
      <c r="T564" s="6">
        <f>'MATCH CALCS'!AD565*3</f>
        <v>0</v>
      </c>
      <c r="U564" s="155">
        <f t="shared" si="17"/>
        <v>0</v>
      </c>
      <c r="V564" s="154">
        <f t="shared" si="18"/>
        <v>0</v>
      </c>
    </row>
    <row r="565" spans="1:22">
      <c r="A565" s="154">
        <f>'MATCH CALCS'!A566</f>
        <v>0</v>
      </c>
      <c r="B565" s="154">
        <f>'MATCH CALCS'!$C566</f>
        <v>0</v>
      </c>
      <c r="C565" s="154">
        <f t="shared" si="14"/>
        <v>0</v>
      </c>
      <c r="D565" s="6">
        <f>'MATCH CALCS'!$G566*2</f>
        <v>0</v>
      </c>
      <c r="E565" s="6">
        <f>'MATCH CALCS'!$G566*2</f>
        <v>0</v>
      </c>
      <c r="F565" s="6">
        <f>'MATCH CALCS'!$G566*2</f>
        <v>0</v>
      </c>
      <c r="G565" s="6">
        <f>'MATCH CALCS'!$G566*2</f>
        <v>0</v>
      </c>
      <c r="H565" s="6">
        <f>'MATCH CALCS'!$G566*2</f>
        <v>0</v>
      </c>
      <c r="I565" s="6">
        <f>'MATCH CALCS'!$G566*2</f>
        <v>0</v>
      </c>
      <c r="J565" s="154">
        <f t="shared" si="15"/>
        <v>0</v>
      </c>
      <c r="K565" s="6">
        <f>'MATCH CALCS'!L566*1</f>
        <v>0</v>
      </c>
      <c r="L565" s="6">
        <f>'MATCH CALCS'!$N566*2</f>
        <v>0</v>
      </c>
      <c r="M565" s="6">
        <f>'MATCH CALCS'!N566*1</f>
        <v>0</v>
      </c>
      <c r="N565" s="6">
        <f>'MATCH CALCS'!$N566*2</f>
        <v>0</v>
      </c>
      <c r="O565" s="6">
        <f>'MATCH CALCS'!$N566*2</f>
        <v>0</v>
      </c>
      <c r="P565" s="6">
        <f>'MATCH CALCS'!$P566*5</f>
        <v>0</v>
      </c>
      <c r="Q565" s="154">
        <f t="shared" si="16"/>
        <v>0</v>
      </c>
      <c r="R565" s="6">
        <f>'MATCH CALCS'!$AD566*1</f>
        <v>0</v>
      </c>
      <c r="S565" s="6">
        <f>'MATCH CALCS'!AC566*3</f>
        <v>0</v>
      </c>
      <c r="T565" s="6">
        <f>'MATCH CALCS'!AD566*3</f>
        <v>0</v>
      </c>
      <c r="U565" s="155">
        <f t="shared" si="17"/>
        <v>0</v>
      </c>
      <c r="V565" s="154">
        <f t="shared" si="18"/>
        <v>0</v>
      </c>
    </row>
    <row r="566" spans="1:22">
      <c r="A566" s="154">
        <f>'MATCH CALCS'!A567</f>
        <v>0</v>
      </c>
      <c r="B566" s="154">
        <f>'MATCH CALCS'!$C567</f>
        <v>0</v>
      </c>
      <c r="C566" s="154">
        <f t="shared" si="14"/>
        <v>0</v>
      </c>
      <c r="D566" s="6">
        <f>'MATCH CALCS'!$G567*2</f>
        <v>0</v>
      </c>
      <c r="E566" s="6">
        <f>'MATCH CALCS'!$G567*2</f>
        <v>0</v>
      </c>
      <c r="F566" s="6">
        <f>'MATCH CALCS'!$G567*2</f>
        <v>0</v>
      </c>
      <c r="G566" s="6">
        <f>'MATCH CALCS'!$G567*2</f>
        <v>0</v>
      </c>
      <c r="H566" s="6">
        <f>'MATCH CALCS'!$G567*2</f>
        <v>0</v>
      </c>
      <c r="I566" s="6">
        <f>'MATCH CALCS'!$G567*2</f>
        <v>0</v>
      </c>
      <c r="J566" s="154">
        <f t="shared" si="15"/>
        <v>0</v>
      </c>
      <c r="K566" s="6">
        <f>'MATCH CALCS'!L567*1</f>
        <v>0</v>
      </c>
      <c r="L566" s="6">
        <f>'MATCH CALCS'!$N567*2</f>
        <v>0</v>
      </c>
      <c r="M566" s="6">
        <f>'MATCH CALCS'!N567*1</f>
        <v>0</v>
      </c>
      <c r="N566" s="6">
        <f>'MATCH CALCS'!$N567*2</f>
        <v>0</v>
      </c>
      <c r="O566" s="6">
        <f>'MATCH CALCS'!$N567*2</f>
        <v>0</v>
      </c>
      <c r="P566" s="6">
        <f>'MATCH CALCS'!$P567*5</f>
        <v>0</v>
      </c>
      <c r="Q566" s="154">
        <f t="shared" si="16"/>
        <v>0</v>
      </c>
      <c r="R566" s="6">
        <f>'MATCH CALCS'!$AD567*1</f>
        <v>0</v>
      </c>
      <c r="S566" s="6">
        <f>'MATCH CALCS'!AC567*3</f>
        <v>0</v>
      </c>
      <c r="T566" s="6">
        <f>'MATCH CALCS'!AD567*3</f>
        <v>0</v>
      </c>
      <c r="U566" s="155">
        <f t="shared" si="17"/>
        <v>0</v>
      </c>
      <c r="V566" s="154">
        <f t="shared" si="18"/>
        <v>0</v>
      </c>
    </row>
    <row r="567" spans="1:22">
      <c r="A567" s="154">
        <f>'MATCH CALCS'!A568</f>
        <v>0</v>
      </c>
      <c r="B567" s="154">
        <f>'MATCH CALCS'!$C568</f>
        <v>0</v>
      </c>
      <c r="C567" s="154">
        <f t="shared" si="14"/>
        <v>0</v>
      </c>
      <c r="D567" s="6">
        <f>'MATCH CALCS'!$G568*2</f>
        <v>0</v>
      </c>
      <c r="E567" s="6">
        <f>'MATCH CALCS'!$G568*2</f>
        <v>0</v>
      </c>
      <c r="F567" s="6">
        <f>'MATCH CALCS'!$G568*2</f>
        <v>0</v>
      </c>
      <c r="G567" s="6">
        <f>'MATCH CALCS'!$G568*2</f>
        <v>0</v>
      </c>
      <c r="H567" s="6">
        <f>'MATCH CALCS'!$G568*2</f>
        <v>0</v>
      </c>
      <c r="I567" s="6">
        <f>'MATCH CALCS'!$G568*2</f>
        <v>0</v>
      </c>
      <c r="J567" s="154">
        <f t="shared" si="15"/>
        <v>0</v>
      </c>
      <c r="K567" s="6">
        <f>'MATCH CALCS'!L568*1</f>
        <v>0</v>
      </c>
      <c r="L567" s="6">
        <f>'MATCH CALCS'!$N568*2</f>
        <v>0</v>
      </c>
      <c r="M567" s="6">
        <f>'MATCH CALCS'!N568*1</f>
        <v>0</v>
      </c>
      <c r="N567" s="6">
        <f>'MATCH CALCS'!$N568*2</f>
        <v>0</v>
      </c>
      <c r="O567" s="6">
        <f>'MATCH CALCS'!$N568*2</f>
        <v>0</v>
      </c>
      <c r="P567" s="6">
        <f>'MATCH CALCS'!$P568*5</f>
        <v>0</v>
      </c>
      <c r="Q567" s="154">
        <f t="shared" si="16"/>
        <v>0</v>
      </c>
      <c r="R567" s="6">
        <f>'MATCH CALCS'!$AD568*1</f>
        <v>0</v>
      </c>
      <c r="S567" s="6">
        <f>'MATCH CALCS'!AC568*3</f>
        <v>0</v>
      </c>
      <c r="T567" s="6">
        <f>'MATCH CALCS'!AD568*3</f>
        <v>0</v>
      </c>
      <c r="U567" s="155">
        <f t="shared" si="17"/>
        <v>0</v>
      </c>
      <c r="V567" s="154">
        <f t="shared" si="18"/>
        <v>0</v>
      </c>
    </row>
    <row r="568" spans="1:22">
      <c r="A568" s="154">
        <f>'MATCH CALCS'!A569</f>
        <v>0</v>
      </c>
      <c r="B568" s="154">
        <f>'MATCH CALCS'!$C569</f>
        <v>0</v>
      </c>
      <c r="C568" s="154">
        <f t="shared" si="14"/>
        <v>0</v>
      </c>
      <c r="D568" s="6">
        <f>'MATCH CALCS'!$G569*2</f>
        <v>0</v>
      </c>
      <c r="E568" s="6">
        <f>'MATCH CALCS'!$G569*2</f>
        <v>0</v>
      </c>
      <c r="F568" s="6">
        <f>'MATCH CALCS'!$G569*2</f>
        <v>0</v>
      </c>
      <c r="G568" s="6">
        <f>'MATCH CALCS'!$G569*2</f>
        <v>0</v>
      </c>
      <c r="H568" s="6">
        <f>'MATCH CALCS'!$G569*2</f>
        <v>0</v>
      </c>
      <c r="I568" s="6">
        <f>'MATCH CALCS'!$G569*2</f>
        <v>0</v>
      </c>
      <c r="J568" s="154">
        <f t="shared" si="15"/>
        <v>0</v>
      </c>
      <c r="K568" s="6">
        <f>'MATCH CALCS'!L569*1</f>
        <v>0</v>
      </c>
      <c r="L568" s="6">
        <f>'MATCH CALCS'!$N569*2</f>
        <v>0</v>
      </c>
      <c r="M568" s="6">
        <f>'MATCH CALCS'!N569*1</f>
        <v>0</v>
      </c>
      <c r="N568" s="6">
        <f>'MATCH CALCS'!$N569*2</f>
        <v>0</v>
      </c>
      <c r="O568" s="6">
        <f>'MATCH CALCS'!$N569*2</f>
        <v>0</v>
      </c>
      <c r="P568" s="6">
        <f>'MATCH CALCS'!$P569*5</f>
        <v>0</v>
      </c>
      <c r="Q568" s="154">
        <f t="shared" si="16"/>
        <v>0</v>
      </c>
      <c r="R568" s="6">
        <f>'MATCH CALCS'!$AD569*1</f>
        <v>0</v>
      </c>
      <c r="S568" s="6">
        <f>'MATCH CALCS'!AC569*3</f>
        <v>0</v>
      </c>
      <c r="T568" s="6">
        <f>'MATCH CALCS'!AD569*3</f>
        <v>0</v>
      </c>
      <c r="U568" s="155">
        <f t="shared" si="17"/>
        <v>0</v>
      </c>
      <c r="V568" s="154">
        <f t="shared" si="18"/>
        <v>0</v>
      </c>
    </row>
    <row r="569" spans="1:22">
      <c r="A569" s="154">
        <f>'MATCH CALCS'!A570</f>
        <v>0</v>
      </c>
      <c r="B569" s="154">
        <f>'MATCH CALCS'!$C570</f>
        <v>0</v>
      </c>
      <c r="C569" s="154">
        <f t="shared" si="14"/>
        <v>0</v>
      </c>
      <c r="D569" s="6">
        <f>'MATCH CALCS'!$G570*2</f>
        <v>0</v>
      </c>
      <c r="E569" s="6">
        <f>'MATCH CALCS'!$G570*2</f>
        <v>0</v>
      </c>
      <c r="F569" s="6">
        <f>'MATCH CALCS'!$G570*2</f>
        <v>0</v>
      </c>
      <c r="G569" s="6">
        <f>'MATCH CALCS'!$G570*2</f>
        <v>0</v>
      </c>
      <c r="H569" s="6">
        <f>'MATCH CALCS'!$G570*2</f>
        <v>0</v>
      </c>
      <c r="I569" s="6">
        <f>'MATCH CALCS'!$G570*2</f>
        <v>0</v>
      </c>
      <c r="J569" s="154">
        <f t="shared" si="15"/>
        <v>0</v>
      </c>
      <c r="K569" s="6">
        <f>'MATCH CALCS'!L570*1</f>
        <v>0</v>
      </c>
      <c r="L569" s="6">
        <f>'MATCH CALCS'!$N570*2</f>
        <v>0</v>
      </c>
      <c r="M569" s="6">
        <f>'MATCH CALCS'!N570*1</f>
        <v>0</v>
      </c>
      <c r="N569" s="6">
        <f>'MATCH CALCS'!$N570*2</f>
        <v>0</v>
      </c>
      <c r="O569" s="6">
        <f>'MATCH CALCS'!$N570*2</f>
        <v>0</v>
      </c>
      <c r="P569" s="6">
        <f>'MATCH CALCS'!$P570*5</f>
        <v>0</v>
      </c>
      <c r="Q569" s="154">
        <f t="shared" si="16"/>
        <v>0</v>
      </c>
      <c r="R569" s="6">
        <f>'MATCH CALCS'!$AD570*1</f>
        <v>0</v>
      </c>
      <c r="S569" s="6">
        <f>'MATCH CALCS'!AC570*3</f>
        <v>0</v>
      </c>
      <c r="T569" s="6">
        <f>'MATCH CALCS'!AD570*3</f>
        <v>0</v>
      </c>
      <c r="U569" s="155">
        <f t="shared" si="17"/>
        <v>0</v>
      </c>
      <c r="V569" s="154">
        <f t="shared" si="18"/>
        <v>0</v>
      </c>
    </row>
    <row r="570" spans="1:22">
      <c r="A570" s="154">
        <f>'MATCH CALCS'!A571</f>
        <v>0</v>
      </c>
      <c r="B570" s="154">
        <f>'MATCH CALCS'!$C571</f>
        <v>0</v>
      </c>
      <c r="C570" s="154">
        <f t="shared" si="14"/>
        <v>0</v>
      </c>
      <c r="D570" s="6">
        <f>'MATCH CALCS'!$G571*2</f>
        <v>0</v>
      </c>
      <c r="E570" s="6">
        <f>'MATCH CALCS'!$G571*2</f>
        <v>0</v>
      </c>
      <c r="F570" s="6">
        <f>'MATCH CALCS'!$G571*2</f>
        <v>0</v>
      </c>
      <c r="G570" s="6">
        <f>'MATCH CALCS'!$G571*2</f>
        <v>0</v>
      </c>
      <c r="H570" s="6">
        <f>'MATCH CALCS'!$G571*2</f>
        <v>0</v>
      </c>
      <c r="I570" s="6">
        <f>'MATCH CALCS'!$G571*2</f>
        <v>0</v>
      </c>
      <c r="J570" s="154">
        <f t="shared" si="15"/>
        <v>0</v>
      </c>
      <c r="K570" s="6">
        <f>'MATCH CALCS'!L571*1</f>
        <v>0</v>
      </c>
      <c r="L570" s="6">
        <f>'MATCH CALCS'!$N571*2</f>
        <v>0</v>
      </c>
      <c r="M570" s="6">
        <f>'MATCH CALCS'!N571*1</f>
        <v>0</v>
      </c>
      <c r="N570" s="6">
        <f>'MATCH CALCS'!$N571*2</f>
        <v>0</v>
      </c>
      <c r="O570" s="6">
        <f>'MATCH CALCS'!$N571*2</f>
        <v>0</v>
      </c>
      <c r="P570" s="6">
        <f>'MATCH CALCS'!$P571*5</f>
        <v>0</v>
      </c>
      <c r="Q570" s="154">
        <f t="shared" si="16"/>
        <v>0</v>
      </c>
      <c r="R570" s="6">
        <f>'MATCH CALCS'!$AD571*1</f>
        <v>0</v>
      </c>
      <c r="S570" s="6">
        <f>'MATCH CALCS'!AC571*3</f>
        <v>0</v>
      </c>
      <c r="T570" s="6">
        <f>'MATCH CALCS'!AD571*3</f>
        <v>0</v>
      </c>
      <c r="U570" s="155">
        <f t="shared" si="17"/>
        <v>0</v>
      </c>
      <c r="V570" s="154">
        <f t="shared" si="18"/>
        <v>0</v>
      </c>
    </row>
    <row r="571" spans="1:22">
      <c r="A571" s="154">
        <f>'MATCH CALCS'!A572</f>
        <v>0</v>
      </c>
      <c r="B571" s="154">
        <f>'MATCH CALCS'!$C572</f>
        <v>0</v>
      </c>
      <c r="C571" s="154">
        <f t="shared" si="14"/>
        <v>0</v>
      </c>
      <c r="D571" s="6">
        <f>'MATCH CALCS'!$G572*2</f>
        <v>0</v>
      </c>
      <c r="E571" s="6">
        <f>'MATCH CALCS'!$G572*2</f>
        <v>0</v>
      </c>
      <c r="F571" s="6">
        <f>'MATCH CALCS'!$G572*2</f>
        <v>0</v>
      </c>
      <c r="G571" s="6">
        <f>'MATCH CALCS'!$G572*2</f>
        <v>0</v>
      </c>
      <c r="H571" s="6">
        <f>'MATCH CALCS'!$G572*2</f>
        <v>0</v>
      </c>
      <c r="I571" s="6">
        <f>'MATCH CALCS'!$G572*2</f>
        <v>0</v>
      </c>
      <c r="J571" s="154">
        <f t="shared" si="15"/>
        <v>0</v>
      </c>
      <c r="K571" s="6">
        <f>'MATCH CALCS'!L572*1</f>
        <v>0</v>
      </c>
      <c r="L571" s="6">
        <f>'MATCH CALCS'!$N572*2</f>
        <v>0</v>
      </c>
      <c r="M571" s="6">
        <f>'MATCH CALCS'!N572*1</f>
        <v>0</v>
      </c>
      <c r="N571" s="6">
        <f>'MATCH CALCS'!$N572*2</f>
        <v>0</v>
      </c>
      <c r="O571" s="6">
        <f>'MATCH CALCS'!$N572*2</f>
        <v>0</v>
      </c>
      <c r="P571" s="6">
        <f>'MATCH CALCS'!$P572*5</f>
        <v>0</v>
      </c>
      <c r="Q571" s="154">
        <f t="shared" si="16"/>
        <v>0</v>
      </c>
      <c r="R571" s="6">
        <f>'MATCH CALCS'!$AD572*1</f>
        <v>0</v>
      </c>
      <c r="S571" s="6">
        <f>'MATCH CALCS'!AC572*3</f>
        <v>0</v>
      </c>
      <c r="T571" s="6">
        <f>'MATCH CALCS'!AD572*3</f>
        <v>0</v>
      </c>
      <c r="U571" s="155">
        <f t="shared" si="17"/>
        <v>0</v>
      </c>
      <c r="V571" s="154">
        <f t="shared" si="18"/>
        <v>0</v>
      </c>
    </row>
    <row r="572" spans="1:22">
      <c r="A572" s="154">
        <f>'MATCH CALCS'!A573</f>
        <v>0</v>
      </c>
      <c r="B572" s="154">
        <f>'MATCH CALCS'!$C573</f>
        <v>0</v>
      </c>
      <c r="C572" s="154">
        <f t="shared" si="14"/>
        <v>0</v>
      </c>
      <c r="D572" s="6">
        <f>'MATCH CALCS'!$G573*2</f>
        <v>0</v>
      </c>
      <c r="E572" s="6">
        <f>'MATCH CALCS'!$G573*2</f>
        <v>0</v>
      </c>
      <c r="F572" s="6">
        <f>'MATCH CALCS'!$G573*2</f>
        <v>0</v>
      </c>
      <c r="G572" s="6">
        <f>'MATCH CALCS'!$G573*2</f>
        <v>0</v>
      </c>
      <c r="H572" s="6">
        <f>'MATCH CALCS'!$G573*2</f>
        <v>0</v>
      </c>
      <c r="I572" s="6">
        <f>'MATCH CALCS'!$G573*2</f>
        <v>0</v>
      </c>
      <c r="J572" s="154">
        <f t="shared" si="15"/>
        <v>0</v>
      </c>
      <c r="K572" s="6">
        <f>'MATCH CALCS'!L573*1</f>
        <v>0</v>
      </c>
      <c r="L572" s="6">
        <f>'MATCH CALCS'!$N573*2</f>
        <v>0</v>
      </c>
      <c r="M572" s="6">
        <f>'MATCH CALCS'!N573*1</f>
        <v>0</v>
      </c>
      <c r="N572" s="6">
        <f>'MATCH CALCS'!$N573*2</f>
        <v>0</v>
      </c>
      <c r="O572" s="6">
        <f>'MATCH CALCS'!$N573*2</f>
        <v>0</v>
      </c>
      <c r="P572" s="6">
        <f>'MATCH CALCS'!$P573*5</f>
        <v>0</v>
      </c>
      <c r="Q572" s="154">
        <f t="shared" si="16"/>
        <v>0</v>
      </c>
      <c r="R572" s="6">
        <f>'MATCH CALCS'!$AD573*1</f>
        <v>0</v>
      </c>
      <c r="S572" s="6">
        <f>'MATCH CALCS'!AC573*3</f>
        <v>0</v>
      </c>
      <c r="T572" s="6">
        <f>'MATCH CALCS'!AD573*3</f>
        <v>0</v>
      </c>
      <c r="U572" s="155">
        <f t="shared" si="17"/>
        <v>0</v>
      </c>
      <c r="V572" s="154">
        <f t="shared" si="18"/>
        <v>0</v>
      </c>
    </row>
    <row r="573" spans="1:22">
      <c r="A573" s="154">
        <f>'MATCH CALCS'!A574</f>
        <v>0</v>
      </c>
      <c r="B573" s="154">
        <f>'MATCH CALCS'!$C574</f>
        <v>0</v>
      </c>
      <c r="C573" s="154">
        <f t="shared" si="14"/>
        <v>0</v>
      </c>
      <c r="D573" s="6">
        <f>'MATCH CALCS'!$G574*2</f>
        <v>0</v>
      </c>
      <c r="E573" s="6">
        <f>'MATCH CALCS'!$G574*2</f>
        <v>0</v>
      </c>
      <c r="F573" s="6">
        <f>'MATCH CALCS'!$G574*2</f>
        <v>0</v>
      </c>
      <c r="G573" s="6">
        <f>'MATCH CALCS'!$G574*2</f>
        <v>0</v>
      </c>
      <c r="H573" s="6">
        <f>'MATCH CALCS'!$G574*2</f>
        <v>0</v>
      </c>
      <c r="I573" s="6">
        <f>'MATCH CALCS'!$G574*2</f>
        <v>0</v>
      </c>
      <c r="J573" s="154">
        <f t="shared" si="15"/>
        <v>0</v>
      </c>
      <c r="K573" s="6">
        <f>'MATCH CALCS'!L574*1</f>
        <v>0</v>
      </c>
      <c r="L573" s="6">
        <f>'MATCH CALCS'!$N574*2</f>
        <v>0</v>
      </c>
      <c r="M573" s="6">
        <f>'MATCH CALCS'!N574*1</f>
        <v>0</v>
      </c>
      <c r="N573" s="6">
        <f>'MATCH CALCS'!$N574*2</f>
        <v>0</v>
      </c>
      <c r="O573" s="6">
        <f>'MATCH CALCS'!$N574*2</f>
        <v>0</v>
      </c>
      <c r="P573" s="6">
        <f>'MATCH CALCS'!$P574*5</f>
        <v>0</v>
      </c>
      <c r="Q573" s="154">
        <f t="shared" si="16"/>
        <v>0</v>
      </c>
      <c r="R573" s="6">
        <f>'MATCH CALCS'!$AD574*1</f>
        <v>0</v>
      </c>
      <c r="S573" s="6">
        <f>'MATCH CALCS'!AC574*3</f>
        <v>0</v>
      </c>
      <c r="T573" s="6">
        <f>'MATCH CALCS'!AD574*3</f>
        <v>0</v>
      </c>
      <c r="U573" s="155">
        <f t="shared" si="17"/>
        <v>0</v>
      </c>
      <c r="V573" s="154">
        <f t="shared" si="18"/>
        <v>0</v>
      </c>
    </row>
    <row r="574" spans="1:22">
      <c r="A574" s="154">
        <f>'MATCH CALCS'!A575</f>
        <v>0</v>
      </c>
      <c r="B574" s="154">
        <f>'MATCH CALCS'!$C575</f>
        <v>0</v>
      </c>
      <c r="C574" s="154">
        <f t="shared" si="14"/>
        <v>0</v>
      </c>
      <c r="D574" s="6">
        <f>'MATCH CALCS'!$G575*2</f>
        <v>0</v>
      </c>
      <c r="E574" s="6">
        <f>'MATCH CALCS'!$G575*2</f>
        <v>0</v>
      </c>
      <c r="F574" s="6">
        <f>'MATCH CALCS'!$G575*2</f>
        <v>0</v>
      </c>
      <c r="G574" s="6">
        <f>'MATCH CALCS'!$G575*2</f>
        <v>0</v>
      </c>
      <c r="H574" s="6">
        <f>'MATCH CALCS'!$G575*2</f>
        <v>0</v>
      </c>
      <c r="I574" s="6">
        <f>'MATCH CALCS'!$G575*2</f>
        <v>0</v>
      </c>
      <c r="J574" s="154">
        <f t="shared" si="15"/>
        <v>0</v>
      </c>
      <c r="K574" s="6">
        <f>'MATCH CALCS'!L575*1</f>
        <v>0</v>
      </c>
      <c r="L574" s="6">
        <f>'MATCH CALCS'!$N575*2</f>
        <v>0</v>
      </c>
      <c r="M574" s="6">
        <f>'MATCH CALCS'!N575*1</f>
        <v>0</v>
      </c>
      <c r="N574" s="6">
        <f>'MATCH CALCS'!$N575*2</f>
        <v>0</v>
      </c>
      <c r="O574" s="6">
        <f>'MATCH CALCS'!$N575*2</f>
        <v>0</v>
      </c>
      <c r="P574" s="6">
        <f>'MATCH CALCS'!$P575*5</f>
        <v>0</v>
      </c>
      <c r="Q574" s="154">
        <f t="shared" si="16"/>
        <v>0</v>
      </c>
      <c r="R574" s="6">
        <f>'MATCH CALCS'!$AD575*1</f>
        <v>0</v>
      </c>
      <c r="S574" s="6">
        <f>'MATCH CALCS'!AC575*3</f>
        <v>0</v>
      </c>
      <c r="T574" s="6">
        <f>'MATCH CALCS'!AD575*3</f>
        <v>0</v>
      </c>
      <c r="U574" s="155">
        <f t="shared" si="17"/>
        <v>0</v>
      </c>
      <c r="V574" s="154">
        <f t="shared" si="18"/>
        <v>0</v>
      </c>
    </row>
    <row r="575" spans="1:22">
      <c r="A575" s="154">
        <f>'MATCH CALCS'!A576</f>
        <v>0</v>
      </c>
      <c r="B575" s="154">
        <f>'MATCH CALCS'!$C576</f>
        <v>0</v>
      </c>
      <c r="C575" s="154">
        <f t="shared" si="14"/>
        <v>0</v>
      </c>
      <c r="D575" s="6">
        <f>'MATCH CALCS'!$G576*2</f>
        <v>0</v>
      </c>
      <c r="E575" s="6">
        <f>'MATCH CALCS'!$G576*2</f>
        <v>0</v>
      </c>
      <c r="F575" s="6">
        <f>'MATCH CALCS'!$G576*2</f>
        <v>0</v>
      </c>
      <c r="G575" s="6">
        <f>'MATCH CALCS'!$G576*2</f>
        <v>0</v>
      </c>
      <c r="H575" s="6">
        <f>'MATCH CALCS'!$G576*2</f>
        <v>0</v>
      </c>
      <c r="I575" s="6">
        <f>'MATCH CALCS'!$G576*2</f>
        <v>0</v>
      </c>
      <c r="J575" s="154">
        <f t="shared" si="15"/>
        <v>0</v>
      </c>
      <c r="K575" s="6">
        <f>'MATCH CALCS'!L576*1</f>
        <v>0</v>
      </c>
      <c r="L575" s="6">
        <f>'MATCH CALCS'!$N576*2</f>
        <v>0</v>
      </c>
      <c r="M575" s="6">
        <f>'MATCH CALCS'!N576*1</f>
        <v>0</v>
      </c>
      <c r="N575" s="6">
        <f>'MATCH CALCS'!$N576*2</f>
        <v>0</v>
      </c>
      <c r="O575" s="6">
        <f>'MATCH CALCS'!$N576*2</f>
        <v>0</v>
      </c>
      <c r="P575" s="6">
        <f>'MATCH CALCS'!$P576*5</f>
        <v>0</v>
      </c>
      <c r="Q575" s="154">
        <f t="shared" si="16"/>
        <v>0</v>
      </c>
      <c r="R575" s="6">
        <f>'MATCH CALCS'!$AD576*1</f>
        <v>0</v>
      </c>
      <c r="S575" s="6">
        <f>'MATCH CALCS'!AC576*3</f>
        <v>0</v>
      </c>
      <c r="T575" s="6">
        <f>'MATCH CALCS'!AD576*3</f>
        <v>0</v>
      </c>
      <c r="U575" s="155">
        <f t="shared" si="17"/>
        <v>0</v>
      </c>
      <c r="V575" s="154">
        <f t="shared" si="18"/>
        <v>0</v>
      </c>
    </row>
    <row r="576" spans="1:22">
      <c r="A576" s="154">
        <f>'MATCH CALCS'!A577</f>
        <v>0</v>
      </c>
      <c r="B576" s="154">
        <f>'MATCH CALCS'!$C577</f>
        <v>0</v>
      </c>
      <c r="C576" s="154">
        <f t="shared" si="14"/>
        <v>0</v>
      </c>
      <c r="D576" s="6">
        <f>'MATCH CALCS'!$G577*2</f>
        <v>0</v>
      </c>
      <c r="E576" s="6">
        <f>'MATCH CALCS'!$G577*2</f>
        <v>0</v>
      </c>
      <c r="F576" s="6">
        <f>'MATCH CALCS'!$G577*2</f>
        <v>0</v>
      </c>
      <c r="G576" s="6">
        <f>'MATCH CALCS'!$G577*2</f>
        <v>0</v>
      </c>
      <c r="H576" s="6">
        <f>'MATCH CALCS'!$G577*2</f>
        <v>0</v>
      </c>
      <c r="I576" s="6">
        <f>'MATCH CALCS'!$G577*2</f>
        <v>0</v>
      </c>
      <c r="J576" s="154">
        <f t="shared" si="15"/>
        <v>0</v>
      </c>
      <c r="K576" s="6">
        <f>'MATCH CALCS'!L577*1</f>
        <v>0</v>
      </c>
      <c r="L576" s="6">
        <f>'MATCH CALCS'!$N577*2</f>
        <v>0</v>
      </c>
      <c r="M576" s="6">
        <f>'MATCH CALCS'!N577*1</f>
        <v>0</v>
      </c>
      <c r="N576" s="6">
        <f>'MATCH CALCS'!$N577*2</f>
        <v>0</v>
      </c>
      <c r="O576" s="6">
        <f>'MATCH CALCS'!$N577*2</f>
        <v>0</v>
      </c>
      <c r="P576" s="6">
        <f>'MATCH CALCS'!$P577*5</f>
        <v>0</v>
      </c>
      <c r="Q576" s="154">
        <f t="shared" si="16"/>
        <v>0</v>
      </c>
      <c r="R576" s="6">
        <f>'MATCH CALCS'!$AD577*1</f>
        <v>0</v>
      </c>
      <c r="S576" s="6">
        <f>'MATCH CALCS'!AC577*3</f>
        <v>0</v>
      </c>
      <c r="T576" s="6">
        <f>'MATCH CALCS'!AD577*3</f>
        <v>0</v>
      </c>
      <c r="U576" s="155">
        <f t="shared" si="17"/>
        <v>0</v>
      </c>
      <c r="V576" s="154">
        <f t="shared" si="18"/>
        <v>0</v>
      </c>
    </row>
    <row r="577" spans="1:22">
      <c r="A577" s="154">
        <f>'MATCH CALCS'!A578</f>
        <v>0</v>
      </c>
      <c r="B577" s="154">
        <f>'MATCH CALCS'!$C578</f>
        <v>0</v>
      </c>
      <c r="C577" s="154">
        <f t="shared" si="14"/>
        <v>0</v>
      </c>
      <c r="D577" s="6">
        <f>'MATCH CALCS'!$G578*2</f>
        <v>0</v>
      </c>
      <c r="E577" s="6">
        <f>'MATCH CALCS'!$G578*2</f>
        <v>0</v>
      </c>
      <c r="F577" s="6">
        <f>'MATCH CALCS'!$G578*2</f>
        <v>0</v>
      </c>
      <c r="G577" s="6">
        <f>'MATCH CALCS'!$G578*2</f>
        <v>0</v>
      </c>
      <c r="H577" s="6">
        <f>'MATCH CALCS'!$G578*2</f>
        <v>0</v>
      </c>
      <c r="I577" s="6">
        <f>'MATCH CALCS'!$G578*2</f>
        <v>0</v>
      </c>
      <c r="J577" s="154">
        <f t="shared" si="15"/>
        <v>0</v>
      </c>
      <c r="K577" s="6">
        <f>'MATCH CALCS'!L578*1</f>
        <v>0</v>
      </c>
      <c r="L577" s="6">
        <f>'MATCH CALCS'!$N578*2</f>
        <v>0</v>
      </c>
      <c r="M577" s="6">
        <f>'MATCH CALCS'!N578*1</f>
        <v>0</v>
      </c>
      <c r="N577" s="6">
        <f>'MATCH CALCS'!$N578*2</f>
        <v>0</v>
      </c>
      <c r="O577" s="6">
        <f>'MATCH CALCS'!$N578*2</f>
        <v>0</v>
      </c>
      <c r="P577" s="6">
        <f>'MATCH CALCS'!$P578*5</f>
        <v>0</v>
      </c>
      <c r="Q577" s="154">
        <f t="shared" si="16"/>
        <v>0</v>
      </c>
      <c r="R577" s="6">
        <f>'MATCH CALCS'!$AD578*1</f>
        <v>0</v>
      </c>
      <c r="S577" s="6">
        <f>'MATCH CALCS'!AC578*3</f>
        <v>0</v>
      </c>
      <c r="T577" s="6">
        <f>'MATCH CALCS'!AD578*3</f>
        <v>0</v>
      </c>
      <c r="U577" s="155">
        <f t="shared" si="17"/>
        <v>0</v>
      </c>
      <c r="V577" s="154">
        <f t="shared" si="18"/>
        <v>0</v>
      </c>
    </row>
    <row r="578" spans="1:22">
      <c r="A578" s="154">
        <f>'MATCH CALCS'!A579</f>
        <v>0</v>
      </c>
      <c r="B578" s="154">
        <f>'MATCH CALCS'!$C579</f>
        <v>0</v>
      </c>
      <c r="C578" s="154">
        <f t="shared" si="14"/>
        <v>0</v>
      </c>
      <c r="D578" s="6">
        <f>'MATCH CALCS'!$G579*2</f>
        <v>0</v>
      </c>
      <c r="E578" s="6">
        <f>'MATCH CALCS'!$G579*2</f>
        <v>0</v>
      </c>
      <c r="F578" s="6">
        <f>'MATCH CALCS'!$G579*2</f>
        <v>0</v>
      </c>
      <c r="G578" s="6">
        <f>'MATCH CALCS'!$G579*2</f>
        <v>0</v>
      </c>
      <c r="H578" s="6">
        <f>'MATCH CALCS'!$G579*2</f>
        <v>0</v>
      </c>
      <c r="I578" s="6">
        <f>'MATCH CALCS'!$G579*2</f>
        <v>0</v>
      </c>
      <c r="J578" s="154">
        <f t="shared" si="15"/>
        <v>0</v>
      </c>
      <c r="K578" s="6">
        <f>'MATCH CALCS'!L579*1</f>
        <v>0</v>
      </c>
      <c r="L578" s="6">
        <f>'MATCH CALCS'!$N579*2</f>
        <v>0</v>
      </c>
      <c r="M578" s="6">
        <f>'MATCH CALCS'!N579*1</f>
        <v>0</v>
      </c>
      <c r="N578" s="6">
        <f>'MATCH CALCS'!$N579*2</f>
        <v>0</v>
      </c>
      <c r="O578" s="6">
        <f>'MATCH CALCS'!$N579*2</f>
        <v>0</v>
      </c>
      <c r="P578" s="6">
        <f>'MATCH CALCS'!$P579*5</f>
        <v>0</v>
      </c>
      <c r="Q578" s="154">
        <f t="shared" si="16"/>
        <v>0</v>
      </c>
      <c r="R578" s="6">
        <f>'MATCH CALCS'!$AD579*1</f>
        <v>0</v>
      </c>
      <c r="S578" s="6">
        <f>'MATCH CALCS'!AC579*3</f>
        <v>0</v>
      </c>
      <c r="T578" s="6">
        <f>'MATCH CALCS'!AD579*3</f>
        <v>0</v>
      </c>
      <c r="U578" s="155">
        <f t="shared" si="17"/>
        <v>0</v>
      </c>
      <c r="V578" s="154">
        <f t="shared" si="18"/>
        <v>0</v>
      </c>
    </row>
    <row r="579" spans="1:22">
      <c r="A579" s="154">
        <f>'MATCH CALCS'!A580</f>
        <v>0</v>
      </c>
      <c r="B579" s="154">
        <f>'MATCH CALCS'!$C580</f>
        <v>0</v>
      </c>
      <c r="C579" s="154">
        <f t="shared" si="14"/>
        <v>0</v>
      </c>
      <c r="D579" s="6">
        <f>'MATCH CALCS'!$G580*2</f>
        <v>0</v>
      </c>
      <c r="E579" s="6">
        <f>'MATCH CALCS'!$G580*2</f>
        <v>0</v>
      </c>
      <c r="F579" s="6">
        <f>'MATCH CALCS'!$G580*2</f>
        <v>0</v>
      </c>
      <c r="G579" s="6">
        <f>'MATCH CALCS'!$G580*2</f>
        <v>0</v>
      </c>
      <c r="H579" s="6">
        <f>'MATCH CALCS'!$G580*2</f>
        <v>0</v>
      </c>
      <c r="I579" s="6">
        <f>'MATCH CALCS'!$G580*2</f>
        <v>0</v>
      </c>
      <c r="J579" s="154">
        <f t="shared" si="15"/>
        <v>0</v>
      </c>
      <c r="K579" s="6">
        <f>'MATCH CALCS'!L580*1</f>
        <v>0</v>
      </c>
      <c r="L579" s="6">
        <f>'MATCH CALCS'!$N580*2</f>
        <v>0</v>
      </c>
      <c r="M579" s="6">
        <f>'MATCH CALCS'!N580*1</f>
        <v>0</v>
      </c>
      <c r="N579" s="6">
        <f>'MATCH CALCS'!$N580*2</f>
        <v>0</v>
      </c>
      <c r="O579" s="6">
        <f>'MATCH CALCS'!$N580*2</f>
        <v>0</v>
      </c>
      <c r="P579" s="6">
        <f>'MATCH CALCS'!$P580*5</f>
        <v>0</v>
      </c>
      <c r="Q579" s="154">
        <f t="shared" si="16"/>
        <v>0</v>
      </c>
      <c r="R579" s="6">
        <f>'MATCH CALCS'!$AD580*1</f>
        <v>0</v>
      </c>
      <c r="S579" s="6">
        <f>'MATCH CALCS'!AC580*3</f>
        <v>0</v>
      </c>
      <c r="T579" s="6">
        <f>'MATCH CALCS'!AD580*3</f>
        <v>0</v>
      </c>
      <c r="U579" s="155">
        <f t="shared" si="17"/>
        <v>0</v>
      </c>
      <c r="V579" s="154">
        <f t="shared" si="18"/>
        <v>0</v>
      </c>
    </row>
    <row r="580" spans="1:22">
      <c r="A580" s="154">
        <f>'MATCH CALCS'!A581</f>
        <v>0</v>
      </c>
      <c r="B580" s="154">
        <f>'MATCH CALCS'!$C581</f>
        <v>0</v>
      </c>
      <c r="C580" s="154">
        <f t="shared" si="14"/>
        <v>0</v>
      </c>
      <c r="D580" s="6">
        <f>'MATCH CALCS'!$G581*2</f>
        <v>0</v>
      </c>
      <c r="E580" s="6">
        <f>'MATCH CALCS'!$G581*2</f>
        <v>0</v>
      </c>
      <c r="F580" s="6">
        <f>'MATCH CALCS'!$G581*2</f>
        <v>0</v>
      </c>
      <c r="G580" s="6">
        <f>'MATCH CALCS'!$G581*2</f>
        <v>0</v>
      </c>
      <c r="H580" s="6">
        <f>'MATCH CALCS'!$G581*2</f>
        <v>0</v>
      </c>
      <c r="I580" s="6">
        <f>'MATCH CALCS'!$G581*2</f>
        <v>0</v>
      </c>
      <c r="J580" s="154">
        <f t="shared" si="15"/>
        <v>0</v>
      </c>
      <c r="K580" s="6">
        <f>'MATCH CALCS'!L581*1</f>
        <v>0</v>
      </c>
      <c r="L580" s="6">
        <f>'MATCH CALCS'!$N581*2</f>
        <v>0</v>
      </c>
      <c r="M580" s="6">
        <f>'MATCH CALCS'!N581*1</f>
        <v>0</v>
      </c>
      <c r="N580" s="6">
        <f>'MATCH CALCS'!$N581*2</f>
        <v>0</v>
      </c>
      <c r="O580" s="6">
        <f>'MATCH CALCS'!$N581*2</f>
        <v>0</v>
      </c>
      <c r="P580" s="6">
        <f>'MATCH CALCS'!$P581*5</f>
        <v>0</v>
      </c>
      <c r="Q580" s="154">
        <f t="shared" si="16"/>
        <v>0</v>
      </c>
      <c r="R580" s="6">
        <f>'MATCH CALCS'!$AD581*1</f>
        <v>0</v>
      </c>
      <c r="S580" s="6">
        <f>'MATCH CALCS'!AC581*3</f>
        <v>0</v>
      </c>
      <c r="T580" s="6">
        <f>'MATCH CALCS'!AD581*3</f>
        <v>0</v>
      </c>
      <c r="U580" s="155">
        <f t="shared" si="17"/>
        <v>0</v>
      </c>
      <c r="V580" s="154">
        <f t="shared" si="18"/>
        <v>0</v>
      </c>
    </row>
    <row r="581" spans="1:22">
      <c r="A581" s="154">
        <f>'MATCH CALCS'!A582</f>
        <v>0</v>
      </c>
      <c r="B581" s="154">
        <f>'MATCH CALCS'!$C582</f>
        <v>0</v>
      </c>
      <c r="C581" s="154">
        <f t="shared" si="14"/>
        <v>0</v>
      </c>
      <c r="D581" s="6">
        <f>'MATCH CALCS'!$G582*2</f>
        <v>0</v>
      </c>
      <c r="E581" s="6">
        <f>'MATCH CALCS'!$G582*2</f>
        <v>0</v>
      </c>
      <c r="F581" s="6">
        <f>'MATCH CALCS'!$G582*2</f>
        <v>0</v>
      </c>
      <c r="G581" s="6">
        <f>'MATCH CALCS'!$G582*2</f>
        <v>0</v>
      </c>
      <c r="H581" s="6">
        <f>'MATCH CALCS'!$G582*2</f>
        <v>0</v>
      </c>
      <c r="I581" s="6">
        <f>'MATCH CALCS'!$G582*2</f>
        <v>0</v>
      </c>
      <c r="J581" s="154">
        <f t="shared" si="15"/>
        <v>0</v>
      </c>
      <c r="K581" s="6">
        <f>'MATCH CALCS'!L582*1</f>
        <v>0</v>
      </c>
      <c r="L581" s="6">
        <f>'MATCH CALCS'!$N582*2</f>
        <v>0</v>
      </c>
      <c r="M581" s="6">
        <f>'MATCH CALCS'!N582*1</f>
        <v>0</v>
      </c>
      <c r="N581" s="6">
        <f>'MATCH CALCS'!$N582*2</f>
        <v>0</v>
      </c>
      <c r="O581" s="6">
        <f>'MATCH CALCS'!$N582*2</f>
        <v>0</v>
      </c>
      <c r="P581" s="6">
        <f>'MATCH CALCS'!$P582*5</f>
        <v>0</v>
      </c>
      <c r="Q581" s="154">
        <f t="shared" si="16"/>
        <v>0</v>
      </c>
      <c r="R581" s="6">
        <f>'MATCH CALCS'!$AD582*1</f>
        <v>0</v>
      </c>
      <c r="S581" s="6">
        <f>'MATCH CALCS'!AC582*3</f>
        <v>0</v>
      </c>
      <c r="T581" s="6">
        <f>'MATCH CALCS'!AD582*3</f>
        <v>0</v>
      </c>
      <c r="U581" s="155">
        <f t="shared" si="17"/>
        <v>0</v>
      </c>
      <c r="V581" s="154">
        <f t="shared" si="18"/>
        <v>0</v>
      </c>
    </row>
    <row r="582" spans="1:22">
      <c r="A582" s="154">
        <f>'MATCH CALCS'!A583</f>
        <v>0</v>
      </c>
      <c r="B582" s="154">
        <f>'MATCH CALCS'!$C583</f>
        <v>0</v>
      </c>
      <c r="C582" s="154">
        <f t="shared" si="14"/>
        <v>0</v>
      </c>
      <c r="D582" s="6">
        <f>'MATCH CALCS'!$G583*2</f>
        <v>0</v>
      </c>
      <c r="E582" s="6">
        <f>'MATCH CALCS'!$G583*2</f>
        <v>0</v>
      </c>
      <c r="F582" s="6">
        <f>'MATCH CALCS'!$G583*2</f>
        <v>0</v>
      </c>
      <c r="G582" s="6">
        <f>'MATCH CALCS'!$G583*2</f>
        <v>0</v>
      </c>
      <c r="H582" s="6">
        <f>'MATCH CALCS'!$G583*2</f>
        <v>0</v>
      </c>
      <c r="I582" s="6">
        <f>'MATCH CALCS'!$G583*2</f>
        <v>0</v>
      </c>
      <c r="J582" s="154">
        <f t="shared" si="15"/>
        <v>0</v>
      </c>
      <c r="K582" s="6">
        <f>'MATCH CALCS'!L583*1</f>
        <v>0</v>
      </c>
      <c r="L582" s="6">
        <f>'MATCH CALCS'!$N583*2</f>
        <v>0</v>
      </c>
      <c r="M582" s="6">
        <f>'MATCH CALCS'!N583*1</f>
        <v>0</v>
      </c>
      <c r="N582" s="6">
        <f>'MATCH CALCS'!$N583*2</f>
        <v>0</v>
      </c>
      <c r="O582" s="6">
        <f>'MATCH CALCS'!$N583*2</f>
        <v>0</v>
      </c>
      <c r="P582" s="6">
        <f>'MATCH CALCS'!$P583*5</f>
        <v>0</v>
      </c>
      <c r="Q582" s="154">
        <f t="shared" si="16"/>
        <v>0</v>
      </c>
      <c r="R582" s="6">
        <f>'MATCH CALCS'!$AD583*1</f>
        <v>0</v>
      </c>
      <c r="S582" s="6">
        <f>'MATCH CALCS'!AC583*3</f>
        <v>0</v>
      </c>
      <c r="T582" s="6">
        <f>'MATCH CALCS'!AD583*3</f>
        <v>0</v>
      </c>
      <c r="U582" s="155">
        <f t="shared" si="17"/>
        <v>0</v>
      </c>
      <c r="V582" s="154">
        <f t="shared" si="18"/>
        <v>0</v>
      </c>
    </row>
    <row r="583" spans="1:22">
      <c r="A583" s="154">
        <f>'MATCH CALCS'!A584</f>
        <v>0</v>
      </c>
      <c r="B583" s="154">
        <f>'MATCH CALCS'!$C584</f>
        <v>0</v>
      </c>
      <c r="C583" s="154">
        <f t="shared" si="14"/>
        <v>0</v>
      </c>
      <c r="D583" s="6">
        <f>'MATCH CALCS'!$G584*2</f>
        <v>0</v>
      </c>
      <c r="E583" s="6">
        <f>'MATCH CALCS'!$G584*2</f>
        <v>0</v>
      </c>
      <c r="F583" s="6">
        <f>'MATCH CALCS'!$G584*2</f>
        <v>0</v>
      </c>
      <c r="G583" s="6">
        <f>'MATCH CALCS'!$G584*2</f>
        <v>0</v>
      </c>
      <c r="H583" s="6">
        <f>'MATCH CALCS'!$G584*2</f>
        <v>0</v>
      </c>
      <c r="I583" s="6">
        <f>'MATCH CALCS'!$G584*2</f>
        <v>0</v>
      </c>
      <c r="J583" s="154">
        <f t="shared" si="15"/>
        <v>0</v>
      </c>
      <c r="K583" s="6">
        <f>'MATCH CALCS'!L584*1</f>
        <v>0</v>
      </c>
      <c r="L583" s="6">
        <f>'MATCH CALCS'!$N584*2</f>
        <v>0</v>
      </c>
      <c r="M583" s="6">
        <f>'MATCH CALCS'!N584*1</f>
        <v>0</v>
      </c>
      <c r="N583" s="6">
        <f>'MATCH CALCS'!$N584*2</f>
        <v>0</v>
      </c>
      <c r="O583" s="6">
        <f>'MATCH CALCS'!$N584*2</f>
        <v>0</v>
      </c>
      <c r="P583" s="6">
        <f>'MATCH CALCS'!$P584*5</f>
        <v>0</v>
      </c>
      <c r="Q583" s="154">
        <f t="shared" si="16"/>
        <v>0</v>
      </c>
      <c r="R583" s="6">
        <f>'MATCH CALCS'!$AD584*1</f>
        <v>0</v>
      </c>
      <c r="S583" s="6">
        <f>'MATCH CALCS'!AC584*3</f>
        <v>0</v>
      </c>
      <c r="T583" s="6">
        <f>'MATCH CALCS'!AD584*3</f>
        <v>0</v>
      </c>
      <c r="U583" s="155">
        <f t="shared" si="17"/>
        <v>0</v>
      </c>
      <c r="V583" s="154">
        <f t="shared" si="18"/>
        <v>0</v>
      </c>
    </row>
    <row r="584" spans="1:22">
      <c r="A584" s="154">
        <f>'MATCH CALCS'!A585</f>
        <v>0</v>
      </c>
      <c r="B584" s="154">
        <f>'MATCH CALCS'!$C585</f>
        <v>0</v>
      </c>
      <c r="C584" s="154">
        <f t="shared" si="14"/>
        <v>0</v>
      </c>
      <c r="D584" s="6">
        <f>'MATCH CALCS'!$G585*2</f>
        <v>0</v>
      </c>
      <c r="E584" s="6">
        <f>'MATCH CALCS'!$G585*2</f>
        <v>0</v>
      </c>
      <c r="F584" s="6">
        <f>'MATCH CALCS'!$G585*2</f>
        <v>0</v>
      </c>
      <c r="G584" s="6">
        <f>'MATCH CALCS'!$G585*2</f>
        <v>0</v>
      </c>
      <c r="H584" s="6">
        <f>'MATCH CALCS'!$G585*2</f>
        <v>0</v>
      </c>
      <c r="I584" s="6">
        <f>'MATCH CALCS'!$G585*2</f>
        <v>0</v>
      </c>
      <c r="J584" s="154">
        <f t="shared" si="15"/>
        <v>0</v>
      </c>
      <c r="K584" s="6">
        <f>'MATCH CALCS'!L585*1</f>
        <v>0</v>
      </c>
      <c r="L584" s="6">
        <f>'MATCH CALCS'!$N585*2</f>
        <v>0</v>
      </c>
      <c r="M584" s="6">
        <f>'MATCH CALCS'!N585*1</f>
        <v>0</v>
      </c>
      <c r="N584" s="6">
        <f>'MATCH CALCS'!$N585*2</f>
        <v>0</v>
      </c>
      <c r="O584" s="6">
        <f>'MATCH CALCS'!$N585*2</f>
        <v>0</v>
      </c>
      <c r="P584" s="6">
        <f>'MATCH CALCS'!$P585*5</f>
        <v>0</v>
      </c>
      <c r="Q584" s="154">
        <f t="shared" si="16"/>
        <v>0</v>
      </c>
      <c r="R584" s="6">
        <f>'MATCH CALCS'!$AD585*1</f>
        <v>0</v>
      </c>
      <c r="S584" s="6">
        <f>'MATCH CALCS'!AC585*3</f>
        <v>0</v>
      </c>
      <c r="T584" s="6">
        <f>'MATCH CALCS'!AD585*3</f>
        <v>0</v>
      </c>
      <c r="U584" s="155">
        <f t="shared" si="17"/>
        <v>0</v>
      </c>
      <c r="V584" s="154">
        <f t="shared" si="18"/>
        <v>0</v>
      </c>
    </row>
    <row r="585" spans="1:22">
      <c r="A585" s="154">
        <f>'MATCH CALCS'!A586</f>
        <v>0</v>
      </c>
      <c r="B585" s="154">
        <f>'MATCH CALCS'!$C586</f>
        <v>0</v>
      </c>
      <c r="C585" s="154">
        <f t="shared" si="14"/>
        <v>0</v>
      </c>
      <c r="D585" s="6">
        <f>'MATCH CALCS'!$G586*2</f>
        <v>0</v>
      </c>
      <c r="E585" s="6">
        <f>'MATCH CALCS'!$G586*2</f>
        <v>0</v>
      </c>
      <c r="F585" s="6">
        <f>'MATCH CALCS'!$G586*2</f>
        <v>0</v>
      </c>
      <c r="G585" s="6">
        <f>'MATCH CALCS'!$G586*2</f>
        <v>0</v>
      </c>
      <c r="H585" s="6">
        <f>'MATCH CALCS'!$G586*2</f>
        <v>0</v>
      </c>
      <c r="I585" s="6">
        <f>'MATCH CALCS'!$G586*2</f>
        <v>0</v>
      </c>
      <c r="J585" s="154">
        <f t="shared" si="15"/>
        <v>0</v>
      </c>
      <c r="K585" s="6">
        <f>'MATCH CALCS'!L586*1</f>
        <v>0</v>
      </c>
      <c r="L585" s="6">
        <f>'MATCH CALCS'!$N586*2</f>
        <v>0</v>
      </c>
      <c r="M585" s="6">
        <f>'MATCH CALCS'!N586*1</f>
        <v>0</v>
      </c>
      <c r="N585" s="6">
        <f>'MATCH CALCS'!$N586*2</f>
        <v>0</v>
      </c>
      <c r="O585" s="6">
        <f>'MATCH CALCS'!$N586*2</f>
        <v>0</v>
      </c>
      <c r="P585" s="6">
        <f>'MATCH CALCS'!$P586*5</f>
        <v>0</v>
      </c>
      <c r="Q585" s="154">
        <f t="shared" si="16"/>
        <v>0</v>
      </c>
      <c r="R585" s="6">
        <f>'MATCH CALCS'!$AD586*1</f>
        <v>0</v>
      </c>
      <c r="S585" s="6">
        <f>'MATCH CALCS'!AC586*3</f>
        <v>0</v>
      </c>
      <c r="T585" s="6">
        <f>'MATCH CALCS'!AD586*3</f>
        <v>0</v>
      </c>
      <c r="U585" s="155">
        <f t="shared" si="17"/>
        <v>0</v>
      </c>
      <c r="V585" s="154">
        <f t="shared" si="18"/>
        <v>0</v>
      </c>
    </row>
    <row r="586" spans="1:22">
      <c r="A586" s="154">
        <f>'MATCH CALCS'!A587</f>
        <v>0</v>
      </c>
      <c r="B586" s="154">
        <f>'MATCH CALCS'!$C587</f>
        <v>0</v>
      </c>
      <c r="C586" s="154">
        <f t="shared" si="14"/>
        <v>0</v>
      </c>
      <c r="D586" s="6">
        <f>'MATCH CALCS'!$G587*2</f>
        <v>0</v>
      </c>
      <c r="E586" s="6">
        <f>'MATCH CALCS'!$G587*2</f>
        <v>0</v>
      </c>
      <c r="F586" s="6">
        <f>'MATCH CALCS'!$G587*2</f>
        <v>0</v>
      </c>
      <c r="G586" s="6">
        <f>'MATCH CALCS'!$G587*2</f>
        <v>0</v>
      </c>
      <c r="H586" s="6">
        <f>'MATCH CALCS'!$G587*2</f>
        <v>0</v>
      </c>
      <c r="I586" s="6">
        <f>'MATCH CALCS'!$G587*2</f>
        <v>0</v>
      </c>
      <c r="J586" s="154">
        <f t="shared" si="15"/>
        <v>0</v>
      </c>
      <c r="K586" s="6">
        <f>'MATCH CALCS'!L587*1</f>
        <v>0</v>
      </c>
      <c r="L586" s="6">
        <f>'MATCH CALCS'!$N587*2</f>
        <v>0</v>
      </c>
      <c r="M586" s="6">
        <f>'MATCH CALCS'!N587*1</f>
        <v>0</v>
      </c>
      <c r="N586" s="6">
        <f>'MATCH CALCS'!$N587*2</f>
        <v>0</v>
      </c>
      <c r="O586" s="6">
        <f>'MATCH CALCS'!$N587*2</f>
        <v>0</v>
      </c>
      <c r="P586" s="6">
        <f>'MATCH CALCS'!$P587*5</f>
        <v>0</v>
      </c>
      <c r="Q586" s="154">
        <f t="shared" si="16"/>
        <v>0</v>
      </c>
      <c r="R586" s="6">
        <f>'MATCH CALCS'!$AD587*1</f>
        <v>0</v>
      </c>
      <c r="S586" s="6">
        <f>'MATCH CALCS'!AC587*3</f>
        <v>0</v>
      </c>
      <c r="T586" s="6">
        <f>'MATCH CALCS'!AD587*3</f>
        <v>0</v>
      </c>
      <c r="U586" s="155">
        <f t="shared" si="17"/>
        <v>0</v>
      </c>
      <c r="V586" s="154">
        <f t="shared" si="18"/>
        <v>0</v>
      </c>
    </row>
    <row r="587" spans="1:22">
      <c r="A587" s="154">
        <f>'MATCH CALCS'!A588</f>
        <v>0</v>
      </c>
      <c r="B587" s="154">
        <f>'MATCH CALCS'!$C588</f>
        <v>0</v>
      </c>
      <c r="C587" s="154">
        <f t="shared" si="14"/>
        <v>0</v>
      </c>
      <c r="D587" s="6">
        <f>'MATCH CALCS'!$G588*2</f>
        <v>0</v>
      </c>
      <c r="E587" s="6">
        <f>'MATCH CALCS'!$G588*2</f>
        <v>0</v>
      </c>
      <c r="F587" s="6">
        <f>'MATCH CALCS'!$G588*2</f>
        <v>0</v>
      </c>
      <c r="G587" s="6">
        <f>'MATCH CALCS'!$G588*2</f>
        <v>0</v>
      </c>
      <c r="H587" s="6">
        <f>'MATCH CALCS'!$G588*2</f>
        <v>0</v>
      </c>
      <c r="I587" s="6">
        <f>'MATCH CALCS'!$G588*2</f>
        <v>0</v>
      </c>
      <c r="J587" s="154">
        <f t="shared" si="15"/>
        <v>0</v>
      </c>
      <c r="K587" s="6">
        <f>'MATCH CALCS'!L588*1</f>
        <v>0</v>
      </c>
      <c r="L587" s="6">
        <f>'MATCH CALCS'!$N588*2</f>
        <v>0</v>
      </c>
      <c r="M587" s="6">
        <f>'MATCH CALCS'!N588*1</f>
        <v>0</v>
      </c>
      <c r="N587" s="6">
        <f>'MATCH CALCS'!$N588*2</f>
        <v>0</v>
      </c>
      <c r="O587" s="6">
        <f>'MATCH CALCS'!$N588*2</f>
        <v>0</v>
      </c>
      <c r="P587" s="6">
        <f>'MATCH CALCS'!$P588*5</f>
        <v>0</v>
      </c>
      <c r="Q587" s="154">
        <f t="shared" si="16"/>
        <v>0</v>
      </c>
      <c r="R587" s="6">
        <f>'MATCH CALCS'!$AD588*1</f>
        <v>0</v>
      </c>
      <c r="S587" s="6">
        <f>'MATCH CALCS'!AC588*3</f>
        <v>0</v>
      </c>
      <c r="T587" s="6">
        <f>'MATCH CALCS'!AD588*3</f>
        <v>0</v>
      </c>
      <c r="U587" s="155">
        <f t="shared" si="17"/>
        <v>0</v>
      </c>
      <c r="V587" s="154">
        <f t="shared" si="18"/>
        <v>0</v>
      </c>
    </row>
    <row r="588" spans="1:22">
      <c r="A588" s="154">
        <f>'MATCH CALCS'!A589</f>
        <v>0</v>
      </c>
      <c r="B588" s="154">
        <f>'MATCH CALCS'!$C589</f>
        <v>0</v>
      </c>
      <c r="C588" s="154">
        <f t="shared" si="14"/>
        <v>0</v>
      </c>
      <c r="D588" s="6">
        <f>'MATCH CALCS'!$G589*2</f>
        <v>0</v>
      </c>
      <c r="E588" s="6">
        <f>'MATCH CALCS'!$G589*2</f>
        <v>0</v>
      </c>
      <c r="F588" s="6">
        <f>'MATCH CALCS'!$G589*2</f>
        <v>0</v>
      </c>
      <c r="G588" s="6">
        <f>'MATCH CALCS'!$G589*2</f>
        <v>0</v>
      </c>
      <c r="H588" s="6">
        <f>'MATCH CALCS'!$G589*2</f>
        <v>0</v>
      </c>
      <c r="I588" s="6">
        <f>'MATCH CALCS'!$G589*2</f>
        <v>0</v>
      </c>
      <c r="J588" s="154">
        <f t="shared" si="15"/>
        <v>0</v>
      </c>
      <c r="K588" s="6">
        <f>'MATCH CALCS'!L589*1</f>
        <v>0</v>
      </c>
      <c r="L588" s="6">
        <f>'MATCH CALCS'!$N589*2</f>
        <v>0</v>
      </c>
      <c r="M588" s="6">
        <f>'MATCH CALCS'!N589*1</f>
        <v>0</v>
      </c>
      <c r="N588" s="6">
        <f>'MATCH CALCS'!$N589*2</f>
        <v>0</v>
      </c>
      <c r="O588" s="6">
        <f>'MATCH CALCS'!$N589*2</f>
        <v>0</v>
      </c>
      <c r="P588" s="6">
        <f>'MATCH CALCS'!$P589*5</f>
        <v>0</v>
      </c>
      <c r="Q588" s="154">
        <f t="shared" si="16"/>
        <v>0</v>
      </c>
      <c r="R588" s="6">
        <f>'MATCH CALCS'!$AD589*1</f>
        <v>0</v>
      </c>
      <c r="S588" s="6">
        <f>'MATCH CALCS'!AC589*3</f>
        <v>0</v>
      </c>
      <c r="T588" s="6">
        <f>'MATCH CALCS'!AD589*3</f>
        <v>0</v>
      </c>
      <c r="U588" s="155">
        <f t="shared" si="17"/>
        <v>0</v>
      </c>
      <c r="V588" s="154">
        <f t="shared" si="18"/>
        <v>0</v>
      </c>
    </row>
    <row r="589" spans="1:22">
      <c r="A589" s="154">
        <f>'MATCH CALCS'!A590</f>
        <v>0</v>
      </c>
      <c r="B589" s="154">
        <f>'MATCH CALCS'!$C590</f>
        <v>0</v>
      </c>
      <c r="C589" s="154">
        <f t="shared" si="14"/>
        <v>0</v>
      </c>
      <c r="D589" s="6">
        <f>'MATCH CALCS'!$G590*2</f>
        <v>0</v>
      </c>
      <c r="E589" s="6">
        <f>'MATCH CALCS'!$G590*2</f>
        <v>0</v>
      </c>
      <c r="F589" s="6">
        <f>'MATCH CALCS'!$G590*2</f>
        <v>0</v>
      </c>
      <c r="G589" s="6">
        <f>'MATCH CALCS'!$G590*2</f>
        <v>0</v>
      </c>
      <c r="H589" s="6">
        <f>'MATCH CALCS'!$G590*2</f>
        <v>0</v>
      </c>
      <c r="I589" s="6">
        <f>'MATCH CALCS'!$G590*2</f>
        <v>0</v>
      </c>
      <c r="J589" s="154">
        <f t="shared" si="15"/>
        <v>0</v>
      </c>
      <c r="K589" s="6">
        <f>'MATCH CALCS'!L590*1</f>
        <v>0</v>
      </c>
      <c r="L589" s="6">
        <f>'MATCH CALCS'!$N590*2</f>
        <v>0</v>
      </c>
      <c r="M589" s="6">
        <f>'MATCH CALCS'!N590*1</f>
        <v>0</v>
      </c>
      <c r="N589" s="6">
        <f>'MATCH CALCS'!$N590*2</f>
        <v>0</v>
      </c>
      <c r="O589" s="6">
        <f>'MATCH CALCS'!$N590*2</f>
        <v>0</v>
      </c>
      <c r="P589" s="6">
        <f>'MATCH CALCS'!$P590*5</f>
        <v>0</v>
      </c>
      <c r="Q589" s="154">
        <f t="shared" si="16"/>
        <v>0</v>
      </c>
      <c r="R589" s="6">
        <f>'MATCH CALCS'!$AD590*1</f>
        <v>0</v>
      </c>
      <c r="S589" s="6">
        <f>'MATCH CALCS'!AC590*3</f>
        <v>0</v>
      </c>
      <c r="T589" s="6">
        <f>'MATCH CALCS'!AD590*3</f>
        <v>0</v>
      </c>
      <c r="U589" s="155">
        <f t="shared" si="17"/>
        <v>0</v>
      </c>
      <c r="V589" s="154">
        <f t="shared" si="18"/>
        <v>0</v>
      </c>
    </row>
    <row r="590" spans="1:22">
      <c r="A590" s="154">
        <f>'MATCH CALCS'!A591</f>
        <v>0</v>
      </c>
      <c r="B590" s="154">
        <f>'MATCH CALCS'!$C591</f>
        <v>0</v>
      </c>
      <c r="C590" s="154">
        <f t="shared" si="14"/>
        <v>0</v>
      </c>
      <c r="D590" s="6">
        <f>'MATCH CALCS'!$G591*2</f>
        <v>0</v>
      </c>
      <c r="E590" s="6">
        <f>'MATCH CALCS'!$G591*2</f>
        <v>0</v>
      </c>
      <c r="F590" s="6">
        <f>'MATCH CALCS'!$G591*2</f>
        <v>0</v>
      </c>
      <c r="G590" s="6">
        <f>'MATCH CALCS'!$G591*2</f>
        <v>0</v>
      </c>
      <c r="H590" s="6">
        <f>'MATCH CALCS'!$G591*2</f>
        <v>0</v>
      </c>
      <c r="I590" s="6">
        <f>'MATCH CALCS'!$G591*2</f>
        <v>0</v>
      </c>
      <c r="J590" s="154">
        <f t="shared" si="15"/>
        <v>0</v>
      </c>
      <c r="K590" s="6">
        <f>'MATCH CALCS'!L591*1</f>
        <v>0</v>
      </c>
      <c r="L590" s="6">
        <f>'MATCH CALCS'!$N591*2</f>
        <v>0</v>
      </c>
      <c r="M590" s="6">
        <f>'MATCH CALCS'!N591*1</f>
        <v>0</v>
      </c>
      <c r="N590" s="6">
        <f>'MATCH CALCS'!$N591*2</f>
        <v>0</v>
      </c>
      <c r="O590" s="6">
        <f>'MATCH CALCS'!$N591*2</f>
        <v>0</v>
      </c>
      <c r="P590" s="6">
        <f>'MATCH CALCS'!$P591*5</f>
        <v>0</v>
      </c>
      <c r="Q590" s="154">
        <f t="shared" si="16"/>
        <v>0</v>
      </c>
      <c r="R590" s="6">
        <f>'MATCH CALCS'!$AD591*1</f>
        <v>0</v>
      </c>
      <c r="S590" s="6">
        <f>'MATCH CALCS'!AC591*3</f>
        <v>0</v>
      </c>
      <c r="T590" s="6">
        <f>'MATCH CALCS'!AD591*3</f>
        <v>0</v>
      </c>
      <c r="U590" s="155">
        <f t="shared" si="17"/>
        <v>0</v>
      </c>
      <c r="V590" s="154">
        <f t="shared" si="18"/>
        <v>0</v>
      </c>
    </row>
    <row r="591" spans="1:22">
      <c r="A591" s="154">
        <f>'MATCH CALCS'!A592</f>
        <v>0</v>
      </c>
      <c r="B591" s="154">
        <f>'MATCH CALCS'!$C592</f>
        <v>0</v>
      </c>
      <c r="C591" s="154">
        <f t="shared" si="14"/>
        <v>0</v>
      </c>
      <c r="D591" s="6">
        <f>'MATCH CALCS'!$G592*2</f>
        <v>0</v>
      </c>
      <c r="E591" s="6">
        <f>'MATCH CALCS'!$G592*2</f>
        <v>0</v>
      </c>
      <c r="F591" s="6">
        <f>'MATCH CALCS'!$G592*2</f>
        <v>0</v>
      </c>
      <c r="G591" s="6">
        <f>'MATCH CALCS'!$G592*2</f>
        <v>0</v>
      </c>
      <c r="H591" s="6">
        <f>'MATCH CALCS'!$G592*2</f>
        <v>0</v>
      </c>
      <c r="I591" s="6">
        <f>'MATCH CALCS'!$G592*2</f>
        <v>0</v>
      </c>
      <c r="J591" s="154">
        <f t="shared" si="15"/>
        <v>0</v>
      </c>
      <c r="K591" s="6">
        <f>'MATCH CALCS'!L592*1</f>
        <v>0</v>
      </c>
      <c r="L591" s="6">
        <f>'MATCH CALCS'!$N592*2</f>
        <v>0</v>
      </c>
      <c r="M591" s="6">
        <f>'MATCH CALCS'!N592*1</f>
        <v>0</v>
      </c>
      <c r="N591" s="6">
        <f>'MATCH CALCS'!$N592*2</f>
        <v>0</v>
      </c>
      <c r="O591" s="6">
        <f>'MATCH CALCS'!$N592*2</f>
        <v>0</v>
      </c>
      <c r="P591" s="6">
        <f>'MATCH CALCS'!$P592*5</f>
        <v>0</v>
      </c>
      <c r="Q591" s="154">
        <f t="shared" si="16"/>
        <v>0</v>
      </c>
      <c r="R591" s="6">
        <f>'MATCH CALCS'!$AD592*1</f>
        <v>0</v>
      </c>
      <c r="S591" s="6">
        <f>'MATCH CALCS'!AC592*3</f>
        <v>0</v>
      </c>
      <c r="T591" s="6">
        <f>'MATCH CALCS'!AD592*3</f>
        <v>0</v>
      </c>
      <c r="U591" s="155">
        <f t="shared" si="17"/>
        <v>0</v>
      </c>
      <c r="V591" s="154">
        <f t="shared" si="18"/>
        <v>0</v>
      </c>
    </row>
    <row r="592" spans="1:22">
      <c r="A592" s="154">
        <f>'MATCH CALCS'!A593</f>
        <v>0</v>
      </c>
      <c r="B592" s="154">
        <f>'MATCH CALCS'!$C593</f>
        <v>0</v>
      </c>
      <c r="C592" s="154">
        <f t="shared" si="14"/>
        <v>0</v>
      </c>
      <c r="D592" s="6">
        <f>'MATCH CALCS'!$G593*2</f>
        <v>0</v>
      </c>
      <c r="E592" s="6">
        <f>'MATCH CALCS'!$G593*2</f>
        <v>0</v>
      </c>
      <c r="F592" s="6">
        <f>'MATCH CALCS'!$G593*2</f>
        <v>0</v>
      </c>
      <c r="G592" s="6">
        <f>'MATCH CALCS'!$G593*2</f>
        <v>0</v>
      </c>
      <c r="H592" s="6">
        <f>'MATCH CALCS'!$G593*2</f>
        <v>0</v>
      </c>
      <c r="I592" s="6">
        <f>'MATCH CALCS'!$G593*2</f>
        <v>0</v>
      </c>
      <c r="J592" s="154">
        <f t="shared" si="15"/>
        <v>0</v>
      </c>
      <c r="K592" s="6">
        <f>'MATCH CALCS'!L593*1</f>
        <v>0</v>
      </c>
      <c r="L592" s="6">
        <f>'MATCH CALCS'!$N593*2</f>
        <v>0</v>
      </c>
      <c r="M592" s="6">
        <f>'MATCH CALCS'!N593*1</f>
        <v>0</v>
      </c>
      <c r="N592" s="6">
        <f>'MATCH CALCS'!$N593*2</f>
        <v>0</v>
      </c>
      <c r="O592" s="6">
        <f>'MATCH CALCS'!$N593*2</f>
        <v>0</v>
      </c>
      <c r="P592" s="6">
        <f>'MATCH CALCS'!$P593*5</f>
        <v>0</v>
      </c>
      <c r="Q592" s="154">
        <f t="shared" si="16"/>
        <v>0</v>
      </c>
      <c r="R592" s="6">
        <f>'MATCH CALCS'!$AD593*1</f>
        <v>0</v>
      </c>
      <c r="S592" s="6">
        <f>'MATCH CALCS'!AC593*3</f>
        <v>0</v>
      </c>
      <c r="T592" s="6">
        <f>'MATCH CALCS'!AD593*3</f>
        <v>0</v>
      </c>
      <c r="U592" s="155">
        <f t="shared" si="17"/>
        <v>0</v>
      </c>
      <c r="V592" s="154">
        <f t="shared" si="18"/>
        <v>0</v>
      </c>
    </row>
    <row r="593" spans="1:22">
      <c r="A593" s="154">
        <f>'MATCH CALCS'!A594</f>
        <v>0</v>
      </c>
      <c r="B593" s="154">
        <f>'MATCH CALCS'!$C594</f>
        <v>0</v>
      </c>
      <c r="C593" s="154">
        <f t="shared" si="14"/>
        <v>0</v>
      </c>
      <c r="D593" s="6">
        <f>'MATCH CALCS'!$G594*2</f>
        <v>0</v>
      </c>
      <c r="E593" s="6">
        <f>'MATCH CALCS'!$G594*2</f>
        <v>0</v>
      </c>
      <c r="F593" s="6">
        <f>'MATCH CALCS'!$G594*2</f>
        <v>0</v>
      </c>
      <c r="G593" s="6">
        <f>'MATCH CALCS'!$G594*2</f>
        <v>0</v>
      </c>
      <c r="H593" s="6">
        <f>'MATCH CALCS'!$G594*2</f>
        <v>0</v>
      </c>
      <c r="I593" s="6">
        <f>'MATCH CALCS'!$G594*2</f>
        <v>0</v>
      </c>
      <c r="J593" s="154">
        <f t="shared" si="15"/>
        <v>0</v>
      </c>
      <c r="K593" s="6">
        <f>'MATCH CALCS'!L594*1</f>
        <v>0</v>
      </c>
      <c r="L593" s="6">
        <f>'MATCH CALCS'!$N594*2</f>
        <v>0</v>
      </c>
      <c r="M593" s="6">
        <f>'MATCH CALCS'!N594*1</f>
        <v>0</v>
      </c>
      <c r="N593" s="6">
        <f>'MATCH CALCS'!$N594*2</f>
        <v>0</v>
      </c>
      <c r="O593" s="6">
        <f>'MATCH CALCS'!$N594*2</f>
        <v>0</v>
      </c>
      <c r="P593" s="6">
        <f>'MATCH CALCS'!$P594*5</f>
        <v>0</v>
      </c>
      <c r="Q593" s="154">
        <f t="shared" si="16"/>
        <v>0</v>
      </c>
      <c r="R593" s="6">
        <f>'MATCH CALCS'!$AD594*1</f>
        <v>0</v>
      </c>
      <c r="S593" s="6">
        <f>'MATCH CALCS'!AC594*3</f>
        <v>0</v>
      </c>
      <c r="T593" s="6">
        <f>'MATCH CALCS'!AD594*3</f>
        <v>0</v>
      </c>
      <c r="U593" s="155">
        <f t="shared" si="17"/>
        <v>0</v>
      </c>
      <c r="V593" s="154">
        <f t="shared" si="18"/>
        <v>0</v>
      </c>
    </row>
    <row r="594" spans="1:22">
      <c r="A594" s="154">
        <f>'MATCH CALCS'!A595</f>
        <v>0</v>
      </c>
      <c r="B594" s="154">
        <f>'MATCH CALCS'!$C595</f>
        <v>0</v>
      </c>
      <c r="C594" s="154">
        <f t="shared" si="14"/>
        <v>0</v>
      </c>
      <c r="D594" s="6">
        <f>'MATCH CALCS'!$G595*2</f>
        <v>0</v>
      </c>
      <c r="E594" s="6">
        <f>'MATCH CALCS'!$G595*2</f>
        <v>0</v>
      </c>
      <c r="F594" s="6">
        <f>'MATCH CALCS'!$G595*2</f>
        <v>0</v>
      </c>
      <c r="G594" s="6">
        <f>'MATCH CALCS'!$G595*2</f>
        <v>0</v>
      </c>
      <c r="H594" s="6">
        <f>'MATCH CALCS'!$G595*2</f>
        <v>0</v>
      </c>
      <c r="I594" s="6">
        <f>'MATCH CALCS'!$G595*2</f>
        <v>0</v>
      </c>
      <c r="J594" s="154">
        <f t="shared" si="15"/>
        <v>0</v>
      </c>
      <c r="K594" s="6">
        <f>'MATCH CALCS'!L595*1</f>
        <v>0</v>
      </c>
      <c r="L594" s="6">
        <f>'MATCH CALCS'!$N595*2</f>
        <v>0</v>
      </c>
      <c r="M594" s="6">
        <f>'MATCH CALCS'!N595*1</f>
        <v>0</v>
      </c>
      <c r="N594" s="6">
        <f>'MATCH CALCS'!$N595*2</f>
        <v>0</v>
      </c>
      <c r="O594" s="6">
        <f>'MATCH CALCS'!$N595*2</f>
        <v>0</v>
      </c>
      <c r="P594" s="6">
        <f>'MATCH CALCS'!$P595*5</f>
        <v>0</v>
      </c>
      <c r="Q594" s="154">
        <f t="shared" si="16"/>
        <v>0</v>
      </c>
      <c r="R594" s="6">
        <f>'MATCH CALCS'!$AD595*1</f>
        <v>0</v>
      </c>
      <c r="S594" s="6">
        <f>'MATCH CALCS'!AC595*3</f>
        <v>0</v>
      </c>
      <c r="T594" s="6">
        <f>'MATCH CALCS'!AD595*3</f>
        <v>0</v>
      </c>
      <c r="U594" s="155">
        <f t="shared" si="17"/>
        <v>0</v>
      </c>
      <c r="V594" s="154">
        <f t="shared" si="18"/>
        <v>0</v>
      </c>
    </row>
    <row r="595" spans="1:22">
      <c r="A595" s="154">
        <f>'MATCH CALCS'!A596</f>
        <v>0</v>
      </c>
      <c r="B595" s="154">
        <f>'MATCH CALCS'!$C596</f>
        <v>0</v>
      </c>
      <c r="C595" s="154">
        <f t="shared" si="14"/>
        <v>0</v>
      </c>
      <c r="D595" s="6">
        <f>'MATCH CALCS'!$G596*2</f>
        <v>0</v>
      </c>
      <c r="E595" s="6">
        <f>'MATCH CALCS'!$G596*2</f>
        <v>0</v>
      </c>
      <c r="F595" s="6">
        <f>'MATCH CALCS'!$G596*2</f>
        <v>0</v>
      </c>
      <c r="G595" s="6">
        <f>'MATCH CALCS'!$G596*2</f>
        <v>0</v>
      </c>
      <c r="H595" s="6">
        <f>'MATCH CALCS'!$G596*2</f>
        <v>0</v>
      </c>
      <c r="I595" s="6">
        <f>'MATCH CALCS'!$G596*2</f>
        <v>0</v>
      </c>
      <c r="J595" s="154">
        <f t="shared" si="15"/>
        <v>0</v>
      </c>
      <c r="K595" s="6">
        <f>'MATCH CALCS'!L596*1</f>
        <v>0</v>
      </c>
      <c r="L595" s="6">
        <f>'MATCH CALCS'!$N596*2</f>
        <v>0</v>
      </c>
      <c r="M595" s="6">
        <f>'MATCH CALCS'!N596*1</f>
        <v>0</v>
      </c>
      <c r="N595" s="6">
        <f>'MATCH CALCS'!$N596*2</f>
        <v>0</v>
      </c>
      <c r="O595" s="6">
        <f>'MATCH CALCS'!$N596*2</f>
        <v>0</v>
      </c>
      <c r="P595" s="6">
        <f>'MATCH CALCS'!$P596*5</f>
        <v>0</v>
      </c>
      <c r="Q595" s="154">
        <f t="shared" si="16"/>
        <v>0</v>
      </c>
      <c r="R595" s="6">
        <f>'MATCH CALCS'!$AD596*1</f>
        <v>0</v>
      </c>
      <c r="S595" s="6">
        <f>'MATCH CALCS'!AC596*3</f>
        <v>0</v>
      </c>
      <c r="T595" s="6">
        <f>'MATCH CALCS'!AD596*3</f>
        <v>0</v>
      </c>
      <c r="U595" s="155">
        <f t="shared" si="17"/>
        <v>0</v>
      </c>
      <c r="V595" s="154">
        <f t="shared" si="18"/>
        <v>0</v>
      </c>
    </row>
    <row r="596" spans="1:22">
      <c r="A596" s="154">
        <f>'MATCH CALCS'!A597</f>
        <v>0</v>
      </c>
      <c r="B596" s="154">
        <f>'MATCH CALCS'!$C597</f>
        <v>0</v>
      </c>
      <c r="C596" s="154">
        <f t="shared" si="14"/>
        <v>0</v>
      </c>
      <c r="D596" s="6">
        <f>'MATCH CALCS'!$G597*2</f>
        <v>0</v>
      </c>
      <c r="E596" s="6">
        <f>'MATCH CALCS'!$G597*2</f>
        <v>0</v>
      </c>
      <c r="F596" s="6">
        <f>'MATCH CALCS'!$G597*2</f>
        <v>0</v>
      </c>
      <c r="G596" s="6">
        <f>'MATCH CALCS'!$G597*2</f>
        <v>0</v>
      </c>
      <c r="H596" s="6">
        <f>'MATCH CALCS'!$G597*2</f>
        <v>0</v>
      </c>
      <c r="I596" s="6">
        <f>'MATCH CALCS'!$G597*2</f>
        <v>0</v>
      </c>
      <c r="J596" s="154">
        <f t="shared" si="15"/>
        <v>0</v>
      </c>
      <c r="K596" s="6">
        <f>'MATCH CALCS'!L597*1</f>
        <v>0</v>
      </c>
      <c r="L596" s="6">
        <f>'MATCH CALCS'!$N597*2</f>
        <v>0</v>
      </c>
      <c r="M596" s="6">
        <f>'MATCH CALCS'!N597*1</f>
        <v>0</v>
      </c>
      <c r="N596" s="6">
        <f>'MATCH CALCS'!$N597*2</f>
        <v>0</v>
      </c>
      <c r="O596" s="6">
        <f>'MATCH CALCS'!$N597*2</f>
        <v>0</v>
      </c>
      <c r="P596" s="6">
        <f>'MATCH CALCS'!$P597*5</f>
        <v>0</v>
      </c>
      <c r="Q596" s="154">
        <f t="shared" si="16"/>
        <v>0</v>
      </c>
      <c r="R596" s="6">
        <f>'MATCH CALCS'!$AD597*1</f>
        <v>0</v>
      </c>
      <c r="S596" s="6">
        <f>'MATCH CALCS'!AC597*3</f>
        <v>0</v>
      </c>
      <c r="T596" s="6">
        <f>'MATCH CALCS'!AD597*3</f>
        <v>0</v>
      </c>
      <c r="U596" s="155">
        <f t="shared" si="17"/>
        <v>0</v>
      </c>
      <c r="V596" s="154">
        <f t="shared" si="18"/>
        <v>0</v>
      </c>
    </row>
    <row r="597" spans="1:22">
      <c r="A597" s="154">
        <f>'MATCH CALCS'!A598</f>
        <v>0</v>
      </c>
      <c r="B597" s="154">
        <f>'MATCH CALCS'!$C598</f>
        <v>0</v>
      </c>
      <c r="C597" s="154">
        <f t="shared" si="14"/>
        <v>0</v>
      </c>
      <c r="D597" s="6">
        <f>'MATCH CALCS'!$G598*2</f>
        <v>0</v>
      </c>
      <c r="E597" s="6">
        <f>'MATCH CALCS'!$G598*2</f>
        <v>0</v>
      </c>
      <c r="F597" s="6">
        <f>'MATCH CALCS'!$G598*2</f>
        <v>0</v>
      </c>
      <c r="G597" s="6">
        <f>'MATCH CALCS'!$G598*2</f>
        <v>0</v>
      </c>
      <c r="H597" s="6">
        <f>'MATCH CALCS'!$G598*2</f>
        <v>0</v>
      </c>
      <c r="I597" s="6">
        <f>'MATCH CALCS'!$G598*2</f>
        <v>0</v>
      </c>
      <c r="J597" s="154">
        <f t="shared" si="15"/>
        <v>0</v>
      </c>
      <c r="K597" s="6">
        <f>'MATCH CALCS'!L598*1</f>
        <v>0</v>
      </c>
      <c r="L597" s="6">
        <f>'MATCH CALCS'!$N598*2</f>
        <v>0</v>
      </c>
      <c r="M597" s="6">
        <f>'MATCH CALCS'!N598*1</f>
        <v>0</v>
      </c>
      <c r="N597" s="6">
        <f>'MATCH CALCS'!$N598*2</f>
        <v>0</v>
      </c>
      <c r="O597" s="6">
        <f>'MATCH CALCS'!$N598*2</f>
        <v>0</v>
      </c>
      <c r="P597" s="6">
        <f>'MATCH CALCS'!$P598*5</f>
        <v>0</v>
      </c>
      <c r="Q597" s="154">
        <f t="shared" si="16"/>
        <v>0</v>
      </c>
      <c r="R597" s="6">
        <f>'MATCH CALCS'!$AD598*1</f>
        <v>0</v>
      </c>
      <c r="S597" s="6">
        <f>'MATCH CALCS'!AC598*3</f>
        <v>0</v>
      </c>
      <c r="T597" s="6">
        <f>'MATCH CALCS'!AD598*3</f>
        <v>0</v>
      </c>
      <c r="U597" s="155">
        <f t="shared" si="17"/>
        <v>0</v>
      </c>
      <c r="V597" s="154">
        <f t="shared" si="18"/>
        <v>0</v>
      </c>
    </row>
    <row r="598" spans="1:22">
      <c r="A598" s="154">
        <f>'MATCH CALCS'!A599</f>
        <v>0</v>
      </c>
      <c r="B598" s="154">
        <f>'MATCH CALCS'!$C599</f>
        <v>0</v>
      </c>
      <c r="C598" s="154">
        <f t="shared" si="14"/>
        <v>0</v>
      </c>
      <c r="D598" s="6">
        <f>'MATCH CALCS'!$G599*2</f>
        <v>0</v>
      </c>
      <c r="E598" s="6">
        <f>'MATCH CALCS'!$G599*2</f>
        <v>0</v>
      </c>
      <c r="F598" s="6">
        <f>'MATCH CALCS'!$G599*2</f>
        <v>0</v>
      </c>
      <c r="G598" s="6">
        <f>'MATCH CALCS'!$G599*2</f>
        <v>0</v>
      </c>
      <c r="H598" s="6">
        <f>'MATCH CALCS'!$G599*2</f>
        <v>0</v>
      </c>
      <c r="I598" s="6">
        <f>'MATCH CALCS'!$G599*2</f>
        <v>0</v>
      </c>
      <c r="J598" s="154">
        <f t="shared" si="15"/>
        <v>0</v>
      </c>
      <c r="K598" s="6">
        <f>'MATCH CALCS'!L599*1</f>
        <v>0</v>
      </c>
      <c r="L598" s="6">
        <f>'MATCH CALCS'!$N599*2</f>
        <v>0</v>
      </c>
      <c r="M598" s="6">
        <f>'MATCH CALCS'!N599*1</f>
        <v>0</v>
      </c>
      <c r="N598" s="6">
        <f>'MATCH CALCS'!$N599*2</f>
        <v>0</v>
      </c>
      <c r="O598" s="6">
        <f>'MATCH CALCS'!$N599*2</f>
        <v>0</v>
      </c>
      <c r="P598" s="6">
        <f>'MATCH CALCS'!$P599*5</f>
        <v>0</v>
      </c>
      <c r="Q598" s="154">
        <f t="shared" si="16"/>
        <v>0</v>
      </c>
      <c r="R598" s="6">
        <f>'MATCH CALCS'!$AD599*1</f>
        <v>0</v>
      </c>
      <c r="S598" s="6">
        <f>'MATCH CALCS'!AC599*3</f>
        <v>0</v>
      </c>
      <c r="T598" s="6">
        <f>'MATCH CALCS'!AD599*3</f>
        <v>0</v>
      </c>
      <c r="U598" s="155">
        <f t="shared" si="17"/>
        <v>0</v>
      </c>
      <c r="V598" s="154">
        <f t="shared" si="18"/>
        <v>0</v>
      </c>
    </row>
    <row r="599" spans="1:22">
      <c r="A599" s="154">
        <f>'MATCH CALCS'!A600</f>
        <v>0</v>
      </c>
      <c r="B599" s="154">
        <f>'MATCH CALCS'!$C600</f>
        <v>0</v>
      </c>
      <c r="C599" s="154">
        <f t="shared" si="14"/>
        <v>0</v>
      </c>
      <c r="D599" s="6">
        <f>'MATCH CALCS'!$G600*2</f>
        <v>0</v>
      </c>
      <c r="E599" s="6">
        <f>'MATCH CALCS'!$G600*2</f>
        <v>0</v>
      </c>
      <c r="F599" s="6">
        <f>'MATCH CALCS'!$G600*2</f>
        <v>0</v>
      </c>
      <c r="G599" s="6">
        <f>'MATCH CALCS'!$G600*2</f>
        <v>0</v>
      </c>
      <c r="H599" s="6">
        <f>'MATCH CALCS'!$G600*2</f>
        <v>0</v>
      </c>
      <c r="I599" s="6">
        <f>'MATCH CALCS'!$G600*2</f>
        <v>0</v>
      </c>
      <c r="J599" s="154">
        <f t="shared" si="15"/>
        <v>0</v>
      </c>
      <c r="K599" s="6">
        <f>'MATCH CALCS'!L600*1</f>
        <v>0</v>
      </c>
      <c r="L599" s="6">
        <f>'MATCH CALCS'!$N600*2</f>
        <v>0</v>
      </c>
      <c r="M599" s="6">
        <f>'MATCH CALCS'!N600*1</f>
        <v>0</v>
      </c>
      <c r="N599" s="6">
        <f>'MATCH CALCS'!$N600*2</f>
        <v>0</v>
      </c>
      <c r="O599" s="6">
        <f>'MATCH CALCS'!$N600*2</f>
        <v>0</v>
      </c>
      <c r="P599" s="6">
        <f>'MATCH CALCS'!$P600*5</f>
        <v>0</v>
      </c>
      <c r="Q599" s="154">
        <f t="shared" si="16"/>
        <v>0</v>
      </c>
      <c r="R599" s="6">
        <f>'MATCH CALCS'!$AD600*1</f>
        <v>0</v>
      </c>
      <c r="S599" s="6">
        <f>'MATCH CALCS'!AC600*3</f>
        <v>0</v>
      </c>
      <c r="T599" s="6">
        <f>'MATCH CALCS'!AD600*3</f>
        <v>0</v>
      </c>
      <c r="U599" s="155">
        <f t="shared" si="17"/>
        <v>0</v>
      </c>
      <c r="V599" s="154">
        <f t="shared" si="18"/>
        <v>0</v>
      </c>
    </row>
    <row r="600" spans="1:22">
      <c r="A600" s="154">
        <f>'MATCH CALCS'!A601</f>
        <v>0</v>
      </c>
      <c r="B600" s="154">
        <f>'MATCH CALCS'!$C601</f>
        <v>0</v>
      </c>
      <c r="C600" s="154">
        <f t="shared" si="14"/>
        <v>0</v>
      </c>
      <c r="D600" s="6">
        <f>'MATCH CALCS'!$G601*2</f>
        <v>0</v>
      </c>
      <c r="E600" s="6">
        <f>'MATCH CALCS'!$G601*2</f>
        <v>0</v>
      </c>
      <c r="F600" s="6">
        <f>'MATCH CALCS'!$G601*2</f>
        <v>0</v>
      </c>
      <c r="G600" s="6">
        <f>'MATCH CALCS'!$G601*2</f>
        <v>0</v>
      </c>
      <c r="H600" s="6">
        <f>'MATCH CALCS'!$G601*2</f>
        <v>0</v>
      </c>
      <c r="I600" s="6">
        <f>'MATCH CALCS'!$G601*2</f>
        <v>0</v>
      </c>
      <c r="J600" s="154">
        <f t="shared" si="15"/>
        <v>0</v>
      </c>
      <c r="K600" s="6">
        <f>'MATCH CALCS'!L601*1</f>
        <v>0</v>
      </c>
      <c r="L600" s="6">
        <f>'MATCH CALCS'!$N601*2</f>
        <v>0</v>
      </c>
      <c r="M600" s="6">
        <f>'MATCH CALCS'!N601*1</f>
        <v>0</v>
      </c>
      <c r="N600" s="6">
        <f>'MATCH CALCS'!$N601*2</f>
        <v>0</v>
      </c>
      <c r="O600" s="6">
        <f>'MATCH CALCS'!$N601*2</f>
        <v>0</v>
      </c>
      <c r="P600" s="6">
        <f>'MATCH CALCS'!$P601*5</f>
        <v>0</v>
      </c>
      <c r="Q600" s="154">
        <f t="shared" si="16"/>
        <v>0</v>
      </c>
      <c r="R600" s="6">
        <f>'MATCH CALCS'!$AD601*1</f>
        <v>0</v>
      </c>
      <c r="S600" s="6">
        <f>'MATCH CALCS'!AC601*3</f>
        <v>0</v>
      </c>
      <c r="T600" s="6">
        <f>'MATCH CALCS'!AD601*3</f>
        <v>0</v>
      </c>
      <c r="U600" s="155">
        <f t="shared" si="17"/>
        <v>0</v>
      </c>
      <c r="V600" s="154">
        <f t="shared" si="18"/>
        <v>0</v>
      </c>
    </row>
    <row r="601" spans="1:22">
      <c r="A601" s="154">
        <f>'MATCH CALCS'!A602</f>
        <v>0</v>
      </c>
      <c r="B601" s="154">
        <f>'MATCH CALCS'!$C602</f>
        <v>0</v>
      </c>
      <c r="C601" s="154">
        <f t="shared" si="14"/>
        <v>0</v>
      </c>
      <c r="D601" s="6">
        <f>'MATCH CALCS'!$G602*2</f>
        <v>0</v>
      </c>
      <c r="E601" s="6">
        <f>'MATCH CALCS'!$G602*2</f>
        <v>0</v>
      </c>
      <c r="F601" s="6">
        <f>'MATCH CALCS'!$G602*2</f>
        <v>0</v>
      </c>
      <c r="G601" s="6">
        <f>'MATCH CALCS'!$G602*2</f>
        <v>0</v>
      </c>
      <c r="H601" s="6">
        <f>'MATCH CALCS'!$G602*2</f>
        <v>0</v>
      </c>
      <c r="I601" s="6">
        <f>'MATCH CALCS'!$G602*2</f>
        <v>0</v>
      </c>
      <c r="J601" s="154">
        <f t="shared" si="15"/>
        <v>0</v>
      </c>
      <c r="K601" s="6">
        <f>'MATCH CALCS'!L602*1</f>
        <v>0</v>
      </c>
      <c r="L601" s="6">
        <f>'MATCH CALCS'!$N602*2</f>
        <v>0</v>
      </c>
      <c r="M601" s="6">
        <f>'MATCH CALCS'!N602*1</f>
        <v>0</v>
      </c>
      <c r="N601" s="6">
        <f>'MATCH CALCS'!$N602*2</f>
        <v>0</v>
      </c>
      <c r="O601" s="6">
        <f>'MATCH CALCS'!$N602*2</f>
        <v>0</v>
      </c>
      <c r="P601" s="6">
        <f>'MATCH CALCS'!$P602*5</f>
        <v>0</v>
      </c>
      <c r="Q601" s="154">
        <f t="shared" si="16"/>
        <v>0</v>
      </c>
      <c r="R601" s="6">
        <f>'MATCH CALCS'!$AD602*1</f>
        <v>0</v>
      </c>
      <c r="S601" s="6">
        <f>'MATCH CALCS'!AC602*3</f>
        <v>0</v>
      </c>
      <c r="T601" s="6">
        <f>'MATCH CALCS'!AD602*3</f>
        <v>0</v>
      </c>
      <c r="U601" s="155">
        <f t="shared" si="17"/>
        <v>0</v>
      </c>
      <c r="V601" s="154">
        <f t="shared" si="18"/>
        <v>0</v>
      </c>
    </row>
    <row r="602" spans="1:22">
      <c r="A602" s="154">
        <f>'MATCH CALCS'!A603</f>
        <v>0</v>
      </c>
      <c r="B602" s="154">
        <f>'MATCH CALCS'!$C603</f>
        <v>0</v>
      </c>
      <c r="C602" s="154">
        <f t="shared" si="14"/>
        <v>0</v>
      </c>
      <c r="D602" s="6">
        <f>'MATCH CALCS'!$G603*2</f>
        <v>0</v>
      </c>
      <c r="E602" s="6">
        <f>'MATCH CALCS'!$G603*2</f>
        <v>0</v>
      </c>
      <c r="F602" s="6">
        <f>'MATCH CALCS'!$G603*2</f>
        <v>0</v>
      </c>
      <c r="G602" s="6">
        <f>'MATCH CALCS'!$G603*2</f>
        <v>0</v>
      </c>
      <c r="H602" s="6">
        <f>'MATCH CALCS'!$G603*2</f>
        <v>0</v>
      </c>
      <c r="I602" s="6">
        <f>'MATCH CALCS'!$G603*2</f>
        <v>0</v>
      </c>
      <c r="J602" s="154">
        <f t="shared" si="15"/>
        <v>0</v>
      </c>
      <c r="K602" s="6">
        <f>'MATCH CALCS'!L603*1</f>
        <v>0</v>
      </c>
      <c r="L602" s="6">
        <f>'MATCH CALCS'!$N603*2</f>
        <v>0</v>
      </c>
      <c r="M602" s="6">
        <f>'MATCH CALCS'!N603*1</f>
        <v>0</v>
      </c>
      <c r="N602" s="6">
        <f>'MATCH CALCS'!$N603*2</f>
        <v>0</v>
      </c>
      <c r="O602" s="6">
        <f>'MATCH CALCS'!$N603*2</f>
        <v>0</v>
      </c>
      <c r="P602" s="6">
        <f>'MATCH CALCS'!$P603*5</f>
        <v>0</v>
      </c>
      <c r="Q602" s="154">
        <f t="shared" si="16"/>
        <v>0</v>
      </c>
      <c r="R602" s="6">
        <f>'MATCH CALCS'!$AD603*1</f>
        <v>0</v>
      </c>
      <c r="S602" s="6">
        <f>'MATCH CALCS'!AC603*3</f>
        <v>0</v>
      </c>
      <c r="T602" s="6">
        <f>'MATCH CALCS'!AD603*3</f>
        <v>0</v>
      </c>
      <c r="U602" s="155">
        <f t="shared" si="17"/>
        <v>0</v>
      </c>
      <c r="V602" s="154">
        <f t="shared" si="18"/>
        <v>0</v>
      </c>
    </row>
    <row r="603" spans="1:22">
      <c r="A603" s="154">
        <f>'MATCH CALCS'!A604</f>
        <v>0</v>
      </c>
      <c r="B603" s="154">
        <f>'MATCH CALCS'!$C604</f>
        <v>0</v>
      </c>
      <c r="C603" s="154">
        <f t="shared" si="14"/>
        <v>0</v>
      </c>
      <c r="D603" s="6">
        <f>'MATCH CALCS'!$G604*2</f>
        <v>0</v>
      </c>
      <c r="E603" s="6">
        <f>'MATCH CALCS'!$G604*2</f>
        <v>0</v>
      </c>
      <c r="F603" s="6">
        <f>'MATCH CALCS'!$G604*2</f>
        <v>0</v>
      </c>
      <c r="G603" s="6">
        <f>'MATCH CALCS'!$G604*2</f>
        <v>0</v>
      </c>
      <c r="H603" s="6">
        <f>'MATCH CALCS'!$G604*2</f>
        <v>0</v>
      </c>
      <c r="I603" s="6">
        <f>'MATCH CALCS'!$G604*2</f>
        <v>0</v>
      </c>
      <c r="J603" s="154">
        <f t="shared" si="15"/>
        <v>0</v>
      </c>
      <c r="K603" s="6">
        <f>'MATCH CALCS'!L604*1</f>
        <v>0</v>
      </c>
      <c r="L603" s="6">
        <f>'MATCH CALCS'!$N604*2</f>
        <v>0</v>
      </c>
      <c r="M603" s="6">
        <f>'MATCH CALCS'!N604*1</f>
        <v>0</v>
      </c>
      <c r="N603" s="6">
        <f>'MATCH CALCS'!$N604*2</f>
        <v>0</v>
      </c>
      <c r="O603" s="6">
        <f>'MATCH CALCS'!$N604*2</f>
        <v>0</v>
      </c>
      <c r="P603" s="6">
        <f>'MATCH CALCS'!$P604*5</f>
        <v>0</v>
      </c>
      <c r="Q603" s="154">
        <f t="shared" si="16"/>
        <v>0</v>
      </c>
      <c r="R603" s="6">
        <f>'MATCH CALCS'!$AD604*1</f>
        <v>0</v>
      </c>
      <c r="S603" s="6">
        <f>'MATCH CALCS'!AC604*3</f>
        <v>0</v>
      </c>
      <c r="T603" s="6">
        <f>'MATCH CALCS'!AD604*3</f>
        <v>0</v>
      </c>
      <c r="U603" s="155">
        <f t="shared" si="17"/>
        <v>0</v>
      </c>
      <c r="V603" s="154">
        <f t="shared" si="18"/>
        <v>0</v>
      </c>
    </row>
    <row r="604" spans="1:22">
      <c r="A604" s="154">
        <f>'MATCH CALCS'!A605</f>
        <v>0</v>
      </c>
      <c r="B604" s="154">
        <f>'MATCH CALCS'!$C605</f>
        <v>0</v>
      </c>
      <c r="C604" s="154">
        <f t="shared" si="14"/>
        <v>0</v>
      </c>
      <c r="D604" s="6">
        <f>'MATCH CALCS'!$G605*2</f>
        <v>0</v>
      </c>
      <c r="E604" s="6">
        <f>'MATCH CALCS'!$G605*2</f>
        <v>0</v>
      </c>
      <c r="F604" s="6">
        <f>'MATCH CALCS'!$G605*2</f>
        <v>0</v>
      </c>
      <c r="G604" s="6">
        <f>'MATCH CALCS'!$G605*2</f>
        <v>0</v>
      </c>
      <c r="H604" s="6">
        <f>'MATCH CALCS'!$G605*2</f>
        <v>0</v>
      </c>
      <c r="I604" s="6">
        <f>'MATCH CALCS'!$G605*2</f>
        <v>0</v>
      </c>
      <c r="J604" s="154">
        <f t="shared" si="15"/>
        <v>0</v>
      </c>
      <c r="K604" s="6">
        <f>'MATCH CALCS'!L605*1</f>
        <v>0</v>
      </c>
      <c r="L604" s="6">
        <f>'MATCH CALCS'!$N605*2</f>
        <v>0</v>
      </c>
      <c r="M604" s="6">
        <f>'MATCH CALCS'!N605*1</f>
        <v>0</v>
      </c>
      <c r="N604" s="6">
        <f>'MATCH CALCS'!$N605*2</f>
        <v>0</v>
      </c>
      <c r="O604" s="6">
        <f>'MATCH CALCS'!$N605*2</f>
        <v>0</v>
      </c>
      <c r="P604" s="6">
        <f>'MATCH CALCS'!$P605*5</f>
        <v>0</v>
      </c>
      <c r="Q604" s="154">
        <f t="shared" si="16"/>
        <v>0</v>
      </c>
      <c r="R604" s="6">
        <f>'MATCH CALCS'!$AD605*1</f>
        <v>0</v>
      </c>
      <c r="S604" s="6">
        <f>'MATCH CALCS'!AC605*3</f>
        <v>0</v>
      </c>
      <c r="T604" s="6">
        <f>'MATCH CALCS'!AD605*3</f>
        <v>0</v>
      </c>
      <c r="U604" s="155">
        <f t="shared" si="17"/>
        <v>0</v>
      </c>
      <c r="V604" s="154">
        <f t="shared" si="18"/>
        <v>0</v>
      </c>
    </row>
    <row r="605" spans="1:22">
      <c r="A605" s="154">
        <f>'MATCH CALCS'!A606</f>
        <v>0</v>
      </c>
      <c r="B605" s="154">
        <f>'MATCH CALCS'!$C606</f>
        <v>0</v>
      </c>
      <c r="C605" s="154">
        <f t="shared" si="14"/>
        <v>0</v>
      </c>
      <c r="D605" s="6">
        <f>'MATCH CALCS'!$G606*2</f>
        <v>0</v>
      </c>
      <c r="E605" s="6">
        <f>'MATCH CALCS'!$G606*2</f>
        <v>0</v>
      </c>
      <c r="F605" s="6">
        <f>'MATCH CALCS'!$G606*2</f>
        <v>0</v>
      </c>
      <c r="G605" s="6">
        <f>'MATCH CALCS'!$G606*2</f>
        <v>0</v>
      </c>
      <c r="H605" s="6">
        <f>'MATCH CALCS'!$G606*2</f>
        <v>0</v>
      </c>
      <c r="I605" s="6">
        <f>'MATCH CALCS'!$G606*2</f>
        <v>0</v>
      </c>
      <c r="J605" s="154">
        <f t="shared" si="15"/>
        <v>0</v>
      </c>
      <c r="K605" s="6">
        <f>'MATCH CALCS'!L606*1</f>
        <v>0</v>
      </c>
      <c r="L605" s="6">
        <f>'MATCH CALCS'!$N606*2</f>
        <v>0</v>
      </c>
      <c r="M605" s="6">
        <f>'MATCH CALCS'!N606*1</f>
        <v>0</v>
      </c>
      <c r="N605" s="6">
        <f>'MATCH CALCS'!$N606*2</f>
        <v>0</v>
      </c>
      <c r="O605" s="6">
        <f>'MATCH CALCS'!$N606*2</f>
        <v>0</v>
      </c>
      <c r="P605" s="6">
        <f>'MATCH CALCS'!$P606*5</f>
        <v>0</v>
      </c>
      <c r="Q605" s="154">
        <f t="shared" si="16"/>
        <v>0</v>
      </c>
      <c r="R605" s="6">
        <f>'MATCH CALCS'!$AD606*1</f>
        <v>0</v>
      </c>
      <c r="S605" s="6">
        <f>'MATCH CALCS'!AC606*3</f>
        <v>0</v>
      </c>
      <c r="T605" s="6">
        <f>'MATCH CALCS'!AD606*3</f>
        <v>0</v>
      </c>
      <c r="U605" s="155">
        <f t="shared" si="17"/>
        <v>0</v>
      </c>
      <c r="V605" s="154">
        <f t="shared" si="18"/>
        <v>0</v>
      </c>
    </row>
    <row r="606" spans="1:22">
      <c r="A606" s="154">
        <f>'MATCH CALCS'!A607</f>
        <v>0</v>
      </c>
      <c r="B606" s="154">
        <f>'MATCH CALCS'!$C607</f>
        <v>0</v>
      </c>
      <c r="C606" s="154">
        <f t="shared" si="14"/>
        <v>0</v>
      </c>
      <c r="D606" s="6">
        <f>'MATCH CALCS'!$G607*2</f>
        <v>0</v>
      </c>
      <c r="E606" s="6">
        <f>'MATCH CALCS'!$G607*2</f>
        <v>0</v>
      </c>
      <c r="F606" s="6">
        <f>'MATCH CALCS'!$G607*2</f>
        <v>0</v>
      </c>
      <c r="G606" s="6">
        <f>'MATCH CALCS'!$G607*2</f>
        <v>0</v>
      </c>
      <c r="H606" s="6">
        <f>'MATCH CALCS'!$G607*2</f>
        <v>0</v>
      </c>
      <c r="I606" s="6">
        <f>'MATCH CALCS'!$G607*2</f>
        <v>0</v>
      </c>
      <c r="J606" s="154">
        <f t="shared" si="15"/>
        <v>0</v>
      </c>
      <c r="K606" s="6">
        <f>'MATCH CALCS'!L607*1</f>
        <v>0</v>
      </c>
      <c r="L606" s="6">
        <f>'MATCH CALCS'!$N607*2</f>
        <v>0</v>
      </c>
      <c r="M606" s="6">
        <f>'MATCH CALCS'!N607*1</f>
        <v>0</v>
      </c>
      <c r="N606" s="6">
        <f>'MATCH CALCS'!$N607*2</f>
        <v>0</v>
      </c>
      <c r="O606" s="6">
        <f>'MATCH CALCS'!$N607*2</f>
        <v>0</v>
      </c>
      <c r="P606" s="6">
        <f>'MATCH CALCS'!$P607*5</f>
        <v>0</v>
      </c>
      <c r="Q606" s="154">
        <f t="shared" si="16"/>
        <v>0</v>
      </c>
      <c r="R606" s="6">
        <f>'MATCH CALCS'!$AD607*1</f>
        <v>0</v>
      </c>
      <c r="S606" s="6">
        <f>'MATCH CALCS'!AC607*3</f>
        <v>0</v>
      </c>
      <c r="T606" s="6">
        <f>'MATCH CALCS'!AD607*3</f>
        <v>0</v>
      </c>
      <c r="U606" s="155">
        <f t="shared" si="17"/>
        <v>0</v>
      </c>
      <c r="V606" s="154">
        <f t="shared" si="18"/>
        <v>0</v>
      </c>
    </row>
    <row r="607" spans="1:22">
      <c r="A607" s="154">
        <f>'MATCH CALCS'!A608</f>
        <v>0</v>
      </c>
      <c r="B607" s="154">
        <f>'MATCH CALCS'!$C608</f>
        <v>0</v>
      </c>
      <c r="C607" s="154">
        <f t="shared" si="14"/>
        <v>0</v>
      </c>
      <c r="D607" s="6">
        <f>'MATCH CALCS'!$G608*2</f>
        <v>0</v>
      </c>
      <c r="E607" s="6">
        <f>'MATCH CALCS'!$G608*2</f>
        <v>0</v>
      </c>
      <c r="F607" s="6">
        <f>'MATCH CALCS'!$G608*2</f>
        <v>0</v>
      </c>
      <c r="G607" s="6">
        <f>'MATCH CALCS'!$G608*2</f>
        <v>0</v>
      </c>
      <c r="H607" s="6">
        <f>'MATCH CALCS'!$G608*2</f>
        <v>0</v>
      </c>
      <c r="I607" s="6">
        <f>'MATCH CALCS'!$G608*2</f>
        <v>0</v>
      </c>
      <c r="J607" s="154">
        <f t="shared" si="15"/>
        <v>0</v>
      </c>
      <c r="K607" s="6">
        <f>'MATCH CALCS'!L608*1</f>
        <v>0</v>
      </c>
      <c r="L607" s="6">
        <f>'MATCH CALCS'!$N608*2</f>
        <v>0</v>
      </c>
      <c r="M607" s="6">
        <f>'MATCH CALCS'!N608*1</f>
        <v>0</v>
      </c>
      <c r="N607" s="6">
        <f>'MATCH CALCS'!$N608*2</f>
        <v>0</v>
      </c>
      <c r="O607" s="6">
        <f>'MATCH CALCS'!$N608*2</f>
        <v>0</v>
      </c>
      <c r="P607" s="6">
        <f>'MATCH CALCS'!$P608*5</f>
        <v>0</v>
      </c>
      <c r="Q607" s="154">
        <f t="shared" si="16"/>
        <v>0</v>
      </c>
      <c r="R607" s="6">
        <f>'MATCH CALCS'!$AD608*1</f>
        <v>0</v>
      </c>
      <c r="S607" s="6">
        <f>'MATCH CALCS'!AC608*3</f>
        <v>0</v>
      </c>
      <c r="T607" s="6">
        <f>'MATCH CALCS'!AD608*3</f>
        <v>0</v>
      </c>
      <c r="U607" s="155">
        <f t="shared" si="17"/>
        <v>0</v>
      </c>
      <c r="V607" s="154">
        <f t="shared" si="18"/>
        <v>0</v>
      </c>
    </row>
    <row r="608" spans="1:22">
      <c r="A608" s="154">
        <f>'MATCH CALCS'!A609</f>
        <v>0</v>
      </c>
      <c r="B608" s="154">
        <f>'MATCH CALCS'!$C609</f>
        <v>0</v>
      </c>
      <c r="C608" s="154">
        <f t="shared" si="14"/>
        <v>0</v>
      </c>
      <c r="D608" s="6">
        <f>'MATCH CALCS'!$G609*2</f>
        <v>0</v>
      </c>
      <c r="E608" s="6">
        <f>'MATCH CALCS'!$G609*2</f>
        <v>0</v>
      </c>
      <c r="F608" s="6">
        <f>'MATCH CALCS'!$G609*2</f>
        <v>0</v>
      </c>
      <c r="G608" s="6">
        <f>'MATCH CALCS'!$G609*2</f>
        <v>0</v>
      </c>
      <c r="H608" s="6">
        <f>'MATCH CALCS'!$G609*2</f>
        <v>0</v>
      </c>
      <c r="I608" s="6">
        <f>'MATCH CALCS'!$G609*2</f>
        <v>0</v>
      </c>
      <c r="J608" s="154">
        <f t="shared" si="15"/>
        <v>0</v>
      </c>
      <c r="K608" s="6">
        <f>'MATCH CALCS'!L609*1</f>
        <v>0</v>
      </c>
      <c r="L608" s="6">
        <f>'MATCH CALCS'!$N609*2</f>
        <v>0</v>
      </c>
      <c r="M608" s="6">
        <f>'MATCH CALCS'!N609*1</f>
        <v>0</v>
      </c>
      <c r="N608" s="6">
        <f>'MATCH CALCS'!$N609*2</f>
        <v>0</v>
      </c>
      <c r="O608" s="6">
        <f>'MATCH CALCS'!$N609*2</f>
        <v>0</v>
      </c>
      <c r="P608" s="6">
        <f>'MATCH CALCS'!$P609*5</f>
        <v>0</v>
      </c>
      <c r="Q608" s="154">
        <f t="shared" si="16"/>
        <v>0</v>
      </c>
      <c r="R608" s="6">
        <f>'MATCH CALCS'!$AD609*1</f>
        <v>0</v>
      </c>
      <c r="S608" s="6">
        <f>'MATCH CALCS'!AC609*3</f>
        <v>0</v>
      </c>
      <c r="T608" s="6">
        <f>'MATCH CALCS'!AD609*3</f>
        <v>0</v>
      </c>
      <c r="U608" s="155">
        <f t="shared" si="17"/>
        <v>0</v>
      </c>
      <c r="V608" s="154">
        <f t="shared" si="18"/>
        <v>0</v>
      </c>
    </row>
    <row r="609" spans="1:22">
      <c r="A609" s="154">
        <f>'MATCH CALCS'!A610</f>
        <v>0</v>
      </c>
      <c r="B609" s="154">
        <f>'MATCH CALCS'!$C610</f>
        <v>0</v>
      </c>
      <c r="C609" s="154">
        <f t="shared" si="14"/>
        <v>0</v>
      </c>
      <c r="D609" s="6">
        <f>'MATCH CALCS'!$G610*2</f>
        <v>0</v>
      </c>
      <c r="E609" s="6">
        <f>'MATCH CALCS'!$G610*2</f>
        <v>0</v>
      </c>
      <c r="F609" s="6">
        <f>'MATCH CALCS'!$G610*2</f>
        <v>0</v>
      </c>
      <c r="G609" s="6">
        <f>'MATCH CALCS'!$G610*2</f>
        <v>0</v>
      </c>
      <c r="H609" s="6">
        <f>'MATCH CALCS'!$G610*2</f>
        <v>0</v>
      </c>
      <c r="I609" s="6">
        <f>'MATCH CALCS'!$G610*2</f>
        <v>0</v>
      </c>
      <c r="J609" s="154">
        <f t="shared" si="15"/>
        <v>0</v>
      </c>
      <c r="K609" s="6">
        <f>'MATCH CALCS'!L610*1</f>
        <v>0</v>
      </c>
      <c r="L609" s="6">
        <f>'MATCH CALCS'!$N610*2</f>
        <v>0</v>
      </c>
      <c r="M609" s="6">
        <f>'MATCH CALCS'!N610*1</f>
        <v>0</v>
      </c>
      <c r="N609" s="6">
        <f>'MATCH CALCS'!$N610*2</f>
        <v>0</v>
      </c>
      <c r="O609" s="6">
        <f>'MATCH CALCS'!$N610*2</f>
        <v>0</v>
      </c>
      <c r="P609" s="6">
        <f>'MATCH CALCS'!$P610*5</f>
        <v>0</v>
      </c>
      <c r="Q609" s="154">
        <f t="shared" si="16"/>
        <v>0</v>
      </c>
      <c r="R609" s="6">
        <f>'MATCH CALCS'!$AD610*1</f>
        <v>0</v>
      </c>
      <c r="S609" s="6">
        <f>'MATCH CALCS'!AC610*3</f>
        <v>0</v>
      </c>
      <c r="T609" s="6">
        <f>'MATCH CALCS'!AD610*3</f>
        <v>0</v>
      </c>
      <c r="U609" s="155">
        <f t="shared" si="17"/>
        <v>0</v>
      </c>
      <c r="V609" s="154">
        <f t="shared" si="18"/>
        <v>0</v>
      </c>
    </row>
    <row r="610" spans="1:22">
      <c r="A610" s="154">
        <f>'MATCH CALCS'!A611</f>
        <v>0</v>
      </c>
      <c r="B610" s="154">
        <f>'MATCH CALCS'!$C611</f>
        <v>0</v>
      </c>
      <c r="C610" s="154">
        <f t="shared" si="14"/>
        <v>0</v>
      </c>
      <c r="D610" s="6">
        <f>'MATCH CALCS'!$G611*2</f>
        <v>0</v>
      </c>
      <c r="E610" s="6">
        <f>'MATCH CALCS'!$G611*2</f>
        <v>0</v>
      </c>
      <c r="F610" s="6">
        <f>'MATCH CALCS'!$G611*2</f>
        <v>0</v>
      </c>
      <c r="G610" s="6">
        <f>'MATCH CALCS'!$G611*2</f>
        <v>0</v>
      </c>
      <c r="H610" s="6">
        <f>'MATCH CALCS'!$G611*2</f>
        <v>0</v>
      </c>
      <c r="I610" s="6">
        <f>'MATCH CALCS'!$G611*2</f>
        <v>0</v>
      </c>
      <c r="J610" s="154">
        <f t="shared" si="15"/>
        <v>0</v>
      </c>
      <c r="K610" s="6">
        <f>'MATCH CALCS'!L611*1</f>
        <v>0</v>
      </c>
      <c r="L610" s="6">
        <f>'MATCH CALCS'!$N611*2</f>
        <v>0</v>
      </c>
      <c r="M610" s="6">
        <f>'MATCH CALCS'!N611*1</f>
        <v>0</v>
      </c>
      <c r="N610" s="6">
        <f>'MATCH CALCS'!$N611*2</f>
        <v>0</v>
      </c>
      <c r="O610" s="6">
        <f>'MATCH CALCS'!$N611*2</f>
        <v>0</v>
      </c>
      <c r="P610" s="6">
        <f>'MATCH CALCS'!$P611*5</f>
        <v>0</v>
      </c>
      <c r="Q610" s="154">
        <f t="shared" si="16"/>
        <v>0</v>
      </c>
      <c r="R610" s="6">
        <f>'MATCH CALCS'!$AD611*1</f>
        <v>0</v>
      </c>
      <c r="S610" s="6">
        <f>'MATCH CALCS'!AC611*3</f>
        <v>0</v>
      </c>
      <c r="T610" s="6">
        <f>'MATCH CALCS'!AD611*3</f>
        <v>0</v>
      </c>
      <c r="U610" s="155">
        <f t="shared" si="17"/>
        <v>0</v>
      </c>
      <c r="V610" s="154">
        <f t="shared" si="18"/>
        <v>0</v>
      </c>
    </row>
    <row r="611" spans="1:22">
      <c r="A611" s="154">
        <f>'MATCH CALCS'!A612</f>
        <v>0</v>
      </c>
      <c r="B611" s="154">
        <f>'MATCH CALCS'!$C612</f>
        <v>0</v>
      </c>
      <c r="C611" s="154">
        <f t="shared" si="14"/>
        <v>0</v>
      </c>
      <c r="D611" s="6">
        <f>'MATCH CALCS'!$G612*2</f>
        <v>0</v>
      </c>
      <c r="E611" s="6">
        <f>'MATCH CALCS'!$G612*2</f>
        <v>0</v>
      </c>
      <c r="F611" s="6">
        <f>'MATCH CALCS'!$G612*2</f>
        <v>0</v>
      </c>
      <c r="G611" s="6">
        <f>'MATCH CALCS'!$G612*2</f>
        <v>0</v>
      </c>
      <c r="H611" s="6">
        <f>'MATCH CALCS'!$G612*2</f>
        <v>0</v>
      </c>
      <c r="I611" s="6">
        <f>'MATCH CALCS'!$G612*2</f>
        <v>0</v>
      </c>
      <c r="J611" s="154">
        <f t="shared" si="15"/>
        <v>0</v>
      </c>
      <c r="K611" s="6">
        <f>'MATCH CALCS'!L612*1</f>
        <v>0</v>
      </c>
      <c r="L611" s="6">
        <f>'MATCH CALCS'!$N612*2</f>
        <v>0</v>
      </c>
      <c r="M611" s="6">
        <f>'MATCH CALCS'!N612*1</f>
        <v>0</v>
      </c>
      <c r="N611" s="6">
        <f>'MATCH CALCS'!$N612*2</f>
        <v>0</v>
      </c>
      <c r="O611" s="6">
        <f>'MATCH CALCS'!$N612*2</f>
        <v>0</v>
      </c>
      <c r="P611" s="6">
        <f>'MATCH CALCS'!$P612*5</f>
        <v>0</v>
      </c>
      <c r="Q611" s="154">
        <f t="shared" si="16"/>
        <v>0</v>
      </c>
      <c r="R611" s="6">
        <f>'MATCH CALCS'!$AD612*1</f>
        <v>0</v>
      </c>
      <c r="S611" s="6">
        <f>'MATCH CALCS'!AC612*3</f>
        <v>0</v>
      </c>
      <c r="T611" s="6">
        <f>'MATCH CALCS'!AD612*3</f>
        <v>0</v>
      </c>
      <c r="U611" s="155">
        <f t="shared" si="17"/>
        <v>0</v>
      </c>
      <c r="V611" s="154">
        <f t="shared" si="18"/>
        <v>0</v>
      </c>
    </row>
    <row r="612" spans="1:22">
      <c r="A612" s="154">
        <f>'MATCH CALCS'!A613</f>
        <v>0</v>
      </c>
      <c r="B612" s="154">
        <f>'MATCH CALCS'!$C613</f>
        <v>0</v>
      </c>
      <c r="C612" s="154">
        <f t="shared" si="14"/>
        <v>0</v>
      </c>
      <c r="D612" s="6">
        <f>'MATCH CALCS'!$G613*2</f>
        <v>0</v>
      </c>
      <c r="E612" s="6">
        <f>'MATCH CALCS'!$G613*2</f>
        <v>0</v>
      </c>
      <c r="F612" s="6">
        <f>'MATCH CALCS'!$G613*2</f>
        <v>0</v>
      </c>
      <c r="G612" s="6">
        <f>'MATCH CALCS'!$G613*2</f>
        <v>0</v>
      </c>
      <c r="H612" s="6">
        <f>'MATCH CALCS'!$G613*2</f>
        <v>0</v>
      </c>
      <c r="I612" s="6">
        <f>'MATCH CALCS'!$G613*2</f>
        <v>0</v>
      </c>
      <c r="J612" s="154">
        <f t="shared" si="15"/>
        <v>0</v>
      </c>
      <c r="K612" s="6">
        <f>'MATCH CALCS'!L613*1</f>
        <v>0</v>
      </c>
      <c r="L612" s="6">
        <f>'MATCH CALCS'!$N613*2</f>
        <v>0</v>
      </c>
      <c r="M612" s="6">
        <f>'MATCH CALCS'!N613*1</f>
        <v>0</v>
      </c>
      <c r="N612" s="6">
        <f>'MATCH CALCS'!$N613*2</f>
        <v>0</v>
      </c>
      <c r="O612" s="6">
        <f>'MATCH CALCS'!$N613*2</f>
        <v>0</v>
      </c>
      <c r="P612" s="6">
        <f>'MATCH CALCS'!$P613*5</f>
        <v>0</v>
      </c>
      <c r="Q612" s="154">
        <f t="shared" si="16"/>
        <v>0</v>
      </c>
      <c r="R612" s="6">
        <f>'MATCH CALCS'!$AD613*1</f>
        <v>0</v>
      </c>
      <c r="S612" s="6">
        <f>'MATCH CALCS'!AC613*3</f>
        <v>0</v>
      </c>
      <c r="T612" s="6">
        <f>'MATCH CALCS'!AD613*3</f>
        <v>0</v>
      </c>
      <c r="U612" s="155">
        <f t="shared" si="17"/>
        <v>0</v>
      </c>
      <c r="V612" s="154">
        <f t="shared" si="18"/>
        <v>0</v>
      </c>
    </row>
    <row r="613" spans="1:22">
      <c r="A613" s="154">
        <f>'MATCH CALCS'!A614</f>
        <v>0</v>
      </c>
      <c r="B613" s="154">
        <f>'MATCH CALCS'!$C614</f>
        <v>0</v>
      </c>
      <c r="C613" s="154">
        <f t="shared" si="14"/>
        <v>0</v>
      </c>
      <c r="D613" s="6">
        <f>'MATCH CALCS'!$G614*2</f>
        <v>0</v>
      </c>
      <c r="E613" s="6">
        <f>'MATCH CALCS'!$G614*2</f>
        <v>0</v>
      </c>
      <c r="F613" s="6">
        <f>'MATCH CALCS'!$G614*2</f>
        <v>0</v>
      </c>
      <c r="G613" s="6">
        <f>'MATCH CALCS'!$G614*2</f>
        <v>0</v>
      </c>
      <c r="H613" s="6">
        <f>'MATCH CALCS'!$G614*2</f>
        <v>0</v>
      </c>
      <c r="I613" s="6">
        <f>'MATCH CALCS'!$G614*2</f>
        <v>0</v>
      </c>
      <c r="J613" s="154">
        <f t="shared" si="15"/>
        <v>0</v>
      </c>
      <c r="K613" s="6">
        <f>'MATCH CALCS'!L614*1</f>
        <v>0</v>
      </c>
      <c r="L613" s="6">
        <f>'MATCH CALCS'!$N614*2</f>
        <v>0</v>
      </c>
      <c r="M613" s="6">
        <f>'MATCH CALCS'!N614*1</f>
        <v>0</v>
      </c>
      <c r="N613" s="6">
        <f>'MATCH CALCS'!$N614*2</f>
        <v>0</v>
      </c>
      <c r="O613" s="6">
        <f>'MATCH CALCS'!$N614*2</f>
        <v>0</v>
      </c>
      <c r="P613" s="6">
        <f>'MATCH CALCS'!$P614*5</f>
        <v>0</v>
      </c>
      <c r="Q613" s="154">
        <f t="shared" si="16"/>
        <v>0</v>
      </c>
      <c r="R613" s="6">
        <f>'MATCH CALCS'!$AD614*1</f>
        <v>0</v>
      </c>
      <c r="S613" s="6">
        <f>'MATCH CALCS'!AC614*3</f>
        <v>0</v>
      </c>
      <c r="T613" s="6">
        <f>'MATCH CALCS'!AD614*3</f>
        <v>0</v>
      </c>
      <c r="U613" s="155">
        <f t="shared" si="17"/>
        <v>0</v>
      </c>
      <c r="V613" s="154">
        <f t="shared" si="18"/>
        <v>0</v>
      </c>
    </row>
    <row r="614" spans="1:22">
      <c r="A614" s="154">
        <f>'MATCH CALCS'!A615</f>
        <v>0</v>
      </c>
      <c r="B614" s="154">
        <f>'MATCH CALCS'!$C615</f>
        <v>0</v>
      </c>
      <c r="C614" s="154">
        <f t="shared" si="14"/>
        <v>0</v>
      </c>
      <c r="D614" s="6">
        <f>'MATCH CALCS'!$G615*2</f>
        <v>0</v>
      </c>
      <c r="E614" s="6">
        <f>'MATCH CALCS'!$G615*2</f>
        <v>0</v>
      </c>
      <c r="F614" s="6">
        <f>'MATCH CALCS'!$G615*2</f>
        <v>0</v>
      </c>
      <c r="G614" s="6">
        <f>'MATCH CALCS'!$G615*2</f>
        <v>0</v>
      </c>
      <c r="H614" s="6">
        <f>'MATCH CALCS'!$G615*2</f>
        <v>0</v>
      </c>
      <c r="I614" s="6">
        <f>'MATCH CALCS'!$G615*2</f>
        <v>0</v>
      </c>
      <c r="J614" s="154">
        <f t="shared" si="15"/>
        <v>0</v>
      </c>
      <c r="K614" s="6">
        <f>'MATCH CALCS'!L615*1</f>
        <v>0</v>
      </c>
      <c r="L614" s="6">
        <f>'MATCH CALCS'!$N615*2</f>
        <v>0</v>
      </c>
      <c r="M614" s="6">
        <f>'MATCH CALCS'!N615*1</f>
        <v>0</v>
      </c>
      <c r="N614" s="6">
        <f>'MATCH CALCS'!$N615*2</f>
        <v>0</v>
      </c>
      <c r="O614" s="6">
        <f>'MATCH CALCS'!$N615*2</f>
        <v>0</v>
      </c>
      <c r="P614" s="6">
        <f>'MATCH CALCS'!$P615*5</f>
        <v>0</v>
      </c>
      <c r="Q614" s="154">
        <f t="shared" si="16"/>
        <v>0</v>
      </c>
      <c r="R614" s="6">
        <f>'MATCH CALCS'!$AD615*1</f>
        <v>0</v>
      </c>
      <c r="S614" s="6">
        <f>'MATCH CALCS'!AC615*3</f>
        <v>0</v>
      </c>
      <c r="T614" s="6">
        <f>'MATCH CALCS'!AD615*3</f>
        <v>0</v>
      </c>
      <c r="U614" s="155">
        <f t="shared" si="17"/>
        <v>0</v>
      </c>
      <c r="V614" s="154">
        <f t="shared" si="18"/>
        <v>0</v>
      </c>
    </row>
    <row r="615" spans="1:22">
      <c r="A615" s="154">
        <f>'MATCH CALCS'!A616</f>
        <v>0</v>
      </c>
      <c r="B615" s="154">
        <f>'MATCH CALCS'!$C616</f>
        <v>0</v>
      </c>
      <c r="C615" s="154">
        <f t="shared" si="14"/>
        <v>0</v>
      </c>
      <c r="D615" s="6">
        <f>'MATCH CALCS'!$G616*2</f>
        <v>0</v>
      </c>
      <c r="E615" s="6">
        <f>'MATCH CALCS'!$G616*2</f>
        <v>0</v>
      </c>
      <c r="F615" s="6">
        <f>'MATCH CALCS'!$G616*2</f>
        <v>0</v>
      </c>
      <c r="G615" s="6">
        <f>'MATCH CALCS'!$G616*2</f>
        <v>0</v>
      </c>
      <c r="H615" s="6">
        <f>'MATCH CALCS'!$G616*2</f>
        <v>0</v>
      </c>
      <c r="I615" s="6">
        <f>'MATCH CALCS'!$G616*2</f>
        <v>0</v>
      </c>
      <c r="J615" s="154">
        <f t="shared" si="15"/>
        <v>0</v>
      </c>
      <c r="K615" s="6">
        <f>'MATCH CALCS'!L616*1</f>
        <v>0</v>
      </c>
      <c r="L615" s="6">
        <f>'MATCH CALCS'!$N616*2</f>
        <v>0</v>
      </c>
      <c r="M615" s="6">
        <f>'MATCH CALCS'!N616*1</f>
        <v>0</v>
      </c>
      <c r="N615" s="6">
        <f>'MATCH CALCS'!$N616*2</f>
        <v>0</v>
      </c>
      <c r="O615" s="6">
        <f>'MATCH CALCS'!$N616*2</f>
        <v>0</v>
      </c>
      <c r="P615" s="6">
        <f>'MATCH CALCS'!$P616*5</f>
        <v>0</v>
      </c>
      <c r="Q615" s="154">
        <f t="shared" si="16"/>
        <v>0</v>
      </c>
      <c r="R615" s="6">
        <f>'MATCH CALCS'!$AD616*1</f>
        <v>0</v>
      </c>
      <c r="S615" s="6">
        <f>'MATCH CALCS'!AC616*3</f>
        <v>0</v>
      </c>
      <c r="T615" s="6">
        <f>'MATCH CALCS'!AD616*3</f>
        <v>0</v>
      </c>
      <c r="U615" s="155">
        <f t="shared" si="17"/>
        <v>0</v>
      </c>
      <c r="V615" s="154">
        <f t="shared" si="18"/>
        <v>0</v>
      </c>
    </row>
    <row r="616" spans="1:22">
      <c r="A616" s="154">
        <f>'MATCH CALCS'!A617</f>
        <v>0</v>
      </c>
      <c r="B616" s="154">
        <f>'MATCH CALCS'!$C617</f>
        <v>0</v>
      </c>
      <c r="C616" s="154">
        <f t="shared" si="14"/>
        <v>0</v>
      </c>
      <c r="D616" s="6">
        <f>'MATCH CALCS'!$G617*2</f>
        <v>0</v>
      </c>
      <c r="E616" s="6">
        <f>'MATCH CALCS'!$G617*2</f>
        <v>0</v>
      </c>
      <c r="F616" s="6">
        <f>'MATCH CALCS'!$G617*2</f>
        <v>0</v>
      </c>
      <c r="G616" s="6">
        <f>'MATCH CALCS'!$G617*2</f>
        <v>0</v>
      </c>
      <c r="H616" s="6">
        <f>'MATCH CALCS'!$G617*2</f>
        <v>0</v>
      </c>
      <c r="I616" s="6">
        <f>'MATCH CALCS'!$G617*2</f>
        <v>0</v>
      </c>
      <c r="J616" s="154">
        <f t="shared" si="15"/>
        <v>0</v>
      </c>
      <c r="K616" s="6">
        <f>'MATCH CALCS'!L617*1</f>
        <v>0</v>
      </c>
      <c r="L616" s="6">
        <f>'MATCH CALCS'!$N617*2</f>
        <v>0</v>
      </c>
      <c r="M616" s="6">
        <f>'MATCH CALCS'!N617*1</f>
        <v>0</v>
      </c>
      <c r="N616" s="6">
        <f>'MATCH CALCS'!$N617*2</f>
        <v>0</v>
      </c>
      <c r="O616" s="6">
        <f>'MATCH CALCS'!$N617*2</f>
        <v>0</v>
      </c>
      <c r="P616" s="6">
        <f>'MATCH CALCS'!$P617*5</f>
        <v>0</v>
      </c>
      <c r="Q616" s="154">
        <f t="shared" si="16"/>
        <v>0</v>
      </c>
      <c r="R616" s="6">
        <f>'MATCH CALCS'!$AD617*1</f>
        <v>0</v>
      </c>
      <c r="S616" s="6">
        <f>'MATCH CALCS'!AC617*3</f>
        <v>0</v>
      </c>
      <c r="T616" s="6">
        <f>'MATCH CALCS'!AD617*3</f>
        <v>0</v>
      </c>
      <c r="U616" s="155">
        <f t="shared" si="17"/>
        <v>0</v>
      </c>
      <c r="V616" s="154">
        <f t="shared" si="18"/>
        <v>0</v>
      </c>
    </row>
    <row r="617" spans="1:22">
      <c r="A617" s="154">
        <f>'MATCH CALCS'!A618</f>
        <v>0</v>
      </c>
      <c r="B617" s="154">
        <f>'MATCH CALCS'!$C618</f>
        <v>0</v>
      </c>
      <c r="C617" s="154">
        <f t="shared" si="14"/>
        <v>0</v>
      </c>
      <c r="D617" s="6">
        <f>'MATCH CALCS'!$G618*2</f>
        <v>0</v>
      </c>
      <c r="E617" s="6">
        <f>'MATCH CALCS'!$G618*2</f>
        <v>0</v>
      </c>
      <c r="F617" s="6">
        <f>'MATCH CALCS'!$G618*2</f>
        <v>0</v>
      </c>
      <c r="G617" s="6">
        <f>'MATCH CALCS'!$G618*2</f>
        <v>0</v>
      </c>
      <c r="H617" s="6">
        <f>'MATCH CALCS'!$G618*2</f>
        <v>0</v>
      </c>
      <c r="I617" s="6">
        <f>'MATCH CALCS'!$G618*2</f>
        <v>0</v>
      </c>
      <c r="J617" s="154">
        <f t="shared" si="15"/>
        <v>0</v>
      </c>
      <c r="K617" s="6">
        <f>'MATCH CALCS'!L618*1</f>
        <v>0</v>
      </c>
      <c r="L617" s="6">
        <f>'MATCH CALCS'!$N618*2</f>
        <v>0</v>
      </c>
      <c r="M617" s="6">
        <f>'MATCH CALCS'!N618*1</f>
        <v>0</v>
      </c>
      <c r="N617" s="6">
        <f>'MATCH CALCS'!$N618*2</f>
        <v>0</v>
      </c>
      <c r="O617" s="6">
        <f>'MATCH CALCS'!$N618*2</f>
        <v>0</v>
      </c>
      <c r="P617" s="6">
        <f>'MATCH CALCS'!$P618*5</f>
        <v>0</v>
      </c>
      <c r="Q617" s="154">
        <f t="shared" si="16"/>
        <v>0</v>
      </c>
      <c r="R617" s="6">
        <f>'MATCH CALCS'!$AD618*1</f>
        <v>0</v>
      </c>
      <c r="S617" s="6">
        <f>'MATCH CALCS'!AC618*3</f>
        <v>0</v>
      </c>
      <c r="T617" s="6">
        <f>'MATCH CALCS'!AD618*3</f>
        <v>0</v>
      </c>
      <c r="U617" s="155">
        <f t="shared" si="17"/>
        <v>0</v>
      </c>
      <c r="V617" s="154">
        <f t="shared" si="18"/>
        <v>0</v>
      </c>
    </row>
    <row r="618" spans="1:22">
      <c r="A618" s="154">
        <f>'MATCH CALCS'!A619</f>
        <v>0</v>
      </c>
      <c r="B618" s="154">
        <f>'MATCH CALCS'!$C619</f>
        <v>0</v>
      </c>
      <c r="C618" s="154">
        <f t="shared" si="14"/>
        <v>0</v>
      </c>
      <c r="D618" s="6">
        <f>'MATCH CALCS'!$G619*2</f>
        <v>0</v>
      </c>
      <c r="E618" s="6">
        <f>'MATCH CALCS'!$G619*2</f>
        <v>0</v>
      </c>
      <c r="F618" s="6">
        <f>'MATCH CALCS'!$G619*2</f>
        <v>0</v>
      </c>
      <c r="G618" s="6">
        <f>'MATCH CALCS'!$G619*2</f>
        <v>0</v>
      </c>
      <c r="H618" s="6">
        <f>'MATCH CALCS'!$G619*2</f>
        <v>0</v>
      </c>
      <c r="I618" s="6">
        <f>'MATCH CALCS'!$G619*2</f>
        <v>0</v>
      </c>
      <c r="J618" s="154">
        <f t="shared" si="15"/>
        <v>0</v>
      </c>
      <c r="K618" s="6">
        <f>'MATCH CALCS'!L619*1</f>
        <v>0</v>
      </c>
      <c r="L618" s="6">
        <f>'MATCH CALCS'!$N619*2</f>
        <v>0</v>
      </c>
      <c r="M618" s="6">
        <f>'MATCH CALCS'!N619*1</f>
        <v>0</v>
      </c>
      <c r="N618" s="6">
        <f>'MATCH CALCS'!$N619*2</f>
        <v>0</v>
      </c>
      <c r="O618" s="6">
        <f>'MATCH CALCS'!$N619*2</f>
        <v>0</v>
      </c>
      <c r="P618" s="6">
        <f>'MATCH CALCS'!$P619*5</f>
        <v>0</v>
      </c>
      <c r="Q618" s="154">
        <f t="shared" si="16"/>
        <v>0</v>
      </c>
      <c r="R618" s="6">
        <f>'MATCH CALCS'!$AD619*1</f>
        <v>0</v>
      </c>
      <c r="S618" s="6">
        <f>'MATCH CALCS'!AC619*3</f>
        <v>0</v>
      </c>
      <c r="T618" s="6">
        <f>'MATCH CALCS'!AD619*3</f>
        <v>0</v>
      </c>
      <c r="U618" s="155">
        <f t="shared" si="17"/>
        <v>0</v>
      </c>
      <c r="V618" s="154">
        <f t="shared" si="18"/>
        <v>0</v>
      </c>
    </row>
    <row r="619" spans="1:22">
      <c r="A619" s="154">
        <f>'MATCH CALCS'!A620</f>
        <v>0</v>
      </c>
      <c r="B619" s="154">
        <f>'MATCH CALCS'!$C620</f>
        <v>0</v>
      </c>
      <c r="C619" s="154">
        <f t="shared" si="14"/>
        <v>0</v>
      </c>
      <c r="D619" s="6">
        <f>'MATCH CALCS'!$G620*2</f>
        <v>0</v>
      </c>
      <c r="E619" s="6">
        <f>'MATCH CALCS'!$G620*2</f>
        <v>0</v>
      </c>
      <c r="F619" s="6">
        <f>'MATCH CALCS'!$G620*2</f>
        <v>0</v>
      </c>
      <c r="G619" s="6">
        <f>'MATCH CALCS'!$G620*2</f>
        <v>0</v>
      </c>
      <c r="H619" s="6">
        <f>'MATCH CALCS'!$G620*2</f>
        <v>0</v>
      </c>
      <c r="I619" s="6">
        <f>'MATCH CALCS'!$G620*2</f>
        <v>0</v>
      </c>
      <c r="J619" s="154">
        <f t="shared" si="15"/>
        <v>0</v>
      </c>
      <c r="K619" s="6">
        <f>'MATCH CALCS'!L620*1</f>
        <v>0</v>
      </c>
      <c r="L619" s="6">
        <f>'MATCH CALCS'!$N620*2</f>
        <v>0</v>
      </c>
      <c r="M619" s="6">
        <f>'MATCH CALCS'!N620*1</f>
        <v>0</v>
      </c>
      <c r="N619" s="6">
        <f>'MATCH CALCS'!$N620*2</f>
        <v>0</v>
      </c>
      <c r="O619" s="6">
        <f>'MATCH CALCS'!$N620*2</f>
        <v>0</v>
      </c>
      <c r="P619" s="6">
        <f>'MATCH CALCS'!$P620*5</f>
        <v>0</v>
      </c>
      <c r="Q619" s="154">
        <f t="shared" si="16"/>
        <v>0</v>
      </c>
      <c r="R619" s="6">
        <f>'MATCH CALCS'!$AD620*1</f>
        <v>0</v>
      </c>
      <c r="S619" s="6">
        <f>'MATCH CALCS'!AC620*3</f>
        <v>0</v>
      </c>
      <c r="T619" s="6">
        <f>'MATCH CALCS'!AD620*3</f>
        <v>0</v>
      </c>
      <c r="U619" s="155">
        <f t="shared" si="17"/>
        <v>0</v>
      </c>
      <c r="V619" s="154">
        <f t="shared" si="18"/>
        <v>0</v>
      </c>
    </row>
    <row r="620" spans="1:22">
      <c r="A620" s="154">
        <f>'MATCH CALCS'!A621</f>
        <v>0</v>
      </c>
      <c r="B620" s="154">
        <f>'MATCH CALCS'!$C621</f>
        <v>0</v>
      </c>
      <c r="C620" s="154">
        <f t="shared" si="14"/>
        <v>0</v>
      </c>
      <c r="D620" s="6">
        <f>'MATCH CALCS'!$G621*2</f>
        <v>0</v>
      </c>
      <c r="E620" s="6">
        <f>'MATCH CALCS'!$G621*2</f>
        <v>0</v>
      </c>
      <c r="F620" s="6">
        <f>'MATCH CALCS'!$G621*2</f>
        <v>0</v>
      </c>
      <c r="G620" s="6">
        <f>'MATCH CALCS'!$G621*2</f>
        <v>0</v>
      </c>
      <c r="H620" s="6">
        <f>'MATCH CALCS'!$G621*2</f>
        <v>0</v>
      </c>
      <c r="I620" s="6">
        <f>'MATCH CALCS'!$G621*2</f>
        <v>0</v>
      </c>
      <c r="J620" s="154">
        <f t="shared" si="15"/>
        <v>0</v>
      </c>
      <c r="K620" s="6">
        <f>'MATCH CALCS'!L621*1</f>
        <v>0</v>
      </c>
      <c r="L620" s="6">
        <f>'MATCH CALCS'!$N621*2</f>
        <v>0</v>
      </c>
      <c r="M620" s="6">
        <f>'MATCH CALCS'!N621*1</f>
        <v>0</v>
      </c>
      <c r="N620" s="6">
        <f>'MATCH CALCS'!$N621*2</f>
        <v>0</v>
      </c>
      <c r="O620" s="6">
        <f>'MATCH CALCS'!$N621*2</f>
        <v>0</v>
      </c>
      <c r="P620" s="6">
        <f>'MATCH CALCS'!$P621*5</f>
        <v>0</v>
      </c>
      <c r="Q620" s="154">
        <f t="shared" si="16"/>
        <v>0</v>
      </c>
      <c r="R620" s="6">
        <f>'MATCH CALCS'!$AD621*1</f>
        <v>0</v>
      </c>
      <c r="S620" s="6">
        <f>'MATCH CALCS'!AC621*3</f>
        <v>0</v>
      </c>
      <c r="T620" s="6">
        <f>'MATCH CALCS'!AD621*3</f>
        <v>0</v>
      </c>
      <c r="U620" s="155">
        <f t="shared" si="17"/>
        <v>0</v>
      </c>
      <c r="V620" s="154">
        <f t="shared" si="18"/>
        <v>0</v>
      </c>
    </row>
    <row r="621" spans="1:22">
      <c r="A621" s="154">
        <f>'MATCH CALCS'!A622</f>
        <v>0</v>
      </c>
      <c r="B621" s="154">
        <f>'MATCH CALCS'!$C622</f>
        <v>0</v>
      </c>
      <c r="C621" s="154">
        <f t="shared" si="14"/>
        <v>0</v>
      </c>
      <c r="D621" s="6">
        <f>'MATCH CALCS'!$G622*2</f>
        <v>0</v>
      </c>
      <c r="E621" s="6">
        <f>'MATCH CALCS'!$G622*2</f>
        <v>0</v>
      </c>
      <c r="F621" s="6">
        <f>'MATCH CALCS'!$G622*2</f>
        <v>0</v>
      </c>
      <c r="G621" s="6">
        <f>'MATCH CALCS'!$G622*2</f>
        <v>0</v>
      </c>
      <c r="H621" s="6">
        <f>'MATCH CALCS'!$G622*2</f>
        <v>0</v>
      </c>
      <c r="I621" s="6">
        <f>'MATCH CALCS'!$G622*2</f>
        <v>0</v>
      </c>
      <c r="J621" s="154">
        <f t="shared" si="15"/>
        <v>0</v>
      </c>
      <c r="K621" s="6">
        <f>'MATCH CALCS'!L622*1</f>
        <v>0</v>
      </c>
      <c r="L621" s="6">
        <f>'MATCH CALCS'!$N622*2</f>
        <v>0</v>
      </c>
      <c r="M621" s="6">
        <f>'MATCH CALCS'!N622*1</f>
        <v>0</v>
      </c>
      <c r="N621" s="6">
        <f>'MATCH CALCS'!$N622*2</f>
        <v>0</v>
      </c>
      <c r="O621" s="6">
        <f>'MATCH CALCS'!$N622*2</f>
        <v>0</v>
      </c>
      <c r="P621" s="6">
        <f>'MATCH CALCS'!$P622*5</f>
        <v>0</v>
      </c>
      <c r="Q621" s="154">
        <f t="shared" si="16"/>
        <v>0</v>
      </c>
      <c r="R621" s="6">
        <f>'MATCH CALCS'!$AD622*1</f>
        <v>0</v>
      </c>
      <c r="S621" s="6">
        <f>'MATCH CALCS'!AC622*3</f>
        <v>0</v>
      </c>
      <c r="T621" s="6">
        <f>'MATCH CALCS'!AD622*3</f>
        <v>0</v>
      </c>
      <c r="U621" s="155">
        <f t="shared" si="17"/>
        <v>0</v>
      </c>
      <c r="V621" s="154">
        <f t="shared" si="18"/>
        <v>0</v>
      </c>
    </row>
    <row r="622" spans="1:22">
      <c r="A622" s="154">
        <f>'MATCH CALCS'!A623</f>
        <v>0</v>
      </c>
      <c r="B622" s="154">
        <f>'MATCH CALCS'!$C623</f>
        <v>0</v>
      </c>
      <c r="C622" s="154">
        <f t="shared" si="14"/>
        <v>0</v>
      </c>
      <c r="D622" s="6">
        <f>'MATCH CALCS'!$G623*2</f>
        <v>0</v>
      </c>
      <c r="E622" s="6">
        <f>'MATCH CALCS'!$G623*2</f>
        <v>0</v>
      </c>
      <c r="F622" s="6">
        <f>'MATCH CALCS'!$G623*2</f>
        <v>0</v>
      </c>
      <c r="G622" s="6">
        <f>'MATCH CALCS'!$G623*2</f>
        <v>0</v>
      </c>
      <c r="H622" s="6">
        <f>'MATCH CALCS'!$G623*2</f>
        <v>0</v>
      </c>
      <c r="I622" s="6">
        <f>'MATCH CALCS'!$G623*2</f>
        <v>0</v>
      </c>
      <c r="J622" s="154">
        <f t="shared" si="15"/>
        <v>0</v>
      </c>
      <c r="K622" s="6">
        <f>'MATCH CALCS'!L623*1</f>
        <v>0</v>
      </c>
      <c r="L622" s="6">
        <f>'MATCH CALCS'!$N623*2</f>
        <v>0</v>
      </c>
      <c r="M622" s="6">
        <f>'MATCH CALCS'!N623*1</f>
        <v>0</v>
      </c>
      <c r="N622" s="6">
        <f>'MATCH CALCS'!$N623*2</f>
        <v>0</v>
      </c>
      <c r="O622" s="6">
        <f>'MATCH CALCS'!$N623*2</f>
        <v>0</v>
      </c>
      <c r="P622" s="6">
        <f>'MATCH CALCS'!$P623*5</f>
        <v>0</v>
      </c>
      <c r="Q622" s="154">
        <f t="shared" si="16"/>
        <v>0</v>
      </c>
      <c r="R622" s="6">
        <f>'MATCH CALCS'!$AD623*1</f>
        <v>0</v>
      </c>
      <c r="S622" s="6">
        <f>'MATCH CALCS'!AC623*3</f>
        <v>0</v>
      </c>
      <c r="T622" s="6">
        <f>'MATCH CALCS'!AD623*3</f>
        <v>0</v>
      </c>
      <c r="U622" s="155">
        <f t="shared" si="17"/>
        <v>0</v>
      </c>
      <c r="V622" s="154">
        <f t="shared" si="18"/>
        <v>0</v>
      </c>
    </row>
    <row r="623" spans="1:22">
      <c r="A623" s="154">
        <f>'MATCH CALCS'!A624</f>
        <v>0</v>
      </c>
      <c r="B623" s="154">
        <f>'MATCH CALCS'!$C624</f>
        <v>0</v>
      </c>
      <c r="C623" s="154">
        <f t="shared" si="14"/>
        <v>0</v>
      </c>
      <c r="D623" s="6">
        <f>'MATCH CALCS'!$G624*2</f>
        <v>0</v>
      </c>
      <c r="E623" s="6">
        <f>'MATCH CALCS'!$G624*2</f>
        <v>0</v>
      </c>
      <c r="F623" s="6">
        <f>'MATCH CALCS'!$G624*2</f>
        <v>0</v>
      </c>
      <c r="G623" s="6">
        <f>'MATCH CALCS'!$G624*2</f>
        <v>0</v>
      </c>
      <c r="H623" s="6">
        <f>'MATCH CALCS'!$G624*2</f>
        <v>0</v>
      </c>
      <c r="I623" s="6">
        <f>'MATCH CALCS'!$G624*2</f>
        <v>0</v>
      </c>
      <c r="J623" s="154">
        <f t="shared" si="15"/>
        <v>0</v>
      </c>
      <c r="K623" s="6">
        <f>'MATCH CALCS'!L624*1</f>
        <v>0</v>
      </c>
      <c r="L623" s="6">
        <f>'MATCH CALCS'!$N624*2</f>
        <v>0</v>
      </c>
      <c r="M623" s="6">
        <f>'MATCH CALCS'!N624*1</f>
        <v>0</v>
      </c>
      <c r="N623" s="6">
        <f>'MATCH CALCS'!$N624*2</f>
        <v>0</v>
      </c>
      <c r="O623" s="6">
        <f>'MATCH CALCS'!$N624*2</f>
        <v>0</v>
      </c>
      <c r="P623" s="6">
        <f>'MATCH CALCS'!$P624*5</f>
        <v>0</v>
      </c>
      <c r="Q623" s="154">
        <f t="shared" si="16"/>
        <v>0</v>
      </c>
      <c r="R623" s="6">
        <f>'MATCH CALCS'!$AD624*1</f>
        <v>0</v>
      </c>
      <c r="S623" s="6">
        <f>'MATCH CALCS'!AC624*3</f>
        <v>0</v>
      </c>
      <c r="T623" s="6">
        <f>'MATCH CALCS'!AD624*3</f>
        <v>0</v>
      </c>
      <c r="U623" s="155">
        <f t="shared" si="17"/>
        <v>0</v>
      </c>
      <c r="V623" s="154">
        <f t="shared" si="18"/>
        <v>0</v>
      </c>
    </row>
    <row r="624" spans="1:22">
      <c r="A624" s="154">
        <f>'MATCH CALCS'!A625</f>
        <v>0</v>
      </c>
      <c r="B624" s="154">
        <f>'MATCH CALCS'!$C625</f>
        <v>0</v>
      </c>
      <c r="C624" s="154">
        <f t="shared" si="14"/>
        <v>0</v>
      </c>
      <c r="D624" s="6">
        <f>'MATCH CALCS'!$G625*2</f>
        <v>0</v>
      </c>
      <c r="E624" s="6">
        <f>'MATCH CALCS'!$G625*2</f>
        <v>0</v>
      </c>
      <c r="F624" s="6">
        <f>'MATCH CALCS'!$G625*2</f>
        <v>0</v>
      </c>
      <c r="G624" s="6">
        <f>'MATCH CALCS'!$G625*2</f>
        <v>0</v>
      </c>
      <c r="H624" s="6">
        <f>'MATCH CALCS'!$G625*2</f>
        <v>0</v>
      </c>
      <c r="I624" s="6">
        <f>'MATCH CALCS'!$G625*2</f>
        <v>0</v>
      </c>
      <c r="J624" s="154">
        <f t="shared" si="15"/>
        <v>0</v>
      </c>
      <c r="K624" s="6">
        <f>'MATCH CALCS'!L625*1</f>
        <v>0</v>
      </c>
      <c r="L624" s="6">
        <f>'MATCH CALCS'!$N625*2</f>
        <v>0</v>
      </c>
      <c r="M624" s="6">
        <f>'MATCH CALCS'!N625*1</f>
        <v>0</v>
      </c>
      <c r="N624" s="6">
        <f>'MATCH CALCS'!$N625*2</f>
        <v>0</v>
      </c>
      <c r="O624" s="6">
        <f>'MATCH CALCS'!$N625*2</f>
        <v>0</v>
      </c>
      <c r="P624" s="6">
        <f>'MATCH CALCS'!$P625*5</f>
        <v>0</v>
      </c>
      <c r="Q624" s="154">
        <f t="shared" si="16"/>
        <v>0</v>
      </c>
      <c r="R624" s="6">
        <f>'MATCH CALCS'!$AD625*1</f>
        <v>0</v>
      </c>
      <c r="S624" s="6">
        <f>'MATCH CALCS'!AC625*3</f>
        <v>0</v>
      </c>
      <c r="T624" s="6">
        <f>'MATCH CALCS'!AD625*3</f>
        <v>0</v>
      </c>
      <c r="U624" s="155">
        <f t="shared" si="17"/>
        <v>0</v>
      </c>
      <c r="V624" s="154">
        <f t="shared" si="18"/>
        <v>0</v>
      </c>
    </row>
    <row r="625" spans="1:22">
      <c r="A625" s="154">
        <f>'MATCH CALCS'!A626</f>
        <v>0</v>
      </c>
      <c r="B625" s="154">
        <f>'MATCH CALCS'!$C626</f>
        <v>0</v>
      </c>
      <c r="C625" s="154">
        <f t="shared" si="14"/>
        <v>0</v>
      </c>
      <c r="D625" s="6">
        <f>'MATCH CALCS'!$G626*2</f>
        <v>0</v>
      </c>
      <c r="E625" s="6">
        <f>'MATCH CALCS'!$G626*2</f>
        <v>0</v>
      </c>
      <c r="F625" s="6">
        <f>'MATCH CALCS'!$G626*2</f>
        <v>0</v>
      </c>
      <c r="G625" s="6">
        <f>'MATCH CALCS'!$G626*2</f>
        <v>0</v>
      </c>
      <c r="H625" s="6">
        <f>'MATCH CALCS'!$G626*2</f>
        <v>0</v>
      </c>
      <c r="I625" s="6">
        <f>'MATCH CALCS'!$G626*2</f>
        <v>0</v>
      </c>
      <c r="J625" s="154">
        <f t="shared" si="15"/>
        <v>0</v>
      </c>
      <c r="K625" s="6">
        <f>'MATCH CALCS'!L626*1</f>
        <v>0</v>
      </c>
      <c r="L625" s="6">
        <f>'MATCH CALCS'!$N626*2</f>
        <v>0</v>
      </c>
      <c r="M625" s="6">
        <f>'MATCH CALCS'!N626*1</f>
        <v>0</v>
      </c>
      <c r="N625" s="6">
        <f>'MATCH CALCS'!$N626*2</f>
        <v>0</v>
      </c>
      <c r="O625" s="6">
        <f>'MATCH CALCS'!$N626*2</f>
        <v>0</v>
      </c>
      <c r="P625" s="6">
        <f>'MATCH CALCS'!$P626*5</f>
        <v>0</v>
      </c>
      <c r="Q625" s="154">
        <f t="shared" si="16"/>
        <v>0</v>
      </c>
      <c r="R625" s="6">
        <f>'MATCH CALCS'!$AD626*1</f>
        <v>0</v>
      </c>
      <c r="S625" s="6">
        <f>'MATCH CALCS'!AC626*3</f>
        <v>0</v>
      </c>
      <c r="T625" s="6">
        <f>'MATCH CALCS'!AD626*3</f>
        <v>0</v>
      </c>
      <c r="U625" s="155">
        <f t="shared" si="17"/>
        <v>0</v>
      </c>
      <c r="V625" s="154">
        <f t="shared" si="18"/>
        <v>0</v>
      </c>
    </row>
    <row r="626" spans="1:22">
      <c r="A626" s="154">
        <f>'MATCH CALCS'!A627</f>
        <v>0</v>
      </c>
      <c r="B626" s="154">
        <f>'MATCH CALCS'!$C627</f>
        <v>0</v>
      </c>
      <c r="C626" s="154">
        <f t="shared" si="14"/>
        <v>0</v>
      </c>
      <c r="D626" s="6">
        <f>'MATCH CALCS'!$G627*2</f>
        <v>0</v>
      </c>
      <c r="E626" s="6">
        <f>'MATCH CALCS'!$G627*2</f>
        <v>0</v>
      </c>
      <c r="F626" s="6">
        <f>'MATCH CALCS'!$G627*2</f>
        <v>0</v>
      </c>
      <c r="G626" s="6">
        <f>'MATCH CALCS'!$G627*2</f>
        <v>0</v>
      </c>
      <c r="H626" s="6">
        <f>'MATCH CALCS'!$G627*2</f>
        <v>0</v>
      </c>
      <c r="I626" s="6">
        <f>'MATCH CALCS'!$G627*2</f>
        <v>0</v>
      </c>
      <c r="J626" s="154">
        <f t="shared" si="15"/>
        <v>0</v>
      </c>
      <c r="K626" s="6">
        <f>'MATCH CALCS'!L627*1</f>
        <v>0</v>
      </c>
      <c r="L626" s="6">
        <f>'MATCH CALCS'!$N627*2</f>
        <v>0</v>
      </c>
      <c r="M626" s="6">
        <f>'MATCH CALCS'!N627*1</f>
        <v>0</v>
      </c>
      <c r="N626" s="6">
        <f>'MATCH CALCS'!$N627*2</f>
        <v>0</v>
      </c>
      <c r="O626" s="6">
        <f>'MATCH CALCS'!$N627*2</f>
        <v>0</v>
      </c>
      <c r="P626" s="6">
        <f>'MATCH CALCS'!$P627*5</f>
        <v>0</v>
      </c>
      <c r="Q626" s="154">
        <f t="shared" si="16"/>
        <v>0</v>
      </c>
      <c r="R626" s="6">
        <f>'MATCH CALCS'!$AD627*1</f>
        <v>0</v>
      </c>
      <c r="S626" s="6">
        <f>'MATCH CALCS'!AC627*3</f>
        <v>0</v>
      </c>
      <c r="T626" s="6">
        <f>'MATCH CALCS'!AD627*3</f>
        <v>0</v>
      </c>
      <c r="U626" s="155">
        <f t="shared" si="17"/>
        <v>0</v>
      </c>
      <c r="V626" s="154">
        <f t="shared" si="18"/>
        <v>0</v>
      </c>
    </row>
    <row r="627" spans="1:22">
      <c r="A627" s="154">
        <f>'MATCH CALCS'!A628</f>
        <v>0</v>
      </c>
      <c r="B627" s="154">
        <f>'MATCH CALCS'!$C628</f>
        <v>0</v>
      </c>
      <c r="C627" s="154">
        <f t="shared" si="14"/>
        <v>0</v>
      </c>
      <c r="D627" s="6">
        <f>'MATCH CALCS'!$G628*2</f>
        <v>0</v>
      </c>
      <c r="E627" s="6">
        <f>'MATCH CALCS'!$G628*2</f>
        <v>0</v>
      </c>
      <c r="F627" s="6">
        <f>'MATCH CALCS'!$G628*2</f>
        <v>0</v>
      </c>
      <c r="G627" s="6">
        <f>'MATCH CALCS'!$G628*2</f>
        <v>0</v>
      </c>
      <c r="H627" s="6">
        <f>'MATCH CALCS'!$G628*2</f>
        <v>0</v>
      </c>
      <c r="I627" s="6">
        <f>'MATCH CALCS'!$G628*2</f>
        <v>0</v>
      </c>
      <c r="J627" s="154">
        <f t="shared" si="15"/>
        <v>0</v>
      </c>
      <c r="K627" s="6">
        <f>'MATCH CALCS'!L628*1</f>
        <v>0</v>
      </c>
      <c r="L627" s="6">
        <f>'MATCH CALCS'!$N628*2</f>
        <v>0</v>
      </c>
      <c r="M627" s="6">
        <f>'MATCH CALCS'!N628*1</f>
        <v>0</v>
      </c>
      <c r="N627" s="6">
        <f>'MATCH CALCS'!$N628*2</f>
        <v>0</v>
      </c>
      <c r="O627" s="6">
        <f>'MATCH CALCS'!$N628*2</f>
        <v>0</v>
      </c>
      <c r="P627" s="6">
        <f>'MATCH CALCS'!$P628*5</f>
        <v>0</v>
      </c>
      <c r="Q627" s="154">
        <f t="shared" si="16"/>
        <v>0</v>
      </c>
      <c r="R627" s="6">
        <f>'MATCH CALCS'!$AD628*1</f>
        <v>0</v>
      </c>
      <c r="S627" s="6">
        <f>'MATCH CALCS'!AC628*3</f>
        <v>0</v>
      </c>
      <c r="T627" s="6">
        <f>'MATCH CALCS'!AD628*3</f>
        <v>0</v>
      </c>
      <c r="U627" s="155">
        <f t="shared" si="17"/>
        <v>0</v>
      </c>
      <c r="V627" s="154">
        <f t="shared" si="18"/>
        <v>0</v>
      </c>
    </row>
    <row r="628" spans="1:22">
      <c r="A628" s="154">
        <f>'MATCH CALCS'!A629</f>
        <v>0</v>
      </c>
      <c r="B628" s="154">
        <f>'MATCH CALCS'!$C629</f>
        <v>0</v>
      </c>
      <c r="C628" s="154">
        <f t="shared" si="14"/>
        <v>0</v>
      </c>
      <c r="D628" s="6">
        <f>'MATCH CALCS'!$G629*2</f>
        <v>0</v>
      </c>
      <c r="E628" s="6">
        <f>'MATCH CALCS'!$G629*2</f>
        <v>0</v>
      </c>
      <c r="F628" s="6">
        <f>'MATCH CALCS'!$G629*2</f>
        <v>0</v>
      </c>
      <c r="G628" s="6">
        <f>'MATCH CALCS'!$G629*2</f>
        <v>0</v>
      </c>
      <c r="H628" s="6">
        <f>'MATCH CALCS'!$G629*2</f>
        <v>0</v>
      </c>
      <c r="I628" s="6">
        <f>'MATCH CALCS'!$G629*2</f>
        <v>0</v>
      </c>
      <c r="J628" s="154">
        <f t="shared" si="15"/>
        <v>0</v>
      </c>
      <c r="K628" s="6">
        <f>'MATCH CALCS'!L629*1</f>
        <v>0</v>
      </c>
      <c r="L628" s="6">
        <f>'MATCH CALCS'!$N629*2</f>
        <v>0</v>
      </c>
      <c r="M628" s="6">
        <f>'MATCH CALCS'!N629*1</f>
        <v>0</v>
      </c>
      <c r="N628" s="6">
        <f>'MATCH CALCS'!$N629*2</f>
        <v>0</v>
      </c>
      <c r="O628" s="6">
        <f>'MATCH CALCS'!$N629*2</f>
        <v>0</v>
      </c>
      <c r="P628" s="6">
        <f>'MATCH CALCS'!$P629*5</f>
        <v>0</v>
      </c>
      <c r="Q628" s="154">
        <f t="shared" si="16"/>
        <v>0</v>
      </c>
      <c r="R628" s="6">
        <f>'MATCH CALCS'!$AD629*1</f>
        <v>0</v>
      </c>
      <c r="S628" s="6">
        <f>'MATCH CALCS'!AC629*3</f>
        <v>0</v>
      </c>
      <c r="T628" s="6">
        <f>'MATCH CALCS'!AD629*3</f>
        <v>0</v>
      </c>
      <c r="U628" s="155">
        <f t="shared" si="17"/>
        <v>0</v>
      </c>
      <c r="V628" s="154">
        <f t="shared" si="18"/>
        <v>0</v>
      </c>
    </row>
    <row r="629" spans="1:22">
      <c r="A629" s="154">
        <f>'MATCH CALCS'!A630</f>
        <v>0</v>
      </c>
      <c r="B629" s="154">
        <f>'MATCH CALCS'!$C630</f>
        <v>0</v>
      </c>
      <c r="C629" s="154">
        <f t="shared" si="14"/>
        <v>0</v>
      </c>
      <c r="D629" s="6">
        <f>'MATCH CALCS'!$G630*2</f>
        <v>0</v>
      </c>
      <c r="E629" s="6">
        <f>'MATCH CALCS'!$G630*2</f>
        <v>0</v>
      </c>
      <c r="F629" s="6">
        <f>'MATCH CALCS'!$G630*2</f>
        <v>0</v>
      </c>
      <c r="G629" s="6">
        <f>'MATCH CALCS'!$G630*2</f>
        <v>0</v>
      </c>
      <c r="H629" s="6">
        <f>'MATCH CALCS'!$G630*2</f>
        <v>0</v>
      </c>
      <c r="I629" s="6">
        <f>'MATCH CALCS'!$G630*2</f>
        <v>0</v>
      </c>
      <c r="J629" s="154">
        <f t="shared" si="15"/>
        <v>0</v>
      </c>
      <c r="K629" s="6">
        <f>'MATCH CALCS'!L630*1</f>
        <v>0</v>
      </c>
      <c r="L629" s="6">
        <f>'MATCH CALCS'!$N630*2</f>
        <v>0</v>
      </c>
      <c r="M629" s="6">
        <f>'MATCH CALCS'!N630*1</f>
        <v>0</v>
      </c>
      <c r="N629" s="6">
        <f>'MATCH CALCS'!$N630*2</f>
        <v>0</v>
      </c>
      <c r="O629" s="6">
        <f>'MATCH CALCS'!$N630*2</f>
        <v>0</v>
      </c>
      <c r="P629" s="6">
        <f>'MATCH CALCS'!$P630*5</f>
        <v>0</v>
      </c>
      <c r="Q629" s="154">
        <f t="shared" si="16"/>
        <v>0</v>
      </c>
      <c r="R629" s="6">
        <f>'MATCH CALCS'!$AD630*1</f>
        <v>0</v>
      </c>
      <c r="S629" s="6">
        <f>'MATCH CALCS'!AC630*3</f>
        <v>0</v>
      </c>
      <c r="T629" s="6">
        <f>'MATCH CALCS'!AD630*3</f>
        <v>0</v>
      </c>
      <c r="U629" s="155">
        <f t="shared" si="17"/>
        <v>0</v>
      </c>
      <c r="V629" s="154">
        <f t="shared" si="18"/>
        <v>0</v>
      </c>
    </row>
    <row r="630" spans="1:22">
      <c r="A630" s="154">
        <f>'MATCH CALCS'!A631</f>
        <v>0</v>
      </c>
      <c r="B630" s="154">
        <f>'MATCH CALCS'!$C631</f>
        <v>0</v>
      </c>
      <c r="C630" s="154">
        <f t="shared" si="14"/>
        <v>0</v>
      </c>
      <c r="D630" s="6">
        <f>'MATCH CALCS'!$G631*2</f>
        <v>0</v>
      </c>
      <c r="E630" s="6">
        <f>'MATCH CALCS'!$G631*2</f>
        <v>0</v>
      </c>
      <c r="F630" s="6">
        <f>'MATCH CALCS'!$G631*2</f>
        <v>0</v>
      </c>
      <c r="G630" s="6">
        <f>'MATCH CALCS'!$G631*2</f>
        <v>0</v>
      </c>
      <c r="H630" s="6">
        <f>'MATCH CALCS'!$G631*2</f>
        <v>0</v>
      </c>
      <c r="I630" s="6">
        <f>'MATCH CALCS'!$G631*2</f>
        <v>0</v>
      </c>
      <c r="J630" s="154">
        <f t="shared" si="15"/>
        <v>0</v>
      </c>
      <c r="K630" s="6">
        <f>'MATCH CALCS'!L631*1</f>
        <v>0</v>
      </c>
      <c r="L630" s="6">
        <f>'MATCH CALCS'!$N631*2</f>
        <v>0</v>
      </c>
      <c r="M630" s="6">
        <f>'MATCH CALCS'!N631*1</f>
        <v>0</v>
      </c>
      <c r="N630" s="6">
        <f>'MATCH CALCS'!$N631*2</f>
        <v>0</v>
      </c>
      <c r="O630" s="6">
        <f>'MATCH CALCS'!$N631*2</f>
        <v>0</v>
      </c>
      <c r="P630" s="6">
        <f>'MATCH CALCS'!$P631*5</f>
        <v>0</v>
      </c>
      <c r="Q630" s="154">
        <f t="shared" si="16"/>
        <v>0</v>
      </c>
      <c r="R630" s="6">
        <f>'MATCH CALCS'!$AD631*1</f>
        <v>0</v>
      </c>
      <c r="S630" s="6">
        <f>'MATCH CALCS'!AC631*3</f>
        <v>0</v>
      </c>
      <c r="T630" s="6">
        <f>'MATCH CALCS'!AD631*3</f>
        <v>0</v>
      </c>
      <c r="U630" s="155">
        <f t="shared" si="17"/>
        <v>0</v>
      </c>
      <c r="V630" s="154">
        <f t="shared" si="18"/>
        <v>0</v>
      </c>
    </row>
    <row r="631" spans="1:22">
      <c r="A631" s="154">
        <f>'MATCH CALCS'!A632</f>
        <v>0</v>
      </c>
      <c r="B631" s="154">
        <f>'MATCH CALCS'!$C632</f>
        <v>0</v>
      </c>
      <c r="C631" s="154">
        <f t="shared" si="14"/>
        <v>0</v>
      </c>
      <c r="D631" s="6">
        <f>'MATCH CALCS'!$G632*2</f>
        <v>0</v>
      </c>
      <c r="E631" s="6">
        <f>'MATCH CALCS'!$G632*2</f>
        <v>0</v>
      </c>
      <c r="F631" s="6">
        <f>'MATCH CALCS'!$G632*2</f>
        <v>0</v>
      </c>
      <c r="G631" s="6">
        <f>'MATCH CALCS'!$G632*2</f>
        <v>0</v>
      </c>
      <c r="H631" s="6">
        <f>'MATCH CALCS'!$G632*2</f>
        <v>0</v>
      </c>
      <c r="I631" s="6">
        <f>'MATCH CALCS'!$G632*2</f>
        <v>0</v>
      </c>
      <c r="J631" s="154">
        <f t="shared" si="15"/>
        <v>0</v>
      </c>
      <c r="K631" s="6">
        <f>'MATCH CALCS'!L632*1</f>
        <v>0</v>
      </c>
      <c r="L631" s="6">
        <f>'MATCH CALCS'!$N632*2</f>
        <v>0</v>
      </c>
      <c r="M631" s="6">
        <f>'MATCH CALCS'!N632*1</f>
        <v>0</v>
      </c>
      <c r="N631" s="6">
        <f>'MATCH CALCS'!$N632*2</f>
        <v>0</v>
      </c>
      <c r="O631" s="6">
        <f>'MATCH CALCS'!$N632*2</f>
        <v>0</v>
      </c>
      <c r="P631" s="6">
        <f>'MATCH CALCS'!$P632*5</f>
        <v>0</v>
      </c>
      <c r="Q631" s="154">
        <f t="shared" si="16"/>
        <v>0</v>
      </c>
      <c r="R631" s="6">
        <f>'MATCH CALCS'!$AD632*1</f>
        <v>0</v>
      </c>
      <c r="S631" s="6">
        <f>'MATCH CALCS'!AC632*3</f>
        <v>0</v>
      </c>
      <c r="T631" s="6">
        <f>'MATCH CALCS'!AD632*3</f>
        <v>0</v>
      </c>
      <c r="U631" s="155">
        <f t="shared" si="17"/>
        <v>0</v>
      </c>
      <c r="V631" s="154">
        <f t="shared" si="18"/>
        <v>0</v>
      </c>
    </row>
    <row r="632" spans="1:22">
      <c r="A632" s="154">
        <f>'MATCH CALCS'!A633</f>
        <v>0</v>
      </c>
      <c r="B632" s="154">
        <f>'MATCH CALCS'!$C633</f>
        <v>0</v>
      </c>
      <c r="C632" s="154">
        <f t="shared" si="14"/>
        <v>0</v>
      </c>
      <c r="D632" s="6">
        <f>'MATCH CALCS'!$G633*2</f>
        <v>0</v>
      </c>
      <c r="E632" s="6">
        <f>'MATCH CALCS'!$G633*2</f>
        <v>0</v>
      </c>
      <c r="F632" s="6">
        <f>'MATCH CALCS'!$G633*2</f>
        <v>0</v>
      </c>
      <c r="G632" s="6">
        <f>'MATCH CALCS'!$G633*2</f>
        <v>0</v>
      </c>
      <c r="H632" s="6">
        <f>'MATCH CALCS'!$G633*2</f>
        <v>0</v>
      </c>
      <c r="I632" s="6">
        <f>'MATCH CALCS'!$G633*2</f>
        <v>0</v>
      </c>
      <c r="J632" s="154">
        <f t="shared" si="15"/>
        <v>0</v>
      </c>
      <c r="K632" s="6">
        <f>'MATCH CALCS'!L633*1</f>
        <v>0</v>
      </c>
      <c r="L632" s="6">
        <f>'MATCH CALCS'!$N633*2</f>
        <v>0</v>
      </c>
      <c r="M632" s="6">
        <f>'MATCH CALCS'!N633*1</f>
        <v>0</v>
      </c>
      <c r="N632" s="6">
        <f>'MATCH CALCS'!$N633*2</f>
        <v>0</v>
      </c>
      <c r="O632" s="6">
        <f>'MATCH CALCS'!$N633*2</f>
        <v>0</v>
      </c>
      <c r="P632" s="6">
        <f>'MATCH CALCS'!$P633*5</f>
        <v>0</v>
      </c>
      <c r="Q632" s="154">
        <f t="shared" si="16"/>
        <v>0</v>
      </c>
      <c r="R632" s="6">
        <f>'MATCH CALCS'!$AD633*1</f>
        <v>0</v>
      </c>
      <c r="S632" s="6">
        <f>'MATCH CALCS'!AC633*3</f>
        <v>0</v>
      </c>
      <c r="T632" s="6">
        <f>'MATCH CALCS'!AD633*3</f>
        <v>0</v>
      </c>
      <c r="U632" s="155">
        <f t="shared" si="17"/>
        <v>0</v>
      </c>
      <c r="V632" s="154">
        <f t="shared" si="18"/>
        <v>0</v>
      </c>
    </row>
    <row r="633" spans="1:22">
      <c r="A633" s="154">
        <f>'MATCH CALCS'!A634</f>
        <v>0</v>
      </c>
      <c r="B633" s="154">
        <f>'MATCH CALCS'!$C634</f>
        <v>0</v>
      </c>
      <c r="C633" s="154">
        <f t="shared" si="14"/>
        <v>0</v>
      </c>
      <c r="D633" s="6">
        <f>'MATCH CALCS'!$G634*2</f>
        <v>0</v>
      </c>
      <c r="E633" s="6">
        <f>'MATCH CALCS'!$G634*2</f>
        <v>0</v>
      </c>
      <c r="F633" s="6">
        <f>'MATCH CALCS'!$G634*2</f>
        <v>0</v>
      </c>
      <c r="G633" s="6">
        <f>'MATCH CALCS'!$G634*2</f>
        <v>0</v>
      </c>
      <c r="H633" s="6">
        <f>'MATCH CALCS'!$G634*2</f>
        <v>0</v>
      </c>
      <c r="I633" s="6">
        <f>'MATCH CALCS'!$G634*2</f>
        <v>0</v>
      </c>
      <c r="J633" s="154">
        <f t="shared" si="15"/>
        <v>0</v>
      </c>
      <c r="K633" s="6">
        <f>'MATCH CALCS'!L634*1</f>
        <v>0</v>
      </c>
      <c r="L633" s="6">
        <f>'MATCH CALCS'!$N634*2</f>
        <v>0</v>
      </c>
      <c r="M633" s="6">
        <f>'MATCH CALCS'!N634*1</f>
        <v>0</v>
      </c>
      <c r="N633" s="6">
        <f>'MATCH CALCS'!$N634*2</f>
        <v>0</v>
      </c>
      <c r="O633" s="6">
        <f>'MATCH CALCS'!$N634*2</f>
        <v>0</v>
      </c>
      <c r="P633" s="6">
        <f>'MATCH CALCS'!$P634*5</f>
        <v>0</v>
      </c>
      <c r="Q633" s="154">
        <f t="shared" si="16"/>
        <v>0</v>
      </c>
      <c r="R633" s="6">
        <f>'MATCH CALCS'!$AD634*1</f>
        <v>0</v>
      </c>
      <c r="S633" s="6">
        <f>'MATCH CALCS'!AC634*3</f>
        <v>0</v>
      </c>
      <c r="T633" s="6">
        <f>'MATCH CALCS'!AD634*3</f>
        <v>0</v>
      </c>
      <c r="U633" s="155">
        <f t="shared" si="17"/>
        <v>0</v>
      </c>
      <c r="V633" s="154">
        <f t="shared" si="18"/>
        <v>0</v>
      </c>
    </row>
    <row r="634" spans="1:22">
      <c r="A634" s="154">
        <f>'MATCH CALCS'!A635</f>
        <v>0</v>
      </c>
      <c r="B634" s="154">
        <f>'MATCH CALCS'!$C635</f>
        <v>0</v>
      </c>
      <c r="C634" s="154">
        <f t="shared" si="14"/>
        <v>0</v>
      </c>
      <c r="D634" s="6">
        <f>'MATCH CALCS'!$G635*2</f>
        <v>0</v>
      </c>
      <c r="E634" s="6">
        <f>'MATCH CALCS'!$G635*2</f>
        <v>0</v>
      </c>
      <c r="F634" s="6">
        <f>'MATCH CALCS'!$G635*2</f>
        <v>0</v>
      </c>
      <c r="G634" s="6">
        <f>'MATCH CALCS'!$G635*2</f>
        <v>0</v>
      </c>
      <c r="H634" s="6">
        <f>'MATCH CALCS'!$G635*2</f>
        <v>0</v>
      </c>
      <c r="I634" s="6">
        <f>'MATCH CALCS'!$G635*2</f>
        <v>0</v>
      </c>
      <c r="J634" s="154">
        <f t="shared" si="15"/>
        <v>0</v>
      </c>
      <c r="K634" s="6">
        <f>'MATCH CALCS'!L635*1</f>
        <v>0</v>
      </c>
      <c r="L634" s="6">
        <f>'MATCH CALCS'!$N635*2</f>
        <v>0</v>
      </c>
      <c r="M634" s="6">
        <f>'MATCH CALCS'!N635*1</f>
        <v>0</v>
      </c>
      <c r="N634" s="6">
        <f>'MATCH CALCS'!$N635*2</f>
        <v>0</v>
      </c>
      <c r="O634" s="6">
        <f>'MATCH CALCS'!$N635*2</f>
        <v>0</v>
      </c>
      <c r="P634" s="6">
        <f>'MATCH CALCS'!$P635*5</f>
        <v>0</v>
      </c>
      <c r="Q634" s="154">
        <f t="shared" si="16"/>
        <v>0</v>
      </c>
      <c r="R634" s="6">
        <f>'MATCH CALCS'!$AD635*1</f>
        <v>0</v>
      </c>
      <c r="S634" s="6">
        <f>'MATCH CALCS'!AC635*3</f>
        <v>0</v>
      </c>
      <c r="T634" s="6">
        <f>'MATCH CALCS'!AD635*3</f>
        <v>0</v>
      </c>
      <c r="U634" s="155">
        <f t="shared" si="17"/>
        <v>0</v>
      </c>
      <c r="V634" s="154">
        <f t="shared" si="18"/>
        <v>0</v>
      </c>
    </row>
    <row r="635" spans="1:22">
      <c r="A635" s="154">
        <f>'MATCH CALCS'!A636</f>
        <v>0</v>
      </c>
      <c r="B635" s="154">
        <f>'MATCH CALCS'!$C636</f>
        <v>0</v>
      </c>
      <c r="C635" s="154">
        <f t="shared" si="14"/>
        <v>0</v>
      </c>
      <c r="D635" s="6">
        <f>'MATCH CALCS'!$G636*2</f>
        <v>0</v>
      </c>
      <c r="E635" s="6">
        <f>'MATCH CALCS'!$G636*2</f>
        <v>0</v>
      </c>
      <c r="F635" s="6">
        <f>'MATCH CALCS'!$G636*2</f>
        <v>0</v>
      </c>
      <c r="G635" s="6">
        <f>'MATCH CALCS'!$G636*2</f>
        <v>0</v>
      </c>
      <c r="H635" s="6">
        <f>'MATCH CALCS'!$G636*2</f>
        <v>0</v>
      </c>
      <c r="I635" s="6">
        <f>'MATCH CALCS'!$G636*2</f>
        <v>0</v>
      </c>
      <c r="J635" s="154">
        <f t="shared" si="15"/>
        <v>0</v>
      </c>
      <c r="K635" s="6">
        <f>'MATCH CALCS'!L636*1</f>
        <v>0</v>
      </c>
      <c r="L635" s="6">
        <f>'MATCH CALCS'!$N636*2</f>
        <v>0</v>
      </c>
      <c r="M635" s="6">
        <f>'MATCH CALCS'!N636*1</f>
        <v>0</v>
      </c>
      <c r="N635" s="6">
        <f>'MATCH CALCS'!$N636*2</f>
        <v>0</v>
      </c>
      <c r="O635" s="6">
        <f>'MATCH CALCS'!$N636*2</f>
        <v>0</v>
      </c>
      <c r="P635" s="6">
        <f>'MATCH CALCS'!$P636*5</f>
        <v>0</v>
      </c>
      <c r="Q635" s="154">
        <f t="shared" si="16"/>
        <v>0</v>
      </c>
      <c r="R635" s="6">
        <f>'MATCH CALCS'!$AD636*1</f>
        <v>0</v>
      </c>
      <c r="S635" s="6">
        <f>'MATCH CALCS'!AC636*3</f>
        <v>0</v>
      </c>
      <c r="T635" s="6">
        <f>'MATCH CALCS'!AD636*3</f>
        <v>0</v>
      </c>
      <c r="U635" s="155">
        <f t="shared" si="17"/>
        <v>0</v>
      </c>
      <c r="V635" s="154">
        <f t="shared" si="18"/>
        <v>0</v>
      </c>
    </row>
    <row r="636" spans="1:22">
      <c r="A636" s="154">
        <f>'MATCH CALCS'!A637</f>
        <v>0</v>
      </c>
      <c r="B636" s="154">
        <f>'MATCH CALCS'!$C637</f>
        <v>0</v>
      </c>
      <c r="C636" s="154">
        <f t="shared" si="14"/>
        <v>0</v>
      </c>
      <c r="D636" s="6">
        <f>'MATCH CALCS'!$G637*2</f>
        <v>0</v>
      </c>
      <c r="E636" s="6">
        <f>'MATCH CALCS'!$G637*2</f>
        <v>0</v>
      </c>
      <c r="F636" s="6">
        <f>'MATCH CALCS'!$G637*2</f>
        <v>0</v>
      </c>
      <c r="G636" s="6">
        <f>'MATCH CALCS'!$G637*2</f>
        <v>0</v>
      </c>
      <c r="H636" s="6">
        <f>'MATCH CALCS'!$G637*2</f>
        <v>0</v>
      </c>
      <c r="I636" s="6">
        <f>'MATCH CALCS'!$G637*2</f>
        <v>0</v>
      </c>
      <c r="J636" s="154">
        <f t="shared" si="15"/>
        <v>0</v>
      </c>
      <c r="K636" s="6">
        <f>'MATCH CALCS'!L637*1</f>
        <v>0</v>
      </c>
      <c r="L636" s="6">
        <f>'MATCH CALCS'!$N637*2</f>
        <v>0</v>
      </c>
      <c r="M636" s="6">
        <f>'MATCH CALCS'!N637*1</f>
        <v>0</v>
      </c>
      <c r="N636" s="6">
        <f>'MATCH CALCS'!$N637*2</f>
        <v>0</v>
      </c>
      <c r="O636" s="6">
        <f>'MATCH CALCS'!$N637*2</f>
        <v>0</v>
      </c>
      <c r="P636" s="6">
        <f>'MATCH CALCS'!$P637*5</f>
        <v>0</v>
      </c>
      <c r="Q636" s="154">
        <f t="shared" si="16"/>
        <v>0</v>
      </c>
      <c r="R636" s="6">
        <f>'MATCH CALCS'!$AD637*1</f>
        <v>0</v>
      </c>
      <c r="S636" s="6">
        <f>'MATCH CALCS'!AC637*3</f>
        <v>0</v>
      </c>
      <c r="T636" s="6">
        <f>'MATCH CALCS'!AD637*3</f>
        <v>0</v>
      </c>
      <c r="U636" s="155">
        <f t="shared" si="17"/>
        <v>0</v>
      </c>
      <c r="V636" s="154">
        <f t="shared" si="18"/>
        <v>0</v>
      </c>
    </row>
    <row r="637" spans="1:22">
      <c r="A637" s="154">
        <f>'MATCH CALCS'!A638</f>
        <v>0</v>
      </c>
      <c r="B637" s="154">
        <f>'MATCH CALCS'!$C638</f>
        <v>0</v>
      </c>
      <c r="C637" s="154">
        <f t="shared" si="14"/>
        <v>0</v>
      </c>
      <c r="D637" s="6">
        <f>'MATCH CALCS'!$G638*2</f>
        <v>0</v>
      </c>
      <c r="E637" s="6">
        <f>'MATCH CALCS'!$G638*2</f>
        <v>0</v>
      </c>
      <c r="F637" s="6">
        <f>'MATCH CALCS'!$G638*2</f>
        <v>0</v>
      </c>
      <c r="G637" s="6">
        <f>'MATCH CALCS'!$G638*2</f>
        <v>0</v>
      </c>
      <c r="H637" s="6">
        <f>'MATCH CALCS'!$G638*2</f>
        <v>0</v>
      </c>
      <c r="I637" s="6">
        <f>'MATCH CALCS'!$G638*2</f>
        <v>0</v>
      </c>
      <c r="J637" s="154">
        <f t="shared" si="15"/>
        <v>0</v>
      </c>
      <c r="K637" s="6">
        <f>'MATCH CALCS'!L638*1</f>
        <v>0</v>
      </c>
      <c r="L637" s="6">
        <f>'MATCH CALCS'!$N638*2</f>
        <v>0</v>
      </c>
      <c r="M637" s="6">
        <f>'MATCH CALCS'!N638*1</f>
        <v>0</v>
      </c>
      <c r="N637" s="6">
        <f>'MATCH CALCS'!$N638*2</f>
        <v>0</v>
      </c>
      <c r="O637" s="6">
        <f>'MATCH CALCS'!$N638*2</f>
        <v>0</v>
      </c>
      <c r="P637" s="6">
        <f>'MATCH CALCS'!$P638*5</f>
        <v>0</v>
      </c>
      <c r="Q637" s="154">
        <f t="shared" si="16"/>
        <v>0</v>
      </c>
      <c r="R637" s="6">
        <f>'MATCH CALCS'!$AD638*1</f>
        <v>0</v>
      </c>
      <c r="S637" s="6">
        <f>'MATCH CALCS'!AC638*3</f>
        <v>0</v>
      </c>
      <c r="T637" s="6">
        <f>'MATCH CALCS'!AD638*3</f>
        <v>0</v>
      </c>
      <c r="U637" s="155">
        <f t="shared" si="17"/>
        <v>0</v>
      </c>
      <c r="V637" s="154">
        <f t="shared" si="18"/>
        <v>0</v>
      </c>
    </row>
    <row r="638" spans="1:22">
      <c r="A638" s="154">
        <f>'MATCH CALCS'!A639</f>
        <v>0</v>
      </c>
      <c r="B638" s="154">
        <f>'MATCH CALCS'!$C639</f>
        <v>0</v>
      </c>
      <c r="C638" s="154">
        <f t="shared" si="14"/>
        <v>0</v>
      </c>
      <c r="D638" s="6">
        <f>'MATCH CALCS'!$G639*2</f>
        <v>0</v>
      </c>
      <c r="E638" s="6">
        <f>'MATCH CALCS'!$G639*2</f>
        <v>0</v>
      </c>
      <c r="F638" s="6">
        <f>'MATCH CALCS'!$G639*2</f>
        <v>0</v>
      </c>
      <c r="G638" s="6">
        <f>'MATCH CALCS'!$G639*2</f>
        <v>0</v>
      </c>
      <c r="H638" s="6">
        <f>'MATCH CALCS'!$G639*2</f>
        <v>0</v>
      </c>
      <c r="I638" s="6">
        <f>'MATCH CALCS'!$G639*2</f>
        <v>0</v>
      </c>
      <c r="J638" s="154">
        <f t="shared" si="15"/>
        <v>0</v>
      </c>
      <c r="K638" s="6">
        <f>'MATCH CALCS'!L639*1</f>
        <v>0</v>
      </c>
      <c r="L638" s="6">
        <f>'MATCH CALCS'!$N639*2</f>
        <v>0</v>
      </c>
      <c r="M638" s="6">
        <f>'MATCH CALCS'!N639*1</f>
        <v>0</v>
      </c>
      <c r="N638" s="6">
        <f>'MATCH CALCS'!$N639*2</f>
        <v>0</v>
      </c>
      <c r="O638" s="6">
        <f>'MATCH CALCS'!$N639*2</f>
        <v>0</v>
      </c>
      <c r="P638" s="6">
        <f>'MATCH CALCS'!$P639*5</f>
        <v>0</v>
      </c>
      <c r="Q638" s="154">
        <f t="shared" si="16"/>
        <v>0</v>
      </c>
      <c r="R638" s="6">
        <f>'MATCH CALCS'!$AD639*1</f>
        <v>0</v>
      </c>
      <c r="S638" s="6">
        <f>'MATCH CALCS'!AC639*3</f>
        <v>0</v>
      </c>
      <c r="T638" s="6">
        <f>'MATCH CALCS'!AD639*3</f>
        <v>0</v>
      </c>
      <c r="U638" s="155">
        <f t="shared" si="17"/>
        <v>0</v>
      </c>
      <c r="V638" s="154">
        <f t="shared" si="18"/>
        <v>0</v>
      </c>
    </row>
    <row r="639" spans="1:22">
      <c r="A639" s="154">
        <f>'MATCH CALCS'!A640</f>
        <v>0</v>
      </c>
      <c r="B639" s="154">
        <f>'MATCH CALCS'!$C640</f>
        <v>0</v>
      </c>
      <c r="C639" s="154">
        <f t="shared" si="14"/>
        <v>0</v>
      </c>
      <c r="D639" s="6">
        <f>'MATCH CALCS'!$G640*2</f>
        <v>0</v>
      </c>
      <c r="E639" s="6">
        <f>'MATCH CALCS'!$G640*2</f>
        <v>0</v>
      </c>
      <c r="F639" s="6">
        <f>'MATCH CALCS'!$G640*2</f>
        <v>0</v>
      </c>
      <c r="G639" s="6">
        <f>'MATCH CALCS'!$G640*2</f>
        <v>0</v>
      </c>
      <c r="H639" s="6">
        <f>'MATCH CALCS'!$G640*2</f>
        <v>0</v>
      </c>
      <c r="I639" s="6">
        <f>'MATCH CALCS'!$G640*2</f>
        <v>0</v>
      </c>
      <c r="J639" s="154">
        <f t="shared" si="15"/>
        <v>0</v>
      </c>
      <c r="K639" s="6">
        <f>'MATCH CALCS'!L640*1</f>
        <v>0</v>
      </c>
      <c r="L639" s="6">
        <f>'MATCH CALCS'!$N640*2</f>
        <v>0</v>
      </c>
      <c r="M639" s="6">
        <f>'MATCH CALCS'!N640*1</f>
        <v>0</v>
      </c>
      <c r="N639" s="6">
        <f>'MATCH CALCS'!$N640*2</f>
        <v>0</v>
      </c>
      <c r="O639" s="6">
        <f>'MATCH CALCS'!$N640*2</f>
        <v>0</v>
      </c>
      <c r="P639" s="6">
        <f>'MATCH CALCS'!$P640*5</f>
        <v>0</v>
      </c>
      <c r="Q639" s="154">
        <f t="shared" si="16"/>
        <v>0</v>
      </c>
      <c r="R639" s="6">
        <f>'MATCH CALCS'!$AD640*1</f>
        <v>0</v>
      </c>
      <c r="S639" s="6">
        <f>'MATCH CALCS'!AC640*3</f>
        <v>0</v>
      </c>
      <c r="T639" s="6">
        <f>'MATCH CALCS'!AD640*3</f>
        <v>0</v>
      </c>
      <c r="U639" s="155">
        <f t="shared" si="17"/>
        <v>0</v>
      </c>
      <c r="V639" s="154">
        <f t="shared" si="18"/>
        <v>0</v>
      </c>
    </row>
    <row r="640" spans="1:22">
      <c r="A640" s="154">
        <f>'MATCH CALCS'!A641</f>
        <v>0</v>
      </c>
      <c r="B640" s="154">
        <f>'MATCH CALCS'!$C641</f>
        <v>0</v>
      </c>
      <c r="C640" s="154">
        <f t="shared" si="14"/>
        <v>0</v>
      </c>
      <c r="D640" s="6">
        <f>'MATCH CALCS'!$G641*2</f>
        <v>0</v>
      </c>
      <c r="E640" s="6">
        <f>'MATCH CALCS'!$G641*2</f>
        <v>0</v>
      </c>
      <c r="F640" s="6">
        <f>'MATCH CALCS'!$G641*2</f>
        <v>0</v>
      </c>
      <c r="G640" s="6">
        <f>'MATCH CALCS'!$G641*2</f>
        <v>0</v>
      </c>
      <c r="H640" s="6">
        <f>'MATCH CALCS'!$G641*2</f>
        <v>0</v>
      </c>
      <c r="I640" s="6">
        <f>'MATCH CALCS'!$G641*2</f>
        <v>0</v>
      </c>
      <c r="J640" s="154">
        <f t="shared" si="15"/>
        <v>0</v>
      </c>
      <c r="K640" s="6">
        <f>'MATCH CALCS'!L641*1</f>
        <v>0</v>
      </c>
      <c r="L640" s="6">
        <f>'MATCH CALCS'!$N641*2</f>
        <v>0</v>
      </c>
      <c r="M640" s="6">
        <f>'MATCH CALCS'!N641*1</f>
        <v>0</v>
      </c>
      <c r="N640" s="6">
        <f>'MATCH CALCS'!$N641*2</f>
        <v>0</v>
      </c>
      <c r="O640" s="6">
        <f>'MATCH CALCS'!$N641*2</f>
        <v>0</v>
      </c>
      <c r="P640" s="6">
        <f>'MATCH CALCS'!$P641*5</f>
        <v>0</v>
      </c>
      <c r="Q640" s="154">
        <f t="shared" si="16"/>
        <v>0</v>
      </c>
      <c r="R640" s="6">
        <f>'MATCH CALCS'!$AD641*1</f>
        <v>0</v>
      </c>
      <c r="S640" s="6">
        <f>'MATCH CALCS'!AC641*3</f>
        <v>0</v>
      </c>
      <c r="T640" s="6">
        <f>'MATCH CALCS'!AD641*3</f>
        <v>0</v>
      </c>
      <c r="U640" s="155">
        <f t="shared" si="17"/>
        <v>0</v>
      </c>
      <c r="V640" s="154">
        <f t="shared" si="18"/>
        <v>0</v>
      </c>
    </row>
    <row r="641" spans="1:22">
      <c r="A641" s="154">
        <f>'MATCH CALCS'!A642</f>
        <v>0</v>
      </c>
      <c r="B641" s="154">
        <f>'MATCH CALCS'!$C642</f>
        <v>0</v>
      </c>
      <c r="C641" s="154">
        <f t="shared" si="14"/>
        <v>0</v>
      </c>
      <c r="D641" s="6">
        <f>'MATCH CALCS'!$G642*2</f>
        <v>0</v>
      </c>
      <c r="E641" s="6">
        <f>'MATCH CALCS'!$G642*2</f>
        <v>0</v>
      </c>
      <c r="F641" s="6">
        <f>'MATCH CALCS'!$G642*2</f>
        <v>0</v>
      </c>
      <c r="G641" s="6">
        <f>'MATCH CALCS'!$G642*2</f>
        <v>0</v>
      </c>
      <c r="H641" s="6">
        <f>'MATCH CALCS'!$G642*2</f>
        <v>0</v>
      </c>
      <c r="I641" s="6">
        <f>'MATCH CALCS'!$G642*2</f>
        <v>0</v>
      </c>
      <c r="J641" s="154">
        <f t="shared" si="15"/>
        <v>0</v>
      </c>
      <c r="K641" s="6">
        <f>'MATCH CALCS'!L642*1</f>
        <v>0</v>
      </c>
      <c r="L641" s="6">
        <f>'MATCH CALCS'!$N642*2</f>
        <v>0</v>
      </c>
      <c r="M641" s="6">
        <f>'MATCH CALCS'!N642*1</f>
        <v>0</v>
      </c>
      <c r="N641" s="6">
        <f>'MATCH CALCS'!$N642*2</f>
        <v>0</v>
      </c>
      <c r="O641" s="6">
        <f>'MATCH CALCS'!$N642*2</f>
        <v>0</v>
      </c>
      <c r="P641" s="6">
        <f>'MATCH CALCS'!$P642*5</f>
        <v>0</v>
      </c>
      <c r="Q641" s="154">
        <f t="shared" si="16"/>
        <v>0</v>
      </c>
      <c r="R641" s="6">
        <f>'MATCH CALCS'!$AD642*1</f>
        <v>0</v>
      </c>
      <c r="S641" s="6">
        <f>'MATCH CALCS'!AC642*3</f>
        <v>0</v>
      </c>
      <c r="T641" s="6">
        <f>'MATCH CALCS'!AD642*3</f>
        <v>0</v>
      </c>
      <c r="U641" s="155">
        <f t="shared" si="17"/>
        <v>0</v>
      </c>
      <c r="V641" s="154">
        <f t="shared" si="18"/>
        <v>0</v>
      </c>
    </row>
    <row r="642" spans="1:22">
      <c r="A642" s="154">
        <f>'MATCH CALCS'!A643</f>
        <v>0</v>
      </c>
      <c r="B642" s="154">
        <f>'MATCH CALCS'!$C643</f>
        <v>0</v>
      </c>
      <c r="C642" s="154">
        <f t="shared" si="14"/>
        <v>0</v>
      </c>
      <c r="D642" s="6">
        <f>'MATCH CALCS'!$G643*2</f>
        <v>0</v>
      </c>
      <c r="E642" s="6">
        <f>'MATCH CALCS'!$G643*2</f>
        <v>0</v>
      </c>
      <c r="F642" s="6">
        <f>'MATCH CALCS'!$G643*2</f>
        <v>0</v>
      </c>
      <c r="G642" s="6">
        <f>'MATCH CALCS'!$G643*2</f>
        <v>0</v>
      </c>
      <c r="H642" s="6">
        <f>'MATCH CALCS'!$G643*2</f>
        <v>0</v>
      </c>
      <c r="I642" s="6">
        <f>'MATCH CALCS'!$G643*2</f>
        <v>0</v>
      </c>
      <c r="J642" s="154">
        <f t="shared" si="15"/>
        <v>0</v>
      </c>
      <c r="K642" s="6">
        <f>'MATCH CALCS'!L643*1</f>
        <v>0</v>
      </c>
      <c r="L642" s="6">
        <f>'MATCH CALCS'!$N643*2</f>
        <v>0</v>
      </c>
      <c r="M642" s="6">
        <f>'MATCH CALCS'!N643*1</f>
        <v>0</v>
      </c>
      <c r="N642" s="6">
        <f>'MATCH CALCS'!$N643*2</f>
        <v>0</v>
      </c>
      <c r="O642" s="6">
        <f>'MATCH CALCS'!$N643*2</f>
        <v>0</v>
      </c>
      <c r="P642" s="6">
        <f>'MATCH CALCS'!$P643*5</f>
        <v>0</v>
      </c>
      <c r="Q642" s="154">
        <f t="shared" si="16"/>
        <v>0</v>
      </c>
      <c r="R642" s="6">
        <f>'MATCH CALCS'!$AD643*1</f>
        <v>0</v>
      </c>
      <c r="S642" s="6">
        <f>'MATCH CALCS'!AC643*3</f>
        <v>0</v>
      </c>
      <c r="T642" s="6">
        <f>'MATCH CALCS'!AD643*3</f>
        <v>0</v>
      </c>
      <c r="U642" s="155">
        <f t="shared" si="17"/>
        <v>0</v>
      </c>
      <c r="V642" s="154">
        <f t="shared" si="18"/>
        <v>0</v>
      </c>
    </row>
    <row r="643" spans="1:22">
      <c r="A643" s="154">
        <f>'MATCH CALCS'!A644</f>
        <v>0</v>
      </c>
      <c r="B643" s="154">
        <f>'MATCH CALCS'!$C644</f>
        <v>0</v>
      </c>
      <c r="C643" s="154">
        <f t="shared" si="14"/>
        <v>0</v>
      </c>
      <c r="D643" s="6">
        <f>'MATCH CALCS'!$G644*2</f>
        <v>0</v>
      </c>
      <c r="E643" s="6">
        <f>'MATCH CALCS'!$G644*2</f>
        <v>0</v>
      </c>
      <c r="F643" s="6">
        <f>'MATCH CALCS'!$G644*2</f>
        <v>0</v>
      </c>
      <c r="G643" s="6">
        <f>'MATCH CALCS'!$G644*2</f>
        <v>0</v>
      </c>
      <c r="H643" s="6">
        <f>'MATCH CALCS'!$G644*2</f>
        <v>0</v>
      </c>
      <c r="I643" s="6">
        <f>'MATCH CALCS'!$G644*2</f>
        <v>0</v>
      </c>
      <c r="J643" s="154">
        <f t="shared" si="15"/>
        <v>0</v>
      </c>
      <c r="K643" s="6">
        <f>'MATCH CALCS'!L644*1</f>
        <v>0</v>
      </c>
      <c r="L643" s="6">
        <f>'MATCH CALCS'!$N644*2</f>
        <v>0</v>
      </c>
      <c r="M643" s="6">
        <f>'MATCH CALCS'!N644*1</f>
        <v>0</v>
      </c>
      <c r="N643" s="6">
        <f>'MATCH CALCS'!$N644*2</f>
        <v>0</v>
      </c>
      <c r="O643" s="6">
        <f>'MATCH CALCS'!$N644*2</f>
        <v>0</v>
      </c>
      <c r="P643" s="6">
        <f>'MATCH CALCS'!$P644*5</f>
        <v>0</v>
      </c>
      <c r="Q643" s="154">
        <f t="shared" si="16"/>
        <v>0</v>
      </c>
      <c r="R643" s="6">
        <f>'MATCH CALCS'!$AD644*1</f>
        <v>0</v>
      </c>
      <c r="S643" s="6">
        <f>'MATCH CALCS'!AC644*3</f>
        <v>0</v>
      </c>
      <c r="T643" s="6">
        <f>'MATCH CALCS'!AD644*3</f>
        <v>0</v>
      </c>
      <c r="U643" s="155">
        <f t="shared" si="17"/>
        <v>0</v>
      </c>
      <c r="V643" s="154">
        <f t="shared" si="18"/>
        <v>0</v>
      </c>
    </row>
    <row r="644" spans="1:22">
      <c r="A644" s="154">
        <f>'MATCH CALCS'!A645</f>
        <v>0</v>
      </c>
      <c r="B644" s="154">
        <f>'MATCH CALCS'!$C645</f>
        <v>0</v>
      </c>
      <c r="C644" s="154">
        <f t="shared" si="14"/>
        <v>0</v>
      </c>
      <c r="D644" s="6">
        <f>'MATCH CALCS'!$G645*2</f>
        <v>0</v>
      </c>
      <c r="E644" s="6">
        <f>'MATCH CALCS'!$G645*2</f>
        <v>0</v>
      </c>
      <c r="F644" s="6">
        <f>'MATCH CALCS'!$G645*2</f>
        <v>0</v>
      </c>
      <c r="G644" s="6">
        <f>'MATCH CALCS'!$G645*2</f>
        <v>0</v>
      </c>
      <c r="H644" s="6">
        <f>'MATCH CALCS'!$G645*2</f>
        <v>0</v>
      </c>
      <c r="I644" s="6">
        <f>'MATCH CALCS'!$G645*2</f>
        <v>0</v>
      </c>
      <c r="J644" s="154">
        <f t="shared" si="15"/>
        <v>0</v>
      </c>
      <c r="K644" s="6">
        <f>'MATCH CALCS'!L645*1</f>
        <v>0</v>
      </c>
      <c r="L644" s="6">
        <f>'MATCH CALCS'!$N645*2</f>
        <v>0</v>
      </c>
      <c r="M644" s="6">
        <f>'MATCH CALCS'!N645*1</f>
        <v>0</v>
      </c>
      <c r="N644" s="6">
        <f>'MATCH CALCS'!$N645*2</f>
        <v>0</v>
      </c>
      <c r="O644" s="6">
        <f>'MATCH CALCS'!$N645*2</f>
        <v>0</v>
      </c>
      <c r="P644" s="6">
        <f>'MATCH CALCS'!$P645*5</f>
        <v>0</v>
      </c>
      <c r="Q644" s="154">
        <f t="shared" si="16"/>
        <v>0</v>
      </c>
      <c r="R644" s="6">
        <f>'MATCH CALCS'!$AD645*1</f>
        <v>0</v>
      </c>
      <c r="S644" s="6">
        <f>'MATCH CALCS'!AC645*3</f>
        <v>0</v>
      </c>
      <c r="T644" s="6">
        <f>'MATCH CALCS'!AD645*3</f>
        <v>0</v>
      </c>
      <c r="U644" s="155">
        <f t="shared" si="17"/>
        <v>0</v>
      </c>
      <c r="V644" s="154">
        <f t="shared" si="18"/>
        <v>0</v>
      </c>
    </row>
    <row r="645" spans="1:22">
      <c r="A645" s="154">
        <f>'MATCH CALCS'!A646</f>
        <v>0</v>
      </c>
      <c r="B645" s="154">
        <f>'MATCH CALCS'!$C646</f>
        <v>0</v>
      </c>
      <c r="C645" s="154">
        <f t="shared" si="14"/>
        <v>0</v>
      </c>
      <c r="D645" s="6">
        <f>'MATCH CALCS'!$G646*2</f>
        <v>0</v>
      </c>
      <c r="E645" s="6">
        <f>'MATCH CALCS'!$G646*2</f>
        <v>0</v>
      </c>
      <c r="F645" s="6">
        <f>'MATCH CALCS'!$G646*2</f>
        <v>0</v>
      </c>
      <c r="G645" s="6">
        <f>'MATCH CALCS'!$G646*2</f>
        <v>0</v>
      </c>
      <c r="H645" s="6">
        <f>'MATCH CALCS'!$G646*2</f>
        <v>0</v>
      </c>
      <c r="I645" s="6">
        <f>'MATCH CALCS'!$G646*2</f>
        <v>0</v>
      </c>
      <c r="J645" s="154">
        <f t="shared" si="15"/>
        <v>0</v>
      </c>
      <c r="K645" s="6">
        <f>'MATCH CALCS'!L646*1</f>
        <v>0</v>
      </c>
      <c r="L645" s="6">
        <f>'MATCH CALCS'!$N646*2</f>
        <v>0</v>
      </c>
      <c r="M645" s="6">
        <f>'MATCH CALCS'!N646*1</f>
        <v>0</v>
      </c>
      <c r="N645" s="6">
        <f>'MATCH CALCS'!$N646*2</f>
        <v>0</v>
      </c>
      <c r="O645" s="6">
        <f>'MATCH CALCS'!$N646*2</f>
        <v>0</v>
      </c>
      <c r="P645" s="6">
        <f>'MATCH CALCS'!$P646*5</f>
        <v>0</v>
      </c>
      <c r="Q645" s="154">
        <f t="shared" si="16"/>
        <v>0</v>
      </c>
      <c r="R645" s="6">
        <f>'MATCH CALCS'!$AD646*1</f>
        <v>0</v>
      </c>
      <c r="S645" s="6">
        <f>'MATCH CALCS'!AC646*3</f>
        <v>0</v>
      </c>
      <c r="T645" s="6">
        <f>'MATCH CALCS'!AD646*3</f>
        <v>0</v>
      </c>
      <c r="U645" s="155">
        <f t="shared" si="17"/>
        <v>0</v>
      </c>
      <c r="V645" s="154">
        <f t="shared" si="18"/>
        <v>0</v>
      </c>
    </row>
    <row r="646" spans="1:22">
      <c r="A646" s="154">
        <f>'MATCH CALCS'!A647</f>
        <v>0</v>
      </c>
      <c r="B646" s="154">
        <f>'MATCH CALCS'!$C647</f>
        <v>0</v>
      </c>
      <c r="C646" s="154">
        <f t="shared" si="14"/>
        <v>0</v>
      </c>
      <c r="D646" s="6">
        <f>'MATCH CALCS'!$G647*2</f>
        <v>0</v>
      </c>
      <c r="E646" s="6">
        <f>'MATCH CALCS'!$G647*2</f>
        <v>0</v>
      </c>
      <c r="F646" s="6">
        <f>'MATCH CALCS'!$G647*2</f>
        <v>0</v>
      </c>
      <c r="G646" s="6">
        <f>'MATCH CALCS'!$G647*2</f>
        <v>0</v>
      </c>
      <c r="H646" s="6">
        <f>'MATCH CALCS'!$G647*2</f>
        <v>0</v>
      </c>
      <c r="I646" s="6">
        <f>'MATCH CALCS'!$G647*2</f>
        <v>0</v>
      </c>
      <c r="J646" s="154">
        <f t="shared" si="15"/>
        <v>0</v>
      </c>
      <c r="K646" s="6">
        <f>'MATCH CALCS'!L647*1</f>
        <v>0</v>
      </c>
      <c r="L646" s="6">
        <f>'MATCH CALCS'!$N647*2</f>
        <v>0</v>
      </c>
      <c r="M646" s="6">
        <f>'MATCH CALCS'!N647*1</f>
        <v>0</v>
      </c>
      <c r="N646" s="6">
        <f>'MATCH CALCS'!$N647*2</f>
        <v>0</v>
      </c>
      <c r="O646" s="6">
        <f>'MATCH CALCS'!$N647*2</f>
        <v>0</v>
      </c>
      <c r="P646" s="6">
        <f>'MATCH CALCS'!$P647*5</f>
        <v>0</v>
      </c>
      <c r="Q646" s="154">
        <f t="shared" si="16"/>
        <v>0</v>
      </c>
      <c r="R646" s="6">
        <f>'MATCH CALCS'!$AD647*1</f>
        <v>0</v>
      </c>
      <c r="S646" s="6">
        <f>'MATCH CALCS'!AC647*3</f>
        <v>0</v>
      </c>
      <c r="T646" s="6">
        <f>'MATCH CALCS'!AD647*3</f>
        <v>0</v>
      </c>
      <c r="U646" s="155">
        <f t="shared" si="17"/>
        <v>0</v>
      </c>
      <c r="V646" s="154">
        <f t="shared" si="18"/>
        <v>0</v>
      </c>
    </row>
    <row r="647" spans="1:22">
      <c r="A647" s="154">
        <f>'MATCH CALCS'!A648</f>
        <v>0</v>
      </c>
      <c r="B647" s="154">
        <f>'MATCH CALCS'!$C648</f>
        <v>0</v>
      </c>
      <c r="C647" s="154">
        <f t="shared" si="14"/>
        <v>0</v>
      </c>
      <c r="D647" s="6">
        <f>'MATCH CALCS'!$G648*2</f>
        <v>0</v>
      </c>
      <c r="E647" s="6">
        <f>'MATCH CALCS'!$G648*2</f>
        <v>0</v>
      </c>
      <c r="F647" s="6">
        <f>'MATCH CALCS'!$G648*2</f>
        <v>0</v>
      </c>
      <c r="G647" s="6">
        <f>'MATCH CALCS'!$G648*2</f>
        <v>0</v>
      </c>
      <c r="H647" s="6">
        <f>'MATCH CALCS'!$G648*2</f>
        <v>0</v>
      </c>
      <c r="I647" s="6">
        <f>'MATCH CALCS'!$G648*2</f>
        <v>0</v>
      </c>
      <c r="J647" s="154">
        <f t="shared" si="15"/>
        <v>0</v>
      </c>
      <c r="K647" s="6">
        <f>'MATCH CALCS'!L648*1</f>
        <v>0</v>
      </c>
      <c r="L647" s="6">
        <f>'MATCH CALCS'!$N648*2</f>
        <v>0</v>
      </c>
      <c r="M647" s="6">
        <f>'MATCH CALCS'!N648*1</f>
        <v>0</v>
      </c>
      <c r="N647" s="6">
        <f>'MATCH CALCS'!$N648*2</f>
        <v>0</v>
      </c>
      <c r="O647" s="6">
        <f>'MATCH CALCS'!$N648*2</f>
        <v>0</v>
      </c>
      <c r="P647" s="6">
        <f>'MATCH CALCS'!$P648*5</f>
        <v>0</v>
      </c>
      <c r="Q647" s="154">
        <f t="shared" si="16"/>
        <v>0</v>
      </c>
      <c r="R647" s="6">
        <f>'MATCH CALCS'!$AD648*1</f>
        <v>0</v>
      </c>
      <c r="S647" s="6">
        <f>'MATCH CALCS'!AC648*3</f>
        <v>0</v>
      </c>
      <c r="T647" s="6">
        <f>'MATCH CALCS'!AD648*3</f>
        <v>0</v>
      </c>
      <c r="U647" s="155">
        <f t="shared" si="17"/>
        <v>0</v>
      </c>
      <c r="V647" s="154">
        <f t="shared" si="18"/>
        <v>0</v>
      </c>
    </row>
    <row r="648" spans="1:22">
      <c r="A648" s="154">
        <f>'MATCH CALCS'!A649</f>
        <v>0</v>
      </c>
      <c r="B648" s="154">
        <f>'MATCH CALCS'!$C649</f>
        <v>0</v>
      </c>
      <c r="C648" s="154">
        <f t="shared" si="14"/>
        <v>0</v>
      </c>
      <c r="D648" s="6">
        <f>'MATCH CALCS'!$G649*2</f>
        <v>0</v>
      </c>
      <c r="E648" s="6">
        <f>'MATCH CALCS'!$G649*2</f>
        <v>0</v>
      </c>
      <c r="F648" s="6">
        <f>'MATCH CALCS'!$G649*2</f>
        <v>0</v>
      </c>
      <c r="G648" s="6">
        <f>'MATCH CALCS'!$G649*2</f>
        <v>0</v>
      </c>
      <c r="H648" s="6">
        <f>'MATCH CALCS'!$G649*2</f>
        <v>0</v>
      </c>
      <c r="I648" s="6">
        <f>'MATCH CALCS'!$G649*2</f>
        <v>0</v>
      </c>
      <c r="J648" s="154">
        <f t="shared" si="15"/>
        <v>0</v>
      </c>
      <c r="K648" s="6">
        <f>'MATCH CALCS'!L649*1</f>
        <v>0</v>
      </c>
      <c r="L648" s="6">
        <f>'MATCH CALCS'!$N649*2</f>
        <v>0</v>
      </c>
      <c r="M648" s="6">
        <f>'MATCH CALCS'!N649*1</f>
        <v>0</v>
      </c>
      <c r="N648" s="6">
        <f>'MATCH CALCS'!$N649*2</f>
        <v>0</v>
      </c>
      <c r="O648" s="6">
        <f>'MATCH CALCS'!$N649*2</f>
        <v>0</v>
      </c>
      <c r="P648" s="6">
        <f>'MATCH CALCS'!$P649*5</f>
        <v>0</v>
      </c>
      <c r="Q648" s="154">
        <f t="shared" si="16"/>
        <v>0</v>
      </c>
      <c r="R648" s="6">
        <f>'MATCH CALCS'!$AD649*1</f>
        <v>0</v>
      </c>
      <c r="S648" s="6">
        <f>'MATCH CALCS'!AC649*3</f>
        <v>0</v>
      </c>
      <c r="T648" s="6">
        <f>'MATCH CALCS'!AD649*3</f>
        <v>0</v>
      </c>
      <c r="U648" s="155">
        <f t="shared" si="17"/>
        <v>0</v>
      </c>
      <c r="V648" s="154">
        <f t="shared" si="18"/>
        <v>0</v>
      </c>
    </row>
    <row r="649" spans="1:22">
      <c r="A649" s="154">
        <f>'MATCH CALCS'!A650</f>
        <v>0</v>
      </c>
      <c r="B649" s="154">
        <f>'MATCH CALCS'!$C650</f>
        <v>0</v>
      </c>
      <c r="C649" s="154">
        <f t="shared" si="14"/>
        <v>0</v>
      </c>
      <c r="D649" s="6">
        <f>'MATCH CALCS'!$G650*2</f>
        <v>0</v>
      </c>
      <c r="E649" s="6">
        <f>'MATCH CALCS'!$G650*2</f>
        <v>0</v>
      </c>
      <c r="F649" s="6">
        <f>'MATCH CALCS'!$G650*2</f>
        <v>0</v>
      </c>
      <c r="G649" s="6">
        <f>'MATCH CALCS'!$G650*2</f>
        <v>0</v>
      </c>
      <c r="H649" s="6">
        <f>'MATCH CALCS'!$G650*2</f>
        <v>0</v>
      </c>
      <c r="I649" s="6">
        <f>'MATCH CALCS'!$G650*2</f>
        <v>0</v>
      </c>
      <c r="J649" s="154">
        <f t="shared" si="15"/>
        <v>0</v>
      </c>
      <c r="K649" s="6">
        <f>'MATCH CALCS'!L650*1</f>
        <v>0</v>
      </c>
      <c r="L649" s="6">
        <f>'MATCH CALCS'!$N650*2</f>
        <v>0</v>
      </c>
      <c r="M649" s="6">
        <f>'MATCH CALCS'!N650*1</f>
        <v>0</v>
      </c>
      <c r="N649" s="6">
        <f>'MATCH CALCS'!$N650*2</f>
        <v>0</v>
      </c>
      <c r="O649" s="6">
        <f>'MATCH CALCS'!$N650*2</f>
        <v>0</v>
      </c>
      <c r="P649" s="6">
        <f>'MATCH CALCS'!$P650*5</f>
        <v>0</v>
      </c>
      <c r="Q649" s="154">
        <f t="shared" si="16"/>
        <v>0</v>
      </c>
      <c r="R649" s="6">
        <f>'MATCH CALCS'!$AD650*1</f>
        <v>0</v>
      </c>
      <c r="S649" s="6">
        <f>'MATCH CALCS'!AC650*3</f>
        <v>0</v>
      </c>
      <c r="T649" s="6">
        <f>'MATCH CALCS'!AD650*3</f>
        <v>0</v>
      </c>
      <c r="U649" s="155">
        <f t="shared" si="17"/>
        <v>0</v>
      </c>
      <c r="V649" s="154">
        <f t="shared" si="18"/>
        <v>0</v>
      </c>
    </row>
    <row r="650" spans="1:22">
      <c r="A650" s="154">
        <f>'MATCH CALCS'!A651</f>
        <v>0</v>
      </c>
      <c r="B650" s="154">
        <f>'MATCH CALCS'!$C651</f>
        <v>0</v>
      </c>
      <c r="C650" s="154">
        <f t="shared" si="14"/>
        <v>0</v>
      </c>
      <c r="D650" s="6">
        <f>'MATCH CALCS'!$G651*2</f>
        <v>0</v>
      </c>
      <c r="E650" s="6">
        <f>'MATCH CALCS'!$G651*2</f>
        <v>0</v>
      </c>
      <c r="F650" s="6">
        <f>'MATCH CALCS'!$G651*2</f>
        <v>0</v>
      </c>
      <c r="G650" s="6">
        <f>'MATCH CALCS'!$G651*2</f>
        <v>0</v>
      </c>
      <c r="H650" s="6">
        <f>'MATCH CALCS'!$G651*2</f>
        <v>0</v>
      </c>
      <c r="I650" s="6">
        <f>'MATCH CALCS'!$G651*2</f>
        <v>0</v>
      </c>
      <c r="J650" s="154">
        <f t="shared" si="15"/>
        <v>0</v>
      </c>
      <c r="K650" s="6">
        <f>'MATCH CALCS'!L651*1</f>
        <v>0</v>
      </c>
      <c r="L650" s="6">
        <f>'MATCH CALCS'!$N651*2</f>
        <v>0</v>
      </c>
      <c r="M650" s="6">
        <f>'MATCH CALCS'!N651*1</f>
        <v>0</v>
      </c>
      <c r="N650" s="6">
        <f>'MATCH CALCS'!$N651*2</f>
        <v>0</v>
      </c>
      <c r="O650" s="6">
        <f>'MATCH CALCS'!$N651*2</f>
        <v>0</v>
      </c>
      <c r="P650" s="6">
        <f>'MATCH CALCS'!$P651*5</f>
        <v>0</v>
      </c>
      <c r="Q650" s="154">
        <f t="shared" si="16"/>
        <v>0</v>
      </c>
      <c r="R650" s="6">
        <f>'MATCH CALCS'!$AD651*1</f>
        <v>0</v>
      </c>
      <c r="S650" s="6">
        <f>'MATCH CALCS'!AC651*3</f>
        <v>0</v>
      </c>
      <c r="T650" s="6">
        <f>'MATCH CALCS'!AD651*3</f>
        <v>0</v>
      </c>
      <c r="U650" s="155">
        <f t="shared" si="17"/>
        <v>0</v>
      </c>
      <c r="V650" s="154">
        <f t="shared" si="18"/>
        <v>0</v>
      </c>
    </row>
    <row r="651" spans="1:22">
      <c r="A651" s="154">
        <f>'MATCH CALCS'!A652</f>
        <v>0</v>
      </c>
      <c r="B651" s="154">
        <f>'MATCH CALCS'!$C652</f>
        <v>0</v>
      </c>
      <c r="C651" s="154">
        <f t="shared" si="14"/>
        <v>0</v>
      </c>
      <c r="D651" s="6">
        <f>'MATCH CALCS'!$G652*2</f>
        <v>0</v>
      </c>
      <c r="E651" s="6">
        <f>'MATCH CALCS'!$G652*2</f>
        <v>0</v>
      </c>
      <c r="F651" s="6">
        <f>'MATCH CALCS'!$G652*2</f>
        <v>0</v>
      </c>
      <c r="G651" s="6">
        <f>'MATCH CALCS'!$G652*2</f>
        <v>0</v>
      </c>
      <c r="H651" s="6">
        <f>'MATCH CALCS'!$G652*2</f>
        <v>0</v>
      </c>
      <c r="I651" s="6">
        <f>'MATCH CALCS'!$G652*2</f>
        <v>0</v>
      </c>
      <c r="J651" s="154">
        <f t="shared" si="15"/>
        <v>0</v>
      </c>
      <c r="K651" s="6">
        <f>'MATCH CALCS'!L652*1</f>
        <v>0</v>
      </c>
      <c r="L651" s="6">
        <f>'MATCH CALCS'!$N652*2</f>
        <v>0</v>
      </c>
      <c r="M651" s="6">
        <f>'MATCH CALCS'!N652*1</f>
        <v>0</v>
      </c>
      <c r="N651" s="6">
        <f>'MATCH CALCS'!$N652*2</f>
        <v>0</v>
      </c>
      <c r="O651" s="6">
        <f>'MATCH CALCS'!$N652*2</f>
        <v>0</v>
      </c>
      <c r="P651" s="6">
        <f>'MATCH CALCS'!$P652*5</f>
        <v>0</v>
      </c>
      <c r="Q651" s="154">
        <f t="shared" si="16"/>
        <v>0</v>
      </c>
      <c r="R651" s="6">
        <f>'MATCH CALCS'!$AD652*1</f>
        <v>0</v>
      </c>
      <c r="S651" s="6">
        <f>'MATCH CALCS'!AC652*3</f>
        <v>0</v>
      </c>
      <c r="T651" s="6">
        <f>'MATCH CALCS'!AD652*3</f>
        <v>0</v>
      </c>
      <c r="U651" s="155">
        <f t="shared" si="17"/>
        <v>0</v>
      </c>
      <c r="V651" s="154">
        <f t="shared" si="18"/>
        <v>0</v>
      </c>
    </row>
    <row r="652" spans="1:22">
      <c r="A652" s="154">
        <f>'MATCH CALCS'!A653</f>
        <v>0</v>
      </c>
      <c r="B652" s="154">
        <f>'MATCH CALCS'!$C653</f>
        <v>0</v>
      </c>
      <c r="C652" s="154">
        <f t="shared" si="14"/>
        <v>0</v>
      </c>
      <c r="D652" s="6">
        <f>'MATCH CALCS'!$G653*2</f>
        <v>0</v>
      </c>
      <c r="E652" s="6">
        <f>'MATCH CALCS'!$G653*2</f>
        <v>0</v>
      </c>
      <c r="F652" s="6">
        <f>'MATCH CALCS'!$G653*2</f>
        <v>0</v>
      </c>
      <c r="G652" s="6">
        <f>'MATCH CALCS'!$G653*2</f>
        <v>0</v>
      </c>
      <c r="H652" s="6">
        <f>'MATCH CALCS'!$G653*2</f>
        <v>0</v>
      </c>
      <c r="I652" s="6">
        <f>'MATCH CALCS'!$G653*2</f>
        <v>0</v>
      </c>
      <c r="J652" s="154">
        <f t="shared" si="15"/>
        <v>0</v>
      </c>
      <c r="K652" s="6">
        <f>'MATCH CALCS'!L653*1</f>
        <v>0</v>
      </c>
      <c r="L652" s="6">
        <f>'MATCH CALCS'!$N653*2</f>
        <v>0</v>
      </c>
      <c r="M652" s="6">
        <f>'MATCH CALCS'!N653*1</f>
        <v>0</v>
      </c>
      <c r="N652" s="6">
        <f>'MATCH CALCS'!$N653*2</f>
        <v>0</v>
      </c>
      <c r="O652" s="6">
        <f>'MATCH CALCS'!$N653*2</f>
        <v>0</v>
      </c>
      <c r="P652" s="6">
        <f>'MATCH CALCS'!$P653*5</f>
        <v>0</v>
      </c>
      <c r="Q652" s="154">
        <f t="shared" si="16"/>
        <v>0</v>
      </c>
      <c r="R652" s="6">
        <f>'MATCH CALCS'!$AD653*1</f>
        <v>0</v>
      </c>
      <c r="S652" s="6">
        <f>'MATCH CALCS'!AC653*3</f>
        <v>0</v>
      </c>
      <c r="T652" s="6">
        <f>'MATCH CALCS'!AD653*3</f>
        <v>0</v>
      </c>
      <c r="U652" s="155">
        <f t="shared" si="17"/>
        <v>0</v>
      </c>
      <c r="V652" s="154">
        <f t="shared" si="18"/>
        <v>0</v>
      </c>
    </row>
    <row r="653" spans="1:22">
      <c r="A653" s="154">
        <f>'MATCH CALCS'!A654</f>
        <v>0</v>
      </c>
      <c r="B653" s="154">
        <f>'MATCH CALCS'!$C654</f>
        <v>0</v>
      </c>
      <c r="C653" s="154">
        <f t="shared" si="14"/>
        <v>0</v>
      </c>
      <c r="D653" s="6">
        <f>'MATCH CALCS'!$G654*2</f>
        <v>0</v>
      </c>
      <c r="E653" s="6">
        <f>'MATCH CALCS'!$G654*2</f>
        <v>0</v>
      </c>
      <c r="F653" s="6">
        <f>'MATCH CALCS'!$G654*2</f>
        <v>0</v>
      </c>
      <c r="G653" s="6">
        <f>'MATCH CALCS'!$G654*2</f>
        <v>0</v>
      </c>
      <c r="H653" s="6">
        <f>'MATCH CALCS'!$G654*2</f>
        <v>0</v>
      </c>
      <c r="I653" s="6">
        <f>'MATCH CALCS'!$G654*2</f>
        <v>0</v>
      </c>
      <c r="J653" s="154">
        <f t="shared" si="15"/>
        <v>0</v>
      </c>
      <c r="K653" s="6">
        <f>'MATCH CALCS'!L654*1</f>
        <v>0</v>
      </c>
      <c r="L653" s="6">
        <f>'MATCH CALCS'!$N654*2</f>
        <v>0</v>
      </c>
      <c r="M653" s="6">
        <f>'MATCH CALCS'!N654*1</f>
        <v>0</v>
      </c>
      <c r="N653" s="6">
        <f>'MATCH CALCS'!$N654*2</f>
        <v>0</v>
      </c>
      <c r="O653" s="6">
        <f>'MATCH CALCS'!$N654*2</f>
        <v>0</v>
      </c>
      <c r="P653" s="6">
        <f>'MATCH CALCS'!$P654*5</f>
        <v>0</v>
      </c>
      <c r="Q653" s="154">
        <f t="shared" si="16"/>
        <v>0</v>
      </c>
      <c r="R653" s="6">
        <f>'MATCH CALCS'!$AD654*1</f>
        <v>0</v>
      </c>
      <c r="S653" s="6">
        <f>'MATCH CALCS'!AC654*3</f>
        <v>0</v>
      </c>
      <c r="T653" s="6">
        <f>'MATCH CALCS'!AD654*3</f>
        <v>0</v>
      </c>
      <c r="U653" s="155">
        <f t="shared" si="17"/>
        <v>0</v>
      </c>
      <c r="V653" s="154">
        <f t="shared" si="18"/>
        <v>0</v>
      </c>
    </row>
    <row r="654" spans="1:22">
      <c r="A654" s="154">
        <f>'MATCH CALCS'!A655</f>
        <v>0</v>
      </c>
      <c r="B654" s="154">
        <f>'MATCH CALCS'!$C655</f>
        <v>0</v>
      </c>
      <c r="C654" s="154">
        <f t="shared" si="14"/>
        <v>0</v>
      </c>
      <c r="D654" s="6">
        <f>'MATCH CALCS'!$G655*2</f>
        <v>0</v>
      </c>
      <c r="E654" s="6">
        <f>'MATCH CALCS'!$G655*2</f>
        <v>0</v>
      </c>
      <c r="F654" s="6">
        <f>'MATCH CALCS'!$G655*2</f>
        <v>0</v>
      </c>
      <c r="G654" s="6">
        <f>'MATCH CALCS'!$G655*2</f>
        <v>0</v>
      </c>
      <c r="H654" s="6">
        <f>'MATCH CALCS'!$G655*2</f>
        <v>0</v>
      </c>
      <c r="I654" s="6">
        <f>'MATCH CALCS'!$G655*2</f>
        <v>0</v>
      </c>
      <c r="J654" s="154">
        <f t="shared" si="15"/>
        <v>0</v>
      </c>
      <c r="K654" s="6">
        <f>'MATCH CALCS'!L655*1</f>
        <v>0</v>
      </c>
      <c r="L654" s="6">
        <f>'MATCH CALCS'!$N655*2</f>
        <v>0</v>
      </c>
      <c r="M654" s="6">
        <f>'MATCH CALCS'!N655*1</f>
        <v>0</v>
      </c>
      <c r="N654" s="6">
        <f>'MATCH CALCS'!$N655*2</f>
        <v>0</v>
      </c>
      <c r="O654" s="6">
        <f>'MATCH CALCS'!$N655*2</f>
        <v>0</v>
      </c>
      <c r="P654" s="6">
        <f>'MATCH CALCS'!$P655*5</f>
        <v>0</v>
      </c>
      <c r="Q654" s="154">
        <f t="shared" si="16"/>
        <v>0</v>
      </c>
      <c r="R654" s="6">
        <f>'MATCH CALCS'!$AD655*1</f>
        <v>0</v>
      </c>
      <c r="S654" s="6">
        <f>'MATCH CALCS'!AC655*3</f>
        <v>0</v>
      </c>
      <c r="T654" s="6">
        <f>'MATCH CALCS'!AD655*3</f>
        <v>0</v>
      </c>
      <c r="U654" s="155">
        <f t="shared" si="17"/>
        <v>0</v>
      </c>
      <c r="V654" s="154">
        <f t="shared" si="18"/>
        <v>0</v>
      </c>
    </row>
    <row r="655" spans="1:22">
      <c r="A655" s="154">
        <f>'MATCH CALCS'!A656</f>
        <v>0</v>
      </c>
      <c r="B655" s="154">
        <f>'MATCH CALCS'!$C656</f>
        <v>0</v>
      </c>
      <c r="C655" s="154">
        <f t="shared" si="14"/>
        <v>0</v>
      </c>
      <c r="D655" s="6">
        <f>'MATCH CALCS'!$G656*2</f>
        <v>0</v>
      </c>
      <c r="E655" s="6">
        <f>'MATCH CALCS'!$G656*2</f>
        <v>0</v>
      </c>
      <c r="F655" s="6">
        <f>'MATCH CALCS'!$G656*2</f>
        <v>0</v>
      </c>
      <c r="G655" s="6">
        <f>'MATCH CALCS'!$G656*2</f>
        <v>0</v>
      </c>
      <c r="H655" s="6">
        <f>'MATCH CALCS'!$G656*2</f>
        <v>0</v>
      </c>
      <c r="I655" s="6">
        <f>'MATCH CALCS'!$G656*2</f>
        <v>0</v>
      </c>
      <c r="J655" s="154">
        <f t="shared" si="15"/>
        <v>0</v>
      </c>
      <c r="K655" s="6">
        <f>'MATCH CALCS'!L656*1</f>
        <v>0</v>
      </c>
      <c r="L655" s="6">
        <f>'MATCH CALCS'!$N656*2</f>
        <v>0</v>
      </c>
      <c r="M655" s="6">
        <f>'MATCH CALCS'!N656*1</f>
        <v>0</v>
      </c>
      <c r="N655" s="6">
        <f>'MATCH CALCS'!$N656*2</f>
        <v>0</v>
      </c>
      <c r="O655" s="6">
        <f>'MATCH CALCS'!$N656*2</f>
        <v>0</v>
      </c>
      <c r="P655" s="6">
        <f>'MATCH CALCS'!$P656*5</f>
        <v>0</v>
      </c>
      <c r="Q655" s="154">
        <f t="shared" si="16"/>
        <v>0</v>
      </c>
      <c r="R655" s="6">
        <f>'MATCH CALCS'!$AD656*1</f>
        <v>0</v>
      </c>
      <c r="S655" s="6">
        <f>'MATCH CALCS'!AC656*3</f>
        <v>0</v>
      </c>
      <c r="T655" s="6">
        <f>'MATCH CALCS'!AD656*3</f>
        <v>0</v>
      </c>
      <c r="U655" s="155">
        <f t="shared" si="17"/>
        <v>0</v>
      </c>
      <c r="V655" s="154">
        <f t="shared" si="18"/>
        <v>0</v>
      </c>
    </row>
    <row r="656" spans="1:22">
      <c r="A656" s="154">
        <f>'MATCH CALCS'!A657</f>
        <v>0</v>
      </c>
      <c r="B656" s="154">
        <f>'MATCH CALCS'!$C657</f>
        <v>0</v>
      </c>
      <c r="C656" s="154">
        <f t="shared" si="14"/>
        <v>0</v>
      </c>
      <c r="D656" s="6">
        <f>'MATCH CALCS'!$G657*2</f>
        <v>0</v>
      </c>
      <c r="E656" s="6">
        <f>'MATCH CALCS'!$G657*2</f>
        <v>0</v>
      </c>
      <c r="F656" s="6">
        <f>'MATCH CALCS'!$G657*2</f>
        <v>0</v>
      </c>
      <c r="G656" s="6">
        <f>'MATCH CALCS'!$G657*2</f>
        <v>0</v>
      </c>
      <c r="H656" s="6">
        <f>'MATCH CALCS'!$G657*2</f>
        <v>0</v>
      </c>
      <c r="I656" s="6">
        <f>'MATCH CALCS'!$G657*2</f>
        <v>0</v>
      </c>
      <c r="J656" s="154">
        <f t="shared" si="15"/>
        <v>0</v>
      </c>
      <c r="K656" s="6">
        <f>'MATCH CALCS'!L657*1</f>
        <v>0</v>
      </c>
      <c r="L656" s="6">
        <f>'MATCH CALCS'!$N657*2</f>
        <v>0</v>
      </c>
      <c r="M656" s="6">
        <f>'MATCH CALCS'!N657*1</f>
        <v>0</v>
      </c>
      <c r="N656" s="6">
        <f>'MATCH CALCS'!$N657*2</f>
        <v>0</v>
      </c>
      <c r="O656" s="6">
        <f>'MATCH CALCS'!$N657*2</f>
        <v>0</v>
      </c>
      <c r="P656" s="6">
        <f>'MATCH CALCS'!$P657*5</f>
        <v>0</v>
      </c>
      <c r="Q656" s="154">
        <f t="shared" si="16"/>
        <v>0</v>
      </c>
      <c r="R656" s="6">
        <f>'MATCH CALCS'!$AD657*1</f>
        <v>0</v>
      </c>
      <c r="S656" s="6">
        <f>'MATCH CALCS'!AC657*3</f>
        <v>0</v>
      </c>
      <c r="T656" s="6">
        <f>'MATCH CALCS'!AD657*3</f>
        <v>0</v>
      </c>
      <c r="U656" s="155">
        <f t="shared" si="17"/>
        <v>0</v>
      </c>
      <c r="V656" s="154">
        <f t="shared" si="18"/>
        <v>0</v>
      </c>
    </row>
    <row r="657" spans="1:22">
      <c r="A657" s="154">
        <f>'MATCH CALCS'!A658</f>
        <v>0</v>
      </c>
      <c r="B657" s="154">
        <f>'MATCH CALCS'!$C658</f>
        <v>0</v>
      </c>
      <c r="C657" s="154">
        <f t="shared" si="14"/>
        <v>0</v>
      </c>
      <c r="D657" s="6">
        <f>'MATCH CALCS'!$G658*2</f>
        <v>0</v>
      </c>
      <c r="E657" s="6">
        <f>'MATCH CALCS'!$G658*2</f>
        <v>0</v>
      </c>
      <c r="F657" s="6">
        <f>'MATCH CALCS'!$G658*2</f>
        <v>0</v>
      </c>
      <c r="G657" s="6">
        <f>'MATCH CALCS'!$G658*2</f>
        <v>0</v>
      </c>
      <c r="H657" s="6">
        <f>'MATCH CALCS'!$G658*2</f>
        <v>0</v>
      </c>
      <c r="I657" s="6">
        <f>'MATCH CALCS'!$G658*2</f>
        <v>0</v>
      </c>
      <c r="J657" s="154">
        <f t="shared" si="15"/>
        <v>0</v>
      </c>
      <c r="K657" s="6">
        <f>'MATCH CALCS'!L658*1</f>
        <v>0</v>
      </c>
      <c r="L657" s="6">
        <f>'MATCH CALCS'!$N658*2</f>
        <v>0</v>
      </c>
      <c r="M657" s="6">
        <f>'MATCH CALCS'!N658*1</f>
        <v>0</v>
      </c>
      <c r="N657" s="6">
        <f>'MATCH CALCS'!$N658*2</f>
        <v>0</v>
      </c>
      <c r="O657" s="6">
        <f>'MATCH CALCS'!$N658*2</f>
        <v>0</v>
      </c>
      <c r="P657" s="6">
        <f>'MATCH CALCS'!$P658*5</f>
        <v>0</v>
      </c>
      <c r="Q657" s="154">
        <f t="shared" si="16"/>
        <v>0</v>
      </c>
      <c r="R657" s="6">
        <f>'MATCH CALCS'!$AD658*1</f>
        <v>0</v>
      </c>
      <c r="S657" s="6">
        <f>'MATCH CALCS'!AC658*3</f>
        <v>0</v>
      </c>
      <c r="T657" s="6">
        <f>'MATCH CALCS'!AD658*3</f>
        <v>0</v>
      </c>
      <c r="U657" s="155">
        <f t="shared" si="17"/>
        <v>0</v>
      </c>
      <c r="V657" s="154">
        <f t="shared" si="18"/>
        <v>0</v>
      </c>
    </row>
    <row r="658" spans="1:22">
      <c r="A658" s="154">
        <f>'MATCH CALCS'!A659</f>
        <v>0</v>
      </c>
      <c r="B658" s="154">
        <f>'MATCH CALCS'!$C659</f>
        <v>0</v>
      </c>
      <c r="C658" s="154">
        <f t="shared" si="14"/>
        <v>0</v>
      </c>
      <c r="D658" s="6">
        <f>'MATCH CALCS'!$G659*2</f>
        <v>0</v>
      </c>
      <c r="E658" s="6">
        <f>'MATCH CALCS'!$G659*2</f>
        <v>0</v>
      </c>
      <c r="F658" s="6">
        <f>'MATCH CALCS'!$G659*2</f>
        <v>0</v>
      </c>
      <c r="G658" s="6">
        <f>'MATCH CALCS'!$G659*2</f>
        <v>0</v>
      </c>
      <c r="H658" s="6">
        <f>'MATCH CALCS'!$G659*2</f>
        <v>0</v>
      </c>
      <c r="I658" s="6">
        <f>'MATCH CALCS'!$G659*2</f>
        <v>0</v>
      </c>
      <c r="J658" s="154">
        <f t="shared" si="15"/>
        <v>0</v>
      </c>
      <c r="K658" s="6">
        <f>'MATCH CALCS'!L659*1</f>
        <v>0</v>
      </c>
      <c r="L658" s="6">
        <f>'MATCH CALCS'!$N659*2</f>
        <v>0</v>
      </c>
      <c r="M658" s="6">
        <f>'MATCH CALCS'!N659*1</f>
        <v>0</v>
      </c>
      <c r="N658" s="6">
        <f>'MATCH CALCS'!$N659*2</f>
        <v>0</v>
      </c>
      <c r="O658" s="6">
        <f>'MATCH CALCS'!$N659*2</f>
        <v>0</v>
      </c>
      <c r="P658" s="6">
        <f>'MATCH CALCS'!$P659*5</f>
        <v>0</v>
      </c>
      <c r="Q658" s="154">
        <f t="shared" si="16"/>
        <v>0</v>
      </c>
      <c r="R658" s="6">
        <f>'MATCH CALCS'!$AD659*1</f>
        <v>0</v>
      </c>
      <c r="S658" s="6">
        <f>'MATCH CALCS'!AC659*3</f>
        <v>0</v>
      </c>
      <c r="T658" s="6">
        <f>'MATCH CALCS'!AD659*3</f>
        <v>0</v>
      </c>
      <c r="U658" s="155">
        <f t="shared" si="17"/>
        <v>0</v>
      </c>
      <c r="V658" s="154">
        <f t="shared" si="18"/>
        <v>0</v>
      </c>
    </row>
    <row r="659" spans="1:22">
      <c r="A659" s="154">
        <f>'MATCH CALCS'!A660</f>
        <v>0</v>
      </c>
      <c r="B659" s="154">
        <f>'MATCH CALCS'!$C660</f>
        <v>0</v>
      </c>
      <c r="C659" s="154">
        <f t="shared" si="14"/>
        <v>0</v>
      </c>
      <c r="D659" s="6">
        <f>'MATCH CALCS'!$G660*2</f>
        <v>0</v>
      </c>
      <c r="E659" s="6">
        <f>'MATCH CALCS'!$G660*2</f>
        <v>0</v>
      </c>
      <c r="F659" s="6">
        <f>'MATCH CALCS'!$G660*2</f>
        <v>0</v>
      </c>
      <c r="G659" s="6">
        <f>'MATCH CALCS'!$G660*2</f>
        <v>0</v>
      </c>
      <c r="H659" s="6">
        <f>'MATCH CALCS'!$G660*2</f>
        <v>0</v>
      </c>
      <c r="I659" s="6">
        <f>'MATCH CALCS'!$G660*2</f>
        <v>0</v>
      </c>
      <c r="J659" s="154">
        <f t="shared" si="15"/>
        <v>0</v>
      </c>
      <c r="K659" s="6">
        <f>'MATCH CALCS'!L660*1</f>
        <v>0</v>
      </c>
      <c r="L659" s="6">
        <f>'MATCH CALCS'!$N660*2</f>
        <v>0</v>
      </c>
      <c r="M659" s="6">
        <f>'MATCH CALCS'!N660*1</f>
        <v>0</v>
      </c>
      <c r="N659" s="6">
        <f>'MATCH CALCS'!$N660*2</f>
        <v>0</v>
      </c>
      <c r="O659" s="6">
        <f>'MATCH CALCS'!$N660*2</f>
        <v>0</v>
      </c>
      <c r="P659" s="6">
        <f>'MATCH CALCS'!$P660*5</f>
        <v>0</v>
      </c>
      <c r="Q659" s="154">
        <f t="shared" si="16"/>
        <v>0</v>
      </c>
      <c r="R659" s="6">
        <f>'MATCH CALCS'!$AD660*1</f>
        <v>0</v>
      </c>
      <c r="S659" s="6">
        <f>'MATCH CALCS'!AC660*3</f>
        <v>0</v>
      </c>
      <c r="T659" s="6">
        <f>'MATCH CALCS'!AD660*3</f>
        <v>0</v>
      </c>
      <c r="U659" s="155">
        <f t="shared" si="17"/>
        <v>0</v>
      </c>
      <c r="V659" s="154">
        <f t="shared" si="18"/>
        <v>0</v>
      </c>
    </row>
    <row r="660" spans="1:22">
      <c r="A660" s="154">
        <f>'MATCH CALCS'!A661</f>
        <v>0</v>
      </c>
      <c r="B660" s="154">
        <f>'MATCH CALCS'!$C661</f>
        <v>0</v>
      </c>
      <c r="C660" s="154">
        <f t="shared" si="14"/>
        <v>0</v>
      </c>
      <c r="D660" s="6">
        <f>'MATCH CALCS'!$G661*2</f>
        <v>0</v>
      </c>
      <c r="E660" s="6">
        <f>'MATCH CALCS'!$G661*2</f>
        <v>0</v>
      </c>
      <c r="F660" s="6">
        <f>'MATCH CALCS'!$G661*2</f>
        <v>0</v>
      </c>
      <c r="G660" s="6">
        <f>'MATCH CALCS'!$G661*2</f>
        <v>0</v>
      </c>
      <c r="H660" s="6">
        <f>'MATCH CALCS'!$G661*2</f>
        <v>0</v>
      </c>
      <c r="I660" s="6">
        <f>'MATCH CALCS'!$G661*2</f>
        <v>0</v>
      </c>
      <c r="J660" s="154">
        <f t="shared" si="15"/>
        <v>0</v>
      </c>
      <c r="K660" s="6">
        <f>'MATCH CALCS'!L661*1</f>
        <v>0</v>
      </c>
      <c r="L660" s="6">
        <f>'MATCH CALCS'!$N661*2</f>
        <v>0</v>
      </c>
      <c r="M660" s="6">
        <f>'MATCH CALCS'!N661*1</f>
        <v>0</v>
      </c>
      <c r="N660" s="6">
        <f>'MATCH CALCS'!$N661*2</f>
        <v>0</v>
      </c>
      <c r="O660" s="6">
        <f>'MATCH CALCS'!$N661*2</f>
        <v>0</v>
      </c>
      <c r="P660" s="6">
        <f>'MATCH CALCS'!$P661*5</f>
        <v>0</v>
      </c>
      <c r="Q660" s="154">
        <f t="shared" si="16"/>
        <v>0</v>
      </c>
      <c r="R660" s="6">
        <f>'MATCH CALCS'!$AD661*1</f>
        <v>0</v>
      </c>
      <c r="S660" s="6">
        <f>'MATCH CALCS'!AC661*3</f>
        <v>0</v>
      </c>
      <c r="T660" s="6">
        <f>'MATCH CALCS'!AD661*3</f>
        <v>0</v>
      </c>
      <c r="U660" s="155">
        <f t="shared" si="17"/>
        <v>0</v>
      </c>
      <c r="V660" s="154">
        <f t="shared" si="18"/>
        <v>0</v>
      </c>
    </row>
    <row r="661" spans="1:22">
      <c r="A661" s="154">
        <f>'MATCH CALCS'!A662</f>
        <v>0</v>
      </c>
      <c r="B661" s="154">
        <f>'MATCH CALCS'!$C662</f>
        <v>0</v>
      </c>
      <c r="C661" s="154">
        <f t="shared" si="14"/>
        <v>0</v>
      </c>
      <c r="D661" s="6">
        <f>'MATCH CALCS'!$G662*2</f>
        <v>0</v>
      </c>
      <c r="E661" s="6">
        <f>'MATCH CALCS'!$G662*2</f>
        <v>0</v>
      </c>
      <c r="F661" s="6">
        <f>'MATCH CALCS'!$G662*2</f>
        <v>0</v>
      </c>
      <c r="G661" s="6">
        <f>'MATCH CALCS'!$G662*2</f>
        <v>0</v>
      </c>
      <c r="H661" s="6">
        <f>'MATCH CALCS'!$G662*2</f>
        <v>0</v>
      </c>
      <c r="I661" s="6">
        <f>'MATCH CALCS'!$G662*2</f>
        <v>0</v>
      </c>
      <c r="J661" s="154">
        <f t="shared" si="15"/>
        <v>0</v>
      </c>
      <c r="K661" s="6">
        <f>'MATCH CALCS'!L662*1</f>
        <v>0</v>
      </c>
      <c r="L661" s="6">
        <f>'MATCH CALCS'!$N662*2</f>
        <v>0</v>
      </c>
      <c r="M661" s="6">
        <f>'MATCH CALCS'!N662*1</f>
        <v>0</v>
      </c>
      <c r="N661" s="6">
        <f>'MATCH CALCS'!$N662*2</f>
        <v>0</v>
      </c>
      <c r="O661" s="6">
        <f>'MATCH CALCS'!$N662*2</f>
        <v>0</v>
      </c>
      <c r="P661" s="6">
        <f>'MATCH CALCS'!$P662*5</f>
        <v>0</v>
      </c>
      <c r="Q661" s="154">
        <f t="shared" si="16"/>
        <v>0</v>
      </c>
      <c r="R661" s="6">
        <f>'MATCH CALCS'!$AD662*1</f>
        <v>0</v>
      </c>
      <c r="S661" s="6">
        <f>'MATCH CALCS'!AC662*3</f>
        <v>0</v>
      </c>
      <c r="T661" s="6">
        <f>'MATCH CALCS'!AD662*3</f>
        <v>0</v>
      </c>
      <c r="U661" s="155">
        <f t="shared" si="17"/>
        <v>0</v>
      </c>
      <c r="V661" s="154">
        <f t="shared" si="18"/>
        <v>0</v>
      </c>
    </row>
    <row r="662" spans="1:22">
      <c r="A662" s="154">
        <f>'MATCH CALCS'!A663</f>
        <v>0</v>
      </c>
      <c r="B662" s="154">
        <f>'MATCH CALCS'!$C663</f>
        <v>0</v>
      </c>
      <c r="C662" s="154">
        <f t="shared" si="14"/>
        <v>0</v>
      </c>
      <c r="D662" s="6">
        <f>'MATCH CALCS'!$G663*2</f>
        <v>0</v>
      </c>
      <c r="E662" s="6">
        <f>'MATCH CALCS'!$G663*2</f>
        <v>0</v>
      </c>
      <c r="F662" s="6">
        <f>'MATCH CALCS'!$G663*2</f>
        <v>0</v>
      </c>
      <c r="G662" s="6">
        <f>'MATCH CALCS'!$G663*2</f>
        <v>0</v>
      </c>
      <c r="H662" s="6">
        <f>'MATCH CALCS'!$G663*2</f>
        <v>0</v>
      </c>
      <c r="I662" s="6">
        <f>'MATCH CALCS'!$G663*2</f>
        <v>0</v>
      </c>
      <c r="J662" s="154">
        <f t="shared" si="15"/>
        <v>0</v>
      </c>
      <c r="K662" s="6">
        <f>'MATCH CALCS'!L663*1</f>
        <v>0</v>
      </c>
      <c r="L662" s="6">
        <f>'MATCH CALCS'!$N663*2</f>
        <v>0</v>
      </c>
      <c r="M662" s="6">
        <f>'MATCH CALCS'!N663*1</f>
        <v>0</v>
      </c>
      <c r="N662" s="6">
        <f>'MATCH CALCS'!$N663*2</f>
        <v>0</v>
      </c>
      <c r="O662" s="6">
        <f>'MATCH CALCS'!$N663*2</f>
        <v>0</v>
      </c>
      <c r="P662" s="6">
        <f>'MATCH CALCS'!$P663*5</f>
        <v>0</v>
      </c>
      <c r="Q662" s="154">
        <f t="shared" si="16"/>
        <v>0</v>
      </c>
      <c r="R662" s="6">
        <f>'MATCH CALCS'!$AD663*1</f>
        <v>0</v>
      </c>
      <c r="S662" s="6">
        <f>'MATCH CALCS'!AC663*3</f>
        <v>0</v>
      </c>
      <c r="T662" s="6">
        <f>'MATCH CALCS'!AD663*3</f>
        <v>0</v>
      </c>
      <c r="U662" s="155">
        <f t="shared" si="17"/>
        <v>0</v>
      </c>
      <c r="V662" s="154">
        <f t="shared" si="18"/>
        <v>0</v>
      </c>
    </row>
    <row r="663" spans="1:22">
      <c r="A663" s="154">
        <f>'MATCH CALCS'!A664</f>
        <v>0</v>
      </c>
      <c r="B663" s="154">
        <f>'MATCH CALCS'!$C664</f>
        <v>0</v>
      </c>
      <c r="C663" s="154">
        <f t="shared" si="14"/>
        <v>0</v>
      </c>
      <c r="D663" s="6">
        <f>'MATCH CALCS'!$G664*2</f>
        <v>0</v>
      </c>
      <c r="E663" s="6">
        <f>'MATCH CALCS'!$G664*2</f>
        <v>0</v>
      </c>
      <c r="F663" s="6">
        <f>'MATCH CALCS'!$G664*2</f>
        <v>0</v>
      </c>
      <c r="G663" s="6">
        <f>'MATCH CALCS'!$G664*2</f>
        <v>0</v>
      </c>
      <c r="H663" s="6">
        <f>'MATCH CALCS'!$G664*2</f>
        <v>0</v>
      </c>
      <c r="I663" s="6">
        <f>'MATCH CALCS'!$G664*2</f>
        <v>0</v>
      </c>
      <c r="J663" s="154">
        <f t="shared" si="15"/>
        <v>0</v>
      </c>
      <c r="K663" s="6">
        <f>'MATCH CALCS'!L664*1</f>
        <v>0</v>
      </c>
      <c r="L663" s="6">
        <f>'MATCH CALCS'!$N664*2</f>
        <v>0</v>
      </c>
      <c r="M663" s="6">
        <f>'MATCH CALCS'!N664*1</f>
        <v>0</v>
      </c>
      <c r="N663" s="6">
        <f>'MATCH CALCS'!$N664*2</f>
        <v>0</v>
      </c>
      <c r="O663" s="6">
        <f>'MATCH CALCS'!$N664*2</f>
        <v>0</v>
      </c>
      <c r="P663" s="6">
        <f>'MATCH CALCS'!$P664*5</f>
        <v>0</v>
      </c>
      <c r="Q663" s="154">
        <f t="shared" si="16"/>
        <v>0</v>
      </c>
      <c r="R663" s="6">
        <f>'MATCH CALCS'!$AD664*1</f>
        <v>0</v>
      </c>
      <c r="S663" s="6">
        <f>'MATCH CALCS'!AC664*3</f>
        <v>0</v>
      </c>
      <c r="T663" s="6">
        <f>'MATCH CALCS'!AD664*3</f>
        <v>0</v>
      </c>
      <c r="U663" s="155">
        <f t="shared" si="17"/>
        <v>0</v>
      </c>
      <c r="V663" s="154">
        <f t="shared" si="18"/>
        <v>0</v>
      </c>
    </row>
    <row r="664" spans="1:22">
      <c r="A664" s="154">
        <f>'MATCH CALCS'!A665</f>
        <v>0</v>
      </c>
      <c r="B664" s="154">
        <f>'MATCH CALCS'!$C665</f>
        <v>0</v>
      </c>
      <c r="C664" s="154">
        <f t="shared" si="14"/>
        <v>0</v>
      </c>
      <c r="D664" s="6">
        <f>'MATCH CALCS'!$G665*2</f>
        <v>0</v>
      </c>
      <c r="E664" s="6">
        <f>'MATCH CALCS'!$G665*2</f>
        <v>0</v>
      </c>
      <c r="F664" s="6">
        <f>'MATCH CALCS'!$G665*2</f>
        <v>0</v>
      </c>
      <c r="G664" s="6">
        <f>'MATCH CALCS'!$G665*2</f>
        <v>0</v>
      </c>
      <c r="H664" s="6">
        <f>'MATCH CALCS'!$G665*2</f>
        <v>0</v>
      </c>
      <c r="I664" s="6">
        <f>'MATCH CALCS'!$G665*2</f>
        <v>0</v>
      </c>
      <c r="J664" s="154">
        <f t="shared" si="15"/>
        <v>0</v>
      </c>
      <c r="K664" s="6">
        <f>'MATCH CALCS'!L665*1</f>
        <v>0</v>
      </c>
      <c r="L664" s="6">
        <f>'MATCH CALCS'!$N665*2</f>
        <v>0</v>
      </c>
      <c r="M664" s="6">
        <f>'MATCH CALCS'!N665*1</f>
        <v>0</v>
      </c>
      <c r="N664" s="6">
        <f>'MATCH CALCS'!$N665*2</f>
        <v>0</v>
      </c>
      <c r="O664" s="6">
        <f>'MATCH CALCS'!$N665*2</f>
        <v>0</v>
      </c>
      <c r="P664" s="6">
        <f>'MATCH CALCS'!$P665*5</f>
        <v>0</v>
      </c>
      <c r="Q664" s="154">
        <f t="shared" si="16"/>
        <v>0</v>
      </c>
      <c r="R664" s="6">
        <f>'MATCH CALCS'!$AD665*1</f>
        <v>0</v>
      </c>
      <c r="S664" s="6">
        <f>'MATCH CALCS'!AC665*3</f>
        <v>0</v>
      </c>
      <c r="T664" s="6">
        <f>'MATCH CALCS'!AD665*3</f>
        <v>0</v>
      </c>
      <c r="U664" s="155">
        <f t="shared" si="17"/>
        <v>0</v>
      </c>
      <c r="V664" s="154">
        <f t="shared" si="18"/>
        <v>0</v>
      </c>
    </row>
    <row r="665" spans="1:22">
      <c r="A665" s="154">
        <f>'MATCH CALCS'!A666</f>
        <v>0</v>
      </c>
      <c r="B665" s="154">
        <f>'MATCH CALCS'!$C666</f>
        <v>0</v>
      </c>
      <c r="C665" s="154">
        <f t="shared" si="14"/>
        <v>0</v>
      </c>
      <c r="D665" s="6">
        <f>'MATCH CALCS'!$G666*2</f>
        <v>0</v>
      </c>
      <c r="E665" s="6">
        <f>'MATCH CALCS'!$G666*2</f>
        <v>0</v>
      </c>
      <c r="F665" s="6">
        <f>'MATCH CALCS'!$G666*2</f>
        <v>0</v>
      </c>
      <c r="G665" s="6">
        <f>'MATCH CALCS'!$G666*2</f>
        <v>0</v>
      </c>
      <c r="H665" s="6">
        <f>'MATCH CALCS'!$G666*2</f>
        <v>0</v>
      </c>
      <c r="I665" s="6">
        <f>'MATCH CALCS'!$G666*2</f>
        <v>0</v>
      </c>
      <c r="J665" s="154">
        <f t="shared" si="15"/>
        <v>0</v>
      </c>
      <c r="K665" s="6">
        <f>'MATCH CALCS'!L666*1</f>
        <v>0</v>
      </c>
      <c r="L665" s="6">
        <f>'MATCH CALCS'!$N666*2</f>
        <v>0</v>
      </c>
      <c r="M665" s="6">
        <f>'MATCH CALCS'!N666*1</f>
        <v>0</v>
      </c>
      <c r="N665" s="6">
        <f>'MATCH CALCS'!$N666*2</f>
        <v>0</v>
      </c>
      <c r="O665" s="6">
        <f>'MATCH CALCS'!$N666*2</f>
        <v>0</v>
      </c>
      <c r="P665" s="6">
        <f>'MATCH CALCS'!$P666*5</f>
        <v>0</v>
      </c>
      <c r="Q665" s="154">
        <f t="shared" si="16"/>
        <v>0</v>
      </c>
      <c r="R665" s="6">
        <f>'MATCH CALCS'!$AD666*1</f>
        <v>0</v>
      </c>
      <c r="S665" s="6">
        <f>'MATCH CALCS'!AC666*3</f>
        <v>0</v>
      </c>
      <c r="T665" s="6">
        <f>'MATCH CALCS'!AD666*3</f>
        <v>0</v>
      </c>
      <c r="U665" s="155">
        <f t="shared" si="17"/>
        <v>0</v>
      </c>
      <c r="V665" s="154">
        <f t="shared" si="18"/>
        <v>0</v>
      </c>
    </row>
    <row r="666" spans="1:22">
      <c r="A666" s="154">
        <f>'MATCH CALCS'!A667</f>
        <v>0</v>
      </c>
      <c r="B666" s="154">
        <f>'MATCH CALCS'!$C667</f>
        <v>0</v>
      </c>
      <c r="C666" s="154">
        <f t="shared" si="14"/>
        <v>0</v>
      </c>
      <c r="D666" s="6">
        <f>'MATCH CALCS'!$G667*2</f>
        <v>0</v>
      </c>
      <c r="E666" s="6">
        <f>'MATCH CALCS'!$G667*2</f>
        <v>0</v>
      </c>
      <c r="F666" s="6">
        <f>'MATCH CALCS'!$G667*2</f>
        <v>0</v>
      </c>
      <c r="G666" s="6">
        <f>'MATCH CALCS'!$G667*2</f>
        <v>0</v>
      </c>
      <c r="H666" s="6">
        <f>'MATCH CALCS'!$G667*2</f>
        <v>0</v>
      </c>
      <c r="I666" s="6">
        <f>'MATCH CALCS'!$G667*2</f>
        <v>0</v>
      </c>
      <c r="J666" s="154">
        <f t="shared" si="15"/>
        <v>0</v>
      </c>
      <c r="K666" s="6">
        <f>'MATCH CALCS'!L667*1</f>
        <v>0</v>
      </c>
      <c r="L666" s="6">
        <f>'MATCH CALCS'!$N667*2</f>
        <v>0</v>
      </c>
      <c r="M666" s="6">
        <f>'MATCH CALCS'!N667*1</f>
        <v>0</v>
      </c>
      <c r="N666" s="6">
        <f>'MATCH CALCS'!$N667*2</f>
        <v>0</v>
      </c>
      <c r="O666" s="6">
        <f>'MATCH CALCS'!$N667*2</f>
        <v>0</v>
      </c>
      <c r="P666" s="6">
        <f>'MATCH CALCS'!$P667*5</f>
        <v>0</v>
      </c>
      <c r="Q666" s="154">
        <f t="shared" si="16"/>
        <v>0</v>
      </c>
      <c r="R666" s="6">
        <f>'MATCH CALCS'!$AD667*1</f>
        <v>0</v>
      </c>
      <c r="S666" s="6">
        <f>'MATCH CALCS'!AC667*3</f>
        <v>0</v>
      </c>
      <c r="T666" s="6">
        <f>'MATCH CALCS'!AD667*3</f>
        <v>0</v>
      </c>
      <c r="U666" s="155">
        <f t="shared" si="17"/>
        <v>0</v>
      </c>
      <c r="V666" s="154">
        <f t="shared" si="18"/>
        <v>0</v>
      </c>
    </row>
    <row r="667" spans="1:22">
      <c r="A667" s="154">
        <f>'MATCH CALCS'!A668</f>
        <v>0</v>
      </c>
      <c r="B667" s="154">
        <f>'MATCH CALCS'!$C668</f>
        <v>0</v>
      </c>
      <c r="C667" s="154">
        <f t="shared" si="14"/>
        <v>0</v>
      </c>
      <c r="D667" s="6">
        <f>'MATCH CALCS'!$G668*2</f>
        <v>0</v>
      </c>
      <c r="E667" s="6">
        <f>'MATCH CALCS'!$G668*2</f>
        <v>0</v>
      </c>
      <c r="F667" s="6">
        <f>'MATCH CALCS'!$G668*2</f>
        <v>0</v>
      </c>
      <c r="G667" s="6">
        <f>'MATCH CALCS'!$G668*2</f>
        <v>0</v>
      </c>
      <c r="H667" s="6">
        <f>'MATCH CALCS'!$G668*2</f>
        <v>0</v>
      </c>
      <c r="I667" s="6">
        <f>'MATCH CALCS'!$G668*2</f>
        <v>0</v>
      </c>
      <c r="J667" s="154">
        <f t="shared" si="15"/>
        <v>0</v>
      </c>
      <c r="K667" s="6">
        <f>'MATCH CALCS'!L668*1</f>
        <v>0</v>
      </c>
      <c r="L667" s="6">
        <f>'MATCH CALCS'!$N668*2</f>
        <v>0</v>
      </c>
      <c r="M667" s="6">
        <f>'MATCH CALCS'!N668*1</f>
        <v>0</v>
      </c>
      <c r="N667" s="6">
        <f>'MATCH CALCS'!$N668*2</f>
        <v>0</v>
      </c>
      <c r="O667" s="6">
        <f>'MATCH CALCS'!$N668*2</f>
        <v>0</v>
      </c>
      <c r="P667" s="6">
        <f>'MATCH CALCS'!$P668*5</f>
        <v>0</v>
      </c>
      <c r="Q667" s="154">
        <f t="shared" si="16"/>
        <v>0</v>
      </c>
      <c r="R667" s="6">
        <f>'MATCH CALCS'!$AD668*1</f>
        <v>0</v>
      </c>
      <c r="S667" s="6">
        <f>'MATCH CALCS'!AC668*3</f>
        <v>0</v>
      </c>
      <c r="T667" s="6">
        <f>'MATCH CALCS'!AD668*3</f>
        <v>0</v>
      </c>
      <c r="U667" s="155">
        <f t="shared" si="17"/>
        <v>0</v>
      </c>
      <c r="V667" s="154">
        <f t="shared" si="18"/>
        <v>0</v>
      </c>
    </row>
    <row r="668" spans="1:22">
      <c r="A668" s="154">
        <f>'MATCH CALCS'!A669</f>
        <v>0</v>
      </c>
      <c r="B668" s="154">
        <f>'MATCH CALCS'!$C669</f>
        <v>0</v>
      </c>
      <c r="C668" s="154">
        <f t="shared" si="14"/>
        <v>0</v>
      </c>
      <c r="D668" s="6">
        <f>'MATCH CALCS'!$G669*2</f>
        <v>0</v>
      </c>
      <c r="E668" s="6">
        <f>'MATCH CALCS'!$G669*2</f>
        <v>0</v>
      </c>
      <c r="F668" s="6">
        <f>'MATCH CALCS'!$G669*2</f>
        <v>0</v>
      </c>
      <c r="G668" s="6">
        <f>'MATCH CALCS'!$G669*2</f>
        <v>0</v>
      </c>
      <c r="H668" s="6">
        <f>'MATCH CALCS'!$G669*2</f>
        <v>0</v>
      </c>
      <c r="I668" s="6">
        <f>'MATCH CALCS'!$G669*2</f>
        <v>0</v>
      </c>
      <c r="J668" s="154">
        <f t="shared" si="15"/>
        <v>0</v>
      </c>
      <c r="K668" s="6">
        <f>'MATCH CALCS'!L669*1</f>
        <v>0</v>
      </c>
      <c r="L668" s="6">
        <f>'MATCH CALCS'!$N669*2</f>
        <v>0</v>
      </c>
      <c r="M668" s="6">
        <f>'MATCH CALCS'!N669*1</f>
        <v>0</v>
      </c>
      <c r="N668" s="6">
        <f>'MATCH CALCS'!$N669*2</f>
        <v>0</v>
      </c>
      <c r="O668" s="6">
        <f>'MATCH CALCS'!$N669*2</f>
        <v>0</v>
      </c>
      <c r="P668" s="6">
        <f>'MATCH CALCS'!$P669*5</f>
        <v>0</v>
      </c>
      <c r="Q668" s="154">
        <f t="shared" si="16"/>
        <v>0</v>
      </c>
      <c r="R668" s="6">
        <f>'MATCH CALCS'!$AD669*1</f>
        <v>0</v>
      </c>
      <c r="S668" s="6">
        <f>'MATCH CALCS'!AC669*3</f>
        <v>0</v>
      </c>
      <c r="T668" s="6">
        <f>'MATCH CALCS'!AD669*3</f>
        <v>0</v>
      </c>
      <c r="U668" s="155">
        <f t="shared" si="17"/>
        <v>0</v>
      </c>
      <c r="V668" s="154">
        <f t="shared" si="18"/>
        <v>0</v>
      </c>
    </row>
    <row r="669" spans="1:22">
      <c r="A669" s="154">
        <f>'MATCH CALCS'!A670</f>
        <v>0</v>
      </c>
      <c r="B669" s="154">
        <f>'MATCH CALCS'!$C670</f>
        <v>0</v>
      </c>
      <c r="C669" s="154">
        <f t="shared" si="14"/>
        <v>0</v>
      </c>
      <c r="D669" s="6">
        <f>'MATCH CALCS'!$G670*2</f>
        <v>0</v>
      </c>
      <c r="E669" s="6">
        <f>'MATCH CALCS'!$G670*2</f>
        <v>0</v>
      </c>
      <c r="F669" s="6">
        <f>'MATCH CALCS'!$G670*2</f>
        <v>0</v>
      </c>
      <c r="G669" s="6">
        <f>'MATCH CALCS'!$G670*2</f>
        <v>0</v>
      </c>
      <c r="H669" s="6">
        <f>'MATCH CALCS'!$G670*2</f>
        <v>0</v>
      </c>
      <c r="I669" s="6">
        <f>'MATCH CALCS'!$G670*2</f>
        <v>0</v>
      </c>
      <c r="J669" s="154">
        <f t="shared" si="15"/>
        <v>0</v>
      </c>
      <c r="K669" s="6">
        <f>'MATCH CALCS'!L670*1</f>
        <v>0</v>
      </c>
      <c r="L669" s="6">
        <f>'MATCH CALCS'!$N670*2</f>
        <v>0</v>
      </c>
      <c r="M669" s="6">
        <f>'MATCH CALCS'!N670*1</f>
        <v>0</v>
      </c>
      <c r="N669" s="6">
        <f>'MATCH CALCS'!$N670*2</f>
        <v>0</v>
      </c>
      <c r="O669" s="6">
        <f>'MATCH CALCS'!$N670*2</f>
        <v>0</v>
      </c>
      <c r="P669" s="6">
        <f>'MATCH CALCS'!$P670*5</f>
        <v>0</v>
      </c>
      <c r="Q669" s="154">
        <f t="shared" si="16"/>
        <v>0</v>
      </c>
      <c r="R669" s="6">
        <f>'MATCH CALCS'!$AD670*1</f>
        <v>0</v>
      </c>
      <c r="S669" s="6">
        <f>'MATCH CALCS'!AC670*3</f>
        <v>0</v>
      </c>
      <c r="T669" s="6">
        <f>'MATCH CALCS'!AD670*3</f>
        <v>0</v>
      </c>
      <c r="U669" s="155">
        <f t="shared" si="17"/>
        <v>0</v>
      </c>
      <c r="V669" s="154">
        <f t="shared" si="18"/>
        <v>0</v>
      </c>
    </row>
    <row r="670" spans="1:22">
      <c r="A670" s="154">
        <f>'MATCH CALCS'!A671</f>
        <v>0</v>
      </c>
      <c r="B670" s="154">
        <f>'MATCH CALCS'!$C671</f>
        <v>0</v>
      </c>
      <c r="C670" s="154">
        <f t="shared" si="14"/>
        <v>0</v>
      </c>
      <c r="D670" s="6">
        <f>'MATCH CALCS'!$G671*2</f>
        <v>0</v>
      </c>
      <c r="E670" s="6">
        <f>'MATCH CALCS'!$G671*2</f>
        <v>0</v>
      </c>
      <c r="F670" s="6">
        <f>'MATCH CALCS'!$G671*2</f>
        <v>0</v>
      </c>
      <c r="G670" s="6">
        <f>'MATCH CALCS'!$G671*2</f>
        <v>0</v>
      </c>
      <c r="H670" s="6">
        <f>'MATCH CALCS'!$G671*2</f>
        <v>0</v>
      </c>
      <c r="I670" s="6">
        <f>'MATCH CALCS'!$G671*2</f>
        <v>0</v>
      </c>
      <c r="J670" s="154">
        <f t="shared" si="15"/>
        <v>0</v>
      </c>
      <c r="K670" s="6">
        <f>'MATCH CALCS'!L671*1</f>
        <v>0</v>
      </c>
      <c r="L670" s="6">
        <f>'MATCH CALCS'!$N671*2</f>
        <v>0</v>
      </c>
      <c r="M670" s="6">
        <f>'MATCH CALCS'!N671*1</f>
        <v>0</v>
      </c>
      <c r="N670" s="6">
        <f>'MATCH CALCS'!$N671*2</f>
        <v>0</v>
      </c>
      <c r="O670" s="6">
        <f>'MATCH CALCS'!$N671*2</f>
        <v>0</v>
      </c>
      <c r="P670" s="6">
        <f>'MATCH CALCS'!$P671*5</f>
        <v>0</v>
      </c>
      <c r="Q670" s="154">
        <f t="shared" si="16"/>
        <v>0</v>
      </c>
      <c r="R670" s="6">
        <f>'MATCH CALCS'!$AD671*1</f>
        <v>0</v>
      </c>
      <c r="S670" s="6">
        <f>'MATCH CALCS'!AC671*3</f>
        <v>0</v>
      </c>
      <c r="T670" s="6">
        <f>'MATCH CALCS'!AD671*3</f>
        <v>0</v>
      </c>
      <c r="U670" s="155">
        <f t="shared" si="17"/>
        <v>0</v>
      </c>
      <c r="V670" s="154">
        <f t="shared" si="18"/>
        <v>0</v>
      </c>
    </row>
    <row r="671" spans="1:22">
      <c r="A671" s="154">
        <f>'MATCH CALCS'!A672</f>
        <v>0</v>
      </c>
      <c r="B671" s="154">
        <f>'MATCH CALCS'!$C672</f>
        <v>0</v>
      </c>
      <c r="C671" s="154">
        <f t="shared" si="14"/>
        <v>0</v>
      </c>
      <c r="D671" s="6">
        <f>'MATCH CALCS'!$G672*2</f>
        <v>0</v>
      </c>
      <c r="E671" s="6">
        <f>'MATCH CALCS'!$G672*2</f>
        <v>0</v>
      </c>
      <c r="F671" s="6">
        <f>'MATCH CALCS'!$G672*2</f>
        <v>0</v>
      </c>
      <c r="G671" s="6">
        <f>'MATCH CALCS'!$G672*2</f>
        <v>0</v>
      </c>
      <c r="H671" s="6">
        <f>'MATCH CALCS'!$G672*2</f>
        <v>0</v>
      </c>
      <c r="I671" s="6">
        <f>'MATCH CALCS'!$G672*2</f>
        <v>0</v>
      </c>
      <c r="J671" s="154">
        <f t="shared" si="15"/>
        <v>0</v>
      </c>
      <c r="K671" s="6">
        <f>'MATCH CALCS'!L672*1</f>
        <v>0</v>
      </c>
      <c r="L671" s="6">
        <f>'MATCH CALCS'!$N672*2</f>
        <v>0</v>
      </c>
      <c r="M671" s="6">
        <f>'MATCH CALCS'!N672*1</f>
        <v>0</v>
      </c>
      <c r="N671" s="6">
        <f>'MATCH CALCS'!$N672*2</f>
        <v>0</v>
      </c>
      <c r="O671" s="6">
        <f>'MATCH CALCS'!$N672*2</f>
        <v>0</v>
      </c>
      <c r="P671" s="6">
        <f>'MATCH CALCS'!$P672*5</f>
        <v>0</v>
      </c>
      <c r="Q671" s="154">
        <f t="shared" si="16"/>
        <v>0</v>
      </c>
      <c r="R671" s="6">
        <f>'MATCH CALCS'!$AD672*1</f>
        <v>0</v>
      </c>
      <c r="S671" s="6">
        <f>'MATCH CALCS'!AC672*3</f>
        <v>0</v>
      </c>
      <c r="T671" s="6">
        <f>'MATCH CALCS'!AD672*3</f>
        <v>0</v>
      </c>
      <c r="U671" s="155">
        <f t="shared" si="17"/>
        <v>0</v>
      </c>
      <c r="V671" s="154">
        <f t="shared" si="18"/>
        <v>0</v>
      </c>
    </row>
    <row r="672" spans="1:22">
      <c r="A672" s="154">
        <f>'MATCH CALCS'!A673</f>
        <v>0</v>
      </c>
      <c r="B672" s="154">
        <f>'MATCH CALCS'!$C673</f>
        <v>0</v>
      </c>
      <c r="C672" s="154">
        <f t="shared" si="14"/>
        <v>0</v>
      </c>
      <c r="D672" s="6">
        <f>'MATCH CALCS'!$G673*2</f>
        <v>0</v>
      </c>
      <c r="E672" s="6">
        <f>'MATCH CALCS'!$G673*2</f>
        <v>0</v>
      </c>
      <c r="F672" s="6">
        <f>'MATCH CALCS'!$G673*2</f>
        <v>0</v>
      </c>
      <c r="G672" s="6">
        <f>'MATCH CALCS'!$G673*2</f>
        <v>0</v>
      </c>
      <c r="H672" s="6">
        <f>'MATCH CALCS'!$G673*2</f>
        <v>0</v>
      </c>
      <c r="I672" s="6">
        <f>'MATCH CALCS'!$G673*2</f>
        <v>0</v>
      </c>
      <c r="J672" s="154">
        <f t="shared" si="15"/>
        <v>0</v>
      </c>
      <c r="K672" s="6">
        <f>'MATCH CALCS'!L673*1</f>
        <v>0</v>
      </c>
      <c r="L672" s="6">
        <f>'MATCH CALCS'!$N673*2</f>
        <v>0</v>
      </c>
      <c r="M672" s="6">
        <f>'MATCH CALCS'!N673*1</f>
        <v>0</v>
      </c>
      <c r="N672" s="6">
        <f>'MATCH CALCS'!$N673*2</f>
        <v>0</v>
      </c>
      <c r="O672" s="6">
        <f>'MATCH CALCS'!$N673*2</f>
        <v>0</v>
      </c>
      <c r="P672" s="6">
        <f>'MATCH CALCS'!$P673*5</f>
        <v>0</v>
      </c>
      <c r="Q672" s="154">
        <f t="shared" si="16"/>
        <v>0</v>
      </c>
      <c r="R672" s="6">
        <f>'MATCH CALCS'!$AD673*1</f>
        <v>0</v>
      </c>
      <c r="S672" s="6">
        <f>'MATCH CALCS'!AC673*3</f>
        <v>0</v>
      </c>
      <c r="T672" s="6">
        <f>'MATCH CALCS'!AD673*3</f>
        <v>0</v>
      </c>
      <c r="U672" s="155">
        <f t="shared" si="17"/>
        <v>0</v>
      </c>
      <c r="V672" s="154">
        <f t="shared" si="18"/>
        <v>0</v>
      </c>
    </row>
    <row r="673" spans="1:22">
      <c r="A673" s="154">
        <f>'MATCH CALCS'!A674</f>
        <v>0</v>
      </c>
      <c r="B673" s="154">
        <f>'MATCH CALCS'!$C674</f>
        <v>0</v>
      </c>
      <c r="C673" s="154">
        <f t="shared" si="14"/>
        <v>0</v>
      </c>
      <c r="D673" s="6">
        <f>'MATCH CALCS'!$G674*2</f>
        <v>0</v>
      </c>
      <c r="E673" s="6">
        <f>'MATCH CALCS'!$G674*2</f>
        <v>0</v>
      </c>
      <c r="F673" s="6">
        <f>'MATCH CALCS'!$G674*2</f>
        <v>0</v>
      </c>
      <c r="G673" s="6">
        <f>'MATCH CALCS'!$G674*2</f>
        <v>0</v>
      </c>
      <c r="H673" s="6">
        <f>'MATCH CALCS'!$G674*2</f>
        <v>0</v>
      </c>
      <c r="I673" s="6">
        <f>'MATCH CALCS'!$G674*2</f>
        <v>0</v>
      </c>
      <c r="J673" s="154">
        <f t="shared" si="15"/>
        <v>0</v>
      </c>
      <c r="K673" s="6">
        <f>'MATCH CALCS'!L674*1</f>
        <v>0</v>
      </c>
      <c r="L673" s="6">
        <f>'MATCH CALCS'!$N674*2</f>
        <v>0</v>
      </c>
      <c r="M673" s="6">
        <f>'MATCH CALCS'!N674*1</f>
        <v>0</v>
      </c>
      <c r="N673" s="6">
        <f>'MATCH CALCS'!$N674*2</f>
        <v>0</v>
      </c>
      <c r="O673" s="6">
        <f>'MATCH CALCS'!$N674*2</f>
        <v>0</v>
      </c>
      <c r="P673" s="6">
        <f>'MATCH CALCS'!$P674*5</f>
        <v>0</v>
      </c>
      <c r="Q673" s="154">
        <f t="shared" si="16"/>
        <v>0</v>
      </c>
      <c r="R673" s="6">
        <f>'MATCH CALCS'!$AD674*1</f>
        <v>0</v>
      </c>
      <c r="S673" s="6">
        <f>'MATCH CALCS'!AC674*3</f>
        <v>0</v>
      </c>
      <c r="T673" s="6">
        <f>'MATCH CALCS'!AD674*3</f>
        <v>0</v>
      </c>
      <c r="U673" s="155">
        <f t="shared" si="17"/>
        <v>0</v>
      </c>
      <c r="V673" s="154">
        <f t="shared" si="18"/>
        <v>0</v>
      </c>
    </row>
    <row r="674" spans="1:22">
      <c r="A674" s="154">
        <f>'MATCH CALCS'!A675</f>
        <v>0</v>
      </c>
      <c r="B674" s="154">
        <f>'MATCH CALCS'!$C675</f>
        <v>0</v>
      </c>
      <c r="C674" s="154">
        <f t="shared" si="14"/>
        <v>0</v>
      </c>
      <c r="D674" s="6">
        <f>'MATCH CALCS'!$G675*2</f>
        <v>0</v>
      </c>
      <c r="E674" s="6">
        <f>'MATCH CALCS'!$G675*2</f>
        <v>0</v>
      </c>
      <c r="F674" s="6">
        <f>'MATCH CALCS'!$G675*2</f>
        <v>0</v>
      </c>
      <c r="G674" s="6">
        <f>'MATCH CALCS'!$G675*2</f>
        <v>0</v>
      </c>
      <c r="H674" s="6">
        <f>'MATCH CALCS'!$G675*2</f>
        <v>0</v>
      </c>
      <c r="I674" s="6">
        <f>'MATCH CALCS'!$G675*2</f>
        <v>0</v>
      </c>
      <c r="J674" s="154">
        <f t="shared" si="15"/>
        <v>0</v>
      </c>
      <c r="K674" s="6">
        <f>'MATCH CALCS'!L675*1</f>
        <v>0</v>
      </c>
      <c r="L674" s="6">
        <f>'MATCH CALCS'!$N675*2</f>
        <v>0</v>
      </c>
      <c r="M674" s="6">
        <f>'MATCH CALCS'!N675*1</f>
        <v>0</v>
      </c>
      <c r="N674" s="6">
        <f>'MATCH CALCS'!$N675*2</f>
        <v>0</v>
      </c>
      <c r="O674" s="6">
        <f>'MATCH CALCS'!$N675*2</f>
        <v>0</v>
      </c>
      <c r="P674" s="6">
        <f>'MATCH CALCS'!$P675*5</f>
        <v>0</v>
      </c>
      <c r="Q674" s="154">
        <f t="shared" si="16"/>
        <v>0</v>
      </c>
      <c r="R674" s="6">
        <f>'MATCH CALCS'!$AD675*1</f>
        <v>0</v>
      </c>
      <c r="S674" s="6">
        <f>'MATCH CALCS'!AC675*3</f>
        <v>0</v>
      </c>
      <c r="T674" s="6">
        <f>'MATCH CALCS'!AD675*3</f>
        <v>0</v>
      </c>
      <c r="U674" s="155">
        <f t="shared" si="17"/>
        <v>0</v>
      </c>
      <c r="V674" s="154">
        <f t="shared" si="18"/>
        <v>0</v>
      </c>
    </row>
    <row r="675" spans="1:22">
      <c r="A675" s="154">
        <f>'MATCH CALCS'!A676</f>
        <v>0</v>
      </c>
      <c r="B675" s="154">
        <f>'MATCH CALCS'!$C676</f>
        <v>0</v>
      </c>
      <c r="C675" s="154">
        <f t="shared" si="14"/>
        <v>0</v>
      </c>
      <c r="D675" s="6">
        <f>'MATCH CALCS'!$G676*2</f>
        <v>0</v>
      </c>
      <c r="E675" s="6">
        <f>'MATCH CALCS'!$G676*2</f>
        <v>0</v>
      </c>
      <c r="F675" s="6">
        <f>'MATCH CALCS'!$G676*2</f>
        <v>0</v>
      </c>
      <c r="G675" s="6">
        <f>'MATCH CALCS'!$G676*2</f>
        <v>0</v>
      </c>
      <c r="H675" s="6">
        <f>'MATCH CALCS'!$G676*2</f>
        <v>0</v>
      </c>
      <c r="I675" s="6">
        <f>'MATCH CALCS'!$G676*2</f>
        <v>0</v>
      </c>
      <c r="J675" s="154">
        <f t="shared" si="15"/>
        <v>0</v>
      </c>
      <c r="K675" s="6">
        <f>'MATCH CALCS'!L676*1</f>
        <v>0</v>
      </c>
      <c r="L675" s="6">
        <f>'MATCH CALCS'!$N676*2</f>
        <v>0</v>
      </c>
      <c r="M675" s="6">
        <f>'MATCH CALCS'!N676*1</f>
        <v>0</v>
      </c>
      <c r="N675" s="6">
        <f>'MATCH CALCS'!$N676*2</f>
        <v>0</v>
      </c>
      <c r="O675" s="6">
        <f>'MATCH CALCS'!$N676*2</f>
        <v>0</v>
      </c>
      <c r="P675" s="6">
        <f>'MATCH CALCS'!$P676*5</f>
        <v>0</v>
      </c>
      <c r="Q675" s="154">
        <f t="shared" si="16"/>
        <v>0</v>
      </c>
      <c r="R675" s="6">
        <f>'MATCH CALCS'!$AD676*1</f>
        <v>0</v>
      </c>
      <c r="S675" s="6">
        <f>'MATCH CALCS'!AC676*3</f>
        <v>0</v>
      </c>
      <c r="T675" s="6">
        <f>'MATCH CALCS'!AD676*3</f>
        <v>0</v>
      </c>
      <c r="U675" s="155">
        <f t="shared" si="17"/>
        <v>0</v>
      </c>
      <c r="V675" s="154">
        <f t="shared" si="18"/>
        <v>0</v>
      </c>
    </row>
    <row r="676" spans="1:22">
      <c r="A676" s="154">
        <f>'MATCH CALCS'!A677</f>
        <v>0</v>
      </c>
      <c r="B676" s="154">
        <f>'MATCH CALCS'!$C677</f>
        <v>0</v>
      </c>
      <c r="C676" s="154">
        <f t="shared" si="14"/>
        <v>0</v>
      </c>
      <c r="D676" s="6">
        <f>'MATCH CALCS'!$G677*2</f>
        <v>0</v>
      </c>
      <c r="E676" s="6">
        <f>'MATCH CALCS'!$G677*2</f>
        <v>0</v>
      </c>
      <c r="F676" s="6">
        <f>'MATCH CALCS'!$G677*2</f>
        <v>0</v>
      </c>
      <c r="G676" s="6">
        <f>'MATCH CALCS'!$G677*2</f>
        <v>0</v>
      </c>
      <c r="H676" s="6">
        <f>'MATCH CALCS'!$G677*2</f>
        <v>0</v>
      </c>
      <c r="I676" s="6">
        <f>'MATCH CALCS'!$G677*2</f>
        <v>0</v>
      </c>
      <c r="J676" s="154">
        <f t="shared" si="15"/>
        <v>0</v>
      </c>
      <c r="K676" s="6">
        <f>'MATCH CALCS'!L677*1</f>
        <v>0</v>
      </c>
      <c r="L676" s="6">
        <f>'MATCH CALCS'!$N677*2</f>
        <v>0</v>
      </c>
      <c r="M676" s="6">
        <f>'MATCH CALCS'!N677*1</f>
        <v>0</v>
      </c>
      <c r="N676" s="6">
        <f>'MATCH CALCS'!$N677*2</f>
        <v>0</v>
      </c>
      <c r="O676" s="6">
        <f>'MATCH CALCS'!$N677*2</f>
        <v>0</v>
      </c>
      <c r="P676" s="6">
        <f>'MATCH CALCS'!$P677*5</f>
        <v>0</v>
      </c>
      <c r="Q676" s="154">
        <f t="shared" si="16"/>
        <v>0</v>
      </c>
      <c r="R676" s="6">
        <f>'MATCH CALCS'!$AD677*1</f>
        <v>0</v>
      </c>
      <c r="S676" s="6">
        <f>'MATCH CALCS'!AC677*3</f>
        <v>0</v>
      </c>
      <c r="T676" s="6">
        <f>'MATCH CALCS'!AD677*3</f>
        <v>0</v>
      </c>
      <c r="U676" s="155">
        <f t="shared" si="17"/>
        <v>0</v>
      </c>
      <c r="V676" s="154">
        <f t="shared" si="18"/>
        <v>0</v>
      </c>
    </row>
    <row r="677" spans="1:22">
      <c r="A677" s="154">
        <f>'MATCH CALCS'!A678</f>
        <v>0</v>
      </c>
      <c r="B677" s="154">
        <f>'MATCH CALCS'!$C678</f>
        <v>0</v>
      </c>
      <c r="C677" s="154">
        <f t="shared" si="14"/>
        <v>0</v>
      </c>
      <c r="D677" s="6">
        <f>'MATCH CALCS'!$G678*2</f>
        <v>0</v>
      </c>
      <c r="E677" s="6">
        <f>'MATCH CALCS'!$G678*2</f>
        <v>0</v>
      </c>
      <c r="F677" s="6">
        <f>'MATCH CALCS'!$G678*2</f>
        <v>0</v>
      </c>
      <c r="G677" s="6">
        <f>'MATCH CALCS'!$G678*2</f>
        <v>0</v>
      </c>
      <c r="H677" s="6">
        <f>'MATCH CALCS'!$G678*2</f>
        <v>0</v>
      </c>
      <c r="I677" s="6">
        <f>'MATCH CALCS'!$G678*2</f>
        <v>0</v>
      </c>
      <c r="J677" s="154">
        <f t="shared" si="15"/>
        <v>0</v>
      </c>
      <c r="K677" s="6">
        <f>'MATCH CALCS'!L678*1</f>
        <v>0</v>
      </c>
      <c r="L677" s="6">
        <f>'MATCH CALCS'!$N678*2</f>
        <v>0</v>
      </c>
      <c r="M677" s="6">
        <f>'MATCH CALCS'!N678*1</f>
        <v>0</v>
      </c>
      <c r="N677" s="6">
        <f>'MATCH CALCS'!$N678*2</f>
        <v>0</v>
      </c>
      <c r="O677" s="6">
        <f>'MATCH CALCS'!$N678*2</f>
        <v>0</v>
      </c>
      <c r="P677" s="6">
        <f>'MATCH CALCS'!$P678*5</f>
        <v>0</v>
      </c>
      <c r="Q677" s="154">
        <f t="shared" si="16"/>
        <v>0</v>
      </c>
      <c r="R677" s="6">
        <f>'MATCH CALCS'!$AD678*1</f>
        <v>0</v>
      </c>
      <c r="S677" s="6">
        <f>'MATCH CALCS'!AC678*3</f>
        <v>0</v>
      </c>
      <c r="T677" s="6">
        <f>'MATCH CALCS'!AD678*3</f>
        <v>0</v>
      </c>
      <c r="U677" s="155">
        <f t="shared" si="17"/>
        <v>0</v>
      </c>
      <c r="V677" s="154">
        <f t="shared" si="18"/>
        <v>0</v>
      </c>
    </row>
    <row r="678" spans="1:22">
      <c r="A678" s="154">
        <f>'MATCH CALCS'!A679</f>
        <v>0</v>
      </c>
      <c r="B678" s="154">
        <f>'MATCH CALCS'!$C679</f>
        <v>0</v>
      </c>
      <c r="C678" s="154">
        <f t="shared" si="14"/>
        <v>0</v>
      </c>
      <c r="D678" s="6">
        <f>'MATCH CALCS'!$G679*2</f>
        <v>0</v>
      </c>
      <c r="E678" s="6">
        <f>'MATCH CALCS'!$G679*2</f>
        <v>0</v>
      </c>
      <c r="F678" s="6">
        <f>'MATCH CALCS'!$G679*2</f>
        <v>0</v>
      </c>
      <c r="G678" s="6">
        <f>'MATCH CALCS'!$G679*2</f>
        <v>0</v>
      </c>
      <c r="H678" s="6">
        <f>'MATCH CALCS'!$G679*2</f>
        <v>0</v>
      </c>
      <c r="I678" s="6">
        <f>'MATCH CALCS'!$G679*2</f>
        <v>0</v>
      </c>
      <c r="J678" s="154">
        <f t="shared" si="15"/>
        <v>0</v>
      </c>
      <c r="K678" s="6">
        <f>'MATCH CALCS'!L679*1</f>
        <v>0</v>
      </c>
      <c r="L678" s="6">
        <f>'MATCH CALCS'!$N679*2</f>
        <v>0</v>
      </c>
      <c r="M678" s="6">
        <f>'MATCH CALCS'!N679*1</f>
        <v>0</v>
      </c>
      <c r="N678" s="6">
        <f>'MATCH CALCS'!$N679*2</f>
        <v>0</v>
      </c>
      <c r="O678" s="6">
        <f>'MATCH CALCS'!$N679*2</f>
        <v>0</v>
      </c>
      <c r="P678" s="6">
        <f>'MATCH CALCS'!$P679*5</f>
        <v>0</v>
      </c>
      <c r="Q678" s="154">
        <f t="shared" si="16"/>
        <v>0</v>
      </c>
      <c r="R678" s="6">
        <f>'MATCH CALCS'!$AD679*1</f>
        <v>0</v>
      </c>
      <c r="S678" s="6">
        <f>'MATCH CALCS'!AC679*3</f>
        <v>0</v>
      </c>
      <c r="T678" s="6">
        <f>'MATCH CALCS'!AD679*3</f>
        <v>0</v>
      </c>
      <c r="U678" s="155">
        <f t="shared" si="17"/>
        <v>0</v>
      </c>
      <c r="V678" s="154">
        <f t="shared" si="18"/>
        <v>0</v>
      </c>
    </row>
    <row r="679" spans="1:22">
      <c r="A679" s="154">
        <f>'MATCH CALCS'!A680</f>
        <v>0</v>
      </c>
      <c r="B679" s="154">
        <f>'MATCH CALCS'!$C680</f>
        <v>0</v>
      </c>
      <c r="C679" s="154">
        <f t="shared" si="14"/>
        <v>0</v>
      </c>
      <c r="D679" s="6">
        <f>'MATCH CALCS'!$G680*2</f>
        <v>0</v>
      </c>
      <c r="E679" s="6">
        <f>'MATCH CALCS'!$G680*2</f>
        <v>0</v>
      </c>
      <c r="F679" s="6">
        <f>'MATCH CALCS'!$G680*2</f>
        <v>0</v>
      </c>
      <c r="G679" s="6">
        <f>'MATCH CALCS'!$G680*2</f>
        <v>0</v>
      </c>
      <c r="H679" s="6">
        <f>'MATCH CALCS'!$G680*2</f>
        <v>0</v>
      </c>
      <c r="I679" s="6">
        <f>'MATCH CALCS'!$G680*2</f>
        <v>0</v>
      </c>
      <c r="J679" s="154">
        <f t="shared" si="15"/>
        <v>0</v>
      </c>
      <c r="K679" s="6">
        <f>'MATCH CALCS'!L680*1</f>
        <v>0</v>
      </c>
      <c r="L679" s="6">
        <f>'MATCH CALCS'!$N680*2</f>
        <v>0</v>
      </c>
      <c r="M679" s="6">
        <f>'MATCH CALCS'!N680*1</f>
        <v>0</v>
      </c>
      <c r="N679" s="6">
        <f>'MATCH CALCS'!$N680*2</f>
        <v>0</v>
      </c>
      <c r="O679" s="6">
        <f>'MATCH CALCS'!$N680*2</f>
        <v>0</v>
      </c>
      <c r="P679" s="6">
        <f>'MATCH CALCS'!$P680*5</f>
        <v>0</v>
      </c>
      <c r="Q679" s="154">
        <f t="shared" si="16"/>
        <v>0</v>
      </c>
      <c r="R679" s="6">
        <f>'MATCH CALCS'!$AD680*1</f>
        <v>0</v>
      </c>
      <c r="S679" s="6">
        <f>'MATCH CALCS'!AC680*3</f>
        <v>0</v>
      </c>
      <c r="T679" s="6">
        <f>'MATCH CALCS'!AD680*3</f>
        <v>0</v>
      </c>
      <c r="U679" s="155">
        <f t="shared" si="17"/>
        <v>0</v>
      </c>
      <c r="V679" s="154">
        <f t="shared" si="18"/>
        <v>0</v>
      </c>
    </row>
    <row r="680" spans="1:22">
      <c r="A680" s="154">
        <f>'MATCH CALCS'!A681</f>
        <v>0</v>
      </c>
      <c r="B680" s="154">
        <f>'MATCH CALCS'!$C681</f>
        <v>0</v>
      </c>
      <c r="C680" s="154">
        <f t="shared" si="14"/>
        <v>0</v>
      </c>
      <c r="D680" s="6">
        <f>'MATCH CALCS'!$G681*2</f>
        <v>0</v>
      </c>
      <c r="E680" s="6">
        <f>'MATCH CALCS'!$G681*2</f>
        <v>0</v>
      </c>
      <c r="F680" s="6">
        <f>'MATCH CALCS'!$G681*2</f>
        <v>0</v>
      </c>
      <c r="G680" s="6">
        <f>'MATCH CALCS'!$G681*2</f>
        <v>0</v>
      </c>
      <c r="H680" s="6">
        <f>'MATCH CALCS'!$G681*2</f>
        <v>0</v>
      </c>
      <c r="I680" s="6">
        <f>'MATCH CALCS'!$G681*2</f>
        <v>0</v>
      </c>
      <c r="J680" s="154">
        <f t="shared" si="15"/>
        <v>0</v>
      </c>
      <c r="K680" s="6">
        <f>'MATCH CALCS'!L681*1</f>
        <v>0</v>
      </c>
      <c r="L680" s="6">
        <f>'MATCH CALCS'!$N681*2</f>
        <v>0</v>
      </c>
      <c r="M680" s="6">
        <f>'MATCH CALCS'!N681*1</f>
        <v>0</v>
      </c>
      <c r="N680" s="6">
        <f>'MATCH CALCS'!$N681*2</f>
        <v>0</v>
      </c>
      <c r="O680" s="6">
        <f>'MATCH CALCS'!$N681*2</f>
        <v>0</v>
      </c>
      <c r="P680" s="6">
        <f>'MATCH CALCS'!$P681*5</f>
        <v>0</v>
      </c>
      <c r="Q680" s="154">
        <f t="shared" si="16"/>
        <v>0</v>
      </c>
      <c r="R680" s="6">
        <f>'MATCH CALCS'!$AD681*1</f>
        <v>0</v>
      </c>
      <c r="S680" s="6">
        <f>'MATCH CALCS'!AC681*3</f>
        <v>0</v>
      </c>
      <c r="T680" s="6">
        <f>'MATCH CALCS'!AD681*3</f>
        <v>0</v>
      </c>
      <c r="U680" s="155">
        <f t="shared" si="17"/>
        <v>0</v>
      </c>
      <c r="V680" s="154">
        <f t="shared" si="18"/>
        <v>0</v>
      </c>
    </row>
    <row r="681" spans="1:22">
      <c r="A681" s="154">
        <f>'MATCH CALCS'!A682</f>
        <v>0</v>
      </c>
      <c r="B681" s="154">
        <f>'MATCH CALCS'!$C682</f>
        <v>0</v>
      </c>
      <c r="C681" s="154">
        <f t="shared" si="14"/>
        <v>0</v>
      </c>
      <c r="D681" s="6">
        <f>'MATCH CALCS'!$G682*2</f>
        <v>0</v>
      </c>
      <c r="E681" s="6">
        <f>'MATCH CALCS'!$G682*2</f>
        <v>0</v>
      </c>
      <c r="F681" s="6">
        <f>'MATCH CALCS'!$G682*2</f>
        <v>0</v>
      </c>
      <c r="G681" s="6">
        <f>'MATCH CALCS'!$G682*2</f>
        <v>0</v>
      </c>
      <c r="H681" s="6">
        <f>'MATCH CALCS'!$G682*2</f>
        <v>0</v>
      </c>
      <c r="I681" s="6">
        <f>'MATCH CALCS'!$G682*2</f>
        <v>0</v>
      </c>
      <c r="J681" s="154">
        <f t="shared" si="15"/>
        <v>0</v>
      </c>
      <c r="K681" s="6">
        <f>'MATCH CALCS'!L682*1</f>
        <v>0</v>
      </c>
      <c r="L681" s="6">
        <f>'MATCH CALCS'!$N682*2</f>
        <v>0</v>
      </c>
      <c r="M681" s="6">
        <f>'MATCH CALCS'!N682*1</f>
        <v>0</v>
      </c>
      <c r="N681" s="6">
        <f>'MATCH CALCS'!$N682*2</f>
        <v>0</v>
      </c>
      <c r="O681" s="6">
        <f>'MATCH CALCS'!$N682*2</f>
        <v>0</v>
      </c>
      <c r="P681" s="6">
        <f>'MATCH CALCS'!$P682*5</f>
        <v>0</v>
      </c>
      <c r="Q681" s="154">
        <f t="shared" si="16"/>
        <v>0</v>
      </c>
      <c r="R681" s="6">
        <f>'MATCH CALCS'!$AD682*1</f>
        <v>0</v>
      </c>
      <c r="S681" s="6">
        <f>'MATCH CALCS'!AC682*3</f>
        <v>0</v>
      </c>
      <c r="T681" s="6">
        <f>'MATCH CALCS'!AD682*3</f>
        <v>0</v>
      </c>
      <c r="U681" s="155">
        <f t="shared" si="17"/>
        <v>0</v>
      </c>
      <c r="V681" s="154">
        <f t="shared" si="18"/>
        <v>0</v>
      </c>
    </row>
    <row r="682" spans="1:22">
      <c r="A682" s="154">
        <f>'MATCH CALCS'!A683</f>
        <v>0</v>
      </c>
      <c r="B682" s="154">
        <f>'MATCH CALCS'!$C683</f>
        <v>0</v>
      </c>
      <c r="C682" s="154">
        <f t="shared" si="14"/>
        <v>0</v>
      </c>
      <c r="D682" s="6">
        <f>'MATCH CALCS'!$G683*2</f>
        <v>0</v>
      </c>
      <c r="E682" s="6">
        <f>'MATCH CALCS'!$G683*2</f>
        <v>0</v>
      </c>
      <c r="F682" s="6">
        <f>'MATCH CALCS'!$G683*2</f>
        <v>0</v>
      </c>
      <c r="G682" s="6">
        <f>'MATCH CALCS'!$G683*2</f>
        <v>0</v>
      </c>
      <c r="H682" s="6">
        <f>'MATCH CALCS'!$G683*2</f>
        <v>0</v>
      </c>
      <c r="I682" s="6">
        <f>'MATCH CALCS'!$G683*2</f>
        <v>0</v>
      </c>
      <c r="J682" s="154">
        <f t="shared" si="15"/>
        <v>0</v>
      </c>
      <c r="K682" s="6">
        <f>'MATCH CALCS'!L683*1</f>
        <v>0</v>
      </c>
      <c r="L682" s="6">
        <f>'MATCH CALCS'!$N683*2</f>
        <v>0</v>
      </c>
      <c r="M682" s="6">
        <f>'MATCH CALCS'!N683*1</f>
        <v>0</v>
      </c>
      <c r="N682" s="6">
        <f>'MATCH CALCS'!$N683*2</f>
        <v>0</v>
      </c>
      <c r="O682" s="6">
        <f>'MATCH CALCS'!$N683*2</f>
        <v>0</v>
      </c>
      <c r="P682" s="6">
        <f>'MATCH CALCS'!$P683*5</f>
        <v>0</v>
      </c>
      <c r="Q682" s="154">
        <f t="shared" si="16"/>
        <v>0</v>
      </c>
      <c r="R682" s="6">
        <f>'MATCH CALCS'!$AD683*1</f>
        <v>0</v>
      </c>
      <c r="S682" s="6">
        <f>'MATCH CALCS'!AC683*3</f>
        <v>0</v>
      </c>
      <c r="T682" s="6">
        <f>'MATCH CALCS'!AD683*3</f>
        <v>0</v>
      </c>
      <c r="U682" s="155">
        <f t="shared" si="17"/>
        <v>0</v>
      </c>
      <c r="V682" s="154">
        <f t="shared" si="18"/>
        <v>0</v>
      </c>
    </row>
    <row r="683" spans="1:22">
      <c r="A683" s="154">
        <f>'MATCH CALCS'!A684</f>
        <v>0</v>
      </c>
      <c r="B683" s="154">
        <f>'MATCH CALCS'!$C684</f>
        <v>0</v>
      </c>
      <c r="C683" s="154">
        <f t="shared" si="14"/>
        <v>0</v>
      </c>
      <c r="D683" s="6">
        <f>'MATCH CALCS'!$G684*2</f>
        <v>0</v>
      </c>
      <c r="E683" s="6">
        <f>'MATCH CALCS'!$G684*2</f>
        <v>0</v>
      </c>
      <c r="F683" s="6">
        <f>'MATCH CALCS'!$G684*2</f>
        <v>0</v>
      </c>
      <c r="G683" s="6">
        <f>'MATCH CALCS'!$G684*2</f>
        <v>0</v>
      </c>
      <c r="H683" s="6">
        <f>'MATCH CALCS'!$G684*2</f>
        <v>0</v>
      </c>
      <c r="I683" s="6">
        <f>'MATCH CALCS'!$G684*2</f>
        <v>0</v>
      </c>
      <c r="J683" s="154">
        <f t="shared" si="15"/>
        <v>0</v>
      </c>
      <c r="K683" s="6">
        <f>'MATCH CALCS'!L684*1</f>
        <v>0</v>
      </c>
      <c r="L683" s="6">
        <f>'MATCH CALCS'!$N684*2</f>
        <v>0</v>
      </c>
      <c r="M683" s="6">
        <f>'MATCH CALCS'!N684*1</f>
        <v>0</v>
      </c>
      <c r="N683" s="6">
        <f>'MATCH CALCS'!$N684*2</f>
        <v>0</v>
      </c>
      <c r="O683" s="6">
        <f>'MATCH CALCS'!$N684*2</f>
        <v>0</v>
      </c>
      <c r="P683" s="6">
        <f>'MATCH CALCS'!$P684*5</f>
        <v>0</v>
      </c>
      <c r="Q683" s="154">
        <f t="shared" si="16"/>
        <v>0</v>
      </c>
      <c r="R683" s="6">
        <f>'MATCH CALCS'!$AD684*1</f>
        <v>0</v>
      </c>
      <c r="S683" s="6">
        <f>'MATCH CALCS'!AC684*3</f>
        <v>0</v>
      </c>
      <c r="T683" s="6">
        <f>'MATCH CALCS'!AD684*3</f>
        <v>0</v>
      </c>
      <c r="U683" s="155">
        <f t="shared" si="17"/>
        <v>0</v>
      </c>
      <c r="V683" s="154">
        <f t="shared" si="18"/>
        <v>0</v>
      </c>
    </row>
    <row r="684" spans="1:22">
      <c r="A684" s="154">
        <f>'MATCH CALCS'!A685</f>
        <v>0</v>
      </c>
      <c r="B684" s="154">
        <f>'MATCH CALCS'!$C685</f>
        <v>0</v>
      </c>
      <c r="C684" s="154">
        <f t="shared" si="14"/>
        <v>0</v>
      </c>
      <c r="D684" s="6">
        <f>'MATCH CALCS'!$G685*2</f>
        <v>0</v>
      </c>
      <c r="E684" s="6">
        <f>'MATCH CALCS'!$G685*2</f>
        <v>0</v>
      </c>
      <c r="F684" s="6">
        <f>'MATCH CALCS'!$G685*2</f>
        <v>0</v>
      </c>
      <c r="G684" s="6">
        <f>'MATCH CALCS'!$G685*2</f>
        <v>0</v>
      </c>
      <c r="H684" s="6">
        <f>'MATCH CALCS'!$G685*2</f>
        <v>0</v>
      </c>
      <c r="I684" s="6">
        <f>'MATCH CALCS'!$G685*2</f>
        <v>0</v>
      </c>
      <c r="J684" s="154">
        <f t="shared" si="15"/>
        <v>0</v>
      </c>
      <c r="K684" s="6">
        <f>'MATCH CALCS'!L685*1</f>
        <v>0</v>
      </c>
      <c r="L684" s="6">
        <f>'MATCH CALCS'!$N685*2</f>
        <v>0</v>
      </c>
      <c r="M684" s="6">
        <f>'MATCH CALCS'!N685*1</f>
        <v>0</v>
      </c>
      <c r="N684" s="6">
        <f>'MATCH CALCS'!$N685*2</f>
        <v>0</v>
      </c>
      <c r="O684" s="6">
        <f>'MATCH CALCS'!$N685*2</f>
        <v>0</v>
      </c>
      <c r="P684" s="6">
        <f>'MATCH CALCS'!$P685*5</f>
        <v>0</v>
      </c>
      <c r="Q684" s="154">
        <f t="shared" si="16"/>
        <v>0</v>
      </c>
      <c r="R684" s="6">
        <f>'MATCH CALCS'!$AD685*1</f>
        <v>0</v>
      </c>
      <c r="S684" s="6">
        <f>'MATCH CALCS'!AC685*3</f>
        <v>0</v>
      </c>
      <c r="T684" s="6">
        <f>'MATCH CALCS'!AD685*3</f>
        <v>0</v>
      </c>
      <c r="U684" s="155">
        <f t="shared" si="17"/>
        <v>0</v>
      </c>
      <c r="V684" s="154">
        <f t="shared" si="18"/>
        <v>0</v>
      </c>
    </row>
    <row r="685" spans="1:22">
      <c r="A685" s="154">
        <f>'MATCH CALCS'!A686</f>
        <v>0</v>
      </c>
      <c r="B685" s="154">
        <f>'MATCH CALCS'!$C686</f>
        <v>0</v>
      </c>
      <c r="C685" s="154">
        <f t="shared" si="14"/>
        <v>0</v>
      </c>
      <c r="D685" s="6">
        <f>'MATCH CALCS'!$G686*2</f>
        <v>0</v>
      </c>
      <c r="E685" s="6">
        <f>'MATCH CALCS'!$G686*2</f>
        <v>0</v>
      </c>
      <c r="F685" s="6">
        <f>'MATCH CALCS'!$G686*2</f>
        <v>0</v>
      </c>
      <c r="G685" s="6">
        <f>'MATCH CALCS'!$G686*2</f>
        <v>0</v>
      </c>
      <c r="H685" s="6">
        <f>'MATCH CALCS'!$G686*2</f>
        <v>0</v>
      </c>
      <c r="I685" s="6">
        <f>'MATCH CALCS'!$G686*2</f>
        <v>0</v>
      </c>
      <c r="J685" s="154">
        <f t="shared" si="15"/>
        <v>0</v>
      </c>
      <c r="K685" s="6">
        <f>'MATCH CALCS'!L686*1</f>
        <v>0</v>
      </c>
      <c r="L685" s="6">
        <f>'MATCH CALCS'!$N686*2</f>
        <v>0</v>
      </c>
      <c r="M685" s="6">
        <f>'MATCH CALCS'!N686*1</f>
        <v>0</v>
      </c>
      <c r="N685" s="6">
        <f>'MATCH CALCS'!$N686*2</f>
        <v>0</v>
      </c>
      <c r="O685" s="6">
        <f>'MATCH CALCS'!$N686*2</f>
        <v>0</v>
      </c>
      <c r="P685" s="6">
        <f>'MATCH CALCS'!$P686*5</f>
        <v>0</v>
      </c>
      <c r="Q685" s="154">
        <f t="shared" si="16"/>
        <v>0</v>
      </c>
      <c r="R685" s="6">
        <f>'MATCH CALCS'!$AD686*1</f>
        <v>0</v>
      </c>
      <c r="S685" s="6">
        <f>'MATCH CALCS'!AC686*3</f>
        <v>0</v>
      </c>
      <c r="T685" s="6">
        <f>'MATCH CALCS'!AD686*3</f>
        <v>0</v>
      </c>
      <c r="U685" s="155">
        <f t="shared" si="17"/>
        <v>0</v>
      </c>
      <c r="V685" s="154">
        <f t="shared" si="18"/>
        <v>0</v>
      </c>
    </row>
    <row r="686" spans="1:22">
      <c r="A686" s="154">
        <f>'MATCH CALCS'!A687</f>
        <v>0</v>
      </c>
      <c r="B686" s="154">
        <f>'MATCH CALCS'!$C687</f>
        <v>0</v>
      </c>
      <c r="C686" s="154">
        <f t="shared" si="14"/>
        <v>0</v>
      </c>
      <c r="D686" s="6">
        <f>'MATCH CALCS'!$G687*2</f>
        <v>0</v>
      </c>
      <c r="E686" s="6">
        <f>'MATCH CALCS'!$G687*2</f>
        <v>0</v>
      </c>
      <c r="F686" s="6">
        <f>'MATCH CALCS'!$G687*2</f>
        <v>0</v>
      </c>
      <c r="G686" s="6">
        <f>'MATCH CALCS'!$G687*2</f>
        <v>0</v>
      </c>
      <c r="H686" s="6">
        <f>'MATCH CALCS'!$G687*2</f>
        <v>0</v>
      </c>
      <c r="I686" s="6">
        <f>'MATCH CALCS'!$G687*2</f>
        <v>0</v>
      </c>
      <c r="J686" s="154">
        <f t="shared" si="15"/>
        <v>0</v>
      </c>
      <c r="K686" s="6">
        <f>'MATCH CALCS'!L687*1</f>
        <v>0</v>
      </c>
      <c r="L686" s="6">
        <f>'MATCH CALCS'!$N687*2</f>
        <v>0</v>
      </c>
      <c r="M686" s="6">
        <f>'MATCH CALCS'!N687*1</f>
        <v>0</v>
      </c>
      <c r="N686" s="6">
        <f>'MATCH CALCS'!$N687*2</f>
        <v>0</v>
      </c>
      <c r="O686" s="6">
        <f>'MATCH CALCS'!$N687*2</f>
        <v>0</v>
      </c>
      <c r="P686" s="6">
        <f>'MATCH CALCS'!$P687*5</f>
        <v>0</v>
      </c>
      <c r="Q686" s="154">
        <f t="shared" si="16"/>
        <v>0</v>
      </c>
      <c r="R686" s="6">
        <f>'MATCH CALCS'!$AD687*1</f>
        <v>0</v>
      </c>
      <c r="S686" s="6">
        <f>'MATCH CALCS'!AC687*3</f>
        <v>0</v>
      </c>
      <c r="T686" s="6">
        <f>'MATCH CALCS'!AD687*3</f>
        <v>0</v>
      </c>
      <c r="U686" s="155">
        <f t="shared" si="17"/>
        <v>0</v>
      </c>
      <c r="V686" s="154">
        <f t="shared" si="18"/>
        <v>0</v>
      </c>
    </row>
    <row r="687" spans="1:22">
      <c r="A687" s="154">
        <f>'MATCH CALCS'!A688</f>
        <v>0</v>
      </c>
      <c r="B687" s="154">
        <f>'MATCH CALCS'!$C688</f>
        <v>0</v>
      </c>
      <c r="C687" s="154">
        <f t="shared" si="14"/>
        <v>0</v>
      </c>
      <c r="D687" s="6">
        <f>'MATCH CALCS'!$G688*2</f>
        <v>0</v>
      </c>
      <c r="E687" s="6">
        <f>'MATCH CALCS'!$G688*2</f>
        <v>0</v>
      </c>
      <c r="F687" s="6">
        <f>'MATCH CALCS'!$G688*2</f>
        <v>0</v>
      </c>
      <c r="G687" s="6">
        <f>'MATCH CALCS'!$G688*2</f>
        <v>0</v>
      </c>
      <c r="H687" s="6">
        <f>'MATCH CALCS'!$G688*2</f>
        <v>0</v>
      </c>
      <c r="I687" s="6">
        <f>'MATCH CALCS'!$G688*2</f>
        <v>0</v>
      </c>
      <c r="J687" s="154">
        <f t="shared" si="15"/>
        <v>0</v>
      </c>
      <c r="K687" s="6">
        <f>'MATCH CALCS'!L688*1</f>
        <v>0</v>
      </c>
      <c r="L687" s="6">
        <f>'MATCH CALCS'!$N688*2</f>
        <v>0</v>
      </c>
      <c r="M687" s="6">
        <f>'MATCH CALCS'!N688*1</f>
        <v>0</v>
      </c>
      <c r="N687" s="6">
        <f>'MATCH CALCS'!$N688*2</f>
        <v>0</v>
      </c>
      <c r="O687" s="6">
        <f>'MATCH CALCS'!$N688*2</f>
        <v>0</v>
      </c>
      <c r="P687" s="6">
        <f>'MATCH CALCS'!$P688*5</f>
        <v>0</v>
      </c>
      <c r="Q687" s="154">
        <f t="shared" si="16"/>
        <v>0</v>
      </c>
      <c r="R687" s="6">
        <f>'MATCH CALCS'!$AD688*1</f>
        <v>0</v>
      </c>
      <c r="S687" s="6">
        <f>'MATCH CALCS'!AC688*3</f>
        <v>0</v>
      </c>
      <c r="T687" s="6">
        <f>'MATCH CALCS'!AD688*3</f>
        <v>0</v>
      </c>
      <c r="U687" s="155">
        <f t="shared" si="17"/>
        <v>0</v>
      </c>
      <c r="V687" s="154">
        <f t="shared" si="18"/>
        <v>0</v>
      </c>
    </row>
    <row r="688" spans="1:22">
      <c r="A688" s="154">
        <f>'MATCH CALCS'!A689</f>
        <v>0</v>
      </c>
      <c r="B688" s="154">
        <f>'MATCH CALCS'!$C689</f>
        <v>0</v>
      </c>
      <c r="C688" s="154">
        <f t="shared" si="14"/>
        <v>0</v>
      </c>
      <c r="D688" s="6">
        <f>'MATCH CALCS'!$G689*2</f>
        <v>0</v>
      </c>
      <c r="E688" s="6">
        <f>'MATCH CALCS'!$G689*2</f>
        <v>0</v>
      </c>
      <c r="F688" s="6">
        <f>'MATCH CALCS'!$G689*2</f>
        <v>0</v>
      </c>
      <c r="G688" s="6">
        <f>'MATCH CALCS'!$G689*2</f>
        <v>0</v>
      </c>
      <c r="H688" s="6">
        <f>'MATCH CALCS'!$G689*2</f>
        <v>0</v>
      </c>
      <c r="I688" s="6">
        <f>'MATCH CALCS'!$G689*2</f>
        <v>0</v>
      </c>
      <c r="J688" s="154">
        <f t="shared" si="15"/>
        <v>0</v>
      </c>
      <c r="K688" s="6">
        <f>'MATCH CALCS'!L689*1</f>
        <v>0</v>
      </c>
      <c r="L688" s="6">
        <f>'MATCH CALCS'!$N689*2</f>
        <v>0</v>
      </c>
      <c r="M688" s="6">
        <f>'MATCH CALCS'!N689*1</f>
        <v>0</v>
      </c>
      <c r="N688" s="6">
        <f>'MATCH CALCS'!$N689*2</f>
        <v>0</v>
      </c>
      <c r="O688" s="6">
        <f>'MATCH CALCS'!$N689*2</f>
        <v>0</v>
      </c>
      <c r="P688" s="6">
        <f>'MATCH CALCS'!$P689*5</f>
        <v>0</v>
      </c>
      <c r="Q688" s="154">
        <f t="shared" si="16"/>
        <v>0</v>
      </c>
      <c r="R688" s="6">
        <f>'MATCH CALCS'!$AD689*1</f>
        <v>0</v>
      </c>
      <c r="S688" s="6">
        <f>'MATCH CALCS'!AC689*3</f>
        <v>0</v>
      </c>
      <c r="T688" s="6">
        <f>'MATCH CALCS'!AD689*3</f>
        <v>0</v>
      </c>
      <c r="U688" s="155">
        <f t="shared" si="17"/>
        <v>0</v>
      </c>
      <c r="V688" s="154">
        <f t="shared" si="18"/>
        <v>0</v>
      </c>
    </row>
    <row r="689" spans="1:22">
      <c r="A689" s="154">
        <f>'MATCH CALCS'!A690</f>
        <v>0</v>
      </c>
      <c r="B689" s="154">
        <f>'MATCH CALCS'!$C690</f>
        <v>0</v>
      </c>
      <c r="C689" s="154">
        <f t="shared" si="14"/>
        <v>0</v>
      </c>
      <c r="D689" s="6">
        <f>'MATCH CALCS'!$G690*2</f>
        <v>0</v>
      </c>
      <c r="E689" s="6">
        <f>'MATCH CALCS'!$G690*2</f>
        <v>0</v>
      </c>
      <c r="F689" s="6">
        <f>'MATCH CALCS'!$G690*2</f>
        <v>0</v>
      </c>
      <c r="G689" s="6">
        <f>'MATCH CALCS'!$G690*2</f>
        <v>0</v>
      </c>
      <c r="H689" s="6">
        <f>'MATCH CALCS'!$G690*2</f>
        <v>0</v>
      </c>
      <c r="I689" s="6">
        <f>'MATCH CALCS'!$G690*2</f>
        <v>0</v>
      </c>
      <c r="J689" s="154">
        <f t="shared" si="15"/>
        <v>0</v>
      </c>
      <c r="K689" s="6">
        <f>'MATCH CALCS'!L690*1</f>
        <v>0</v>
      </c>
      <c r="L689" s="6">
        <f>'MATCH CALCS'!$N690*2</f>
        <v>0</v>
      </c>
      <c r="M689" s="6">
        <f>'MATCH CALCS'!N690*1</f>
        <v>0</v>
      </c>
      <c r="N689" s="6">
        <f>'MATCH CALCS'!$N690*2</f>
        <v>0</v>
      </c>
      <c r="O689" s="6">
        <f>'MATCH CALCS'!$N690*2</f>
        <v>0</v>
      </c>
      <c r="P689" s="6">
        <f>'MATCH CALCS'!$P690*5</f>
        <v>0</v>
      </c>
      <c r="Q689" s="154">
        <f t="shared" si="16"/>
        <v>0</v>
      </c>
      <c r="R689" s="6">
        <f>'MATCH CALCS'!$AD690*1</f>
        <v>0</v>
      </c>
      <c r="S689" s="6">
        <f>'MATCH CALCS'!AC690*3</f>
        <v>0</v>
      </c>
      <c r="T689" s="6">
        <f>'MATCH CALCS'!AD690*3</f>
        <v>0</v>
      </c>
      <c r="U689" s="155">
        <f t="shared" si="17"/>
        <v>0</v>
      </c>
      <c r="V689" s="154">
        <f t="shared" si="18"/>
        <v>0</v>
      </c>
    </row>
    <row r="690" spans="1:22">
      <c r="A690" s="154">
        <f>'MATCH CALCS'!A691</f>
        <v>0</v>
      </c>
      <c r="B690" s="154">
        <f>'MATCH CALCS'!$C691</f>
        <v>0</v>
      </c>
      <c r="C690" s="154">
        <f t="shared" si="14"/>
        <v>0</v>
      </c>
      <c r="D690" s="6">
        <f>'MATCH CALCS'!$G691*2</f>
        <v>0</v>
      </c>
      <c r="E690" s="6">
        <f>'MATCH CALCS'!$G691*2</f>
        <v>0</v>
      </c>
      <c r="F690" s="6">
        <f>'MATCH CALCS'!$G691*2</f>
        <v>0</v>
      </c>
      <c r="G690" s="6">
        <f>'MATCH CALCS'!$G691*2</f>
        <v>0</v>
      </c>
      <c r="H690" s="6">
        <f>'MATCH CALCS'!$G691*2</f>
        <v>0</v>
      </c>
      <c r="I690" s="6">
        <f>'MATCH CALCS'!$G691*2</f>
        <v>0</v>
      </c>
      <c r="J690" s="154">
        <f t="shared" si="15"/>
        <v>0</v>
      </c>
      <c r="K690" s="6">
        <f>'MATCH CALCS'!L691*1</f>
        <v>0</v>
      </c>
      <c r="L690" s="6">
        <f>'MATCH CALCS'!$N691*2</f>
        <v>0</v>
      </c>
      <c r="M690" s="6">
        <f>'MATCH CALCS'!N691*1</f>
        <v>0</v>
      </c>
      <c r="N690" s="6">
        <f>'MATCH CALCS'!$N691*2</f>
        <v>0</v>
      </c>
      <c r="O690" s="6">
        <f>'MATCH CALCS'!$N691*2</f>
        <v>0</v>
      </c>
      <c r="P690" s="6">
        <f>'MATCH CALCS'!$P691*5</f>
        <v>0</v>
      </c>
      <c r="Q690" s="154">
        <f t="shared" si="16"/>
        <v>0</v>
      </c>
      <c r="R690" s="6">
        <f>'MATCH CALCS'!$AD691*1</f>
        <v>0</v>
      </c>
      <c r="S690" s="6">
        <f>'MATCH CALCS'!AC691*3</f>
        <v>0</v>
      </c>
      <c r="T690" s="6">
        <f>'MATCH CALCS'!AD691*3</f>
        <v>0</v>
      </c>
      <c r="U690" s="155">
        <f t="shared" si="17"/>
        <v>0</v>
      </c>
      <c r="V690" s="154">
        <f t="shared" si="18"/>
        <v>0</v>
      </c>
    </row>
    <row r="691" spans="1:22">
      <c r="A691" s="154">
        <f>'MATCH CALCS'!A692</f>
        <v>0</v>
      </c>
      <c r="B691" s="154">
        <f>'MATCH CALCS'!$C692</f>
        <v>0</v>
      </c>
      <c r="C691" s="154">
        <f t="shared" si="14"/>
        <v>0</v>
      </c>
      <c r="D691" s="6">
        <f>'MATCH CALCS'!$G692*2</f>
        <v>0</v>
      </c>
      <c r="E691" s="6">
        <f>'MATCH CALCS'!$G692*2</f>
        <v>0</v>
      </c>
      <c r="F691" s="6">
        <f>'MATCH CALCS'!$G692*2</f>
        <v>0</v>
      </c>
      <c r="G691" s="6">
        <f>'MATCH CALCS'!$G692*2</f>
        <v>0</v>
      </c>
      <c r="H691" s="6">
        <f>'MATCH CALCS'!$G692*2</f>
        <v>0</v>
      </c>
      <c r="I691" s="6">
        <f>'MATCH CALCS'!$G692*2</f>
        <v>0</v>
      </c>
      <c r="J691" s="154">
        <f t="shared" si="15"/>
        <v>0</v>
      </c>
      <c r="K691" s="6">
        <f>'MATCH CALCS'!L692*1</f>
        <v>0</v>
      </c>
      <c r="L691" s="6">
        <f>'MATCH CALCS'!$N692*2</f>
        <v>0</v>
      </c>
      <c r="M691" s="6">
        <f>'MATCH CALCS'!N692*1</f>
        <v>0</v>
      </c>
      <c r="N691" s="6">
        <f>'MATCH CALCS'!$N692*2</f>
        <v>0</v>
      </c>
      <c r="O691" s="6">
        <f>'MATCH CALCS'!$N692*2</f>
        <v>0</v>
      </c>
      <c r="P691" s="6">
        <f>'MATCH CALCS'!$P692*5</f>
        <v>0</v>
      </c>
      <c r="Q691" s="154">
        <f t="shared" si="16"/>
        <v>0</v>
      </c>
      <c r="R691" s="6">
        <f>'MATCH CALCS'!$AD692*1</f>
        <v>0</v>
      </c>
      <c r="S691" s="6">
        <f>'MATCH CALCS'!AC692*3</f>
        <v>0</v>
      </c>
      <c r="T691" s="6">
        <f>'MATCH CALCS'!AD692*3</f>
        <v>0</v>
      </c>
      <c r="U691" s="155">
        <f t="shared" si="17"/>
        <v>0</v>
      </c>
      <c r="V691" s="154">
        <f t="shared" si="18"/>
        <v>0</v>
      </c>
    </row>
    <row r="692" spans="1:22">
      <c r="A692" s="154">
        <f>'MATCH CALCS'!A693</f>
        <v>0</v>
      </c>
      <c r="B692" s="154">
        <f>'MATCH CALCS'!$C693</f>
        <v>0</v>
      </c>
      <c r="C692" s="154">
        <f t="shared" si="14"/>
        <v>0</v>
      </c>
      <c r="D692" s="6">
        <f>'MATCH CALCS'!$G693*2</f>
        <v>0</v>
      </c>
      <c r="E692" s="6">
        <f>'MATCH CALCS'!$G693*2</f>
        <v>0</v>
      </c>
      <c r="F692" s="6">
        <f>'MATCH CALCS'!$G693*2</f>
        <v>0</v>
      </c>
      <c r="G692" s="6">
        <f>'MATCH CALCS'!$G693*2</f>
        <v>0</v>
      </c>
      <c r="H692" s="6">
        <f>'MATCH CALCS'!$G693*2</f>
        <v>0</v>
      </c>
      <c r="I692" s="6">
        <f>'MATCH CALCS'!$G693*2</f>
        <v>0</v>
      </c>
      <c r="J692" s="154">
        <f t="shared" si="15"/>
        <v>0</v>
      </c>
      <c r="K692" s="6">
        <f>'MATCH CALCS'!L693*1</f>
        <v>0</v>
      </c>
      <c r="L692" s="6">
        <f>'MATCH CALCS'!$N693*2</f>
        <v>0</v>
      </c>
      <c r="M692" s="6">
        <f>'MATCH CALCS'!N693*1</f>
        <v>0</v>
      </c>
      <c r="N692" s="6">
        <f>'MATCH CALCS'!$N693*2</f>
        <v>0</v>
      </c>
      <c r="O692" s="6">
        <f>'MATCH CALCS'!$N693*2</f>
        <v>0</v>
      </c>
      <c r="P692" s="6">
        <f>'MATCH CALCS'!$P693*5</f>
        <v>0</v>
      </c>
      <c r="Q692" s="154">
        <f t="shared" si="16"/>
        <v>0</v>
      </c>
      <c r="R692" s="6">
        <f>'MATCH CALCS'!$AD693*1</f>
        <v>0</v>
      </c>
      <c r="S692" s="6">
        <f>'MATCH CALCS'!AC693*3</f>
        <v>0</v>
      </c>
      <c r="T692" s="6">
        <f>'MATCH CALCS'!AD693*3</f>
        <v>0</v>
      </c>
      <c r="U692" s="155">
        <f t="shared" si="17"/>
        <v>0</v>
      </c>
      <c r="V692" s="154">
        <f t="shared" si="18"/>
        <v>0</v>
      </c>
    </row>
    <row r="693" spans="1:22">
      <c r="A693" s="154">
        <f>'MATCH CALCS'!A694</f>
        <v>0</v>
      </c>
      <c r="B693" s="154">
        <f>'MATCH CALCS'!$C694</f>
        <v>0</v>
      </c>
      <c r="C693" s="154">
        <f t="shared" si="14"/>
        <v>0</v>
      </c>
      <c r="D693" s="6">
        <f>'MATCH CALCS'!$G694*2</f>
        <v>0</v>
      </c>
      <c r="E693" s="6">
        <f>'MATCH CALCS'!$G694*2</f>
        <v>0</v>
      </c>
      <c r="F693" s="6">
        <f>'MATCH CALCS'!$G694*2</f>
        <v>0</v>
      </c>
      <c r="G693" s="6">
        <f>'MATCH CALCS'!$G694*2</f>
        <v>0</v>
      </c>
      <c r="H693" s="6">
        <f>'MATCH CALCS'!$G694*2</f>
        <v>0</v>
      </c>
      <c r="I693" s="6">
        <f>'MATCH CALCS'!$G694*2</f>
        <v>0</v>
      </c>
      <c r="J693" s="154">
        <f t="shared" si="15"/>
        <v>0</v>
      </c>
      <c r="K693" s="6">
        <f>'MATCH CALCS'!L694*1</f>
        <v>0</v>
      </c>
      <c r="L693" s="6">
        <f>'MATCH CALCS'!$N694*2</f>
        <v>0</v>
      </c>
      <c r="M693" s="6">
        <f>'MATCH CALCS'!N694*1</f>
        <v>0</v>
      </c>
      <c r="N693" s="6">
        <f>'MATCH CALCS'!$N694*2</f>
        <v>0</v>
      </c>
      <c r="O693" s="6">
        <f>'MATCH CALCS'!$N694*2</f>
        <v>0</v>
      </c>
      <c r="P693" s="6">
        <f>'MATCH CALCS'!$P694*5</f>
        <v>0</v>
      </c>
      <c r="Q693" s="154">
        <f t="shared" si="16"/>
        <v>0</v>
      </c>
      <c r="R693" s="6">
        <f>'MATCH CALCS'!$AD694*1</f>
        <v>0</v>
      </c>
      <c r="S693" s="6">
        <f>'MATCH CALCS'!AC694*3</f>
        <v>0</v>
      </c>
      <c r="T693" s="6">
        <f>'MATCH CALCS'!AD694*3</f>
        <v>0</v>
      </c>
      <c r="U693" s="155">
        <f t="shared" si="17"/>
        <v>0</v>
      </c>
      <c r="V693" s="154">
        <f t="shared" si="18"/>
        <v>0</v>
      </c>
    </row>
    <row r="694" spans="1:22">
      <c r="A694" s="154">
        <f>'MATCH CALCS'!A695</f>
        <v>0</v>
      </c>
      <c r="B694" s="154">
        <f>'MATCH CALCS'!$C695</f>
        <v>0</v>
      </c>
      <c r="C694" s="154">
        <f t="shared" si="14"/>
        <v>0</v>
      </c>
      <c r="D694" s="6">
        <f>'MATCH CALCS'!$G695*2</f>
        <v>0</v>
      </c>
      <c r="E694" s="6">
        <f>'MATCH CALCS'!$G695*2</f>
        <v>0</v>
      </c>
      <c r="F694" s="6">
        <f>'MATCH CALCS'!$G695*2</f>
        <v>0</v>
      </c>
      <c r="G694" s="6">
        <f>'MATCH CALCS'!$G695*2</f>
        <v>0</v>
      </c>
      <c r="H694" s="6">
        <f>'MATCH CALCS'!$G695*2</f>
        <v>0</v>
      </c>
      <c r="I694" s="6">
        <f>'MATCH CALCS'!$G695*2</f>
        <v>0</v>
      </c>
      <c r="J694" s="154">
        <f t="shared" si="15"/>
        <v>0</v>
      </c>
      <c r="K694" s="6">
        <f>'MATCH CALCS'!L695*1</f>
        <v>0</v>
      </c>
      <c r="L694" s="6">
        <f>'MATCH CALCS'!$N695*2</f>
        <v>0</v>
      </c>
      <c r="M694" s="6">
        <f>'MATCH CALCS'!N695*1</f>
        <v>0</v>
      </c>
      <c r="N694" s="6">
        <f>'MATCH CALCS'!$N695*2</f>
        <v>0</v>
      </c>
      <c r="O694" s="6">
        <f>'MATCH CALCS'!$N695*2</f>
        <v>0</v>
      </c>
      <c r="P694" s="6">
        <f>'MATCH CALCS'!$P695*5</f>
        <v>0</v>
      </c>
      <c r="Q694" s="154">
        <f t="shared" si="16"/>
        <v>0</v>
      </c>
      <c r="R694" s="6">
        <f>'MATCH CALCS'!$AD695*1</f>
        <v>0</v>
      </c>
      <c r="S694" s="6">
        <f>'MATCH CALCS'!AC695*3</f>
        <v>0</v>
      </c>
      <c r="T694" s="6">
        <f>'MATCH CALCS'!AD695*3</f>
        <v>0</v>
      </c>
      <c r="U694" s="155">
        <f t="shared" si="17"/>
        <v>0</v>
      </c>
      <c r="V694" s="154">
        <f t="shared" si="18"/>
        <v>0</v>
      </c>
    </row>
    <row r="695" spans="1:22">
      <c r="A695" s="154">
        <f>'MATCH CALCS'!A696</f>
        <v>0</v>
      </c>
      <c r="B695" s="154">
        <f>'MATCH CALCS'!$C696</f>
        <v>0</v>
      </c>
      <c r="C695" s="154">
        <f t="shared" si="14"/>
        <v>0</v>
      </c>
      <c r="D695" s="6">
        <f>'MATCH CALCS'!$G696*2</f>
        <v>0</v>
      </c>
      <c r="E695" s="6">
        <f>'MATCH CALCS'!$G696*2</f>
        <v>0</v>
      </c>
      <c r="F695" s="6">
        <f>'MATCH CALCS'!$G696*2</f>
        <v>0</v>
      </c>
      <c r="G695" s="6">
        <f>'MATCH CALCS'!$G696*2</f>
        <v>0</v>
      </c>
      <c r="H695" s="6">
        <f>'MATCH CALCS'!$G696*2</f>
        <v>0</v>
      </c>
      <c r="I695" s="6">
        <f>'MATCH CALCS'!$G696*2</f>
        <v>0</v>
      </c>
      <c r="J695" s="154">
        <f t="shared" si="15"/>
        <v>0</v>
      </c>
      <c r="K695" s="6">
        <f>'MATCH CALCS'!L696*1</f>
        <v>0</v>
      </c>
      <c r="L695" s="6">
        <f>'MATCH CALCS'!$N696*2</f>
        <v>0</v>
      </c>
      <c r="M695" s="6">
        <f>'MATCH CALCS'!N696*1</f>
        <v>0</v>
      </c>
      <c r="N695" s="6">
        <f>'MATCH CALCS'!$N696*2</f>
        <v>0</v>
      </c>
      <c r="O695" s="6">
        <f>'MATCH CALCS'!$N696*2</f>
        <v>0</v>
      </c>
      <c r="P695" s="6">
        <f>'MATCH CALCS'!$P696*5</f>
        <v>0</v>
      </c>
      <c r="Q695" s="154">
        <f t="shared" si="16"/>
        <v>0</v>
      </c>
      <c r="R695" s="6">
        <f>'MATCH CALCS'!$AD696*1</f>
        <v>0</v>
      </c>
      <c r="S695" s="6">
        <f>'MATCH CALCS'!AC696*3</f>
        <v>0</v>
      </c>
      <c r="T695" s="6">
        <f>'MATCH CALCS'!AD696*3</f>
        <v>0</v>
      </c>
      <c r="U695" s="155">
        <f t="shared" si="17"/>
        <v>0</v>
      </c>
      <c r="V695" s="154">
        <f t="shared" si="18"/>
        <v>0</v>
      </c>
    </row>
    <row r="696" spans="1:22">
      <c r="A696" s="154">
        <f>'MATCH CALCS'!A697</f>
        <v>0</v>
      </c>
      <c r="B696" s="154">
        <f>'MATCH CALCS'!$C697</f>
        <v>0</v>
      </c>
      <c r="C696" s="154">
        <f t="shared" si="14"/>
        <v>0</v>
      </c>
      <c r="D696" s="6">
        <f>'MATCH CALCS'!$G697*2</f>
        <v>0</v>
      </c>
      <c r="E696" s="6">
        <f>'MATCH CALCS'!$G697*2</f>
        <v>0</v>
      </c>
      <c r="F696" s="6">
        <f>'MATCH CALCS'!$G697*2</f>
        <v>0</v>
      </c>
      <c r="G696" s="6">
        <f>'MATCH CALCS'!$G697*2</f>
        <v>0</v>
      </c>
      <c r="H696" s="6">
        <f>'MATCH CALCS'!$G697*2</f>
        <v>0</v>
      </c>
      <c r="I696" s="6">
        <f>'MATCH CALCS'!$G697*2</f>
        <v>0</v>
      </c>
      <c r="J696" s="154">
        <f t="shared" si="15"/>
        <v>0</v>
      </c>
      <c r="K696" s="6">
        <f>'MATCH CALCS'!L697*1</f>
        <v>0</v>
      </c>
      <c r="L696" s="6">
        <f>'MATCH CALCS'!$N697*2</f>
        <v>0</v>
      </c>
      <c r="M696" s="6">
        <f>'MATCH CALCS'!N697*1</f>
        <v>0</v>
      </c>
      <c r="N696" s="6">
        <f>'MATCH CALCS'!$N697*2</f>
        <v>0</v>
      </c>
      <c r="O696" s="6">
        <f>'MATCH CALCS'!$N697*2</f>
        <v>0</v>
      </c>
      <c r="P696" s="6">
        <f>'MATCH CALCS'!$P697*5</f>
        <v>0</v>
      </c>
      <c r="Q696" s="154">
        <f t="shared" si="16"/>
        <v>0</v>
      </c>
      <c r="R696" s="6">
        <f>'MATCH CALCS'!$AD697*1</f>
        <v>0</v>
      </c>
      <c r="S696" s="6">
        <f>'MATCH CALCS'!AC697*3</f>
        <v>0</v>
      </c>
      <c r="T696" s="6">
        <f>'MATCH CALCS'!AD697*3</f>
        <v>0</v>
      </c>
      <c r="U696" s="155">
        <f t="shared" si="17"/>
        <v>0</v>
      </c>
      <c r="V696" s="154">
        <f t="shared" si="18"/>
        <v>0</v>
      </c>
    </row>
    <row r="697" spans="1:22">
      <c r="A697" s="154">
        <f>'MATCH CALCS'!A698</f>
        <v>0</v>
      </c>
      <c r="B697" s="154">
        <f>'MATCH CALCS'!$C698</f>
        <v>0</v>
      </c>
      <c r="C697" s="154">
        <f t="shared" si="14"/>
        <v>0</v>
      </c>
      <c r="D697" s="6">
        <f>'MATCH CALCS'!$G698*2</f>
        <v>0</v>
      </c>
      <c r="E697" s="6">
        <f>'MATCH CALCS'!$G698*2</f>
        <v>0</v>
      </c>
      <c r="F697" s="6">
        <f>'MATCH CALCS'!$G698*2</f>
        <v>0</v>
      </c>
      <c r="G697" s="6">
        <f>'MATCH CALCS'!$G698*2</f>
        <v>0</v>
      </c>
      <c r="H697" s="6">
        <f>'MATCH CALCS'!$G698*2</f>
        <v>0</v>
      </c>
      <c r="I697" s="6">
        <f>'MATCH CALCS'!$G698*2</f>
        <v>0</v>
      </c>
      <c r="J697" s="154">
        <f t="shared" si="15"/>
        <v>0</v>
      </c>
      <c r="K697" s="6">
        <f>'MATCH CALCS'!L698*1</f>
        <v>0</v>
      </c>
      <c r="L697" s="6">
        <f>'MATCH CALCS'!$N698*2</f>
        <v>0</v>
      </c>
      <c r="M697" s="6">
        <f>'MATCH CALCS'!N698*1</f>
        <v>0</v>
      </c>
      <c r="N697" s="6">
        <f>'MATCH CALCS'!$N698*2</f>
        <v>0</v>
      </c>
      <c r="O697" s="6">
        <f>'MATCH CALCS'!$N698*2</f>
        <v>0</v>
      </c>
      <c r="P697" s="6">
        <f>'MATCH CALCS'!$P698*5</f>
        <v>0</v>
      </c>
      <c r="Q697" s="154">
        <f t="shared" si="16"/>
        <v>0</v>
      </c>
      <c r="R697" s="6">
        <f>'MATCH CALCS'!$AD698*1</f>
        <v>0</v>
      </c>
      <c r="S697" s="6">
        <f>'MATCH CALCS'!AC698*3</f>
        <v>0</v>
      </c>
      <c r="T697" s="6">
        <f>'MATCH CALCS'!AD698*3</f>
        <v>0</v>
      </c>
      <c r="U697" s="155">
        <f t="shared" si="17"/>
        <v>0</v>
      </c>
      <c r="V697" s="154">
        <f t="shared" si="18"/>
        <v>0</v>
      </c>
    </row>
    <row r="698" spans="1:22">
      <c r="A698" s="154">
        <f>'MATCH CALCS'!A699</f>
        <v>0</v>
      </c>
      <c r="B698" s="154">
        <f>'MATCH CALCS'!$C699</f>
        <v>0</v>
      </c>
      <c r="C698" s="154">
        <f t="shared" si="14"/>
        <v>0</v>
      </c>
      <c r="D698" s="6">
        <f>'MATCH CALCS'!$G699*2</f>
        <v>0</v>
      </c>
      <c r="E698" s="6">
        <f>'MATCH CALCS'!$G699*2</f>
        <v>0</v>
      </c>
      <c r="F698" s="6">
        <f>'MATCH CALCS'!$G699*2</f>
        <v>0</v>
      </c>
      <c r="G698" s="6">
        <f>'MATCH CALCS'!$G699*2</f>
        <v>0</v>
      </c>
      <c r="H698" s="6">
        <f>'MATCH CALCS'!$G699*2</f>
        <v>0</v>
      </c>
      <c r="I698" s="6">
        <f>'MATCH CALCS'!$G699*2</f>
        <v>0</v>
      </c>
      <c r="J698" s="154">
        <f t="shared" si="15"/>
        <v>0</v>
      </c>
      <c r="K698" s="6">
        <f>'MATCH CALCS'!L699*1</f>
        <v>0</v>
      </c>
      <c r="L698" s="6">
        <f>'MATCH CALCS'!$N699*2</f>
        <v>0</v>
      </c>
      <c r="M698" s="6">
        <f>'MATCH CALCS'!N699*1</f>
        <v>0</v>
      </c>
      <c r="N698" s="6">
        <f>'MATCH CALCS'!$N699*2</f>
        <v>0</v>
      </c>
      <c r="O698" s="6">
        <f>'MATCH CALCS'!$N699*2</f>
        <v>0</v>
      </c>
      <c r="P698" s="6">
        <f>'MATCH CALCS'!$P699*5</f>
        <v>0</v>
      </c>
      <c r="Q698" s="154">
        <f t="shared" si="16"/>
        <v>0</v>
      </c>
      <c r="R698" s="6">
        <f>'MATCH CALCS'!$AD699*1</f>
        <v>0</v>
      </c>
      <c r="S698" s="6">
        <f>'MATCH CALCS'!AC699*3</f>
        <v>0</v>
      </c>
      <c r="T698" s="6">
        <f>'MATCH CALCS'!AD699*3</f>
        <v>0</v>
      </c>
      <c r="U698" s="155">
        <f t="shared" si="17"/>
        <v>0</v>
      </c>
      <c r="V698" s="154">
        <f t="shared" si="18"/>
        <v>0</v>
      </c>
    </row>
    <row r="699" spans="1:22">
      <c r="A699" s="154">
        <f>'MATCH CALCS'!A700</f>
        <v>0</v>
      </c>
      <c r="B699" s="154">
        <f>'MATCH CALCS'!$C700</f>
        <v>0</v>
      </c>
      <c r="C699" s="154">
        <f t="shared" si="14"/>
        <v>0</v>
      </c>
      <c r="D699" s="6">
        <f>'MATCH CALCS'!$G700*2</f>
        <v>0</v>
      </c>
      <c r="E699" s="6">
        <f>'MATCH CALCS'!$G700*2</f>
        <v>0</v>
      </c>
      <c r="F699" s="6">
        <f>'MATCH CALCS'!$G700*2</f>
        <v>0</v>
      </c>
      <c r="G699" s="6">
        <f>'MATCH CALCS'!$G700*2</f>
        <v>0</v>
      </c>
      <c r="H699" s="6">
        <f>'MATCH CALCS'!$G700*2</f>
        <v>0</v>
      </c>
      <c r="I699" s="6">
        <f>'MATCH CALCS'!$G700*2</f>
        <v>0</v>
      </c>
      <c r="J699" s="154">
        <f t="shared" si="15"/>
        <v>0</v>
      </c>
      <c r="K699" s="6">
        <f>'MATCH CALCS'!L700*1</f>
        <v>0</v>
      </c>
      <c r="L699" s="6">
        <f>'MATCH CALCS'!$N700*2</f>
        <v>0</v>
      </c>
      <c r="M699" s="6">
        <f>'MATCH CALCS'!N700*1</f>
        <v>0</v>
      </c>
      <c r="N699" s="6">
        <f>'MATCH CALCS'!$N700*2</f>
        <v>0</v>
      </c>
      <c r="O699" s="6">
        <f>'MATCH CALCS'!$N700*2</f>
        <v>0</v>
      </c>
      <c r="P699" s="6">
        <f>'MATCH CALCS'!$P700*5</f>
        <v>0</v>
      </c>
      <c r="Q699" s="154">
        <f t="shared" si="16"/>
        <v>0</v>
      </c>
      <c r="R699" s="6">
        <f>'MATCH CALCS'!$AD700*1</f>
        <v>0</v>
      </c>
      <c r="S699" s="6">
        <f>'MATCH CALCS'!AC700*3</f>
        <v>0</v>
      </c>
      <c r="T699" s="6">
        <f>'MATCH CALCS'!AD700*3</f>
        <v>0</v>
      </c>
      <c r="U699" s="155">
        <f t="shared" si="17"/>
        <v>0</v>
      </c>
      <c r="V699" s="154">
        <f t="shared" si="18"/>
        <v>0</v>
      </c>
    </row>
    <row r="700" spans="1:22">
      <c r="A700" s="154">
        <f>'MATCH CALCS'!A701</f>
        <v>0</v>
      </c>
      <c r="B700" s="154">
        <f>'MATCH CALCS'!$C701</f>
        <v>0</v>
      </c>
      <c r="C700" s="154">
        <f t="shared" si="14"/>
        <v>0</v>
      </c>
      <c r="D700" s="6">
        <f>'MATCH CALCS'!$G701*2</f>
        <v>0</v>
      </c>
      <c r="E700" s="6">
        <f>'MATCH CALCS'!$G701*2</f>
        <v>0</v>
      </c>
      <c r="F700" s="6">
        <f>'MATCH CALCS'!$G701*2</f>
        <v>0</v>
      </c>
      <c r="G700" s="6">
        <f>'MATCH CALCS'!$G701*2</f>
        <v>0</v>
      </c>
      <c r="H700" s="6">
        <f>'MATCH CALCS'!$G701*2</f>
        <v>0</v>
      </c>
      <c r="I700" s="6">
        <f>'MATCH CALCS'!$G701*2</f>
        <v>0</v>
      </c>
      <c r="J700" s="154">
        <f t="shared" si="15"/>
        <v>0</v>
      </c>
      <c r="K700" s="6">
        <f>'MATCH CALCS'!L701*1</f>
        <v>0</v>
      </c>
      <c r="L700" s="6">
        <f>'MATCH CALCS'!$N701*2</f>
        <v>0</v>
      </c>
      <c r="M700" s="6">
        <f>'MATCH CALCS'!N701*1</f>
        <v>0</v>
      </c>
      <c r="N700" s="6">
        <f>'MATCH CALCS'!$N701*2</f>
        <v>0</v>
      </c>
      <c r="O700" s="6">
        <f>'MATCH CALCS'!$N701*2</f>
        <v>0</v>
      </c>
      <c r="P700" s="6">
        <f>'MATCH CALCS'!$P701*5</f>
        <v>0</v>
      </c>
      <c r="Q700" s="154">
        <f t="shared" si="16"/>
        <v>0</v>
      </c>
      <c r="R700" s="6">
        <f>'MATCH CALCS'!$AD701*1</f>
        <v>0</v>
      </c>
      <c r="S700" s="6">
        <f>'MATCH CALCS'!AC701*3</f>
        <v>0</v>
      </c>
      <c r="T700" s="6">
        <f>'MATCH CALCS'!AD701*3</f>
        <v>0</v>
      </c>
      <c r="U700" s="155">
        <f t="shared" si="17"/>
        <v>0</v>
      </c>
      <c r="V700" s="154">
        <f t="shared" si="18"/>
        <v>0</v>
      </c>
    </row>
    <row r="701" spans="1:22">
      <c r="A701" s="154">
        <f>'MATCH CALCS'!A702</f>
        <v>0</v>
      </c>
      <c r="B701" s="154">
        <f>'MATCH CALCS'!$C702</f>
        <v>0</v>
      </c>
      <c r="C701" s="154">
        <f t="shared" si="14"/>
        <v>0</v>
      </c>
      <c r="D701" s="6">
        <f>'MATCH CALCS'!$G702*2</f>
        <v>0</v>
      </c>
      <c r="E701" s="6">
        <f>'MATCH CALCS'!$G702*2</f>
        <v>0</v>
      </c>
      <c r="F701" s="6">
        <f>'MATCH CALCS'!$G702*2</f>
        <v>0</v>
      </c>
      <c r="G701" s="6">
        <f>'MATCH CALCS'!$G702*2</f>
        <v>0</v>
      </c>
      <c r="H701" s="6">
        <f>'MATCH CALCS'!$G702*2</f>
        <v>0</v>
      </c>
      <c r="I701" s="6">
        <f>'MATCH CALCS'!$G702*2</f>
        <v>0</v>
      </c>
      <c r="J701" s="154">
        <f t="shared" si="15"/>
        <v>0</v>
      </c>
      <c r="K701" s="6">
        <f>'MATCH CALCS'!L702*1</f>
        <v>0</v>
      </c>
      <c r="L701" s="6">
        <f>'MATCH CALCS'!$N702*2</f>
        <v>0</v>
      </c>
      <c r="M701" s="6">
        <f>'MATCH CALCS'!N702*1</f>
        <v>0</v>
      </c>
      <c r="N701" s="6">
        <f>'MATCH CALCS'!$N702*2</f>
        <v>0</v>
      </c>
      <c r="O701" s="6">
        <f>'MATCH CALCS'!$N702*2</f>
        <v>0</v>
      </c>
      <c r="P701" s="6">
        <f>'MATCH CALCS'!$P702*5</f>
        <v>0</v>
      </c>
      <c r="Q701" s="154">
        <f t="shared" si="16"/>
        <v>0</v>
      </c>
      <c r="R701" s="6">
        <f>'MATCH CALCS'!$AD702*1</f>
        <v>0</v>
      </c>
      <c r="S701" s="6">
        <f>'MATCH CALCS'!AC702*3</f>
        <v>0</v>
      </c>
      <c r="T701" s="6">
        <f>'MATCH CALCS'!AD702*3</f>
        <v>0</v>
      </c>
      <c r="U701" s="155">
        <f t="shared" si="17"/>
        <v>0</v>
      </c>
      <c r="V701" s="154">
        <f t="shared" si="18"/>
        <v>0</v>
      </c>
    </row>
    <row r="702" spans="1:22">
      <c r="A702" s="154">
        <f>'MATCH CALCS'!A703</f>
        <v>0</v>
      </c>
      <c r="B702" s="154">
        <f>'MATCH CALCS'!$C703</f>
        <v>0</v>
      </c>
      <c r="C702" s="154">
        <f t="shared" si="14"/>
        <v>0</v>
      </c>
      <c r="D702" s="6">
        <f>'MATCH CALCS'!$G703*2</f>
        <v>0</v>
      </c>
      <c r="E702" s="6">
        <f>'MATCH CALCS'!$G703*2</f>
        <v>0</v>
      </c>
      <c r="F702" s="6">
        <f>'MATCH CALCS'!$G703*2</f>
        <v>0</v>
      </c>
      <c r="G702" s="6">
        <f>'MATCH CALCS'!$G703*2</f>
        <v>0</v>
      </c>
      <c r="H702" s="6">
        <f>'MATCH CALCS'!$G703*2</f>
        <v>0</v>
      </c>
      <c r="I702" s="6">
        <f>'MATCH CALCS'!$G703*2</f>
        <v>0</v>
      </c>
      <c r="J702" s="154">
        <f t="shared" si="15"/>
        <v>0</v>
      </c>
      <c r="K702" s="6">
        <f>'MATCH CALCS'!L703*1</f>
        <v>0</v>
      </c>
      <c r="L702" s="6">
        <f>'MATCH CALCS'!$N703*2</f>
        <v>0</v>
      </c>
      <c r="M702" s="6">
        <f>'MATCH CALCS'!N703*1</f>
        <v>0</v>
      </c>
      <c r="N702" s="6">
        <f>'MATCH CALCS'!$N703*2</f>
        <v>0</v>
      </c>
      <c r="O702" s="6">
        <f>'MATCH CALCS'!$N703*2</f>
        <v>0</v>
      </c>
      <c r="P702" s="6">
        <f>'MATCH CALCS'!$P703*5</f>
        <v>0</v>
      </c>
      <c r="Q702" s="154">
        <f t="shared" si="16"/>
        <v>0</v>
      </c>
      <c r="R702" s="6">
        <f>'MATCH CALCS'!$AD703*1</f>
        <v>0</v>
      </c>
      <c r="S702" s="6">
        <f>'MATCH CALCS'!AC703*3</f>
        <v>0</v>
      </c>
      <c r="T702" s="6">
        <f>'MATCH CALCS'!AD703*3</f>
        <v>0</v>
      </c>
      <c r="U702" s="155">
        <f t="shared" si="17"/>
        <v>0</v>
      </c>
      <c r="V702" s="154">
        <f t="shared" si="18"/>
        <v>0</v>
      </c>
    </row>
    <row r="703" spans="1:22">
      <c r="A703" s="154">
        <f>'MATCH CALCS'!A704</f>
        <v>0</v>
      </c>
      <c r="B703" s="154">
        <f>'MATCH CALCS'!$C704</f>
        <v>0</v>
      </c>
      <c r="C703" s="154">
        <f t="shared" si="14"/>
        <v>0</v>
      </c>
      <c r="D703" s="6">
        <f>'MATCH CALCS'!$G704*2</f>
        <v>0</v>
      </c>
      <c r="E703" s="6">
        <f>'MATCH CALCS'!$G704*2</f>
        <v>0</v>
      </c>
      <c r="F703" s="6">
        <f>'MATCH CALCS'!$G704*2</f>
        <v>0</v>
      </c>
      <c r="G703" s="6">
        <f>'MATCH CALCS'!$G704*2</f>
        <v>0</v>
      </c>
      <c r="H703" s="6">
        <f>'MATCH CALCS'!$G704*2</f>
        <v>0</v>
      </c>
      <c r="I703" s="6">
        <f>'MATCH CALCS'!$G704*2</f>
        <v>0</v>
      </c>
      <c r="J703" s="154">
        <f t="shared" si="15"/>
        <v>0</v>
      </c>
      <c r="K703" s="6">
        <f>'MATCH CALCS'!L704*1</f>
        <v>0</v>
      </c>
      <c r="L703" s="6">
        <f>'MATCH CALCS'!$N704*2</f>
        <v>0</v>
      </c>
      <c r="M703" s="6">
        <f>'MATCH CALCS'!N704*1</f>
        <v>0</v>
      </c>
      <c r="N703" s="6">
        <f>'MATCH CALCS'!$N704*2</f>
        <v>0</v>
      </c>
      <c r="O703" s="6">
        <f>'MATCH CALCS'!$N704*2</f>
        <v>0</v>
      </c>
      <c r="P703" s="6">
        <f>'MATCH CALCS'!$P704*5</f>
        <v>0</v>
      </c>
      <c r="Q703" s="154">
        <f t="shared" si="16"/>
        <v>0</v>
      </c>
      <c r="R703" s="6">
        <f>'MATCH CALCS'!$AD704*1</f>
        <v>0</v>
      </c>
      <c r="S703" s="6">
        <f>'MATCH CALCS'!AC704*3</f>
        <v>0</v>
      </c>
      <c r="T703" s="6">
        <f>'MATCH CALCS'!AD704*3</f>
        <v>0</v>
      </c>
      <c r="U703" s="155">
        <f t="shared" si="17"/>
        <v>0</v>
      </c>
      <c r="V703" s="154">
        <f t="shared" si="18"/>
        <v>0</v>
      </c>
    </row>
    <row r="704" spans="1:22">
      <c r="A704" s="154">
        <f>'MATCH CALCS'!A705</f>
        <v>0</v>
      </c>
      <c r="B704" s="154">
        <f>'MATCH CALCS'!$C705</f>
        <v>0</v>
      </c>
      <c r="C704" s="154">
        <f t="shared" si="14"/>
        <v>0</v>
      </c>
      <c r="D704" s="6">
        <f>'MATCH CALCS'!$G705*2</f>
        <v>0</v>
      </c>
      <c r="E704" s="6">
        <f>'MATCH CALCS'!$G705*2</f>
        <v>0</v>
      </c>
      <c r="F704" s="6">
        <f>'MATCH CALCS'!$G705*2</f>
        <v>0</v>
      </c>
      <c r="G704" s="6">
        <f>'MATCH CALCS'!$G705*2</f>
        <v>0</v>
      </c>
      <c r="H704" s="6">
        <f>'MATCH CALCS'!$G705*2</f>
        <v>0</v>
      </c>
      <c r="I704" s="6">
        <f>'MATCH CALCS'!$G705*2</f>
        <v>0</v>
      </c>
      <c r="J704" s="154">
        <f t="shared" si="15"/>
        <v>0</v>
      </c>
      <c r="K704" s="6">
        <f>'MATCH CALCS'!L705*1</f>
        <v>0</v>
      </c>
      <c r="L704" s="6">
        <f>'MATCH CALCS'!$N705*2</f>
        <v>0</v>
      </c>
      <c r="M704" s="6">
        <f>'MATCH CALCS'!N705*1</f>
        <v>0</v>
      </c>
      <c r="N704" s="6">
        <f>'MATCH CALCS'!$N705*2</f>
        <v>0</v>
      </c>
      <c r="O704" s="6">
        <f>'MATCH CALCS'!$N705*2</f>
        <v>0</v>
      </c>
      <c r="P704" s="6">
        <f>'MATCH CALCS'!$P705*5</f>
        <v>0</v>
      </c>
      <c r="Q704" s="154">
        <f t="shared" si="16"/>
        <v>0</v>
      </c>
      <c r="R704" s="6">
        <f>'MATCH CALCS'!$AD705*1</f>
        <v>0</v>
      </c>
      <c r="S704" s="6">
        <f>'MATCH CALCS'!AC705*3</f>
        <v>0</v>
      </c>
      <c r="T704" s="6">
        <f>'MATCH CALCS'!AD705*3</f>
        <v>0</v>
      </c>
      <c r="U704" s="155">
        <f t="shared" si="17"/>
        <v>0</v>
      </c>
      <c r="V704" s="154">
        <f t="shared" si="18"/>
        <v>0</v>
      </c>
    </row>
    <row r="705" spans="1:22">
      <c r="A705" s="154">
        <f>'MATCH CALCS'!A706</f>
        <v>0</v>
      </c>
      <c r="B705" s="154">
        <f>'MATCH CALCS'!$C706</f>
        <v>0</v>
      </c>
      <c r="C705" s="154">
        <f t="shared" si="14"/>
        <v>0</v>
      </c>
      <c r="D705" s="6">
        <f>'MATCH CALCS'!$G706*2</f>
        <v>0</v>
      </c>
      <c r="E705" s="6">
        <f>'MATCH CALCS'!$G706*2</f>
        <v>0</v>
      </c>
      <c r="F705" s="6">
        <f>'MATCH CALCS'!$G706*2</f>
        <v>0</v>
      </c>
      <c r="G705" s="6">
        <f>'MATCH CALCS'!$G706*2</f>
        <v>0</v>
      </c>
      <c r="H705" s="6">
        <f>'MATCH CALCS'!$G706*2</f>
        <v>0</v>
      </c>
      <c r="I705" s="6">
        <f>'MATCH CALCS'!$G706*2</f>
        <v>0</v>
      </c>
      <c r="J705" s="154">
        <f t="shared" si="15"/>
        <v>0</v>
      </c>
      <c r="K705" s="6">
        <f>'MATCH CALCS'!L706*1</f>
        <v>0</v>
      </c>
      <c r="L705" s="6">
        <f>'MATCH CALCS'!$N706*2</f>
        <v>0</v>
      </c>
      <c r="M705" s="6">
        <f>'MATCH CALCS'!N706*1</f>
        <v>0</v>
      </c>
      <c r="N705" s="6">
        <f>'MATCH CALCS'!$N706*2</f>
        <v>0</v>
      </c>
      <c r="O705" s="6">
        <f>'MATCH CALCS'!$N706*2</f>
        <v>0</v>
      </c>
      <c r="P705" s="6">
        <f>'MATCH CALCS'!$P706*5</f>
        <v>0</v>
      </c>
      <c r="Q705" s="154">
        <f t="shared" si="16"/>
        <v>0</v>
      </c>
      <c r="R705" s="6">
        <f>'MATCH CALCS'!$AD706*1</f>
        <v>0</v>
      </c>
      <c r="S705" s="6">
        <f>'MATCH CALCS'!AC706*3</f>
        <v>0</v>
      </c>
      <c r="T705" s="6">
        <f>'MATCH CALCS'!AD706*3</f>
        <v>0</v>
      </c>
      <c r="U705" s="155">
        <f t="shared" si="17"/>
        <v>0</v>
      </c>
      <c r="V705" s="154">
        <f t="shared" si="18"/>
        <v>0</v>
      </c>
    </row>
    <row r="706" spans="1:22">
      <c r="A706" s="154">
        <f>'MATCH CALCS'!A707</f>
        <v>0</v>
      </c>
      <c r="B706" s="154">
        <f>'MATCH CALCS'!$C707</f>
        <v>0</v>
      </c>
      <c r="C706" s="154">
        <f t="shared" si="14"/>
        <v>0</v>
      </c>
      <c r="D706" s="6">
        <f>'MATCH CALCS'!$G707*2</f>
        <v>0</v>
      </c>
      <c r="E706" s="6">
        <f>'MATCH CALCS'!$G707*2</f>
        <v>0</v>
      </c>
      <c r="F706" s="6">
        <f>'MATCH CALCS'!$G707*2</f>
        <v>0</v>
      </c>
      <c r="G706" s="6">
        <f>'MATCH CALCS'!$G707*2</f>
        <v>0</v>
      </c>
      <c r="H706" s="6">
        <f>'MATCH CALCS'!$G707*2</f>
        <v>0</v>
      </c>
      <c r="I706" s="6">
        <f>'MATCH CALCS'!$G707*2</f>
        <v>0</v>
      </c>
      <c r="J706" s="154">
        <f t="shared" si="15"/>
        <v>0</v>
      </c>
      <c r="K706" s="6">
        <f>'MATCH CALCS'!L707*1</f>
        <v>0</v>
      </c>
      <c r="L706" s="6">
        <f>'MATCH CALCS'!$N707*2</f>
        <v>0</v>
      </c>
      <c r="M706" s="6">
        <f>'MATCH CALCS'!N707*1</f>
        <v>0</v>
      </c>
      <c r="N706" s="6">
        <f>'MATCH CALCS'!$N707*2</f>
        <v>0</v>
      </c>
      <c r="O706" s="6">
        <f>'MATCH CALCS'!$N707*2</f>
        <v>0</v>
      </c>
      <c r="P706" s="6">
        <f>'MATCH CALCS'!$P707*5</f>
        <v>0</v>
      </c>
      <c r="Q706" s="154">
        <f t="shared" si="16"/>
        <v>0</v>
      </c>
      <c r="R706" s="6">
        <f>'MATCH CALCS'!$AD707*1</f>
        <v>0</v>
      </c>
      <c r="S706" s="6">
        <f>'MATCH CALCS'!AC707*3</f>
        <v>0</v>
      </c>
      <c r="T706" s="6">
        <f>'MATCH CALCS'!AD707*3</f>
        <v>0</v>
      </c>
      <c r="U706" s="155">
        <f t="shared" si="17"/>
        <v>0</v>
      </c>
      <c r="V706" s="154">
        <f t="shared" si="18"/>
        <v>0</v>
      </c>
    </row>
    <row r="707" spans="1:22">
      <c r="A707" s="154">
        <f>'MATCH CALCS'!A708</f>
        <v>0</v>
      </c>
      <c r="B707" s="154">
        <f>'MATCH CALCS'!$C708</f>
        <v>0</v>
      </c>
      <c r="C707" s="154">
        <f t="shared" si="14"/>
        <v>0</v>
      </c>
      <c r="D707" s="6">
        <f>'MATCH CALCS'!$G708*2</f>
        <v>0</v>
      </c>
      <c r="E707" s="6">
        <f>'MATCH CALCS'!$G708*2</f>
        <v>0</v>
      </c>
      <c r="F707" s="6">
        <f>'MATCH CALCS'!$G708*2</f>
        <v>0</v>
      </c>
      <c r="G707" s="6">
        <f>'MATCH CALCS'!$G708*2</f>
        <v>0</v>
      </c>
      <c r="H707" s="6">
        <f>'MATCH CALCS'!$G708*2</f>
        <v>0</v>
      </c>
      <c r="I707" s="6">
        <f>'MATCH CALCS'!$G708*2</f>
        <v>0</v>
      </c>
      <c r="J707" s="154">
        <f t="shared" si="15"/>
        <v>0</v>
      </c>
      <c r="K707" s="6">
        <f>'MATCH CALCS'!L708*1</f>
        <v>0</v>
      </c>
      <c r="L707" s="6">
        <f>'MATCH CALCS'!$N708*2</f>
        <v>0</v>
      </c>
      <c r="M707" s="6">
        <f>'MATCH CALCS'!N708*1</f>
        <v>0</v>
      </c>
      <c r="N707" s="6">
        <f>'MATCH CALCS'!$N708*2</f>
        <v>0</v>
      </c>
      <c r="O707" s="6">
        <f>'MATCH CALCS'!$N708*2</f>
        <v>0</v>
      </c>
      <c r="P707" s="6">
        <f>'MATCH CALCS'!$P708*5</f>
        <v>0</v>
      </c>
      <c r="Q707" s="154">
        <f t="shared" si="16"/>
        <v>0</v>
      </c>
      <c r="R707" s="6">
        <f>'MATCH CALCS'!$AD708*1</f>
        <v>0</v>
      </c>
      <c r="S707" s="6">
        <f>'MATCH CALCS'!AC708*3</f>
        <v>0</v>
      </c>
      <c r="T707" s="6">
        <f>'MATCH CALCS'!AD708*3</f>
        <v>0</v>
      </c>
      <c r="U707" s="155">
        <f t="shared" si="17"/>
        <v>0</v>
      </c>
      <c r="V707" s="154">
        <f t="shared" si="18"/>
        <v>0</v>
      </c>
    </row>
    <row r="708" spans="1:22">
      <c r="A708" s="154">
        <f>'MATCH CALCS'!A709</f>
        <v>0</v>
      </c>
      <c r="B708" s="154">
        <f>'MATCH CALCS'!$C709</f>
        <v>0</v>
      </c>
      <c r="C708" s="154">
        <f t="shared" si="14"/>
        <v>0</v>
      </c>
      <c r="D708" s="6">
        <f>'MATCH CALCS'!$G709*2</f>
        <v>0</v>
      </c>
      <c r="E708" s="6">
        <f>'MATCH CALCS'!$G709*2</f>
        <v>0</v>
      </c>
      <c r="F708" s="6">
        <f>'MATCH CALCS'!$G709*2</f>
        <v>0</v>
      </c>
      <c r="G708" s="6">
        <f>'MATCH CALCS'!$G709*2</f>
        <v>0</v>
      </c>
      <c r="H708" s="6">
        <f>'MATCH CALCS'!$G709*2</f>
        <v>0</v>
      </c>
      <c r="I708" s="6">
        <f>'MATCH CALCS'!$G709*2</f>
        <v>0</v>
      </c>
      <c r="J708" s="154">
        <f t="shared" si="15"/>
        <v>0</v>
      </c>
      <c r="K708" s="6">
        <f>'MATCH CALCS'!L709*1</f>
        <v>0</v>
      </c>
      <c r="L708" s="6">
        <f>'MATCH CALCS'!$N709*2</f>
        <v>0</v>
      </c>
      <c r="M708" s="6">
        <f>'MATCH CALCS'!N709*1</f>
        <v>0</v>
      </c>
      <c r="N708" s="6">
        <f>'MATCH CALCS'!$N709*2</f>
        <v>0</v>
      </c>
      <c r="O708" s="6">
        <f>'MATCH CALCS'!$N709*2</f>
        <v>0</v>
      </c>
      <c r="P708" s="6">
        <f>'MATCH CALCS'!$P709*5</f>
        <v>0</v>
      </c>
      <c r="Q708" s="154">
        <f t="shared" si="16"/>
        <v>0</v>
      </c>
      <c r="R708" s="6">
        <f>'MATCH CALCS'!$AD709*1</f>
        <v>0</v>
      </c>
      <c r="S708" s="6">
        <f>'MATCH CALCS'!AC709*3</f>
        <v>0</v>
      </c>
      <c r="T708" s="6">
        <f>'MATCH CALCS'!AD709*3</f>
        <v>0</v>
      </c>
      <c r="U708" s="155">
        <f t="shared" si="17"/>
        <v>0</v>
      </c>
      <c r="V708" s="154">
        <f t="shared" si="18"/>
        <v>0</v>
      </c>
    </row>
    <row r="709" spans="1:22">
      <c r="A709" s="154">
        <f>'MATCH CALCS'!A710</f>
        <v>0</v>
      </c>
      <c r="B709" s="154">
        <f>'MATCH CALCS'!$C710</f>
        <v>0</v>
      </c>
      <c r="C709" s="154">
        <f t="shared" si="14"/>
        <v>0</v>
      </c>
      <c r="D709" s="6">
        <f>'MATCH CALCS'!$G710*2</f>
        <v>0</v>
      </c>
      <c r="E709" s="6">
        <f>'MATCH CALCS'!$G710*2</f>
        <v>0</v>
      </c>
      <c r="F709" s="6">
        <f>'MATCH CALCS'!$G710*2</f>
        <v>0</v>
      </c>
      <c r="G709" s="6">
        <f>'MATCH CALCS'!$G710*2</f>
        <v>0</v>
      </c>
      <c r="H709" s="6">
        <f>'MATCH CALCS'!$G710*2</f>
        <v>0</v>
      </c>
      <c r="I709" s="6">
        <f>'MATCH CALCS'!$G710*2</f>
        <v>0</v>
      </c>
      <c r="J709" s="154">
        <f t="shared" si="15"/>
        <v>0</v>
      </c>
      <c r="K709" s="6">
        <f>'MATCH CALCS'!L710*1</f>
        <v>0</v>
      </c>
      <c r="L709" s="6">
        <f>'MATCH CALCS'!$N710*2</f>
        <v>0</v>
      </c>
      <c r="M709" s="6">
        <f>'MATCH CALCS'!N710*1</f>
        <v>0</v>
      </c>
      <c r="N709" s="6">
        <f>'MATCH CALCS'!$N710*2</f>
        <v>0</v>
      </c>
      <c r="O709" s="6">
        <f>'MATCH CALCS'!$N710*2</f>
        <v>0</v>
      </c>
      <c r="P709" s="6">
        <f>'MATCH CALCS'!$P710*5</f>
        <v>0</v>
      </c>
      <c r="Q709" s="154">
        <f t="shared" si="16"/>
        <v>0</v>
      </c>
      <c r="R709" s="6">
        <f>'MATCH CALCS'!$AD710*1</f>
        <v>0</v>
      </c>
      <c r="S709" s="6">
        <f>'MATCH CALCS'!AC710*3</f>
        <v>0</v>
      </c>
      <c r="T709" s="6">
        <f>'MATCH CALCS'!AD710*3</f>
        <v>0</v>
      </c>
      <c r="U709" s="155">
        <f t="shared" si="17"/>
        <v>0</v>
      </c>
      <c r="V709" s="154">
        <f t="shared" si="18"/>
        <v>0</v>
      </c>
    </row>
    <row r="710" spans="1:22">
      <c r="A710" s="154">
        <f>'MATCH CALCS'!A711</f>
        <v>0</v>
      </c>
      <c r="B710" s="154">
        <f>'MATCH CALCS'!$C711</f>
        <v>0</v>
      </c>
      <c r="C710" s="154">
        <f t="shared" si="14"/>
        <v>0</v>
      </c>
      <c r="D710" s="6">
        <f>'MATCH CALCS'!$G711*2</f>
        <v>0</v>
      </c>
      <c r="E710" s="6">
        <f>'MATCH CALCS'!$G711*2</f>
        <v>0</v>
      </c>
      <c r="F710" s="6">
        <f>'MATCH CALCS'!$G711*2</f>
        <v>0</v>
      </c>
      <c r="G710" s="6">
        <f>'MATCH CALCS'!$G711*2</f>
        <v>0</v>
      </c>
      <c r="H710" s="6">
        <f>'MATCH CALCS'!$G711*2</f>
        <v>0</v>
      </c>
      <c r="I710" s="6">
        <f>'MATCH CALCS'!$G711*2</f>
        <v>0</v>
      </c>
      <c r="J710" s="154">
        <f t="shared" si="15"/>
        <v>0</v>
      </c>
      <c r="K710" s="6">
        <f>'MATCH CALCS'!L711*1</f>
        <v>0</v>
      </c>
      <c r="L710" s="6">
        <f>'MATCH CALCS'!$N711*2</f>
        <v>0</v>
      </c>
      <c r="M710" s="6">
        <f>'MATCH CALCS'!N711*1</f>
        <v>0</v>
      </c>
      <c r="N710" s="6">
        <f>'MATCH CALCS'!$N711*2</f>
        <v>0</v>
      </c>
      <c r="O710" s="6">
        <f>'MATCH CALCS'!$N711*2</f>
        <v>0</v>
      </c>
      <c r="P710" s="6">
        <f>'MATCH CALCS'!$P711*5</f>
        <v>0</v>
      </c>
      <c r="Q710" s="154">
        <f t="shared" si="16"/>
        <v>0</v>
      </c>
      <c r="R710" s="6">
        <f>'MATCH CALCS'!$AD711*1</f>
        <v>0</v>
      </c>
      <c r="S710" s="6">
        <f>'MATCH CALCS'!AC711*3</f>
        <v>0</v>
      </c>
      <c r="T710" s="6">
        <f>'MATCH CALCS'!AD711*3</f>
        <v>0</v>
      </c>
      <c r="U710" s="155">
        <f t="shared" si="17"/>
        <v>0</v>
      </c>
      <c r="V710" s="154">
        <f t="shared" si="18"/>
        <v>0</v>
      </c>
    </row>
    <row r="711" spans="1:22">
      <c r="A711" s="154">
        <f>'MATCH CALCS'!A712</f>
        <v>0</v>
      </c>
      <c r="B711" s="154">
        <f>'MATCH CALCS'!$C712</f>
        <v>0</v>
      </c>
      <c r="C711" s="154">
        <f t="shared" si="14"/>
        <v>0</v>
      </c>
      <c r="D711" s="6">
        <f>'MATCH CALCS'!$G712*2</f>
        <v>0</v>
      </c>
      <c r="E711" s="6">
        <f>'MATCH CALCS'!$G712*2</f>
        <v>0</v>
      </c>
      <c r="F711" s="6">
        <f>'MATCH CALCS'!$G712*2</f>
        <v>0</v>
      </c>
      <c r="G711" s="6">
        <f>'MATCH CALCS'!$G712*2</f>
        <v>0</v>
      </c>
      <c r="H711" s="6">
        <f>'MATCH CALCS'!$G712*2</f>
        <v>0</v>
      </c>
      <c r="I711" s="6">
        <f>'MATCH CALCS'!$G712*2</f>
        <v>0</v>
      </c>
      <c r="J711" s="154">
        <f t="shared" si="15"/>
        <v>0</v>
      </c>
      <c r="K711" s="6">
        <f>'MATCH CALCS'!L712*1</f>
        <v>0</v>
      </c>
      <c r="L711" s="6">
        <f>'MATCH CALCS'!$N712*2</f>
        <v>0</v>
      </c>
      <c r="M711" s="6">
        <f>'MATCH CALCS'!N712*1</f>
        <v>0</v>
      </c>
      <c r="N711" s="6">
        <f>'MATCH CALCS'!$N712*2</f>
        <v>0</v>
      </c>
      <c r="O711" s="6">
        <f>'MATCH CALCS'!$N712*2</f>
        <v>0</v>
      </c>
      <c r="P711" s="6">
        <f>'MATCH CALCS'!$P712*5</f>
        <v>0</v>
      </c>
      <c r="Q711" s="154">
        <f t="shared" si="16"/>
        <v>0</v>
      </c>
      <c r="R711" s="6">
        <f>'MATCH CALCS'!$AD712*1</f>
        <v>0</v>
      </c>
      <c r="S711" s="6">
        <f>'MATCH CALCS'!AC712*3</f>
        <v>0</v>
      </c>
      <c r="T711" s="6">
        <f>'MATCH CALCS'!AD712*3</f>
        <v>0</v>
      </c>
      <c r="U711" s="155">
        <f t="shared" si="17"/>
        <v>0</v>
      </c>
      <c r="V711" s="154">
        <f t="shared" si="18"/>
        <v>0</v>
      </c>
    </row>
    <row r="712" spans="1:22">
      <c r="A712" s="154">
        <f>'MATCH CALCS'!A713</f>
        <v>0</v>
      </c>
      <c r="B712" s="154">
        <f>'MATCH CALCS'!$C713</f>
        <v>0</v>
      </c>
      <c r="C712" s="154">
        <f t="shared" si="14"/>
        <v>0</v>
      </c>
      <c r="D712" s="6">
        <f>'MATCH CALCS'!$G713*2</f>
        <v>0</v>
      </c>
      <c r="E712" s="6">
        <f>'MATCH CALCS'!$G713*2</f>
        <v>0</v>
      </c>
      <c r="F712" s="6">
        <f>'MATCH CALCS'!$G713*2</f>
        <v>0</v>
      </c>
      <c r="G712" s="6">
        <f>'MATCH CALCS'!$G713*2</f>
        <v>0</v>
      </c>
      <c r="H712" s="6">
        <f>'MATCH CALCS'!$G713*2</f>
        <v>0</v>
      </c>
      <c r="I712" s="6">
        <f>'MATCH CALCS'!$G713*2</f>
        <v>0</v>
      </c>
      <c r="J712" s="154">
        <f t="shared" si="15"/>
        <v>0</v>
      </c>
      <c r="K712" s="6">
        <f>'MATCH CALCS'!L713*1</f>
        <v>0</v>
      </c>
      <c r="L712" s="6">
        <f>'MATCH CALCS'!$N713*2</f>
        <v>0</v>
      </c>
      <c r="M712" s="6">
        <f>'MATCH CALCS'!N713*1</f>
        <v>0</v>
      </c>
      <c r="N712" s="6">
        <f>'MATCH CALCS'!$N713*2</f>
        <v>0</v>
      </c>
      <c r="O712" s="6">
        <f>'MATCH CALCS'!$N713*2</f>
        <v>0</v>
      </c>
      <c r="P712" s="6">
        <f>'MATCH CALCS'!$P713*5</f>
        <v>0</v>
      </c>
      <c r="Q712" s="154">
        <f t="shared" si="16"/>
        <v>0</v>
      </c>
      <c r="R712" s="6">
        <f>'MATCH CALCS'!$AD713*1</f>
        <v>0</v>
      </c>
      <c r="S712" s="6">
        <f>'MATCH CALCS'!AC713*3</f>
        <v>0</v>
      </c>
      <c r="T712" s="6">
        <f>'MATCH CALCS'!AD713*3</f>
        <v>0</v>
      </c>
      <c r="U712" s="155">
        <f t="shared" si="17"/>
        <v>0</v>
      </c>
      <c r="V712" s="154">
        <f t="shared" si="18"/>
        <v>0</v>
      </c>
    </row>
    <row r="713" spans="1:22">
      <c r="A713" s="154">
        <f>'MATCH CALCS'!A714</f>
        <v>0</v>
      </c>
      <c r="B713" s="154">
        <f>'MATCH CALCS'!$C714</f>
        <v>0</v>
      </c>
      <c r="C713" s="154">
        <f t="shared" si="14"/>
        <v>0</v>
      </c>
      <c r="D713" s="6">
        <f>'MATCH CALCS'!$G714*2</f>
        <v>0</v>
      </c>
      <c r="E713" s="6">
        <f>'MATCH CALCS'!$G714*2</f>
        <v>0</v>
      </c>
      <c r="F713" s="6">
        <f>'MATCH CALCS'!$G714*2</f>
        <v>0</v>
      </c>
      <c r="G713" s="6">
        <f>'MATCH CALCS'!$G714*2</f>
        <v>0</v>
      </c>
      <c r="H713" s="6">
        <f>'MATCH CALCS'!$G714*2</f>
        <v>0</v>
      </c>
      <c r="I713" s="6">
        <f>'MATCH CALCS'!$G714*2</f>
        <v>0</v>
      </c>
      <c r="J713" s="154">
        <f t="shared" si="15"/>
        <v>0</v>
      </c>
      <c r="K713" s="6">
        <f>'MATCH CALCS'!L714*1</f>
        <v>0</v>
      </c>
      <c r="L713" s="6">
        <f>'MATCH CALCS'!$N714*2</f>
        <v>0</v>
      </c>
      <c r="M713" s="6">
        <f>'MATCH CALCS'!N714*1</f>
        <v>0</v>
      </c>
      <c r="N713" s="6">
        <f>'MATCH CALCS'!$N714*2</f>
        <v>0</v>
      </c>
      <c r="O713" s="6">
        <f>'MATCH CALCS'!$N714*2</f>
        <v>0</v>
      </c>
      <c r="P713" s="6">
        <f>'MATCH CALCS'!$P714*5</f>
        <v>0</v>
      </c>
      <c r="Q713" s="154">
        <f t="shared" si="16"/>
        <v>0</v>
      </c>
      <c r="R713" s="6">
        <f>'MATCH CALCS'!$AD714*1</f>
        <v>0</v>
      </c>
      <c r="S713" s="6">
        <f>'MATCH CALCS'!AC714*3</f>
        <v>0</v>
      </c>
      <c r="T713" s="6">
        <f>'MATCH CALCS'!AD714*3</f>
        <v>0</v>
      </c>
      <c r="U713" s="155">
        <f t="shared" si="17"/>
        <v>0</v>
      </c>
      <c r="V713" s="154">
        <f t="shared" si="18"/>
        <v>0</v>
      </c>
    </row>
    <row r="714" spans="1:22">
      <c r="A714" s="154">
        <f>'MATCH CALCS'!A715</f>
        <v>0</v>
      </c>
      <c r="B714" s="154">
        <f>'MATCH CALCS'!$C715</f>
        <v>0</v>
      </c>
      <c r="C714" s="154">
        <f t="shared" si="14"/>
        <v>0</v>
      </c>
      <c r="D714" s="6">
        <f>'MATCH CALCS'!$G715*2</f>
        <v>0</v>
      </c>
      <c r="E714" s="6">
        <f>'MATCH CALCS'!$G715*2</f>
        <v>0</v>
      </c>
      <c r="F714" s="6">
        <f>'MATCH CALCS'!$G715*2</f>
        <v>0</v>
      </c>
      <c r="G714" s="6">
        <f>'MATCH CALCS'!$G715*2</f>
        <v>0</v>
      </c>
      <c r="H714" s="6">
        <f>'MATCH CALCS'!$G715*2</f>
        <v>0</v>
      </c>
      <c r="I714" s="6">
        <f>'MATCH CALCS'!$G715*2</f>
        <v>0</v>
      </c>
      <c r="J714" s="154">
        <f t="shared" si="15"/>
        <v>0</v>
      </c>
      <c r="K714" s="6">
        <f>'MATCH CALCS'!L715*1</f>
        <v>0</v>
      </c>
      <c r="L714" s="6">
        <f>'MATCH CALCS'!$N715*2</f>
        <v>0</v>
      </c>
      <c r="M714" s="6">
        <f>'MATCH CALCS'!N715*1</f>
        <v>0</v>
      </c>
      <c r="N714" s="6">
        <f>'MATCH CALCS'!$N715*2</f>
        <v>0</v>
      </c>
      <c r="O714" s="6">
        <f>'MATCH CALCS'!$N715*2</f>
        <v>0</v>
      </c>
      <c r="P714" s="6">
        <f>'MATCH CALCS'!$P715*5</f>
        <v>0</v>
      </c>
      <c r="Q714" s="154">
        <f t="shared" si="16"/>
        <v>0</v>
      </c>
      <c r="R714" s="6">
        <f>'MATCH CALCS'!$AD715*1</f>
        <v>0</v>
      </c>
      <c r="S714" s="6">
        <f>'MATCH CALCS'!AC715*3</f>
        <v>0</v>
      </c>
      <c r="T714" s="6">
        <f>'MATCH CALCS'!AD715*3</f>
        <v>0</v>
      </c>
      <c r="U714" s="155">
        <f t="shared" si="17"/>
        <v>0</v>
      </c>
      <c r="V714" s="154">
        <f t="shared" si="18"/>
        <v>0</v>
      </c>
    </row>
    <row r="715" spans="1:22">
      <c r="A715" s="154">
        <f>'MATCH CALCS'!A716</f>
        <v>0</v>
      </c>
      <c r="B715" s="154">
        <f>'MATCH CALCS'!$C716</f>
        <v>0</v>
      </c>
      <c r="C715" s="154">
        <f t="shared" si="14"/>
        <v>0</v>
      </c>
      <c r="D715" s="6">
        <f>'MATCH CALCS'!$G716*2</f>
        <v>0</v>
      </c>
      <c r="E715" s="6">
        <f>'MATCH CALCS'!$G716*2</f>
        <v>0</v>
      </c>
      <c r="F715" s="6">
        <f>'MATCH CALCS'!$G716*2</f>
        <v>0</v>
      </c>
      <c r="G715" s="6">
        <f>'MATCH CALCS'!$G716*2</f>
        <v>0</v>
      </c>
      <c r="H715" s="6">
        <f>'MATCH CALCS'!$G716*2</f>
        <v>0</v>
      </c>
      <c r="I715" s="6">
        <f>'MATCH CALCS'!$G716*2</f>
        <v>0</v>
      </c>
      <c r="J715" s="154">
        <f t="shared" si="15"/>
        <v>0</v>
      </c>
      <c r="K715" s="6">
        <f>'MATCH CALCS'!L716*1</f>
        <v>0</v>
      </c>
      <c r="L715" s="6">
        <f>'MATCH CALCS'!$N716*2</f>
        <v>0</v>
      </c>
      <c r="M715" s="6">
        <f>'MATCH CALCS'!N716*1</f>
        <v>0</v>
      </c>
      <c r="N715" s="6">
        <f>'MATCH CALCS'!$N716*2</f>
        <v>0</v>
      </c>
      <c r="O715" s="6">
        <f>'MATCH CALCS'!$N716*2</f>
        <v>0</v>
      </c>
      <c r="P715" s="6">
        <f>'MATCH CALCS'!$P716*5</f>
        <v>0</v>
      </c>
      <c r="Q715" s="154">
        <f t="shared" si="16"/>
        <v>0</v>
      </c>
      <c r="R715" s="6">
        <f>'MATCH CALCS'!$AD716*1</f>
        <v>0</v>
      </c>
      <c r="S715" s="6">
        <f>'MATCH CALCS'!AC716*3</f>
        <v>0</v>
      </c>
      <c r="T715" s="6">
        <f>'MATCH CALCS'!AD716*3</f>
        <v>0</v>
      </c>
      <c r="U715" s="155">
        <f t="shared" si="17"/>
        <v>0</v>
      </c>
      <c r="V715" s="154">
        <f t="shared" si="18"/>
        <v>0</v>
      </c>
    </row>
    <row r="716" spans="1:22">
      <c r="A716" s="154">
        <f>'MATCH CALCS'!A717</f>
        <v>0</v>
      </c>
      <c r="B716" s="154">
        <f>'MATCH CALCS'!$C717</f>
        <v>0</v>
      </c>
      <c r="C716" s="154">
        <f t="shared" si="14"/>
        <v>0</v>
      </c>
      <c r="D716" s="6">
        <f>'MATCH CALCS'!$G717*2</f>
        <v>0</v>
      </c>
      <c r="E716" s="6">
        <f>'MATCH CALCS'!$G717*2</f>
        <v>0</v>
      </c>
      <c r="F716" s="6">
        <f>'MATCH CALCS'!$G717*2</f>
        <v>0</v>
      </c>
      <c r="G716" s="6">
        <f>'MATCH CALCS'!$G717*2</f>
        <v>0</v>
      </c>
      <c r="H716" s="6">
        <f>'MATCH CALCS'!$G717*2</f>
        <v>0</v>
      </c>
      <c r="I716" s="6">
        <f>'MATCH CALCS'!$G717*2</f>
        <v>0</v>
      </c>
      <c r="J716" s="154">
        <f t="shared" si="15"/>
        <v>0</v>
      </c>
      <c r="K716" s="6">
        <f>'MATCH CALCS'!L717*1</f>
        <v>0</v>
      </c>
      <c r="L716" s="6">
        <f>'MATCH CALCS'!$N717*2</f>
        <v>0</v>
      </c>
      <c r="M716" s="6">
        <f>'MATCH CALCS'!N717*1</f>
        <v>0</v>
      </c>
      <c r="N716" s="6">
        <f>'MATCH CALCS'!$N717*2</f>
        <v>0</v>
      </c>
      <c r="O716" s="6">
        <f>'MATCH CALCS'!$N717*2</f>
        <v>0</v>
      </c>
      <c r="P716" s="6">
        <f>'MATCH CALCS'!$P717*5</f>
        <v>0</v>
      </c>
      <c r="Q716" s="154">
        <f t="shared" si="16"/>
        <v>0</v>
      </c>
      <c r="R716" s="6">
        <f>'MATCH CALCS'!$AD717*1</f>
        <v>0</v>
      </c>
      <c r="S716" s="6">
        <f>'MATCH CALCS'!AC717*3</f>
        <v>0</v>
      </c>
      <c r="T716" s="6">
        <f>'MATCH CALCS'!AD717*3</f>
        <v>0</v>
      </c>
      <c r="U716" s="155">
        <f t="shared" si="17"/>
        <v>0</v>
      </c>
      <c r="V716" s="154">
        <f t="shared" si="18"/>
        <v>0</v>
      </c>
    </row>
    <row r="717" spans="1:22">
      <c r="A717" s="154">
        <f>'MATCH CALCS'!A718</f>
        <v>0</v>
      </c>
      <c r="B717" s="154">
        <f>'MATCH CALCS'!$C718</f>
        <v>0</v>
      </c>
      <c r="C717" s="154">
        <f t="shared" si="14"/>
        <v>0</v>
      </c>
      <c r="D717" s="6">
        <f>'MATCH CALCS'!$G718*2</f>
        <v>0</v>
      </c>
      <c r="E717" s="6">
        <f>'MATCH CALCS'!$G718*2</f>
        <v>0</v>
      </c>
      <c r="F717" s="6">
        <f>'MATCH CALCS'!$G718*2</f>
        <v>0</v>
      </c>
      <c r="G717" s="6">
        <f>'MATCH CALCS'!$G718*2</f>
        <v>0</v>
      </c>
      <c r="H717" s="6">
        <f>'MATCH CALCS'!$G718*2</f>
        <v>0</v>
      </c>
      <c r="I717" s="6">
        <f>'MATCH CALCS'!$G718*2</f>
        <v>0</v>
      </c>
      <c r="J717" s="154">
        <f t="shared" si="15"/>
        <v>0</v>
      </c>
      <c r="K717" s="6">
        <f>'MATCH CALCS'!L718*1</f>
        <v>0</v>
      </c>
      <c r="L717" s="6">
        <f>'MATCH CALCS'!$N718*2</f>
        <v>0</v>
      </c>
      <c r="M717" s="6">
        <f>'MATCH CALCS'!N718*1</f>
        <v>0</v>
      </c>
      <c r="N717" s="6">
        <f>'MATCH CALCS'!$N718*2</f>
        <v>0</v>
      </c>
      <c r="O717" s="6">
        <f>'MATCH CALCS'!$N718*2</f>
        <v>0</v>
      </c>
      <c r="P717" s="6">
        <f>'MATCH CALCS'!$P718*5</f>
        <v>0</v>
      </c>
      <c r="Q717" s="154">
        <f t="shared" si="16"/>
        <v>0</v>
      </c>
      <c r="R717" s="6">
        <f>'MATCH CALCS'!$AD718*1</f>
        <v>0</v>
      </c>
      <c r="S717" s="6">
        <f>'MATCH CALCS'!AC718*3</f>
        <v>0</v>
      </c>
      <c r="T717" s="6">
        <f>'MATCH CALCS'!AD718*3</f>
        <v>0</v>
      </c>
      <c r="U717" s="155">
        <f t="shared" si="17"/>
        <v>0</v>
      </c>
      <c r="V717" s="154">
        <f t="shared" si="18"/>
        <v>0</v>
      </c>
    </row>
    <row r="718" spans="1:22">
      <c r="A718" s="154">
        <f>'MATCH CALCS'!A719</f>
        <v>0</v>
      </c>
      <c r="B718" s="154">
        <f>'MATCH CALCS'!$C719</f>
        <v>0</v>
      </c>
      <c r="C718" s="154">
        <f t="shared" si="14"/>
        <v>0</v>
      </c>
      <c r="D718" s="6">
        <f>'MATCH CALCS'!$G719*2</f>
        <v>0</v>
      </c>
      <c r="E718" s="6">
        <f>'MATCH CALCS'!$G719*2</f>
        <v>0</v>
      </c>
      <c r="F718" s="6">
        <f>'MATCH CALCS'!$G719*2</f>
        <v>0</v>
      </c>
      <c r="G718" s="6">
        <f>'MATCH CALCS'!$G719*2</f>
        <v>0</v>
      </c>
      <c r="H718" s="6">
        <f>'MATCH CALCS'!$G719*2</f>
        <v>0</v>
      </c>
      <c r="I718" s="6">
        <f>'MATCH CALCS'!$G719*2</f>
        <v>0</v>
      </c>
      <c r="J718" s="154">
        <f t="shared" si="15"/>
        <v>0</v>
      </c>
      <c r="K718" s="6">
        <f>'MATCH CALCS'!L719*1</f>
        <v>0</v>
      </c>
      <c r="L718" s="6">
        <f>'MATCH CALCS'!$N719*2</f>
        <v>0</v>
      </c>
      <c r="M718" s="6">
        <f>'MATCH CALCS'!N719*1</f>
        <v>0</v>
      </c>
      <c r="N718" s="6">
        <f>'MATCH CALCS'!$N719*2</f>
        <v>0</v>
      </c>
      <c r="O718" s="6">
        <f>'MATCH CALCS'!$N719*2</f>
        <v>0</v>
      </c>
      <c r="P718" s="6">
        <f>'MATCH CALCS'!$P719*5</f>
        <v>0</v>
      </c>
      <c r="Q718" s="154">
        <f t="shared" si="16"/>
        <v>0</v>
      </c>
      <c r="R718" s="6">
        <f>'MATCH CALCS'!$AD719*1</f>
        <v>0</v>
      </c>
      <c r="S718" s="6">
        <f>'MATCH CALCS'!AC719*3</f>
        <v>0</v>
      </c>
      <c r="T718" s="6">
        <f>'MATCH CALCS'!AD719*3</f>
        <v>0</v>
      </c>
      <c r="U718" s="155">
        <f t="shared" si="17"/>
        <v>0</v>
      </c>
      <c r="V718" s="154">
        <f t="shared" si="18"/>
        <v>0</v>
      </c>
    </row>
    <row r="719" spans="1:22">
      <c r="A719" s="154">
        <f>'MATCH CALCS'!A720</f>
        <v>0</v>
      </c>
      <c r="B719" s="154">
        <f>'MATCH CALCS'!$C720</f>
        <v>0</v>
      </c>
      <c r="C719" s="154">
        <f t="shared" si="14"/>
        <v>0</v>
      </c>
      <c r="D719" s="6">
        <f>'MATCH CALCS'!$G720*2</f>
        <v>0</v>
      </c>
      <c r="E719" s="6">
        <f>'MATCH CALCS'!$G720*2</f>
        <v>0</v>
      </c>
      <c r="F719" s="6">
        <f>'MATCH CALCS'!$G720*2</f>
        <v>0</v>
      </c>
      <c r="G719" s="6">
        <f>'MATCH CALCS'!$G720*2</f>
        <v>0</v>
      </c>
      <c r="H719" s="6">
        <f>'MATCH CALCS'!$G720*2</f>
        <v>0</v>
      </c>
      <c r="I719" s="6">
        <f>'MATCH CALCS'!$G720*2</f>
        <v>0</v>
      </c>
      <c r="J719" s="154">
        <f t="shared" si="15"/>
        <v>0</v>
      </c>
      <c r="K719" s="6">
        <f>'MATCH CALCS'!L720*1</f>
        <v>0</v>
      </c>
      <c r="L719" s="6">
        <f>'MATCH CALCS'!$N720*2</f>
        <v>0</v>
      </c>
      <c r="M719" s="6">
        <f>'MATCH CALCS'!N720*1</f>
        <v>0</v>
      </c>
      <c r="N719" s="6">
        <f>'MATCH CALCS'!$N720*2</f>
        <v>0</v>
      </c>
      <c r="O719" s="6">
        <f>'MATCH CALCS'!$N720*2</f>
        <v>0</v>
      </c>
      <c r="P719" s="6">
        <f>'MATCH CALCS'!$P720*5</f>
        <v>0</v>
      </c>
      <c r="Q719" s="154">
        <f t="shared" si="16"/>
        <v>0</v>
      </c>
      <c r="R719" s="6">
        <f>'MATCH CALCS'!$AD720*1</f>
        <v>0</v>
      </c>
      <c r="S719" s="6">
        <f>'MATCH CALCS'!AC720*3</f>
        <v>0</v>
      </c>
      <c r="T719" s="6">
        <f>'MATCH CALCS'!AD720*3</f>
        <v>0</v>
      </c>
      <c r="U719" s="155">
        <f t="shared" si="17"/>
        <v>0</v>
      </c>
      <c r="V719" s="154">
        <f t="shared" si="18"/>
        <v>0</v>
      </c>
    </row>
    <row r="720" spans="1:22">
      <c r="A720" s="154">
        <f>'MATCH CALCS'!A721</f>
        <v>0</v>
      </c>
      <c r="B720" s="154">
        <f>'MATCH CALCS'!$C721</f>
        <v>0</v>
      </c>
      <c r="C720" s="154">
        <f t="shared" si="14"/>
        <v>0</v>
      </c>
      <c r="D720" s="6">
        <f>'MATCH CALCS'!$G721*2</f>
        <v>0</v>
      </c>
      <c r="E720" s="6">
        <f>'MATCH CALCS'!$G721*2</f>
        <v>0</v>
      </c>
      <c r="F720" s="6">
        <f>'MATCH CALCS'!$G721*2</f>
        <v>0</v>
      </c>
      <c r="G720" s="6">
        <f>'MATCH CALCS'!$G721*2</f>
        <v>0</v>
      </c>
      <c r="H720" s="6">
        <f>'MATCH CALCS'!$G721*2</f>
        <v>0</v>
      </c>
      <c r="I720" s="6">
        <f>'MATCH CALCS'!$G721*2</f>
        <v>0</v>
      </c>
      <c r="J720" s="154">
        <f t="shared" si="15"/>
        <v>0</v>
      </c>
      <c r="K720" s="6">
        <f>'MATCH CALCS'!L721*1</f>
        <v>0</v>
      </c>
      <c r="L720" s="6">
        <f>'MATCH CALCS'!$N721*2</f>
        <v>0</v>
      </c>
      <c r="M720" s="6">
        <f>'MATCH CALCS'!N721*1</f>
        <v>0</v>
      </c>
      <c r="N720" s="6">
        <f>'MATCH CALCS'!$N721*2</f>
        <v>0</v>
      </c>
      <c r="O720" s="6">
        <f>'MATCH CALCS'!$N721*2</f>
        <v>0</v>
      </c>
      <c r="P720" s="6">
        <f>'MATCH CALCS'!$P721*5</f>
        <v>0</v>
      </c>
      <c r="Q720" s="154">
        <f t="shared" si="16"/>
        <v>0</v>
      </c>
      <c r="R720" s="6">
        <f>'MATCH CALCS'!$AD721*1</f>
        <v>0</v>
      </c>
      <c r="S720" s="6">
        <f>'MATCH CALCS'!AC721*3</f>
        <v>0</v>
      </c>
      <c r="T720" s="6">
        <f>'MATCH CALCS'!AD721*3</f>
        <v>0</v>
      </c>
      <c r="U720" s="155">
        <f t="shared" si="17"/>
        <v>0</v>
      </c>
      <c r="V720" s="154">
        <f t="shared" si="18"/>
        <v>0</v>
      </c>
    </row>
    <row r="721" spans="1:22">
      <c r="A721" s="154">
        <f>'MATCH CALCS'!A722</f>
        <v>0</v>
      </c>
      <c r="B721" s="154">
        <f>'MATCH CALCS'!$C722</f>
        <v>0</v>
      </c>
      <c r="C721" s="154">
        <f t="shared" si="14"/>
        <v>0</v>
      </c>
      <c r="D721" s="6">
        <f>'MATCH CALCS'!$G722*2</f>
        <v>0</v>
      </c>
      <c r="E721" s="6">
        <f>'MATCH CALCS'!$G722*2</f>
        <v>0</v>
      </c>
      <c r="F721" s="6">
        <f>'MATCH CALCS'!$G722*2</f>
        <v>0</v>
      </c>
      <c r="G721" s="6">
        <f>'MATCH CALCS'!$G722*2</f>
        <v>0</v>
      </c>
      <c r="H721" s="6">
        <f>'MATCH CALCS'!$G722*2</f>
        <v>0</v>
      </c>
      <c r="I721" s="6">
        <f>'MATCH CALCS'!$G722*2</f>
        <v>0</v>
      </c>
      <c r="J721" s="154">
        <f t="shared" si="15"/>
        <v>0</v>
      </c>
      <c r="K721" s="6">
        <f>'MATCH CALCS'!L722*1</f>
        <v>0</v>
      </c>
      <c r="L721" s="6">
        <f>'MATCH CALCS'!$N722*2</f>
        <v>0</v>
      </c>
      <c r="M721" s="6">
        <f>'MATCH CALCS'!N722*1</f>
        <v>0</v>
      </c>
      <c r="N721" s="6">
        <f>'MATCH CALCS'!$N722*2</f>
        <v>0</v>
      </c>
      <c r="O721" s="6">
        <f>'MATCH CALCS'!$N722*2</f>
        <v>0</v>
      </c>
      <c r="P721" s="6">
        <f>'MATCH CALCS'!$P722*5</f>
        <v>0</v>
      </c>
      <c r="Q721" s="154">
        <f t="shared" si="16"/>
        <v>0</v>
      </c>
      <c r="R721" s="6">
        <f>'MATCH CALCS'!$AD722*1</f>
        <v>0</v>
      </c>
      <c r="S721" s="6">
        <f>'MATCH CALCS'!AC722*3</f>
        <v>0</v>
      </c>
      <c r="T721" s="6">
        <f>'MATCH CALCS'!AD722*3</f>
        <v>0</v>
      </c>
      <c r="U721" s="155">
        <f t="shared" si="17"/>
        <v>0</v>
      </c>
      <c r="V721" s="154">
        <f t="shared" si="18"/>
        <v>0</v>
      </c>
    </row>
    <row r="722" spans="1:22">
      <c r="A722" s="154">
        <f>'MATCH CALCS'!A723</f>
        <v>0</v>
      </c>
      <c r="B722" s="154">
        <f>'MATCH CALCS'!$C723</f>
        <v>0</v>
      </c>
      <c r="C722" s="154">
        <f t="shared" si="14"/>
        <v>0</v>
      </c>
      <c r="D722" s="6">
        <f>'MATCH CALCS'!$G723*2</f>
        <v>0</v>
      </c>
      <c r="E722" s="6">
        <f>'MATCH CALCS'!$G723*2</f>
        <v>0</v>
      </c>
      <c r="F722" s="6">
        <f>'MATCH CALCS'!$G723*2</f>
        <v>0</v>
      </c>
      <c r="G722" s="6">
        <f>'MATCH CALCS'!$G723*2</f>
        <v>0</v>
      </c>
      <c r="H722" s="6">
        <f>'MATCH CALCS'!$G723*2</f>
        <v>0</v>
      </c>
      <c r="I722" s="6">
        <f>'MATCH CALCS'!$G723*2</f>
        <v>0</v>
      </c>
      <c r="J722" s="154">
        <f t="shared" si="15"/>
        <v>0</v>
      </c>
      <c r="K722" s="6">
        <f>'MATCH CALCS'!L723*1</f>
        <v>0</v>
      </c>
      <c r="L722" s="6">
        <f>'MATCH CALCS'!$N723*2</f>
        <v>0</v>
      </c>
      <c r="M722" s="6">
        <f>'MATCH CALCS'!N723*1</f>
        <v>0</v>
      </c>
      <c r="N722" s="6">
        <f>'MATCH CALCS'!$N723*2</f>
        <v>0</v>
      </c>
      <c r="O722" s="6">
        <f>'MATCH CALCS'!$N723*2</f>
        <v>0</v>
      </c>
      <c r="P722" s="6">
        <f>'MATCH CALCS'!$P723*5</f>
        <v>0</v>
      </c>
      <c r="Q722" s="154">
        <f t="shared" si="16"/>
        <v>0</v>
      </c>
      <c r="R722" s="6">
        <f>'MATCH CALCS'!$AD723*1</f>
        <v>0</v>
      </c>
      <c r="S722" s="6">
        <f>'MATCH CALCS'!AC723*3</f>
        <v>0</v>
      </c>
      <c r="T722" s="6">
        <f>'MATCH CALCS'!AD723*3</f>
        <v>0</v>
      </c>
      <c r="U722" s="155">
        <f t="shared" si="17"/>
        <v>0</v>
      </c>
      <c r="V722" s="154">
        <f t="shared" si="18"/>
        <v>0</v>
      </c>
    </row>
    <row r="723" spans="1:22">
      <c r="A723" s="154">
        <f>'MATCH CALCS'!A724</f>
        <v>0</v>
      </c>
      <c r="B723" s="154">
        <f>'MATCH CALCS'!$C724</f>
        <v>0</v>
      </c>
      <c r="C723" s="154">
        <f t="shared" si="14"/>
        <v>0</v>
      </c>
      <c r="D723" s="6">
        <f>'MATCH CALCS'!$G724*2</f>
        <v>0</v>
      </c>
      <c r="E723" s="6">
        <f>'MATCH CALCS'!$G724*2</f>
        <v>0</v>
      </c>
      <c r="F723" s="6">
        <f>'MATCH CALCS'!$G724*2</f>
        <v>0</v>
      </c>
      <c r="G723" s="6">
        <f>'MATCH CALCS'!$G724*2</f>
        <v>0</v>
      </c>
      <c r="H723" s="6">
        <f>'MATCH CALCS'!$G724*2</f>
        <v>0</v>
      </c>
      <c r="I723" s="6">
        <f>'MATCH CALCS'!$G724*2</f>
        <v>0</v>
      </c>
      <c r="J723" s="154">
        <f t="shared" si="15"/>
        <v>0</v>
      </c>
      <c r="K723" s="6">
        <f>'MATCH CALCS'!L724*1</f>
        <v>0</v>
      </c>
      <c r="L723" s="6">
        <f>'MATCH CALCS'!$N724*2</f>
        <v>0</v>
      </c>
      <c r="M723" s="6">
        <f>'MATCH CALCS'!N724*1</f>
        <v>0</v>
      </c>
      <c r="N723" s="6">
        <f>'MATCH CALCS'!$N724*2</f>
        <v>0</v>
      </c>
      <c r="O723" s="6">
        <f>'MATCH CALCS'!$N724*2</f>
        <v>0</v>
      </c>
      <c r="P723" s="6">
        <f>'MATCH CALCS'!$P724*5</f>
        <v>0</v>
      </c>
      <c r="Q723" s="154">
        <f t="shared" si="16"/>
        <v>0</v>
      </c>
      <c r="R723" s="6">
        <f>'MATCH CALCS'!$AD724*1</f>
        <v>0</v>
      </c>
      <c r="S723" s="6">
        <f>'MATCH CALCS'!AC724*3</f>
        <v>0</v>
      </c>
      <c r="T723" s="6">
        <f>'MATCH CALCS'!AD724*3</f>
        <v>0</v>
      </c>
      <c r="U723" s="155">
        <f t="shared" si="17"/>
        <v>0</v>
      </c>
      <c r="V723" s="154">
        <f t="shared" si="18"/>
        <v>0</v>
      </c>
    </row>
    <row r="724" spans="1:22">
      <c r="A724" s="154">
        <f>'MATCH CALCS'!A725</f>
        <v>0</v>
      </c>
      <c r="B724" s="154">
        <f>'MATCH CALCS'!$C725</f>
        <v>0</v>
      </c>
      <c r="C724" s="154">
        <f t="shared" si="14"/>
        <v>0</v>
      </c>
      <c r="D724" s="6">
        <f>'MATCH CALCS'!$G725*2</f>
        <v>0</v>
      </c>
      <c r="E724" s="6">
        <f>'MATCH CALCS'!$G725*2</f>
        <v>0</v>
      </c>
      <c r="F724" s="6">
        <f>'MATCH CALCS'!$G725*2</f>
        <v>0</v>
      </c>
      <c r="G724" s="6">
        <f>'MATCH CALCS'!$G725*2</f>
        <v>0</v>
      </c>
      <c r="H724" s="6">
        <f>'MATCH CALCS'!$G725*2</f>
        <v>0</v>
      </c>
      <c r="I724" s="6">
        <f>'MATCH CALCS'!$G725*2</f>
        <v>0</v>
      </c>
      <c r="J724" s="154">
        <f t="shared" si="15"/>
        <v>0</v>
      </c>
      <c r="K724" s="6">
        <f>'MATCH CALCS'!L725*1</f>
        <v>0</v>
      </c>
      <c r="L724" s="6">
        <f>'MATCH CALCS'!$N725*2</f>
        <v>0</v>
      </c>
      <c r="M724" s="6">
        <f>'MATCH CALCS'!N725*1</f>
        <v>0</v>
      </c>
      <c r="N724" s="6">
        <f>'MATCH CALCS'!$N725*2</f>
        <v>0</v>
      </c>
      <c r="O724" s="6">
        <f>'MATCH CALCS'!$N725*2</f>
        <v>0</v>
      </c>
      <c r="P724" s="6">
        <f>'MATCH CALCS'!$P725*5</f>
        <v>0</v>
      </c>
      <c r="Q724" s="154">
        <f t="shared" si="16"/>
        <v>0</v>
      </c>
      <c r="R724" s="6">
        <f>'MATCH CALCS'!$AD725*1</f>
        <v>0</v>
      </c>
      <c r="S724" s="6">
        <f>'MATCH CALCS'!AC725*3</f>
        <v>0</v>
      </c>
      <c r="T724" s="6">
        <f>'MATCH CALCS'!AD725*3</f>
        <v>0</v>
      </c>
      <c r="U724" s="155">
        <f t="shared" si="17"/>
        <v>0</v>
      </c>
      <c r="V724" s="154">
        <f t="shared" si="18"/>
        <v>0</v>
      </c>
    </row>
    <row r="725" spans="1:22">
      <c r="A725" s="154">
        <f>'MATCH CALCS'!A726</f>
        <v>0</v>
      </c>
      <c r="B725" s="154">
        <f>'MATCH CALCS'!$C726</f>
        <v>0</v>
      </c>
      <c r="C725" s="154">
        <f t="shared" si="14"/>
        <v>0</v>
      </c>
      <c r="D725" s="6">
        <f>'MATCH CALCS'!$G726*2</f>
        <v>0</v>
      </c>
      <c r="E725" s="6">
        <f>'MATCH CALCS'!$G726*2</f>
        <v>0</v>
      </c>
      <c r="F725" s="6">
        <f>'MATCH CALCS'!$G726*2</f>
        <v>0</v>
      </c>
      <c r="G725" s="6">
        <f>'MATCH CALCS'!$G726*2</f>
        <v>0</v>
      </c>
      <c r="H725" s="6">
        <f>'MATCH CALCS'!$G726*2</f>
        <v>0</v>
      </c>
      <c r="I725" s="6">
        <f>'MATCH CALCS'!$G726*2</f>
        <v>0</v>
      </c>
      <c r="J725" s="154">
        <f t="shared" si="15"/>
        <v>0</v>
      </c>
      <c r="K725" s="6">
        <f>'MATCH CALCS'!L726*1</f>
        <v>0</v>
      </c>
      <c r="L725" s="6">
        <f>'MATCH CALCS'!$N726*2</f>
        <v>0</v>
      </c>
      <c r="M725" s="6">
        <f>'MATCH CALCS'!N726*1</f>
        <v>0</v>
      </c>
      <c r="N725" s="6">
        <f>'MATCH CALCS'!$N726*2</f>
        <v>0</v>
      </c>
      <c r="O725" s="6">
        <f>'MATCH CALCS'!$N726*2</f>
        <v>0</v>
      </c>
      <c r="P725" s="6">
        <f>'MATCH CALCS'!$P726*5</f>
        <v>0</v>
      </c>
      <c r="Q725" s="154">
        <f t="shared" si="16"/>
        <v>0</v>
      </c>
      <c r="R725" s="6">
        <f>'MATCH CALCS'!$AD726*1</f>
        <v>0</v>
      </c>
      <c r="S725" s="6">
        <f>'MATCH CALCS'!AC726*3</f>
        <v>0</v>
      </c>
      <c r="T725" s="6">
        <f>'MATCH CALCS'!AD726*3</f>
        <v>0</v>
      </c>
      <c r="U725" s="155">
        <f t="shared" si="17"/>
        <v>0</v>
      </c>
      <c r="V725" s="154">
        <f t="shared" si="18"/>
        <v>0</v>
      </c>
    </row>
    <row r="726" spans="1:22">
      <c r="A726" s="154">
        <f>'MATCH CALCS'!A727</f>
        <v>0</v>
      </c>
      <c r="B726" s="154">
        <f>'MATCH CALCS'!$C727</f>
        <v>0</v>
      </c>
      <c r="C726" s="154">
        <f t="shared" si="14"/>
        <v>0</v>
      </c>
      <c r="D726" s="6">
        <f>'MATCH CALCS'!$G727*2</f>
        <v>0</v>
      </c>
      <c r="E726" s="6">
        <f>'MATCH CALCS'!$G727*2</f>
        <v>0</v>
      </c>
      <c r="F726" s="6">
        <f>'MATCH CALCS'!$G727*2</f>
        <v>0</v>
      </c>
      <c r="G726" s="6">
        <f>'MATCH CALCS'!$G727*2</f>
        <v>0</v>
      </c>
      <c r="H726" s="6">
        <f>'MATCH CALCS'!$G727*2</f>
        <v>0</v>
      </c>
      <c r="I726" s="6">
        <f>'MATCH CALCS'!$G727*2</f>
        <v>0</v>
      </c>
      <c r="J726" s="154">
        <f t="shared" si="15"/>
        <v>0</v>
      </c>
      <c r="K726" s="6">
        <f>'MATCH CALCS'!L727*1</f>
        <v>0</v>
      </c>
      <c r="L726" s="6">
        <f>'MATCH CALCS'!$N727*2</f>
        <v>0</v>
      </c>
      <c r="M726" s="6">
        <f>'MATCH CALCS'!N727*1</f>
        <v>0</v>
      </c>
      <c r="N726" s="6">
        <f>'MATCH CALCS'!$N727*2</f>
        <v>0</v>
      </c>
      <c r="O726" s="6">
        <f>'MATCH CALCS'!$N727*2</f>
        <v>0</v>
      </c>
      <c r="P726" s="6">
        <f>'MATCH CALCS'!$P727*5</f>
        <v>0</v>
      </c>
      <c r="Q726" s="154">
        <f t="shared" si="16"/>
        <v>0</v>
      </c>
      <c r="R726" s="6">
        <f>'MATCH CALCS'!$AD727*1</f>
        <v>0</v>
      </c>
      <c r="S726" s="6">
        <f>'MATCH CALCS'!AC727*3</f>
        <v>0</v>
      </c>
      <c r="T726" s="6">
        <f>'MATCH CALCS'!AD727*3</f>
        <v>0</v>
      </c>
      <c r="U726" s="155">
        <f t="shared" si="17"/>
        <v>0</v>
      </c>
      <c r="V726" s="154">
        <f t="shared" si="18"/>
        <v>0</v>
      </c>
    </row>
    <row r="727" spans="1:22">
      <c r="A727" s="154">
        <f>'MATCH CALCS'!A728</f>
        <v>0</v>
      </c>
      <c r="B727" s="154">
        <f>'MATCH CALCS'!$C728</f>
        <v>0</v>
      </c>
      <c r="C727" s="154">
        <f t="shared" si="14"/>
        <v>0</v>
      </c>
      <c r="D727" s="6">
        <f>'MATCH CALCS'!$G728*2</f>
        <v>0</v>
      </c>
      <c r="E727" s="6">
        <f>'MATCH CALCS'!$G728*2</f>
        <v>0</v>
      </c>
      <c r="F727" s="6">
        <f>'MATCH CALCS'!$G728*2</f>
        <v>0</v>
      </c>
      <c r="G727" s="6">
        <f>'MATCH CALCS'!$G728*2</f>
        <v>0</v>
      </c>
      <c r="H727" s="6">
        <f>'MATCH CALCS'!$G728*2</f>
        <v>0</v>
      </c>
      <c r="I727" s="6">
        <f>'MATCH CALCS'!$G728*2</f>
        <v>0</v>
      </c>
      <c r="J727" s="154">
        <f t="shared" si="15"/>
        <v>0</v>
      </c>
      <c r="K727" s="6">
        <f>'MATCH CALCS'!L728*1</f>
        <v>0</v>
      </c>
      <c r="L727" s="6">
        <f>'MATCH CALCS'!$N728*2</f>
        <v>0</v>
      </c>
      <c r="M727" s="6">
        <f>'MATCH CALCS'!N728*1</f>
        <v>0</v>
      </c>
      <c r="N727" s="6">
        <f>'MATCH CALCS'!$N728*2</f>
        <v>0</v>
      </c>
      <c r="O727" s="6">
        <f>'MATCH CALCS'!$N728*2</f>
        <v>0</v>
      </c>
      <c r="P727" s="6">
        <f>'MATCH CALCS'!$P728*5</f>
        <v>0</v>
      </c>
      <c r="Q727" s="154">
        <f t="shared" si="16"/>
        <v>0</v>
      </c>
      <c r="R727" s="6">
        <f>'MATCH CALCS'!$AD728*1</f>
        <v>0</v>
      </c>
      <c r="S727" s="6">
        <f>'MATCH CALCS'!AC728*3</f>
        <v>0</v>
      </c>
      <c r="T727" s="6">
        <f>'MATCH CALCS'!AD728*3</f>
        <v>0</v>
      </c>
      <c r="U727" s="155">
        <f t="shared" si="17"/>
        <v>0</v>
      </c>
      <c r="V727" s="154">
        <f t="shared" si="18"/>
        <v>0</v>
      </c>
    </row>
    <row r="728" spans="1:22">
      <c r="A728" s="154">
        <f>'MATCH CALCS'!A729</f>
        <v>0</v>
      </c>
      <c r="B728" s="154">
        <f>'MATCH CALCS'!$C729</f>
        <v>0</v>
      </c>
      <c r="C728" s="154">
        <f t="shared" si="14"/>
        <v>0</v>
      </c>
      <c r="D728" s="6">
        <f>'MATCH CALCS'!$G729*2</f>
        <v>0</v>
      </c>
      <c r="E728" s="6">
        <f>'MATCH CALCS'!$G729*2</f>
        <v>0</v>
      </c>
      <c r="F728" s="6">
        <f>'MATCH CALCS'!$G729*2</f>
        <v>0</v>
      </c>
      <c r="G728" s="6">
        <f>'MATCH CALCS'!$G729*2</f>
        <v>0</v>
      </c>
      <c r="H728" s="6">
        <f>'MATCH CALCS'!$G729*2</f>
        <v>0</v>
      </c>
      <c r="I728" s="6">
        <f>'MATCH CALCS'!$G729*2</f>
        <v>0</v>
      </c>
      <c r="J728" s="154">
        <f t="shared" si="15"/>
        <v>0</v>
      </c>
      <c r="K728" s="6">
        <f>'MATCH CALCS'!L729*1</f>
        <v>0</v>
      </c>
      <c r="L728" s="6">
        <f>'MATCH CALCS'!$N729*2</f>
        <v>0</v>
      </c>
      <c r="M728" s="6">
        <f>'MATCH CALCS'!N729*1</f>
        <v>0</v>
      </c>
      <c r="N728" s="6">
        <f>'MATCH CALCS'!$N729*2</f>
        <v>0</v>
      </c>
      <c r="O728" s="6">
        <f>'MATCH CALCS'!$N729*2</f>
        <v>0</v>
      </c>
      <c r="P728" s="6">
        <f>'MATCH CALCS'!$P729*5</f>
        <v>0</v>
      </c>
      <c r="Q728" s="154">
        <f t="shared" si="16"/>
        <v>0</v>
      </c>
      <c r="R728" s="6">
        <f>'MATCH CALCS'!$AD729*1</f>
        <v>0</v>
      </c>
      <c r="S728" s="6">
        <f>'MATCH CALCS'!AC729*3</f>
        <v>0</v>
      </c>
      <c r="T728" s="6">
        <f>'MATCH CALCS'!AD729*3</f>
        <v>0</v>
      </c>
      <c r="U728" s="155">
        <f t="shared" si="17"/>
        <v>0</v>
      </c>
      <c r="V728" s="154">
        <f t="shared" si="18"/>
        <v>0</v>
      </c>
    </row>
    <row r="729" spans="1:22">
      <c r="A729" s="154">
        <f>'MATCH CALCS'!A730</f>
        <v>0</v>
      </c>
      <c r="B729" s="154">
        <f>'MATCH CALCS'!$C730</f>
        <v>0</v>
      </c>
      <c r="C729" s="154">
        <f t="shared" si="14"/>
        <v>0</v>
      </c>
      <c r="D729" s="6">
        <f>'MATCH CALCS'!$G730*2</f>
        <v>0</v>
      </c>
      <c r="E729" s="6">
        <f>'MATCH CALCS'!$G730*2</f>
        <v>0</v>
      </c>
      <c r="F729" s="6">
        <f>'MATCH CALCS'!$G730*2</f>
        <v>0</v>
      </c>
      <c r="G729" s="6">
        <f>'MATCH CALCS'!$G730*2</f>
        <v>0</v>
      </c>
      <c r="H729" s="6">
        <f>'MATCH CALCS'!$G730*2</f>
        <v>0</v>
      </c>
      <c r="I729" s="6">
        <f>'MATCH CALCS'!$G730*2</f>
        <v>0</v>
      </c>
      <c r="J729" s="154">
        <f t="shared" si="15"/>
        <v>0</v>
      </c>
      <c r="K729" s="6">
        <f>'MATCH CALCS'!L730*1</f>
        <v>0</v>
      </c>
      <c r="L729" s="6">
        <f>'MATCH CALCS'!$N730*2</f>
        <v>0</v>
      </c>
      <c r="M729" s="6">
        <f>'MATCH CALCS'!N730*1</f>
        <v>0</v>
      </c>
      <c r="N729" s="6">
        <f>'MATCH CALCS'!$N730*2</f>
        <v>0</v>
      </c>
      <c r="O729" s="6">
        <f>'MATCH CALCS'!$N730*2</f>
        <v>0</v>
      </c>
      <c r="P729" s="6">
        <f>'MATCH CALCS'!$P730*5</f>
        <v>0</v>
      </c>
      <c r="Q729" s="154">
        <f t="shared" si="16"/>
        <v>0</v>
      </c>
      <c r="R729" s="6">
        <f>'MATCH CALCS'!$AD730*1</f>
        <v>0</v>
      </c>
      <c r="S729" s="6">
        <f>'MATCH CALCS'!AC730*3</f>
        <v>0</v>
      </c>
      <c r="T729" s="6">
        <f>'MATCH CALCS'!AD730*3</f>
        <v>0</v>
      </c>
      <c r="U729" s="155">
        <f t="shared" si="17"/>
        <v>0</v>
      </c>
      <c r="V729" s="154">
        <f t="shared" si="18"/>
        <v>0</v>
      </c>
    </row>
    <row r="730" spans="1:22">
      <c r="A730" s="154">
        <f>'MATCH CALCS'!A731</f>
        <v>0</v>
      </c>
      <c r="B730" s="154">
        <f>'MATCH CALCS'!$C731</f>
        <v>0</v>
      </c>
      <c r="C730" s="154">
        <f t="shared" si="14"/>
        <v>0</v>
      </c>
      <c r="D730" s="6">
        <f>'MATCH CALCS'!$G731*2</f>
        <v>0</v>
      </c>
      <c r="E730" s="6">
        <f>'MATCH CALCS'!$G731*2</f>
        <v>0</v>
      </c>
      <c r="F730" s="6">
        <f>'MATCH CALCS'!$G731*2</f>
        <v>0</v>
      </c>
      <c r="G730" s="6">
        <f>'MATCH CALCS'!$G731*2</f>
        <v>0</v>
      </c>
      <c r="H730" s="6">
        <f>'MATCH CALCS'!$G731*2</f>
        <v>0</v>
      </c>
      <c r="I730" s="6">
        <f>'MATCH CALCS'!$G731*2</f>
        <v>0</v>
      </c>
      <c r="J730" s="154">
        <f t="shared" si="15"/>
        <v>0</v>
      </c>
      <c r="K730" s="6">
        <f>'MATCH CALCS'!L731*1</f>
        <v>0</v>
      </c>
      <c r="L730" s="6">
        <f>'MATCH CALCS'!$N731*2</f>
        <v>0</v>
      </c>
      <c r="M730" s="6">
        <f>'MATCH CALCS'!N731*1</f>
        <v>0</v>
      </c>
      <c r="N730" s="6">
        <f>'MATCH CALCS'!$N731*2</f>
        <v>0</v>
      </c>
      <c r="O730" s="6">
        <f>'MATCH CALCS'!$N731*2</f>
        <v>0</v>
      </c>
      <c r="P730" s="6">
        <f>'MATCH CALCS'!$P731*5</f>
        <v>0</v>
      </c>
      <c r="Q730" s="154">
        <f t="shared" si="16"/>
        <v>0</v>
      </c>
      <c r="R730" s="6">
        <f>'MATCH CALCS'!$AD731*1</f>
        <v>0</v>
      </c>
      <c r="S730" s="6">
        <f>'MATCH CALCS'!AC731*3</f>
        <v>0</v>
      </c>
      <c r="T730" s="6">
        <f>'MATCH CALCS'!AD731*3</f>
        <v>0</v>
      </c>
      <c r="U730" s="155">
        <f t="shared" si="17"/>
        <v>0</v>
      </c>
      <c r="V730" s="154">
        <f t="shared" si="18"/>
        <v>0</v>
      </c>
    </row>
    <row r="731" spans="1:22">
      <c r="A731" s="154">
        <f>'MATCH CALCS'!A732</f>
        <v>0</v>
      </c>
      <c r="B731" s="154">
        <f>'MATCH CALCS'!$C732</f>
        <v>0</v>
      </c>
      <c r="C731" s="154">
        <f t="shared" si="14"/>
        <v>0</v>
      </c>
      <c r="D731" s="6">
        <f>'MATCH CALCS'!$G732*2</f>
        <v>0</v>
      </c>
      <c r="E731" s="6">
        <f>'MATCH CALCS'!$G732*2</f>
        <v>0</v>
      </c>
      <c r="F731" s="6">
        <f>'MATCH CALCS'!$G732*2</f>
        <v>0</v>
      </c>
      <c r="G731" s="6">
        <f>'MATCH CALCS'!$G732*2</f>
        <v>0</v>
      </c>
      <c r="H731" s="6">
        <f>'MATCH CALCS'!$G732*2</f>
        <v>0</v>
      </c>
      <c r="I731" s="6">
        <f>'MATCH CALCS'!$G732*2</f>
        <v>0</v>
      </c>
      <c r="J731" s="154">
        <f t="shared" si="15"/>
        <v>0</v>
      </c>
      <c r="K731" s="6">
        <f>'MATCH CALCS'!L732*1</f>
        <v>0</v>
      </c>
      <c r="L731" s="6">
        <f>'MATCH CALCS'!$N732*2</f>
        <v>0</v>
      </c>
      <c r="M731" s="6">
        <f>'MATCH CALCS'!N732*1</f>
        <v>0</v>
      </c>
      <c r="N731" s="6">
        <f>'MATCH CALCS'!$N732*2</f>
        <v>0</v>
      </c>
      <c r="O731" s="6">
        <f>'MATCH CALCS'!$N732*2</f>
        <v>0</v>
      </c>
      <c r="P731" s="6">
        <f>'MATCH CALCS'!$P732*5</f>
        <v>0</v>
      </c>
      <c r="Q731" s="154">
        <f t="shared" si="16"/>
        <v>0</v>
      </c>
      <c r="R731" s="6">
        <f>'MATCH CALCS'!$AD732*1</f>
        <v>0</v>
      </c>
      <c r="S731" s="6">
        <f>'MATCH CALCS'!AC732*3</f>
        <v>0</v>
      </c>
      <c r="T731" s="6">
        <f>'MATCH CALCS'!AD732*3</f>
        <v>0</v>
      </c>
      <c r="U731" s="155">
        <f t="shared" si="17"/>
        <v>0</v>
      </c>
      <c r="V731" s="154">
        <f t="shared" si="18"/>
        <v>0</v>
      </c>
    </row>
    <row r="732" spans="1:22">
      <c r="A732" s="154">
        <f>'MATCH CALCS'!A733</f>
        <v>0</v>
      </c>
      <c r="B732" s="154">
        <f>'MATCH CALCS'!$C733</f>
        <v>0</v>
      </c>
      <c r="C732" s="154">
        <f t="shared" si="14"/>
        <v>0</v>
      </c>
      <c r="D732" s="6">
        <f>'MATCH CALCS'!$G733*2</f>
        <v>0</v>
      </c>
      <c r="E732" s="6">
        <f>'MATCH CALCS'!$G733*2</f>
        <v>0</v>
      </c>
      <c r="F732" s="6">
        <f>'MATCH CALCS'!$G733*2</f>
        <v>0</v>
      </c>
      <c r="G732" s="6">
        <f>'MATCH CALCS'!$G733*2</f>
        <v>0</v>
      </c>
      <c r="H732" s="6">
        <f>'MATCH CALCS'!$G733*2</f>
        <v>0</v>
      </c>
      <c r="I732" s="6">
        <f>'MATCH CALCS'!$G733*2</f>
        <v>0</v>
      </c>
      <c r="J732" s="154">
        <f t="shared" si="15"/>
        <v>0</v>
      </c>
      <c r="K732" s="6">
        <f>'MATCH CALCS'!L733*1</f>
        <v>0</v>
      </c>
      <c r="L732" s="6">
        <f>'MATCH CALCS'!$N733*2</f>
        <v>0</v>
      </c>
      <c r="M732" s="6">
        <f>'MATCH CALCS'!N733*1</f>
        <v>0</v>
      </c>
      <c r="N732" s="6">
        <f>'MATCH CALCS'!$N733*2</f>
        <v>0</v>
      </c>
      <c r="O732" s="6">
        <f>'MATCH CALCS'!$N733*2</f>
        <v>0</v>
      </c>
      <c r="P732" s="6">
        <f>'MATCH CALCS'!$P733*5</f>
        <v>0</v>
      </c>
      <c r="Q732" s="154">
        <f t="shared" si="16"/>
        <v>0</v>
      </c>
      <c r="R732" s="6">
        <f>'MATCH CALCS'!$AD733*1</f>
        <v>0</v>
      </c>
      <c r="S732" s="6">
        <f>'MATCH CALCS'!AC733*3</f>
        <v>0</v>
      </c>
      <c r="T732" s="6">
        <f>'MATCH CALCS'!AD733*3</f>
        <v>0</v>
      </c>
      <c r="U732" s="155">
        <f t="shared" si="17"/>
        <v>0</v>
      </c>
      <c r="V732" s="154">
        <f t="shared" si="18"/>
        <v>0</v>
      </c>
    </row>
    <row r="733" spans="1:22">
      <c r="A733" s="154">
        <f>'MATCH CALCS'!A734</f>
        <v>0</v>
      </c>
      <c r="B733" s="154">
        <f>'MATCH CALCS'!$C734</f>
        <v>0</v>
      </c>
      <c r="C733" s="154">
        <f t="shared" si="14"/>
        <v>0</v>
      </c>
      <c r="D733" s="6">
        <f>'MATCH CALCS'!$G734*2</f>
        <v>0</v>
      </c>
      <c r="E733" s="6">
        <f>'MATCH CALCS'!$G734*2</f>
        <v>0</v>
      </c>
      <c r="F733" s="6">
        <f>'MATCH CALCS'!$G734*2</f>
        <v>0</v>
      </c>
      <c r="G733" s="6">
        <f>'MATCH CALCS'!$G734*2</f>
        <v>0</v>
      </c>
      <c r="H733" s="6">
        <f>'MATCH CALCS'!$G734*2</f>
        <v>0</v>
      </c>
      <c r="I733" s="6">
        <f>'MATCH CALCS'!$G734*2</f>
        <v>0</v>
      </c>
      <c r="J733" s="154">
        <f t="shared" si="15"/>
        <v>0</v>
      </c>
      <c r="K733" s="6">
        <f>'MATCH CALCS'!L734*1</f>
        <v>0</v>
      </c>
      <c r="L733" s="6">
        <f>'MATCH CALCS'!$N734*2</f>
        <v>0</v>
      </c>
      <c r="M733" s="6">
        <f>'MATCH CALCS'!N734*1</f>
        <v>0</v>
      </c>
      <c r="N733" s="6">
        <f>'MATCH CALCS'!$N734*2</f>
        <v>0</v>
      </c>
      <c r="O733" s="6">
        <f>'MATCH CALCS'!$N734*2</f>
        <v>0</v>
      </c>
      <c r="P733" s="6">
        <f>'MATCH CALCS'!$P734*5</f>
        <v>0</v>
      </c>
      <c r="Q733" s="154">
        <f t="shared" si="16"/>
        <v>0</v>
      </c>
      <c r="R733" s="6">
        <f>'MATCH CALCS'!$AD734*1</f>
        <v>0</v>
      </c>
      <c r="S733" s="6">
        <f>'MATCH CALCS'!AC734*3</f>
        <v>0</v>
      </c>
      <c r="T733" s="6">
        <f>'MATCH CALCS'!AD734*3</f>
        <v>0</v>
      </c>
      <c r="U733" s="155">
        <f t="shared" si="17"/>
        <v>0</v>
      </c>
      <c r="V733" s="154">
        <f t="shared" si="18"/>
        <v>0</v>
      </c>
    </row>
    <row r="734" spans="1:22">
      <c r="A734" s="154">
        <f>'MATCH CALCS'!A735</f>
        <v>0</v>
      </c>
      <c r="B734" s="154">
        <f>'MATCH CALCS'!$C735</f>
        <v>0</v>
      </c>
      <c r="C734" s="154">
        <f t="shared" si="14"/>
        <v>0</v>
      </c>
      <c r="D734" s="6">
        <f>'MATCH CALCS'!$G735*2</f>
        <v>0</v>
      </c>
      <c r="E734" s="6">
        <f>'MATCH CALCS'!$G735*2</f>
        <v>0</v>
      </c>
      <c r="F734" s="6">
        <f>'MATCH CALCS'!$G735*2</f>
        <v>0</v>
      </c>
      <c r="G734" s="6">
        <f>'MATCH CALCS'!$G735*2</f>
        <v>0</v>
      </c>
      <c r="H734" s="6">
        <f>'MATCH CALCS'!$G735*2</f>
        <v>0</v>
      </c>
      <c r="I734" s="6">
        <f>'MATCH CALCS'!$G735*2</f>
        <v>0</v>
      </c>
      <c r="J734" s="154">
        <f t="shared" si="15"/>
        <v>0</v>
      </c>
      <c r="K734" s="6">
        <f>'MATCH CALCS'!L735*1</f>
        <v>0</v>
      </c>
      <c r="L734" s="6">
        <f>'MATCH CALCS'!$N735*2</f>
        <v>0</v>
      </c>
      <c r="M734" s="6">
        <f>'MATCH CALCS'!N735*1</f>
        <v>0</v>
      </c>
      <c r="N734" s="6">
        <f>'MATCH CALCS'!$N735*2</f>
        <v>0</v>
      </c>
      <c r="O734" s="6">
        <f>'MATCH CALCS'!$N735*2</f>
        <v>0</v>
      </c>
      <c r="P734" s="6">
        <f>'MATCH CALCS'!$P735*5</f>
        <v>0</v>
      </c>
      <c r="Q734" s="154">
        <f t="shared" si="16"/>
        <v>0</v>
      </c>
      <c r="R734" s="6">
        <f>'MATCH CALCS'!$AD735*1</f>
        <v>0</v>
      </c>
      <c r="S734" s="6">
        <f>'MATCH CALCS'!AC735*3</f>
        <v>0</v>
      </c>
      <c r="T734" s="6">
        <f>'MATCH CALCS'!AD735*3</f>
        <v>0</v>
      </c>
      <c r="U734" s="155">
        <f t="shared" si="17"/>
        <v>0</v>
      </c>
      <c r="V734" s="154">
        <f t="shared" si="18"/>
        <v>0</v>
      </c>
    </row>
    <row r="735" spans="1:22">
      <c r="A735" s="154">
        <f>'MATCH CALCS'!A736</f>
        <v>0</v>
      </c>
      <c r="B735" s="154">
        <f>'MATCH CALCS'!$C736</f>
        <v>0</v>
      </c>
      <c r="C735" s="154">
        <f t="shared" si="14"/>
        <v>0</v>
      </c>
      <c r="D735" s="6">
        <f>'MATCH CALCS'!$G736*2</f>
        <v>0</v>
      </c>
      <c r="E735" s="6">
        <f>'MATCH CALCS'!$G736*2</f>
        <v>0</v>
      </c>
      <c r="F735" s="6">
        <f>'MATCH CALCS'!$G736*2</f>
        <v>0</v>
      </c>
      <c r="G735" s="6">
        <f>'MATCH CALCS'!$G736*2</f>
        <v>0</v>
      </c>
      <c r="H735" s="6">
        <f>'MATCH CALCS'!$G736*2</f>
        <v>0</v>
      </c>
      <c r="I735" s="6">
        <f>'MATCH CALCS'!$G736*2</f>
        <v>0</v>
      </c>
      <c r="J735" s="154">
        <f t="shared" si="15"/>
        <v>0</v>
      </c>
      <c r="K735" s="6">
        <f>'MATCH CALCS'!L736*1</f>
        <v>0</v>
      </c>
      <c r="L735" s="6">
        <f>'MATCH CALCS'!$N736*2</f>
        <v>0</v>
      </c>
      <c r="M735" s="6">
        <f>'MATCH CALCS'!N736*1</f>
        <v>0</v>
      </c>
      <c r="N735" s="6">
        <f>'MATCH CALCS'!$N736*2</f>
        <v>0</v>
      </c>
      <c r="O735" s="6">
        <f>'MATCH CALCS'!$N736*2</f>
        <v>0</v>
      </c>
      <c r="P735" s="6">
        <f>'MATCH CALCS'!$P736*5</f>
        <v>0</v>
      </c>
      <c r="Q735" s="154">
        <f t="shared" si="16"/>
        <v>0</v>
      </c>
      <c r="R735" s="6">
        <f>'MATCH CALCS'!$AD736*1</f>
        <v>0</v>
      </c>
      <c r="S735" s="6">
        <f>'MATCH CALCS'!AC736*3</f>
        <v>0</v>
      </c>
      <c r="T735" s="6">
        <f>'MATCH CALCS'!AD736*3</f>
        <v>0</v>
      </c>
      <c r="U735" s="155">
        <f t="shared" si="17"/>
        <v>0</v>
      </c>
      <c r="V735" s="154">
        <f t="shared" si="18"/>
        <v>0</v>
      </c>
    </row>
    <row r="736" spans="1:22">
      <c r="A736" s="154">
        <f>'MATCH CALCS'!A737</f>
        <v>0</v>
      </c>
      <c r="B736" s="154">
        <f>'MATCH CALCS'!$C737</f>
        <v>0</v>
      </c>
      <c r="C736" s="154">
        <f t="shared" si="14"/>
        <v>0</v>
      </c>
      <c r="D736" s="6">
        <f>'MATCH CALCS'!$G737*2</f>
        <v>0</v>
      </c>
      <c r="E736" s="6">
        <f>'MATCH CALCS'!$G737*2</f>
        <v>0</v>
      </c>
      <c r="F736" s="6">
        <f>'MATCH CALCS'!$G737*2</f>
        <v>0</v>
      </c>
      <c r="G736" s="6">
        <f>'MATCH CALCS'!$G737*2</f>
        <v>0</v>
      </c>
      <c r="H736" s="6">
        <f>'MATCH CALCS'!$G737*2</f>
        <v>0</v>
      </c>
      <c r="I736" s="6">
        <f>'MATCH CALCS'!$G737*2</f>
        <v>0</v>
      </c>
      <c r="J736" s="154">
        <f t="shared" si="15"/>
        <v>0</v>
      </c>
      <c r="K736" s="6">
        <f>'MATCH CALCS'!L737*1</f>
        <v>0</v>
      </c>
      <c r="L736" s="6">
        <f>'MATCH CALCS'!$N737*2</f>
        <v>0</v>
      </c>
      <c r="M736" s="6">
        <f>'MATCH CALCS'!N737*1</f>
        <v>0</v>
      </c>
      <c r="N736" s="6">
        <f>'MATCH CALCS'!$N737*2</f>
        <v>0</v>
      </c>
      <c r="O736" s="6">
        <f>'MATCH CALCS'!$N737*2</f>
        <v>0</v>
      </c>
      <c r="P736" s="6">
        <f>'MATCH CALCS'!$P737*5</f>
        <v>0</v>
      </c>
      <c r="Q736" s="154">
        <f t="shared" si="16"/>
        <v>0</v>
      </c>
      <c r="R736" s="6">
        <f>'MATCH CALCS'!$AD737*1</f>
        <v>0</v>
      </c>
      <c r="S736" s="6">
        <f>'MATCH CALCS'!AC737*3</f>
        <v>0</v>
      </c>
      <c r="T736" s="6">
        <f>'MATCH CALCS'!AD737*3</f>
        <v>0</v>
      </c>
      <c r="U736" s="155">
        <f t="shared" si="17"/>
        <v>0</v>
      </c>
      <c r="V736" s="154">
        <f t="shared" si="18"/>
        <v>0</v>
      </c>
    </row>
    <row r="737" spans="1:22">
      <c r="A737" s="154">
        <f>'MATCH CALCS'!A738</f>
        <v>0</v>
      </c>
      <c r="B737" s="154">
        <f>'MATCH CALCS'!$C738</f>
        <v>0</v>
      </c>
      <c r="C737" s="154">
        <f t="shared" si="14"/>
        <v>0</v>
      </c>
      <c r="D737" s="6">
        <f>'MATCH CALCS'!$G738*2</f>
        <v>0</v>
      </c>
      <c r="E737" s="6">
        <f>'MATCH CALCS'!$G738*2</f>
        <v>0</v>
      </c>
      <c r="F737" s="6">
        <f>'MATCH CALCS'!$G738*2</f>
        <v>0</v>
      </c>
      <c r="G737" s="6">
        <f>'MATCH CALCS'!$G738*2</f>
        <v>0</v>
      </c>
      <c r="H737" s="6">
        <f>'MATCH CALCS'!$G738*2</f>
        <v>0</v>
      </c>
      <c r="I737" s="6">
        <f>'MATCH CALCS'!$G738*2</f>
        <v>0</v>
      </c>
      <c r="J737" s="154">
        <f t="shared" si="15"/>
        <v>0</v>
      </c>
      <c r="K737" s="6">
        <f>'MATCH CALCS'!L738*1</f>
        <v>0</v>
      </c>
      <c r="L737" s="6">
        <f>'MATCH CALCS'!$N738*2</f>
        <v>0</v>
      </c>
      <c r="M737" s="6">
        <f>'MATCH CALCS'!N738*1</f>
        <v>0</v>
      </c>
      <c r="N737" s="6">
        <f>'MATCH CALCS'!$N738*2</f>
        <v>0</v>
      </c>
      <c r="O737" s="6">
        <f>'MATCH CALCS'!$N738*2</f>
        <v>0</v>
      </c>
      <c r="P737" s="6">
        <f>'MATCH CALCS'!$P738*5</f>
        <v>0</v>
      </c>
      <c r="Q737" s="154">
        <f t="shared" si="16"/>
        <v>0</v>
      </c>
      <c r="R737" s="6">
        <f>'MATCH CALCS'!$AD738*1</f>
        <v>0</v>
      </c>
      <c r="S737" s="6">
        <f>'MATCH CALCS'!AC738*3</f>
        <v>0</v>
      </c>
      <c r="T737" s="6">
        <f>'MATCH CALCS'!AD738*3</f>
        <v>0</v>
      </c>
      <c r="U737" s="155">
        <f t="shared" si="17"/>
        <v>0</v>
      </c>
      <c r="V737" s="154">
        <f t="shared" si="18"/>
        <v>0</v>
      </c>
    </row>
    <row r="738" spans="1:22">
      <c r="A738" s="154">
        <f>'MATCH CALCS'!A739</f>
        <v>0</v>
      </c>
      <c r="B738" s="154">
        <f>'MATCH CALCS'!$C739</f>
        <v>0</v>
      </c>
      <c r="C738" s="154">
        <f t="shared" si="14"/>
        <v>0</v>
      </c>
      <c r="D738" s="6">
        <f>'MATCH CALCS'!$G739*2</f>
        <v>0</v>
      </c>
      <c r="E738" s="6">
        <f>'MATCH CALCS'!$G739*2</f>
        <v>0</v>
      </c>
      <c r="F738" s="6">
        <f>'MATCH CALCS'!$G739*2</f>
        <v>0</v>
      </c>
      <c r="G738" s="6">
        <f>'MATCH CALCS'!$G739*2</f>
        <v>0</v>
      </c>
      <c r="H738" s="6">
        <f>'MATCH CALCS'!$G739*2</f>
        <v>0</v>
      </c>
      <c r="I738" s="6">
        <f>'MATCH CALCS'!$G739*2</f>
        <v>0</v>
      </c>
      <c r="J738" s="154">
        <f t="shared" si="15"/>
        <v>0</v>
      </c>
      <c r="K738" s="6">
        <f>'MATCH CALCS'!L739*1</f>
        <v>0</v>
      </c>
      <c r="L738" s="6">
        <f>'MATCH CALCS'!$N739*2</f>
        <v>0</v>
      </c>
      <c r="M738" s="6">
        <f>'MATCH CALCS'!N739*1</f>
        <v>0</v>
      </c>
      <c r="N738" s="6">
        <f>'MATCH CALCS'!$N739*2</f>
        <v>0</v>
      </c>
      <c r="O738" s="6">
        <f>'MATCH CALCS'!$N739*2</f>
        <v>0</v>
      </c>
      <c r="P738" s="6">
        <f>'MATCH CALCS'!$P739*5</f>
        <v>0</v>
      </c>
      <c r="Q738" s="154">
        <f t="shared" si="16"/>
        <v>0</v>
      </c>
      <c r="R738" s="6">
        <f>'MATCH CALCS'!$AD739*1</f>
        <v>0</v>
      </c>
      <c r="S738" s="6">
        <f>'MATCH CALCS'!AC739*3</f>
        <v>0</v>
      </c>
      <c r="T738" s="6">
        <f>'MATCH CALCS'!AD739*3</f>
        <v>0</v>
      </c>
      <c r="U738" s="155">
        <f t="shared" si="17"/>
        <v>0</v>
      </c>
      <c r="V738" s="154">
        <f t="shared" si="18"/>
        <v>0</v>
      </c>
    </row>
    <row r="739" spans="1:22">
      <c r="A739" s="154">
        <f>'MATCH CALCS'!A740</f>
        <v>0</v>
      </c>
      <c r="B739" s="154">
        <f>'MATCH CALCS'!$C740</f>
        <v>0</v>
      </c>
      <c r="C739" s="154">
        <f t="shared" si="14"/>
        <v>0</v>
      </c>
      <c r="D739" s="6">
        <f>'MATCH CALCS'!$G740*2</f>
        <v>0</v>
      </c>
      <c r="E739" s="6">
        <f>'MATCH CALCS'!$G740*2</f>
        <v>0</v>
      </c>
      <c r="F739" s="6">
        <f>'MATCH CALCS'!$G740*2</f>
        <v>0</v>
      </c>
      <c r="G739" s="6">
        <f>'MATCH CALCS'!$G740*2</f>
        <v>0</v>
      </c>
      <c r="H739" s="6">
        <f>'MATCH CALCS'!$G740*2</f>
        <v>0</v>
      </c>
      <c r="I739" s="6">
        <f>'MATCH CALCS'!$G740*2</f>
        <v>0</v>
      </c>
      <c r="J739" s="154">
        <f t="shared" si="15"/>
        <v>0</v>
      </c>
      <c r="K739" s="6">
        <f>'MATCH CALCS'!L740*1</f>
        <v>0</v>
      </c>
      <c r="L739" s="6">
        <f>'MATCH CALCS'!$N740*2</f>
        <v>0</v>
      </c>
      <c r="M739" s="6">
        <f>'MATCH CALCS'!N740*1</f>
        <v>0</v>
      </c>
      <c r="N739" s="6">
        <f>'MATCH CALCS'!$N740*2</f>
        <v>0</v>
      </c>
      <c r="O739" s="6">
        <f>'MATCH CALCS'!$N740*2</f>
        <v>0</v>
      </c>
      <c r="P739" s="6">
        <f>'MATCH CALCS'!$P740*5</f>
        <v>0</v>
      </c>
      <c r="Q739" s="154">
        <f t="shared" si="16"/>
        <v>0</v>
      </c>
      <c r="R739" s="6">
        <f>'MATCH CALCS'!$AD740*1</f>
        <v>0</v>
      </c>
      <c r="S739" s="6">
        <f>'MATCH CALCS'!AC740*3</f>
        <v>0</v>
      </c>
      <c r="T739" s="6">
        <f>'MATCH CALCS'!AD740*3</f>
        <v>0</v>
      </c>
      <c r="U739" s="155">
        <f t="shared" si="17"/>
        <v>0</v>
      </c>
      <c r="V739" s="154">
        <f t="shared" si="18"/>
        <v>0</v>
      </c>
    </row>
    <row r="740" spans="1:22">
      <c r="A740" s="154">
        <f>'MATCH CALCS'!A741</f>
        <v>0</v>
      </c>
      <c r="B740" s="154">
        <f>'MATCH CALCS'!$C741</f>
        <v>0</v>
      </c>
      <c r="C740" s="154">
        <f t="shared" si="14"/>
        <v>0</v>
      </c>
      <c r="D740" s="6">
        <f>'MATCH CALCS'!$G741*2</f>
        <v>0</v>
      </c>
      <c r="E740" s="6">
        <f>'MATCH CALCS'!$G741*2</f>
        <v>0</v>
      </c>
      <c r="F740" s="6">
        <f>'MATCH CALCS'!$G741*2</f>
        <v>0</v>
      </c>
      <c r="G740" s="6">
        <f>'MATCH CALCS'!$G741*2</f>
        <v>0</v>
      </c>
      <c r="H740" s="6">
        <f>'MATCH CALCS'!$G741*2</f>
        <v>0</v>
      </c>
      <c r="I740" s="6">
        <f>'MATCH CALCS'!$G741*2</f>
        <v>0</v>
      </c>
      <c r="J740" s="154">
        <f t="shared" si="15"/>
        <v>0</v>
      </c>
      <c r="K740" s="6">
        <f>'MATCH CALCS'!L741*1</f>
        <v>0</v>
      </c>
      <c r="L740" s="6">
        <f>'MATCH CALCS'!$N741*2</f>
        <v>0</v>
      </c>
      <c r="M740" s="6">
        <f>'MATCH CALCS'!N741*1</f>
        <v>0</v>
      </c>
      <c r="N740" s="6">
        <f>'MATCH CALCS'!$N741*2</f>
        <v>0</v>
      </c>
      <c r="O740" s="6">
        <f>'MATCH CALCS'!$N741*2</f>
        <v>0</v>
      </c>
      <c r="P740" s="6">
        <f>'MATCH CALCS'!$P741*5</f>
        <v>0</v>
      </c>
      <c r="Q740" s="154">
        <f t="shared" si="16"/>
        <v>0</v>
      </c>
      <c r="R740" s="6">
        <f>'MATCH CALCS'!$AD741*1</f>
        <v>0</v>
      </c>
      <c r="S740" s="6">
        <f>'MATCH CALCS'!AC741*3</f>
        <v>0</v>
      </c>
      <c r="T740" s="6">
        <f>'MATCH CALCS'!AD741*3</f>
        <v>0</v>
      </c>
      <c r="U740" s="155">
        <f t="shared" si="17"/>
        <v>0</v>
      </c>
      <c r="V740" s="154">
        <f t="shared" si="18"/>
        <v>0</v>
      </c>
    </row>
    <row r="741" spans="1:22">
      <c r="A741" s="154">
        <f>'MATCH CALCS'!A742</f>
        <v>0</v>
      </c>
      <c r="B741" s="154">
        <f>'MATCH CALCS'!$C742</f>
        <v>0</v>
      </c>
      <c r="C741" s="154">
        <f t="shared" si="14"/>
        <v>0</v>
      </c>
      <c r="D741" s="6">
        <f>'MATCH CALCS'!$G742*2</f>
        <v>0</v>
      </c>
      <c r="E741" s="6">
        <f>'MATCH CALCS'!$G742*2</f>
        <v>0</v>
      </c>
      <c r="F741" s="6">
        <f>'MATCH CALCS'!$G742*2</f>
        <v>0</v>
      </c>
      <c r="G741" s="6">
        <f>'MATCH CALCS'!$G742*2</f>
        <v>0</v>
      </c>
      <c r="H741" s="6">
        <f>'MATCH CALCS'!$G742*2</f>
        <v>0</v>
      </c>
      <c r="I741" s="6">
        <f>'MATCH CALCS'!$G742*2</f>
        <v>0</v>
      </c>
      <c r="J741" s="154">
        <f t="shared" si="15"/>
        <v>0</v>
      </c>
      <c r="K741" s="6">
        <f>'MATCH CALCS'!L742*1</f>
        <v>0</v>
      </c>
      <c r="L741" s="6">
        <f>'MATCH CALCS'!$N742*2</f>
        <v>0</v>
      </c>
      <c r="M741" s="6">
        <f>'MATCH CALCS'!N742*1</f>
        <v>0</v>
      </c>
      <c r="N741" s="6">
        <f>'MATCH CALCS'!$N742*2</f>
        <v>0</v>
      </c>
      <c r="O741" s="6">
        <f>'MATCH CALCS'!$N742*2</f>
        <v>0</v>
      </c>
      <c r="P741" s="6">
        <f>'MATCH CALCS'!$P742*5</f>
        <v>0</v>
      </c>
      <c r="Q741" s="154">
        <f t="shared" si="16"/>
        <v>0</v>
      </c>
      <c r="R741" s="6">
        <f>'MATCH CALCS'!$AD742*1</f>
        <v>0</v>
      </c>
      <c r="S741" s="6">
        <f>'MATCH CALCS'!AC742*3</f>
        <v>0</v>
      </c>
      <c r="T741" s="6">
        <f>'MATCH CALCS'!AD742*3</f>
        <v>0</v>
      </c>
      <c r="U741" s="155">
        <f t="shared" si="17"/>
        <v>0</v>
      </c>
      <c r="V741" s="154">
        <f t="shared" si="18"/>
        <v>0</v>
      </c>
    </row>
    <row r="742" spans="1:22">
      <c r="A742" s="154">
        <f>'MATCH CALCS'!A743</f>
        <v>0</v>
      </c>
      <c r="B742" s="154">
        <f>'MATCH CALCS'!$C743</f>
        <v>0</v>
      </c>
      <c r="C742" s="154">
        <f t="shared" si="14"/>
        <v>0</v>
      </c>
      <c r="D742" s="6">
        <f>'MATCH CALCS'!$G743*2</f>
        <v>0</v>
      </c>
      <c r="E742" s="6">
        <f>'MATCH CALCS'!$G743*2</f>
        <v>0</v>
      </c>
      <c r="F742" s="6">
        <f>'MATCH CALCS'!$G743*2</f>
        <v>0</v>
      </c>
      <c r="G742" s="6">
        <f>'MATCH CALCS'!$G743*2</f>
        <v>0</v>
      </c>
      <c r="H742" s="6">
        <f>'MATCH CALCS'!$G743*2</f>
        <v>0</v>
      </c>
      <c r="I742" s="6">
        <f>'MATCH CALCS'!$G743*2</f>
        <v>0</v>
      </c>
      <c r="J742" s="154">
        <f t="shared" si="15"/>
        <v>0</v>
      </c>
      <c r="K742" s="6">
        <f>'MATCH CALCS'!L743*1</f>
        <v>0</v>
      </c>
      <c r="L742" s="6">
        <f>'MATCH CALCS'!$N743*2</f>
        <v>0</v>
      </c>
      <c r="M742" s="6">
        <f>'MATCH CALCS'!N743*1</f>
        <v>0</v>
      </c>
      <c r="N742" s="6">
        <f>'MATCH CALCS'!$N743*2</f>
        <v>0</v>
      </c>
      <c r="O742" s="6">
        <f>'MATCH CALCS'!$N743*2</f>
        <v>0</v>
      </c>
      <c r="P742" s="6">
        <f>'MATCH CALCS'!$P743*5</f>
        <v>0</v>
      </c>
      <c r="Q742" s="154">
        <f t="shared" si="16"/>
        <v>0</v>
      </c>
      <c r="R742" s="6">
        <f>'MATCH CALCS'!$AD743*1</f>
        <v>0</v>
      </c>
      <c r="S742" s="6">
        <f>'MATCH CALCS'!AC743*3</f>
        <v>0</v>
      </c>
      <c r="T742" s="6">
        <f>'MATCH CALCS'!AD743*3</f>
        <v>0</v>
      </c>
      <c r="U742" s="155">
        <f t="shared" si="17"/>
        <v>0</v>
      </c>
      <c r="V742" s="154">
        <f t="shared" si="18"/>
        <v>0</v>
      </c>
    </row>
    <row r="743" spans="1:22">
      <c r="A743" s="154">
        <f>'MATCH CALCS'!A744</f>
        <v>0</v>
      </c>
      <c r="B743" s="154">
        <f>'MATCH CALCS'!$C744</f>
        <v>0</v>
      </c>
      <c r="C743" s="154">
        <f t="shared" si="14"/>
        <v>0</v>
      </c>
      <c r="D743" s="6">
        <f>'MATCH CALCS'!$G744*2</f>
        <v>0</v>
      </c>
      <c r="E743" s="6">
        <f>'MATCH CALCS'!$G744*2</f>
        <v>0</v>
      </c>
      <c r="F743" s="6">
        <f>'MATCH CALCS'!$G744*2</f>
        <v>0</v>
      </c>
      <c r="G743" s="6">
        <f>'MATCH CALCS'!$G744*2</f>
        <v>0</v>
      </c>
      <c r="H743" s="6">
        <f>'MATCH CALCS'!$G744*2</f>
        <v>0</v>
      </c>
      <c r="I743" s="6">
        <f>'MATCH CALCS'!$G744*2</f>
        <v>0</v>
      </c>
      <c r="J743" s="154">
        <f t="shared" si="15"/>
        <v>0</v>
      </c>
      <c r="K743" s="6">
        <f>'MATCH CALCS'!L744*1</f>
        <v>0</v>
      </c>
      <c r="L743" s="6">
        <f>'MATCH CALCS'!$N744*2</f>
        <v>0</v>
      </c>
      <c r="M743" s="6">
        <f>'MATCH CALCS'!N744*1</f>
        <v>0</v>
      </c>
      <c r="N743" s="6">
        <f>'MATCH CALCS'!$N744*2</f>
        <v>0</v>
      </c>
      <c r="O743" s="6">
        <f>'MATCH CALCS'!$N744*2</f>
        <v>0</v>
      </c>
      <c r="P743" s="6">
        <f>'MATCH CALCS'!$P744*5</f>
        <v>0</v>
      </c>
      <c r="Q743" s="154">
        <f t="shared" si="16"/>
        <v>0</v>
      </c>
      <c r="R743" s="6">
        <f>'MATCH CALCS'!$AD744*1</f>
        <v>0</v>
      </c>
      <c r="S743" s="6">
        <f>'MATCH CALCS'!AC744*3</f>
        <v>0</v>
      </c>
      <c r="T743" s="6">
        <f>'MATCH CALCS'!AD744*3</f>
        <v>0</v>
      </c>
      <c r="U743" s="155">
        <f t="shared" si="17"/>
        <v>0</v>
      </c>
      <c r="V743" s="154">
        <f t="shared" si="18"/>
        <v>0</v>
      </c>
    </row>
    <row r="744" spans="1:22">
      <c r="A744" s="154">
        <f>'MATCH CALCS'!A745</f>
        <v>0</v>
      </c>
      <c r="B744" s="154">
        <f>'MATCH CALCS'!$C745</f>
        <v>0</v>
      </c>
      <c r="C744" s="154">
        <f t="shared" si="14"/>
        <v>0</v>
      </c>
      <c r="D744" s="6">
        <f>'MATCH CALCS'!$G745*2</f>
        <v>0</v>
      </c>
      <c r="E744" s="6">
        <f>'MATCH CALCS'!$G745*2</f>
        <v>0</v>
      </c>
      <c r="F744" s="6">
        <f>'MATCH CALCS'!$G745*2</f>
        <v>0</v>
      </c>
      <c r="G744" s="6">
        <f>'MATCH CALCS'!$G745*2</f>
        <v>0</v>
      </c>
      <c r="H744" s="6">
        <f>'MATCH CALCS'!$G745*2</f>
        <v>0</v>
      </c>
      <c r="I744" s="6">
        <f>'MATCH CALCS'!$G745*2</f>
        <v>0</v>
      </c>
      <c r="J744" s="154">
        <f t="shared" si="15"/>
        <v>0</v>
      </c>
      <c r="K744" s="6">
        <f>'MATCH CALCS'!L745*1</f>
        <v>0</v>
      </c>
      <c r="L744" s="6">
        <f>'MATCH CALCS'!$N745*2</f>
        <v>0</v>
      </c>
      <c r="M744" s="6">
        <f>'MATCH CALCS'!N745*1</f>
        <v>0</v>
      </c>
      <c r="N744" s="6">
        <f>'MATCH CALCS'!$N745*2</f>
        <v>0</v>
      </c>
      <c r="O744" s="6">
        <f>'MATCH CALCS'!$N745*2</f>
        <v>0</v>
      </c>
      <c r="P744" s="6">
        <f>'MATCH CALCS'!$P745*5</f>
        <v>0</v>
      </c>
      <c r="Q744" s="154">
        <f t="shared" si="16"/>
        <v>0</v>
      </c>
      <c r="R744" s="6">
        <f>'MATCH CALCS'!$AD745*1</f>
        <v>0</v>
      </c>
      <c r="S744" s="6">
        <f>'MATCH CALCS'!AC745*3</f>
        <v>0</v>
      </c>
      <c r="T744" s="6">
        <f>'MATCH CALCS'!AD745*3</f>
        <v>0</v>
      </c>
      <c r="U744" s="155">
        <f t="shared" si="17"/>
        <v>0</v>
      </c>
      <c r="V744" s="154">
        <f t="shared" si="18"/>
        <v>0</v>
      </c>
    </row>
    <row r="745" spans="1:22">
      <c r="A745" s="154">
        <f>'MATCH CALCS'!A746</f>
        <v>0</v>
      </c>
      <c r="B745" s="154">
        <f>'MATCH CALCS'!$C746</f>
        <v>0</v>
      </c>
      <c r="C745" s="154">
        <f t="shared" si="14"/>
        <v>0</v>
      </c>
      <c r="D745" s="6">
        <f>'MATCH CALCS'!$G746*2</f>
        <v>0</v>
      </c>
      <c r="E745" s="6">
        <f>'MATCH CALCS'!$G746*2</f>
        <v>0</v>
      </c>
      <c r="F745" s="6">
        <f>'MATCH CALCS'!$G746*2</f>
        <v>0</v>
      </c>
      <c r="G745" s="6">
        <f>'MATCH CALCS'!$G746*2</f>
        <v>0</v>
      </c>
      <c r="H745" s="6">
        <f>'MATCH CALCS'!$G746*2</f>
        <v>0</v>
      </c>
      <c r="I745" s="6">
        <f>'MATCH CALCS'!$G746*2</f>
        <v>0</v>
      </c>
      <c r="J745" s="154">
        <f t="shared" si="15"/>
        <v>0</v>
      </c>
      <c r="K745" s="6">
        <f>'MATCH CALCS'!L746*1</f>
        <v>0</v>
      </c>
      <c r="L745" s="6">
        <f>'MATCH CALCS'!$N746*2</f>
        <v>0</v>
      </c>
      <c r="M745" s="6">
        <f>'MATCH CALCS'!N746*1</f>
        <v>0</v>
      </c>
      <c r="N745" s="6">
        <f>'MATCH CALCS'!$N746*2</f>
        <v>0</v>
      </c>
      <c r="O745" s="6">
        <f>'MATCH CALCS'!$N746*2</f>
        <v>0</v>
      </c>
      <c r="P745" s="6">
        <f>'MATCH CALCS'!$P746*5</f>
        <v>0</v>
      </c>
      <c r="Q745" s="154">
        <f t="shared" si="16"/>
        <v>0</v>
      </c>
      <c r="R745" s="6">
        <f>'MATCH CALCS'!$AD746*1</f>
        <v>0</v>
      </c>
      <c r="S745" s="6">
        <f>'MATCH CALCS'!AC746*3</f>
        <v>0</v>
      </c>
      <c r="T745" s="6">
        <f>'MATCH CALCS'!AD746*3</f>
        <v>0</v>
      </c>
      <c r="U745" s="155">
        <f t="shared" si="17"/>
        <v>0</v>
      </c>
      <c r="V745" s="154">
        <f t="shared" si="18"/>
        <v>0</v>
      </c>
    </row>
    <row r="746" spans="1:22">
      <c r="A746" s="154">
        <f>'MATCH CALCS'!A747</f>
        <v>0</v>
      </c>
      <c r="B746" s="154">
        <f>'MATCH CALCS'!$C747</f>
        <v>0</v>
      </c>
      <c r="C746" s="154">
        <f t="shared" si="14"/>
        <v>0</v>
      </c>
      <c r="D746" s="6">
        <f>'MATCH CALCS'!$G747*2</f>
        <v>0</v>
      </c>
      <c r="E746" s="6">
        <f>'MATCH CALCS'!$G747*2</f>
        <v>0</v>
      </c>
      <c r="F746" s="6">
        <f>'MATCH CALCS'!$G747*2</f>
        <v>0</v>
      </c>
      <c r="G746" s="6">
        <f>'MATCH CALCS'!$G747*2</f>
        <v>0</v>
      </c>
      <c r="H746" s="6">
        <f>'MATCH CALCS'!$G747*2</f>
        <v>0</v>
      </c>
      <c r="I746" s="6">
        <f>'MATCH CALCS'!$G747*2</f>
        <v>0</v>
      </c>
      <c r="J746" s="154">
        <f t="shared" si="15"/>
        <v>0</v>
      </c>
      <c r="K746" s="6">
        <f>'MATCH CALCS'!L747*1</f>
        <v>0</v>
      </c>
      <c r="L746" s="6">
        <f>'MATCH CALCS'!$N747*2</f>
        <v>0</v>
      </c>
      <c r="M746" s="6">
        <f>'MATCH CALCS'!N747*1</f>
        <v>0</v>
      </c>
      <c r="N746" s="6">
        <f>'MATCH CALCS'!$N747*2</f>
        <v>0</v>
      </c>
      <c r="O746" s="6">
        <f>'MATCH CALCS'!$N747*2</f>
        <v>0</v>
      </c>
      <c r="P746" s="6">
        <f>'MATCH CALCS'!$P747*5</f>
        <v>0</v>
      </c>
      <c r="Q746" s="154">
        <f t="shared" si="16"/>
        <v>0</v>
      </c>
      <c r="R746" s="6">
        <f>'MATCH CALCS'!$AD747*1</f>
        <v>0</v>
      </c>
      <c r="S746" s="6">
        <f>'MATCH CALCS'!AC747*3</f>
        <v>0</v>
      </c>
      <c r="T746" s="6">
        <f>'MATCH CALCS'!AD747*3</f>
        <v>0</v>
      </c>
      <c r="U746" s="155">
        <f t="shared" si="17"/>
        <v>0</v>
      </c>
      <c r="V746" s="154">
        <f t="shared" si="18"/>
        <v>0</v>
      </c>
    </row>
    <row r="747" spans="1:22">
      <c r="A747" s="154">
        <f>'MATCH CALCS'!A748</f>
        <v>0</v>
      </c>
      <c r="B747" s="154">
        <f>'MATCH CALCS'!$C748</f>
        <v>0</v>
      </c>
      <c r="C747" s="154">
        <f t="shared" si="14"/>
        <v>0</v>
      </c>
      <c r="D747" s="6">
        <f>'MATCH CALCS'!$G748*2</f>
        <v>0</v>
      </c>
      <c r="E747" s="6">
        <f>'MATCH CALCS'!$G748*2</f>
        <v>0</v>
      </c>
      <c r="F747" s="6">
        <f>'MATCH CALCS'!$G748*2</f>
        <v>0</v>
      </c>
      <c r="G747" s="6">
        <f>'MATCH CALCS'!$G748*2</f>
        <v>0</v>
      </c>
      <c r="H747" s="6">
        <f>'MATCH CALCS'!$G748*2</f>
        <v>0</v>
      </c>
      <c r="I747" s="6">
        <f>'MATCH CALCS'!$G748*2</f>
        <v>0</v>
      </c>
      <c r="J747" s="154">
        <f t="shared" si="15"/>
        <v>0</v>
      </c>
      <c r="K747" s="6">
        <f>'MATCH CALCS'!L748*1</f>
        <v>0</v>
      </c>
      <c r="L747" s="6">
        <f>'MATCH CALCS'!$N748*2</f>
        <v>0</v>
      </c>
      <c r="M747" s="6">
        <f>'MATCH CALCS'!N748*1</f>
        <v>0</v>
      </c>
      <c r="N747" s="6">
        <f>'MATCH CALCS'!$N748*2</f>
        <v>0</v>
      </c>
      <c r="O747" s="6">
        <f>'MATCH CALCS'!$N748*2</f>
        <v>0</v>
      </c>
      <c r="P747" s="6">
        <f>'MATCH CALCS'!$P748*5</f>
        <v>0</v>
      </c>
      <c r="Q747" s="154">
        <f t="shared" si="16"/>
        <v>0</v>
      </c>
      <c r="R747" s="6">
        <f>'MATCH CALCS'!$AD748*1</f>
        <v>0</v>
      </c>
      <c r="S747" s="6">
        <f>'MATCH CALCS'!AC748*3</f>
        <v>0</v>
      </c>
      <c r="T747" s="6">
        <f>'MATCH CALCS'!AD748*3</f>
        <v>0</v>
      </c>
      <c r="U747" s="155">
        <f t="shared" si="17"/>
        <v>0</v>
      </c>
      <c r="V747" s="154">
        <f t="shared" si="18"/>
        <v>0</v>
      </c>
    </row>
    <row r="748" spans="1:22">
      <c r="A748" s="154">
        <f>'MATCH CALCS'!A749</f>
        <v>0</v>
      </c>
      <c r="B748" s="154">
        <f>'MATCH CALCS'!$C749</f>
        <v>0</v>
      </c>
      <c r="C748" s="154">
        <f t="shared" si="14"/>
        <v>0</v>
      </c>
      <c r="D748" s="6">
        <f>'MATCH CALCS'!$G749*2</f>
        <v>0</v>
      </c>
      <c r="E748" s="6">
        <f>'MATCH CALCS'!$G749*2</f>
        <v>0</v>
      </c>
      <c r="F748" s="6">
        <f>'MATCH CALCS'!$G749*2</f>
        <v>0</v>
      </c>
      <c r="G748" s="6">
        <f>'MATCH CALCS'!$G749*2</f>
        <v>0</v>
      </c>
      <c r="H748" s="6">
        <f>'MATCH CALCS'!$G749*2</f>
        <v>0</v>
      </c>
      <c r="I748" s="6">
        <f>'MATCH CALCS'!$G749*2</f>
        <v>0</v>
      </c>
      <c r="J748" s="154">
        <f t="shared" si="15"/>
        <v>0</v>
      </c>
      <c r="K748" s="6">
        <f>'MATCH CALCS'!L749*1</f>
        <v>0</v>
      </c>
      <c r="L748" s="6">
        <f>'MATCH CALCS'!$N749*2</f>
        <v>0</v>
      </c>
      <c r="M748" s="6">
        <f>'MATCH CALCS'!N749*1</f>
        <v>0</v>
      </c>
      <c r="N748" s="6">
        <f>'MATCH CALCS'!$N749*2</f>
        <v>0</v>
      </c>
      <c r="O748" s="6">
        <f>'MATCH CALCS'!$N749*2</f>
        <v>0</v>
      </c>
      <c r="P748" s="6">
        <f>'MATCH CALCS'!$P749*5</f>
        <v>0</v>
      </c>
      <c r="Q748" s="154">
        <f t="shared" si="16"/>
        <v>0</v>
      </c>
      <c r="R748" s="6">
        <f>'MATCH CALCS'!$AD749*1</f>
        <v>0</v>
      </c>
      <c r="S748" s="6">
        <f>'MATCH CALCS'!AC749*3</f>
        <v>0</v>
      </c>
      <c r="T748" s="6">
        <f>'MATCH CALCS'!AD749*3</f>
        <v>0</v>
      </c>
      <c r="U748" s="155">
        <f t="shared" si="17"/>
        <v>0</v>
      </c>
      <c r="V748" s="154">
        <f t="shared" si="18"/>
        <v>0</v>
      </c>
    </row>
    <row r="749" spans="1:22">
      <c r="A749" s="154">
        <f>'MATCH CALCS'!A750</f>
        <v>0</v>
      </c>
      <c r="B749" s="154">
        <f>'MATCH CALCS'!$C750</f>
        <v>0</v>
      </c>
      <c r="C749" s="154">
        <f t="shared" si="14"/>
        <v>0</v>
      </c>
      <c r="D749" s="6">
        <f>'MATCH CALCS'!$G750*2</f>
        <v>0</v>
      </c>
      <c r="E749" s="6">
        <f>'MATCH CALCS'!$G750*2</f>
        <v>0</v>
      </c>
      <c r="F749" s="6">
        <f>'MATCH CALCS'!$G750*2</f>
        <v>0</v>
      </c>
      <c r="G749" s="6">
        <f>'MATCH CALCS'!$G750*2</f>
        <v>0</v>
      </c>
      <c r="H749" s="6">
        <f>'MATCH CALCS'!$G750*2</f>
        <v>0</v>
      </c>
      <c r="I749" s="6">
        <f>'MATCH CALCS'!$G750*2</f>
        <v>0</v>
      </c>
      <c r="J749" s="154">
        <f t="shared" si="15"/>
        <v>0</v>
      </c>
      <c r="K749" s="6">
        <f>'MATCH CALCS'!L750*1</f>
        <v>0</v>
      </c>
      <c r="L749" s="6">
        <f>'MATCH CALCS'!$N750*2</f>
        <v>0</v>
      </c>
      <c r="M749" s="6">
        <f>'MATCH CALCS'!N750*1</f>
        <v>0</v>
      </c>
      <c r="N749" s="6">
        <f>'MATCH CALCS'!$N750*2</f>
        <v>0</v>
      </c>
      <c r="O749" s="6">
        <f>'MATCH CALCS'!$N750*2</f>
        <v>0</v>
      </c>
      <c r="P749" s="6">
        <f>'MATCH CALCS'!$P750*5</f>
        <v>0</v>
      </c>
      <c r="Q749" s="154">
        <f t="shared" si="16"/>
        <v>0</v>
      </c>
      <c r="R749" s="6">
        <f>'MATCH CALCS'!$AD750*1</f>
        <v>0</v>
      </c>
      <c r="S749" s="6">
        <f>'MATCH CALCS'!AC750*3</f>
        <v>0</v>
      </c>
      <c r="T749" s="6">
        <f>'MATCH CALCS'!AD750*3</f>
        <v>0</v>
      </c>
      <c r="U749" s="155">
        <f t="shared" si="17"/>
        <v>0</v>
      </c>
      <c r="V749" s="154">
        <f t="shared" si="18"/>
        <v>0</v>
      </c>
    </row>
    <row r="750" spans="1:22">
      <c r="A750" s="154">
        <f>'MATCH CALCS'!A751</f>
        <v>0</v>
      </c>
      <c r="B750" s="154">
        <f>'MATCH CALCS'!$C751</f>
        <v>0</v>
      </c>
      <c r="C750" s="154">
        <f t="shared" si="14"/>
        <v>0</v>
      </c>
      <c r="D750" s="6">
        <f>'MATCH CALCS'!$G751*2</f>
        <v>0</v>
      </c>
      <c r="E750" s="6">
        <f>'MATCH CALCS'!$G751*2</f>
        <v>0</v>
      </c>
      <c r="F750" s="6">
        <f>'MATCH CALCS'!$G751*2</f>
        <v>0</v>
      </c>
      <c r="G750" s="6">
        <f>'MATCH CALCS'!$G751*2</f>
        <v>0</v>
      </c>
      <c r="H750" s="6">
        <f>'MATCH CALCS'!$G751*2</f>
        <v>0</v>
      </c>
      <c r="I750" s="6">
        <f>'MATCH CALCS'!$G751*2</f>
        <v>0</v>
      </c>
      <c r="J750" s="154">
        <f t="shared" si="15"/>
        <v>0</v>
      </c>
      <c r="K750" s="6">
        <f>'MATCH CALCS'!L751*1</f>
        <v>0</v>
      </c>
      <c r="L750" s="6">
        <f>'MATCH CALCS'!$N751*2</f>
        <v>0</v>
      </c>
      <c r="M750" s="6">
        <f>'MATCH CALCS'!N751*1</f>
        <v>0</v>
      </c>
      <c r="N750" s="6">
        <f>'MATCH CALCS'!$N751*2</f>
        <v>0</v>
      </c>
      <c r="O750" s="6">
        <f>'MATCH CALCS'!$N751*2</f>
        <v>0</v>
      </c>
      <c r="P750" s="6">
        <f>'MATCH CALCS'!$P751*5</f>
        <v>0</v>
      </c>
      <c r="Q750" s="154">
        <f t="shared" si="16"/>
        <v>0</v>
      </c>
      <c r="R750" s="6">
        <f>'MATCH CALCS'!$AD751*1</f>
        <v>0</v>
      </c>
      <c r="S750" s="6">
        <f>'MATCH CALCS'!AC751*3</f>
        <v>0</v>
      </c>
      <c r="T750" s="6">
        <f>'MATCH CALCS'!AD751*3</f>
        <v>0</v>
      </c>
      <c r="U750" s="155">
        <f t="shared" si="17"/>
        <v>0</v>
      </c>
      <c r="V750" s="154">
        <f t="shared" si="18"/>
        <v>0</v>
      </c>
    </row>
    <row r="751" spans="1:22">
      <c r="A751" s="154">
        <f>'MATCH CALCS'!A752</f>
        <v>0</v>
      </c>
      <c r="B751" s="154">
        <f>'MATCH CALCS'!$C752</f>
        <v>0</v>
      </c>
      <c r="C751" s="154">
        <f t="shared" si="14"/>
        <v>0</v>
      </c>
      <c r="D751" s="6">
        <f>'MATCH CALCS'!$G752*2</f>
        <v>0</v>
      </c>
      <c r="E751" s="6">
        <f>'MATCH CALCS'!$G752*2</f>
        <v>0</v>
      </c>
      <c r="F751" s="6">
        <f>'MATCH CALCS'!$G752*2</f>
        <v>0</v>
      </c>
      <c r="G751" s="6">
        <f>'MATCH CALCS'!$G752*2</f>
        <v>0</v>
      </c>
      <c r="H751" s="6">
        <f>'MATCH CALCS'!$G752*2</f>
        <v>0</v>
      </c>
      <c r="I751" s="6">
        <f>'MATCH CALCS'!$G752*2</f>
        <v>0</v>
      </c>
      <c r="J751" s="154">
        <f t="shared" si="15"/>
        <v>0</v>
      </c>
      <c r="K751" s="6">
        <f>'MATCH CALCS'!L752*1</f>
        <v>0</v>
      </c>
      <c r="L751" s="6">
        <f>'MATCH CALCS'!$N752*2</f>
        <v>0</v>
      </c>
      <c r="M751" s="6">
        <f>'MATCH CALCS'!N752*1</f>
        <v>0</v>
      </c>
      <c r="N751" s="6">
        <f>'MATCH CALCS'!$N752*2</f>
        <v>0</v>
      </c>
      <c r="O751" s="6">
        <f>'MATCH CALCS'!$N752*2</f>
        <v>0</v>
      </c>
      <c r="P751" s="6">
        <f>'MATCH CALCS'!$P752*5</f>
        <v>0</v>
      </c>
      <c r="Q751" s="154">
        <f t="shared" si="16"/>
        <v>0</v>
      </c>
      <c r="R751" s="6">
        <f>'MATCH CALCS'!$AD752*1</f>
        <v>0</v>
      </c>
      <c r="S751" s="6">
        <f>'MATCH CALCS'!AC752*3</f>
        <v>0</v>
      </c>
      <c r="T751" s="6">
        <f>'MATCH CALCS'!AD752*3</f>
        <v>0</v>
      </c>
      <c r="U751" s="155">
        <f t="shared" si="17"/>
        <v>0</v>
      </c>
      <c r="V751" s="154">
        <f t="shared" si="18"/>
        <v>0</v>
      </c>
    </row>
    <row r="752" spans="1:22">
      <c r="A752" s="154">
        <f>'MATCH CALCS'!A753</f>
        <v>0</v>
      </c>
      <c r="B752" s="154">
        <f>'MATCH CALCS'!$C753</f>
        <v>0</v>
      </c>
      <c r="C752" s="154">
        <f t="shared" si="14"/>
        <v>0</v>
      </c>
      <c r="D752" s="6">
        <f>'MATCH CALCS'!$G753*2</f>
        <v>0</v>
      </c>
      <c r="E752" s="6">
        <f>'MATCH CALCS'!$G753*2</f>
        <v>0</v>
      </c>
      <c r="F752" s="6">
        <f>'MATCH CALCS'!$G753*2</f>
        <v>0</v>
      </c>
      <c r="G752" s="6">
        <f>'MATCH CALCS'!$G753*2</f>
        <v>0</v>
      </c>
      <c r="H752" s="6">
        <f>'MATCH CALCS'!$G753*2</f>
        <v>0</v>
      </c>
      <c r="I752" s="6">
        <f>'MATCH CALCS'!$G753*2</f>
        <v>0</v>
      </c>
      <c r="J752" s="154">
        <f t="shared" si="15"/>
        <v>0</v>
      </c>
      <c r="K752" s="6">
        <f>'MATCH CALCS'!L753*1</f>
        <v>0</v>
      </c>
      <c r="L752" s="6">
        <f>'MATCH CALCS'!$N753*2</f>
        <v>0</v>
      </c>
      <c r="M752" s="6">
        <f>'MATCH CALCS'!N753*1</f>
        <v>0</v>
      </c>
      <c r="N752" s="6">
        <f>'MATCH CALCS'!$N753*2</f>
        <v>0</v>
      </c>
      <c r="O752" s="6">
        <f>'MATCH CALCS'!$N753*2</f>
        <v>0</v>
      </c>
      <c r="P752" s="6">
        <f>'MATCH CALCS'!$P753*5</f>
        <v>0</v>
      </c>
      <c r="Q752" s="154">
        <f t="shared" si="16"/>
        <v>0</v>
      </c>
      <c r="R752" s="6">
        <f>'MATCH CALCS'!$AD753*1</f>
        <v>0</v>
      </c>
      <c r="S752" s="6">
        <f>'MATCH CALCS'!AC753*3</f>
        <v>0</v>
      </c>
      <c r="T752" s="6">
        <f>'MATCH CALCS'!AD753*3</f>
        <v>0</v>
      </c>
      <c r="U752" s="155">
        <f t="shared" si="17"/>
        <v>0</v>
      </c>
      <c r="V752" s="154">
        <f t="shared" si="18"/>
        <v>0</v>
      </c>
    </row>
    <row r="753" spans="1:22">
      <c r="A753" s="154">
        <f>'MATCH CALCS'!A754</f>
        <v>0</v>
      </c>
      <c r="B753" s="154">
        <f>'MATCH CALCS'!$C754</f>
        <v>0</v>
      </c>
      <c r="C753" s="154">
        <f t="shared" si="14"/>
        <v>0</v>
      </c>
      <c r="D753" s="6">
        <f>'MATCH CALCS'!$G754*2</f>
        <v>0</v>
      </c>
      <c r="E753" s="6">
        <f>'MATCH CALCS'!$G754*2</f>
        <v>0</v>
      </c>
      <c r="F753" s="6">
        <f>'MATCH CALCS'!$G754*2</f>
        <v>0</v>
      </c>
      <c r="G753" s="6">
        <f>'MATCH CALCS'!$G754*2</f>
        <v>0</v>
      </c>
      <c r="H753" s="6">
        <f>'MATCH CALCS'!$G754*2</f>
        <v>0</v>
      </c>
      <c r="I753" s="6">
        <f>'MATCH CALCS'!$G754*2</f>
        <v>0</v>
      </c>
      <c r="J753" s="154">
        <f t="shared" si="15"/>
        <v>0</v>
      </c>
      <c r="K753" s="6">
        <f>'MATCH CALCS'!L754*1</f>
        <v>0</v>
      </c>
      <c r="L753" s="6">
        <f>'MATCH CALCS'!$N754*2</f>
        <v>0</v>
      </c>
      <c r="M753" s="6">
        <f>'MATCH CALCS'!N754*1</f>
        <v>0</v>
      </c>
      <c r="N753" s="6">
        <f>'MATCH CALCS'!$N754*2</f>
        <v>0</v>
      </c>
      <c r="O753" s="6">
        <f>'MATCH CALCS'!$N754*2</f>
        <v>0</v>
      </c>
      <c r="P753" s="6">
        <f>'MATCH CALCS'!$P754*5</f>
        <v>0</v>
      </c>
      <c r="Q753" s="154">
        <f t="shared" si="16"/>
        <v>0</v>
      </c>
      <c r="R753" s="6">
        <f>'MATCH CALCS'!$AD754*1</f>
        <v>0</v>
      </c>
      <c r="S753" s="6">
        <f>'MATCH CALCS'!AC754*3</f>
        <v>0</v>
      </c>
      <c r="T753" s="6">
        <f>'MATCH CALCS'!AD754*3</f>
        <v>0</v>
      </c>
      <c r="U753" s="155">
        <f t="shared" si="17"/>
        <v>0</v>
      </c>
      <c r="V753" s="154">
        <f t="shared" si="18"/>
        <v>0</v>
      </c>
    </row>
    <row r="754" spans="1:22">
      <c r="A754" s="154">
        <f>'MATCH CALCS'!A755</f>
        <v>0</v>
      </c>
      <c r="B754" s="154">
        <f>'MATCH CALCS'!$C755</f>
        <v>0</v>
      </c>
      <c r="C754" s="154">
        <f t="shared" si="14"/>
        <v>0</v>
      </c>
      <c r="D754" s="6">
        <f>'MATCH CALCS'!$G755*2</f>
        <v>0</v>
      </c>
      <c r="E754" s="6">
        <f>'MATCH CALCS'!$G755*2</f>
        <v>0</v>
      </c>
      <c r="F754" s="6">
        <f>'MATCH CALCS'!$G755*2</f>
        <v>0</v>
      </c>
      <c r="G754" s="6">
        <f>'MATCH CALCS'!$G755*2</f>
        <v>0</v>
      </c>
      <c r="H754" s="6">
        <f>'MATCH CALCS'!$G755*2</f>
        <v>0</v>
      </c>
      <c r="I754" s="6">
        <f>'MATCH CALCS'!$G755*2</f>
        <v>0</v>
      </c>
      <c r="J754" s="154">
        <f t="shared" si="15"/>
        <v>0</v>
      </c>
      <c r="K754" s="6">
        <f>'MATCH CALCS'!L755*1</f>
        <v>0</v>
      </c>
      <c r="L754" s="6">
        <f>'MATCH CALCS'!$N755*2</f>
        <v>0</v>
      </c>
      <c r="M754" s="6">
        <f>'MATCH CALCS'!N755*1</f>
        <v>0</v>
      </c>
      <c r="N754" s="6">
        <f>'MATCH CALCS'!$N755*2</f>
        <v>0</v>
      </c>
      <c r="O754" s="6">
        <f>'MATCH CALCS'!$N755*2</f>
        <v>0</v>
      </c>
      <c r="P754" s="6">
        <f>'MATCH CALCS'!$P755*5</f>
        <v>0</v>
      </c>
      <c r="Q754" s="154">
        <f t="shared" si="16"/>
        <v>0</v>
      </c>
      <c r="R754" s="6">
        <f>'MATCH CALCS'!$AD755*1</f>
        <v>0</v>
      </c>
      <c r="S754" s="6">
        <f>'MATCH CALCS'!AC755*3</f>
        <v>0</v>
      </c>
      <c r="T754" s="6">
        <f>'MATCH CALCS'!AD755*3</f>
        <v>0</v>
      </c>
      <c r="U754" s="155">
        <f t="shared" si="17"/>
        <v>0</v>
      </c>
      <c r="V754" s="154">
        <f t="shared" si="18"/>
        <v>0</v>
      </c>
    </row>
    <row r="755" spans="1:22">
      <c r="A755" s="154">
        <f>'MATCH CALCS'!A756</f>
        <v>0</v>
      </c>
      <c r="B755" s="154">
        <f>'MATCH CALCS'!$C756</f>
        <v>0</v>
      </c>
      <c r="C755" s="154">
        <f t="shared" si="14"/>
        <v>0</v>
      </c>
      <c r="D755" s="6">
        <f>'MATCH CALCS'!$G756*2</f>
        <v>0</v>
      </c>
      <c r="E755" s="6">
        <f>'MATCH CALCS'!$G756*2</f>
        <v>0</v>
      </c>
      <c r="F755" s="6">
        <f>'MATCH CALCS'!$G756*2</f>
        <v>0</v>
      </c>
      <c r="G755" s="6">
        <f>'MATCH CALCS'!$G756*2</f>
        <v>0</v>
      </c>
      <c r="H755" s="6">
        <f>'MATCH CALCS'!$G756*2</f>
        <v>0</v>
      </c>
      <c r="I755" s="6">
        <f>'MATCH CALCS'!$G756*2</f>
        <v>0</v>
      </c>
      <c r="J755" s="154">
        <f t="shared" si="15"/>
        <v>0</v>
      </c>
      <c r="K755" s="6">
        <f>'MATCH CALCS'!L756*1</f>
        <v>0</v>
      </c>
      <c r="L755" s="6">
        <f>'MATCH CALCS'!$N756*2</f>
        <v>0</v>
      </c>
      <c r="M755" s="6">
        <f>'MATCH CALCS'!N756*1</f>
        <v>0</v>
      </c>
      <c r="N755" s="6">
        <f>'MATCH CALCS'!$N756*2</f>
        <v>0</v>
      </c>
      <c r="O755" s="6">
        <f>'MATCH CALCS'!$N756*2</f>
        <v>0</v>
      </c>
      <c r="P755" s="6">
        <f>'MATCH CALCS'!$P756*5</f>
        <v>0</v>
      </c>
      <c r="Q755" s="154">
        <f t="shared" si="16"/>
        <v>0</v>
      </c>
      <c r="R755" s="6">
        <f>'MATCH CALCS'!$AD756*1</f>
        <v>0</v>
      </c>
      <c r="S755" s="6">
        <f>'MATCH CALCS'!AC756*3</f>
        <v>0</v>
      </c>
      <c r="T755" s="6">
        <f>'MATCH CALCS'!AD756*3</f>
        <v>0</v>
      </c>
      <c r="U755" s="155">
        <f t="shared" si="17"/>
        <v>0</v>
      </c>
      <c r="V755" s="154">
        <f t="shared" si="18"/>
        <v>0</v>
      </c>
    </row>
    <row r="756" spans="1:22">
      <c r="A756" s="154">
        <f>'MATCH CALCS'!A757</f>
        <v>0</v>
      </c>
      <c r="B756" s="154">
        <f>'MATCH CALCS'!$C757</f>
        <v>0</v>
      </c>
      <c r="C756" s="154">
        <f t="shared" si="14"/>
        <v>0</v>
      </c>
      <c r="D756" s="6">
        <f>'MATCH CALCS'!$G757*2</f>
        <v>0</v>
      </c>
      <c r="E756" s="6">
        <f>'MATCH CALCS'!$G757*2</f>
        <v>0</v>
      </c>
      <c r="F756" s="6">
        <f>'MATCH CALCS'!$G757*2</f>
        <v>0</v>
      </c>
      <c r="G756" s="6">
        <f>'MATCH CALCS'!$G757*2</f>
        <v>0</v>
      </c>
      <c r="H756" s="6">
        <f>'MATCH CALCS'!$G757*2</f>
        <v>0</v>
      </c>
      <c r="I756" s="6">
        <f>'MATCH CALCS'!$G757*2</f>
        <v>0</v>
      </c>
      <c r="J756" s="154">
        <f t="shared" si="15"/>
        <v>0</v>
      </c>
      <c r="K756" s="6">
        <f>'MATCH CALCS'!L757*1</f>
        <v>0</v>
      </c>
      <c r="L756" s="6">
        <f>'MATCH CALCS'!$N757*2</f>
        <v>0</v>
      </c>
      <c r="M756" s="6">
        <f>'MATCH CALCS'!N757*1</f>
        <v>0</v>
      </c>
      <c r="N756" s="6">
        <f>'MATCH CALCS'!$N757*2</f>
        <v>0</v>
      </c>
      <c r="O756" s="6">
        <f>'MATCH CALCS'!$N757*2</f>
        <v>0</v>
      </c>
      <c r="P756" s="6">
        <f>'MATCH CALCS'!$P757*5</f>
        <v>0</v>
      </c>
      <c r="Q756" s="154">
        <f t="shared" si="16"/>
        <v>0</v>
      </c>
      <c r="R756" s="6">
        <f>'MATCH CALCS'!$AD757*1</f>
        <v>0</v>
      </c>
      <c r="S756" s="6">
        <f>'MATCH CALCS'!AC757*3</f>
        <v>0</v>
      </c>
      <c r="T756" s="6">
        <f>'MATCH CALCS'!AD757*3</f>
        <v>0</v>
      </c>
      <c r="U756" s="155">
        <f t="shared" si="17"/>
        <v>0</v>
      </c>
      <c r="V756" s="154">
        <f t="shared" si="18"/>
        <v>0</v>
      </c>
    </row>
    <row r="757" spans="1:22">
      <c r="A757" s="154">
        <f>'MATCH CALCS'!A758</f>
        <v>0</v>
      </c>
      <c r="B757" s="154">
        <f>'MATCH CALCS'!$C758</f>
        <v>0</v>
      </c>
      <c r="C757" s="154">
        <f t="shared" si="14"/>
        <v>0</v>
      </c>
      <c r="D757" s="6">
        <f>'MATCH CALCS'!$G758*2</f>
        <v>0</v>
      </c>
      <c r="E757" s="6">
        <f>'MATCH CALCS'!$G758*2</f>
        <v>0</v>
      </c>
      <c r="F757" s="6">
        <f>'MATCH CALCS'!$G758*2</f>
        <v>0</v>
      </c>
      <c r="G757" s="6">
        <f>'MATCH CALCS'!$G758*2</f>
        <v>0</v>
      </c>
      <c r="H757" s="6">
        <f>'MATCH CALCS'!$G758*2</f>
        <v>0</v>
      </c>
      <c r="I757" s="6">
        <f>'MATCH CALCS'!$G758*2</f>
        <v>0</v>
      </c>
      <c r="J757" s="154">
        <f t="shared" si="15"/>
        <v>0</v>
      </c>
      <c r="K757" s="6">
        <f>'MATCH CALCS'!L758*1</f>
        <v>0</v>
      </c>
      <c r="L757" s="6">
        <f>'MATCH CALCS'!$N758*2</f>
        <v>0</v>
      </c>
      <c r="M757" s="6">
        <f>'MATCH CALCS'!N758*1</f>
        <v>0</v>
      </c>
      <c r="N757" s="6">
        <f>'MATCH CALCS'!$N758*2</f>
        <v>0</v>
      </c>
      <c r="O757" s="6">
        <f>'MATCH CALCS'!$N758*2</f>
        <v>0</v>
      </c>
      <c r="P757" s="6">
        <f>'MATCH CALCS'!$P758*5</f>
        <v>0</v>
      </c>
      <c r="Q757" s="154">
        <f t="shared" si="16"/>
        <v>0</v>
      </c>
      <c r="R757" s="6">
        <f>'MATCH CALCS'!$AD758*1</f>
        <v>0</v>
      </c>
      <c r="S757" s="6">
        <f>'MATCH CALCS'!AC758*3</f>
        <v>0</v>
      </c>
      <c r="T757" s="6">
        <f>'MATCH CALCS'!AD758*3</f>
        <v>0</v>
      </c>
      <c r="U757" s="155">
        <f t="shared" si="17"/>
        <v>0</v>
      </c>
      <c r="V757" s="154">
        <f t="shared" si="18"/>
        <v>0</v>
      </c>
    </row>
    <row r="758" spans="1:22">
      <c r="A758" s="154">
        <f>'MATCH CALCS'!A759</f>
        <v>0</v>
      </c>
      <c r="B758" s="154">
        <f>'MATCH CALCS'!$C759</f>
        <v>0</v>
      </c>
      <c r="C758" s="154">
        <f t="shared" si="14"/>
        <v>0</v>
      </c>
      <c r="D758" s="6">
        <f>'MATCH CALCS'!$G759*2</f>
        <v>0</v>
      </c>
      <c r="E758" s="6">
        <f>'MATCH CALCS'!$G759*2</f>
        <v>0</v>
      </c>
      <c r="F758" s="6">
        <f>'MATCH CALCS'!$G759*2</f>
        <v>0</v>
      </c>
      <c r="G758" s="6">
        <f>'MATCH CALCS'!$G759*2</f>
        <v>0</v>
      </c>
      <c r="H758" s="6">
        <f>'MATCH CALCS'!$G759*2</f>
        <v>0</v>
      </c>
      <c r="I758" s="6">
        <f>'MATCH CALCS'!$G759*2</f>
        <v>0</v>
      </c>
      <c r="J758" s="154">
        <f t="shared" si="15"/>
        <v>0</v>
      </c>
      <c r="K758" s="6">
        <f>'MATCH CALCS'!L759*1</f>
        <v>0</v>
      </c>
      <c r="L758" s="6">
        <f>'MATCH CALCS'!$N759*2</f>
        <v>0</v>
      </c>
      <c r="M758" s="6">
        <f>'MATCH CALCS'!N759*1</f>
        <v>0</v>
      </c>
      <c r="N758" s="6">
        <f>'MATCH CALCS'!$N759*2</f>
        <v>0</v>
      </c>
      <c r="O758" s="6">
        <f>'MATCH CALCS'!$N759*2</f>
        <v>0</v>
      </c>
      <c r="P758" s="6">
        <f>'MATCH CALCS'!$P759*5</f>
        <v>0</v>
      </c>
      <c r="Q758" s="154">
        <f t="shared" si="16"/>
        <v>0</v>
      </c>
      <c r="R758" s="6">
        <f>'MATCH CALCS'!$AD759*1</f>
        <v>0</v>
      </c>
      <c r="S758" s="6">
        <f>'MATCH CALCS'!AC759*3</f>
        <v>0</v>
      </c>
      <c r="T758" s="6">
        <f>'MATCH CALCS'!AD759*3</f>
        <v>0</v>
      </c>
      <c r="U758" s="155">
        <f t="shared" si="17"/>
        <v>0</v>
      </c>
      <c r="V758" s="154">
        <f t="shared" si="18"/>
        <v>0</v>
      </c>
    </row>
    <row r="759" spans="1:22">
      <c r="A759" s="154">
        <f>'MATCH CALCS'!A760</f>
        <v>0</v>
      </c>
      <c r="B759" s="154">
        <f>'MATCH CALCS'!$C760</f>
        <v>0</v>
      </c>
      <c r="C759" s="154">
        <f t="shared" si="14"/>
        <v>0</v>
      </c>
      <c r="D759" s="6">
        <f>'MATCH CALCS'!$G760*2</f>
        <v>0</v>
      </c>
      <c r="E759" s="6">
        <f>'MATCH CALCS'!$G760*2</f>
        <v>0</v>
      </c>
      <c r="F759" s="6">
        <f>'MATCH CALCS'!$G760*2</f>
        <v>0</v>
      </c>
      <c r="G759" s="6">
        <f>'MATCH CALCS'!$G760*2</f>
        <v>0</v>
      </c>
      <c r="H759" s="6">
        <f>'MATCH CALCS'!$G760*2</f>
        <v>0</v>
      </c>
      <c r="I759" s="6">
        <f>'MATCH CALCS'!$G760*2</f>
        <v>0</v>
      </c>
      <c r="J759" s="154">
        <f t="shared" si="15"/>
        <v>0</v>
      </c>
      <c r="K759" s="6">
        <f>'MATCH CALCS'!L760*1</f>
        <v>0</v>
      </c>
      <c r="L759" s="6">
        <f>'MATCH CALCS'!$N760*2</f>
        <v>0</v>
      </c>
      <c r="M759" s="6">
        <f>'MATCH CALCS'!N760*1</f>
        <v>0</v>
      </c>
      <c r="N759" s="6">
        <f>'MATCH CALCS'!$N760*2</f>
        <v>0</v>
      </c>
      <c r="O759" s="6">
        <f>'MATCH CALCS'!$N760*2</f>
        <v>0</v>
      </c>
      <c r="P759" s="6">
        <f>'MATCH CALCS'!$P760*5</f>
        <v>0</v>
      </c>
      <c r="Q759" s="154">
        <f t="shared" si="16"/>
        <v>0</v>
      </c>
      <c r="R759" s="6">
        <f>'MATCH CALCS'!$AD760*1</f>
        <v>0</v>
      </c>
      <c r="S759" s="6">
        <f>'MATCH CALCS'!AC760*3</f>
        <v>0</v>
      </c>
      <c r="T759" s="6">
        <f>'MATCH CALCS'!AD760*3</f>
        <v>0</v>
      </c>
      <c r="U759" s="155">
        <f t="shared" si="17"/>
        <v>0</v>
      </c>
      <c r="V759" s="154">
        <f t="shared" si="18"/>
        <v>0</v>
      </c>
    </row>
    <row r="760" spans="1:22">
      <c r="A760" s="154">
        <f>'MATCH CALCS'!A761</f>
        <v>0</v>
      </c>
      <c r="B760" s="154">
        <f>'MATCH CALCS'!$C761</f>
        <v>0</v>
      </c>
      <c r="C760" s="154">
        <f t="shared" si="14"/>
        <v>0</v>
      </c>
      <c r="D760" s="6">
        <f>'MATCH CALCS'!$G761*2</f>
        <v>0</v>
      </c>
      <c r="E760" s="6">
        <f>'MATCH CALCS'!$G761*2</f>
        <v>0</v>
      </c>
      <c r="F760" s="6">
        <f>'MATCH CALCS'!$G761*2</f>
        <v>0</v>
      </c>
      <c r="G760" s="6">
        <f>'MATCH CALCS'!$G761*2</f>
        <v>0</v>
      </c>
      <c r="H760" s="6">
        <f>'MATCH CALCS'!$G761*2</f>
        <v>0</v>
      </c>
      <c r="I760" s="6">
        <f>'MATCH CALCS'!$G761*2</f>
        <v>0</v>
      </c>
      <c r="J760" s="154">
        <f t="shared" si="15"/>
        <v>0</v>
      </c>
      <c r="K760" s="6">
        <f>'MATCH CALCS'!L761*1</f>
        <v>0</v>
      </c>
      <c r="L760" s="6">
        <f>'MATCH CALCS'!$N761*2</f>
        <v>0</v>
      </c>
      <c r="M760" s="6">
        <f>'MATCH CALCS'!N761*1</f>
        <v>0</v>
      </c>
      <c r="N760" s="6">
        <f>'MATCH CALCS'!$N761*2</f>
        <v>0</v>
      </c>
      <c r="O760" s="6">
        <f>'MATCH CALCS'!$N761*2</f>
        <v>0</v>
      </c>
      <c r="P760" s="6">
        <f>'MATCH CALCS'!$P761*5</f>
        <v>0</v>
      </c>
      <c r="Q760" s="154">
        <f t="shared" si="16"/>
        <v>0</v>
      </c>
      <c r="R760" s="6">
        <f>'MATCH CALCS'!$AD761*1</f>
        <v>0</v>
      </c>
      <c r="S760" s="6">
        <f>'MATCH CALCS'!AC761*3</f>
        <v>0</v>
      </c>
      <c r="T760" s="6">
        <f>'MATCH CALCS'!AD761*3</f>
        <v>0</v>
      </c>
      <c r="U760" s="155">
        <f t="shared" si="17"/>
        <v>0</v>
      </c>
      <c r="V760" s="154">
        <f t="shared" si="18"/>
        <v>0</v>
      </c>
    </row>
    <row r="761" spans="1:22">
      <c r="A761" s="154">
        <f>'MATCH CALCS'!A762</f>
        <v>0</v>
      </c>
      <c r="B761" s="154">
        <f>'MATCH CALCS'!$C762</f>
        <v>0</v>
      </c>
      <c r="C761" s="154">
        <f t="shared" si="14"/>
        <v>0</v>
      </c>
      <c r="D761" s="6">
        <f>'MATCH CALCS'!$G762*2</f>
        <v>0</v>
      </c>
      <c r="E761" s="6">
        <f>'MATCH CALCS'!$G762*2</f>
        <v>0</v>
      </c>
      <c r="F761" s="6">
        <f>'MATCH CALCS'!$G762*2</f>
        <v>0</v>
      </c>
      <c r="G761" s="6">
        <f>'MATCH CALCS'!$G762*2</f>
        <v>0</v>
      </c>
      <c r="H761" s="6">
        <f>'MATCH CALCS'!$G762*2</f>
        <v>0</v>
      </c>
      <c r="I761" s="6">
        <f>'MATCH CALCS'!$G762*2</f>
        <v>0</v>
      </c>
      <c r="J761" s="154">
        <f t="shared" si="15"/>
        <v>0</v>
      </c>
      <c r="K761" s="6">
        <f>'MATCH CALCS'!L762*1</f>
        <v>0</v>
      </c>
      <c r="L761" s="6">
        <f>'MATCH CALCS'!$N762*2</f>
        <v>0</v>
      </c>
      <c r="M761" s="6">
        <f>'MATCH CALCS'!N762*1</f>
        <v>0</v>
      </c>
      <c r="N761" s="6">
        <f>'MATCH CALCS'!$N762*2</f>
        <v>0</v>
      </c>
      <c r="O761" s="6">
        <f>'MATCH CALCS'!$N762*2</f>
        <v>0</v>
      </c>
      <c r="P761" s="6">
        <f>'MATCH CALCS'!$P762*5</f>
        <v>0</v>
      </c>
      <c r="Q761" s="154">
        <f t="shared" si="16"/>
        <v>0</v>
      </c>
      <c r="R761" s="6">
        <f>'MATCH CALCS'!$AD762*1</f>
        <v>0</v>
      </c>
      <c r="S761" s="6">
        <f>'MATCH CALCS'!AC762*3</f>
        <v>0</v>
      </c>
      <c r="T761" s="6">
        <f>'MATCH CALCS'!AD762*3</f>
        <v>0</v>
      </c>
      <c r="U761" s="155">
        <f t="shared" si="17"/>
        <v>0</v>
      </c>
      <c r="V761" s="154">
        <f t="shared" si="18"/>
        <v>0</v>
      </c>
    </row>
    <row r="762" spans="1:22">
      <c r="A762" s="154">
        <f>'MATCH CALCS'!A763</f>
        <v>0</v>
      </c>
      <c r="B762" s="154">
        <f>'MATCH CALCS'!$C763</f>
        <v>0</v>
      </c>
      <c r="C762" s="154">
        <f t="shared" si="14"/>
        <v>0</v>
      </c>
      <c r="D762" s="6">
        <f>'MATCH CALCS'!$G763*2</f>
        <v>0</v>
      </c>
      <c r="E762" s="6">
        <f>'MATCH CALCS'!$G763*2</f>
        <v>0</v>
      </c>
      <c r="F762" s="6">
        <f>'MATCH CALCS'!$G763*2</f>
        <v>0</v>
      </c>
      <c r="G762" s="6">
        <f>'MATCH CALCS'!$G763*2</f>
        <v>0</v>
      </c>
      <c r="H762" s="6">
        <f>'MATCH CALCS'!$G763*2</f>
        <v>0</v>
      </c>
      <c r="I762" s="6">
        <f>'MATCH CALCS'!$G763*2</f>
        <v>0</v>
      </c>
      <c r="J762" s="154">
        <f t="shared" si="15"/>
        <v>0</v>
      </c>
      <c r="K762" s="6">
        <f>'MATCH CALCS'!L763*1</f>
        <v>0</v>
      </c>
      <c r="L762" s="6">
        <f>'MATCH CALCS'!$N763*2</f>
        <v>0</v>
      </c>
      <c r="M762" s="6">
        <f>'MATCH CALCS'!N763*1</f>
        <v>0</v>
      </c>
      <c r="N762" s="6">
        <f>'MATCH CALCS'!$N763*2</f>
        <v>0</v>
      </c>
      <c r="O762" s="6">
        <f>'MATCH CALCS'!$N763*2</f>
        <v>0</v>
      </c>
      <c r="P762" s="6">
        <f>'MATCH CALCS'!$P763*5</f>
        <v>0</v>
      </c>
      <c r="Q762" s="154">
        <f t="shared" si="16"/>
        <v>0</v>
      </c>
      <c r="R762" s="6">
        <f>'MATCH CALCS'!$AD763*1</f>
        <v>0</v>
      </c>
      <c r="S762" s="6">
        <f>'MATCH CALCS'!AC763*3</f>
        <v>0</v>
      </c>
      <c r="T762" s="6">
        <f>'MATCH CALCS'!AD763*3</f>
        <v>0</v>
      </c>
      <c r="U762" s="155">
        <f t="shared" si="17"/>
        <v>0</v>
      </c>
      <c r="V762" s="154">
        <f t="shared" si="18"/>
        <v>0</v>
      </c>
    </row>
    <row r="763" spans="1:22">
      <c r="A763" s="154">
        <f>'MATCH CALCS'!A764</f>
        <v>0</v>
      </c>
      <c r="B763" s="154">
        <f>'MATCH CALCS'!$C764</f>
        <v>0</v>
      </c>
      <c r="C763" s="154">
        <f t="shared" si="14"/>
        <v>0</v>
      </c>
      <c r="D763" s="6">
        <f>'MATCH CALCS'!$G764*2</f>
        <v>0</v>
      </c>
      <c r="E763" s="6">
        <f>'MATCH CALCS'!$G764*2</f>
        <v>0</v>
      </c>
      <c r="F763" s="6">
        <f>'MATCH CALCS'!$G764*2</f>
        <v>0</v>
      </c>
      <c r="G763" s="6">
        <f>'MATCH CALCS'!$G764*2</f>
        <v>0</v>
      </c>
      <c r="H763" s="6">
        <f>'MATCH CALCS'!$G764*2</f>
        <v>0</v>
      </c>
      <c r="I763" s="6">
        <f>'MATCH CALCS'!$G764*2</f>
        <v>0</v>
      </c>
      <c r="J763" s="154">
        <f t="shared" si="15"/>
        <v>0</v>
      </c>
      <c r="K763" s="6">
        <f>'MATCH CALCS'!L764*1</f>
        <v>0</v>
      </c>
      <c r="L763" s="6">
        <f>'MATCH CALCS'!$N764*2</f>
        <v>0</v>
      </c>
      <c r="M763" s="6">
        <f>'MATCH CALCS'!N764*1</f>
        <v>0</v>
      </c>
      <c r="N763" s="6">
        <f>'MATCH CALCS'!$N764*2</f>
        <v>0</v>
      </c>
      <c r="O763" s="6">
        <f>'MATCH CALCS'!$N764*2</f>
        <v>0</v>
      </c>
      <c r="P763" s="6">
        <f>'MATCH CALCS'!$P764*5</f>
        <v>0</v>
      </c>
      <c r="Q763" s="154">
        <f t="shared" si="16"/>
        <v>0</v>
      </c>
      <c r="R763" s="6">
        <f>'MATCH CALCS'!$AD764*1</f>
        <v>0</v>
      </c>
      <c r="S763" s="6">
        <f>'MATCH CALCS'!AC764*3</f>
        <v>0</v>
      </c>
      <c r="T763" s="6">
        <f>'MATCH CALCS'!AD764*3</f>
        <v>0</v>
      </c>
      <c r="U763" s="155">
        <f t="shared" si="17"/>
        <v>0</v>
      </c>
      <c r="V763" s="154">
        <f t="shared" si="18"/>
        <v>0</v>
      </c>
    </row>
    <row r="764" spans="1:22">
      <c r="A764" s="154">
        <f>'MATCH CALCS'!A765</f>
        <v>0</v>
      </c>
      <c r="B764" s="154">
        <f>'MATCH CALCS'!$C765</f>
        <v>0</v>
      </c>
      <c r="C764" s="154">
        <f t="shared" si="14"/>
        <v>0</v>
      </c>
      <c r="D764" s="6">
        <f>'MATCH CALCS'!$G765*2</f>
        <v>0</v>
      </c>
      <c r="E764" s="6">
        <f>'MATCH CALCS'!$G765*2</f>
        <v>0</v>
      </c>
      <c r="F764" s="6">
        <f>'MATCH CALCS'!$G765*2</f>
        <v>0</v>
      </c>
      <c r="G764" s="6">
        <f>'MATCH CALCS'!$G765*2</f>
        <v>0</v>
      </c>
      <c r="H764" s="6">
        <f>'MATCH CALCS'!$G765*2</f>
        <v>0</v>
      </c>
      <c r="I764" s="6">
        <f>'MATCH CALCS'!$G765*2</f>
        <v>0</v>
      </c>
      <c r="J764" s="154">
        <f t="shared" si="15"/>
        <v>0</v>
      </c>
      <c r="K764" s="6">
        <f>'MATCH CALCS'!L765*1</f>
        <v>0</v>
      </c>
      <c r="L764" s="6">
        <f>'MATCH CALCS'!$N765*2</f>
        <v>0</v>
      </c>
      <c r="M764" s="6">
        <f>'MATCH CALCS'!N765*1</f>
        <v>0</v>
      </c>
      <c r="N764" s="6">
        <f>'MATCH CALCS'!$N765*2</f>
        <v>0</v>
      </c>
      <c r="O764" s="6">
        <f>'MATCH CALCS'!$N765*2</f>
        <v>0</v>
      </c>
      <c r="P764" s="6">
        <f>'MATCH CALCS'!$P765*5</f>
        <v>0</v>
      </c>
      <c r="Q764" s="154">
        <f t="shared" si="16"/>
        <v>0</v>
      </c>
      <c r="R764" s="6">
        <f>'MATCH CALCS'!$AD765*1</f>
        <v>0</v>
      </c>
      <c r="S764" s="6">
        <f>'MATCH CALCS'!AC765*3</f>
        <v>0</v>
      </c>
      <c r="T764" s="6">
        <f>'MATCH CALCS'!AD765*3</f>
        <v>0</v>
      </c>
      <c r="U764" s="155">
        <f t="shared" si="17"/>
        <v>0</v>
      </c>
      <c r="V764" s="154">
        <f t="shared" si="18"/>
        <v>0</v>
      </c>
    </row>
    <row r="765" spans="1:22">
      <c r="A765" s="154">
        <f>'MATCH CALCS'!A766</f>
        <v>0</v>
      </c>
      <c r="B765" s="154">
        <f>'MATCH CALCS'!$C766</f>
        <v>0</v>
      </c>
      <c r="C765" s="154">
        <f t="shared" si="14"/>
        <v>0</v>
      </c>
      <c r="D765" s="6">
        <f>'MATCH CALCS'!$G766*2</f>
        <v>0</v>
      </c>
      <c r="E765" s="6">
        <f>'MATCH CALCS'!$G766*2</f>
        <v>0</v>
      </c>
      <c r="F765" s="6">
        <f>'MATCH CALCS'!$G766*2</f>
        <v>0</v>
      </c>
      <c r="G765" s="6">
        <f>'MATCH CALCS'!$G766*2</f>
        <v>0</v>
      </c>
      <c r="H765" s="6">
        <f>'MATCH CALCS'!$G766*2</f>
        <v>0</v>
      </c>
      <c r="I765" s="6">
        <f>'MATCH CALCS'!$G766*2</f>
        <v>0</v>
      </c>
      <c r="J765" s="154">
        <f t="shared" si="15"/>
        <v>0</v>
      </c>
      <c r="K765" s="6">
        <f>'MATCH CALCS'!L766*1</f>
        <v>0</v>
      </c>
      <c r="L765" s="6">
        <f>'MATCH CALCS'!$N766*2</f>
        <v>0</v>
      </c>
      <c r="M765" s="6">
        <f>'MATCH CALCS'!N766*1</f>
        <v>0</v>
      </c>
      <c r="N765" s="6">
        <f>'MATCH CALCS'!$N766*2</f>
        <v>0</v>
      </c>
      <c r="O765" s="6">
        <f>'MATCH CALCS'!$N766*2</f>
        <v>0</v>
      </c>
      <c r="P765" s="6">
        <f>'MATCH CALCS'!$P766*5</f>
        <v>0</v>
      </c>
      <c r="Q765" s="154">
        <f t="shared" si="16"/>
        <v>0</v>
      </c>
      <c r="R765" s="6">
        <f>'MATCH CALCS'!$AD766*1</f>
        <v>0</v>
      </c>
      <c r="S765" s="6">
        <f>'MATCH CALCS'!AC766*3</f>
        <v>0</v>
      </c>
      <c r="T765" s="6">
        <f>'MATCH CALCS'!AD766*3</f>
        <v>0</v>
      </c>
      <c r="U765" s="155">
        <f t="shared" si="17"/>
        <v>0</v>
      </c>
      <c r="V765" s="154">
        <f t="shared" si="18"/>
        <v>0</v>
      </c>
    </row>
    <row r="766" spans="1:22">
      <c r="A766" s="154">
        <f>'MATCH CALCS'!A767</f>
        <v>0</v>
      </c>
      <c r="B766" s="154">
        <f>'MATCH CALCS'!$C767</f>
        <v>0</v>
      </c>
      <c r="C766" s="154">
        <f t="shared" si="14"/>
        <v>0</v>
      </c>
      <c r="D766" s="6">
        <f>'MATCH CALCS'!$G767*2</f>
        <v>0</v>
      </c>
      <c r="E766" s="6">
        <f>'MATCH CALCS'!$G767*2</f>
        <v>0</v>
      </c>
      <c r="F766" s="6">
        <f>'MATCH CALCS'!$G767*2</f>
        <v>0</v>
      </c>
      <c r="G766" s="6">
        <f>'MATCH CALCS'!$G767*2</f>
        <v>0</v>
      </c>
      <c r="H766" s="6">
        <f>'MATCH CALCS'!$G767*2</f>
        <v>0</v>
      </c>
      <c r="I766" s="6">
        <f>'MATCH CALCS'!$G767*2</f>
        <v>0</v>
      </c>
      <c r="J766" s="154">
        <f t="shared" si="15"/>
        <v>0</v>
      </c>
      <c r="K766" s="6">
        <f>'MATCH CALCS'!L767*1</f>
        <v>0</v>
      </c>
      <c r="L766" s="6">
        <f>'MATCH CALCS'!$N767*2</f>
        <v>0</v>
      </c>
      <c r="M766" s="6">
        <f>'MATCH CALCS'!N767*1</f>
        <v>0</v>
      </c>
      <c r="N766" s="6">
        <f>'MATCH CALCS'!$N767*2</f>
        <v>0</v>
      </c>
      <c r="O766" s="6">
        <f>'MATCH CALCS'!$N767*2</f>
        <v>0</v>
      </c>
      <c r="P766" s="6">
        <f>'MATCH CALCS'!$P767*5</f>
        <v>0</v>
      </c>
      <c r="Q766" s="154">
        <f t="shared" si="16"/>
        <v>0</v>
      </c>
      <c r="R766" s="6">
        <f>'MATCH CALCS'!$AD767*1</f>
        <v>0</v>
      </c>
      <c r="S766" s="6">
        <f>'MATCH CALCS'!AC767*3</f>
        <v>0</v>
      </c>
      <c r="T766" s="6">
        <f>'MATCH CALCS'!AD767*3</f>
        <v>0</v>
      </c>
      <c r="U766" s="155">
        <f t="shared" si="17"/>
        <v>0</v>
      </c>
      <c r="V766" s="154">
        <f t="shared" si="18"/>
        <v>0</v>
      </c>
    </row>
    <row r="767" spans="1:22">
      <c r="A767" s="154">
        <f>'MATCH CALCS'!A768</f>
        <v>0</v>
      </c>
      <c r="B767" s="154">
        <f>'MATCH CALCS'!$C768</f>
        <v>0</v>
      </c>
      <c r="C767" s="154">
        <f t="shared" ref="C767:C999" si="19">SUM($D767:$I767)</f>
        <v>0</v>
      </c>
      <c r="D767" s="6">
        <f>'MATCH CALCS'!$G768*2</f>
        <v>0</v>
      </c>
      <c r="E767" s="6">
        <f>'MATCH CALCS'!$G768*2</f>
        <v>0</v>
      </c>
      <c r="F767" s="6">
        <f>'MATCH CALCS'!$G768*2</f>
        <v>0</v>
      </c>
      <c r="G767" s="6">
        <f>'MATCH CALCS'!$G768*2</f>
        <v>0</v>
      </c>
      <c r="H767" s="6">
        <f>'MATCH CALCS'!$G768*2</f>
        <v>0</v>
      </c>
      <c r="I767" s="6">
        <f>'MATCH CALCS'!$G768*2</f>
        <v>0</v>
      </c>
      <c r="J767" s="154">
        <f t="shared" ref="J767:J999" si="20">SUM($K767:$P767)</f>
        <v>0</v>
      </c>
      <c r="K767" s="6">
        <f>'MATCH CALCS'!L768*1</f>
        <v>0</v>
      </c>
      <c r="L767" s="6">
        <f>'MATCH CALCS'!$N768*2</f>
        <v>0</v>
      </c>
      <c r="M767" s="6">
        <f>'MATCH CALCS'!N768*1</f>
        <v>0</v>
      </c>
      <c r="N767" s="6">
        <f>'MATCH CALCS'!$N768*2</f>
        <v>0</v>
      </c>
      <c r="O767" s="6">
        <f>'MATCH CALCS'!$N768*2</f>
        <v>0</v>
      </c>
      <c r="P767" s="6">
        <f>'MATCH CALCS'!$P768*5</f>
        <v>0</v>
      </c>
      <c r="Q767" s="154">
        <f t="shared" ref="Q767:Q999" si="21">SUM(U767)</f>
        <v>0</v>
      </c>
      <c r="R767" s="6">
        <f>'MATCH CALCS'!$AD768*1</f>
        <v>0</v>
      </c>
      <c r="S767" s="6">
        <f>'MATCH CALCS'!AC768*3</f>
        <v>0</v>
      </c>
      <c r="T767" s="6">
        <f>'MATCH CALCS'!AD768*3</f>
        <v>0</v>
      </c>
      <c r="U767" s="155">
        <f t="shared" ref="U767:U999" si="22">SUM(R767:T767)</f>
        <v>0</v>
      </c>
      <c r="V767" s="154">
        <f t="shared" ref="V767:V999" si="23">SUM(Q767,J767,C767,)</f>
        <v>0</v>
      </c>
    </row>
    <row r="768" spans="1:22">
      <c r="A768" s="154">
        <f>'MATCH CALCS'!A769</f>
        <v>0</v>
      </c>
      <c r="B768" s="154">
        <f>'MATCH CALCS'!$C769</f>
        <v>0</v>
      </c>
      <c r="C768" s="154">
        <f t="shared" si="19"/>
        <v>0</v>
      </c>
      <c r="D768" s="6">
        <f>'MATCH CALCS'!$G769*2</f>
        <v>0</v>
      </c>
      <c r="E768" s="6">
        <f>'MATCH CALCS'!$G769*2</f>
        <v>0</v>
      </c>
      <c r="F768" s="6">
        <f>'MATCH CALCS'!$G769*2</f>
        <v>0</v>
      </c>
      <c r="G768" s="6">
        <f>'MATCH CALCS'!$G769*2</f>
        <v>0</v>
      </c>
      <c r="H768" s="6">
        <f>'MATCH CALCS'!$G769*2</f>
        <v>0</v>
      </c>
      <c r="I768" s="6">
        <f>'MATCH CALCS'!$G769*2</f>
        <v>0</v>
      </c>
      <c r="J768" s="154">
        <f t="shared" si="20"/>
        <v>0</v>
      </c>
      <c r="K768" s="6">
        <f>'MATCH CALCS'!L769*1</f>
        <v>0</v>
      </c>
      <c r="L768" s="6">
        <f>'MATCH CALCS'!$N769*2</f>
        <v>0</v>
      </c>
      <c r="M768" s="6">
        <f>'MATCH CALCS'!N769*1</f>
        <v>0</v>
      </c>
      <c r="N768" s="6">
        <f>'MATCH CALCS'!$N769*2</f>
        <v>0</v>
      </c>
      <c r="O768" s="6">
        <f>'MATCH CALCS'!$N769*2</f>
        <v>0</v>
      </c>
      <c r="P768" s="6">
        <f>'MATCH CALCS'!$P769*5</f>
        <v>0</v>
      </c>
      <c r="Q768" s="154">
        <f t="shared" si="21"/>
        <v>0</v>
      </c>
      <c r="R768" s="6">
        <f>'MATCH CALCS'!$AD769*1</f>
        <v>0</v>
      </c>
      <c r="S768" s="6">
        <f>'MATCH CALCS'!AC769*3</f>
        <v>0</v>
      </c>
      <c r="T768" s="6">
        <f>'MATCH CALCS'!AD769*3</f>
        <v>0</v>
      </c>
      <c r="U768" s="155">
        <f t="shared" si="22"/>
        <v>0</v>
      </c>
      <c r="V768" s="154">
        <f t="shared" si="23"/>
        <v>0</v>
      </c>
    </row>
    <row r="769" spans="1:22">
      <c r="A769" s="154">
        <f>'MATCH CALCS'!A770</f>
        <v>0</v>
      </c>
      <c r="B769" s="154">
        <f>'MATCH CALCS'!$C770</f>
        <v>0</v>
      </c>
      <c r="C769" s="154">
        <f t="shared" si="19"/>
        <v>0</v>
      </c>
      <c r="D769" s="6">
        <f>'MATCH CALCS'!$G770*2</f>
        <v>0</v>
      </c>
      <c r="E769" s="6">
        <f>'MATCH CALCS'!$G770*2</f>
        <v>0</v>
      </c>
      <c r="F769" s="6">
        <f>'MATCH CALCS'!$G770*2</f>
        <v>0</v>
      </c>
      <c r="G769" s="6">
        <f>'MATCH CALCS'!$G770*2</f>
        <v>0</v>
      </c>
      <c r="H769" s="6">
        <f>'MATCH CALCS'!$G770*2</f>
        <v>0</v>
      </c>
      <c r="I769" s="6">
        <f>'MATCH CALCS'!$G770*2</f>
        <v>0</v>
      </c>
      <c r="J769" s="154">
        <f t="shared" si="20"/>
        <v>0</v>
      </c>
      <c r="K769" s="6">
        <f>'MATCH CALCS'!L770*1</f>
        <v>0</v>
      </c>
      <c r="L769" s="6">
        <f>'MATCH CALCS'!$N770*2</f>
        <v>0</v>
      </c>
      <c r="M769" s="6">
        <f>'MATCH CALCS'!N770*1</f>
        <v>0</v>
      </c>
      <c r="N769" s="6">
        <f>'MATCH CALCS'!$N770*2</f>
        <v>0</v>
      </c>
      <c r="O769" s="6">
        <f>'MATCH CALCS'!$N770*2</f>
        <v>0</v>
      </c>
      <c r="P769" s="6">
        <f>'MATCH CALCS'!$P770*5</f>
        <v>0</v>
      </c>
      <c r="Q769" s="154">
        <f t="shared" si="21"/>
        <v>0</v>
      </c>
      <c r="R769" s="6">
        <f>'MATCH CALCS'!$AD770*1</f>
        <v>0</v>
      </c>
      <c r="S769" s="6">
        <f>'MATCH CALCS'!AC770*3</f>
        <v>0</v>
      </c>
      <c r="T769" s="6">
        <f>'MATCH CALCS'!AD770*3</f>
        <v>0</v>
      </c>
      <c r="U769" s="155">
        <f t="shared" si="22"/>
        <v>0</v>
      </c>
      <c r="V769" s="154">
        <f t="shared" si="23"/>
        <v>0</v>
      </c>
    </row>
    <row r="770" spans="1:22">
      <c r="A770" s="154">
        <f>'MATCH CALCS'!A771</f>
        <v>0</v>
      </c>
      <c r="B770" s="154">
        <f>'MATCH CALCS'!$C771</f>
        <v>0</v>
      </c>
      <c r="C770" s="154">
        <f t="shared" si="19"/>
        <v>0</v>
      </c>
      <c r="D770" s="6">
        <f>'MATCH CALCS'!$G771*2</f>
        <v>0</v>
      </c>
      <c r="E770" s="6">
        <f>'MATCH CALCS'!$G771*2</f>
        <v>0</v>
      </c>
      <c r="F770" s="6">
        <f>'MATCH CALCS'!$G771*2</f>
        <v>0</v>
      </c>
      <c r="G770" s="6">
        <f>'MATCH CALCS'!$G771*2</f>
        <v>0</v>
      </c>
      <c r="H770" s="6">
        <f>'MATCH CALCS'!$G771*2</f>
        <v>0</v>
      </c>
      <c r="I770" s="6">
        <f>'MATCH CALCS'!$G771*2</f>
        <v>0</v>
      </c>
      <c r="J770" s="154">
        <f t="shared" si="20"/>
        <v>0</v>
      </c>
      <c r="K770" s="6">
        <f>'MATCH CALCS'!L771*1</f>
        <v>0</v>
      </c>
      <c r="L770" s="6">
        <f>'MATCH CALCS'!$N771*2</f>
        <v>0</v>
      </c>
      <c r="M770" s="6">
        <f>'MATCH CALCS'!N771*1</f>
        <v>0</v>
      </c>
      <c r="N770" s="6">
        <f>'MATCH CALCS'!$N771*2</f>
        <v>0</v>
      </c>
      <c r="O770" s="6">
        <f>'MATCH CALCS'!$N771*2</f>
        <v>0</v>
      </c>
      <c r="P770" s="6">
        <f>'MATCH CALCS'!$P771*5</f>
        <v>0</v>
      </c>
      <c r="Q770" s="154">
        <f t="shared" si="21"/>
        <v>0</v>
      </c>
      <c r="R770" s="6">
        <f>'MATCH CALCS'!$AD771*1</f>
        <v>0</v>
      </c>
      <c r="S770" s="6">
        <f>'MATCH CALCS'!AC771*3</f>
        <v>0</v>
      </c>
      <c r="T770" s="6">
        <f>'MATCH CALCS'!AD771*3</f>
        <v>0</v>
      </c>
      <c r="U770" s="155">
        <f t="shared" si="22"/>
        <v>0</v>
      </c>
      <c r="V770" s="154">
        <f t="shared" si="23"/>
        <v>0</v>
      </c>
    </row>
    <row r="771" spans="1:22">
      <c r="A771" s="154">
        <f>'MATCH CALCS'!A772</f>
        <v>0</v>
      </c>
      <c r="B771" s="154">
        <f>'MATCH CALCS'!$C772</f>
        <v>0</v>
      </c>
      <c r="C771" s="154">
        <f t="shared" si="19"/>
        <v>0</v>
      </c>
      <c r="D771" s="6">
        <f>'MATCH CALCS'!$G772*2</f>
        <v>0</v>
      </c>
      <c r="E771" s="6">
        <f>'MATCH CALCS'!$G772*2</f>
        <v>0</v>
      </c>
      <c r="F771" s="6">
        <f>'MATCH CALCS'!$G772*2</f>
        <v>0</v>
      </c>
      <c r="G771" s="6">
        <f>'MATCH CALCS'!$G772*2</f>
        <v>0</v>
      </c>
      <c r="H771" s="6">
        <f>'MATCH CALCS'!$G772*2</f>
        <v>0</v>
      </c>
      <c r="I771" s="6">
        <f>'MATCH CALCS'!$G772*2</f>
        <v>0</v>
      </c>
      <c r="J771" s="154">
        <f t="shared" si="20"/>
        <v>0</v>
      </c>
      <c r="K771" s="6">
        <f>'MATCH CALCS'!L772*1</f>
        <v>0</v>
      </c>
      <c r="L771" s="6">
        <f>'MATCH CALCS'!$N772*2</f>
        <v>0</v>
      </c>
      <c r="M771" s="6">
        <f>'MATCH CALCS'!N772*1</f>
        <v>0</v>
      </c>
      <c r="N771" s="6">
        <f>'MATCH CALCS'!$N772*2</f>
        <v>0</v>
      </c>
      <c r="O771" s="6">
        <f>'MATCH CALCS'!$N772*2</f>
        <v>0</v>
      </c>
      <c r="P771" s="6">
        <f>'MATCH CALCS'!$P772*5</f>
        <v>0</v>
      </c>
      <c r="Q771" s="154">
        <f t="shared" si="21"/>
        <v>0</v>
      </c>
      <c r="R771" s="6">
        <f>'MATCH CALCS'!$AD772*1</f>
        <v>0</v>
      </c>
      <c r="S771" s="6">
        <f>'MATCH CALCS'!AC772*3</f>
        <v>0</v>
      </c>
      <c r="T771" s="6">
        <f>'MATCH CALCS'!AD772*3</f>
        <v>0</v>
      </c>
      <c r="U771" s="155">
        <f t="shared" si="22"/>
        <v>0</v>
      </c>
      <c r="V771" s="154">
        <f t="shared" si="23"/>
        <v>0</v>
      </c>
    </row>
    <row r="772" spans="1:22">
      <c r="A772" s="154">
        <f>'MATCH CALCS'!A773</f>
        <v>0</v>
      </c>
      <c r="B772" s="154">
        <f>'MATCH CALCS'!$C773</f>
        <v>0</v>
      </c>
      <c r="C772" s="154">
        <f t="shared" si="19"/>
        <v>0</v>
      </c>
      <c r="D772" s="6">
        <f>'MATCH CALCS'!$G773*2</f>
        <v>0</v>
      </c>
      <c r="E772" s="6">
        <f>'MATCH CALCS'!$G773*2</f>
        <v>0</v>
      </c>
      <c r="F772" s="6">
        <f>'MATCH CALCS'!$G773*2</f>
        <v>0</v>
      </c>
      <c r="G772" s="6">
        <f>'MATCH CALCS'!$G773*2</f>
        <v>0</v>
      </c>
      <c r="H772" s="6">
        <f>'MATCH CALCS'!$G773*2</f>
        <v>0</v>
      </c>
      <c r="I772" s="6">
        <f>'MATCH CALCS'!$G773*2</f>
        <v>0</v>
      </c>
      <c r="J772" s="154">
        <f t="shared" si="20"/>
        <v>0</v>
      </c>
      <c r="K772" s="6">
        <f>'MATCH CALCS'!L773*1</f>
        <v>0</v>
      </c>
      <c r="L772" s="6">
        <f>'MATCH CALCS'!$N773*2</f>
        <v>0</v>
      </c>
      <c r="M772" s="6">
        <f>'MATCH CALCS'!N773*1</f>
        <v>0</v>
      </c>
      <c r="N772" s="6">
        <f>'MATCH CALCS'!$N773*2</f>
        <v>0</v>
      </c>
      <c r="O772" s="6">
        <f>'MATCH CALCS'!$N773*2</f>
        <v>0</v>
      </c>
      <c r="P772" s="6">
        <f>'MATCH CALCS'!$P773*5</f>
        <v>0</v>
      </c>
      <c r="Q772" s="154">
        <f t="shared" si="21"/>
        <v>0</v>
      </c>
      <c r="R772" s="6">
        <f>'MATCH CALCS'!$AD773*1</f>
        <v>0</v>
      </c>
      <c r="S772" s="6">
        <f>'MATCH CALCS'!AC773*3</f>
        <v>0</v>
      </c>
      <c r="T772" s="6">
        <f>'MATCH CALCS'!AD773*3</f>
        <v>0</v>
      </c>
      <c r="U772" s="155">
        <f t="shared" si="22"/>
        <v>0</v>
      </c>
      <c r="V772" s="154">
        <f t="shared" si="23"/>
        <v>0</v>
      </c>
    </row>
    <row r="773" spans="1:22">
      <c r="A773" s="154">
        <f>'MATCH CALCS'!A774</f>
        <v>0</v>
      </c>
      <c r="B773" s="154">
        <f>'MATCH CALCS'!$C774</f>
        <v>0</v>
      </c>
      <c r="C773" s="154">
        <f t="shared" si="19"/>
        <v>0</v>
      </c>
      <c r="D773" s="6">
        <f>'MATCH CALCS'!$G774*2</f>
        <v>0</v>
      </c>
      <c r="E773" s="6">
        <f>'MATCH CALCS'!$G774*2</f>
        <v>0</v>
      </c>
      <c r="F773" s="6">
        <f>'MATCH CALCS'!$G774*2</f>
        <v>0</v>
      </c>
      <c r="G773" s="6">
        <f>'MATCH CALCS'!$G774*2</f>
        <v>0</v>
      </c>
      <c r="H773" s="6">
        <f>'MATCH CALCS'!$G774*2</f>
        <v>0</v>
      </c>
      <c r="I773" s="6">
        <f>'MATCH CALCS'!$G774*2</f>
        <v>0</v>
      </c>
      <c r="J773" s="154">
        <f t="shared" si="20"/>
        <v>0</v>
      </c>
      <c r="K773" s="6">
        <f>'MATCH CALCS'!L774*1</f>
        <v>0</v>
      </c>
      <c r="L773" s="6">
        <f>'MATCH CALCS'!$N774*2</f>
        <v>0</v>
      </c>
      <c r="M773" s="6">
        <f>'MATCH CALCS'!N774*1</f>
        <v>0</v>
      </c>
      <c r="N773" s="6">
        <f>'MATCH CALCS'!$N774*2</f>
        <v>0</v>
      </c>
      <c r="O773" s="6">
        <f>'MATCH CALCS'!$N774*2</f>
        <v>0</v>
      </c>
      <c r="P773" s="6">
        <f>'MATCH CALCS'!$P774*5</f>
        <v>0</v>
      </c>
      <c r="Q773" s="154">
        <f t="shared" si="21"/>
        <v>0</v>
      </c>
      <c r="R773" s="6">
        <f>'MATCH CALCS'!$AD774*1</f>
        <v>0</v>
      </c>
      <c r="S773" s="6">
        <f>'MATCH CALCS'!AC774*3</f>
        <v>0</v>
      </c>
      <c r="T773" s="6">
        <f>'MATCH CALCS'!AD774*3</f>
        <v>0</v>
      </c>
      <c r="U773" s="155">
        <f t="shared" si="22"/>
        <v>0</v>
      </c>
      <c r="V773" s="154">
        <f t="shared" si="23"/>
        <v>0</v>
      </c>
    </row>
    <row r="774" spans="1:22">
      <c r="A774" s="154">
        <f>'MATCH CALCS'!A775</f>
        <v>0</v>
      </c>
      <c r="B774" s="154">
        <f>'MATCH CALCS'!$C775</f>
        <v>0</v>
      </c>
      <c r="C774" s="154">
        <f t="shared" si="19"/>
        <v>0</v>
      </c>
      <c r="D774" s="6">
        <f>'MATCH CALCS'!$G775*2</f>
        <v>0</v>
      </c>
      <c r="E774" s="6">
        <f>'MATCH CALCS'!$G775*2</f>
        <v>0</v>
      </c>
      <c r="F774" s="6">
        <f>'MATCH CALCS'!$G775*2</f>
        <v>0</v>
      </c>
      <c r="G774" s="6">
        <f>'MATCH CALCS'!$G775*2</f>
        <v>0</v>
      </c>
      <c r="H774" s="6">
        <f>'MATCH CALCS'!$G775*2</f>
        <v>0</v>
      </c>
      <c r="I774" s="6">
        <f>'MATCH CALCS'!$G775*2</f>
        <v>0</v>
      </c>
      <c r="J774" s="154">
        <f t="shared" si="20"/>
        <v>0</v>
      </c>
      <c r="K774" s="6">
        <f>'MATCH CALCS'!L775*1</f>
        <v>0</v>
      </c>
      <c r="L774" s="6">
        <f>'MATCH CALCS'!$N775*2</f>
        <v>0</v>
      </c>
      <c r="M774" s="6">
        <f>'MATCH CALCS'!N775*1</f>
        <v>0</v>
      </c>
      <c r="N774" s="6">
        <f>'MATCH CALCS'!$N775*2</f>
        <v>0</v>
      </c>
      <c r="O774" s="6">
        <f>'MATCH CALCS'!$N775*2</f>
        <v>0</v>
      </c>
      <c r="P774" s="6">
        <f>'MATCH CALCS'!$P775*5</f>
        <v>0</v>
      </c>
      <c r="Q774" s="154">
        <f t="shared" si="21"/>
        <v>0</v>
      </c>
      <c r="R774" s="6">
        <f>'MATCH CALCS'!$AD775*1</f>
        <v>0</v>
      </c>
      <c r="S774" s="6">
        <f>'MATCH CALCS'!AC775*3</f>
        <v>0</v>
      </c>
      <c r="T774" s="6">
        <f>'MATCH CALCS'!AD775*3</f>
        <v>0</v>
      </c>
      <c r="U774" s="155">
        <f t="shared" si="22"/>
        <v>0</v>
      </c>
      <c r="V774" s="154">
        <f t="shared" si="23"/>
        <v>0</v>
      </c>
    </row>
    <row r="775" spans="1:22">
      <c r="A775" s="154">
        <f>'MATCH CALCS'!A776</f>
        <v>0</v>
      </c>
      <c r="B775" s="154">
        <f>'MATCH CALCS'!$C776</f>
        <v>0</v>
      </c>
      <c r="C775" s="154">
        <f t="shared" si="19"/>
        <v>0</v>
      </c>
      <c r="D775" s="6">
        <f>'MATCH CALCS'!$G776*2</f>
        <v>0</v>
      </c>
      <c r="E775" s="6">
        <f>'MATCH CALCS'!$G776*2</f>
        <v>0</v>
      </c>
      <c r="F775" s="6">
        <f>'MATCH CALCS'!$G776*2</f>
        <v>0</v>
      </c>
      <c r="G775" s="6">
        <f>'MATCH CALCS'!$G776*2</f>
        <v>0</v>
      </c>
      <c r="H775" s="6">
        <f>'MATCH CALCS'!$G776*2</f>
        <v>0</v>
      </c>
      <c r="I775" s="6">
        <f>'MATCH CALCS'!$G776*2</f>
        <v>0</v>
      </c>
      <c r="J775" s="154">
        <f t="shared" si="20"/>
        <v>0</v>
      </c>
      <c r="K775" s="6">
        <f>'MATCH CALCS'!L776*1</f>
        <v>0</v>
      </c>
      <c r="L775" s="6">
        <f>'MATCH CALCS'!$N776*2</f>
        <v>0</v>
      </c>
      <c r="M775" s="6">
        <f>'MATCH CALCS'!N776*1</f>
        <v>0</v>
      </c>
      <c r="N775" s="6">
        <f>'MATCH CALCS'!$N776*2</f>
        <v>0</v>
      </c>
      <c r="O775" s="6">
        <f>'MATCH CALCS'!$N776*2</f>
        <v>0</v>
      </c>
      <c r="P775" s="6">
        <f>'MATCH CALCS'!$P776*5</f>
        <v>0</v>
      </c>
      <c r="Q775" s="154">
        <f t="shared" si="21"/>
        <v>0</v>
      </c>
      <c r="R775" s="6">
        <f>'MATCH CALCS'!$AD776*1</f>
        <v>0</v>
      </c>
      <c r="S775" s="6">
        <f>'MATCH CALCS'!AC776*3</f>
        <v>0</v>
      </c>
      <c r="T775" s="6">
        <f>'MATCH CALCS'!AD776*3</f>
        <v>0</v>
      </c>
      <c r="U775" s="155">
        <f t="shared" si="22"/>
        <v>0</v>
      </c>
      <c r="V775" s="154">
        <f t="shared" si="23"/>
        <v>0</v>
      </c>
    </row>
    <row r="776" spans="1:22">
      <c r="A776" s="154">
        <f>'MATCH CALCS'!A777</f>
        <v>0</v>
      </c>
      <c r="B776" s="154">
        <f>'MATCH CALCS'!$C777</f>
        <v>0</v>
      </c>
      <c r="C776" s="154">
        <f t="shared" si="19"/>
        <v>0</v>
      </c>
      <c r="D776" s="6">
        <f>'MATCH CALCS'!$G777*2</f>
        <v>0</v>
      </c>
      <c r="E776" s="6">
        <f>'MATCH CALCS'!$G777*2</f>
        <v>0</v>
      </c>
      <c r="F776" s="6">
        <f>'MATCH CALCS'!$G777*2</f>
        <v>0</v>
      </c>
      <c r="G776" s="6">
        <f>'MATCH CALCS'!$G777*2</f>
        <v>0</v>
      </c>
      <c r="H776" s="6">
        <f>'MATCH CALCS'!$G777*2</f>
        <v>0</v>
      </c>
      <c r="I776" s="6">
        <f>'MATCH CALCS'!$G777*2</f>
        <v>0</v>
      </c>
      <c r="J776" s="154">
        <f t="shared" si="20"/>
        <v>0</v>
      </c>
      <c r="K776" s="6">
        <f>'MATCH CALCS'!L777*1</f>
        <v>0</v>
      </c>
      <c r="L776" s="6">
        <f>'MATCH CALCS'!$N777*2</f>
        <v>0</v>
      </c>
      <c r="M776" s="6">
        <f>'MATCH CALCS'!N777*1</f>
        <v>0</v>
      </c>
      <c r="N776" s="6">
        <f>'MATCH CALCS'!$N777*2</f>
        <v>0</v>
      </c>
      <c r="O776" s="6">
        <f>'MATCH CALCS'!$N777*2</f>
        <v>0</v>
      </c>
      <c r="P776" s="6">
        <f>'MATCH CALCS'!$P777*5</f>
        <v>0</v>
      </c>
      <c r="Q776" s="154">
        <f t="shared" si="21"/>
        <v>0</v>
      </c>
      <c r="R776" s="6">
        <f>'MATCH CALCS'!$AD777*1</f>
        <v>0</v>
      </c>
      <c r="S776" s="6">
        <f>'MATCH CALCS'!AC777*3</f>
        <v>0</v>
      </c>
      <c r="T776" s="6">
        <f>'MATCH CALCS'!AD777*3</f>
        <v>0</v>
      </c>
      <c r="U776" s="155">
        <f t="shared" si="22"/>
        <v>0</v>
      </c>
      <c r="V776" s="154">
        <f t="shared" si="23"/>
        <v>0</v>
      </c>
    </row>
    <row r="777" spans="1:22">
      <c r="A777" s="154">
        <f>'MATCH CALCS'!A778</f>
        <v>0</v>
      </c>
      <c r="B777" s="154">
        <f>'MATCH CALCS'!$C778</f>
        <v>0</v>
      </c>
      <c r="C777" s="154">
        <f t="shared" si="19"/>
        <v>0</v>
      </c>
      <c r="D777" s="6">
        <f>'MATCH CALCS'!$G778*2</f>
        <v>0</v>
      </c>
      <c r="E777" s="6">
        <f>'MATCH CALCS'!$G778*2</f>
        <v>0</v>
      </c>
      <c r="F777" s="6">
        <f>'MATCH CALCS'!$G778*2</f>
        <v>0</v>
      </c>
      <c r="G777" s="6">
        <f>'MATCH CALCS'!$G778*2</f>
        <v>0</v>
      </c>
      <c r="H777" s="6">
        <f>'MATCH CALCS'!$G778*2</f>
        <v>0</v>
      </c>
      <c r="I777" s="6">
        <f>'MATCH CALCS'!$G778*2</f>
        <v>0</v>
      </c>
      <c r="J777" s="154">
        <f t="shared" si="20"/>
        <v>0</v>
      </c>
      <c r="K777" s="6">
        <f>'MATCH CALCS'!L778*1</f>
        <v>0</v>
      </c>
      <c r="L777" s="6">
        <f>'MATCH CALCS'!$N778*2</f>
        <v>0</v>
      </c>
      <c r="M777" s="6">
        <f>'MATCH CALCS'!N778*1</f>
        <v>0</v>
      </c>
      <c r="N777" s="6">
        <f>'MATCH CALCS'!$N778*2</f>
        <v>0</v>
      </c>
      <c r="O777" s="6">
        <f>'MATCH CALCS'!$N778*2</f>
        <v>0</v>
      </c>
      <c r="P777" s="6">
        <f>'MATCH CALCS'!$P778*5</f>
        <v>0</v>
      </c>
      <c r="Q777" s="154">
        <f t="shared" si="21"/>
        <v>0</v>
      </c>
      <c r="R777" s="6">
        <f>'MATCH CALCS'!$AD778*1</f>
        <v>0</v>
      </c>
      <c r="S777" s="6">
        <f>'MATCH CALCS'!AC778*3</f>
        <v>0</v>
      </c>
      <c r="T777" s="6">
        <f>'MATCH CALCS'!AD778*3</f>
        <v>0</v>
      </c>
      <c r="U777" s="155">
        <f t="shared" si="22"/>
        <v>0</v>
      </c>
      <c r="V777" s="154">
        <f t="shared" si="23"/>
        <v>0</v>
      </c>
    </row>
    <row r="778" spans="1:22">
      <c r="A778" s="154">
        <f>'MATCH CALCS'!A779</f>
        <v>0</v>
      </c>
      <c r="B778" s="154">
        <f>'MATCH CALCS'!$C779</f>
        <v>0</v>
      </c>
      <c r="C778" s="154">
        <f t="shared" si="19"/>
        <v>0</v>
      </c>
      <c r="D778" s="6">
        <f>'MATCH CALCS'!$G779*2</f>
        <v>0</v>
      </c>
      <c r="E778" s="6">
        <f>'MATCH CALCS'!$G779*2</f>
        <v>0</v>
      </c>
      <c r="F778" s="6">
        <f>'MATCH CALCS'!$G779*2</f>
        <v>0</v>
      </c>
      <c r="G778" s="6">
        <f>'MATCH CALCS'!$G779*2</f>
        <v>0</v>
      </c>
      <c r="H778" s="6">
        <f>'MATCH CALCS'!$G779*2</f>
        <v>0</v>
      </c>
      <c r="I778" s="6">
        <f>'MATCH CALCS'!$G779*2</f>
        <v>0</v>
      </c>
      <c r="J778" s="154">
        <f t="shared" si="20"/>
        <v>0</v>
      </c>
      <c r="K778" s="6">
        <f>'MATCH CALCS'!L779*1</f>
        <v>0</v>
      </c>
      <c r="L778" s="6">
        <f>'MATCH CALCS'!$N779*2</f>
        <v>0</v>
      </c>
      <c r="M778" s="6">
        <f>'MATCH CALCS'!N779*1</f>
        <v>0</v>
      </c>
      <c r="N778" s="6">
        <f>'MATCH CALCS'!$N779*2</f>
        <v>0</v>
      </c>
      <c r="O778" s="6">
        <f>'MATCH CALCS'!$N779*2</f>
        <v>0</v>
      </c>
      <c r="P778" s="6">
        <f>'MATCH CALCS'!$P779*5</f>
        <v>0</v>
      </c>
      <c r="Q778" s="154">
        <f t="shared" si="21"/>
        <v>0</v>
      </c>
      <c r="R778" s="6">
        <f>'MATCH CALCS'!$AD779*1</f>
        <v>0</v>
      </c>
      <c r="S778" s="6">
        <f>'MATCH CALCS'!AC779*3</f>
        <v>0</v>
      </c>
      <c r="T778" s="6">
        <f>'MATCH CALCS'!AD779*3</f>
        <v>0</v>
      </c>
      <c r="U778" s="155">
        <f t="shared" si="22"/>
        <v>0</v>
      </c>
      <c r="V778" s="154">
        <f t="shared" si="23"/>
        <v>0</v>
      </c>
    </row>
    <row r="779" spans="1:22">
      <c r="A779" s="154">
        <f>'MATCH CALCS'!A780</f>
        <v>0</v>
      </c>
      <c r="B779" s="154">
        <f>'MATCH CALCS'!$C780</f>
        <v>0</v>
      </c>
      <c r="C779" s="154">
        <f t="shared" si="19"/>
        <v>0</v>
      </c>
      <c r="D779" s="6">
        <f>'MATCH CALCS'!$G780*2</f>
        <v>0</v>
      </c>
      <c r="E779" s="6">
        <f>'MATCH CALCS'!$G780*2</f>
        <v>0</v>
      </c>
      <c r="F779" s="6">
        <f>'MATCH CALCS'!$G780*2</f>
        <v>0</v>
      </c>
      <c r="G779" s="6">
        <f>'MATCH CALCS'!$G780*2</f>
        <v>0</v>
      </c>
      <c r="H779" s="6">
        <f>'MATCH CALCS'!$G780*2</f>
        <v>0</v>
      </c>
      <c r="I779" s="6">
        <f>'MATCH CALCS'!$G780*2</f>
        <v>0</v>
      </c>
      <c r="J779" s="154">
        <f t="shared" si="20"/>
        <v>0</v>
      </c>
      <c r="K779" s="6">
        <f>'MATCH CALCS'!L780*1</f>
        <v>0</v>
      </c>
      <c r="L779" s="6">
        <f>'MATCH CALCS'!$N780*2</f>
        <v>0</v>
      </c>
      <c r="M779" s="6">
        <f>'MATCH CALCS'!N780*1</f>
        <v>0</v>
      </c>
      <c r="N779" s="6">
        <f>'MATCH CALCS'!$N780*2</f>
        <v>0</v>
      </c>
      <c r="O779" s="6">
        <f>'MATCH CALCS'!$N780*2</f>
        <v>0</v>
      </c>
      <c r="P779" s="6">
        <f>'MATCH CALCS'!$P780*5</f>
        <v>0</v>
      </c>
      <c r="Q779" s="154">
        <f t="shared" si="21"/>
        <v>0</v>
      </c>
      <c r="R779" s="6">
        <f>'MATCH CALCS'!$AD780*1</f>
        <v>0</v>
      </c>
      <c r="S779" s="6">
        <f>'MATCH CALCS'!AC780*3</f>
        <v>0</v>
      </c>
      <c r="T779" s="6">
        <f>'MATCH CALCS'!AD780*3</f>
        <v>0</v>
      </c>
      <c r="U779" s="155">
        <f t="shared" si="22"/>
        <v>0</v>
      </c>
      <c r="V779" s="154">
        <f t="shared" si="23"/>
        <v>0</v>
      </c>
    </row>
    <row r="780" spans="1:22">
      <c r="A780" s="154">
        <f>'MATCH CALCS'!A781</f>
        <v>0</v>
      </c>
      <c r="B780" s="154">
        <f>'MATCH CALCS'!$C781</f>
        <v>0</v>
      </c>
      <c r="C780" s="154">
        <f t="shared" si="19"/>
        <v>0</v>
      </c>
      <c r="D780" s="6">
        <f>'MATCH CALCS'!$G781*2</f>
        <v>0</v>
      </c>
      <c r="E780" s="6">
        <f>'MATCH CALCS'!$G781*2</f>
        <v>0</v>
      </c>
      <c r="F780" s="6">
        <f>'MATCH CALCS'!$G781*2</f>
        <v>0</v>
      </c>
      <c r="G780" s="6">
        <f>'MATCH CALCS'!$G781*2</f>
        <v>0</v>
      </c>
      <c r="H780" s="6">
        <f>'MATCH CALCS'!$G781*2</f>
        <v>0</v>
      </c>
      <c r="I780" s="6">
        <f>'MATCH CALCS'!$G781*2</f>
        <v>0</v>
      </c>
      <c r="J780" s="154">
        <f t="shared" si="20"/>
        <v>0</v>
      </c>
      <c r="K780" s="6">
        <f>'MATCH CALCS'!L781*1</f>
        <v>0</v>
      </c>
      <c r="L780" s="6">
        <f>'MATCH CALCS'!$N781*2</f>
        <v>0</v>
      </c>
      <c r="M780" s="6">
        <f>'MATCH CALCS'!N781*1</f>
        <v>0</v>
      </c>
      <c r="N780" s="6">
        <f>'MATCH CALCS'!$N781*2</f>
        <v>0</v>
      </c>
      <c r="O780" s="6">
        <f>'MATCH CALCS'!$N781*2</f>
        <v>0</v>
      </c>
      <c r="P780" s="6">
        <f>'MATCH CALCS'!$P781*5</f>
        <v>0</v>
      </c>
      <c r="Q780" s="154">
        <f t="shared" si="21"/>
        <v>0</v>
      </c>
      <c r="R780" s="6">
        <f>'MATCH CALCS'!$AD781*1</f>
        <v>0</v>
      </c>
      <c r="S780" s="6">
        <f>'MATCH CALCS'!AC781*3</f>
        <v>0</v>
      </c>
      <c r="T780" s="6">
        <f>'MATCH CALCS'!AD781*3</f>
        <v>0</v>
      </c>
      <c r="U780" s="155">
        <f t="shared" si="22"/>
        <v>0</v>
      </c>
      <c r="V780" s="154">
        <f t="shared" si="23"/>
        <v>0</v>
      </c>
    </row>
    <row r="781" spans="1:22">
      <c r="A781" s="154">
        <f>'MATCH CALCS'!A782</f>
        <v>0</v>
      </c>
      <c r="B781" s="154">
        <f>'MATCH CALCS'!$C782</f>
        <v>0</v>
      </c>
      <c r="C781" s="154">
        <f t="shared" si="19"/>
        <v>0</v>
      </c>
      <c r="D781" s="6">
        <f>'MATCH CALCS'!$G782*2</f>
        <v>0</v>
      </c>
      <c r="E781" s="6">
        <f>'MATCH CALCS'!$G782*2</f>
        <v>0</v>
      </c>
      <c r="F781" s="6">
        <f>'MATCH CALCS'!$G782*2</f>
        <v>0</v>
      </c>
      <c r="G781" s="6">
        <f>'MATCH CALCS'!$G782*2</f>
        <v>0</v>
      </c>
      <c r="H781" s="6">
        <f>'MATCH CALCS'!$G782*2</f>
        <v>0</v>
      </c>
      <c r="I781" s="6">
        <f>'MATCH CALCS'!$G782*2</f>
        <v>0</v>
      </c>
      <c r="J781" s="154">
        <f t="shared" si="20"/>
        <v>0</v>
      </c>
      <c r="K781" s="6">
        <f>'MATCH CALCS'!L782*1</f>
        <v>0</v>
      </c>
      <c r="L781" s="6">
        <f>'MATCH CALCS'!$N782*2</f>
        <v>0</v>
      </c>
      <c r="M781" s="6">
        <f>'MATCH CALCS'!N782*1</f>
        <v>0</v>
      </c>
      <c r="N781" s="6">
        <f>'MATCH CALCS'!$N782*2</f>
        <v>0</v>
      </c>
      <c r="O781" s="6">
        <f>'MATCH CALCS'!$N782*2</f>
        <v>0</v>
      </c>
      <c r="P781" s="6">
        <f>'MATCH CALCS'!$P782*5</f>
        <v>0</v>
      </c>
      <c r="Q781" s="154">
        <f t="shared" si="21"/>
        <v>0</v>
      </c>
      <c r="R781" s="6">
        <f>'MATCH CALCS'!$AD782*1</f>
        <v>0</v>
      </c>
      <c r="S781" s="6">
        <f>'MATCH CALCS'!AC782*3</f>
        <v>0</v>
      </c>
      <c r="T781" s="6">
        <f>'MATCH CALCS'!AD782*3</f>
        <v>0</v>
      </c>
      <c r="U781" s="155">
        <f t="shared" si="22"/>
        <v>0</v>
      </c>
      <c r="V781" s="154">
        <f t="shared" si="23"/>
        <v>0</v>
      </c>
    </row>
    <row r="782" spans="1:22">
      <c r="A782" s="154">
        <f>'MATCH CALCS'!A783</f>
        <v>0</v>
      </c>
      <c r="B782" s="154">
        <f>'MATCH CALCS'!$C783</f>
        <v>0</v>
      </c>
      <c r="C782" s="154">
        <f t="shared" si="19"/>
        <v>0</v>
      </c>
      <c r="D782" s="6">
        <f>'MATCH CALCS'!$G783*2</f>
        <v>0</v>
      </c>
      <c r="E782" s="6">
        <f>'MATCH CALCS'!$G783*2</f>
        <v>0</v>
      </c>
      <c r="F782" s="6">
        <f>'MATCH CALCS'!$G783*2</f>
        <v>0</v>
      </c>
      <c r="G782" s="6">
        <f>'MATCH CALCS'!$G783*2</f>
        <v>0</v>
      </c>
      <c r="H782" s="6">
        <f>'MATCH CALCS'!$G783*2</f>
        <v>0</v>
      </c>
      <c r="I782" s="6">
        <f>'MATCH CALCS'!$G783*2</f>
        <v>0</v>
      </c>
      <c r="J782" s="154">
        <f t="shared" si="20"/>
        <v>0</v>
      </c>
      <c r="K782" s="6">
        <f>'MATCH CALCS'!L783*1</f>
        <v>0</v>
      </c>
      <c r="L782" s="6">
        <f>'MATCH CALCS'!$N783*2</f>
        <v>0</v>
      </c>
      <c r="M782" s="6">
        <f>'MATCH CALCS'!N783*1</f>
        <v>0</v>
      </c>
      <c r="N782" s="6">
        <f>'MATCH CALCS'!$N783*2</f>
        <v>0</v>
      </c>
      <c r="O782" s="6">
        <f>'MATCH CALCS'!$N783*2</f>
        <v>0</v>
      </c>
      <c r="P782" s="6">
        <f>'MATCH CALCS'!$P783*5</f>
        <v>0</v>
      </c>
      <c r="Q782" s="154">
        <f t="shared" si="21"/>
        <v>0</v>
      </c>
      <c r="R782" s="6">
        <f>'MATCH CALCS'!$AD783*1</f>
        <v>0</v>
      </c>
      <c r="S782" s="6">
        <f>'MATCH CALCS'!AC783*3</f>
        <v>0</v>
      </c>
      <c r="T782" s="6">
        <f>'MATCH CALCS'!AD783*3</f>
        <v>0</v>
      </c>
      <c r="U782" s="155">
        <f t="shared" si="22"/>
        <v>0</v>
      </c>
      <c r="V782" s="154">
        <f t="shared" si="23"/>
        <v>0</v>
      </c>
    </row>
    <row r="783" spans="1:22">
      <c r="A783" s="154">
        <f>'MATCH CALCS'!A784</f>
        <v>0</v>
      </c>
      <c r="B783" s="154">
        <f>'MATCH CALCS'!$C784</f>
        <v>0</v>
      </c>
      <c r="C783" s="154">
        <f t="shared" si="19"/>
        <v>0</v>
      </c>
      <c r="D783" s="6">
        <f>'MATCH CALCS'!$G784*2</f>
        <v>0</v>
      </c>
      <c r="E783" s="6">
        <f>'MATCH CALCS'!$G784*2</f>
        <v>0</v>
      </c>
      <c r="F783" s="6">
        <f>'MATCH CALCS'!$G784*2</f>
        <v>0</v>
      </c>
      <c r="G783" s="6">
        <f>'MATCH CALCS'!$G784*2</f>
        <v>0</v>
      </c>
      <c r="H783" s="6">
        <f>'MATCH CALCS'!$G784*2</f>
        <v>0</v>
      </c>
      <c r="I783" s="6">
        <f>'MATCH CALCS'!$G784*2</f>
        <v>0</v>
      </c>
      <c r="J783" s="154">
        <f t="shared" si="20"/>
        <v>0</v>
      </c>
      <c r="K783" s="6">
        <f>'MATCH CALCS'!L784*1</f>
        <v>0</v>
      </c>
      <c r="L783" s="6">
        <f>'MATCH CALCS'!$N784*2</f>
        <v>0</v>
      </c>
      <c r="M783" s="6">
        <f>'MATCH CALCS'!N784*1</f>
        <v>0</v>
      </c>
      <c r="N783" s="6">
        <f>'MATCH CALCS'!$N784*2</f>
        <v>0</v>
      </c>
      <c r="O783" s="6">
        <f>'MATCH CALCS'!$N784*2</f>
        <v>0</v>
      </c>
      <c r="P783" s="6">
        <f>'MATCH CALCS'!$P784*5</f>
        <v>0</v>
      </c>
      <c r="Q783" s="154">
        <f t="shared" si="21"/>
        <v>0</v>
      </c>
      <c r="R783" s="6">
        <f>'MATCH CALCS'!$AD784*1</f>
        <v>0</v>
      </c>
      <c r="S783" s="6">
        <f>'MATCH CALCS'!AC784*3</f>
        <v>0</v>
      </c>
      <c r="T783" s="6">
        <f>'MATCH CALCS'!AD784*3</f>
        <v>0</v>
      </c>
      <c r="U783" s="155">
        <f t="shared" si="22"/>
        <v>0</v>
      </c>
      <c r="V783" s="154">
        <f t="shared" si="23"/>
        <v>0</v>
      </c>
    </row>
    <row r="784" spans="1:22">
      <c r="A784" s="154">
        <f>'MATCH CALCS'!A785</f>
        <v>0</v>
      </c>
      <c r="B784" s="154">
        <f>'MATCH CALCS'!$C785</f>
        <v>0</v>
      </c>
      <c r="C784" s="154">
        <f t="shared" si="19"/>
        <v>0</v>
      </c>
      <c r="D784" s="6">
        <f>'MATCH CALCS'!$G785*2</f>
        <v>0</v>
      </c>
      <c r="E784" s="6">
        <f>'MATCH CALCS'!$G785*2</f>
        <v>0</v>
      </c>
      <c r="F784" s="6">
        <f>'MATCH CALCS'!$G785*2</f>
        <v>0</v>
      </c>
      <c r="G784" s="6">
        <f>'MATCH CALCS'!$G785*2</f>
        <v>0</v>
      </c>
      <c r="H784" s="6">
        <f>'MATCH CALCS'!$G785*2</f>
        <v>0</v>
      </c>
      <c r="I784" s="6">
        <f>'MATCH CALCS'!$G785*2</f>
        <v>0</v>
      </c>
      <c r="J784" s="154">
        <f t="shared" si="20"/>
        <v>0</v>
      </c>
      <c r="K784" s="6">
        <f>'MATCH CALCS'!L785*1</f>
        <v>0</v>
      </c>
      <c r="L784" s="6">
        <f>'MATCH CALCS'!$N785*2</f>
        <v>0</v>
      </c>
      <c r="M784" s="6">
        <f>'MATCH CALCS'!N785*1</f>
        <v>0</v>
      </c>
      <c r="N784" s="6">
        <f>'MATCH CALCS'!$N785*2</f>
        <v>0</v>
      </c>
      <c r="O784" s="6">
        <f>'MATCH CALCS'!$N785*2</f>
        <v>0</v>
      </c>
      <c r="P784" s="6">
        <f>'MATCH CALCS'!$P785*5</f>
        <v>0</v>
      </c>
      <c r="Q784" s="154">
        <f t="shared" si="21"/>
        <v>0</v>
      </c>
      <c r="R784" s="6">
        <f>'MATCH CALCS'!$AD785*1</f>
        <v>0</v>
      </c>
      <c r="S784" s="6">
        <f>'MATCH CALCS'!AC785*3</f>
        <v>0</v>
      </c>
      <c r="T784" s="6">
        <f>'MATCH CALCS'!AD785*3</f>
        <v>0</v>
      </c>
      <c r="U784" s="155">
        <f t="shared" si="22"/>
        <v>0</v>
      </c>
      <c r="V784" s="154">
        <f t="shared" si="23"/>
        <v>0</v>
      </c>
    </row>
    <row r="785" spans="1:22">
      <c r="A785" s="154">
        <f>'MATCH CALCS'!A786</f>
        <v>0</v>
      </c>
      <c r="B785" s="154">
        <f>'MATCH CALCS'!$C786</f>
        <v>0</v>
      </c>
      <c r="C785" s="154">
        <f t="shared" si="19"/>
        <v>0</v>
      </c>
      <c r="D785" s="6">
        <f>'MATCH CALCS'!$G786*2</f>
        <v>0</v>
      </c>
      <c r="E785" s="6">
        <f>'MATCH CALCS'!$G786*2</f>
        <v>0</v>
      </c>
      <c r="F785" s="6">
        <f>'MATCH CALCS'!$G786*2</f>
        <v>0</v>
      </c>
      <c r="G785" s="6">
        <f>'MATCH CALCS'!$G786*2</f>
        <v>0</v>
      </c>
      <c r="H785" s="6">
        <f>'MATCH CALCS'!$G786*2</f>
        <v>0</v>
      </c>
      <c r="I785" s="6">
        <f>'MATCH CALCS'!$G786*2</f>
        <v>0</v>
      </c>
      <c r="J785" s="154">
        <f t="shared" si="20"/>
        <v>0</v>
      </c>
      <c r="K785" s="6">
        <f>'MATCH CALCS'!L786*1</f>
        <v>0</v>
      </c>
      <c r="L785" s="6">
        <f>'MATCH CALCS'!$N786*2</f>
        <v>0</v>
      </c>
      <c r="M785" s="6">
        <f>'MATCH CALCS'!N786*1</f>
        <v>0</v>
      </c>
      <c r="N785" s="6">
        <f>'MATCH CALCS'!$N786*2</f>
        <v>0</v>
      </c>
      <c r="O785" s="6">
        <f>'MATCH CALCS'!$N786*2</f>
        <v>0</v>
      </c>
      <c r="P785" s="6">
        <f>'MATCH CALCS'!$P786*5</f>
        <v>0</v>
      </c>
      <c r="Q785" s="154">
        <f t="shared" si="21"/>
        <v>0</v>
      </c>
      <c r="R785" s="6">
        <f>'MATCH CALCS'!$AD786*1</f>
        <v>0</v>
      </c>
      <c r="S785" s="6">
        <f>'MATCH CALCS'!AC786*3</f>
        <v>0</v>
      </c>
      <c r="T785" s="6">
        <f>'MATCH CALCS'!AD786*3</f>
        <v>0</v>
      </c>
      <c r="U785" s="155">
        <f t="shared" si="22"/>
        <v>0</v>
      </c>
      <c r="V785" s="154">
        <f t="shared" si="23"/>
        <v>0</v>
      </c>
    </row>
    <row r="786" spans="1:22">
      <c r="A786" s="154">
        <f>'MATCH CALCS'!A787</f>
        <v>0</v>
      </c>
      <c r="B786" s="154">
        <f>'MATCH CALCS'!$C787</f>
        <v>0</v>
      </c>
      <c r="C786" s="154">
        <f t="shared" si="19"/>
        <v>0</v>
      </c>
      <c r="D786" s="6">
        <f>'MATCH CALCS'!$G787*2</f>
        <v>0</v>
      </c>
      <c r="E786" s="6">
        <f>'MATCH CALCS'!$G787*2</f>
        <v>0</v>
      </c>
      <c r="F786" s="6">
        <f>'MATCH CALCS'!$G787*2</f>
        <v>0</v>
      </c>
      <c r="G786" s="6">
        <f>'MATCH CALCS'!$G787*2</f>
        <v>0</v>
      </c>
      <c r="H786" s="6">
        <f>'MATCH CALCS'!$G787*2</f>
        <v>0</v>
      </c>
      <c r="I786" s="6">
        <f>'MATCH CALCS'!$G787*2</f>
        <v>0</v>
      </c>
      <c r="J786" s="154">
        <f t="shared" si="20"/>
        <v>0</v>
      </c>
      <c r="K786" s="6">
        <f>'MATCH CALCS'!L787*1</f>
        <v>0</v>
      </c>
      <c r="L786" s="6">
        <f>'MATCH CALCS'!$N787*2</f>
        <v>0</v>
      </c>
      <c r="M786" s="6">
        <f>'MATCH CALCS'!N787*1</f>
        <v>0</v>
      </c>
      <c r="N786" s="6">
        <f>'MATCH CALCS'!$N787*2</f>
        <v>0</v>
      </c>
      <c r="O786" s="6">
        <f>'MATCH CALCS'!$N787*2</f>
        <v>0</v>
      </c>
      <c r="P786" s="6">
        <f>'MATCH CALCS'!$P787*5</f>
        <v>0</v>
      </c>
      <c r="Q786" s="154">
        <f t="shared" si="21"/>
        <v>0</v>
      </c>
      <c r="R786" s="6">
        <f>'MATCH CALCS'!$AD787*1</f>
        <v>0</v>
      </c>
      <c r="S786" s="6">
        <f>'MATCH CALCS'!AC787*3</f>
        <v>0</v>
      </c>
      <c r="T786" s="6">
        <f>'MATCH CALCS'!AD787*3</f>
        <v>0</v>
      </c>
      <c r="U786" s="155">
        <f t="shared" si="22"/>
        <v>0</v>
      </c>
      <c r="V786" s="154">
        <f t="shared" si="23"/>
        <v>0</v>
      </c>
    </row>
    <row r="787" spans="1:22">
      <c r="A787" s="154">
        <f>'MATCH CALCS'!A788</f>
        <v>0</v>
      </c>
      <c r="B787" s="154">
        <f>'MATCH CALCS'!$C788</f>
        <v>0</v>
      </c>
      <c r="C787" s="154">
        <f t="shared" si="19"/>
        <v>0</v>
      </c>
      <c r="D787" s="6">
        <f>'MATCH CALCS'!$G788*2</f>
        <v>0</v>
      </c>
      <c r="E787" s="6">
        <f>'MATCH CALCS'!$G788*2</f>
        <v>0</v>
      </c>
      <c r="F787" s="6">
        <f>'MATCH CALCS'!$G788*2</f>
        <v>0</v>
      </c>
      <c r="G787" s="6">
        <f>'MATCH CALCS'!$G788*2</f>
        <v>0</v>
      </c>
      <c r="H787" s="6">
        <f>'MATCH CALCS'!$G788*2</f>
        <v>0</v>
      </c>
      <c r="I787" s="6">
        <f>'MATCH CALCS'!$G788*2</f>
        <v>0</v>
      </c>
      <c r="J787" s="154">
        <f t="shared" si="20"/>
        <v>0</v>
      </c>
      <c r="K787" s="6">
        <f>'MATCH CALCS'!L788*1</f>
        <v>0</v>
      </c>
      <c r="L787" s="6">
        <f>'MATCH CALCS'!$N788*2</f>
        <v>0</v>
      </c>
      <c r="M787" s="6">
        <f>'MATCH CALCS'!N788*1</f>
        <v>0</v>
      </c>
      <c r="N787" s="6">
        <f>'MATCH CALCS'!$N788*2</f>
        <v>0</v>
      </c>
      <c r="O787" s="6">
        <f>'MATCH CALCS'!$N788*2</f>
        <v>0</v>
      </c>
      <c r="P787" s="6">
        <f>'MATCH CALCS'!$P788*5</f>
        <v>0</v>
      </c>
      <c r="Q787" s="154">
        <f t="shared" si="21"/>
        <v>0</v>
      </c>
      <c r="R787" s="6">
        <f>'MATCH CALCS'!$AD788*1</f>
        <v>0</v>
      </c>
      <c r="S787" s="6">
        <f>'MATCH CALCS'!AC788*3</f>
        <v>0</v>
      </c>
      <c r="T787" s="6">
        <f>'MATCH CALCS'!AD788*3</f>
        <v>0</v>
      </c>
      <c r="U787" s="155">
        <f t="shared" si="22"/>
        <v>0</v>
      </c>
      <c r="V787" s="154">
        <f t="shared" si="23"/>
        <v>0</v>
      </c>
    </row>
    <row r="788" spans="1:22">
      <c r="A788" s="154">
        <f>'MATCH CALCS'!A789</f>
        <v>0</v>
      </c>
      <c r="B788" s="154">
        <f>'MATCH CALCS'!$C789</f>
        <v>0</v>
      </c>
      <c r="C788" s="154">
        <f t="shared" si="19"/>
        <v>0</v>
      </c>
      <c r="D788" s="6">
        <f>'MATCH CALCS'!$G789*2</f>
        <v>0</v>
      </c>
      <c r="E788" s="6">
        <f>'MATCH CALCS'!$G789*2</f>
        <v>0</v>
      </c>
      <c r="F788" s="6">
        <f>'MATCH CALCS'!$G789*2</f>
        <v>0</v>
      </c>
      <c r="G788" s="6">
        <f>'MATCH CALCS'!$G789*2</f>
        <v>0</v>
      </c>
      <c r="H788" s="6">
        <f>'MATCH CALCS'!$G789*2</f>
        <v>0</v>
      </c>
      <c r="I788" s="6">
        <f>'MATCH CALCS'!$G789*2</f>
        <v>0</v>
      </c>
      <c r="J788" s="154">
        <f t="shared" si="20"/>
        <v>0</v>
      </c>
      <c r="K788" s="6">
        <f>'MATCH CALCS'!L789*1</f>
        <v>0</v>
      </c>
      <c r="L788" s="6">
        <f>'MATCH CALCS'!$N789*2</f>
        <v>0</v>
      </c>
      <c r="M788" s="6">
        <f>'MATCH CALCS'!N789*1</f>
        <v>0</v>
      </c>
      <c r="N788" s="6">
        <f>'MATCH CALCS'!$N789*2</f>
        <v>0</v>
      </c>
      <c r="O788" s="6">
        <f>'MATCH CALCS'!$N789*2</f>
        <v>0</v>
      </c>
      <c r="P788" s="6">
        <f>'MATCH CALCS'!$P789*5</f>
        <v>0</v>
      </c>
      <c r="Q788" s="154">
        <f t="shared" si="21"/>
        <v>0</v>
      </c>
      <c r="R788" s="6">
        <f>'MATCH CALCS'!$AD789*1</f>
        <v>0</v>
      </c>
      <c r="S788" s="6">
        <f>'MATCH CALCS'!AC789*3</f>
        <v>0</v>
      </c>
      <c r="T788" s="6">
        <f>'MATCH CALCS'!AD789*3</f>
        <v>0</v>
      </c>
      <c r="U788" s="155">
        <f t="shared" si="22"/>
        <v>0</v>
      </c>
      <c r="V788" s="154">
        <f t="shared" si="23"/>
        <v>0</v>
      </c>
    </row>
    <row r="789" spans="1:22">
      <c r="A789" s="154">
        <f>'MATCH CALCS'!A790</f>
        <v>0</v>
      </c>
      <c r="B789" s="154">
        <f>'MATCH CALCS'!$C790</f>
        <v>0</v>
      </c>
      <c r="C789" s="154">
        <f t="shared" si="19"/>
        <v>0</v>
      </c>
      <c r="D789" s="6">
        <f>'MATCH CALCS'!$G790*2</f>
        <v>0</v>
      </c>
      <c r="E789" s="6">
        <f>'MATCH CALCS'!$G790*2</f>
        <v>0</v>
      </c>
      <c r="F789" s="6">
        <f>'MATCH CALCS'!$G790*2</f>
        <v>0</v>
      </c>
      <c r="G789" s="6">
        <f>'MATCH CALCS'!$G790*2</f>
        <v>0</v>
      </c>
      <c r="H789" s="6">
        <f>'MATCH CALCS'!$G790*2</f>
        <v>0</v>
      </c>
      <c r="I789" s="6">
        <f>'MATCH CALCS'!$G790*2</f>
        <v>0</v>
      </c>
      <c r="J789" s="154">
        <f t="shared" si="20"/>
        <v>0</v>
      </c>
      <c r="K789" s="6">
        <f>'MATCH CALCS'!L790*1</f>
        <v>0</v>
      </c>
      <c r="L789" s="6">
        <f>'MATCH CALCS'!$N790*2</f>
        <v>0</v>
      </c>
      <c r="M789" s="6">
        <f>'MATCH CALCS'!N790*1</f>
        <v>0</v>
      </c>
      <c r="N789" s="6">
        <f>'MATCH CALCS'!$N790*2</f>
        <v>0</v>
      </c>
      <c r="O789" s="6">
        <f>'MATCH CALCS'!$N790*2</f>
        <v>0</v>
      </c>
      <c r="P789" s="6">
        <f>'MATCH CALCS'!$P790*5</f>
        <v>0</v>
      </c>
      <c r="Q789" s="154">
        <f t="shared" si="21"/>
        <v>0</v>
      </c>
      <c r="R789" s="6">
        <f>'MATCH CALCS'!$AD790*1</f>
        <v>0</v>
      </c>
      <c r="S789" s="6">
        <f>'MATCH CALCS'!AC790*3</f>
        <v>0</v>
      </c>
      <c r="T789" s="6">
        <f>'MATCH CALCS'!AD790*3</f>
        <v>0</v>
      </c>
      <c r="U789" s="155">
        <f t="shared" si="22"/>
        <v>0</v>
      </c>
      <c r="V789" s="154">
        <f t="shared" si="23"/>
        <v>0</v>
      </c>
    </row>
    <row r="790" spans="1:22">
      <c r="A790" s="154">
        <f>'MATCH CALCS'!A791</f>
        <v>0</v>
      </c>
      <c r="B790" s="154">
        <f>'MATCH CALCS'!$C791</f>
        <v>0</v>
      </c>
      <c r="C790" s="154">
        <f t="shared" si="19"/>
        <v>0</v>
      </c>
      <c r="D790" s="6">
        <f>'MATCH CALCS'!$G791*2</f>
        <v>0</v>
      </c>
      <c r="E790" s="6">
        <f>'MATCH CALCS'!$G791*2</f>
        <v>0</v>
      </c>
      <c r="F790" s="6">
        <f>'MATCH CALCS'!$G791*2</f>
        <v>0</v>
      </c>
      <c r="G790" s="6">
        <f>'MATCH CALCS'!$G791*2</f>
        <v>0</v>
      </c>
      <c r="H790" s="6">
        <f>'MATCH CALCS'!$G791*2</f>
        <v>0</v>
      </c>
      <c r="I790" s="6">
        <f>'MATCH CALCS'!$G791*2</f>
        <v>0</v>
      </c>
      <c r="J790" s="154">
        <f t="shared" si="20"/>
        <v>0</v>
      </c>
      <c r="K790" s="6">
        <f>'MATCH CALCS'!L791*1</f>
        <v>0</v>
      </c>
      <c r="L790" s="6">
        <f>'MATCH CALCS'!$N791*2</f>
        <v>0</v>
      </c>
      <c r="M790" s="6">
        <f>'MATCH CALCS'!N791*1</f>
        <v>0</v>
      </c>
      <c r="N790" s="6">
        <f>'MATCH CALCS'!$N791*2</f>
        <v>0</v>
      </c>
      <c r="O790" s="6">
        <f>'MATCH CALCS'!$N791*2</f>
        <v>0</v>
      </c>
      <c r="P790" s="6">
        <f>'MATCH CALCS'!$P791*5</f>
        <v>0</v>
      </c>
      <c r="Q790" s="154">
        <f t="shared" si="21"/>
        <v>0</v>
      </c>
      <c r="R790" s="6">
        <f>'MATCH CALCS'!$AD791*1</f>
        <v>0</v>
      </c>
      <c r="S790" s="6">
        <f>'MATCH CALCS'!AC791*3</f>
        <v>0</v>
      </c>
      <c r="T790" s="6">
        <f>'MATCH CALCS'!AD791*3</f>
        <v>0</v>
      </c>
      <c r="U790" s="155">
        <f t="shared" si="22"/>
        <v>0</v>
      </c>
      <c r="V790" s="154">
        <f t="shared" si="23"/>
        <v>0</v>
      </c>
    </row>
    <row r="791" spans="1:22">
      <c r="A791" s="154">
        <f>'MATCH CALCS'!A792</f>
        <v>0</v>
      </c>
      <c r="B791" s="154">
        <f>'MATCH CALCS'!$C792</f>
        <v>0</v>
      </c>
      <c r="C791" s="154">
        <f t="shared" si="19"/>
        <v>0</v>
      </c>
      <c r="D791" s="6">
        <f>'MATCH CALCS'!$G792*2</f>
        <v>0</v>
      </c>
      <c r="E791" s="6">
        <f>'MATCH CALCS'!$G792*2</f>
        <v>0</v>
      </c>
      <c r="F791" s="6">
        <f>'MATCH CALCS'!$G792*2</f>
        <v>0</v>
      </c>
      <c r="G791" s="6">
        <f>'MATCH CALCS'!$G792*2</f>
        <v>0</v>
      </c>
      <c r="H791" s="6">
        <f>'MATCH CALCS'!$G792*2</f>
        <v>0</v>
      </c>
      <c r="I791" s="6">
        <f>'MATCH CALCS'!$G792*2</f>
        <v>0</v>
      </c>
      <c r="J791" s="154">
        <f t="shared" si="20"/>
        <v>0</v>
      </c>
      <c r="K791" s="6">
        <f>'MATCH CALCS'!L792*1</f>
        <v>0</v>
      </c>
      <c r="L791" s="6">
        <f>'MATCH CALCS'!$N792*2</f>
        <v>0</v>
      </c>
      <c r="M791" s="6">
        <f>'MATCH CALCS'!N792*1</f>
        <v>0</v>
      </c>
      <c r="N791" s="6">
        <f>'MATCH CALCS'!$N792*2</f>
        <v>0</v>
      </c>
      <c r="O791" s="6">
        <f>'MATCH CALCS'!$N792*2</f>
        <v>0</v>
      </c>
      <c r="P791" s="6">
        <f>'MATCH CALCS'!$P792*5</f>
        <v>0</v>
      </c>
      <c r="Q791" s="154">
        <f t="shared" si="21"/>
        <v>0</v>
      </c>
      <c r="R791" s="6">
        <f>'MATCH CALCS'!$AD792*1</f>
        <v>0</v>
      </c>
      <c r="S791" s="6">
        <f>'MATCH CALCS'!AC792*3</f>
        <v>0</v>
      </c>
      <c r="T791" s="6">
        <f>'MATCH CALCS'!AD792*3</f>
        <v>0</v>
      </c>
      <c r="U791" s="155">
        <f t="shared" si="22"/>
        <v>0</v>
      </c>
      <c r="V791" s="154">
        <f t="shared" si="23"/>
        <v>0</v>
      </c>
    </row>
    <row r="792" spans="1:22">
      <c r="A792" s="154">
        <f>'MATCH CALCS'!A793</f>
        <v>0</v>
      </c>
      <c r="B792" s="154">
        <f>'MATCH CALCS'!$C793</f>
        <v>0</v>
      </c>
      <c r="C792" s="154">
        <f t="shared" si="19"/>
        <v>0</v>
      </c>
      <c r="D792" s="6">
        <f>'MATCH CALCS'!$G793*2</f>
        <v>0</v>
      </c>
      <c r="E792" s="6">
        <f>'MATCH CALCS'!$G793*2</f>
        <v>0</v>
      </c>
      <c r="F792" s="6">
        <f>'MATCH CALCS'!$G793*2</f>
        <v>0</v>
      </c>
      <c r="G792" s="6">
        <f>'MATCH CALCS'!$G793*2</f>
        <v>0</v>
      </c>
      <c r="H792" s="6">
        <f>'MATCH CALCS'!$G793*2</f>
        <v>0</v>
      </c>
      <c r="I792" s="6">
        <f>'MATCH CALCS'!$G793*2</f>
        <v>0</v>
      </c>
      <c r="J792" s="154">
        <f t="shared" si="20"/>
        <v>0</v>
      </c>
      <c r="K792" s="6">
        <f>'MATCH CALCS'!L793*1</f>
        <v>0</v>
      </c>
      <c r="L792" s="6">
        <f>'MATCH CALCS'!$N793*2</f>
        <v>0</v>
      </c>
      <c r="M792" s="6">
        <f>'MATCH CALCS'!N793*1</f>
        <v>0</v>
      </c>
      <c r="N792" s="6">
        <f>'MATCH CALCS'!$N793*2</f>
        <v>0</v>
      </c>
      <c r="O792" s="6">
        <f>'MATCH CALCS'!$N793*2</f>
        <v>0</v>
      </c>
      <c r="P792" s="6">
        <f>'MATCH CALCS'!$P793*5</f>
        <v>0</v>
      </c>
      <c r="Q792" s="154">
        <f t="shared" si="21"/>
        <v>0</v>
      </c>
      <c r="R792" s="6">
        <f>'MATCH CALCS'!$AD793*1</f>
        <v>0</v>
      </c>
      <c r="S792" s="6">
        <f>'MATCH CALCS'!AC793*3</f>
        <v>0</v>
      </c>
      <c r="T792" s="6">
        <f>'MATCH CALCS'!AD793*3</f>
        <v>0</v>
      </c>
      <c r="U792" s="155">
        <f t="shared" si="22"/>
        <v>0</v>
      </c>
      <c r="V792" s="154">
        <f t="shared" si="23"/>
        <v>0</v>
      </c>
    </row>
    <row r="793" spans="1:22">
      <c r="A793" s="154">
        <f>'MATCH CALCS'!A794</f>
        <v>0</v>
      </c>
      <c r="B793" s="154">
        <f>'MATCH CALCS'!$C794</f>
        <v>0</v>
      </c>
      <c r="C793" s="154">
        <f t="shared" si="19"/>
        <v>0</v>
      </c>
      <c r="D793" s="6">
        <f>'MATCH CALCS'!$G794*2</f>
        <v>0</v>
      </c>
      <c r="E793" s="6">
        <f>'MATCH CALCS'!$G794*2</f>
        <v>0</v>
      </c>
      <c r="F793" s="6">
        <f>'MATCH CALCS'!$G794*2</f>
        <v>0</v>
      </c>
      <c r="G793" s="6">
        <f>'MATCH CALCS'!$G794*2</f>
        <v>0</v>
      </c>
      <c r="H793" s="6">
        <f>'MATCH CALCS'!$G794*2</f>
        <v>0</v>
      </c>
      <c r="I793" s="6">
        <f>'MATCH CALCS'!$G794*2</f>
        <v>0</v>
      </c>
      <c r="J793" s="154">
        <f t="shared" si="20"/>
        <v>0</v>
      </c>
      <c r="K793" s="6">
        <f>'MATCH CALCS'!L794*1</f>
        <v>0</v>
      </c>
      <c r="L793" s="6">
        <f>'MATCH CALCS'!$N794*2</f>
        <v>0</v>
      </c>
      <c r="M793" s="6">
        <f>'MATCH CALCS'!N794*1</f>
        <v>0</v>
      </c>
      <c r="N793" s="6">
        <f>'MATCH CALCS'!$N794*2</f>
        <v>0</v>
      </c>
      <c r="O793" s="6">
        <f>'MATCH CALCS'!$N794*2</f>
        <v>0</v>
      </c>
      <c r="P793" s="6">
        <f>'MATCH CALCS'!$P794*5</f>
        <v>0</v>
      </c>
      <c r="Q793" s="154">
        <f t="shared" si="21"/>
        <v>0</v>
      </c>
      <c r="R793" s="6">
        <f>'MATCH CALCS'!$AD794*1</f>
        <v>0</v>
      </c>
      <c r="S793" s="6">
        <f>'MATCH CALCS'!AC794*3</f>
        <v>0</v>
      </c>
      <c r="T793" s="6">
        <f>'MATCH CALCS'!AD794*3</f>
        <v>0</v>
      </c>
      <c r="U793" s="155">
        <f t="shared" si="22"/>
        <v>0</v>
      </c>
      <c r="V793" s="154">
        <f t="shared" si="23"/>
        <v>0</v>
      </c>
    </row>
    <row r="794" spans="1:22">
      <c r="A794" s="154">
        <f>'MATCH CALCS'!A795</f>
        <v>0</v>
      </c>
      <c r="B794" s="154">
        <f>'MATCH CALCS'!$C795</f>
        <v>0</v>
      </c>
      <c r="C794" s="154">
        <f t="shared" si="19"/>
        <v>0</v>
      </c>
      <c r="D794" s="6">
        <f>'MATCH CALCS'!$G795*2</f>
        <v>0</v>
      </c>
      <c r="E794" s="6">
        <f>'MATCH CALCS'!$G795*2</f>
        <v>0</v>
      </c>
      <c r="F794" s="6">
        <f>'MATCH CALCS'!$G795*2</f>
        <v>0</v>
      </c>
      <c r="G794" s="6">
        <f>'MATCH CALCS'!$G795*2</f>
        <v>0</v>
      </c>
      <c r="H794" s="6">
        <f>'MATCH CALCS'!$G795*2</f>
        <v>0</v>
      </c>
      <c r="I794" s="6">
        <f>'MATCH CALCS'!$G795*2</f>
        <v>0</v>
      </c>
      <c r="J794" s="154">
        <f t="shared" si="20"/>
        <v>0</v>
      </c>
      <c r="K794" s="6">
        <f>'MATCH CALCS'!L795*1</f>
        <v>0</v>
      </c>
      <c r="L794" s="6">
        <f>'MATCH CALCS'!$N795*2</f>
        <v>0</v>
      </c>
      <c r="M794" s="6">
        <f>'MATCH CALCS'!N795*1</f>
        <v>0</v>
      </c>
      <c r="N794" s="6">
        <f>'MATCH CALCS'!$N795*2</f>
        <v>0</v>
      </c>
      <c r="O794" s="6">
        <f>'MATCH CALCS'!$N795*2</f>
        <v>0</v>
      </c>
      <c r="P794" s="6">
        <f>'MATCH CALCS'!$P795*5</f>
        <v>0</v>
      </c>
      <c r="Q794" s="154">
        <f t="shared" si="21"/>
        <v>0</v>
      </c>
      <c r="R794" s="6">
        <f>'MATCH CALCS'!$AD795*1</f>
        <v>0</v>
      </c>
      <c r="S794" s="6">
        <f>'MATCH CALCS'!AC795*3</f>
        <v>0</v>
      </c>
      <c r="T794" s="6">
        <f>'MATCH CALCS'!AD795*3</f>
        <v>0</v>
      </c>
      <c r="U794" s="155">
        <f t="shared" si="22"/>
        <v>0</v>
      </c>
      <c r="V794" s="154">
        <f t="shared" si="23"/>
        <v>0</v>
      </c>
    </row>
    <row r="795" spans="1:22">
      <c r="A795" s="154">
        <f>'MATCH CALCS'!A796</f>
        <v>0</v>
      </c>
      <c r="B795" s="154">
        <f>'MATCH CALCS'!$C796</f>
        <v>0</v>
      </c>
      <c r="C795" s="154">
        <f t="shared" si="19"/>
        <v>0</v>
      </c>
      <c r="D795" s="6">
        <f>'MATCH CALCS'!$G796*2</f>
        <v>0</v>
      </c>
      <c r="E795" s="6">
        <f>'MATCH CALCS'!$G796*2</f>
        <v>0</v>
      </c>
      <c r="F795" s="6">
        <f>'MATCH CALCS'!$G796*2</f>
        <v>0</v>
      </c>
      <c r="G795" s="6">
        <f>'MATCH CALCS'!$G796*2</f>
        <v>0</v>
      </c>
      <c r="H795" s="6">
        <f>'MATCH CALCS'!$G796*2</f>
        <v>0</v>
      </c>
      <c r="I795" s="6">
        <f>'MATCH CALCS'!$G796*2</f>
        <v>0</v>
      </c>
      <c r="J795" s="154">
        <f t="shared" si="20"/>
        <v>0</v>
      </c>
      <c r="K795" s="6">
        <f>'MATCH CALCS'!L796*1</f>
        <v>0</v>
      </c>
      <c r="L795" s="6">
        <f>'MATCH CALCS'!$N796*2</f>
        <v>0</v>
      </c>
      <c r="M795" s="6">
        <f>'MATCH CALCS'!N796*1</f>
        <v>0</v>
      </c>
      <c r="N795" s="6">
        <f>'MATCH CALCS'!$N796*2</f>
        <v>0</v>
      </c>
      <c r="O795" s="6">
        <f>'MATCH CALCS'!$N796*2</f>
        <v>0</v>
      </c>
      <c r="P795" s="6">
        <f>'MATCH CALCS'!$P796*5</f>
        <v>0</v>
      </c>
      <c r="Q795" s="154">
        <f t="shared" si="21"/>
        <v>0</v>
      </c>
      <c r="R795" s="6">
        <f>'MATCH CALCS'!$AD796*1</f>
        <v>0</v>
      </c>
      <c r="S795" s="6">
        <f>'MATCH CALCS'!AC796*3</f>
        <v>0</v>
      </c>
      <c r="T795" s="6">
        <f>'MATCH CALCS'!AD796*3</f>
        <v>0</v>
      </c>
      <c r="U795" s="155">
        <f t="shared" si="22"/>
        <v>0</v>
      </c>
      <c r="V795" s="154">
        <f t="shared" si="23"/>
        <v>0</v>
      </c>
    </row>
    <row r="796" spans="1:22">
      <c r="A796" s="154">
        <f>'MATCH CALCS'!A797</f>
        <v>0</v>
      </c>
      <c r="B796" s="154">
        <f>'MATCH CALCS'!$C797</f>
        <v>0</v>
      </c>
      <c r="C796" s="154">
        <f t="shared" si="19"/>
        <v>0</v>
      </c>
      <c r="D796" s="6">
        <f>'MATCH CALCS'!$G797*2</f>
        <v>0</v>
      </c>
      <c r="E796" s="6">
        <f>'MATCH CALCS'!$G797*2</f>
        <v>0</v>
      </c>
      <c r="F796" s="6">
        <f>'MATCH CALCS'!$G797*2</f>
        <v>0</v>
      </c>
      <c r="G796" s="6">
        <f>'MATCH CALCS'!$G797*2</f>
        <v>0</v>
      </c>
      <c r="H796" s="6">
        <f>'MATCH CALCS'!$G797*2</f>
        <v>0</v>
      </c>
      <c r="I796" s="6">
        <f>'MATCH CALCS'!$G797*2</f>
        <v>0</v>
      </c>
      <c r="J796" s="154">
        <f t="shared" si="20"/>
        <v>0</v>
      </c>
      <c r="K796" s="6">
        <f>'MATCH CALCS'!L797*1</f>
        <v>0</v>
      </c>
      <c r="L796" s="6">
        <f>'MATCH CALCS'!$N797*2</f>
        <v>0</v>
      </c>
      <c r="M796" s="6">
        <f>'MATCH CALCS'!N797*1</f>
        <v>0</v>
      </c>
      <c r="N796" s="6">
        <f>'MATCH CALCS'!$N797*2</f>
        <v>0</v>
      </c>
      <c r="O796" s="6">
        <f>'MATCH CALCS'!$N797*2</f>
        <v>0</v>
      </c>
      <c r="P796" s="6">
        <f>'MATCH CALCS'!$P797*5</f>
        <v>0</v>
      </c>
      <c r="Q796" s="154">
        <f t="shared" si="21"/>
        <v>0</v>
      </c>
      <c r="R796" s="6">
        <f>'MATCH CALCS'!$AD797*1</f>
        <v>0</v>
      </c>
      <c r="S796" s="6">
        <f>'MATCH CALCS'!AC797*3</f>
        <v>0</v>
      </c>
      <c r="T796" s="6">
        <f>'MATCH CALCS'!AD797*3</f>
        <v>0</v>
      </c>
      <c r="U796" s="155">
        <f t="shared" si="22"/>
        <v>0</v>
      </c>
      <c r="V796" s="154">
        <f t="shared" si="23"/>
        <v>0</v>
      </c>
    </row>
    <row r="797" spans="1:22">
      <c r="A797" s="154">
        <f>'MATCH CALCS'!A798</f>
        <v>0</v>
      </c>
      <c r="B797" s="154">
        <f>'MATCH CALCS'!$C798</f>
        <v>0</v>
      </c>
      <c r="C797" s="154">
        <f t="shared" si="19"/>
        <v>0</v>
      </c>
      <c r="D797" s="6">
        <f>'MATCH CALCS'!$G798*2</f>
        <v>0</v>
      </c>
      <c r="E797" s="6">
        <f>'MATCH CALCS'!$G798*2</f>
        <v>0</v>
      </c>
      <c r="F797" s="6">
        <f>'MATCH CALCS'!$G798*2</f>
        <v>0</v>
      </c>
      <c r="G797" s="6">
        <f>'MATCH CALCS'!$G798*2</f>
        <v>0</v>
      </c>
      <c r="H797" s="6">
        <f>'MATCH CALCS'!$G798*2</f>
        <v>0</v>
      </c>
      <c r="I797" s="6">
        <f>'MATCH CALCS'!$G798*2</f>
        <v>0</v>
      </c>
      <c r="J797" s="154">
        <f t="shared" si="20"/>
        <v>0</v>
      </c>
      <c r="K797" s="6">
        <f>'MATCH CALCS'!L798*1</f>
        <v>0</v>
      </c>
      <c r="L797" s="6">
        <f>'MATCH CALCS'!$N798*2</f>
        <v>0</v>
      </c>
      <c r="M797" s="6">
        <f>'MATCH CALCS'!N798*1</f>
        <v>0</v>
      </c>
      <c r="N797" s="6">
        <f>'MATCH CALCS'!$N798*2</f>
        <v>0</v>
      </c>
      <c r="O797" s="6">
        <f>'MATCH CALCS'!$N798*2</f>
        <v>0</v>
      </c>
      <c r="P797" s="6">
        <f>'MATCH CALCS'!$P798*5</f>
        <v>0</v>
      </c>
      <c r="Q797" s="154">
        <f t="shared" si="21"/>
        <v>0</v>
      </c>
      <c r="R797" s="6">
        <f>'MATCH CALCS'!$AD798*1</f>
        <v>0</v>
      </c>
      <c r="S797" s="6">
        <f>'MATCH CALCS'!AC798*3</f>
        <v>0</v>
      </c>
      <c r="T797" s="6">
        <f>'MATCH CALCS'!AD798*3</f>
        <v>0</v>
      </c>
      <c r="U797" s="155">
        <f t="shared" si="22"/>
        <v>0</v>
      </c>
      <c r="V797" s="154">
        <f t="shared" si="23"/>
        <v>0</v>
      </c>
    </row>
    <row r="798" spans="1:22">
      <c r="A798" s="154">
        <f>'MATCH CALCS'!A799</f>
        <v>0</v>
      </c>
      <c r="B798" s="154">
        <f>'MATCH CALCS'!$C799</f>
        <v>0</v>
      </c>
      <c r="C798" s="154">
        <f t="shared" si="19"/>
        <v>0</v>
      </c>
      <c r="D798" s="6">
        <f>'MATCH CALCS'!$G799*2</f>
        <v>0</v>
      </c>
      <c r="E798" s="6">
        <f>'MATCH CALCS'!$G799*2</f>
        <v>0</v>
      </c>
      <c r="F798" s="6">
        <f>'MATCH CALCS'!$G799*2</f>
        <v>0</v>
      </c>
      <c r="G798" s="6">
        <f>'MATCH CALCS'!$G799*2</f>
        <v>0</v>
      </c>
      <c r="H798" s="6">
        <f>'MATCH CALCS'!$G799*2</f>
        <v>0</v>
      </c>
      <c r="I798" s="6">
        <f>'MATCH CALCS'!$G799*2</f>
        <v>0</v>
      </c>
      <c r="J798" s="154">
        <f t="shared" si="20"/>
        <v>0</v>
      </c>
      <c r="K798" s="6">
        <f>'MATCH CALCS'!L799*1</f>
        <v>0</v>
      </c>
      <c r="L798" s="6">
        <f>'MATCH CALCS'!$N799*2</f>
        <v>0</v>
      </c>
      <c r="M798" s="6">
        <f>'MATCH CALCS'!N799*1</f>
        <v>0</v>
      </c>
      <c r="N798" s="6">
        <f>'MATCH CALCS'!$N799*2</f>
        <v>0</v>
      </c>
      <c r="O798" s="6">
        <f>'MATCH CALCS'!$N799*2</f>
        <v>0</v>
      </c>
      <c r="P798" s="6">
        <f>'MATCH CALCS'!$P799*5</f>
        <v>0</v>
      </c>
      <c r="Q798" s="154">
        <f t="shared" si="21"/>
        <v>0</v>
      </c>
      <c r="R798" s="6">
        <f>'MATCH CALCS'!$AD799*1</f>
        <v>0</v>
      </c>
      <c r="S798" s="6">
        <f>'MATCH CALCS'!AC799*3</f>
        <v>0</v>
      </c>
      <c r="T798" s="6">
        <f>'MATCH CALCS'!AD799*3</f>
        <v>0</v>
      </c>
      <c r="U798" s="155">
        <f t="shared" si="22"/>
        <v>0</v>
      </c>
      <c r="V798" s="154">
        <f t="shared" si="23"/>
        <v>0</v>
      </c>
    </row>
    <row r="799" spans="1:22">
      <c r="A799" s="154">
        <f>'MATCH CALCS'!A800</f>
        <v>0</v>
      </c>
      <c r="B799" s="154">
        <f>'MATCH CALCS'!$C800</f>
        <v>0</v>
      </c>
      <c r="C799" s="154">
        <f t="shared" si="19"/>
        <v>0</v>
      </c>
      <c r="D799" s="6">
        <f>'MATCH CALCS'!$G800*2</f>
        <v>0</v>
      </c>
      <c r="E799" s="6">
        <f>'MATCH CALCS'!$G800*2</f>
        <v>0</v>
      </c>
      <c r="F799" s="6">
        <f>'MATCH CALCS'!$G800*2</f>
        <v>0</v>
      </c>
      <c r="G799" s="6">
        <f>'MATCH CALCS'!$G800*2</f>
        <v>0</v>
      </c>
      <c r="H799" s="6">
        <f>'MATCH CALCS'!$G800*2</f>
        <v>0</v>
      </c>
      <c r="I799" s="6">
        <f>'MATCH CALCS'!$G800*2</f>
        <v>0</v>
      </c>
      <c r="J799" s="154">
        <f t="shared" si="20"/>
        <v>0</v>
      </c>
      <c r="K799" s="6">
        <f>'MATCH CALCS'!L800*1</f>
        <v>0</v>
      </c>
      <c r="L799" s="6">
        <f>'MATCH CALCS'!$N800*2</f>
        <v>0</v>
      </c>
      <c r="M799" s="6">
        <f>'MATCH CALCS'!N800*1</f>
        <v>0</v>
      </c>
      <c r="N799" s="6">
        <f>'MATCH CALCS'!$N800*2</f>
        <v>0</v>
      </c>
      <c r="O799" s="6">
        <f>'MATCH CALCS'!$N800*2</f>
        <v>0</v>
      </c>
      <c r="P799" s="6">
        <f>'MATCH CALCS'!$P800*5</f>
        <v>0</v>
      </c>
      <c r="Q799" s="154">
        <f t="shared" si="21"/>
        <v>0</v>
      </c>
      <c r="R799" s="6">
        <f>'MATCH CALCS'!$AD800*1</f>
        <v>0</v>
      </c>
      <c r="S799" s="6">
        <f>'MATCH CALCS'!AC800*3</f>
        <v>0</v>
      </c>
      <c r="T799" s="6">
        <f>'MATCH CALCS'!AD800*3</f>
        <v>0</v>
      </c>
      <c r="U799" s="155">
        <f t="shared" si="22"/>
        <v>0</v>
      </c>
      <c r="V799" s="154">
        <f t="shared" si="23"/>
        <v>0</v>
      </c>
    </row>
    <row r="800" spans="1:22">
      <c r="A800" s="154">
        <f>'MATCH CALCS'!A801</f>
        <v>0</v>
      </c>
      <c r="B800" s="154">
        <f>'MATCH CALCS'!$C801</f>
        <v>0</v>
      </c>
      <c r="C800" s="154">
        <f t="shared" si="19"/>
        <v>0</v>
      </c>
      <c r="D800" s="6">
        <f>'MATCH CALCS'!$G801*2</f>
        <v>0</v>
      </c>
      <c r="E800" s="6">
        <f>'MATCH CALCS'!$G801*2</f>
        <v>0</v>
      </c>
      <c r="F800" s="6">
        <f>'MATCH CALCS'!$G801*2</f>
        <v>0</v>
      </c>
      <c r="G800" s="6">
        <f>'MATCH CALCS'!$G801*2</f>
        <v>0</v>
      </c>
      <c r="H800" s="6">
        <f>'MATCH CALCS'!$G801*2</f>
        <v>0</v>
      </c>
      <c r="I800" s="6">
        <f>'MATCH CALCS'!$G801*2</f>
        <v>0</v>
      </c>
      <c r="J800" s="154">
        <f t="shared" si="20"/>
        <v>0</v>
      </c>
      <c r="K800" s="6">
        <f>'MATCH CALCS'!L801*1</f>
        <v>0</v>
      </c>
      <c r="L800" s="6">
        <f>'MATCH CALCS'!$N801*2</f>
        <v>0</v>
      </c>
      <c r="M800" s="6">
        <f>'MATCH CALCS'!N801*1</f>
        <v>0</v>
      </c>
      <c r="N800" s="6">
        <f>'MATCH CALCS'!$N801*2</f>
        <v>0</v>
      </c>
      <c r="O800" s="6">
        <f>'MATCH CALCS'!$N801*2</f>
        <v>0</v>
      </c>
      <c r="P800" s="6">
        <f>'MATCH CALCS'!$P801*5</f>
        <v>0</v>
      </c>
      <c r="Q800" s="154">
        <f t="shared" si="21"/>
        <v>0</v>
      </c>
      <c r="R800" s="6">
        <f>'MATCH CALCS'!$AD801*1</f>
        <v>0</v>
      </c>
      <c r="S800" s="6">
        <f>'MATCH CALCS'!AC801*3</f>
        <v>0</v>
      </c>
      <c r="T800" s="6">
        <f>'MATCH CALCS'!AD801*3</f>
        <v>0</v>
      </c>
      <c r="U800" s="155">
        <f t="shared" si="22"/>
        <v>0</v>
      </c>
      <c r="V800" s="154">
        <f t="shared" si="23"/>
        <v>0</v>
      </c>
    </row>
    <row r="801" spans="1:22">
      <c r="A801" s="154">
        <f>'MATCH CALCS'!A802</f>
        <v>0</v>
      </c>
      <c r="B801" s="154">
        <f>'MATCH CALCS'!$C802</f>
        <v>0</v>
      </c>
      <c r="C801" s="154">
        <f t="shared" si="19"/>
        <v>0</v>
      </c>
      <c r="D801" s="6">
        <f>'MATCH CALCS'!$G802*2</f>
        <v>0</v>
      </c>
      <c r="E801" s="6">
        <f>'MATCH CALCS'!$G802*2</f>
        <v>0</v>
      </c>
      <c r="F801" s="6">
        <f>'MATCH CALCS'!$G802*2</f>
        <v>0</v>
      </c>
      <c r="G801" s="6">
        <f>'MATCH CALCS'!$G802*2</f>
        <v>0</v>
      </c>
      <c r="H801" s="6">
        <f>'MATCH CALCS'!$G802*2</f>
        <v>0</v>
      </c>
      <c r="I801" s="6">
        <f>'MATCH CALCS'!$G802*2</f>
        <v>0</v>
      </c>
      <c r="J801" s="154">
        <f t="shared" si="20"/>
        <v>0</v>
      </c>
      <c r="K801" s="6">
        <f>'MATCH CALCS'!L802*1</f>
        <v>0</v>
      </c>
      <c r="L801" s="6">
        <f>'MATCH CALCS'!$N802*2</f>
        <v>0</v>
      </c>
      <c r="M801" s="6">
        <f>'MATCH CALCS'!N802*1</f>
        <v>0</v>
      </c>
      <c r="N801" s="6">
        <f>'MATCH CALCS'!$N802*2</f>
        <v>0</v>
      </c>
      <c r="O801" s="6">
        <f>'MATCH CALCS'!$N802*2</f>
        <v>0</v>
      </c>
      <c r="P801" s="6">
        <f>'MATCH CALCS'!$P802*5</f>
        <v>0</v>
      </c>
      <c r="Q801" s="154">
        <f t="shared" si="21"/>
        <v>0</v>
      </c>
      <c r="R801" s="6">
        <f>'MATCH CALCS'!$AD802*1</f>
        <v>0</v>
      </c>
      <c r="S801" s="6">
        <f>'MATCH CALCS'!AC802*3</f>
        <v>0</v>
      </c>
      <c r="T801" s="6">
        <f>'MATCH CALCS'!AD802*3</f>
        <v>0</v>
      </c>
      <c r="U801" s="155">
        <f t="shared" si="22"/>
        <v>0</v>
      </c>
      <c r="V801" s="154">
        <f t="shared" si="23"/>
        <v>0</v>
      </c>
    </row>
    <row r="802" spans="1:22">
      <c r="A802" s="154">
        <f>'MATCH CALCS'!A803</f>
        <v>0</v>
      </c>
      <c r="B802" s="154">
        <f>'MATCH CALCS'!$C803</f>
        <v>0</v>
      </c>
      <c r="C802" s="154">
        <f t="shared" si="19"/>
        <v>0</v>
      </c>
      <c r="D802" s="6">
        <f>'MATCH CALCS'!$G803*2</f>
        <v>0</v>
      </c>
      <c r="E802" s="6">
        <f>'MATCH CALCS'!$G803*2</f>
        <v>0</v>
      </c>
      <c r="F802" s="6">
        <f>'MATCH CALCS'!$G803*2</f>
        <v>0</v>
      </c>
      <c r="G802" s="6">
        <f>'MATCH CALCS'!$G803*2</f>
        <v>0</v>
      </c>
      <c r="H802" s="6">
        <f>'MATCH CALCS'!$G803*2</f>
        <v>0</v>
      </c>
      <c r="I802" s="6">
        <f>'MATCH CALCS'!$G803*2</f>
        <v>0</v>
      </c>
      <c r="J802" s="154">
        <f t="shared" si="20"/>
        <v>0</v>
      </c>
      <c r="K802" s="6">
        <f>'MATCH CALCS'!L803*1</f>
        <v>0</v>
      </c>
      <c r="L802" s="6">
        <f>'MATCH CALCS'!$N803*2</f>
        <v>0</v>
      </c>
      <c r="M802" s="6">
        <f>'MATCH CALCS'!N803*1</f>
        <v>0</v>
      </c>
      <c r="N802" s="6">
        <f>'MATCH CALCS'!$N803*2</f>
        <v>0</v>
      </c>
      <c r="O802" s="6">
        <f>'MATCH CALCS'!$N803*2</f>
        <v>0</v>
      </c>
      <c r="P802" s="6">
        <f>'MATCH CALCS'!$P803*5</f>
        <v>0</v>
      </c>
      <c r="Q802" s="154">
        <f t="shared" si="21"/>
        <v>0</v>
      </c>
      <c r="R802" s="6">
        <f>'MATCH CALCS'!$AD803*1</f>
        <v>0</v>
      </c>
      <c r="S802" s="6">
        <f>'MATCH CALCS'!AC803*3</f>
        <v>0</v>
      </c>
      <c r="T802" s="6">
        <f>'MATCH CALCS'!AD803*3</f>
        <v>0</v>
      </c>
      <c r="U802" s="155">
        <f t="shared" si="22"/>
        <v>0</v>
      </c>
      <c r="V802" s="154">
        <f t="shared" si="23"/>
        <v>0</v>
      </c>
    </row>
    <row r="803" spans="1:22">
      <c r="A803" s="154">
        <f>'MATCH CALCS'!A804</f>
        <v>0</v>
      </c>
      <c r="B803" s="154">
        <f>'MATCH CALCS'!$C804</f>
        <v>0</v>
      </c>
      <c r="C803" s="154">
        <f t="shared" si="19"/>
        <v>0</v>
      </c>
      <c r="D803" s="6">
        <f>'MATCH CALCS'!$G804*2</f>
        <v>0</v>
      </c>
      <c r="E803" s="6">
        <f>'MATCH CALCS'!$G804*2</f>
        <v>0</v>
      </c>
      <c r="F803" s="6">
        <f>'MATCH CALCS'!$G804*2</f>
        <v>0</v>
      </c>
      <c r="G803" s="6">
        <f>'MATCH CALCS'!$G804*2</f>
        <v>0</v>
      </c>
      <c r="H803" s="6">
        <f>'MATCH CALCS'!$G804*2</f>
        <v>0</v>
      </c>
      <c r="I803" s="6">
        <f>'MATCH CALCS'!$G804*2</f>
        <v>0</v>
      </c>
      <c r="J803" s="154">
        <f t="shared" si="20"/>
        <v>0</v>
      </c>
      <c r="K803" s="6">
        <f>'MATCH CALCS'!L804*1</f>
        <v>0</v>
      </c>
      <c r="L803" s="6">
        <f>'MATCH CALCS'!$N804*2</f>
        <v>0</v>
      </c>
      <c r="M803" s="6">
        <f>'MATCH CALCS'!N804*1</f>
        <v>0</v>
      </c>
      <c r="N803" s="6">
        <f>'MATCH CALCS'!$N804*2</f>
        <v>0</v>
      </c>
      <c r="O803" s="6">
        <f>'MATCH CALCS'!$N804*2</f>
        <v>0</v>
      </c>
      <c r="P803" s="6">
        <f>'MATCH CALCS'!$P804*5</f>
        <v>0</v>
      </c>
      <c r="Q803" s="154">
        <f t="shared" si="21"/>
        <v>0</v>
      </c>
      <c r="R803" s="6">
        <f>'MATCH CALCS'!$AD804*1</f>
        <v>0</v>
      </c>
      <c r="S803" s="6">
        <f>'MATCH CALCS'!AC804*3</f>
        <v>0</v>
      </c>
      <c r="T803" s="6">
        <f>'MATCH CALCS'!AD804*3</f>
        <v>0</v>
      </c>
      <c r="U803" s="155">
        <f t="shared" si="22"/>
        <v>0</v>
      </c>
      <c r="V803" s="154">
        <f t="shared" si="23"/>
        <v>0</v>
      </c>
    </row>
    <row r="804" spans="1:22">
      <c r="A804" s="154">
        <f>'MATCH CALCS'!A805</f>
        <v>0</v>
      </c>
      <c r="B804" s="154">
        <f>'MATCH CALCS'!$C805</f>
        <v>0</v>
      </c>
      <c r="C804" s="154">
        <f t="shared" si="19"/>
        <v>0</v>
      </c>
      <c r="D804" s="6">
        <f>'MATCH CALCS'!$G805*2</f>
        <v>0</v>
      </c>
      <c r="E804" s="6">
        <f>'MATCH CALCS'!$G805*2</f>
        <v>0</v>
      </c>
      <c r="F804" s="6">
        <f>'MATCH CALCS'!$G805*2</f>
        <v>0</v>
      </c>
      <c r="G804" s="6">
        <f>'MATCH CALCS'!$G805*2</f>
        <v>0</v>
      </c>
      <c r="H804" s="6">
        <f>'MATCH CALCS'!$G805*2</f>
        <v>0</v>
      </c>
      <c r="I804" s="6">
        <f>'MATCH CALCS'!$G805*2</f>
        <v>0</v>
      </c>
      <c r="J804" s="154">
        <f t="shared" si="20"/>
        <v>0</v>
      </c>
      <c r="K804" s="6">
        <f>'MATCH CALCS'!L805*1</f>
        <v>0</v>
      </c>
      <c r="L804" s="6">
        <f>'MATCH CALCS'!$N805*2</f>
        <v>0</v>
      </c>
      <c r="M804" s="6">
        <f>'MATCH CALCS'!N805*1</f>
        <v>0</v>
      </c>
      <c r="N804" s="6">
        <f>'MATCH CALCS'!$N805*2</f>
        <v>0</v>
      </c>
      <c r="O804" s="6">
        <f>'MATCH CALCS'!$N805*2</f>
        <v>0</v>
      </c>
      <c r="P804" s="6">
        <f>'MATCH CALCS'!$P805*5</f>
        <v>0</v>
      </c>
      <c r="Q804" s="154">
        <f t="shared" si="21"/>
        <v>0</v>
      </c>
      <c r="R804" s="6">
        <f>'MATCH CALCS'!$AD805*1</f>
        <v>0</v>
      </c>
      <c r="S804" s="6">
        <f>'MATCH CALCS'!AC805*3</f>
        <v>0</v>
      </c>
      <c r="T804" s="6">
        <f>'MATCH CALCS'!AD805*3</f>
        <v>0</v>
      </c>
      <c r="U804" s="155">
        <f t="shared" si="22"/>
        <v>0</v>
      </c>
      <c r="V804" s="154">
        <f t="shared" si="23"/>
        <v>0</v>
      </c>
    </row>
    <row r="805" spans="1:22">
      <c r="A805" s="154">
        <f>'MATCH CALCS'!A806</f>
        <v>0</v>
      </c>
      <c r="B805" s="154">
        <f>'MATCH CALCS'!$C806</f>
        <v>0</v>
      </c>
      <c r="C805" s="154">
        <f t="shared" si="19"/>
        <v>0</v>
      </c>
      <c r="D805" s="6">
        <f>'MATCH CALCS'!$G806*2</f>
        <v>0</v>
      </c>
      <c r="E805" s="6">
        <f>'MATCH CALCS'!$G806*2</f>
        <v>0</v>
      </c>
      <c r="F805" s="6">
        <f>'MATCH CALCS'!$G806*2</f>
        <v>0</v>
      </c>
      <c r="G805" s="6">
        <f>'MATCH CALCS'!$G806*2</f>
        <v>0</v>
      </c>
      <c r="H805" s="6">
        <f>'MATCH CALCS'!$G806*2</f>
        <v>0</v>
      </c>
      <c r="I805" s="6">
        <f>'MATCH CALCS'!$G806*2</f>
        <v>0</v>
      </c>
      <c r="J805" s="154">
        <f t="shared" si="20"/>
        <v>0</v>
      </c>
      <c r="K805" s="6">
        <f>'MATCH CALCS'!L806*1</f>
        <v>0</v>
      </c>
      <c r="L805" s="6">
        <f>'MATCH CALCS'!$N806*2</f>
        <v>0</v>
      </c>
      <c r="M805" s="6">
        <f>'MATCH CALCS'!N806*1</f>
        <v>0</v>
      </c>
      <c r="N805" s="6">
        <f>'MATCH CALCS'!$N806*2</f>
        <v>0</v>
      </c>
      <c r="O805" s="6">
        <f>'MATCH CALCS'!$N806*2</f>
        <v>0</v>
      </c>
      <c r="P805" s="6">
        <f>'MATCH CALCS'!$P806*5</f>
        <v>0</v>
      </c>
      <c r="Q805" s="154">
        <f t="shared" si="21"/>
        <v>0</v>
      </c>
      <c r="R805" s="6">
        <f>'MATCH CALCS'!$AD806*1</f>
        <v>0</v>
      </c>
      <c r="S805" s="6">
        <f>'MATCH CALCS'!AC806*3</f>
        <v>0</v>
      </c>
      <c r="T805" s="6">
        <f>'MATCH CALCS'!AD806*3</f>
        <v>0</v>
      </c>
      <c r="U805" s="155">
        <f t="shared" si="22"/>
        <v>0</v>
      </c>
      <c r="V805" s="154">
        <f t="shared" si="23"/>
        <v>0</v>
      </c>
    </row>
    <row r="806" spans="1:22">
      <c r="A806" s="154">
        <f>'MATCH CALCS'!A807</f>
        <v>0</v>
      </c>
      <c r="B806" s="154">
        <f>'MATCH CALCS'!$C807</f>
        <v>0</v>
      </c>
      <c r="C806" s="154">
        <f t="shared" si="19"/>
        <v>0</v>
      </c>
      <c r="D806" s="6">
        <f>'MATCH CALCS'!$G807*2</f>
        <v>0</v>
      </c>
      <c r="E806" s="6">
        <f>'MATCH CALCS'!$G807*2</f>
        <v>0</v>
      </c>
      <c r="F806" s="6">
        <f>'MATCH CALCS'!$G807*2</f>
        <v>0</v>
      </c>
      <c r="G806" s="6">
        <f>'MATCH CALCS'!$G807*2</f>
        <v>0</v>
      </c>
      <c r="H806" s="6">
        <f>'MATCH CALCS'!$G807*2</f>
        <v>0</v>
      </c>
      <c r="I806" s="6">
        <f>'MATCH CALCS'!$G807*2</f>
        <v>0</v>
      </c>
      <c r="J806" s="154">
        <f t="shared" si="20"/>
        <v>0</v>
      </c>
      <c r="K806" s="6">
        <f>'MATCH CALCS'!L807*1</f>
        <v>0</v>
      </c>
      <c r="L806" s="6">
        <f>'MATCH CALCS'!$N807*2</f>
        <v>0</v>
      </c>
      <c r="M806" s="6">
        <f>'MATCH CALCS'!N807*1</f>
        <v>0</v>
      </c>
      <c r="N806" s="6">
        <f>'MATCH CALCS'!$N807*2</f>
        <v>0</v>
      </c>
      <c r="O806" s="6">
        <f>'MATCH CALCS'!$N807*2</f>
        <v>0</v>
      </c>
      <c r="P806" s="6">
        <f>'MATCH CALCS'!$P807*5</f>
        <v>0</v>
      </c>
      <c r="Q806" s="154">
        <f t="shared" si="21"/>
        <v>0</v>
      </c>
      <c r="R806" s="6">
        <f>'MATCH CALCS'!$AD807*1</f>
        <v>0</v>
      </c>
      <c r="S806" s="6">
        <f>'MATCH CALCS'!AC807*3</f>
        <v>0</v>
      </c>
      <c r="T806" s="6">
        <f>'MATCH CALCS'!AD807*3</f>
        <v>0</v>
      </c>
      <c r="U806" s="155">
        <f t="shared" si="22"/>
        <v>0</v>
      </c>
      <c r="V806" s="154">
        <f t="shared" si="23"/>
        <v>0</v>
      </c>
    </row>
    <row r="807" spans="1:22">
      <c r="A807" s="154">
        <f>'MATCH CALCS'!A808</f>
        <v>0</v>
      </c>
      <c r="B807" s="154">
        <f>'MATCH CALCS'!$C808</f>
        <v>0</v>
      </c>
      <c r="C807" s="154">
        <f t="shared" si="19"/>
        <v>0</v>
      </c>
      <c r="D807" s="6">
        <f>'MATCH CALCS'!$G808*2</f>
        <v>0</v>
      </c>
      <c r="E807" s="6">
        <f>'MATCH CALCS'!$G808*2</f>
        <v>0</v>
      </c>
      <c r="F807" s="6">
        <f>'MATCH CALCS'!$G808*2</f>
        <v>0</v>
      </c>
      <c r="G807" s="6">
        <f>'MATCH CALCS'!$G808*2</f>
        <v>0</v>
      </c>
      <c r="H807" s="6">
        <f>'MATCH CALCS'!$G808*2</f>
        <v>0</v>
      </c>
      <c r="I807" s="6">
        <f>'MATCH CALCS'!$G808*2</f>
        <v>0</v>
      </c>
      <c r="J807" s="154">
        <f t="shared" si="20"/>
        <v>0</v>
      </c>
      <c r="K807" s="6">
        <f>'MATCH CALCS'!L808*1</f>
        <v>0</v>
      </c>
      <c r="L807" s="6">
        <f>'MATCH CALCS'!$N808*2</f>
        <v>0</v>
      </c>
      <c r="M807" s="6">
        <f>'MATCH CALCS'!N808*1</f>
        <v>0</v>
      </c>
      <c r="N807" s="6">
        <f>'MATCH CALCS'!$N808*2</f>
        <v>0</v>
      </c>
      <c r="O807" s="6">
        <f>'MATCH CALCS'!$N808*2</f>
        <v>0</v>
      </c>
      <c r="P807" s="6">
        <f>'MATCH CALCS'!$P808*5</f>
        <v>0</v>
      </c>
      <c r="Q807" s="154">
        <f t="shared" si="21"/>
        <v>0</v>
      </c>
      <c r="R807" s="6">
        <f>'MATCH CALCS'!$AD808*1</f>
        <v>0</v>
      </c>
      <c r="S807" s="6">
        <f>'MATCH CALCS'!AC808*3</f>
        <v>0</v>
      </c>
      <c r="T807" s="6">
        <f>'MATCH CALCS'!AD808*3</f>
        <v>0</v>
      </c>
      <c r="U807" s="155">
        <f t="shared" si="22"/>
        <v>0</v>
      </c>
      <c r="V807" s="154">
        <f t="shared" si="23"/>
        <v>0</v>
      </c>
    </row>
    <row r="808" spans="1:22">
      <c r="A808" s="154">
        <f>'MATCH CALCS'!A809</f>
        <v>0</v>
      </c>
      <c r="B808" s="154">
        <f>'MATCH CALCS'!$C809</f>
        <v>0</v>
      </c>
      <c r="C808" s="154">
        <f t="shared" si="19"/>
        <v>0</v>
      </c>
      <c r="D808" s="6">
        <f>'MATCH CALCS'!$G809*2</f>
        <v>0</v>
      </c>
      <c r="E808" s="6">
        <f>'MATCH CALCS'!$G809*2</f>
        <v>0</v>
      </c>
      <c r="F808" s="6">
        <f>'MATCH CALCS'!$G809*2</f>
        <v>0</v>
      </c>
      <c r="G808" s="6">
        <f>'MATCH CALCS'!$G809*2</f>
        <v>0</v>
      </c>
      <c r="H808" s="6">
        <f>'MATCH CALCS'!$G809*2</f>
        <v>0</v>
      </c>
      <c r="I808" s="6">
        <f>'MATCH CALCS'!$G809*2</f>
        <v>0</v>
      </c>
      <c r="J808" s="154">
        <f t="shared" si="20"/>
        <v>0</v>
      </c>
      <c r="K808" s="6">
        <f>'MATCH CALCS'!L809*1</f>
        <v>0</v>
      </c>
      <c r="L808" s="6">
        <f>'MATCH CALCS'!$N809*2</f>
        <v>0</v>
      </c>
      <c r="M808" s="6">
        <f>'MATCH CALCS'!N809*1</f>
        <v>0</v>
      </c>
      <c r="N808" s="6">
        <f>'MATCH CALCS'!$N809*2</f>
        <v>0</v>
      </c>
      <c r="O808" s="6">
        <f>'MATCH CALCS'!$N809*2</f>
        <v>0</v>
      </c>
      <c r="P808" s="6">
        <f>'MATCH CALCS'!$P809*5</f>
        <v>0</v>
      </c>
      <c r="Q808" s="154">
        <f t="shared" si="21"/>
        <v>0</v>
      </c>
      <c r="R808" s="6">
        <f>'MATCH CALCS'!$AD809*1</f>
        <v>0</v>
      </c>
      <c r="S808" s="6">
        <f>'MATCH CALCS'!AC809*3</f>
        <v>0</v>
      </c>
      <c r="T808" s="6">
        <f>'MATCH CALCS'!AD809*3</f>
        <v>0</v>
      </c>
      <c r="U808" s="155">
        <f t="shared" si="22"/>
        <v>0</v>
      </c>
      <c r="V808" s="154">
        <f t="shared" si="23"/>
        <v>0</v>
      </c>
    </row>
    <row r="809" spans="1:22">
      <c r="A809" s="154">
        <f>'MATCH CALCS'!A810</f>
        <v>0</v>
      </c>
      <c r="B809" s="154">
        <f>'MATCH CALCS'!$C810</f>
        <v>0</v>
      </c>
      <c r="C809" s="154">
        <f t="shared" si="19"/>
        <v>0</v>
      </c>
      <c r="D809" s="6">
        <f>'MATCH CALCS'!$G810*2</f>
        <v>0</v>
      </c>
      <c r="E809" s="6">
        <f>'MATCH CALCS'!$G810*2</f>
        <v>0</v>
      </c>
      <c r="F809" s="6">
        <f>'MATCH CALCS'!$G810*2</f>
        <v>0</v>
      </c>
      <c r="G809" s="6">
        <f>'MATCH CALCS'!$G810*2</f>
        <v>0</v>
      </c>
      <c r="H809" s="6">
        <f>'MATCH CALCS'!$G810*2</f>
        <v>0</v>
      </c>
      <c r="I809" s="6">
        <f>'MATCH CALCS'!$G810*2</f>
        <v>0</v>
      </c>
      <c r="J809" s="154">
        <f t="shared" si="20"/>
        <v>0</v>
      </c>
      <c r="K809" s="6">
        <f>'MATCH CALCS'!L810*1</f>
        <v>0</v>
      </c>
      <c r="L809" s="6">
        <f>'MATCH CALCS'!$N810*2</f>
        <v>0</v>
      </c>
      <c r="M809" s="6">
        <f>'MATCH CALCS'!N810*1</f>
        <v>0</v>
      </c>
      <c r="N809" s="6">
        <f>'MATCH CALCS'!$N810*2</f>
        <v>0</v>
      </c>
      <c r="O809" s="6">
        <f>'MATCH CALCS'!$N810*2</f>
        <v>0</v>
      </c>
      <c r="P809" s="6">
        <f>'MATCH CALCS'!$P810*5</f>
        <v>0</v>
      </c>
      <c r="Q809" s="154">
        <f t="shared" si="21"/>
        <v>0</v>
      </c>
      <c r="R809" s="6">
        <f>'MATCH CALCS'!$AD810*1</f>
        <v>0</v>
      </c>
      <c r="S809" s="6">
        <f>'MATCH CALCS'!AC810*3</f>
        <v>0</v>
      </c>
      <c r="T809" s="6">
        <f>'MATCH CALCS'!AD810*3</f>
        <v>0</v>
      </c>
      <c r="U809" s="155">
        <f t="shared" si="22"/>
        <v>0</v>
      </c>
      <c r="V809" s="154">
        <f t="shared" si="23"/>
        <v>0</v>
      </c>
    </row>
    <row r="810" spans="1:22">
      <c r="A810" s="154">
        <f>'MATCH CALCS'!A811</f>
        <v>0</v>
      </c>
      <c r="B810" s="154">
        <f>'MATCH CALCS'!$C811</f>
        <v>0</v>
      </c>
      <c r="C810" s="154">
        <f t="shared" si="19"/>
        <v>0</v>
      </c>
      <c r="D810" s="6">
        <f>'MATCH CALCS'!$G811*2</f>
        <v>0</v>
      </c>
      <c r="E810" s="6">
        <f>'MATCH CALCS'!$G811*2</f>
        <v>0</v>
      </c>
      <c r="F810" s="6">
        <f>'MATCH CALCS'!$G811*2</f>
        <v>0</v>
      </c>
      <c r="G810" s="6">
        <f>'MATCH CALCS'!$G811*2</f>
        <v>0</v>
      </c>
      <c r="H810" s="6">
        <f>'MATCH CALCS'!$G811*2</f>
        <v>0</v>
      </c>
      <c r="I810" s="6">
        <f>'MATCH CALCS'!$G811*2</f>
        <v>0</v>
      </c>
      <c r="J810" s="154">
        <f t="shared" si="20"/>
        <v>0</v>
      </c>
      <c r="K810" s="6">
        <f>'MATCH CALCS'!L811*1</f>
        <v>0</v>
      </c>
      <c r="L810" s="6">
        <f>'MATCH CALCS'!$N811*2</f>
        <v>0</v>
      </c>
      <c r="M810" s="6">
        <f>'MATCH CALCS'!N811*1</f>
        <v>0</v>
      </c>
      <c r="N810" s="6">
        <f>'MATCH CALCS'!$N811*2</f>
        <v>0</v>
      </c>
      <c r="O810" s="6">
        <f>'MATCH CALCS'!$N811*2</f>
        <v>0</v>
      </c>
      <c r="P810" s="6">
        <f>'MATCH CALCS'!$P811*5</f>
        <v>0</v>
      </c>
      <c r="Q810" s="154">
        <f t="shared" si="21"/>
        <v>0</v>
      </c>
      <c r="R810" s="6">
        <f>'MATCH CALCS'!$AD811*1</f>
        <v>0</v>
      </c>
      <c r="S810" s="6">
        <f>'MATCH CALCS'!AC811*3</f>
        <v>0</v>
      </c>
      <c r="T810" s="6">
        <f>'MATCH CALCS'!AD811*3</f>
        <v>0</v>
      </c>
      <c r="U810" s="155">
        <f t="shared" si="22"/>
        <v>0</v>
      </c>
      <c r="V810" s="154">
        <f t="shared" si="23"/>
        <v>0</v>
      </c>
    </row>
    <row r="811" spans="1:22">
      <c r="A811" s="154">
        <f>'MATCH CALCS'!A812</f>
        <v>0</v>
      </c>
      <c r="B811" s="154">
        <f>'MATCH CALCS'!$C812</f>
        <v>0</v>
      </c>
      <c r="C811" s="154">
        <f t="shared" si="19"/>
        <v>0</v>
      </c>
      <c r="D811" s="6">
        <f>'MATCH CALCS'!$G812*2</f>
        <v>0</v>
      </c>
      <c r="E811" s="6">
        <f>'MATCH CALCS'!$G812*2</f>
        <v>0</v>
      </c>
      <c r="F811" s="6">
        <f>'MATCH CALCS'!$G812*2</f>
        <v>0</v>
      </c>
      <c r="G811" s="6">
        <f>'MATCH CALCS'!$G812*2</f>
        <v>0</v>
      </c>
      <c r="H811" s="6">
        <f>'MATCH CALCS'!$G812*2</f>
        <v>0</v>
      </c>
      <c r="I811" s="6">
        <f>'MATCH CALCS'!$G812*2</f>
        <v>0</v>
      </c>
      <c r="J811" s="154">
        <f t="shared" si="20"/>
        <v>0</v>
      </c>
      <c r="K811" s="6">
        <f>'MATCH CALCS'!L812*1</f>
        <v>0</v>
      </c>
      <c r="L811" s="6">
        <f>'MATCH CALCS'!$N812*2</f>
        <v>0</v>
      </c>
      <c r="M811" s="6">
        <f>'MATCH CALCS'!N812*1</f>
        <v>0</v>
      </c>
      <c r="N811" s="6">
        <f>'MATCH CALCS'!$N812*2</f>
        <v>0</v>
      </c>
      <c r="O811" s="6">
        <f>'MATCH CALCS'!$N812*2</f>
        <v>0</v>
      </c>
      <c r="P811" s="6">
        <f>'MATCH CALCS'!$P812*5</f>
        <v>0</v>
      </c>
      <c r="Q811" s="154">
        <f t="shared" si="21"/>
        <v>0</v>
      </c>
      <c r="R811" s="6">
        <f>'MATCH CALCS'!$AD812*1</f>
        <v>0</v>
      </c>
      <c r="S811" s="6">
        <f>'MATCH CALCS'!AC812*3</f>
        <v>0</v>
      </c>
      <c r="T811" s="6">
        <f>'MATCH CALCS'!AD812*3</f>
        <v>0</v>
      </c>
      <c r="U811" s="155">
        <f t="shared" si="22"/>
        <v>0</v>
      </c>
      <c r="V811" s="154">
        <f t="shared" si="23"/>
        <v>0</v>
      </c>
    </row>
    <row r="812" spans="1:22">
      <c r="A812" s="154">
        <f>'MATCH CALCS'!A813</f>
        <v>0</v>
      </c>
      <c r="B812" s="154">
        <f>'MATCH CALCS'!$C813</f>
        <v>0</v>
      </c>
      <c r="C812" s="154">
        <f t="shared" si="19"/>
        <v>0</v>
      </c>
      <c r="D812" s="6">
        <f>'MATCH CALCS'!$G813*2</f>
        <v>0</v>
      </c>
      <c r="E812" s="6">
        <f>'MATCH CALCS'!$G813*2</f>
        <v>0</v>
      </c>
      <c r="F812" s="6">
        <f>'MATCH CALCS'!$G813*2</f>
        <v>0</v>
      </c>
      <c r="G812" s="6">
        <f>'MATCH CALCS'!$G813*2</f>
        <v>0</v>
      </c>
      <c r="H812" s="6">
        <f>'MATCH CALCS'!$G813*2</f>
        <v>0</v>
      </c>
      <c r="I812" s="6">
        <f>'MATCH CALCS'!$G813*2</f>
        <v>0</v>
      </c>
      <c r="J812" s="154">
        <f t="shared" si="20"/>
        <v>0</v>
      </c>
      <c r="K812" s="6">
        <f>'MATCH CALCS'!L813*1</f>
        <v>0</v>
      </c>
      <c r="L812" s="6">
        <f>'MATCH CALCS'!$N813*2</f>
        <v>0</v>
      </c>
      <c r="M812" s="6">
        <f>'MATCH CALCS'!N813*1</f>
        <v>0</v>
      </c>
      <c r="N812" s="6">
        <f>'MATCH CALCS'!$N813*2</f>
        <v>0</v>
      </c>
      <c r="O812" s="6">
        <f>'MATCH CALCS'!$N813*2</f>
        <v>0</v>
      </c>
      <c r="P812" s="6">
        <f>'MATCH CALCS'!$P813*5</f>
        <v>0</v>
      </c>
      <c r="Q812" s="154">
        <f t="shared" si="21"/>
        <v>0</v>
      </c>
      <c r="R812" s="6">
        <f>'MATCH CALCS'!$AD813*1</f>
        <v>0</v>
      </c>
      <c r="S812" s="6">
        <f>'MATCH CALCS'!AC813*3</f>
        <v>0</v>
      </c>
      <c r="T812" s="6">
        <f>'MATCH CALCS'!AD813*3</f>
        <v>0</v>
      </c>
      <c r="U812" s="155">
        <f t="shared" si="22"/>
        <v>0</v>
      </c>
      <c r="V812" s="154">
        <f t="shared" si="23"/>
        <v>0</v>
      </c>
    </row>
    <row r="813" spans="1:22">
      <c r="A813" s="154">
        <f>'MATCH CALCS'!A814</f>
        <v>0</v>
      </c>
      <c r="B813" s="154">
        <f>'MATCH CALCS'!$C814</f>
        <v>0</v>
      </c>
      <c r="C813" s="154">
        <f t="shared" si="19"/>
        <v>0</v>
      </c>
      <c r="D813" s="6">
        <f>'MATCH CALCS'!$G814*2</f>
        <v>0</v>
      </c>
      <c r="E813" s="6">
        <f>'MATCH CALCS'!$G814*2</f>
        <v>0</v>
      </c>
      <c r="F813" s="6">
        <f>'MATCH CALCS'!$G814*2</f>
        <v>0</v>
      </c>
      <c r="G813" s="6">
        <f>'MATCH CALCS'!$G814*2</f>
        <v>0</v>
      </c>
      <c r="H813" s="6">
        <f>'MATCH CALCS'!$G814*2</f>
        <v>0</v>
      </c>
      <c r="I813" s="6">
        <f>'MATCH CALCS'!$G814*2</f>
        <v>0</v>
      </c>
      <c r="J813" s="154">
        <f t="shared" si="20"/>
        <v>0</v>
      </c>
      <c r="K813" s="6">
        <f>'MATCH CALCS'!L814*1</f>
        <v>0</v>
      </c>
      <c r="L813" s="6">
        <f>'MATCH CALCS'!$N814*2</f>
        <v>0</v>
      </c>
      <c r="M813" s="6">
        <f>'MATCH CALCS'!N814*1</f>
        <v>0</v>
      </c>
      <c r="N813" s="6">
        <f>'MATCH CALCS'!$N814*2</f>
        <v>0</v>
      </c>
      <c r="O813" s="6">
        <f>'MATCH CALCS'!$N814*2</f>
        <v>0</v>
      </c>
      <c r="P813" s="6">
        <f>'MATCH CALCS'!$P814*5</f>
        <v>0</v>
      </c>
      <c r="Q813" s="154">
        <f t="shared" si="21"/>
        <v>0</v>
      </c>
      <c r="R813" s="6">
        <f>'MATCH CALCS'!$AD814*1</f>
        <v>0</v>
      </c>
      <c r="S813" s="6">
        <f>'MATCH CALCS'!AC814*3</f>
        <v>0</v>
      </c>
      <c r="T813" s="6">
        <f>'MATCH CALCS'!AD814*3</f>
        <v>0</v>
      </c>
      <c r="U813" s="155">
        <f t="shared" si="22"/>
        <v>0</v>
      </c>
      <c r="V813" s="154">
        <f t="shared" si="23"/>
        <v>0</v>
      </c>
    </row>
    <row r="814" spans="1:22">
      <c r="A814" s="154">
        <f>'MATCH CALCS'!A815</f>
        <v>0</v>
      </c>
      <c r="B814" s="154">
        <f>'MATCH CALCS'!$C815</f>
        <v>0</v>
      </c>
      <c r="C814" s="154">
        <f t="shared" si="19"/>
        <v>0</v>
      </c>
      <c r="D814" s="6">
        <f>'MATCH CALCS'!$G815*2</f>
        <v>0</v>
      </c>
      <c r="E814" s="6">
        <f>'MATCH CALCS'!$G815*2</f>
        <v>0</v>
      </c>
      <c r="F814" s="6">
        <f>'MATCH CALCS'!$G815*2</f>
        <v>0</v>
      </c>
      <c r="G814" s="6">
        <f>'MATCH CALCS'!$G815*2</f>
        <v>0</v>
      </c>
      <c r="H814" s="6">
        <f>'MATCH CALCS'!$G815*2</f>
        <v>0</v>
      </c>
      <c r="I814" s="6">
        <f>'MATCH CALCS'!$G815*2</f>
        <v>0</v>
      </c>
      <c r="J814" s="154">
        <f t="shared" si="20"/>
        <v>0</v>
      </c>
      <c r="K814" s="6">
        <f>'MATCH CALCS'!L815*1</f>
        <v>0</v>
      </c>
      <c r="L814" s="6">
        <f>'MATCH CALCS'!$N815*2</f>
        <v>0</v>
      </c>
      <c r="M814" s="6">
        <f>'MATCH CALCS'!N815*1</f>
        <v>0</v>
      </c>
      <c r="N814" s="6">
        <f>'MATCH CALCS'!$N815*2</f>
        <v>0</v>
      </c>
      <c r="O814" s="6">
        <f>'MATCH CALCS'!$N815*2</f>
        <v>0</v>
      </c>
      <c r="P814" s="6">
        <f>'MATCH CALCS'!$P815*5</f>
        <v>0</v>
      </c>
      <c r="Q814" s="154">
        <f t="shared" si="21"/>
        <v>0</v>
      </c>
      <c r="R814" s="6">
        <f>'MATCH CALCS'!$AD815*1</f>
        <v>0</v>
      </c>
      <c r="S814" s="6">
        <f>'MATCH CALCS'!AC815*3</f>
        <v>0</v>
      </c>
      <c r="T814" s="6">
        <f>'MATCH CALCS'!AD815*3</f>
        <v>0</v>
      </c>
      <c r="U814" s="155">
        <f t="shared" si="22"/>
        <v>0</v>
      </c>
      <c r="V814" s="154">
        <f t="shared" si="23"/>
        <v>0</v>
      </c>
    </row>
    <row r="815" spans="1:22">
      <c r="A815" s="154">
        <f>'MATCH CALCS'!A816</f>
        <v>0</v>
      </c>
      <c r="B815" s="154">
        <f>'MATCH CALCS'!$C816</f>
        <v>0</v>
      </c>
      <c r="C815" s="154">
        <f t="shared" si="19"/>
        <v>0</v>
      </c>
      <c r="D815" s="6">
        <f>'MATCH CALCS'!$G816*2</f>
        <v>0</v>
      </c>
      <c r="E815" s="6">
        <f>'MATCH CALCS'!$G816*2</f>
        <v>0</v>
      </c>
      <c r="F815" s="6">
        <f>'MATCH CALCS'!$G816*2</f>
        <v>0</v>
      </c>
      <c r="G815" s="6">
        <f>'MATCH CALCS'!$G816*2</f>
        <v>0</v>
      </c>
      <c r="H815" s="6">
        <f>'MATCH CALCS'!$G816*2</f>
        <v>0</v>
      </c>
      <c r="I815" s="6">
        <f>'MATCH CALCS'!$G816*2</f>
        <v>0</v>
      </c>
      <c r="J815" s="154">
        <f t="shared" si="20"/>
        <v>0</v>
      </c>
      <c r="K815" s="6">
        <f>'MATCH CALCS'!L816*1</f>
        <v>0</v>
      </c>
      <c r="L815" s="6">
        <f>'MATCH CALCS'!$N816*2</f>
        <v>0</v>
      </c>
      <c r="M815" s="6">
        <f>'MATCH CALCS'!N816*1</f>
        <v>0</v>
      </c>
      <c r="N815" s="6">
        <f>'MATCH CALCS'!$N816*2</f>
        <v>0</v>
      </c>
      <c r="O815" s="6">
        <f>'MATCH CALCS'!$N816*2</f>
        <v>0</v>
      </c>
      <c r="P815" s="6">
        <f>'MATCH CALCS'!$P816*5</f>
        <v>0</v>
      </c>
      <c r="Q815" s="154">
        <f t="shared" si="21"/>
        <v>0</v>
      </c>
      <c r="R815" s="6">
        <f>'MATCH CALCS'!$AD816*1</f>
        <v>0</v>
      </c>
      <c r="S815" s="6">
        <f>'MATCH CALCS'!AC816*3</f>
        <v>0</v>
      </c>
      <c r="T815" s="6">
        <f>'MATCH CALCS'!AD816*3</f>
        <v>0</v>
      </c>
      <c r="U815" s="155">
        <f t="shared" si="22"/>
        <v>0</v>
      </c>
      <c r="V815" s="154">
        <f t="shared" si="23"/>
        <v>0</v>
      </c>
    </row>
    <row r="816" spans="1:22">
      <c r="A816" s="154">
        <f>'MATCH CALCS'!A817</f>
        <v>0</v>
      </c>
      <c r="B816" s="154">
        <f>'MATCH CALCS'!$C817</f>
        <v>0</v>
      </c>
      <c r="C816" s="154">
        <f t="shared" si="19"/>
        <v>0</v>
      </c>
      <c r="D816" s="6">
        <f>'MATCH CALCS'!$G817*2</f>
        <v>0</v>
      </c>
      <c r="E816" s="6">
        <f>'MATCH CALCS'!$G817*2</f>
        <v>0</v>
      </c>
      <c r="F816" s="6">
        <f>'MATCH CALCS'!$G817*2</f>
        <v>0</v>
      </c>
      <c r="G816" s="6">
        <f>'MATCH CALCS'!$G817*2</f>
        <v>0</v>
      </c>
      <c r="H816" s="6">
        <f>'MATCH CALCS'!$G817*2</f>
        <v>0</v>
      </c>
      <c r="I816" s="6">
        <f>'MATCH CALCS'!$G817*2</f>
        <v>0</v>
      </c>
      <c r="J816" s="154">
        <f t="shared" si="20"/>
        <v>0</v>
      </c>
      <c r="K816" s="6">
        <f>'MATCH CALCS'!L817*1</f>
        <v>0</v>
      </c>
      <c r="L816" s="6">
        <f>'MATCH CALCS'!$N817*2</f>
        <v>0</v>
      </c>
      <c r="M816" s="6">
        <f>'MATCH CALCS'!N817*1</f>
        <v>0</v>
      </c>
      <c r="N816" s="6">
        <f>'MATCH CALCS'!$N817*2</f>
        <v>0</v>
      </c>
      <c r="O816" s="6">
        <f>'MATCH CALCS'!$N817*2</f>
        <v>0</v>
      </c>
      <c r="P816" s="6">
        <f>'MATCH CALCS'!$P817*5</f>
        <v>0</v>
      </c>
      <c r="Q816" s="154">
        <f t="shared" si="21"/>
        <v>0</v>
      </c>
      <c r="R816" s="6">
        <f>'MATCH CALCS'!$AD817*1</f>
        <v>0</v>
      </c>
      <c r="S816" s="6">
        <f>'MATCH CALCS'!AC817*3</f>
        <v>0</v>
      </c>
      <c r="T816" s="6">
        <f>'MATCH CALCS'!AD817*3</f>
        <v>0</v>
      </c>
      <c r="U816" s="155">
        <f t="shared" si="22"/>
        <v>0</v>
      </c>
      <c r="V816" s="154">
        <f t="shared" si="23"/>
        <v>0</v>
      </c>
    </row>
    <row r="817" spans="1:22">
      <c r="A817" s="154">
        <f>'MATCH CALCS'!A818</f>
        <v>0</v>
      </c>
      <c r="B817" s="154">
        <f>'MATCH CALCS'!$C818</f>
        <v>0</v>
      </c>
      <c r="C817" s="154">
        <f t="shared" si="19"/>
        <v>0</v>
      </c>
      <c r="D817" s="6">
        <f>'MATCH CALCS'!$G818*2</f>
        <v>0</v>
      </c>
      <c r="E817" s="6">
        <f>'MATCH CALCS'!$G818*2</f>
        <v>0</v>
      </c>
      <c r="F817" s="6">
        <f>'MATCH CALCS'!$G818*2</f>
        <v>0</v>
      </c>
      <c r="G817" s="6">
        <f>'MATCH CALCS'!$G818*2</f>
        <v>0</v>
      </c>
      <c r="H817" s="6">
        <f>'MATCH CALCS'!$G818*2</f>
        <v>0</v>
      </c>
      <c r="I817" s="6">
        <f>'MATCH CALCS'!$G818*2</f>
        <v>0</v>
      </c>
      <c r="J817" s="154">
        <f t="shared" si="20"/>
        <v>0</v>
      </c>
      <c r="K817" s="6">
        <f>'MATCH CALCS'!L818*1</f>
        <v>0</v>
      </c>
      <c r="L817" s="6">
        <f>'MATCH CALCS'!$N818*2</f>
        <v>0</v>
      </c>
      <c r="M817" s="6">
        <f>'MATCH CALCS'!N818*1</f>
        <v>0</v>
      </c>
      <c r="N817" s="6">
        <f>'MATCH CALCS'!$N818*2</f>
        <v>0</v>
      </c>
      <c r="O817" s="6">
        <f>'MATCH CALCS'!$N818*2</f>
        <v>0</v>
      </c>
      <c r="P817" s="6">
        <f>'MATCH CALCS'!$P818*5</f>
        <v>0</v>
      </c>
      <c r="Q817" s="154">
        <f t="shared" si="21"/>
        <v>0</v>
      </c>
      <c r="R817" s="6">
        <f>'MATCH CALCS'!$AD818*1</f>
        <v>0</v>
      </c>
      <c r="S817" s="6">
        <f>'MATCH CALCS'!AC818*3</f>
        <v>0</v>
      </c>
      <c r="T817" s="6">
        <f>'MATCH CALCS'!AD818*3</f>
        <v>0</v>
      </c>
      <c r="U817" s="155">
        <f t="shared" si="22"/>
        <v>0</v>
      </c>
      <c r="V817" s="154">
        <f t="shared" si="23"/>
        <v>0</v>
      </c>
    </row>
    <row r="818" spans="1:22">
      <c r="A818" s="154">
        <f>'MATCH CALCS'!A819</f>
        <v>0</v>
      </c>
      <c r="B818" s="154">
        <f>'MATCH CALCS'!$C819</f>
        <v>0</v>
      </c>
      <c r="C818" s="154">
        <f t="shared" si="19"/>
        <v>0</v>
      </c>
      <c r="D818" s="6">
        <f>'MATCH CALCS'!$G819*2</f>
        <v>0</v>
      </c>
      <c r="E818" s="6">
        <f>'MATCH CALCS'!$G819*2</f>
        <v>0</v>
      </c>
      <c r="F818" s="6">
        <f>'MATCH CALCS'!$G819*2</f>
        <v>0</v>
      </c>
      <c r="G818" s="6">
        <f>'MATCH CALCS'!$G819*2</f>
        <v>0</v>
      </c>
      <c r="H818" s="6">
        <f>'MATCH CALCS'!$G819*2</f>
        <v>0</v>
      </c>
      <c r="I818" s="6">
        <f>'MATCH CALCS'!$G819*2</f>
        <v>0</v>
      </c>
      <c r="J818" s="154">
        <f t="shared" si="20"/>
        <v>0</v>
      </c>
      <c r="K818" s="6">
        <f>'MATCH CALCS'!L819*1</f>
        <v>0</v>
      </c>
      <c r="L818" s="6">
        <f>'MATCH CALCS'!$N819*2</f>
        <v>0</v>
      </c>
      <c r="M818" s="6">
        <f>'MATCH CALCS'!N819*1</f>
        <v>0</v>
      </c>
      <c r="N818" s="6">
        <f>'MATCH CALCS'!$N819*2</f>
        <v>0</v>
      </c>
      <c r="O818" s="6">
        <f>'MATCH CALCS'!$N819*2</f>
        <v>0</v>
      </c>
      <c r="P818" s="6">
        <f>'MATCH CALCS'!$P819*5</f>
        <v>0</v>
      </c>
      <c r="Q818" s="154">
        <f t="shared" si="21"/>
        <v>0</v>
      </c>
      <c r="R818" s="6">
        <f>'MATCH CALCS'!$AD819*1</f>
        <v>0</v>
      </c>
      <c r="S818" s="6">
        <f>'MATCH CALCS'!AC819*3</f>
        <v>0</v>
      </c>
      <c r="T818" s="6">
        <f>'MATCH CALCS'!AD819*3</f>
        <v>0</v>
      </c>
      <c r="U818" s="155">
        <f t="shared" si="22"/>
        <v>0</v>
      </c>
      <c r="V818" s="154">
        <f t="shared" si="23"/>
        <v>0</v>
      </c>
    </row>
    <row r="819" spans="1:22">
      <c r="A819" s="154">
        <f>'MATCH CALCS'!A820</f>
        <v>0</v>
      </c>
      <c r="B819" s="154">
        <f>'MATCH CALCS'!$C820</f>
        <v>0</v>
      </c>
      <c r="C819" s="154">
        <f t="shared" si="19"/>
        <v>0</v>
      </c>
      <c r="D819" s="6">
        <f>'MATCH CALCS'!$G820*2</f>
        <v>0</v>
      </c>
      <c r="E819" s="6">
        <f>'MATCH CALCS'!$G820*2</f>
        <v>0</v>
      </c>
      <c r="F819" s="6">
        <f>'MATCH CALCS'!$G820*2</f>
        <v>0</v>
      </c>
      <c r="G819" s="6">
        <f>'MATCH CALCS'!$G820*2</f>
        <v>0</v>
      </c>
      <c r="H819" s="6">
        <f>'MATCH CALCS'!$G820*2</f>
        <v>0</v>
      </c>
      <c r="I819" s="6">
        <f>'MATCH CALCS'!$G820*2</f>
        <v>0</v>
      </c>
      <c r="J819" s="154">
        <f t="shared" si="20"/>
        <v>0</v>
      </c>
      <c r="K819" s="6">
        <f>'MATCH CALCS'!L820*1</f>
        <v>0</v>
      </c>
      <c r="L819" s="6">
        <f>'MATCH CALCS'!$N820*2</f>
        <v>0</v>
      </c>
      <c r="M819" s="6">
        <f>'MATCH CALCS'!N820*1</f>
        <v>0</v>
      </c>
      <c r="N819" s="6">
        <f>'MATCH CALCS'!$N820*2</f>
        <v>0</v>
      </c>
      <c r="O819" s="6">
        <f>'MATCH CALCS'!$N820*2</f>
        <v>0</v>
      </c>
      <c r="P819" s="6">
        <f>'MATCH CALCS'!$P820*5</f>
        <v>0</v>
      </c>
      <c r="Q819" s="154">
        <f t="shared" si="21"/>
        <v>0</v>
      </c>
      <c r="R819" s="6">
        <f>'MATCH CALCS'!$AD820*1</f>
        <v>0</v>
      </c>
      <c r="S819" s="6">
        <f>'MATCH CALCS'!AC820*3</f>
        <v>0</v>
      </c>
      <c r="T819" s="6">
        <f>'MATCH CALCS'!AD820*3</f>
        <v>0</v>
      </c>
      <c r="U819" s="155">
        <f t="shared" si="22"/>
        <v>0</v>
      </c>
      <c r="V819" s="154">
        <f t="shared" si="23"/>
        <v>0</v>
      </c>
    </row>
    <row r="820" spans="1:22">
      <c r="A820" s="154">
        <f>'MATCH CALCS'!A821</f>
        <v>0</v>
      </c>
      <c r="B820" s="154">
        <f>'MATCH CALCS'!$C821</f>
        <v>0</v>
      </c>
      <c r="C820" s="154">
        <f t="shared" si="19"/>
        <v>0</v>
      </c>
      <c r="D820" s="6">
        <f>'MATCH CALCS'!$G821*2</f>
        <v>0</v>
      </c>
      <c r="E820" s="6">
        <f>'MATCH CALCS'!$G821*2</f>
        <v>0</v>
      </c>
      <c r="F820" s="6">
        <f>'MATCH CALCS'!$G821*2</f>
        <v>0</v>
      </c>
      <c r="G820" s="6">
        <f>'MATCH CALCS'!$G821*2</f>
        <v>0</v>
      </c>
      <c r="H820" s="6">
        <f>'MATCH CALCS'!$G821*2</f>
        <v>0</v>
      </c>
      <c r="I820" s="6">
        <f>'MATCH CALCS'!$G821*2</f>
        <v>0</v>
      </c>
      <c r="J820" s="154">
        <f t="shared" si="20"/>
        <v>0</v>
      </c>
      <c r="K820" s="6">
        <f>'MATCH CALCS'!L821*1</f>
        <v>0</v>
      </c>
      <c r="L820" s="6">
        <f>'MATCH CALCS'!$N821*2</f>
        <v>0</v>
      </c>
      <c r="M820" s="6">
        <f>'MATCH CALCS'!N821*1</f>
        <v>0</v>
      </c>
      <c r="N820" s="6">
        <f>'MATCH CALCS'!$N821*2</f>
        <v>0</v>
      </c>
      <c r="O820" s="6">
        <f>'MATCH CALCS'!$N821*2</f>
        <v>0</v>
      </c>
      <c r="P820" s="6">
        <f>'MATCH CALCS'!$P821*5</f>
        <v>0</v>
      </c>
      <c r="Q820" s="154">
        <f t="shared" si="21"/>
        <v>0</v>
      </c>
      <c r="R820" s="6">
        <f>'MATCH CALCS'!$AD821*1</f>
        <v>0</v>
      </c>
      <c r="S820" s="6">
        <f>'MATCH CALCS'!AC821*3</f>
        <v>0</v>
      </c>
      <c r="T820" s="6">
        <f>'MATCH CALCS'!AD821*3</f>
        <v>0</v>
      </c>
      <c r="U820" s="155">
        <f t="shared" si="22"/>
        <v>0</v>
      </c>
      <c r="V820" s="154">
        <f t="shared" si="23"/>
        <v>0</v>
      </c>
    </row>
    <row r="821" spans="1:22">
      <c r="A821" s="154">
        <f>'MATCH CALCS'!A822</f>
        <v>0</v>
      </c>
      <c r="B821" s="154">
        <f>'MATCH CALCS'!$C822</f>
        <v>0</v>
      </c>
      <c r="C821" s="154">
        <f t="shared" si="19"/>
        <v>0</v>
      </c>
      <c r="D821" s="6">
        <f>'MATCH CALCS'!$G822*2</f>
        <v>0</v>
      </c>
      <c r="E821" s="6">
        <f>'MATCH CALCS'!$G822*2</f>
        <v>0</v>
      </c>
      <c r="F821" s="6">
        <f>'MATCH CALCS'!$G822*2</f>
        <v>0</v>
      </c>
      <c r="G821" s="6">
        <f>'MATCH CALCS'!$G822*2</f>
        <v>0</v>
      </c>
      <c r="H821" s="6">
        <f>'MATCH CALCS'!$G822*2</f>
        <v>0</v>
      </c>
      <c r="I821" s="6">
        <f>'MATCH CALCS'!$G822*2</f>
        <v>0</v>
      </c>
      <c r="J821" s="154">
        <f t="shared" si="20"/>
        <v>0</v>
      </c>
      <c r="K821" s="6">
        <f>'MATCH CALCS'!L822*1</f>
        <v>0</v>
      </c>
      <c r="L821" s="6">
        <f>'MATCH CALCS'!$N822*2</f>
        <v>0</v>
      </c>
      <c r="M821" s="6">
        <f>'MATCH CALCS'!N822*1</f>
        <v>0</v>
      </c>
      <c r="N821" s="6">
        <f>'MATCH CALCS'!$N822*2</f>
        <v>0</v>
      </c>
      <c r="O821" s="6">
        <f>'MATCH CALCS'!$N822*2</f>
        <v>0</v>
      </c>
      <c r="P821" s="6">
        <f>'MATCH CALCS'!$P822*5</f>
        <v>0</v>
      </c>
      <c r="Q821" s="154">
        <f t="shared" si="21"/>
        <v>0</v>
      </c>
      <c r="R821" s="6">
        <f>'MATCH CALCS'!$AD822*1</f>
        <v>0</v>
      </c>
      <c r="S821" s="6">
        <f>'MATCH CALCS'!AC822*3</f>
        <v>0</v>
      </c>
      <c r="T821" s="6">
        <f>'MATCH CALCS'!AD822*3</f>
        <v>0</v>
      </c>
      <c r="U821" s="155">
        <f t="shared" si="22"/>
        <v>0</v>
      </c>
      <c r="V821" s="154">
        <f t="shared" si="23"/>
        <v>0</v>
      </c>
    </row>
    <row r="822" spans="1:22">
      <c r="A822" s="154">
        <f>'MATCH CALCS'!A823</f>
        <v>0</v>
      </c>
      <c r="B822" s="154">
        <f>'MATCH CALCS'!$C823</f>
        <v>0</v>
      </c>
      <c r="C822" s="154">
        <f t="shared" si="19"/>
        <v>0</v>
      </c>
      <c r="D822" s="6">
        <f>'MATCH CALCS'!$G823*2</f>
        <v>0</v>
      </c>
      <c r="E822" s="6">
        <f>'MATCH CALCS'!$G823*2</f>
        <v>0</v>
      </c>
      <c r="F822" s="6">
        <f>'MATCH CALCS'!$G823*2</f>
        <v>0</v>
      </c>
      <c r="G822" s="6">
        <f>'MATCH CALCS'!$G823*2</f>
        <v>0</v>
      </c>
      <c r="H822" s="6">
        <f>'MATCH CALCS'!$G823*2</f>
        <v>0</v>
      </c>
      <c r="I822" s="6">
        <f>'MATCH CALCS'!$G823*2</f>
        <v>0</v>
      </c>
      <c r="J822" s="154">
        <f t="shared" si="20"/>
        <v>0</v>
      </c>
      <c r="K822" s="6">
        <f>'MATCH CALCS'!L823*1</f>
        <v>0</v>
      </c>
      <c r="L822" s="6">
        <f>'MATCH CALCS'!$N823*2</f>
        <v>0</v>
      </c>
      <c r="M822" s="6">
        <f>'MATCH CALCS'!N823*1</f>
        <v>0</v>
      </c>
      <c r="N822" s="6">
        <f>'MATCH CALCS'!$N823*2</f>
        <v>0</v>
      </c>
      <c r="O822" s="6">
        <f>'MATCH CALCS'!$N823*2</f>
        <v>0</v>
      </c>
      <c r="P822" s="6">
        <f>'MATCH CALCS'!$P823*5</f>
        <v>0</v>
      </c>
      <c r="Q822" s="154">
        <f t="shared" si="21"/>
        <v>0</v>
      </c>
      <c r="R822" s="6">
        <f>'MATCH CALCS'!$AD823*1</f>
        <v>0</v>
      </c>
      <c r="S822" s="6">
        <f>'MATCH CALCS'!AC823*3</f>
        <v>0</v>
      </c>
      <c r="T822" s="6">
        <f>'MATCH CALCS'!AD823*3</f>
        <v>0</v>
      </c>
      <c r="U822" s="155">
        <f t="shared" si="22"/>
        <v>0</v>
      </c>
      <c r="V822" s="154">
        <f t="shared" si="23"/>
        <v>0</v>
      </c>
    </row>
    <row r="823" spans="1:22">
      <c r="A823" s="154">
        <f>'MATCH CALCS'!A824</f>
        <v>0</v>
      </c>
      <c r="B823" s="154">
        <f>'MATCH CALCS'!$C824</f>
        <v>0</v>
      </c>
      <c r="C823" s="154">
        <f t="shared" si="19"/>
        <v>0</v>
      </c>
      <c r="D823" s="6">
        <f>'MATCH CALCS'!$G824*2</f>
        <v>0</v>
      </c>
      <c r="E823" s="6">
        <f>'MATCH CALCS'!$G824*2</f>
        <v>0</v>
      </c>
      <c r="F823" s="6">
        <f>'MATCH CALCS'!$G824*2</f>
        <v>0</v>
      </c>
      <c r="G823" s="6">
        <f>'MATCH CALCS'!$G824*2</f>
        <v>0</v>
      </c>
      <c r="H823" s="6">
        <f>'MATCH CALCS'!$G824*2</f>
        <v>0</v>
      </c>
      <c r="I823" s="6">
        <f>'MATCH CALCS'!$G824*2</f>
        <v>0</v>
      </c>
      <c r="J823" s="154">
        <f t="shared" si="20"/>
        <v>0</v>
      </c>
      <c r="K823" s="6">
        <f>'MATCH CALCS'!L824*1</f>
        <v>0</v>
      </c>
      <c r="L823" s="6">
        <f>'MATCH CALCS'!$N824*2</f>
        <v>0</v>
      </c>
      <c r="M823" s="6">
        <f>'MATCH CALCS'!N824*1</f>
        <v>0</v>
      </c>
      <c r="N823" s="6">
        <f>'MATCH CALCS'!$N824*2</f>
        <v>0</v>
      </c>
      <c r="O823" s="6">
        <f>'MATCH CALCS'!$N824*2</f>
        <v>0</v>
      </c>
      <c r="P823" s="6">
        <f>'MATCH CALCS'!$P824*5</f>
        <v>0</v>
      </c>
      <c r="Q823" s="154">
        <f t="shared" si="21"/>
        <v>0</v>
      </c>
      <c r="R823" s="6">
        <f>'MATCH CALCS'!$AD824*1</f>
        <v>0</v>
      </c>
      <c r="S823" s="6">
        <f>'MATCH CALCS'!AC824*3</f>
        <v>0</v>
      </c>
      <c r="T823" s="6">
        <f>'MATCH CALCS'!AD824*3</f>
        <v>0</v>
      </c>
      <c r="U823" s="155">
        <f t="shared" si="22"/>
        <v>0</v>
      </c>
      <c r="V823" s="154">
        <f t="shared" si="23"/>
        <v>0</v>
      </c>
    </row>
    <row r="824" spans="1:22">
      <c r="A824" s="154">
        <f>'MATCH CALCS'!A825</f>
        <v>0</v>
      </c>
      <c r="B824" s="154">
        <f>'MATCH CALCS'!$C825</f>
        <v>0</v>
      </c>
      <c r="C824" s="154">
        <f t="shared" si="19"/>
        <v>0</v>
      </c>
      <c r="D824" s="6">
        <f>'MATCH CALCS'!$G825*2</f>
        <v>0</v>
      </c>
      <c r="E824" s="6">
        <f>'MATCH CALCS'!$G825*2</f>
        <v>0</v>
      </c>
      <c r="F824" s="6">
        <f>'MATCH CALCS'!$G825*2</f>
        <v>0</v>
      </c>
      <c r="G824" s="6">
        <f>'MATCH CALCS'!$G825*2</f>
        <v>0</v>
      </c>
      <c r="H824" s="6">
        <f>'MATCH CALCS'!$G825*2</f>
        <v>0</v>
      </c>
      <c r="I824" s="6">
        <f>'MATCH CALCS'!$G825*2</f>
        <v>0</v>
      </c>
      <c r="J824" s="154">
        <f t="shared" si="20"/>
        <v>0</v>
      </c>
      <c r="K824" s="6">
        <f>'MATCH CALCS'!L825*1</f>
        <v>0</v>
      </c>
      <c r="L824" s="6">
        <f>'MATCH CALCS'!$N825*2</f>
        <v>0</v>
      </c>
      <c r="M824" s="6">
        <f>'MATCH CALCS'!N825*1</f>
        <v>0</v>
      </c>
      <c r="N824" s="6">
        <f>'MATCH CALCS'!$N825*2</f>
        <v>0</v>
      </c>
      <c r="O824" s="6">
        <f>'MATCH CALCS'!$N825*2</f>
        <v>0</v>
      </c>
      <c r="P824" s="6">
        <f>'MATCH CALCS'!$P825*5</f>
        <v>0</v>
      </c>
      <c r="Q824" s="154">
        <f t="shared" si="21"/>
        <v>0</v>
      </c>
      <c r="R824" s="6">
        <f>'MATCH CALCS'!$AD825*1</f>
        <v>0</v>
      </c>
      <c r="S824" s="6">
        <f>'MATCH CALCS'!AC825*3</f>
        <v>0</v>
      </c>
      <c r="T824" s="6">
        <f>'MATCH CALCS'!AD825*3</f>
        <v>0</v>
      </c>
      <c r="U824" s="155">
        <f t="shared" si="22"/>
        <v>0</v>
      </c>
      <c r="V824" s="154">
        <f t="shared" si="23"/>
        <v>0</v>
      </c>
    </row>
    <row r="825" spans="1:22">
      <c r="A825" s="154">
        <f>'MATCH CALCS'!A826</f>
        <v>0</v>
      </c>
      <c r="B825" s="154">
        <f>'MATCH CALCS'!$C826</f>
        <v>0</v>
      </c>
      <c r="C825" s="154">
        <f t="shared" si="19"/>
        <v>0</v>
      </c>
      <c r="D825" s="6">
        <f>'MATCH CALCS'!$G826*2</f>
        <v>0</v>
      </c>
      <c r="E825" s="6">
        <f>'MATCH CALCS'!$G826*2</f>
        <v>0</v>
      </c>
      <c r="F825" s="6">
        <f>'MATCH CALCS'!$G826*2</f>
        <v>0</v>
      </c>
      <c r="G825" s="6">
        <f>'MATCH CALCS'!$G826*2</f>
        <v>0</v>
      </c>
      <c r="H825" s="6">
        <f>'MATCH CALCS'!$G826*2</f>
        <v>0</v>
      </c>
      <c r="I825" s="6">
        <f>'MATCH CALCS'!$G826*2</f>
        <v>0</v>
      </c>
      <c r="J825" s="154">
        <f t="shared" si="20"/>
        <v>0</v>
      </c>
      <c r="K825" s="6">
        <f>'MATCH CALCS'!L826*1</f>
        <v>0</v>
      </c>
      <c r="L825" s="6">
        <f>'MATCH CALCS'!$N826*2</f>
        <v>0</v>
      </c>
      <c r="M825" s="6">
        <f>'MATCH CALCS'!N826*1</f>
        <v>0</v>
      </c>
      <c r="N825" s="6">
        <f>'MATCH CALCS'!$N826*2</f>
        <v>0</v>
      </c>
      <c r="O825" s="6">
        <f>'MATCH CALCS'!$N826*2</f>
        <v>0</v>
      </c>
      <c r="P825" s="6">
        <f>'MATCH CALCS'!$P826*5</f>
        <v>0</v>
      </c>
      <c r="Q825" s="154">
        <f t="shared" si="21"/>
        <v>0</v>
      </c>
      <c r="R825" s="6">
        <f>'MATCH CALCS'!$AD826*1</f>
        <v>0</v>
      </c>
      <c r="S825" s="6">
        <f>'MATCH CALCS'!AC826*3</f>
        <v>0</v>
      </c>
      <c r="T825" s="6">
        <f>'MATCH CALCS'!AD826*3</f>
        <v>0</v>
      </c>
      <c r="U825" s="155">
        <f t="shared" si="22"/>
        <v>0</v>
      </c>
      <c r="V825" s="154">
        <f t="shared" si="23"/>
        <v>0</v>
      </c>
    </row>
    <row r="826" spans="1:22">
      <c r="A826" s="154">
        <f>'MATCH CALCS'!A827</f>
        <v>0</v>
      </c>
      <c r="B826" s="154">
        <f>'MATCH CALCS'!$C827</f>
        <v>0</v>
      </c>
      <c r="C826" s="154">
        <f t="shared" si="19"/>
        <v>0</v>
      </c>
      <c r="D826" s="6">
        <f>'MATCH CALCS'!$G827*2</f>
        <v>0</v>
      </c>
      <c r="E826" s="6">
        <f>'MATCH CALCS'!$G827*2</f>
        <v>0</v>
      </c>
      <c r="F826" s="6">
        <f>'MATCH CALCS'!$G827*2</f>
        <v>0</v>
      </c>
      <c r="G826" s="6">
        <f>'MATCH CALCS'!$G827*2</f>
        <v>0</v>
      </c>
      <c r="H826" s="6">
        <f>'MATCH CALCS'!$G827*2</f>
        <v>0</v>
      </c>
      <c r="I826" s="6">
        <f>'MATCH CALCS'!$G827*2</f>
        <v>0</v>
      </c>
      <c r="J826" s="154">
        <f t="shared" si="20"/>
        <v>0</v>
      </c>
      <c r="K826" s="6">
        <f>'MATCH CALCS'!L827*1</f>
        <v>0</v>
      </c>
      <c r="L826" s="6">
        <f>'MATCH CALCS'!$N827*2</f>
        <v>0</v>
      </c>
      <c r="M826" s="6">
        <f>'MATCH CALCS'!N827*1</f>
        <v>0</v>
      </c>
      <c r="N826" s="6">
        <f>'MATCH CALCS'!$N827*2</f>
        <v>0</v>
      </c>
      <c r="O826" s="6">
        <f>'MATCH CALCS'!$N827*2</f>
        <v>0</v>
      </c>
      <c r="P826" s="6">
        <f>'MATCH CALCS'!$P827*5</f>
        <v>0</v>
      </c>
      <c r="Q826" s="154">
        <f t="shared" si="21"/>
        <v>0</v>
      </c>
      <c r="R826" s="6">
        <f>'MATCH CALCS'!$AD827*1</f>
        <v>0</v>
      </c>
      <c r="S826" s="6">
        <f>'MATCH CALCS'!AC827*3</f>
        <v>0</v>
      </c>
      <c r="T826" s="6">
        <f>'MATCH CALCS'!AD827*3</f>
        <v>0</v>
      </c>
      <c r="U826" s="155">
        <f t="shared" si="22"/>
        <v>0</v>
      </c>
      <c r="V826" s="154">
        <f t="shared" si="23"/>
        <v>0</v>
      </c>
    </row>
    <row r="827" spans="1:22">
      <c r="A827" s="154">
        <f>'MATCH CALCS'!A828</f>
        <v>0</v>
      </c>
      <c r="B827" s="154">
        <f>'MATCH CALCS'!$C828</f>
        <v>0</v>
      </c>
      <c r="C827" s="154">
        <f t="shared" si="19"/>
        <v>0</v>
      </c>
      <c r="D827" s="6">
        <f>'MATCH CALCS'!$G828*2</f>
        <v>0</v>
      </c>
      <c r="E827" s="6">
        <f>'MATCH CALCS'!$G828*2</f>
        <v>0</v>
      </c>
      <c r="F827" s="6">
        <f>'MATCH CALCS'!$G828*2</f>
        <v>0</v>
      </c>
      <c r="G827" s="6">
        <f>'MATCH CALCS'!$G828*2</f>
        <v>0</v>
      </c>
      <c r="H827" s="6">
        <f>'MATCH CALCS'!$G828*2</f>
        <v>0</v>
      </c>
      <c r="I827" s="6">
        <f>'MATCH CALCS'!$G828*2</f>
        <v>0</v>
      </c>
      <c r="J827" s="154">
        <f t="shared" si="20"/>
        <v>0</v>
      </c>
      <c r="K827" s="6">
        <f>'MATCH CALCS'!L828*1</f>
        <v>0</v>
      </c>
      <c r="L827" s="6">
        <f>'MATCH CALCS'!$N828*2</f>
        <v>0</v>
      </c>
      <c r="M827" s="6">
        <f>'MATCH CALCS'!N828*1</f>
        <v>0</v>
      </c>
      <c r="N827" s="6">
        <f>'MATCH CALCS'!$N828*2</f>
        <v>0</v>
      </c>
      <c r="O827" s="6">
        <f>'MATCH CALCS'!$N828*2</f>
        <v>0</v>
      </c>
      <c r="P827" s="6">
        <f>'MATCH CALCS'!$P828*5</f>
        <v>0</v>
      </c>
      <c r="Q827" s="154">
        <f t="shared" si="21"/>
        <v>0</v>
      </c>
      <c r="R827" s="6">
        <f>'MATCH CALCS'!$AD828*1</f>
        <v>0</v>
      </c>
      <c r="S827" s="6">
        <f>'MATCH CALCS'!AC828*3</f>
        <v>0</v>
      </c>
      <c r="T827" s="6">
        <f>'MATCH CALCS'!AD828*3</f>
        <v>0</v>
      </c>
      <c r="U827" s="155">
        <f t="shared" si="22"/>
        <v>0</v>
      </c>
      <c r="V827" s="154">
        <f t="shared" si="23"/>
        <v>0</v>
      </c>
    </row>
    <row r="828" spans="1:22">
      <c r="A828" s="154">
        <f>'MATCH CALCS'!A829</f>
        <v>0</v>
      </c>
      <c r="B828" s="154">
        <f>'MATCH CALCS'!$C829</f>
        <v>0</v>
      </c>
      <c r="C828" s="154">
        <f t="shared" si="19"/>
        <v>0</v>
      </c>
      <c r="D828" s="6">
        <f>'MATCH CALCS'!$G829*2</f>
        <v>0</v>
      </c>
      <c r="E828" s="6">
        <f>'MATCH CALCS'!$G829*2</f>
        <v>0</v>
      </c>
      <c r="F828" s="6">
        <f>'MATCH CALCS'!$G829*2</f>
        <v>0</v>
      </c>
      <c r="G828" s="6">
        <f>'MATCH CALCS'!$G829*2</f>
        <v>0</v>
      </c>
      <c r="H828" s="6">
        <f>'MATCH CALCS'!$G829*2</f>
        <v>0</v>
      </c>
      <c r="I828" s="6">
        <f>'MATCH CALCS'!$G829*2</f>
        <v>0</v>
      </c>
      <c r="J828" s="154">
        <f t="shared" si="20"/>
        <v>0</v>
      </c>
      <c r="K828" s="6">
        <f>'MATCH CALCS'!L829*1</f>
        <v>0</v>
      </c>
      <c r="L828" s="6">
        <f>'MATCH CALCS'!$N829*2</f>
        <v>0</v>
      </c>
      <c r="M828" s="6">
        <f>'MATCH CALCS'!N829*1</f>
        <v>0</v>
      </c>
      <c r="N828" s="6">
        <f>'MATCH CALCS'!$N829*2</f>
        <v>0</v>
      </c>
      <c r="O828" s="6">
        <f>'MATCH CALCS'!$N829*2</f>
        <v>0</v>
      </c>
      <c r="P828" s="6">
        <f>'MATCH CALCS'!$P829*5</f>
        <v>0</v>
      </c>
      <c r="Q828" s="154">
        <f t="shared" si="21"/>
        <v>0</v>
      </c>
      <c r="R828" s="6">
        <f>'MATCH CALCS'!$AD829*1</f>
        <v>0</v>
      </c>
      <c r="S828" s="6">
        <f>'MATCH CALCS'!AC829*3</f>
        <v>0</v>
      </c>
      <c r="T828" s="6">
        <f>'MATCH CALCS'!AD829*3</f>
        <v>0</v>
      </c>
      <c r="U828" s="155">
        <f t="shared" si="22"/>
        <v>0</v>
      </c>
      <c r="V828" s="154">
        <f t="shared" si="23"/>
        <v>0</v>
      </c>
    </row>
    <row r="829" spans="1:22">
      <c r="A829" s="154">
        <f>'MATCH CALCS'!A830</f>
        <v>0</v>
      </c>
      <c r="B829" s="154">
        <f>'MATCH CALCS'!$C830</f>
        <v>0</v>
      </c>
      <c r="C829" s="154">
        <f t="shared" si="19"/>
        <v>0</v>
      </c>
      <c r="D829" s="6">
        <f>'MATCH CALCS'!$G830*2</f>
        <v>0</v>
      </c>
      <c r="E829" s="6">
        <f>'MATCH CALCS'!$G830*2</f>
        <v>0</v>
      </c>
      <c r="F829" s="6">
        <f>'MATCH CALCS'!$G830*2</f>
        <v>0</v>
      </c>
      <c r="G829" s="6">
        <f>'MATCH CALCS'!$G830*2</f>
        <v>0</v>
      </c>
      <c r="H829" s="6">
        <f>'MATCH CALCS'!$G830*2</f>
        <v>0</v>
      </c>
      <c r="I829" s="6">
        <f>'MATCH CALCS'!$G830*2</f>
        <v>0</v>
      </c>
      <c r="J829" s="154">
        <f t="shared" si="20"/>
        <v>0</v>
      </c>
      <c r="K829" s="6">
        <f>'MATCH CALCS'!L830*1</f>
        <v>0</v>
      </c>
      <c r="L829" s="6">
        <f>'MATCH CALCS'!$N830*2</f>
        <v>0</v>
      </c>
      <c r="M829" s="6">
        <f>'MATCH CALCS'!N830*1</f>
        <v>0</v>
      </c>
      <c r="N829" s="6">
        <f>'MATCH CALCS'!$N830*2</f>
        <v>0</v>
      </c>
      <c r="O829" s="6">
        <f>'MATCH CALCS'!$N830*2</f>
        <v>0</v>
      </c>
      <c r="P829" s="6">
        <f>'MATCH CALCS'!$P830*5</f>
        <v>0</v>
      </c>
      <c r="Q829" s="154">
        <f t="shared" si="21"/>
        <v>0</v>
      </c>
      <c r="R829" s="6">
        <f>'MATCH CALCS'!$AD830*1</f>
        <v>0</v>
      </c>
      <c r="S829" s="6">
        <f>'MATCH CALCS'!AC830*3</f>
        <v>0</v>
      </c>
      <c r="T829" s="6">
        <f>'MATCH CALCS'!AD830*3</f>
        <v>0</v>
      </c>
      <c r="U829" s="155">
        <f t="shared" si="22"/>
        <v>0</v>
      </c>
      <c r="V829" s="154">
        <f t="shared" si="23"/>
        <v>0</v>
      </c>
    </row>
    <row r="830" spans="1:22">
      <c r="A830" s="154">
        <f>'MATCH CALCS'!A831</f>
        <v>0</v>
      </c>
      <c r="B830" s="154">
        <f>'MATCH CALCS'!$C831</f>
        <v>0</v>
      </c>
      <c r="C830" s="154">
        <f t="shared" si="19"/>
        <v>0</v>
      </c>
      <c r="D830" s="6">
        <f>'MATCH CALCS'!$G831*2</f>
        <v>0</v>
      </c>
      <c r="E830" s="6">
        <f>'MATCH CALCS'!$G831*2</f>
        <v>0</v>
      </c>
      <c r="F830" s="6">
        <f>'MATCH CALCS'!$G831*2</f>
        <v>0</v>
      </c>
      <c r="G830" s="6">
        <f>'MATCH CALCS'!$G831*2</f>
        <v>0</v>
      </c>
      <c r="H830" s="6">
        <f>'MATCH CALCS'!$G831*2</f>
        <v>0</v>
      </c>
      <c r="I830" s="6">
        <f>'MATCH CALCS'!$G831*2</f>
        <v>0</v>
      </c>
      <c r="J830" s="154">
        <f t="shared" si="20"/>
        <v>0</v>
      </c>
      <c r="K830" s="6">
        <f>'MATCH CALCS'!L831*1</f>
        <v>0</v>
      </c>
      <c r="L830" s="6">
        <f>'MATCH CALCS'!$N831*2</f>
        <v>0</v>
      </c>
      <c r="M830" s="6">
        <f>'MATCH CALCS'!N831*1</f>
        <v>0</v>
      </c>
      <c r="N830" s="6">
        <f>'MATCH CALCS'!$N831*2</f>
        <v>0</v>
      </c>
      <c r="O830" s="6">
        <f>'MATCH CALCS'!$N831*2</f>
        <v>0</v>
      </c>
      <c r="P830" s="6">
        <f>'MATCH CALCS'!$P831*5</f>
        <v>0</v>
      </c>
      <c r="Q830" s="154">
        <f t="shared" si="21"/>
        <v>0</v>
      </c>
      <c r="R830" s="6">
        <f>'MATCH CALCS'!$AD831*1</f>
        <v>0</v>
      </c>
      <c r="S830" s="6">
        <f>'MATCH CALCS'!AC831*3</f>
        <v>0</v>
      </c>
      <c r="T830" s="6">
        <f>'MATCH CALCS'!AD831*3</f>
        <v>0</v>
      </c>
      <c r="U830" s="155">
        <f t="shared" si="22"/>
        <v>0</v>
      </c>
      <c r="V830" s="154">
        <f t="shared" si="23"/>
        <v>0</v>
      </c>
    </row>
    <row r="831" spans="1:22">
      <c r="A831" s="154">
        <f>'MATCH CALCS'!A832</f>
        <v>0</v>
      </c>
      <c r="B831" s="154">
        <f>'MATCH CALCS'!$C832</f>
        <v>0</v>
      </c>
      <c r="C831" s="154">
        <f t="shared" si="19"/>
        <v>0</v>
      </c>
      <c r="D831" s="6">
        <f>'MATCH CALCS'!$G832*2</f>
        <v>0</v>
      </c>
      <c r="E831" s="6">
        <f>'MATCH CALCS'!$G832*2</f>
        <v>0</v>
      </c>
      <c r="F831" s="6">
        <f>'MATCH CALCS'!$G832*2</f>
        <v>0</v>
      </c>
      <c r="G831" s="6">
        <f>'MATCH CALCS'!$G832*2</f>
        <v>0</v>
      </c>
      <c r="H831" s="6">
        <f>'MATCH CALCS'!$G832*2</f>
        <v>0</v>
      </c>
      <c r="I831" s="6">
        <f>'MATCH CALCS'!$G832*2</f>
        <v>0</v>
      </c>
      <c r="J831" s="154">
        <f t="shared" si="20"/>
        <v>0</v>
      </c>
      <c r="K831" s="6">
        <f>'MATCH CALCS'!L832*1</f>
        <v>0</v>
      </c>
      <c r="L831" s="6">
        <f>'MATCH CALCS'!$N832*2</f>
        <v>0</v>
      </c>
      <c r="M831" s="6">
        <f>'MATCH CALCS'!N832*1</f>
        <v>0</v>
      </c>
      <c r="N831" s="6">
        <f>'MATCH CALCS'!$N832*2</f>
        <v>0</v>
      </c>
      <c r="O831" s="6">
        <f>'MATCH CALCS'!$N832*2</f>
        <v>0</v>
      </c>
      <c r="P831" s="6">
        <f>'MATCH CALCS'!$P832*5</f>
        <v>0</v>
      </c>
      <c r="Q831" s="154">
        <f t="shared" si="21"/>
        <v>0</v>
      </c>
      <c r="R831" s="6">
        <f>'MATCH CALCS'!$AD832*1</f>
        <v>0</v>
      </c>
      <c r="S831" s="6">
        <f>'MATCH CALCS'!AC832*3</f>
        <v>0</v>
      </c>
      <c r="T831" s="6">
        <f>'MATCH CALCS'!AD832*3</f>
        <v>0</v>
      </c>
      <c r="U831" s="155">
        <f t="shared" si="22"/>
        <v>0</v>
      </c>
      <c r="V831" s="154">
        <f t="shared" si="23"/>
        <v>0</v>
      </c>
    </row>
    <row r="832" spans="1:22">
      <c r="A832" s="154">
        <f>'MATCH CALCS'!A833</f>
        <v>0</v>
      </c>
      <c r="B832" s="154">
        <f>'MATCH CALCS'!$C833</f>
        <v>0</v>
      </c>
      <c r="C832" s="154">
        <f t="shared" si="19"/>
        <v>0</v>
      </c>
      <c r="D832" s="6">
        <f>'MATCH CALCS'!$G833*2</f>
        <v>0</v>
      </c>
      <c r="E832" s="6">
        <f>'MATCH CALCS'!$G833*2</f>
        <v>0</v>
      </c>
      <c r="F832" s="6">
        <f>'MATCH CALCS'!$G833*2</f>
        <v>0</v>
      </c>
      <c r="G832" s="6">
        <f>'MATCH CALCS'!$G833*2</f>
        <v>0</v>
      </c>
      <c r="H832" s="6">
        <f>'MATCH CALCS'!$G833*2</f>
        <v>0</v>
      </c>
      <c r="I832" s="6">
        <f>'MATCH CALCS'!$G833*2</f>
        <v>0</v>
      </c>
      <c r="J832" s="154">
        <f t="shared" si="20"/>
        <v>0</v>
      </c>
      <c r="K832" s="6">
        <f>'MATCH CALCS'!L833*1</f>
        <v>0</v>
      </c>
      <c r="L832" s="6">
        <f>'MATCH CALCS'!$N833*2</f>
        <v>0</v>
      </c>
      <c r="M832" s="6">
        <f>'MATCH CALCS'!N833*1</f>
        <v>0</v>
      </c>
      <c r="N832" s="6">
        <f>'MATCH CALCS'!$N833*2</f>
        <v>0</v>
      </c>
      <c r="O832" s="6">
        <f>'MATCH CALCS'!$N833*2</f>
        <v>0</v>
      </c>
      <c r="P832" s="6">
        <f>'MATCH CALCS'!$P833*5</f>
        <v>0</v>
      </c>
      <c r="Q832" s="154">
        <f t="shared" si="21"/>
        <v>0</v>
      </c>
      <c r="R832" s="6">
        <f>'MATCH CALCS'!$AD833*1</f>
        <v>0</v>
      </c>
      <c r="S832" s="6">
        <f>'MATCH CALCS'!AC833*3</f>
        <v>0</v>
      </c>
      <c r="T832" s="6">
        <f>'MATCH CALCS'!AD833*3</f>
        <v>0</v>
      </c>
      <c r="U832" s="155">
        <f t="shared" si="22"/>
        <v>0</v>
      </c>
      <c r="V832" s="154">
        <f t="shared" si="23"/>
        <v>0</v>
      </c>
    </row>
    <row r="833" spans="1:22">
      <c r="A833" s="154">
        <f>'MATCH CALCS'!A834</f>
        <v>0</v>
      </c>
      <c r="B833" s="154">
        <f>'MATCH CALCS'!$C834</f>
        <v>0</v>
      </c>
      <c r="C833" s="154">
        <f t="shared" si="19"/>
        <v>0</v>
      </c>
      <c r="D833" s="6">
        <f>'MATCH CALCS'!$G834*2</f>
        <v>0</v>
      </c>
      <c r="E833" s="6">
        <f>'MATCH CALCS'!$G834*2</f>
        <v>0</v>
      </c>
      <c r="F833" s="6">
        <f>'MATCH CALCS'!$G834*2</f>
        <v>0</v>
      </c>
      <c r="G833" s="6">
        <f>'MATCH CALCS'!$G834*2</f>
        <v>0</v>
      </c>
      <c r="H833" s="6">
        <f>'MATCH CALCS'!$G834*2</f>
        <v>0</v>
      </c>
      <c r="I833" s="6">
        <f>'MATCH CALCS'!$G834*2</f>
        <v>0</v>
      </c>
      <c r="J833" s="154">
        <f t="shared" si="20"/>
        <v>0</v>
      </c>
      <c r="K833" s="6">
        <f>'MATCH CALCS'!L834*1</f>
        <v>0</v>
      </c>
      <c r="L833" s="6">
        <f>'MATCH CALCS'!$N834*2</f>
        <v>0</v>
      </c>
      <c r="M833" s="6">
        <f>'MATCH CALCS'!N834*1</f>
        <v>0</v>
      </c>
      <c r="N833" s="6">
        <f>'MATCH CALCS'!$N834*2</f>
        <v>0</v>
      </c>
      <c r="O833" s="6">
        <f>'MATCH CALCS'!$N834*2</f>
        <v>0</v>
      </c>
      <c r="P833" s="6">
        <f>'MATCH CALCS'!$P834*5</f>
        <v>0</v>
      </c>
      <c r="Q833" s="154">
        <f t="shared" si="21"/>
        <v>0</v>
      </c>
      <c r="R833" s="6">
        <f>'MATCH CALCS'!$AD834*1</f>
        <v>0</v>
      </c>
      <c r="S833" s="6">
        <f>'MATCH CALCS'!AC834*3</f>
        <v>0</v>
      </c>
      <c r="T833" s="6">
        <f>'MATCH CALCS'!AD834*3</f>
        <v>0</v>
      </c>
      <c r="U833" s="155">
        <f t="shared" si="22"/>
        <v>0</v>
      </c>
      <c r="V833" s="154">
        <f t="shared" si="23"/>
        <v>0</v>
      </c>
    </row>
    <row r="834" spans="1:22">
      <c r="A834" s="154">
        <f>'MATCH CALCS'!A835</f>
        <v>0</v>
      </c>
      <c r="B834" s="154">
        <f>'MATCH CALCS'!$C835</f>
        <v>0</v>
      </c>
      <c r="C834" s="154">
        <f t="shared" si="19"/>
        <v>0</v>
      </c>
      <c r="D834" s="6">
        <f>'MATCH CALCS'!$G835*2</f>
        <v>0</v>
      </c>
      <c r="E834" s="6">
        <f>'MATCH CALCS'!$G835*2</f>
        <v>0</v>
      </c>
      <c r="F834" s="6">
        <f>'MATCH CALCS'!$G835*2</f>
        <v>0</v>
      </c>
      <c r="G834" s="6">
        <f>'MATCH CALCS'!$G835*2</f>
        <v>0</v>
      </c>
      <c r="H834" s="6">
        <f>'MATCH CALCS'!$G835*2</f>
        <v>0</v>
      </c>
      <c r="I834" s="6">
        <f>'MATCH CALCS'!$G835*2</f>
        <v>0</v>
      </c>
      <c r="J834" s="154">
        <f t="shared" si="20"/>
        <v>0</v>
      </c>
      <c r="K834" s="6">
        <f>'MATCH CALCS'!L835*1</f>
        <v>0</v>
      </c>
      <c r="L834" s="6">
        <f>'MATCH CALCS'!$N835*2</f>
        <v>0</v>
      </c>
      <c r="M834" s="6">
        <f>'MATCH CALCS'!N835*1</f>
        <v>0</v>
      </c>
      <c r="N834" s="6">
        <f>'MATCH CALCS'!$N835*2</f>
        <v>0</v>
      </c>
      <c r="O834" s="6">
        <f>'MATCH CALCS'!$N835*2</f>
        <v>0</v>
      </c>
      <c r="P834" s="6">
        <f>'MATCH CALCS'!$P835*5</f>
        <v>0</v>
      </c>
      <c r="Q834" s="154">
        <f t="shared" si="21"/>
        <v>0</v>
      </c>
      <c r="R834" s="6">
        <f>'MATCH CALCS'!$AD835*1</f>
        <v>0</v>
      </c>
      <c r="S834" s="6">
        <f>'MATCH CALCS'!AC835*3</f>
        <v>0</v>
      </c>
      <c r="T834" s="6">
        <f>'MATCH CALCS'!AD835*3</f>
        <v>0</v>
      </c>
      <c r="U834" s="155">
        <f t="shared" si="22"/>
        <v>0</v>
      </c>
      <c r="V834" s="154">
        <f t="shared" si="23"/>
        <v>0</v>
      </c>
    </row>
    <row r="835" spans="1:22">
      <c r="A835" s="154">
        <f>'MATCH CALCS'!A836</f>
        <v>0</v>
      </c>
      <c r="B835" s="154">
        <f>'MATCH CALCS'!$C836</f>
        <v>0</v>
      </c>
      <c r="C835" s="154">
        <f t="shared" si="19"/>
        <v>0</v>
      </c>
      <c r="D835" s="6">
        <f>'MATCH CALCS'!$G836*2</f>
        <v>0</v>
      </c>
      <c r="E835" s="6">
        <f>'MATCH CALCS'!$G836*2</f>
        <v>0</v>
      </c>
      <c r="F835" s="6">
        <f>'MATCH CALCS'!$G836*2</f>
        <v>0</v>
      </c>
      <c r="G835" s="6">
        <f>'MATCH CALCS'!$G836*2</f>
        <v>0</v>
      </c>
      <c r="H835" s="6">
        <f>'MATCH CALCS'!$G836*2</f>
        <v>0</v>
      </c>
      <c r="I835" s="6">
        <f>'MATCH CALCS'!$G836*2</f>
        <v>0</v>
      </c>
      <c r="J835" s="154">
        <f t="shared" si="20"/>
        <v>0</v>
      </c>
      <c r="K835" s="6">
        <f>'MATCH CALCS'!L836*1</f>
        <v>0</v>
      </c>
      <c r="L835" s="6">
        <f>'MATCH CALCS'!$N836*2</f>
        <v>0</v>
      </c>
      <c r="M835" s="6">
        <f>'MATCH CALCS'!N836*1</f>
        <v>0</v>
      </c>
      <c r="N835" s="6">
        <f>'MATCH CALCS'!$N836*2</f>
        <v>0</v>
      </c>
      <c r="O835" s="6">
        <f>'MATCH CALCS'!$N836*2</f>
        <v>0</v>
      </c>
      <c r="P835" s="6">
        <f>'MATCH CALCS'!$P836*5</f>
        <v>0</v>
      </c>
      <c r="Q835" s="154">
        <f t="shared" si="21"/>
        <v>0</v>
      </c>
      <c r="R835" s="6">
        <f>'MATCH CALCS'!$AD836*1</f>
        <v>0</v>
      </c>
      <c r="S835" s="6">
        <f>'MATCH CALCS'!AC836*3</f>
        <v>0</v>
      </c>
      <c r="T835" s="6">
        <f>'MATCH CALCS'!AD836*3</f>
        <v>0</v>
      </c>
      <c r="U835" s="155">
        <f t="shared" si="22"/>
        <v>0</v>
      </c>
      <c r="V835" s="154">
        <f t="shared" si="23"/>
        <v>0</v>
      </c>
    </row>
    <row r="836" spans="1:22">
      <c r="A836" s="154">
        <f>'MATCH CALCS'!A837</f>
        <v>0</v>
      </c>
      <c r="B836" s="154">
        <f>'MATCH CALCS'!$C837</f>
        <v>0</v>
      </c>
      <c r="C836" s="154">
        <f t="shared" si="19"/>
        <v>0</v>
      </c>
      <c r="D836" s="6">
        <f>'MATCH CALCS'!$G837*2</f>
        <v>0</v>
      </c>
      <c r="E836" s="6">
        <f>'MATCH CALCS'!$G837*2</f>
        <v>0</v>
      </c>
      <c r="F836" s="6">
        <f>'MATCH CALCS'!$G837*2</f>
        <v>0</v>
      </c>
      <c r="G836" s="6">
        <f>'MATCH CALCS'!$G837*2</f>
        <v>0</v>
      </c>
      <c r="H836" s="6">
        <f>'MATCH CALCS'!$G837*2</f>
        <v>0</v>
      </c>
      <c r="I836" s="6">
        <f>'MATCH CALCS'!$G837*2</f>
        <v>0</v>
      </c>
      <c r="J836" s="154">
        <f t="shared" si="20"/>
        <v>0</v>
      </c>
      <c r="K836" s="6">
        <f>'MATCH CALCS'!L837*1</f>
        <v>0</v>
      </c>
      <c r="L836" s="6">
        <f>'MATCH CALCS'!$N837*2</f>
        <v>0</v>
      </c>
      <c r="M836" s="6">
        <f>'MATCH CALCS'!N837*1</f>
        <v>0</v>
      </c>
      <c r="N836" s="6">
        <f>'MATCH CALCS'!$N837*2</f>
        <v>0</v>
      </c>
      <c r="O836" s="6">
        <f>'MATCH CALCS'!$N837*2</f>
        <v>0</v>
      </c>
      <c r="P836" s="6">
        <f>'MATCH CALCS'!$P837*5</f>
        <v>0</v>
      </c>
      <c r="Q836" s="154">
        <f t="shared" si="21"/>
        <v>0</v>
      </c>
      <c r="R836" s="6">
        <f>'MATCH CALCS'!$AD837*1</f>
        <v>0</v>
      </c>
      <c r="S836" s="6">
        <f>'MATCH CALCS'!AC837*3</f>
        <v>0</v>
      </c>
      <c r="T836" s="6">
        <f>'MATCH CALCS'!AD837*3</f>
        <v>0</v>
      </c>
      <c r="U836" s="155">
        <f t="shared" si="22"/>
        <v>0</v>
      </c>
      <c r="V836" s="154">
        <f t="shared" si="23"/>
        <v>0</v>
      </c>
    </row>
    <row r="837" spans="1:22">
      <c r="A837" s="154">
        <f>'MATCH CALCS'!A838</f>
        <v>0</v>
      </c>
      <c r="B837" s="154">
        <f>'MATCH CALCS'!$C838</f>
        <v>0</v>
      </c>
      <c r="C837" s="154">
        <f t="shared" si="19"/>
        <v>0</v>
      </c>
      <c r="D837" s="6">
        <f>'MATCH CALCS'!$G838*2</f>
        <v>0</v>
      </c>
      <c r="E837" s="6">
        <f>'MATCH CALCS'!$G838*2</f>
        <v>0</v>
      </c>
      <c r="F837" s="6">
        <f>'MATCH CALCS'!$G838*2</f>
        <v>0</v>
      </c>
      <c r="G837" s="6">
        <f>'MATCH CALCS'!$G838*2</f>
        <v>0</v>
      </c>
      <c r="H837" s="6">
        <f>'MATCH CALCS'!$G838*2</f>
        <v>0</v>
      </c>
      <c r="I837" s="6">
        <f>'MATCH CALCS'!$G838*2</f>
        <v>0</v>
      </c>
      <c r="J837" s="154">
        <f t="shared" si="20"/>
        <v>0</v>
      </c>
      <c r="K837" s="6">
        <f>'MATCH CALCS'!L838*1</f>
        <v>0</v>
      </c>
      <c r="L837" s="6">
        <f>'MATCH CALCS'!$N838*2</f>
        <v>0</v>
      </c>
      <c r="M837" s="6">
        <f>'MATCH CALCS'!N838*1</f>
        <v>0</v>
      </c>
      <c r="N837" s="6">
        <f>'MATCH CALCS'!$N838*2</f>
        <v>0</v>
      </c>
      <c r="O837" s="6">
        <f>'MATCH CALCS'!$N838*2</f>
        <v>0</v>
      </c>
      <c r="P837" s="6">
        <f>'MATCH CALCS'!$P838*5</f>
        <v>0</v>
      </c>
      <c r="Q837" s="154">
        <f t="shared" si="21"/>
        <v>0</v>
      </c>
      <c r="R837" s="6">
        <f>'MATCH CALCS'!$AD838*1</f>
        <v>0</v>
      </c>
      <c r="S837" s="6">
        <f>'MATCH CALCS'!AC838*3</f>
        <v>0</v>
      </c>
      <c r="T837" s="6">
        <f>'MATCH CALCS'!AD838*3</f>
        <v>0</v>
      </c>
      <c r="U837" s="155">
        <f t="shared" si="22"/>
        <v>0</v>
      </c>
      <c r="V837" s="154">
        <f t="shared" si="23"/>
        <v>0</v>
      </c>
    </row>
    <row r="838" spans="1:22">
      <c r="A838" s="154">
        <f>'MATCH CALCS'!A839</f>
        <v>0</v>
      </c>
      <c r="B838" s="154">
        <f>'MATCH CALCS'!$C839</f>
        <v>0</v>
      </c>
      <c r="C838" s="154">
        <f t="shared" si="19"/>
        <v>0</v>
      </c>
      <c r="D838" s="6">
        <f>'MATCH CALCS'!$G839*2</f>
        <v>0</v>
      </c>
      <c r="E838" s="6">
        <f>'MATCH CALCS'!$G839*2</f>
        <v>0</v>
      </c>
      <c r="F838" s="6">
        <f>'MATCH CALCS'!$G839*2</f>
        <v>0</v>
      </c>
      <c r="G838" s="6">
        <f>'MATCH CALCS'!$G839*2</f>
        <v>0</v>
      </c>
      <c r="H838" s="6">
        <f>'MATCH CALCS'!$G839*2</f>
        <v>0</v>
      </c>
      <c r="I838" s="6">
        <f>'MATCH CALCS'!$G839*2</f>
        <v>0</v>
      </c>
      <c r="J838" s="154">
        <f t="shared" si="20"/>
        <v>0</v>
      </c>
      <c r="K838" s="6">
        <f>'MATCH CALCS'!L839*1</f>
        <v>0</v>
      </c>
      <c r="L838" s="6">
        <f>'MATCH CALCS'!$N839*2</f>
        <v>0</v>
      </c>
      <c r="M838" s="6">
        <f>'MATCH CALCS'!N839*1</f>
        <v>0</v>
      </c>
      <c r="N838" s="6">
        <f>'MATCH CALCS'!$N839*2</f>
        <v>0</v>
      </c>
      <c r="O838" s="6">
        <f>'MATCH CALCS'!$N839*2</f>
        <v>0</v>
      </c>
      <c r="P838" s="6">
        <f>'MATCH CALCS'!$P839*5</f>
        <v>0</v>
      </c>
      <c r="Q838" s="154">
        <f t="shared" si="21"/>
        <v>0</v>
      </c>
      <c r="R838" s="6">
        <f>'MATCH CALCS'!$AD839*1</f>
        <v>0</v>
      </c>
      <c r="S838" s="6">
        <f>'MATCH CALCS'!AC839*3</f>
        <v>0</v>
      </c>
      <c r="T838" s="6">
        <f>'MATCH CALCS'!AD839*3</f>
        <v>0</v>
      </c>
      <c r="U838" s="155">
        <f t="shared" si="22"/>
        <v>0</v>
      </c>
      <c r="V838" s="154">
        <f t="shared" si="23"/>
        <v>0</v>
      </c>
    </row>
    <row r="839" spans="1:22">
      <c r="A839" s="154">
        <f>'MATCH CALCS'!A840</f>
        <v>0</v>
      </c>
      <c r="B839" s="154">
        <f>'MATCH CALCS'!$C840</f>
        <v>0</v>
      </c>
      <c r="C839" s="154">
        <f t="shared" si="19"/>
        <v>0</v>
      </c>
      <c r="D839" s="6">
        <f>'MATCH CALCS'!$G840*2</f>
        <v>0</v>
      </c>
      <c r="E839" s="6">
        <f>'MATCH CALCS'!$G840*2</f>
        <v>0</v>
      </c>
      <c r="F839" s="6">
        <f>'MATCH CALCS'!$G840*2</f>
        <v>0</v>
      </c>
      <c r="G839" s="6">
        <f>'MATCH CALCS'!$G840*2</f>
        <v>0</v>
      </c>
      <c r="H839" s="6">
        <f>'MATCH CALCS'!$G840*2</f>
        <v>0</v>
      </c>
      <c r="I839" s="6">
        <f>'MATCH CALCS'!$G840*2</f>
        <v>0</v>
      </c>
      <c r="J839" s="154">
        <f t="shared" si="20"/>
        <v>0</v>
      </c>
      <c r="K839" s="6">
        <f>'MATCH CALCS'!L840*1</f>
        <v>0</v>
      </c>
      <c r="L839" s="6">
        <f>'MATCH CALCS'!$N840*2</f>
        <v>0</v>
      </c>
      <c r="M839" s="6">
        <f>'MATCH CALCS'!N840*1</f>
        <v>0</v>
      </c>
      <c r="N839" s="6">
        <f>'MATCH CALCS'!$N840*2</f>
        <v>0</v>
      </c>
      <c r="O839" s="6">
        <f>'MATCH CALCS'!$N840*2</f>
        <v>0</v>
      </c>
      <c r="P839" s="6">
        <f>'MATCH CALCS'!$P840*5</f>
        <v>0</v>
      </c>
      <c r="Q839" s="154">
        <f t="shared" si="21"/>
        <v>0</v>
      </c>
      <c r="R839" s="6">
        <f>'MATCH CALCS'!$AD840*1</f>
        <v>0</v>
      </c>
      <c r="S839" s="6">
        <f>'MATCH CALCS'!AC840*3</f>
        <v>0</v>
      </c>
      <c r="T839" s="6">
        <f>'MATCH CALCS'!AD840*3</f>
        <v>0</v>
      </c>
      <c r="U839" s="155">
        <f t="shared" si="22"/>
        <v>0</v>
      </c>
      <c r="V839" s="154">
        <f t="shared" si="23"/>
        <v>0</v>
      </c>
    </row>
    <row r="840" spans="1:22">
      <c r="A840" s="154">
        <f>'MATCH CALCS'!A841</f>
        <v>0</v>
      </c>
      <c r="B840" s="154">
        <f>'MATCH CALCS'!$C841</f>
        <v>0</v>
      </c>
      <c r="C840" s="154">
        <f t="shared" si="19"/>
        <v>0</v>
      </c>
      <c r="D840" s="6">
        <f>'MATCH CALCS'!$G841*2</f>
        <v>0</v>
      </c>
      <c r="E840" s="6">
        <f>'MATCH CALCS'!$G841*2</f>
        <v>0</v>
      </c>
      <c r="F840" s="6">
        <f>'MATCH CALCS'!$G841*2</f>
        <v>0</v>
      </c>
      <c r="G840" s="6">
        <f>'MATCH CALCS'!$G841*2</f>
        <v>0</v>
      </c>
      <c r="H840" s="6">
        <f>'MATCH CALCS'!$G841*2</f>
        <v>0</v>
      </c>
      <c r="I840" s="6">
        <f>'MATCH CALCS'!$G841*2</f>
        <v>0</v>
      </c>
      <c r="J840" s="154">
        <f t="shared" si="20"/>
        <v>0</v>
      </c>
      <c r="K840" s="6">
        <f>'MATCH CALCS'!L841*1</f>
        <v>0</v>
      </c>
      <c r="L840" s="6">
        <f>'MATCH CALCS'!$N841*2</f>
        <v>0</v>
      </c>
      <c r="M840" s="6">
        <f>'MATCH CALCS'!N841*1</f>
        <v>0</v>
      </c>
      <c r="N840" s="6">
        <f>'MATCH CALCS'!$N841*2</f>
        <v>0</v>
      </c>
      <c r="O840" s="6">
        <f>'MATCH CALCS'!$N841*2</f>
        <v>0</v>
      </c>
      <c r="P840" s="6">
        <f>'MATCH CALCS'!$P841*5</f>
        <v>0</v>
      </c>
      <c r="Q840" s="154">
        <f t="shared" si="21"/>
        <v>0</v>
      </c>
      <c r="R840" s="6">
        <f>'MATCH CALCS'!$AD841*1</f>
        <v>0</v>
      </c>
      <c r="S840" s="6">
        <f>'MATCH CALCS'!AC841*3</f>
        <v>0</v>
      </c>
      <c r="T840" s="6">
        <f>'MATCH CALCS'!AD841*3</f>
        <v>0</v>
      </c>
      <c r="U840" s="155">
        <f t="shared" si="22"/>
        <v>0</v>
      </c>
      <c r="V840" s="154">
        <f t="shared" si="23"/>
        <v>0</v>
      </c>
    </row>
    <row r="841" spans="1:22">
      <c r="A841" s="154">
        <f>'MATCH CALCS'!A842</f>
        <v>0</v>
      </c>
      <c r="B841" s="154">
        <f>'MATCH CALCS'!$C842</f>
        <v>0</v>
      </c>
      <c r="C841" s="154">
        <f t="shared" si="19"/>
        <v>0</v>
      </c>
      <c r="D841" s="6">
        <f>'MATCH CALCS'!$G842*2</f>
        <v>0</v>
      </c>
      <c r="E841" s="6">
        <f>'MATCH CALCS'!$G842*2</f>
        <v>0</v>
      </c>
      <c r="F841" s="6">
        <f>'MATCH CALCS'!$G842*2</f>
        <v>0</v>
      </c>
      <c r="G841" s="6">
        <f>'MATCH CALCS'!$G842*2</f>
        <v>0</v>
      </c>
      <c r="H841" s="6">
        <f>'MATCH CALCS'!$G842*2</f>
        <v>0</v>
      </c>
      <c r="I841" s="6">
        <f>'MATCH CALCS'!$G842*2</f>
        <v>0</v>
      </c>
      <c r="J841" s="154">
        <f t="shared" si="20"/>
        <v>0</v>
      </c>
      <c r="K841" s="6">
        <f>'MATCH CALCS'!L842*1</f>
        <v>0</v>
      </c>
      <c r="L841" s="6">
        <f>'MATCH CALCS'!$N842*2</f>
        <v>0</v>
      </c>
      <c r="M841" s="6">
        <f>'MATCH CALCS'!N842*1</f>
        <v>0</v>
      </c>
      <c r="N841" s="6">
        <f>'MATCH CALCS'!$N842*2</f>
        <v>0</v>
      </c>
      <c r="O841" s="6">
        <f>'MATCH CALCS'!$N842*2</f>
        <v>0</v>
      </c>
      <c r="P841" s="6">
        <f>'MATCH CALCS'!$P842*5</f>
        <v>0</v>
      </c>
      <c r="Q841" s="154">
        <f t="shared" si="21"/>
        <v>0</v>
      </c>
      <c r="R841" s="6">
        <f>'MATCH CALCS'!$AD842*1</f>
        <v>0</v>
      </c>
      <c r="S841" s="6">
        <f>'MATCH CALCS'!AC842*3</f>
        <v>0</v>
      </c>
      <c r="T841" s="6">
        <f>'MATCH CALCS'!AD842*3</f>
        <v>0</v>
      </c>
      <c r="U841" s="155">
        <f t="shared" si="22"/>
        <v>0</v>
      </c>
      <c r="V841" s="154">
        <f t="shared" si="23"/>
        <v>0</v>
      </c>
    </row>
    <row r="842" spans="1:22">
      <c r="A842" s="154">
        <f>'MATCH CALCS'!A843</f>
        <v>0</v>
      </c>
      <c r="B842" s="154">
        <f>'MATCH CALCS'!$C843</f>
        <v>0</v>
      </c>
      <c r="C842" s="154">
        <f t="shared" si="19"/>
        <v>0</v>
      </c>
      <c r="D842" s="6">
        <f>'MATCH CALCS'!$G843*2</f>
        <v>0</v>
      </c>
      <c r="E842" s="6">
        <f>'MATCH CALCS'!$G843*2</f>
        <v>0</v>
      </c>
      <c r="F842" s="6">
        <f>'MATCH CALCS'!$G843*2</f>
        <v>0</v>
      </c>
      <c r="G842" s="6">
        <f>'MATCH CALCS'!$G843*2</f>
        <v>0</v>
      </c>
      <c r="H842" s="6">
        <f>'MATCH CALCS'!$G843*2</f>
        <v>0</v>
      </c>
      <c r="I842" s="6">
        <f>'MATCH CALCS'!$G843*2</f>
        <v>0</v>
      </c>
      <c r="J842" s="154">
        <f t="shared" si="20"/>
        <v>0</v>
      </c>
      <c r="K842" s="6">
        <f>'MATCH CALCS'!L843*1</f>
        <v>0</v>
      </c>
      <c r="L842" s="6">
        <f>'MATCH CALCS'!$N843*2</f>
        <v>0</v>
      </c>
      <c r="M842" s="6">
        <f>'MATCH CALCS'!N843*1</f>
        <v>0</v>
      </c>
      <c r="N842" s="6">
        <f>'MATCH CALCS'!$N843*2</f>
        <v>0</v>
      </c>
      <c r="O842" s="6">
        <f>'MATCH CALCS'!$N843*2</f>
        <v>0</v>
      </c>
      <c r="P842" s="6">
        <f>'MATCH CALCS'!$P843*5</f>
        <v>0</v>
      </c>
      <c r="Q842" s="154">
        <f t="shared" si="21"/>
        <v>0</v>
      </c>
      <c r="R842" s="6">
        <f>'MATCH CALCS'!$AD843*1</f>
        <v>0</v>
      </c>
      <c r="S842" s="6">
        <f>'MATCH CALCS'!AC843*3</f>
        <v>0</v>
      </c>
      <c r="T842" s="6">
        <f>'MATCH CALCS'!AD843*3</f>
        <v>0</v>
      </c>
      <c r="U842" s="155">
        <f t="shared" si="22"/>
        <v>0</v>
      </c>
      <c r="V842" s="154">
        <f t="shared" si="23"/>
        <v>0</v>
      </c>
    </row>
    <row r="843" spans="1:22">
      <c r="A843" s="154">
        <f>'MATCH CALCS'!A844</f>
        <v>0</v>
      </c>
      <c r="B843" s="154">
        <f>'MATCH CALCS'!$C844</f>
        <v>0</v>
      </c>
      <c r="C843" s="154">
        <f t="shared" si="19"/>
        <v>0</v>
      </c>
      <c r="D843" s="6">
        <f>'MATCH CALCS'!$G844*2</f>
        <v>0</v>
      </c>
      <c r="E843" s="6">
        <f>'MATCH CALCS'!$G844*2</f>
        <v>0</v>
      </c>
      <c r="F843" s="6">
        <f>'MATCH CALCS'!$G844*2</f>
        <v>0</v>
      </c>
      <c r="G843" s="6">
        <f>'MATCH CALCS'!$G844*2</f>
        <v>0</v>
      </c>
      <c r="H843" s="6">
        <f>'MATCH CALCS'!$G844*2</f>
        <v>0</v>
      </c>
      <c r="I843" s="6">
        <f>'MATCH CALCS'!$G844*2</f>
        <v>0</v>
      </c>
      <c r="J843" s="154">
        <f t="shared" si="20"/>
        <v>0</v>
      </c>
      <c r="K843" s="6">
        <f>'MATCH CALCS'!L844*1</f>
        <v>0</v>
      </c>
      <c r="L843" s="6">
        <f>'MATCH CALCS'!$N844*2</f>
        <v>0</v>
      </c>
      <c r="M843" s="6">
        <f>'MATCH CALCS'!N844*1</f>
        <v>0</v>
      </c>
      <c r="N843" s="6">
        <f>'MATCH CALCS'!$N844*2</f>
        <v>0</v>
      </c>
      <c r="O843" s="6">
        <f>'MATCH CALCS'!$N844*2</f>
        <v>0</v>
      </c>
      <c r="P843" s="6">
        <f>'MATCH CALCS'!$P844*5</f>
        <v>0</v>
      </c>
      <c r="Q843" s="154">
        <f t="shared" si="21"/>
        <v>0</v>
      </c>
      <c r="R843" s="6">
        <f>'MATCH CALCS'!$AD844*1</f>
        <v>0</v>
      </c>
      <c r="S843" s="6">
        <f>'MATCH CALCS'!AC844*3</f>
        <v>0</v>
      </c>
      <c r="T843" s="6">
        <f>'MATCH CALCS'!AD844*3</f>
        <v>0</v>
      </c>
      <c r="U843" s="155">
        <f t="shared" si="22"/>
        <v>0</v>
      </c>
      <c r="V843" s="154">
        <f t="shared" si="23"/>
        <v>0</v>
      </c>
    </row>
    <row r="844" spans="1:22">
      <c r="A844" s="154">
        <f>'MATCH CALCS'!A845</f>
        <v>0</v>
      </c>
      <c r="B844" s="154">
        <f>'MATCH CALCS'!$C845</f>
        <v>0</v>
      </c>
      <c r="C844" s="154">
        <f t="shared" si="19"/>
        <v>0</v>
      </c>
      <c r="D844" s="6">
        <f>'MATCH CALCS'!$G845*2</f>
        <v>0</v>
      </c>
      <c r="E844" s="6">
        <f>'MATCH CALCS'!$G845*2</f>
        <v>0</v>
      </c>
      <c r="F844" s="6">
        <f>'MATCH CALCS'!$G845*2</f>
        <v>0</v>
      </c>
      <c r="G844" s="6">
        <f>'MATCH CALCS'!$G845*2</f>
        <v>0</v>
      </c>
      <c r="H844" s="6">
        <f>'MATCH CALCS'!$G845*2</f>
        <v>0</v>
      </c>
      <c r="I844" s="6">
        <f>'MATCH CALCS'!$G845*2</f>
        <v>0</v>
      </c>
      <c r="J844" s="154">
        <f t="shared" si="20"/>
        <v>0</v>
      </c>
      <c r="K844" s="6">
        <f>'MATCH CALCS'!L845*1</f>
        <v>0</v>
      </c>
      <c r="L844" s="6">
        <f>'MATCH CALCS'!$N845*2</f>
        <v>0</v>
      </c>
      <c r="M844" s="6">
        <f>'MATCH CALCS'!N845*1</f>
        <v>0</v>
      </c>
      <c r="N844" s="6">
        <f>'MATCH CALCS'!$N845*2</f>
        <v>0</v>
      </c>
      <c r="O844" s="6">
        <f>'MATCH CALCS'!$N845*2</f>
        <v>0</v>
      </c>
      <c r="P844" s="6">
        <f>'MATCH CALCS'!$P845*5</f>
        <v>0</v>
      </c>
      <c r="Q844" s="154">
        <f t="shared" si="21"/>
        <v>0</v>
      </c>
      <c r="R844" s="6">
        <f>'MATCH CALCS'!$AD845*1</f>
        <v>0</v>
      </c>
      <c r="S844" s="6">
        <f>'MATCH CALCS'!AC845*3</f>
        <v>0</v>
      </c>
      <c r="T844" s="6">
        <f>'MATCH CALCS'!AD845*3</f>
        <v>0</v>
      </c>
      <c r="U844" s="155">
        <f t="shared" si="22"/>
        <v>0</v>
      </c>
      <c r="V844" s="154">
        <f t="shared" si="23"/>
        <v>0</v>
      </c>
    </row>
    <row r="845" spans="1:22">
      <c r="A845" s="154">
        <f>'MATCH CALCS'!A846</f>
        <v>0</v>
      </c>
      <c r="B845" s="154">
        <f>'MATCH CALCS'!$C846</f>
        <v>0</v>
      </c>
      <c r="C845" s="154">
        <f t="shared" si="19"/>
        <v>0</v>
      </c>
      <c r="D845" s="6">
        <f>'MATCH CALCS'!$G846*2</f>
        <v>0</v>
      </c>
      <c r="E845" s="6">
        <f>'MATCH CALCS'!$G846*2</f>
        <v>0</v>
      </c>
      <c r="F845" s="6">
        <f>'MATCH CALCS'!$G846*2</f>
        <v>0</v>
      </c>
      <c r="G845" s="6">
        <f>'MATCH CALCS'!$G846*2</f>
        <v>0</v>
      </c>
      <c r="H845" s="6">
        <f>'MATCH CALCS'!$G846*2</f>
        <v>0</v>
      </c>
      <c r="I845" s="6">
        <f>'MATCH CALCS'!$G846*2</f>
        <v>0</v>
      </c>
      <c r="J845" s="154">
        <f t="shared" si="20"/>
        <v>0</v>
      </c>
      <c r="K845" s="6">
        <f>'MATCH CALCS'!L846*1</f>
        <v>0</v>
      </c>
      <c r="L845" s="6">
        <f>'MATCH CALCS'!$N846*2</f>
        <v>0</v>
      </c>
      <c r="M845" s="6">
        <f>'MATCH CALCS'!N846*1</f>
        <v>0</v>
      </c>
      <c r="N845" s="6">
        <f>'MATCH CALCS'!$N846*2</f>
        <v>0</v>
      </c>
      <c r="O845" s="6">
        <f>'MATCH CALCS'!$N846*2</f>
        <v>0</v>
      </c>
      <c r="P845" s="6">
        <f>'MATCH CALCS'!$P846*5</f>
        <v>0</v>
      </c>
      <c r="Q845" s="154">
        <f t="shared" si="21"/>
        <v>0</v>
      </c>
      <c r="R845" s="6">
        <f>'MATCH CALCS'!$AD846*1</f>
        <v>0</v>
      </c>
      <c r="S845" s="6">
        <f>'MATCH CALCS'!AC846*3</f>
        <v>0</v>
      </c>
      <c r="T845" s="6">
        <f>'MATCH CALCS'!AD846*3</f>
        <v>0</v>
      </c>
      <c r="U845" s="155">
        <f t="shared" si="22"/>
        <v>0</v>
      </c>
      <c r="V845" s="154">
        <f t="shared" si="23"/>
        <v>0</v>
      </c>
    </row>
    <row r="846" spans="1:22">
      <c r="A846" s="154">
        <f>'MATCH CALCS'!A847</f>
        <v>0</v>
      </c>
      <c r="B846" s="154">
        <f>'MATCH CALCS'!$C847</f>
        <v>0</v>
      </c>
      <c r="C846" s="154">
        <f t="shared" si="19"/>
        <v>0</v>
      </c>
      <c r="D846" s="6">
        <f>'MATCH CALCS'!$G847*2</f>
        <v>0</v>
      </c>
      <c r="E846" s="6">
        <f>'MATCH CALCS'!$G847*2</f>
        <v>0</v>
      </c>
      <c r="F846" s="6">
        <f>'MATCH CALCS'!$G847*2</f>
        <v>0</v>
      </c>
      <c r="G846" s="6">
        <f>'MATCH CALCS'!$G847*2</f>
        <v>0</v>
      </c>
      <c r="H846" s="6">
        <f>'MATCH CALCS'!$G847*2</f>
        <v>0</v>
      </c>
      <c r="I846" s="6">
        <f>'MATCH CALCS'!$G847*2</f>
        <v>0</v>
      </c>
      <c r="J846" s="154">
        <f t="shared" si="20"/>
        <v>0</v>
      </c>
      <c r="K846" s="6">
        <f>'MATCH CALCS'!L847*1</f>
        <v>0</v>
      </c>
      <c r="L846" s="6">
        <f>'MATCH CALCS'!$N847*2</f>
        <v>0</v>
      </c>
      <c r="M846" s="6">
        <f>'MATCH CALCS'!N847*1</f>
        <v>0</v>
      </c>
      <c r="N846" s="6">
        <f>'MATCH CALCS'!$N847*2</f>
        <v>0</v>
      </c>
      <c r="O846" s="6">
        <f>'MATCH CALCS'!$N847*2</f>
        <v>0</v>
      </c>
      <c r="P846" s="6">
        <f>'MATCH CALCS'!$P847*5</f>
        <v>0</v>
      </c>
      <c r="Q846" s="154">
        <f t="shared" si="21"/>
        <v>0</v>
      </c>
      <c r="R846" s="6">
        <f>'MATCH CALCS'!$AD847*1</f>
        <v>0</v>
      </c>
      <c r="S846" s="6">
        <f>'MATCH CALCS'!AC847*3</f>
        <v>0</v>
      </c>
      <c r="T846" s="6">
        <f>'MATCH CALCS'!AD847*3</f>
        <v>0</v>
      </c>
      <c r="U846" s="155">
        <f t="shared" si="22"/>
        <v>0</v>
      </c>
      <c r="V846" s="154">
        <f t="shared" si="23"/>
        <v>0</v>
      </c>
    </row>
    <row r="847" spans="1:22">
      <c r="A847" s="154">
        <f>'MATCH CALCS'!A848</f>
        <v>0</v>
      </c>
      <c r="B847" s="154">
        <f>'MATCH CALCS'!$C848</f>
        <v>0</v>
      </c>
      <c r="C847" s="154">
        <f t="shared" si="19"/>
        <v>0</v>
      </c>
      <c r="D847" s="6">
        <f>'MATCH CALCS'!$G848*2</f>
        <v>0</v>
      </c>
      <c r="E847" s="6">
        <f>'MATCH CALCS'!$G848*2</f>
        <v>0</v>
      </c>
      <c r="F847" s="6">
        <f>'MATCH CALCS'!$G848*2</f>
        <v>0</v>
      </c>
      <c r="G847" s="6">
        <f>'MATCH CALCS'!$G848*2</f>
        <v>0</v>
      </c>
      <c r="H847" s="6">
        <f>'MATCH CALCS'!$G848*2</f>
        <v>0</v>
      </c>
      <c r="I847" s="6">
        <f>'MATCH CALCS'!$G848*2</f>
        <v>0</v>
      </c>
      <c r="J847" s="154">
        <f t="shared" si="20"/>
        <v>0</v>
      </c>
      <c r="K847" s="6">
        <f>'MATCH CALCS'!L848*1</f>
        <v>0</v>
      </c>
      <c r="L847" s="6">
        <f>'MATCH CALCS'!$N848*2</f>
        <v>0</v>
      </c>
      <c r="M847" s="6">
        <f>'MATCH CALCS'!N848*1</f>
        <v>0</v>
      </c>
      <c r="N847" s="6">
        <f>'MATCH CALCS'!$N848*2</f>
        <v>0</v>
      </c>
      <c r="O847" s="6">
        <f>'MATCH CALCS'!$N848*2</f>
        <v>0</v>
      </c>
      <c r="P847" s="6">
        <f>'MATCH CALCS'!$P848*5</f>
        <v>0</v>
      </c>
      <c r="Q847" s="154">
        <f t="shared" si="21"/>
        <v>0</v>
      </c>
      <c r="R847" s="6">
        <f>'MATCH CALCS'!$AD848*1</f>
        <v>0</v>
      </c>
      <c r="S847" s="6">
        <f>'MATCH CALCS'!AC848*3</f>
        <v>0</v>
      </c>
      <c r="T847" s="6">
        <f>'MATCH CALCS'!AD848*3</f>
        <v>0</v>
      </c>
      <c r="U847" s="155">
        <f t="shared" si="22"/>
        <v>0</v>
      </c>
      <c r="V847" s="154">
        <f t="shared" si="23"/>
        <v>0</v>
      </c>
    </row>
    <row r="848" spans="1:22">
      <c r="A848" s="154">
        <f>'MATCH CALCS'!A849</f>
        <v>0</v>
      </c>
      <c r="B848" s="154">
        <f>'MATCH CALCS'!$C849</f>
        <v>0</v>
      </c>
      <c r="C848" s="154">
        <f t="shared" si="19"/>
        <v>0</v>
      </c>
      <c r="D848" s="6">
        <f>'MATCH CALCS'!$G849*2</f>
        <v>0</v>
      </c>
      <c r="E848" s="6">
        <f>'MATCH CALCS'!$G849*2</f>
        <v>0</v>
      </c>
      <c r="F848" s="6">
        <f>'MATCH CALCS'!$G849*2</f>
        <v>0</v>
      </c>
      <c r="G848" s="6">
        <f>'MATCH CALCS'!$G849*2</f>
        <v>0</v>
      </c>
      <c r="H848" s="6">
        <f>'MATCH CALCS'!$G849*2</f>
        <v>0</v>
      </c>
      <c r="I848" s="6">
        <f>'MATCH CALCS'!$G849*2</f>
        <v>0</v>
      </c>
      <c r="J848" s="154">
        <f t="shared" si="20"/>
        <v>0</v>
      </c>
      <c r="K848" s="6">
        <f>'MATCH CALCS'!L849*1</f>
        <v>0</v>
      </c>
      <c r="L848" s="6">
        <f>'MATCH CALCS'!$N849*2</f>
        <v>0</v>
      </c>
      <c r="M848" s="6">
        <f>'MATCH CALCS'!N849*1</f>
        <v>0</v>
      </c>
      <c r="N848" s="6">
        <f>'MATCH CALCS'!$N849*2</f>
        <v>0</v>
      </c>
      <c r="O848" s="6">
        <f>'MATCH CALCS'!$N849*2</f>
        <v>0</v>
      </c>
      <c r="P848" s="6">
        <f>'MATCH CALCS'!$P849*5</f>
        <v>0</v>
      </c>
      <c r="Q848" s="154">
        <f t="shared" si="21"/>
        <v>0</v>
      </c>
      <c r="R848" s="6">
        <f>'MATCH CALCS'!$AD849*1</f>
        <v>0</v>
      </c>
      <c r="S848" s="6">
        <f>'MATCH CALCS'!AC849*3</f>
        <v>0</v>
      </c>
      <c r="T848" s="6">
        <f>'MATCH CALCS'!AD849*3</f>
        <v>0</v>
      </c>
      <c r="U848" s="155">
        <f t="shared" si="22"/>
        <v>0</v>
      </c>
      <c r="V848" s="154">
        <f t="shared" si="23"/>
        <v>0</v>
      </c>
    </row>
    <row r="849" spans="1:22">
      <c r="A849" s="154">
        <f>'MATCH CALCS'!A850</f>
        <v>0</v>
      </c>
      <c r="B849" s="154">
        <f>'MATCH CALCS'!$C850</f>
        <v>0</v>
      </c>
      <c r="C849" s="154">
        <f t="shared" si="19"/>
        <v>0</v>
      </c>
      <c r="D849" s="6">
        <f>'MATCH CALCS'!$G850*2</f>
        <v>0</v>
      </c>
      <c r="E849" s="6">
        <f>'MATCH CALCS'!$G850*2</f>
        <v>0</v>
      </c>
      <c r="F849" s="6">
        <f>'MATCH CALCS'!$G850*2</f>
        <v>0</v>
      </c>
      <c r="G849" s="6">
        <f>'MATCH CALCS'!$G850*2</f>
        <v>0</v>
      </c>
      <c r="H849" s="6">
        <f>'MATCH CALCS'!$G850*2</f>
        <v>0</v>
      </c>
      <c r="I849" s="6">
        <f>'MATCH CALCS'!$G850*2</f>
        <v>0</v>
      </c>
      <c r="J849" s="154">
        <f t="shared" si="20"/>
        <v>0</v>
      </c>
      <c r="K849" s="6">
        <f>'MATCH CALCS'!L850*1</f>
        <v>0</v>
      </c>
      <c r="L849" s="6">
        <f>'MATCH CALCS'!$N850*2</f>
        <v>0</v>
      </c>
      <c r="M849" s="6">
        <f>'MATCH CALCS'!N850*1</f>
        <v>0</v>
      </c>
      <c r="N849" s="6">
        <f>'MATCH CALCS'!$N850*2</f>
        <v>0</v>
      </c>
      <c r="O849" s="6">
        <f>'MATCH CALCS'!$N850*2</f>
        <v>0</v>
      </c>
      <c r="P849" s="6">
        <f>'MATCH CALCS'!$P850*5</f>
        <v>0</v>
      </c>
      <c r="Q849" s="154">
        <f t="shared" si="21"/>
        <v>0</v>
      </c>
      <c r="R849" s="6">
        <f>'MATCH CALCS'!$AD850*1</f>
        <v>0</v>
      </c>
      <c r="S849" s="6">
        <f>'MATCH CALCS'!AC850*3</f>
        <v>0</v>
      </c>
      <c r="T849" s="6">
        <f>'MATCH CALCS'!AD850*3</f>
        <v>0</v>
      </c>
      <c r="U849" s="155">
        <f t="shared" si="22"/>
        <v>0</v>
      </c>
      <c r="V849" s="154">
        <f t="shared" si="23"/>
        <v>0</v>
      </c>
    </row>
    <row r="850" spans="1:22">
      <c r="A850" s="154">
        <f>'MATCH CALCS'!A851</f>
        <v>0</v>
      </c>
      <c r="B850" s="154">
        <f>'MATCH CALCS'!$C851</f>
        <v>0</v>
      </c>
      <c r="C850" s="154">
        <f t="shared" si="19"/>
        <v>0</v>
      </c>
      <c r="D850" s="6">
        <f>'MATCH CALCS'!$G851*2</f>
        <v>0</v>
      </c>
      <c r="E850" s="6">
        <f>'MATCH CALCS'!$G851*2</f>
        <v>0</v>
      </c>
      <c r="F850" s="6">
        <f>'MATCH CALCS'!$G851*2</f>
        <v>0</v>
      </c>
      <c r="G850" s="6">
        <f>'MATCH CALCS'!$G851*2</f>
        <v>0</v>
      </c>
      <c r="H850" s="6">
        <f>'MATCH CALCS'!$G851*2</f>
        <v>0</v>
      </c>
      <c r="I850" s="6">
        <f>'MATCH CALCS'!$G851*2</f>
        <v>0</v>
      </c>
      <c r="J850" s="154">
        <f t="shared" si="20"/>
        <v>0</v>
      </c>
      <c r="K850" s="6">
        <f>'MATCH CALCS'!L851*1</f>
        <v>0</v>
      </c>
      <c r="L850" s="6">
        <f>'MATCH CALCS'!$N851*2</f>
        <v>0</v>
      </c>
      <c r="M850" s="6">
        <f>'MATCH CALCS'!N851*1</f>
        <v>0</v>
      </c>
      <c r="N850" s="6">
        <f>'MATCH CALCS'!$N851*2</f>
        <v>0</v>
      </c>
      <c r="O850" s="6">
        <f>'MATCH CALCS'!$N851*2</f>
        <v>0</v>
      </c>
      <c r="P850" s="6">
        <f>'MATCH CALCS'!$P851*5</f>
        <v>0</v>
      </c>
      <c r="Q850" s="154">
        <f t="shared" si="21"/>
        <v>0</v>
      </c>
      <c r="R850" s="6">
        <f>'MATCH CALCS'!$AD851*1</f>
        <v>0</v>
      </c>
      <c r="S850" s="6">
        <f>'MATCH CALCS'!AC851*3</f>
        <v>0</v>
      </c>
      <c r="T850" s="6">
        <f>'MATCH CALCS'!AD851*3</f>
        <v>0</v>
      </c>
      <c r="U850" s="155">
        <f t="shared" si="22"/>
        <v>0</v>
      </c>
      <c r="V850" s="154">
        <f t="shared" si="23"/>
        <v>0</v>
      </c>
    </row>
    <row r="851" spans="1:22">
      <c r="A851" s="154">
        <f>'MATCH CALCS'!A852</f>
        <v>0</v>
      </c>
      <c r="B851" s="154">
        <f>'MATCH CALCS'!$C852</f>
        <v>0</v>
      </c>
      <c r="C851" s="154">
        <f t="shared" si="19"/>
        <v>0</v>
      </c>
      <c r="D851" s="6">
        <f>'MATCH CALCS'!$G852*2</f>
        <v>0</v>
      </c>
      <c r="E851" s="6">
        <f>'MATCH CALCS'!$G852*2</f>
        <v>0</v>
      </c>
      <c r="F851" s="6">
        <f>'MATCH CALCS'!$G852*2</f>
        <v>0</v>
      </c>
      <c r="G851" s="6">
        <f>'MATCH CALCS'!$G852*2</f>
        <v>0</v>
      </c>
      <c r="H851" s="6">
        <f>'MATCH CALCS'!$G852*2</f>
        <v>0</v>
      </c>
      <c r="I851" s="6">
        <f>'MATCH CALCS'!$G852*2</f>
        <v>0</v>
      </c>
      <c r="J851" s="154">
        <f t="shared" si="20"/>
        <v>0</v>
      </c>
      <c r="K851" s="6">
        <f>'MATCH CALCS'!L852*1</f>
        <v>0</v>
      </c>
      <c r="L851" s="6">
        <f>'MATCH CALCS'!$N852*2</f>
        <v>0</v>
      </c>
      <c r="M851" s="6">
        <f>'MATCH CALCS'!N852*1</f>
        <v>0</v>
      </c>
      <c r="N851" s="6">
        <f>'MATCH CALCS'!$N852*2</f>
        <v>0</v>
      </c>
      <c r="O851" s="6">
        <f>'MATCH CALCS'!$N852*2</f>
        <v>0</v>
      </c>
      <c r="P851" s="6">
        <f>'MATCH CALCS'!$P852*5</f>
        <v>0</v>
      </c>
      <c r="Q851" s="154">
        <f t="shared" si="21"/>
        <v>0</v>
      </c>
      <c r="R851" s="6">
        <f>'MATCH CALCS'!$AD852*1</f>
        <v>0</v>
      </c>
      <c r="S851" s="6">
        <f>'MATCH CALCS'!AC852*3</f>
        <v>0</v>
      </c>
      <c r="T851" s="6">
        <f>'MATCH CALCS'!AD852*3</f>
        <v>0</v>
      </c>
      <c r="U851" s="155">
        <f t="shared" si="22"/>
        <v>0</v>
      </c>
      <c r="V851" s="154">
        <f t="shared" si="23"/>
        <v>0</v>
      </c>
    </row>
    <row r="852" spans="1:22">
      <c r="A852" s="154">
        <f>'MATCH CALCS'!A853</f>
        <v>0</v>
      </c>
      <c r="B852" s="154">
        <f>'MATCH CALCS'!$C853</f>
        <v>0</v>
      </c>
      <c r="C852" s="154">
        <f t="shared" si="19"/>
        <v>0</v>
      </c>
      <c r="D852" s="6">
        <f>'MATCH CALCS'!$G853*2</f>
        <v>0</v>
      </c>
      <c r="E852" s="6">
        <f>'MATCH CALCS'!$G853*2</f>
        <v>0</v>
      </c>
      <c r="F852" s="6">
        <f>'MATCH CALCS'!$G853*2</f>
        <v>0</v>
      </c>
      <c r="G852" s="6">
        <f>'MATCH CALCS'!$G853*2</f>
        <v>0</v>
      </c>
      <c r="H852" s="6">
        <f>'MATCH CALCS'!$G853*2</f>
        <v>0</v>
      </c>
      <c r="I852" s="6">
        <f>'MATCH CALCS'!$G853*2</f>
        <v>0</v>
      </c>
      <c r="J852" s="154">
        <f t="shared" si="20"/>
        <v>0</v>
      </c>
      <c r="K852" s="6">
        <f>'MATCH CALCS'!L853*1</f>
        <v>0</v>
      </c>
      <c r="L852" s="6">
        <f>'MATCH CALCS'!$N853*2</f>
        <v>0</v>
      </c>
      <c r="M852" s="6">
        <f>'MATCH CALCS'!N853*1</f>
        <v>0</v>
      </c>
      <c r="N852" s="6">
        <f>'MATCH CALCS'!$N853*2</f>
        <v>0</v>
      </c>
      <c r="O852" s="6">
        <f>'MATCH CALCS'!$N853*2</f>
        <v>0</v>
      </c>
      <c r="P852" s="6">
        <f>'MATCH CALCS'!$P853*5</f>
        <v>0</v>
      </c>
      <c r="Q852" s="154">
        <f t="shared" si="21"/>
        <v>0</v>
      </c>
      <c r="R852" s="6">
        <f>'MATCH CALCS'!$AD853*1</f>
        <v>0</v>
      </c>
      <c r="S852" s="6">
        <f>'MATCH CALCS'!AC853*3</f>
        <v>0</v>
      </c>
      <c r="T852" s="6">
        <f>'MATCH CALCS'!AD853*3</f>
        <v>0</v>
      </c>
      <c r="U852" s="155">
        <f t="shared" si="22"/>
        <v>0</v>
      </c>
      <c r="V852" s="154">
        <f t="shared" si="23"/>
        <v>0</v>
      </c>
    </row>
    <row r="853" spans="1:22">
      <c r="A853" s="154">
        <f>'MATCH CALCS'!A854</f>
        <v>0</v>
      </c>
      <c r="B853" s="154">
        <f>'MATCH CALCS'!$C854</f>
        <v>0</v>
      </c>
      <c r="C853" s="154">
        <f t="shared" si="19"/>
        <v>0</v>
      </c>
      <c r="D853" s="6">
        <f>'MATCH CALCS'!$G854*2</f>
        <v>0</v>
      </c>
      <c r="E853" s="6">
        <f>'MATCH CALCS'!$G854*2</f>
        <v>0</v>
      </c>
      <c r="F853" s="6">
        <f>'MATCH CALCS'!$G854*2</f>
        <v>0</v>
      </c>
      <c r="G853" s="6">
        <f>'MATCH CALCS'!$G854*2</f>
        <v>0</v>
      </c>
      <c r="H853" s="6">
        <f>'MATCH CALCS'!$G854*2</f>
        <v>0</v>
      </c>
      <c r="I853" s="6">
        <f>'MATCH CALCS'!$G854*2</f>
        <v>0</v>
      </c>
      <c r="J853" s="154">
        <f t="shared" si="20"/>
        <v>0</v>
      </c>
      <c r="K853" s="6">
        <f>'MATCH CALCS'!L854*1</f>
        <v>0</v>
      </c>
      <c r="L853" s="6">
        <f>'MATCH CALCS'!$N854*2</f>
        <v>0</v>
      </c>
      <c r="M853" s="6">
        <f>'MATCH CALCS'!N854*1</f>
        <v>0</v>
      </c>
      <c r="N853" s="6">
        <f>'MATCH CALCS'!$N854*2</f>
        <v>0</v>
      </c>
      <c r="O853" s="6">
        <f>'MATCH CALCS'!$N854*2</f>
        <v>0</v>
      </c>
      <c r="P853" s="6">
        <f>'MATCH CALCS'!$P854*5</f>
        <v>0</v>
      </c>
      <c r="Q853" s="154">
        <f t="shared" si="21"/>
        <v>0</v>
      </c>
      <c r="R853" s="6">
        <f>'MATCH CALCS'!$AD854*1</f>
        <v>0</v>
      </c>
      <c r="S853" s="6">
        <f>'MATCH CALCS'!AC854*3</f>
        <v>0</v>
      </c>
      <c r="T853" s="6">
        <f>'MATCH CALCS'!AD854*3</f>
        <v>0</v>
      </c>
      <c r="U853" s="155">
        <f t="shared" si="22"/>
        <v>0</v>
      </c>
      <c r="V853" s="154">
        <f t="shared" si="23"/>
        <v>0</v>
      </c>
    </row>
    <row r="854" spans="1:22">
      <c r="A854" s="154">
        <f>'MATCH CALCS'!A855</f>
        <v>0</v>
      </c>
      <c r="B854" s="154">
        <f>'MATCH CALCS'!$C855</f>
        <v>0</v>
      </c>
      <c r="C854" s="154">
        <f t="shared" si="19"/>
        <v>0</v>
      </c>
      <c r="D854" s="6">
        <f>'MATCH CALCS'!$G855*2</f>
        <v>0</v>
      </c>
      <c r="E854" s="6">
        <f>'MATCH CALCS'!$G855*2</f>
        <v>0</v>
      </c>
      <c r="F854" s="6">
        <f>'MATCH CALCS'!$G855*2</f>
        <v>0</v>
      </c>
      <c r="G854" s="6">
        <f>'MATCH CALCS'!$G855*2</f>
        <v>0</v>
      </c>
      <c r="H854" s="6">
        <f>'MATCH CALCS'!$G855*2</f>
        <v>0</v>
      </c>
      <c r="I854" s="6">
        <f>'MATCH CALCS'!$G855*2</f>
        <v>0</v>
      </c>
      <c r="J854" s="154">
        <f t="shared" si="20"/>
        <v>0</v>
      </c>
      <c r="K854" s="6">
        <f>'MATCH CALCS'!L855*1</f>
        <v>0</v>
      </c>
      <c r="L854" s="6">
        <f>'MATCH CALCS'!$N855*2</f>
        <v>0</v>
      </c>
      <c r="M854" s="6">
        <f>'MATCH CALCS'!N855*1</f>
        <v>0</v>
      </c>
      <c r="N854" s="6">
        <f>'MATCH CALCS'!$N855*2</f>
        <v>0</v>
      </c>
      <c r="O854" s="6">
        <f>'MATCH CALCS'!$N855*2</f>
        <v>0</v>
      </c>
      <c r="P854" s="6">
        <f>'MATCH CALCS'!$P855*5</f>
        <v>0</v>
      </c>
      <c r="Q854" s="154">
        <f t="shared" si="21"/>
        <v>0</v>
      </c>
      <c r="R854" s="6">
        <f>'MATCH CALCS'!$AD855*1</f>
        <v>0</v>
      </c>
      <c r="S854" s="6">
        <f>'MATCH CALCS'!AC855*3</f>
        <v>0</v>
      </c>
      <c r="T854" s="6">
        <f>'MATCH CALCS'!AD855*3</f>
        <v>0</v>
      </c>
      <c r="U854" s="155">
        <f t="shared" si="22"/>
        <v>0</v>
      </c>
      <c r="V854" s="154">
        <f t="shared" si="23"/>
        <v>0</v>
      </c>
    </row>
    <row r="855" spans="1:22">
      <c r="A855" s="154">
        <f>'MATCH CALCS'!A856</f>
        <v>0</v>
      </c>
      <c r="B855" s="154">
        <f>'MATCH CALCS'!$C856</f>
        <v>0</v>
      </c>
      <c r="C855" s="154">
        <f t="shared" si="19"/>
        <v>0</v>
      </c>
      <c r="D855" s="6">
        <f>'MATCH CALCS'!$G856*2</f>
        <v>0</v>
      </c>
      <c r="E855" s="6">
        <f>'MATCH CALCS'!$G856*2</f>
        <v>0</v>
      </c>
      <c r="F855" s="6">
        <f>'MATCH CALCS'!$G856*2</f>
        <v>0</v>
      </c>
      <c r="G855" s="6">
        <f>'MATCH CALCS'!$G856*2</f>
        <v>0</v>
      </c>
      <c r="H855" s="6">
        <f>'MATCH CALCS'!$G856*2</f>
        <v>0</v>
      </c>
      <c r="I855" s="6">
        <f>'MATCH CALCS'!$G856*2</f>
        <v>0</v>
      </c>
      <c r="J855" s="154">
        <f t="shared" si="20"/>
        <v>0</v>
      </c>
      <c r="K855" s="6">
        <f>'MATCH CALCS'!L856*1</f>
        <v>0</v>
      </c>
      <c r="L855" s="6">
        <f>'MATCH CALCS'!$N856*2</f>
        <v>0</v>
      </c>
      <c r="M855" s="6">
        <f>'MATCH CALCS'!N856*1</f>
        <v>0</v>
      </c>
      <c r="N855" s="6">
        <f>'MATCH CALCS'!$N856*2</f>
        <v>0</v>
      </c>
      <c r="O855" s="6">
        <f>'MATCH CALCS'!$N856*2</f>
        <v>0</v>
      </c>
      <c r="P855" s="6">
        <f>'MATCH CALCS'!$P856*5</f>
        <v>0</v>
      </c>
      <c r="Q855" s="154">
        <f t="shared" si="21"/>
        <v>0</v>
      </c>
      <c r="R855" s="6">
        <f>'MATCH CALCS'!$AD856*1</f>
        <v>0</v>
      </c>
      <c r="S855" s="6">
        <f>'MATCH CALCS'!AC856*3</f>
        <v>0</v>
      </c>
      <c r="T855" s="6">
        <f>'MATCH CALCS'!AD856*3</f>
        <v>0</v>
      </c>
      <c r="U855" s="155">
        <f t="shared" si="22"/>
        <v>0</v>
      </c>
      <c r="V855" s="154">
        <f t="shared" si="23"/>
        <v>0</v>
      </c>
    </row>
    <row r="856" spans="1:22">
      <c r="A856" s="154">
        <f>'MATCH CALCS'!A857</f>
        <v>0</v>
      </c>
      <c r="B856" s="154">
        <f>'MATCH CALCS'!$C857</f>
        <v>0</v>
      </c>
      <c r="C856" s="154">
        <f t="shared" si="19"/>
        <v>0</v>
      </c>
      <c r="D856" s="6">
        <f>'MATCH CALCS'!$G857*2</f>
        <v>0</v>
      </c>
      <c r="E856" s="6">
        <f>'MATCH CALCS'!$G857*2</f>
        <v>0</v>
      </c>
      <c r="F856" s="6">
        <f>'MATCH CALCS'!$G857*2</f>
        <v>0</v>
      </c>
      <c r="G856" s="6">
        <f>'MATCH CALCS'!$G857*2</f>
        <v>0</v>
      </c>
      <c r="H856" s="6">
        <f>'MATCH CALCS'!$G857*2</f>
        <v>0</v>
      </c>
      <c r="I856" s="6">
        <f>'MATCH CALCS'!$G857*2</f>
        <v>0</v>
      </c>
      <c r="J856" s="154">
        <f t="shared" si="20"/>
        <v>0</v>
      </c>
      <c r="K856" s="6">
        <f>'MATCH CALCS'!L857*1</f>
        <v>0</v>
      </c>
      <c r="L856" s="6">
        <f>'MATCH CALCS'!$N857*2</f>
        <v>0</v>
      </c>
      <c r="M856" s="6">
        <f>'MATCH CALCS'!N857*1</f>
        <v>0</v>
      </c>
      <c r="N856" s="6">
        <f>'MATCH CALCS'!$N857*2</f>
        <v>0</v>
      </c>
      <c r="O856" s="6">
        <f>'MATCH CALCS'!$N857*2</f>
        <v>0</v>
      </c>
      <c r="P856" s="6">
        <f>'MATCH CALCS'!$P857*5</f>
        <v>0</v>
      </c>
      <c r="Q856" s="154">
        <f t="shared" si="21"/>
        <v>0</v>
      </c>
      <c r="R856" s="6">
        <f>'MATCH CALCS'!$AD857*1</f>
        <v>0</v>
      </c>
      <c r="S856" s="6">
        <f>'MATCH CALCS'!AC857*3</f>
        <v>0</v>
      </c>
      <c r="T856" s="6">
        <f>'MATCH CALCS'!AD857*3</f>
        <v>0</v>
      </c>
      <c r="U856" s="155">
        <f t="shared" si="22"/>
        <v>0</v>
      </c>
      <c r="V856" s="154">
        <f t="shared" si="23"/>
        <v>0</v>
      </c>
    </row>
    <row r="857" spans="1:22">
      <c r="A857" s="154">
        <f>'MATCH CALCS'!A858</f>
        <v>0</v>
      </c>
      <c r="B857" s="154">
        <f>'MATCH CALCS'!$C858</f>
        <v>0</v>
      </c>
      <c r="C857" s="154">
        <f t="shared" si="19"/>
        <v>0</v>
      </c>
      <c r="D857" s="6">
        <f>'MATCH CALCS'!$G858*2</f>
        <v>0</v>
      </c>
      <c r="E857" s="6">
        <f>'MATCH CALCS'!$G858*2</f>
        <v>0</v>
      </c>
      <c r="F857" s="6">
        <f>'MATCH CALCS'!$G858*2</f>
        <v>0</v>
      </c>
      <c r="G857" s="6">
        <f>'MATCH CALCS'!$G858*2</f>
        <v>0</v>
      </c>
      <c r="H857" s="6">
        <f>'MATCH CALCS'!$G858*2</f>
        <v>0</v>
      </c>
      <c r="I857" s="6">
        <f>'MATCH CALCS'!$G858*2</f>
        <v>0</v>
      </c>
      <c r="J857" s="154">
        <f t="shared" si="20"/>
        <v>0</v>
      </c>
      <c r="K857" s="6">
        <f>'MATCH CALCS'!L858*1</f>
        <v>0</v>
      </c>
      <c r="L857" s="6">
        <f>'MATCH CALCS'!$N858*2</f>
        <v>0</v>
      </c>
      <c r="M857" s="6">
        <f>'MATCH CALCS'!N858*1</f>
        <v>0</v>
      </c>
      <c r="N857" s="6">
        <f>'MATCH CALCS'!$N858*2</f>
        <v>0</v>
      </c>
      <c r="O857" s="6">
        <f>'MATCH CALCS'!$N858*2</f>
        <v>0</v>
      </c>
      <c r="P857" s="6">
        <f>'MATCH CALCS'!$P858*5</f>
        <v>0</v>
      </c>
      <c r="Q857" s="154">
        <f t="shared" si="21"/>
        <v>0</v>
      </c>
      <c r="R857" s="6">
        <f>'MATCH CALCS'!$AD858*1</f>
        <v>0</v>
      </c>
      <c r="S857" s="6">
        <f>'MATCH CALCS'!AC858*3</f>
        <v>0</v>
      </c>
      <c r="T857" s="6">
        <f>'MATCH CALCS'!AD858*3</f>
        <v>0</v>
      </c>
      <c r="U857" s="155">
        <f t="shared" si="22"/>
        <v>0</v>
      </c>
      <c r="V857" s="154">
        <f t="shared" si="23"/>
        <v>0</v>
      </c>
    </row>
    <row r="858" spans="1:22">
      <c r="A858" s="154">
        <f>'MATCH CALCS'!A859</f>
        <v>0</v>
      </c>
      <c r="B858" s="154">
        <f>'MATCH CALCS'!$C859</f>
        <v>0</v>
      </c>
      <c r="C858" s="154">
        <f t="shared" si="19"/>
        <v>0</v>
      </c>
      <c r="D858" s="6">
        <f>'MATCH CALCS'!$G859*2</f>
        <v>0</v>
      </c>
      <c r="E858" s="6">
        <f>'MATCH CALCS'!$G859*2</f>
        <v>0</v>
      </c>
      <c r="F858" s="6">
        <f>'MATCH CALCS'!$G859*2</f>
        <v>0</v>
      </c>
      <c r="G858" s="6">
        <f>'MATCH CALCS'!$G859*2</f>
        <v>0</v>
      </c>
      <c r="H858" s="6">
        <f>'MATCH CALCS'!$G859*2</f>
        <v>0</v>
      </c>
      <c r="I858" s="6">
        <f>'MATCH CALCS'!$G859*2</f>
        <v>0</v>
      </c>
      <c r="J858" s="154">
        <f t="shared" si="20"/>
        <v>0</v>
      </c>
      <c r="K858" s="6">
        <f>'MATCH CALCS'!L859*1</f>
        <v>0</v>
      </c>
      <c r="L858" s="6">
        <f>'MATCH CALCS'!$N859*2</f>
        <v>0</v>
      </c>
      <c r="M858" s="6">
        <f>'MATCH CALCS'!N859*1</f>
        <v>0</v>
      </c>
      <c r="N858" s="6">
        <f>'MATCH CALCS'!$N859*2</f>
        <v>0</v>
      </c>
      <c r="O858" s="6">
        <f>'MATCH CALCS'!$N859*2</f>
        <v>0</v>
      </c>
      <c r="P858" s="6">
        <f>'MATCH CALCS'!$P859*5</f>
        <v>0</v>
      </c>
      <c r="Q858" s="154">
        <f t="shared" si="21"/>
        <v>0</v>
      </c>
      <c r="R858" s="6">
        <f>'MATCH CALCS'!$AD859*1</f>
        <v>0</v>
      </c>
      <c r="S858" s="6">
        <f>'MATCH CALCS'!AC859*3</f>
        <v>0</v>
      </c>
      <c r="T858" s="6">
        <f>'MATCH CALCS'!AD859*3</f>
        <v>0</v>
      </c>
      <c r="U858" s="155">
        <f t="shared" si="22"/>
        <v>0</v>
      </c>
      <c r="V858" s="154">
        <f t="shared" si="23"/>
        <v>0</v>
      </c>
    </row>
    <row r="859" spans="1:22">
      <c r="A859" s="154">
        <f>'MATCH CALCS'!A860</f>
        <v>0</v>
      </c>
      <c r="B859" s="154">
        <f>'MATCH CALCS'!$C860</f>
        <v>0</v>
      </c>
      <c r="C859" s="154">
        <f t="shared" si="19"/>
        <v>0</v>
      </c>
      <c r="D859" s="6">
        <f>'MATCH CALCS'!$G860*2</f>
        <v>0</v>
      </c>
      <c r="E859" s="6">
        <f>'MATCH CALCS'!$G860*2</f>
        <v>0</v>
      </c>
      <c r="F859" s="6">
        <f>'MATCH CALCS'!$G860*2</f>
        <v>0</v>
      </c>
      <c r="G859" s="6">
        <f>'MATCH CALCS'!$G860*2</f>
        <v>0</v>
      </c>
      <c r="H859" s="6">
        <f>'MATCH CALCS'!$G860*2</f>
        <v>0</v>
      </c>
      <c r="I859" s="6">
        <f>'MATCH CALCS'!$G860*2</f>
        <v>0</v>
      </c>
      <c r="J859" s="154">
        <f t="shared" si="20"/>
        <v>0</v>
      </c>
      <c r="K859" s="6">
        <f>'MATCH CALCS'!L860*1</f>
        <v>0</v>
      </c>
      <c r="L859" s="6">
        <f>'MATCH CALCS'!$N860*2</f>
        <v>0</v>
      </c>
      <c r="M859" s="6">
        <f>'MATCH CALCS'!N860*1</f>
        <v>0</v>
      </c>
      <c r="N859" s="6">
        <f>'MATCH CALCS'!$N860*2</f>
        <v>0</v>
      </c>
      <c r="O859" s="6">
        <f>'MATCH CALCS'!$N860*2</f>
        <v>0</v>
      </c>
      <c r="P859" s="6">
        <f>'MATCH CALCS'!$P860*5</f>
        <v>0</v>
      </c>
      <c r="Q859" s="154">
        <f t="shared" si="21"/>
        <v>0</v>
      </c>
      <c r="R859" s="6">
        <f>'MATCH CALCS'!$AD860*1</f>
        <v>0</v>
      </c>
      <c r="S859" s="6">
        <f>'MATCH CALCS'!AC860*3</f>
        <v>0</v>
      </c>
      <c r="T859" s="6">
        <f>'MATCH CALCS'!AD860*3</f>
        <v>0</v>
      </c>
      <c r="U859" s="155">
        <f t="shared" si="22"/>
        <v>0</v>
      </c>
      <c r="V859" s="154">
        <f t="shared" si="23"/>
        <v>0</v>
      </c>
    </row>
    <row r="860" spans="1:22">
      <c r="A860" s="154">
        <f>'MATCH CALCS'!A861</f>
        <v>0</v>
      </c>
      <c r="B860" s="154">
        <f>'MATCH CALCS'!$C861</f>
        <v>0</v>
      </c>
      <c r="C860" s="154">
        <f t="shared" si="19"/>
        <v>0</v>
      </c>
      <c r="D860" s="6">
        <f>'MATCH CALCS'!$G861*2</f>
        <v>0</v>
      </c>
      <c r="E860" s="6">
        <f>'MATCH CALCS'!$G861*2</f>
        <v>0</v>
      </c>
      <c r="F860" s="6">
        <f>'MATCH CALCS'!$G861*2</f>
        <v>0</v>
      </c>
      <c r="G860" s="6">
        <f>'MATCH CALCS'!$G861*2</f>
        <v>0</v>
      </c>
      <c r="H860" s="6">
        <f>'MATCH CALCS'!$G861*2</f>
        <v>0</v>
      </c>
      <c r="I860" s="6">
        <f>'MATCH CALCS'!$G861*2</f>
        <v>0</v>
      </c>
      <c r="J860" s="154">
        <f t="shared" si="20"/>
        <v>0</v>
      </c>
      <c r="K860" s="6">
        <f>'MATCH CALCS'!L861*1</f>
        <v>0</v>
      </c>
      <c r="L860" s="6">
        <f>'MATCH CALCS'!$N861*2</f>
        <v>0</v>
      </c>
      <c r="M860" s="6">
        <f>'MATCH CALCS'!N861*1</f>
        <v>0</v>
      </c>
      <c r="N860" s="6">
        <f>'MATCH CALCS'!$N861*2</f>
        <v>0</v>
      </c>
      <c r="O860" s="6">
        <f>'MATCH CALCS'!$N861*2</f>
        <v>0</v>
      </c>
      <c r="P860" s="6">
        <f>'MATCH CALCS'!$P861*5</f>
        <v>0</v>
      </c>
      <c r="Q860" s="154">
        <f t="shared" si="21"/>
        <v>0</v>
      </c>
      <c r="R860" s="6">
        <f>'MATCH CALCS'!$AD861*1</f>
        <v>0</v>
      </c>
      <c r="S860" s="6">
        <f>'MATCH CALCS'!AC861*3</f>
        <v>0</v>
      </c>
      <c r="T860" s="6">
        <f>'MATCH CALCS'!AD861*3</f>
        <v>0</v>
      </c>
      <c r="U860" s="155">
        <f t="shared" si="22"/>
        <v>0</v>
      </c>
      <c r="V860" s="154">
        <f t="shared" si="23"/>
        <v>0</v>
      </c>
    </row>
    <row r="861" spans="1:22">
      <c r="A861" s="154">
        <f>'MATCH CALCS'!A862</f>
        <v>0</v>
      </c>
      <c r="B861" s="154">
        <f>'MATCH CALCS'!$C862</f>
        <v>0</v>
      </c>
      <c r="C861" s="154">
        <f t="shared" si="19"/>
        <v>0</v>
      </c>
      <c r="D861" s="6">
        <f>'MATCH CALCS'!$G862*2</f>
        <v>0</v>
      </c>
      <c r="E861" s="6">
        <f>'MATCH CALCS'!$G862*2</f>
        <v>0</v>
      </c>
      <c r="F861" s="6">
        <f>'MATCH CALCS'!$G862*2</f>
        <v>0</v>
      </c>
      <c r="G861" s="6">
        <f>'MATCH CALCS'!$G862*2</f>
        <v>0</v>
      </c>
      <c r="H861" s="6">
        <f>'MATCH CALCS'!$G862*2</f>
        <v>0</v>
      </c>
      <c r="I861" s="6">
        <f>'MATCH CALCS'!$G862*2</f>
        <v>0</v>
      </c>
      <c r="J861" s="154">
        <f t="shared" si="20"/>
        <v>0</v>
      </c>
      <c r="K861" s="6">
        <f>'MATCH CALCS'!L862*1</f>
        <v>0</v>
      </c>
      <c r="L861" s="6">
        <f>'MATCH CALCS'!$N862*2</f>
        <v>0</v>
      </c>
      <c r="M861" s="6">
        <f>'MATCH CALCS'!N862*1</f>
        <v>0</v>
      </c>
      <c r="N861" s="6">
        <f>'MATCH CALCS'!$N862*2</f>
        <v>0</v>
      </c>
      <c r="O861" s="6">
        <f>'MATCH CALCS'!$N862*2</f>
        <v>0</v>
      </c>
      <c r="P861" s="6">
        <f>'MATCH CALCS'!$P862*5</f>
        <v>0</v>
      </c>
      <c r="Q861" s="154">
        <f t="shared" si="21"/>
        <v>0</v>
      </c>
      <c r="R861" s="6">
        <f>'MATCH CALCS'!$AD862*1</f>
        <v>0</v>
      </c>
      <c r="S861" s="6">
        <f>'MATCH CALCS'!AC862*3</f>
        <v>0</v>
      </c>
      <c r="T861" s="6">
        <f>'MATCH CALCS'!AD862*3</f>
        <v>0</v>
      </c>
      <c r="U861" s="155">
        <f t="shared" si="22"/>
        <v>0</v>
      </c>
      <c r="V861" s="154">
        <f t="shared" si="23"/>
        <v>0</v>
      </c>
    </row>
    <row r="862" spans="1:22">
      <c r="A862" s="154">
        <f>'MATCH CALCS'!A863</f>
        <v>0</v>
      </c>
      <c r="B862" s="154">
        <f>'MATCH CALCS'!$C863</f>
        <v>0</v>
      </c>
      <c r="C862" s="154">
        <f t="shared" si="19"/>
        <v>0</v>
      </c>
      <c r="D862" s="6">
        <f>'MATCH CALCS'!$G863*2</f>
        <v>0</v>
      </c>
      <c r="E862" s="6">
        <f>'MATCH CALCS'!$G863*2</f>
        <v>0</v>
      </c>
      <c r="F862" s="6">
        <f>'MATCH CALCS'!$G863*2</f>
        <v>0</v>
      </c>
      <c r="G862" s="6">
        <f>'MATCH CALCS'!$G863*2</f>
        <v>0</v>
      </c>
      <c r="H862" s="6">
        <f>'MATCH CALCS'!$G863*2</f>
        <v>0</v>
      </c>
      <c r="I862" s="6">
        <f>'MATCH CALCS'!$G863*2</f>
        <v>0</v>
      </c>
      <c r="J862" s="154">
        <f t="shared" si="20"/>
        <v>0</v>
      </c>
      <c r="K862" s="6">
        <f>'MATCH CALCS'!L863*1</f>
        <v>0</v>
      </c>
      <c r="L862" s="6">
        <f>'MATCH CALCS'!$N863*2</f>
        <v>0</v>
      </c>
      <c r="M862" s="6">
        <f>'MATCH CALCS'!N863*1</f>
        <v>0</v>
      </c>
      <c r="N862" s="6">
        <f>'MATCH CALCS'!$N863*2</f>
        <v>0</v>
      </c>
      <c r="O862" s="6">
        <f>'MATCH CALCS'!$N863*2</f>
        <v>0</v>
      </c>
      <c r="P862" s="6">
        <f>'MATCH CALCS'!$P863*5</f>
        <v>0</v>
      </c>
      <c r="Q862" s="154">
        <f t="shared" si="21"/>
        <v>0</v>
      </c>
      <c r="R862" s="6">
        <f>'MATCH CALCS'!$AD863*1</f>
        <v>0</v>
      </c>
      <c r="S862" s="6">
        <f>'MATCH CALCS'!AC863*3</f>
        <v>0</v>
      </c>
      <c r="T862" s="6">
        <f>'MATCH CALCS'!AD863*3</f>
        <v>0</v>
      </c>
      <c r="U862" s="155">
        <f t="shared" si="22"/>
        <v>0</v>
      </c>
      <c r="V862" s="154">
        <f t="shared" si="23"/>
        <v>0</v>
      </c>
    </row>
    <row r="863" spans="1:22">
      <c r="A863" s="154">
        <f>'MATCH CALCS'!A864</f>
        <v>0</v>
      </c>
      <c r="B863" s="154">
        <f>'MATCH CALCS'!$C864</f>
        <v>0</v>
      </c>
      <c r="C863" s="154">
        <f t="shared" si="19"/>
        <v>0</v>
      </c>
      <c r="D863" s="6">
        <f>'MATCH CALCS'!$G864*2</f>
        <v>0</v>
      </c>
      <c r="E863" s="6">
        <f>'MATCH CALCS'!$G864*2</f>
        <v>0</v>
      </c>
      <c r="F863" s="6">
        <f>'MATCH CALCS'!$G864*2</f>
        <v>0</v>
      </c>
      <c r="G863" s="6">
        <f>'MATCH CALCS'!$G864*2</f>
        <v>0</v>
      </c>
      <c r="H863" s="6">
        <f>'MATCH CALCS'!$G864*2</f>
        <v>0</v>
      </c>
      <c r="I863" s="6">
        <f>'MATCH CALCS'!$G864*2</f>
        <v>0</v>
      </c>
      <c r="J863" s="154">
        <f t="shared" si="20"/>
        <v>0</v>
      </c>
      <c r="K863" s="6">
        <f>'MATCH CALCS'!L864*1</f>
        <v>0</v>
      </c>
      <c r="L863" s="6">
        <f>'MATCH CALCS'!$N864*2</f>
        <v>0</v>
      </c>
      <c r="M863" s="6">
        <f>'MATCH CALCS'!N864*1</f>
        <v>0</v>
      </c>
      <c r="N863" s="6">
        <f>'MATCH CALCS'!$N864*2</f>
        <v>0</v>
      </c>
      <c r="O863" s="6">
        <f>'MATCH CALCS'!$N864*2</f>
        <v>0</v>
      </c>
      <c r="P863" s="6">
        <f>'MATCH CALCS'!$P864*5</f>
        <v>0</v>
      </c>
      <c r="Q863" s="154">
        <f t="shared" si="21"/>
        <v>0</v>
      </c>
      <c r="R863" s="6">
        <f>'MATCH CALCS'!$AD864*1</f>
        <v>0</v>
      </c>
      <c r="S863" s="6">
        <f>'MATCH CALCS'!AC864*3</f>
        <v>0</v>
      </c>
      <c r="T863" s="6">
        <f>'MATCH CALCS'!AD864*3</f>
        <v>0</v>
      </c>
      <c r="U863" s="155">
        <f t="shared" si="22"/>
        <v>0</v>
      </c>
      <c r="V863" s="154">
        <f t="shared" si="23"/>
        <v>0</v>
      </c>
    </row>
    <row r="864" spans="1:22">
      <c r="A864" s="154">
        <f>'MATCH CALCS'!A865</f>
        <v>0</v>
      </c>
      <c r="B864" s="154">
        <f>'MATCH CALCS'!$C865</f>
        <v>0</v>
      </c>
      <c r="C864" s="154">
        <f t="shared" si="19"/>
        <v>0</v>
      </c>
      <c r="D864" s="6">
        <f>'MATCH CALCS'!$G865*2</f>
        <v>0</v>
      </c>
      <c r="E864" s="6">
        <f>'MATCH CALCS'!$G865*2</f>
        <v>0</v>
      </c>
      <c r="F864" s="6">
        <f>'MATCH CALCS'!$G865*2</f>
        <v>0</v>
      </c>
      <c r="G864" s="6">
        <f>'MATCH CALCS'!$G865*2</f>
        <v>0</v>
      </c>
      <c r="H864" s="6">
        <f>'MATCH CALCS'!$G865*2</f>
        <v>0</v>
      </c>
      <c r="I864" s="6">
        <f>'MATCH CALCS'!$G865*2</f>
        <v>0</v>
      </c>
      <c r="J864" s="154">
        <f t="shared" si="20"/>
        <v>0</v>
      </c>
      <c r="K864" s="6">
        <f>'MATCH CALCS'!L865*1</f>
        <v>0</v>
      </c>
      <c r="L864" s="6">
        <f>'MATCH CALCS'!$N865*2</f>
        <v>0</v>
      </c>
      <c r="M864" s="6">
        <f>'MATCH CALCS'!N865*1</f>
        <v>0</v>
      </c>
      <c r="N864" s="6">
        <f>'MATCH CALCS'!$N865*2</f>
        <v>0</v>
      </c>
      <c r="O864" s="6">
        <f>'MATCH CALCS'!$N865*2</f>
        <v>0</v>
      </c>
      <c r="P864" s="6">
        <f>'MATCH CALCS'!$P865*5</f>
        <v>0</v>
      </c>
      <c r="Q864" s="154">
        <f t="shared" si="21"/>
        <v>0</v>
      </c>
      <c r="R864" s="6">
        <f>'MATCH CALCS'!$AD865*1</f>
        <v>0</v>
      </c>
      <c r="S864" s="6">
        <f>'MATCH CALCS'!AC865*3</f>
        <v>0</v>
      </c>
      <c r="T864" s="6">
        <f>'MATCH CALCS'!AD865*3</f>
        <v>0</v>
      </c>
      <c r="U864" s="155">
        <f t="shared" si="22"/>
        <v>0</v>
      </c>
      <c r="V864" s="154">
        <f t="shared" si="23"/>
        <v>0</v>
      </c>
    </row>
    <row r="865" spans="1:22">
      <c r="A865" s="154">
        <f>'MATCH CALCS'!A866</f>
        <v>0</v>
      </c>
      <c r="B865" s="154">
        <f>'MATCH CALCS'!$C866</f>
        <v>0</v>
      </c>
      <c r="C865" s="154">
        <f t="shared" si="19"/>
        <v>0</v>
      </c>
      <c r="D865" s="6">
        <f>'MATCH CALCS'!$G866*2</f>
        <v>0</v>
      </c>
      <c r="E865" s="6">
        <f>'MATCH CALCS'!$G866*2</f>
        <v>0</v>
      </c>
      <c r="F865" s="6">
        <f>'MATCH CALCS'!$G866*2</f>
        <v>0</v>
      </c>
      <c r="G865" s="6">
        <f>'MATCH CALCS'!$G866*2</f>
        <v>0</v>
      </c>
      <c r="H865" s="6">
        <f>'MATCH CALCS'!$G866*2</f>
        <v>0</v>
      </c>
      <c r="I865" s="6">
        <f>'MATCH CALCS'!$G866*2</f>
        <v>0</v>
      </c>
      <c r="J865" s="154">
        <f t="shared" si="20"/>
        <v>0</v>
      </c>
      <c r="K865" s="6">
        <f>'MATCH CALCS'!L866*1</f>
        <v>0</v>
      </c>
      <c r="L865" s="6">
        <f>'MATCH CALCS'!$N866*2</f>
        <v>0</v>
      </c>
      <c r="M865" s="6">
        <f>'MATCH CALCS'!N866*1</f>
        <v>0</v>
      </c>
      <c r="N865" s="6">
        <f>'MATCH CALCS'!$N866*2</f>
        <v>0</v>
      </c>
      <c r="O865" s="6">
        <f>'MATCH CALCS'!$N866*2</f>
        <v>0</v>
      </c>
      <c r="P865" s="6">
        <f>'MATCH CALCS'!$P866*5</f>
        <v>0</v>
      </c>
      <c r="Q865" s="154">
        <f t="shared" si="21"/>
        <v>0</v>
      </c>
      <c r="R865" s="6">
        <f>'MATCH CALCS'!$AD866*1</f>
        <v>0</v>
      </c>
      <c r="S865" s="6">
        <f>'MATCH CALCS'!AC866*3</f>
        <v>0</v>
      </c>
      <c r="T865" s="6">
        <f>'MATCH CALCS'!AD866*3</f>
        <v>0</v>
      </c>
      <c r="U865" s="155">
        <f t="shared" si="22"/>
        <v>0</v>
      </c>
      <c r="V865" s="154">
        <f t="shared" si="23"/>
        <v>0</v>
      </c>
    </row>
    <row r="866" spans="1:22">
      <c r="A866" s="154">
        <f>'MATCH CALCS'!A867</f>
        <v>0</v>
      </c>
      <c r="B866" s="154">
        <f>'MATCH CALCS'!$C867</f>
        <v>0</v>
      </c>
      <c r="C866" s="154">
        <f t="shared" si="19"/>
        <v>0</v>
      </c>
      <c r="D866" s="6">
        <f>'MATCH CALCS'!$G867*2</f>
        <v>0</v>
      </c>
      <c r="E866" s="6">
        <f>'MATCH CALCS'!$G867*2</f>
        <v>0</v>
      </c>
      <c r="F866" s="6">
        <f>'MATCH CALCS'!$G867*2</f>
        <v>0</v>
      </c>
      <c r="G866" s="6">
        <f>'MATCH CALCS'!$G867*2</f>
        <v>0</v>
      </c>
      <c r="H866" s="6">
        <f>'MATCH CALCS'!$G867*2</f>
        <v>0</v>
      </c>
      <c r="I866" s="6">
        <f>'MATCH CALCS'!$G867*2</f>
        <v>0</v>
      </c>
      <c r="J866" s="154">
        <f t="shared" si="20"/>
        <v>0</v>
      </c>
      <c r="K866" s="6">
        <f>'MATCH CALCS'!L867*1</f>
        <v>0</v>
      </c>
      <c r="L866" s="6">
        <f>'MATCH CALCS'!$N867*2</f>
        <v>0</v>
      </c>
      <c r="M866" s="6">
        <f>'MATCH CALCS'!N867*1</f>
        <v>0</v>
      </c>
      <c r="N866" s="6">
        <f>'MATCH CALCS'!$N867*2</f>
        <v>0</v>
      </c>
      <c r="O866" s="6">
        <f>'MATCH CALCS'!$N867*2</f>
        <v>0</v>
      </c>
      <c r="P866" s="6">
        <f>'MATCH CALCS'!$P867*5</f>
        <v>0</v>
      </c>
      <c r="Q866" s="154">
        <f t="shared" si="21"/>
        <v>0</v>
      </c>
      <c r="R866" s="6">
        <f>'MATCH CALCS'!$AD867*1</f>
        <v>0</v>
      </c>
      <c r="S866" s="6">
        <f>'MATCH CALCS'!AC867*3</f>
        <v>0</v>
      </c>
      <c r="T866" s="6">
        <f>'MATCH CALCS'!AD867*3</f>
        <v>0</v>
      </c>
      <c r="U866" s="155">
        <f t="shared" si="22"/>
        <v>0</v>
      </c>
      <c r="V866" s="154">
        <f t="shared" si="23"/>
        <v>0</v>
      </c>
    </row>
    <row r="867" spans="1:22">
      <c r="A867" s="154">
        <f>'MATCH CALCS'!A868</f>
        <v>0</v>
      </c>
      <c r="B867" s="154">
        <f>'MATCH CALCS'!$C868</f>
        <v>0</v>
      </c>
      <c r="C867" s="154">
        <f t="shared" si="19"/>
        <v>0</v>
      </c>
      <c r="D867" s="6">
        <f>'MATCH CALCS'!$G868*2</f>
        <v>0</v>
      </c>
      <c r="E867" s="6">
        <f>'MATCH CALCS'!$G868*2</f>
        <v>0</v>
      </c>
      <c r="F867" s="6">
        <f>'MATCH CALCS'!$G868*2</f>
        <v>0</v>
      </c>
      <c r="G867" s="6">
        <f>'MATCH CALCS'!$G868*2</f>
        <v>0</v>
      </c>
      <c r="H867" s="6">
        <f>'MATCH CALCS'!$G868*2</f>
        <v>0</v>
      </c>
      <c r="I867" s="6">
        <f>'MATCH CALCS'!$G868*2</f>
        <v>0</v>
      </c>
      <c r="J867" s="154">
        <f t="shared" si="20"/>
        <v>0</v>
      </c>
      <c r="K867" s="6">
        <f>'MATCH CALCS'!L868*1</f>
        <v>0</v>
      </c>
      <c r="L867" s="6">
        <f>'MATCH CALCS'!$N868*2</f>
        <v>0</v>
      </c>
      <c r="M867" s="6">
        <f>'MATCH CALCS'!N868*1</f>
        <v>0</v>
      </c>
      <c r="N867" s="6">
        <f>'MATCH CALCS'!$N868*2</f>
        <v>0</v>
      </c>
      <c r="O867" s="6">
        <f>'MATCH CALCS'!$N868*2</f>
        <v>0</v>
      </c>
      <c r="P867" s="6">
        <f>'MATCH CALCS'!$P868*5</f>
        <v>0</v>
      </c>
      <c r="Q867" s="154">
        <f t="shared" si="21"/>
        <v>0</v>
      </c>
      <c r="R867" s="6">
        <f>'MATCH CALCS'!$AD868*1</f>
        <v>0</v>
      </c>
      <c r="S867" s="6">
        <f>'MATCH CALCS'!AC868*3</f>
        <v>0</v>
      </c>
      <c r="T867" s="6">
        <f>'MATCH CALCS'!AD868*3</f>
        <v>0</v>
      </c>
      <c r="U867" s="155">
        <f t="shared" si="22"/>
        <v>0</v>
      </c>
      <c r="V867" s="154">
        <f t="shared" si="23"/>
        <v>0</v>
      </c>
    </row>
    <row r="868" spans="1:22">
      <c r="A868" s="154">
        <f>'MATCH CALCS'!A869</f>
        <v>0</v>
      </c>
      <c r="B868" s="154">
        <f>'MATCH CALCS'!$C869</f>
        <v>0</v>
      </c>
      <c r="C868" s="154">
        <f t="shared" si="19"/>
        <v>0</v>
      </c>
      <c r="D868" s="6">
        <f>'MATCH CALCS'!$G869*2</f>
        <v>0</v>
      </c>
      <c r="E868" s="6">
        <f>'MATCH CALCS'!$G869*2</f>
        <v>0</v>
      </c>
      <c r="F868" s="6">
        <f>'MATCH CALCS'!$G869*2</f>
        <v>0</v>
      </c>
      <c r="G868" s="6">
        <f>'MATCH CALCS'!$G869*2</f>
        <v>0</v>
      </c>
      <c r="H868" s="6">
        <f>'MATCH CALCS'!$G869*2</f>
        <v>0</v>
      </c>
      <c r="I868" s="6">
        <f>'MATCH CALCS'!$G869*2</f>
        <v>0</v>
      </c>
      <c r="J868" s="154">
        <f t="shared" si="20"/>
        <v>0</v>
      </c>
      <c r="K868" s="6">
        <f>'MATCH CALCS'!L869*1</f>
        <v>0</v>
      </c>
      <c r="L868" s="6">
        <f>'MATCH CALCS'!$N869*2</f>
        <v>0</v>
      </c>
      <c r="M868" s="6">
        <f>'MATCH CALCS'!N869*1</f>
        <v>0</v>
      </c>
      <c r="N868" s="6">
        <f>'MATCH CALCS'!$N869*2</f>
        <v>0</v>
      </c>
      <c r="O868" s="6">
        <f>'MATCH CALCS'!$N869*2</f>
        <v>0</v>
      </c>
      <c r="P868" s="6">
        <f>'MATCH CALCS'!$P869*5</f>
        <v>0</v>
      </c>
      <c r="Q868" s="154">
        <f t="shared" si="21"/>
        <v>0</v>
      </c>
      <c r="R868" s="6">
        <f>'MATCH CALCS'!$AD869*1</f>
        <v>0</v>
      </c>
      <c r="S868" s="6">
        <f>'MATCH CALCS'!AC869*3</f>
        <v>0</v>
      </c>
      <c r="T868" s="6">
        <f>'MATCH CALCS'!AD869*3</f>
        <v>0</v>
      </c>
      <c r="U868" s="155">
        <f t="shared" si="22"/>
        <v>0</v>
      </c>
      <c r="V868" s="154">
        <f t="shared" si="23"/>
        <v>0</v>
      </c>
    </row>
    <row r="869" spans="1:22">
      <c r="A869" s="154">
        <f>'MATCH CALCS'!A870</f>
        <v>0</v>
      </c>
      <c r="B869" s="154">
        <f>'MATCH CALCS'!$C870</f>
        <v>0</v>
      </c>
      <c r="C869" s="154">
        <f t="shared" si="19"/>
        <v>0</v>
      </c>
      <c r="D869" s="6">
        <f>'MATCH CALCS'!$G870*2</f>
        <v>0</v>
      </c>
      <c r="E869" s="6">
        <f>'MATCH CALCS'!$G870*2</f>
        <v>0</v>
      </c>
      <c r="F869" s="6">
        <f>'MATCH CALCS'!$G870*2</f>
        <v>0</v>
      </c>
      <c r="G869" s="6">
        <f>'MATCH CALCS'!$G870*2</f>
        <v>0</v>
      </c>
      <c r="H869" s="6">
        <f>'MATCH CALCS'!$G870*2</f>
        <v>0</v>
      </c>
      <c r="I869" s="6">
        <f>'MATCH CALCS'!$G870*2</f>
        <v>0</v>
      </c>
      <c r="J869" s="154">
        <f t="shared" si="20"/>
        <v>0</v>
      </c>
      <c r="K869" s="6">
        <f>'MATCH CALCS'!L870*1</f>
        <v>0</v>
      </c>
      <c r="L869" s="6">
        <f>'MATCH CALCS'!$N870*2</f>
        <v>0</v>
      </c>
      <c r="M869" s="6">
        <f>'MATCH CALCS'!N870*1</f>
        <v>0</v>
      </c>
      <c r="N869" s="6">
        <f>'MATCH CALCS'!$N870*2</f>
        <v>0</v>
      </c>
      <c r="O869" s="6">
        <f>'MATCH CALCS'!$N870*2</f>
        <v>0</v>
      </c>
      <c r="P869" s="6">
        <f>'MATCH CALCS'!$P870*5</f>
        <v>0</v>
      </c>
      <c r="Q869" s="154">
        <f t="shared" si="21"/>
        <v>0</v>
      </c>
      <c r="R869" s="6">
        <f>'MATCH CALCS'!$AD870*1</f>
        <v>0</v>
      </c>
      <c r="S869" s="6">
        <f>'MATCH CALCS'!AC870*3</f>
        <v>0</v>
      </c>
      <c r="T869" s="6">
        <f>'MATCH CALCS'!AD870*3</f>
        <v>0</v>
      </c>
      <c r="U869" s="155">
        <f t="shared" si="22"/>
        <v>0</v>
      </c>
      <c r="V869" s="154">
        <f t="shared" si="23"/>
        <v>0</v>
      </c>
    </row>
    <row r="870" spans="1:22">
      <c r="A870" s="154">
        <f>'MATCH CALCS'!A871</f>
        <v>0</v>
      </c>
      <c r="B870" s="154">
        <f>'MATCH CALCS'!$C871</f>
        <v>0</v>
      </c>
      <c r="C870" s="154">
        <f t="shared" si="19"/>
        <v>0</v>
      </c>
      <c r="D870" s="6">
        <f>'MATCH CALCS'!$G871*2</f>
        <v>0</v>
      </c>
      <c r="E870" s="6">
        <f>'MATCH CALCS'!$G871*2</f>
        <v>0</v>
      </c>
      <c r="F870" s="6">
        <f>'MATCH CALCS'!$G871*2</f>
        <v>0</v>
      </c>
      <c r="G870" s="6">
        <f>'MATCH CALCS'!$G871*2</f>
        <v>0</v>
      </c>
      <c r="H870" s="6">
        <f>'MATCH CALCS'!$G871*2</f>
        <v>0</v>
      </c>
      <c r="I870" s="6">
        <f>'MATCH CALCS'!$G871*2</f>
        <v>0</v>
      </c>
      <c r="J870" s="154">
        <f t="shared" si="20"/>
        <v>0</v>
      </c>
      <c r="K870" s="6">
        <f>'MATCH CALCS'!L871*1</f>
        <v>0</v>
      </c>
      <c r="L870" s="6">
        <f>'MATCH CALCS'!$N871*2</f>
        <v>0</v>
      </c>
      <c r="M870" s="6">
        <f>'MATCH CALCS'!N871*1</f>
        <v>0</v>
      </c>
      <c r="N870" s="6">
        <f>'MATCH CALCS'!$N871*2</f>
        <v>0</v>
      </c>
      <c r="O870" s="6">
        <f>'MATCH CALCS'!$N871*2</f>
        <v>0</v>
      </c>
      <c r="P870" s="6">
        <f>'MATCH CALCS'!$P871*5</f>
        <v>0</v>
      </c>
      <c r="Q870" s="154">
        <f t="shared" si="21"/>
        <v>0</v>
      </c>
      <c r="R870" s="6">
        <f>'MATCH CALCS'!$AD871*1</f>
        <v>0</v>
      </c>
      <c r="S870" s="6">
        <f>'MATCH CALCS'!AC871*3</f>
        <v>0</v>
      </c>
      <c r="T870" s="6">
        <f>'MATCH CALCS'!AD871*3</f>
        <v>0</v>
      </c>
      <c r="U870" s="155">
        <f t="shared" si="22"/>
        <v>0</v>
      </c>
      <c r="V870" s="154">
        <f t="shared" si="23"/>
        <v>0</v>
      </c>
    </row>
    <row r="871" spans="1:22">
      <c r="A871" s="154">
        <f>'MATCH CALCS'!A872</f>
        <v>0</v>
      </c>
      <c r="B871" s="154">
        <f>'MATCH CALCS'!$C872</f>
        <v>0</v>
      </c>
      <c r="C871" s="154">
        <f t="shared" si="19"/>
        <v>0</v>
      </c>
      <c r="D871" s="6">
        <f>'MATCH CALCS'!$G872*2</f>
        <v>0</v>
      </c>
      <c r="E871" s="6">
        <f>'MATCH CALCS'!$G872*2</f>
        <v>0</v>
      </c>
      <c r="F871" s="6">
        <f>'MATCH CALCS'!$G872*2</f>
        <v>0</v>
      </c>
      <c r="G871" s="6">
        <f>'MATCH CALCS'!$G872*2</f>
        <v>0</v>
      </c>
      <c r="H871" s="6">
        <f>'MATCH CALCS'!$G872*2</f>
        <v>0</v>
      </c>
      <c r="I871" s="6">
        <f>'MATCH CALCS'!$G872*2</f>
        <v>0</v>
      </c>
      <c r="J871" s="154">
        <f t="shared" si="20"/>
        <v>0</v>
      </c>
      <c r="K871" s="6">
        <f>'MATCH CALCS'!L872*1</f>
        <v>0</v>
      </c>
      <c r="L871" s="6">
        <f>'MATCH CALCS'!$N872*2</f>
        <v>0</v>
      </c>
      <c r="M871" s="6">
        <f>'MATCH CALCS'!N872*1</f>
        <v>0</v>
      </c>
      <c r="N871" s="6">
        <f>'MATCH CALCS'!$N872*2</f>
        <v>0</v>
      </c>
      <c r="O871" s="6">
        <f>'MATCH CALCS'!$N872*2</f>
        <v>0</v>
      </c>
      <c r="P871" s="6">
        <f>'MATCH CALCS'!$P872*5</f>
        <v>0</v>
      </c>
      <c r="Q871" s="154">
        <f t="shared" si="21"/>
        <v>0</v>
      </c>
      <c r="R871" s="6">
        <f>'MATCH CALCS'!$AD872*1</f>
        <v>0</v>
      </c>
      <c r="S871" s="6">
        <f>'MATCH CALCS'!AC872*3</f>
        <v>0</v>
      </c>
      <c r="T871" s="6">
        <f>'MATCH CALCS'!AD872*3</f>
        <v>0</v>
      </c>
      <c r="U871" s="155">
        <f t="shared" si="22"/>
        <v>0</v>
      </c>
      <c r="V871" s="154">
        <f t="shared" si="23"/>
        <v>0</v>
      </c>
    </row>
    <row r="872" spans="1:22">
      <c r="A872" s="154">
        <f>'MATCH CALCS'!A873</f>
        <v>0</v>
      </c>
      <c r="B872" s="154">
        <f>'MATCH CALCS'!$C873</f>
        <v>0</v>
      </c>
      <c r="C872" s="154">
        <f t="shared" si="19"/>
        <v>0</v>
      </c>
      <c r="D872" s="6">
        <f>'MATCH CALCS'!$G873*2</f>
        <v>0</v>
      </c>
      <c r="E872" s="6">
        <f>'MATCH CALCS'!$G873*2</f>
        <v>0</v>
      </c>
      <c r="F872" s="6">
        <f>'MATCH CALCS'!$G873*2</f>
        <v>0</v>
      </c>
      <c r="G872" s="6">
        <f>'MATCH CALCS'!$G873*2</f>
        <v>0</v>
      </c>
      <c r="H872" s="6">
        <f>'MATCH CALCS'!$G873*2</f>
        <v>0</v>
      </c>
      <c r="I872" s="6">
        <f>'MATCH CALCS'!$G873*2</f>
        <v>0</v>
      </c>
      <c r="J872" s="154">
        <f t="shared" si="20"/>
        <v>0</v>
      </c>
      <c r="K872" s="6">
        <f>'MATCH CALCS'!L873*1</f>
        <v>0</v>
      </c>
      <c r="L872" s="6">
        <f>'MATCH CALCS'!$N873*2</f>
        <v>0</v>
      </c>
      <c r="M872" s="6">
        <f>'MATCH CALCS'!N873*1</f>
        <v>0</v>
      </c>
      <c r="N872" s="6">
        <f>'MATCH CALCS'!$N873*2</f>
        <v>0</v>
      </c>
      <c r="O872" s="6">
        <f>'MATCH CALCS'!$N873*2</f>
        <v>0</v>
      </c>
      <c r="P872" s="6">
        <f>'MATCH CALCS'!$P873*5</f>
        <v>0</v>
      </c>
      <c r="Q872" s="154">
        <f t="shared" si="21"/>
        <v>0</v>
      </c>
      <c r="R872" s="6">
        <f>'MATCH CALCS'!$AD873*1</f>
        <v>0</v>
      </c>
      <c r="S872" s="6">
        <f>'MATCH CALCS'!AC873*3</f>
        <v>0</v>
      </c>
      <c r="T872" s="6">
        <f>'MATCH CALCS'!AD873*3</f>
        <v>0</v>
      </c>
      <c r="U872" s="155">
        <f t="shared" si="22"/>
        <v>0</v>
      </c>
      <c r="V872" s="154">
        <f t="shared" si="23"/>
        <v>0</v>
      </c>
    </row>
    <row r="873" spans="1:22">
      <c r="A873" s="154">
        <f>'MATCH CALCS'!A874</f>
        <v>0</v>
      </c>
      <c r="B873" s="154">
        <f>'MATCH CALCS'!$C874</f>
        <v>0</v>
      </c>
      <c r="C873" s="154">
        <f t="shared" si="19"/>
        <v>0</v>
      </c>
      <c r="D873" s="6">
        <f>'MATCH CALCS'!$G874*2</f>
        <v>0</v>
      </c>
      <c r="E873" s="6">
        <f>'MATCH CALCS'!$G874*2</f>
        <v>0</v>
      </c>
      <c r="F873" s="6">
        <f>'MATCH CALCS'!$G874*2</f>
        <v>0</v>
      </c>
      <c r="G873" s="6">
        <f>'MATCH CALCS'!$G874*2</f>
        <v>0</v>
      </c>
      <c r="H873" s="6">
        <f>'MATCH CALCS'!$G874*2</f>
        <v>0</v>
      </c>
      <c r="I873" s="6">
        <f>'MATCH CALCS'!$G874*2</f>
        <v>0</v>
      </c>
      <c r="J873" s="154">
        <f t="shared" si="20"/>
        <v>0</v>
      </c>
      <c r="K873" s="6">
        <f>'MATCH CALCS'!L874*1</f>
        <v>0</v>
      </c>
      <c r="L873" s="6">
        <f>'MATCH CALCS'!$N874*2</f>
        <v>0</v>
      </c>
      <c r="M873" s="6">
        <f>'MATCH CALCS'!N874*1</f>
        <v>0</v>
      </c>
      <c r="N873" s="6">
        <f>'MATCH CALCS'!$N874*2</f>
        <v>0</v>
      </c>
      <c r="O873" s="6">
        <f>'MATCH CALCS'!$N874*2</f>
        <v>0</v>
      </c>
      <c r="P873" s="6">
        <f>'MATCH CALCS'!$P874*5</f>
        <v>0</v>
      </c>
      <c r="Q873" s="154">
        <f t="shared" si="21"/>
        <v>0</v>
      </c>
      <c r="R873" s="6">
        <f>'MATCH CALCS'!$AD874*1</f>
        <v>0</v>
      </c>
      <c r="S873" s="6">
        <f>'MATCH CALCS'!AC874*3</f>
        <v>0</v>
      </c>
      <c r="T873" s="6">
        <f>'MATCH CALCS'!AD874*3</f>
        <v>0</v>
      </c>
      <c r="U873" s="155">
        <f t="shared" si="22"/>
        <v>0</v>
      </c>
      <c r="V873" s="154">
        <f t="shared" si="23"/>
        <v>0</v>
      </c>
    </row>
    <row r="874" spans="1:22">
      <c r="A874" s="154">
        <f>'MATCH CALCS'!A875</f>
        <v>0</v>
      </c>
      <c r="B874" s="154">
        <f>'MATCH CALCS'!$C875</f>
        <v>0</v>
      </c>
      <c r="C874" s="154">
        <f t="shared" si="19"/>
        <v>0</v>
      </c>
      <c r="D874" s="6">
        <f>'MATCH CALCS'!$G875*2</f>
        <v>0</v>
      </c>
      <c r="E874" s="6">
        <f>'MATCH CALCS'!$G875*2</f>
        <v>0</v>
      </c>
      <c r="F874" s="6">
        <f>'MATCH CALCS'!$G875*2</f>
        <v>0</v>
      </c>
      <c r="G874" s="6">
        <f>'MATCH CALCS'!$G875*2</f>
        <v>0</v>
      </c>
      <c r="H874" s="6">
        <f>'MATCH CALCS'!$G875*2</f>
        <v>0</v>
      </c>
      <c r="I874" s="6">
        <f>'MATCH CALCS'!$G875*2</f>
        <v>0</v>
      </c>
      <c r="J874" s="154">
        <f t="shared" si="20"/>
        <v>0</v>
      </c>
      <c r="K874" s="6">
        <f>'MATCH CALCS'!L875*1</f>
        <v>0</v>
      </c>
      <c r="L874" s="6">
        <f>'MATCH CALCS'!$N875*2</f>
        <v>0</v>
      </c>
      <c r="M874" s="6">
        <f>'MATCH CALCS'!N875*1</f>
        <v>0</v>
      </c>
      <c r="N874" s="6">
        <f>'MATCH CALCS'!$N875*2</f>
        <v>0</v>
      </c>
      <c r="O874" s="6">
        <f>'MATCH CALCS'!$N875*2</f>
        <v>0</v>
      </c>
      <c r="P874" s="6">
        <f>'MATCH CALCS'!$P875*5</f>
        <v>0</v>
      </c>
      <c r="Q874" s="154">
        <f t="shared" si="21"/>
        <v>0</v>
      </c>
      <c r="R874" s="6">
        <f>'MATCH CALCS'!$AD875*1</f>
        <v>0</v>
      </c>
      <c r="S874" s="6">
        <f>'MATCH CALCS'!AC875*3</f>
        <v>0</v>
      </c>
      <c r="T874" s="6">
        <f>'MATCH CALCS'!AD875*3</f>
        <v>0</v>
      </c>
      <c r="U874" s="155">
        <f t="shared" si="22"/>
        <v>0</v>
      </c>
      <c r="V874" s="154">
        <f t="shared" si="23"/>
        <v>0</v>
      </c>
    </row>
    <row r="875" spans="1:22">
      <c r="A875" s="154">
        <f>'MATCH CALCS'!A876</f>
        <v>0</v>
      </c>
      <c r="B875" s="154">
        <f>'MATCH CALCS'!$C876</f>
        <v>0</v>
      </c>
      <c r="C875" s="154">
        <f t="shared" si="19"/>
        <v>0</v>
      </c>
      <c r="D875" s="6">
        <f>'MATCH CALCS'!$G876*2</f>
        <v>0</v>
      </c>
      <c r="E875" s="6">
        <f>'MATCH CALCS'!$G876*2</f>
        <v>0</v>
      </c>
      <c r="F875" s="6">
        <f>'MATCH CALCS'!$G876*2</f>
        <v>0</v>
      </c>
      <c r="G875" s="6">
        <f>'MATCH CALCS'!$G876*2</f>
        <v>0</v>
      </c>
      <c r="H875" s="6">
        <f>'MATCH CALCS'!$G876*2</f>
        <v>0</v>
      </c>
      <c r="I875" s="6">
        <f>'MATCH CALCS'!$G876*2</f>
        <v>0</v>
      </c>
      <c r="J875" s="154">
        <f t="shared" si="20"/>
        <v>0</v>
      </c>
      <c r="K875" s="6">
        <f>'MATCH CALCS'!L876*1</f>
        <v>0</v>
      </c>
      <c r="L875" s="6">
        <f>'MATCH CALCS'!$N876*2</f>
        <v>0</v>
      </c>
      <c r="M875" s="6">
        <f>'MATCH CALCS'!N876*1</f>
        <v>0</v>
      </c>
      <c r="N875" s="6">
        <f>'MATCH CALCS'!$N876*2</f>
        <v>0</v>
      </c>
      <c r="O875" s="6">
        <f>'MATCH CALCS'!$N876*2</f>
        <v>0</v>
      </c>
      <c r="P875" s="6">
        <f>'MATCH CALCS'!$P876*5</f>
        <v>0</v>
      </c>
      <c r="Q875" s="154">
        <f t="shared" si="21"/>
        <v>0</v>
      </c>
      <c r="R875" s="6">
        <f>'MATCH CALCS'!$AD876*1</f>
        <v>0</v>
      </c>
      <c r="S875" s="6">
        <f>'MATCH CALCS'!AC876*3</f>
        <v>0</v>
      </c>
      <c r="T875" s="6">
        <f>'MATCH CALCS'!AD876*3</f>
        <v>0</v>
      </c>
      <c r="U875" s="155">
        <f t="shared" si="22"/>
        <v>0</v>
      </c>
      <c r="V875" s="154">
        <f t="shared" si="23"/>
        <v>0</v>
      </c>
    </row>
    <row r="876" spans="1:22">
      <c r="A876" s="154">
        <f>'MATCH CALCS'!A877</f>
        <v>0</v>
      </c>
      <c r="B876" s="154">
        <f>'MATCH CALCS'!$C877</f>
        <v>0</v>
      </c>
      <c r="C876" s="154">
        <f t="shared" si="19"/>
        <v>0</v>
      </c>
      <c r="D876" s="6">
        <f>'MATCH CALCS'!$G877*2</f>
        <v>0</v>
      </c>
      <c r="E876" s="6">
        <f>'MATCH CALCS'!$G877*2</f>
        <v>0</v>
      </c>
      <c r="F876" s="6">
        <f>'MATCH CALCS'!$G877*2</f>
        <v>0</v>
      </c>
      <c r="G876" s="6">
        <f>'MATCH CALCS'!$G877*2</f>
        <v>0</v>
      </c>
      <c r="H876" s="6">
        <f>'MATCH CALCS'!$G877*2</f>
        <v>0</v>
      </c>
      <c r="I876" s="6">
        <f>'MATCH CALCS'!$G877*2</f>
        <v>0</v>
      </c>
      <c r="J876" s="154">
        <f t="shared" si="20"/>
        <v>0</v>
      </c>
      <c r="K876" s="6">
        <f>'MATCH CALCS'!L877*1</f>
        <v>0</v>
      </c>
      <c r="L876" s="6">
        <f>'MATCH CALCS'!$N877*2</f>
        <v>0</v>
      </c>
      <c r="M876" s="6">
        <f>'MATCH CALCS'!N877*1</f>
        <v>0</v>
      </c>
      <c r="N876" s="6">
        <f>'MATCH CALCS'!$N877*2</f>
        <v>0</v>
      </c>
      <c r="O876" s="6">
        <f>'MATCH CALCS'!$N877*2</f>
        <v>0</v>
      </c>
      <c r="P876" s="6">
        <f>'MATCH CALCS'!$P877*5</f>
        <v>0</v>
      </c>
      <c r="Q876" s="154">
        <f t="shared" si="21"/>
        <v>0</v>
      </c>
      <c r="R876" s="6">
        <f>'MATCH CALCS'!$AD877*1</f>
        <v>0</v>
      </c>
      <c r="S876" s="6">
        <f>'MATCH CALCS'!AC877*3</f>
        <v>0</v>
      </c>
      <c r="T876" s="6">
        <f>'MATCH CALCS'!AD877*3</f>
        <v>0</v>
      </c>
      <c r="U876" s="155">
        <f t="shared" si="22"/>
        <v>0</v>
      </c>
      <c r="V876" s="154">
        <f t="shared" si="23"/>
        <v>0</v>
      </c>
    </row>
    <row r="877" spans="1:22">
      <c r="A877" s="154">
        <f>'MATCH CALCS'!A878</f>
        <v>0</v>
      </c>
      <c r="B877" s="154">
        <f>'MATCH CALCS'!$C878</f>
        <v>0</v>
      </c>
      <c r="C877" s="154">
        <f t="shared" si="19"/>
        <v>0</v>
      </c>
      <c r="D877" s="6">
        <f>'MATCH CALCS'!$G878*2</f>
        <v>0</v>
      </c>
      <c r="E877" s="6">
        <f>'MATCH CALCS'!$G878*2</f>
        <v>0</v>
      </c>
      <c r="F877" s="6">
        <f>'MATCH CALCS'!$G878*2</f>
        <v>0</v>
      </c>
      <c r="G877" s="6">
        <f>'MATCH CALCS'!$G878*2</f>
        <v>0</v>
      </c>
      <c r="H877" s="6">
        <f>'MATCH CALCS'!$G878*2</f>
        <v>0</v>
      </c>
      <c r="I877" s="6">
        <f>'MATCH CALCS'!$G878*2</f>
        <v>0</v>
      </c>
      <c r="J877" s="154">
        <f t="shared" si="20"/>
        <v>0</v>
      </c>
      <c r="K877" s="6">
        <f>'MATCH CALCS'!L878*1</f>
        <v>0</v>
      </c>
      <c r="L877" s="6">
        <f>'MATCH CALCS'!$N878*2</f>
        <v>0</v>
      </c>
      <c r="M877" s="6">
        <f>'MATCH CALCS'!N878*1</f>
        <v>0</v>
      </c>
      <c r="N877" s="6">
        <f>'MATCH CALCS'!$N878*2</f>
        <v>0</v>
      </c>
      <c r="O877" s="6">
        <f>'MATCH CALCS'!$N878*2</f>
        <v>0</v>
      </c>
      <c r="P877" s="6">
        <f>'MATCH CALCS'!$P878*5</f>
        <v>0</v>
      </c>
      <c r="Q877" s="154">
        <f t="shared" si="21"/>
        <v>0</v>
      </c>
      <c r="R877" s="6">
        <f>'MATCH CALCS'!$AD878*1</f>
        <v>0</v>
      </c>
      <c r="S877" s="6">
        <f>'MATCH CALCS'!AC878*3</f>
        <v>0</v>
      </c>
      <c r="T877" s="6">
        <f>'MATCH CALCS'!AD878*3</f>
        <v>0</v>
      </c>
      <c r="U877" s="155">
        <f t="shared" si="22"/>
        <v>0</v>
      </c>
      <c r="V877" s="154">
        <f t="shared" si="23"/>
        <v>0</v>
      </c>
    </row>
    <row r="878" spans="1:22">
      <c r="A878" s="154">
        <f>'MATCH CALCS'!A879</f>
        <v>0</v>
      </c>
      <c r="B878" s="154">
        <f>'MATCH CALCS'!$C879</f>
        <v>0</v>
      </c>
      <c r="C878" s="154">
        <f t="shared" si="19"/>
        <v>0</v>
      </c>
      <c r="D878" s="6">
        <f>'MATCH CALCS'!$G879*2</f>
        <v>0</v>
      </c>
      <c r="E878" s="6">
        <f>'MATCH CALCS'!$G879*2</f>
        <v>0</v>
      </c>
      <c r="F878" s="6">
        <f>'MATCH CALCS'!$G879*2</f>
        <v>0</v>
      </c>
      <c r="G878" s="6">
        <f>'MATCH CALCS'!$G879*2</f>
        <v>0</v>
      </c>
      <c r="H878" s="6">
        <f>'MATCH CALCS'!$G879*2</f>
        <v>0</v>
      </c>
      <c r="I878" s="6">
        <f>'MATCH CALCS'!$G879*2</f>
        <v>0</v>
      </c>
      <c r="J878" s="154">
        <f t="shared" si="20"/>
        <v>0</v>
      </c>
      <c r="K878" s="6">
        <f>'MATCH CALCS'!L879*1</f>
        <v>0</v>
      </c>
      <c r="L878" s="6">
        <f>'MATCH CALCS'!$N879*2</f>
        <v>0</v>
      </c>
      <c r="M878" s="6">
        <f>'MATCH CALCS'!N879*1</f>
        <v>0</v>
      </c>
      <c r="N878" s="6">
        <f>'MATCH CALCS'!$N879*2</f>
        <v>0</v>
      </c>
      <c r="O878" s="6">
        <f>'MATCH CALCS'!$N879*2</f>
        <v>0</v>
      </c>
      <c r="P878" s="6">
        <f>'MATCH CALCS'!$P879*5</f>
        <v>0</v>
      </c>
      <c r="Q878" s="154">
        <f t="shared" si="21"/>
        <v>0</v>
      </c>
      <c r="R878" s="6">
        <f>'MATCH CALCS'!$AD879*1</f>
        <v>0</v>
      </c>
      <c r="S878" s="6">
        <f>'MATCH CALCS'!AC879*3</f>
        <v>0</v>
      </c>
      <c r="T878" s="6">
        <f>'MATCH CALCS'!AD879*3</f>
        <v>0</v>
      </c>
      <c r="U878" s="155">
        <f t="shared" si="22"/>
        <v>0</v>
      </c>
      <c r="V878" s="154">
        <f t="shared" si="23"/>
        <v>0</v>
      </c>
    </row>
    <row r="879" spans="1:22">
      <c r="A879" s="154">
        <f>'MATCH CALCS'!A880</f>
        <v>0</v>
      </c>
      <c r="B879" s="154">
        <f>'MATCH CALCS'!$C880</f>
        <v>0</v>
      </c>
      <c r="C879" s="154">
        <f t="shared" si="19"/>
        <v>0</v>
      </c>
      <c r="D879" s="6">
        <f>'MATCH CALCS'!$G880*2</f>
        <v>0</v>
      </c>
      <c r="E879" s="6">
        <f>'MATCH CALCS'!$G880*2</f>
        <v>0</v>
      </c>
      <c r="F879" s="6">
        <f>'MATCH CALCS'!$G880*2</f>
        <v>0</v>
      </c>
      <c r="G879" s="6">
        <f>'MATCH CALCS'!$G880*2</f>
        <v>0</v>
      </c>
      <c r="H879" s="6">
        <f>'MATCH CALCS'!$G880*2</f>
        <v>0</v>
      </c>
      <c r="I879" s="6">
        <f>'MATCH CALCS'!$G880*2</f>
        <v>0</v>
      </c>
      <c r="J879" s="154">
        <f t="shared" si="20"/>
        <v>0</v>
      </c>
      <c r="K879" s="6">
        <f>'MATCH CALCS'!L880*1</f>
        <v>0</v>
      </c>
      <c r="L879" s="6">
        <f>'MATCH CALCS'!$N880*2</f>
        <v>0</v>
      </c>
      <c r="M879" s="6">
        <f>'MATCH CALCS'!N880*1</f>
        <v>0</v>
      </c>
      <c r="N879" s="6">
        <f>'MATCH CALCS'!$N880*2</f>
        <v>0</v>
      </c>
      <c r="O879" s="6">
        <f>'MATCH CALCS'!$N880*2</f>
        <v>0</v>
      </c>
      <c r="P879" s="6">
        <f>'MATCH CALCS'!$P880*5</f>
        <v>0</v>
      </c>
      <c r="Q879" s="154">
        <f t="shared" si="21"/>
        <v>0</v>
      </c>
      <c r="R879" s="6">
        <f>'MATCH CALCS'!$AD880*1</f>
        <v>0</v>
      </c>
      <c r="S879" s="6">
        <f>'MATCH CALCS'!AC880*3</f>
        <v>0</v>
      </c>
      <c r="T879" s="6">
        <f>'MATCH CALCS'!AD880*3</f>
        <v>0</v>
      </c>
      <c r="U879" s="155">
        <f t="shared" si="22"/>
        <v>0</v>
      </c>
      <c r="V879" s="154">
        <f t="shared" si="23"/>
        <v>0</v>
      </c>
    </row>
    <row r="880" spans="1:22">
      <c r="A880" s="154">
        <f>'MATCH CALCS'!A881</f>
        <v>0</v>
      </c>
      <c r="B880" s="154">
        <f>'MATCH CALCS'!$C881</f>
        <v>0</v>
      </c>
      <c r="C880" s="154">
        <f t="shared" si="19"/>
        <v>0</v>
      </c>
      <c r="D880" s="6">
        <f>'MATCH CALCS'!$G881*2</f>
        <v>0</v>
      </c>
      <c r="E880" s="6">
        <f>'MATCH CALCS'!$G881*2</f>
        <v>0</v>
      </c>
      <c r="F880" s="6">
        <f>'MATCH CALCS'!$G881*2</f>
        <v>0</v>
      </c>
      <c r="G880" s="6">
        <f>'MATCH CALCS'!$G881*2</f>
        <v>0</v>
      </c>
      <c r="H880" s="6">
        <f>'MATCH CALCS'!$G881*2</f>
        <v>0</v>
      </c>
      <c r="I880" s="6">
        <f>'MATCH CALCS'!$G881*2</f>
        <v>0</v>
      </c>
      <c r="J880" s="154">
        <f t="shared" si="20"/>
        <v>0</v>
      </c>
      <c r="K880" s="6">
        <f>'MATCH CALCS'!L881*1</f>
        <v>0</v>
      </c>
      <c r="L880" s="6">
        <f>'MATCH CALCS'!$N881*2</f>
        <v>0</v>
      </c>
      <c r="M880" s="6">
        <f>'MATCH CALCS'!N881*1</f>
        <v>0</v>
      </c>
      <c r="N880" s="6">
        <f>'MATCH CALCS'!$N881*2</f>
        <v>0</v>
      </c>
      <c r="O880" s="6">
        <f>'MATCH CALCS'!$N881*2</f>
        <v>0</v>
      </c>
      <c r="P880" s="6">
        <f>'MATCH CALCS'!$P881*5</f>
        <v>0</v>
      </c>
      <c r="Q880" s="154">
        <f t="shared" si="21"/>
        <v>0</v>
      </c>
      <c r="R880" s="6">
        <f>'MATCH CALCS'!$AD881*1</f>
        <v>0</v>
      </c>
      <c r="S880" s="6">
        <f>'MATCH CALCS'!AC881*3</f>
        <v>0</v>
      </c>
      <c r="T880" s="6">
        <f>'MATCH CALCS'!AD881*3</f>
        <v>0</v>
      </c>
      <c r="U880" s="155">
        <f t="shared" si="22"/>
        <v>0</v>
      </c>
      <c r="V880" s="154">
        <f t="shared" si="23"/>
        <v>0</v>
      </c>
    </row>
    <row r="881" spans="1:22">
      <c r="A881" s="154">
        <f>'MATCH CALCS'!A882</f>
        <v>0</v>
      </c>
      <c r="B881" s="154">
        <f>'MATCH CALCS'!$C882</f>
        <v>0</v>
      </c>
      <c r="C881" s="154">
        <f t="shared" si="19"/>
        <v>0</v>
      </c>
      <c r="D881" s="6">
        <f>'MATCH CALCS'!$G882*2</f>
        <v>0</v>
      </c>
      <c r="E881" s="6">
        <f>'MATCH CALCS'!$G882*2</f>
        <v>0</v>
      </c>
      <c r="F881" s="6">
        <f>'MATCH CALCS'!$G882*2</f>
        <v>0</v>
      </c>
      <c r="G881" s="6">
        <f>'MATCH CALCS'!$G882*2</f>
        <v>0</v>
      </c>
      <c r="H881" s="6">
        <f>'MATCH CALCS'!$G882*2</f>
        <v>0</v>
      </c>
      <c r="I881" s="6">
        <f>'MATCH CALCS'!$G882*2</f>
        <v>0</v>
      </c>
      <c r="J881" s="154">
        <f t="shared" si="20"/>
        <v>0</v>
      </c>
      <c r="K881" s="6">
        <f>'MATCH CALCS'!L882*1</f>
        <v>0</v>
      </c>
      <c r="L881" s="6">
        <f>'MATCH CALCS'!$N882*2</f>
        <v>0</v>
      </c>
      <c r="M881" s="6">
        <f>'MATCH CALCS'!N882*1</f>
        <v>0</v>
      </c>
      <c r="N881" s="6">
        <f>'MATCH CALCS'!$N882*2</f>
        <v>0</v>
      </c>
      <c r="O881" s="6">
        <f>'MATCH CALCS'!$N882*2</f>
        <v>0</v>
      </c>
      <c r="P881" s="6">
        <f>'MATCH CALCS'!$P882*5</f>
        <v>0</v>
      </c>
      <c r="Q881" s="154">
        <f t="shared" si="21"/>
        <v>0</v>
      </c>
      <c r="R881" s="6">
        <f>'MATCH CALCS'!$AD882*1</f>
        <v>0</v>
      </c>
      <c r="S881" s="6">
        <f>'MATCH CALCS'!AC882*3</f>
        <v>0</v>
      </c>
      <c r="T881" s="6">
        <f>'MATCH CALCS'!AD882*3</f>
        <v>0</v>
      </c>
      <c r="U881" s="155">
        <f t="shared" si="22"/>
        <v>0</v>
      </c>
      <c r="V881" s="154">
        <f t="shared" si="23"/>
        <v>0</v>
      </c>
    </row>
    <row r="882" spans="1:22">
      <c r="A882" s="154">
        <f>'MATCH CALCS'!A883</f>
        <v>0</v>
      </c>
      <c r="B882" s="154">
        <f>'MATCH CALCS'!$C883</f>
        <v>0</v>
      </c>
      <c r="C882" s="154">
        <f t="shared" si="19"/>
        <v>0</v>
      </c>
      <c r="D882" s="6">
        <f>'MATCH CALCS'!$G883*2</f>
        <v>0</v>
      </c>
      <c r="E882" s="6">
        <f>'MATCH CALCS'!$G883*2</f>
        <v>0</v>
      </c>
      <c r="F882" s="6">
        <f>'MATCH CALCS'!$G883*2</f>
        <v>0</v>
      </c>
      <c r="G882" s="6">
        <f>'MATCH CALCS'!$G883*2</f>
        <v>0</v>
      </c>
      <c r="H882" s="6">
        <f>'MATCH CALCS'!$G883*2</f>
        <v>0</v>
      </c>
      <c r="I882" s="6">
        <f>'MATCH CALCS'!$G883*2</f>
        <v>0</v>
      </c>
      <c r="J882" s="154">
        <f t="shared" si="20"/>
        <v>0</v>
      </c>
      <c r="K882" s="6">
        <f>'MATCH CALCS'!L883*1</f>
        <v>0</v>
      </c>
      <c r="L882" s="6">
        <f>'MATCH CALCS'!$N883*2</f>
        <v>0</v>
      </c>
      <c r="M882" s="6">
        <f>'MATCH CALCS'!N883*1</f>
        <v>0</v>
      </c>
      <c r="N882" s="6">
        <f>'MATCH CALCS'!$N883*2</f>
        <v>0</v>
      </c>
      <c r="O882" s="6">
        <f>'MATCH CALCS'!$N883*2</f>
        <v>0</v>
      </c>
      <c r="P882" s="6">
        <f>'MATCH CALCS'!$P883*5</f>
        <v>0</v>
      </c>
      <c r="Q882" s="154">
        <f t="shared" si="21"/>
        <v>0</v>
      </c>
      <c r="R882" s="6">
        <f>'MATCH CALCS'!$AD883*1</f>
        <v>0</v>
      </c>
      <c r="S882" s="6">
        <f>'MATCH CALCS'!AC883*3</f>
        <v>0</v>
      </c>
      <c r="T882" s="6">
        <f>'MATCH CALCS'!AD883*3</f>
        <v>0</v>
      </c>
      <c r="U882" s="155">
        <f t="shared" si="22"/>
        <v>0</v>
      </c>
      <c r="V882" s="154">
        <f t="shared" si="23"/>
        <v>0</v>
      </c>
    </row>
    <row r="883" spans="1:22">
      <c r="A883" s="154">
        <f>'MATCH CALCS'!A884</f>
        <v>0</v>
      </c>
      <c r="B883" s="154">
        <f>'MATCH CALCS'!$C884</f>
        <v>0</v>
      </c>
      <c r="C883" s="154">
        <f t="shared" si="19"/>
        <v>0</v>
      </c>
      <c r="D883" s="6">
        <f>'MATCH CALCS'!$G884*2</f>
        <v>0</v>
      </c>
      <c r="E883" s="6">
        <f>'MATCH CALCS'!$G884*2</f>
        <v>0</v>
      </c>
      <c r="F883" s="6">
        <f>'MATCH CALCS'!$G884*2</f>
        <v>0</v>
      </c>
      <c r="G883" s="6">
        <f>'MATCH CALCS'!$G884*2</f>
        <v>0</v>
      </c>
      <c r="H883" s="6">
        <f>'MATCH CALCS'!$G884*2</f>
        <v>0</v>
      </c>
      <c r="I883" s="6">
        <f>'MATCH CALCS'!$G884*2</f>
        <v>0</v>
      </c>
      <c r="J883" s="154">
        <f t="shared" si="20"/>
        <v>0</v>
      </c>
      <c r="K883" s="6">
        <f>'MATCH CALCS'!L884*1</f>
        <v>0</v>
      </c>
      <c r="L883" s="6">
        <f>'MATCH CALCS'!$N884*2</f>
        <v>0</v>
      </c>
      <c r="M883" s="6">
        <f>'MATCH CALCS'!N884*1</f>
        <v>0</v>
      </c>
      <c r="N883" s="6">
        <f>'MATCH CALCS'!$N884*2</f>
        <v>0</v>
      </c>
      <c r="O883" s="6">
        <f>'MATCH CALCS'!$N884*2</f>
        <v>0</v>
      </c>
      <c r="P883" s="6">
        <f>'MATCH CALCS'!$P884*5</f>
        <v>0</v>
      </c>
      <c r="Q883" s="154">
        <f t="shared" si="21"/>
        <v>0</v>
      </c>
      <c r="R883" s="6">
        <f>'MATCH CALCS'!$AD884*1</f>
        <v>0</v>
      </c>
      <c r="S883" s="6">
        <f>'MATCH CALCS'!AC884*3</f>
        <v>0</v>
      </c>
      <c r="T883" s="6">
        <f>'MATCH CALCS'!AD884*3</f>
        <v>0</v>
      </c>
      <c r="U883" s="155">
        <f t="shared" si="22"/>
        <v>0</v>
      </c>
      <c r="V883" s="154">
        <f t="shared" si="23"/>
        <v>0</v>
      </c>
    </row>
    <row r="884" spans="1:22">
      <c r="A884" s="154">
        <f>'MATCH CALCS'!A885</f>
        <v>0</v>
      </c>
      <c r="B884" s="154">
        <f>'MATCH CALCS'!$C885</f>
        <v>0</v>
      </c>
      <c r="C884" s="154">
        <f t="shared" si="19"/>
        <v>0</v>
      </c>
      <c r="D884" s="6">
        <f>'MATCH CALCS'!$G885*2</f>
        <v>0</v>
      </c>
      <c r="E884" s="6">
        <f>'MATCH CALCS'!$G885*2</f>
        <v>0</v>
      </c>
      <c r="F884" s="6">
        <f>'MATCH CALCS'!$G885*2</f>
        <v>0</v>
      </c>
      <c r="G884" s="6">
        <f>'MATCH CALCS'!$G885*2</f>
        <v>0</v>
      </c>
      <c r="H884" s="6">
        <f>'MATCH CALCS'!$G885*2</f>
        <v>0</v>
      </c>
      <c r="I884" s="6">
        <f>'MATCH CALCS'!$G885*2</f>
        <v>0</v>
      </c>
      <c r="J884" s="154">
        <f t="shared" si="20"/>
        <v>0</v>
      </c>
      <c r="K884" s="6">
        <f>'MATCH CALCS'!L885*1</f>
        <v>0</v>
      </c>
      <c r="L884" s="6">
        <f>'MATCH CALCS'!$N885*2</f>
        <v>0</v>
      </c>
      <c r="M884" s="6">
        <f>'MATCH CALCS'!N885*1</f>
        <v>0</v>
      </c>
      <c r="N884" s="6">
        <f>'MATCH CALCS'!$N885*2</f>
        <v>0</v>
      </c>
      <c r="O884" s="6">
        <f>'MATCH CALCS'!$N885*2</f>
        <v>0</v>
      </c>
      <c r="P884" s="6">
        <f>'MATCH CALCS'!$P885*5</f>
        <v>0</v>
      </c>
      <c r="Q884" s="154">
        <f t="shared" si="21"/>
        <v>0</v>
      </c>
      <c r="R884" s="6">
        <f>'MATCH CALCS'!$AD885*1</f>
        <v>0</v>
      </c>
      <c r="S884" s="6">
        <f>'MATCH CALCS'!AC885*3</f>
        <v>0</v>
      </c>
      <c r="T884" s="6">
        <f>'MATCH CALCS'!AD885*3</f>
        <v>0</v>
      </c>
      <c r="U884" s="155">
        <f t="shared" si="22"/>
        <v>0</v>
      </c>
      <c r="V884" s="154">
        <f t="shared" si="23"/>
        <v>0</v>
      </c>
    </row>
    <row r="885" spans="1:22">
      <c r="A885" s="154">
        <f>'MATCH CALCS'!A886</f>
        <v>0</v>
      </c>
      <c r="B885" s="154">
        <f>'MATCH CALCS'!$C886</f>
        <v>0</v>
      </c>
      <c r="C885" s="154">
        <f t="shared" si="19"/>
        <v>0</v>
      </c>
      <c r="D885" s="6">
        <f>'MATCH CALCS'!$G886*2</f>
        <v>0</v>
      </c>
      <c r="E885" s="6">
        <f>'MATCH CALCS'!$G886*2</f>
        <v>0</v>
      </c>
      <c r="F885" s="6">
        <f>'MATCH CALCS'!$G886*2</f>
        <v>0</v>
      </c>
      <c r="G885" s="6">
        <f>'MATCH CALCS'!$G886*2</f>
        <v>0</v>
      </c>
      <c r="H885" s="6">
        <f>'MATCH CALCS'!$G886*2</f>
        <v>0</v>
      </c>
      <c r="I885" s="6">
        <f>'MATCH CALCS'!$G886*2</f>
        <v>0</v>
      </c>
      <c r="J885" s="154">
        <f t="shared" si="20"/>
        <v>0</v>
      </c>
      <c r="K885" s="6">
        <f>'MATCH CALCS'!L886*1</f>
        <v>0</v>
      </c>
      <c r="L885" s="6">
        <f>'MATCH CALCS'!$N886*2</f>
        <v>0</v>
      </c>
      <c r="M885" s="6">
        <f>'MATCH CALCS'!N886*1</f>
        <v>0</v>
      </c>
      <c r="N885" s="6">
        <f>'MATCH CALCS'!$N886*2</f>
        <v>0</v>
      </c>
      <c r="O885" s="6">
        <f>'MATCH CALCS'!$N886*2</f>
        <v>0</v>
      </c>
      <c r="P885" s="6">
        <f>'MATCH CALCS'!$P886*5</f>
        <v>0</v>
      </c>
      <c r="Q885" s="154">
        <f t="shared" si="21"/>
        <v>0</v>
      </c>
      <c r="R885" s="6">
        <f>'MATCH CALCS'!$AD886*1</f>
        <v>0</v>
      </c>
      <c r="S885" s="6">
        <f>'MATCH CALCS'!AC886*3</f>
        <v>0</v>
      </c>
      <c r="T885" s="6">
        <f>'MATCH CALCS'!AD886*3</f>
        <v>0</v>
      </c>
      <c r="U885" s="155">
        <f t="shared" si="22"/>
        <v>0</v>
      </c>
      <c r="V885" s="154">
        <f t="shared" si="23"/>
        <v>0</v>
      </c>
    </row>
    <row r="886" spans="1:22">
      <c r="A886" s="154">
        <f>'MATCH CALCS'!A887</f>
        <v>0</v>
      </c>
      <c r="B886" s="154">
        <f>'MATCH CALCS'!$C887</f>
        <v>0</v>
      </c>
      <c r="C886" s="154">
        <f t="shared" si="19"/>
        <v>0</v>
      </c>
      <c r="D886" s="6">
        <f>'MATCH CALCS'!$G887*2</f>
        <v>0</v>
      </c>
      <c r="E886" s="6">
        <f>'MATCH CALCS'!$G887*2</f>
        <v>0</v>
      </c>
      <c r="F886" s="6">
        <f>'MATCH CALCS'!$G887*2</f>
        <v>0</v>
      </c>
      <c r="G886" s="6">
        <f>'MATCH CALCS'!$G887*2</f>
        <v>0</v>
      </c>
      <c r="H886" s="6">
        <f>'MATCH CALCS'!$G887*2</f>
        <v>0</v>
      </c>
      <c r="I886" s="6">
        <f>'MATCH CALCS'!$G887*2</f>
        <v>0</v>
      </c>
      <c r="J886" s="154">
        <f t="shared" si="20"/>
        <v>0</v>
      </c>
      <c r="K886" s="6">
        <f>'MATCH CALCS'!L887*1</f>
        <v>0</v>
      </c>
      <c r="L886" s="6">
        <f>'MATCH CALCS'!$N887*2</f>
        <v>0</v>
      </c>
      <c r="M886" s="6">
        <f>'MATCH CALCS'!N887*1</f>
        <v>0</v>
      </c>
      <c r="N886" s="6">
        <f>'MATCH CALCS'!$N887*2</f>
        <v>0</v>
      </c>
      <c r="O886" s="6">
        <f>'MATCH CALCS'!$N887*2</f>
        <v>0</v>
      </c>
      <c r="P886" s="6">
        <f>'MATCH CALCS'!$P887*5</f>
        <v>0</v>
      </c>
      <c r="Q886" s="154">
        <f t="shared" si="21"/>
        <v>0</v>
      </c>
      <c r="R886" s="6">
        <f>'MATCH CALCS'!$AD887*1</f>
        <v>0</v>
      </c>
      <c r="S886" s="6">
        <f>'MATCH CALCS'!AC887*3</f>
        <v>0</v>
      </c>
      <c r="T886" s="6">
        <f>'MATCH CALCS'!AD887*3</f>
        <v>0</v>
      </c>
      <c r="U886" s="155">
        <f t="shared" si="22"/>
        <v>0</v>
      </c>
      <c r="V886" s="154">
        <f t="shared" si="23"/>
        <v>0</v>
      </c>
    </row>
    <row r="887" spans="1:22">
      <c r="A887" s="154">
        <f>'MATCH CALCS'!A888</f>
        <v>0</v>
      </c>
      <c r="B887" s="154">
        <f>'MATCH CALCS'!$C888</f>
        <v>0</v>
      </c>
      <c r="C887" s="154">
        <f t="shared" si="19"/>
        <v>0</v>
      </c>
      <c r="D887" s="6">
        <f>'MATCH CALCS'!$G888*2</f>
        <v>0</v>
      </c>
      <c r="E887" s="6">
        <f>'MATCH CALCS'!$G888*2</f>
        <v>0</v>
      </c>
      <c r="F887" s="6">
        <f>'MATCH CALCS'!$G888*2</f>
        <v>0</v>
      </c>
      <c r="G887" s="6">
        <f>'MATCH CALCS'!$G888*2</f>
        <v>0</v>
      </c>
      <c r="H887" s="6">
        <f>'MATCH CALCS'!$G888*2</f>
        <v>0</v>
      </c>
      <c r="I887" s="6">
        <f>'MATCH CALCS'!$G888*2</f>
        <v>0</v>
      </c>
      <c r="J887" s="154">
        <f t="shared" si="20"/>
        <v>0</v>
      </c>
      <c r="K887" s="6">
        <f>'MATCH CALCS'!L888*1</f>
        <v>0</v>
      </c>
      <c r="L887" s="6">
        <f>'MATCH CALCS'!$N888*2</f>
        <v>0</v>
      </c>
      <c r="M887" s="6">
        <f>'MATCH CALCS'!N888*1</f>
        <v>0</v>
      </c>
      <c r="N887" s="6">
        <f>'MATCH CALCS'!$N888*2</f>
        <v>0</v>
      </c>
      <c r="O887" s="6">
        <f>'MATCH CALCS'!$N888*2</f>
        <v>0</v>
      </c>
      <c r="P887" s="6">
        <f>'MATCH CALCS'!$P888*5</f>
        <v>0</v>
      </c>
      <c r="Q887" s="154">
        <f t="shared" si="21"/>
        <v>0</v>
      </c>
      <c r="R887" s="6">
        <f>'MATCH CALCS'!$AD888*1</f>
        <v>0</v>
      </c>
      <c r="S887" s="6">
        <f>'MATCH CALCS'!AC888*3</f>
        <v>0</v>
      </c>
      <c r="T887" s="6">
        <f>'MATCH CALCS'!AD888*3</f>
        <v>0</v>
      </c>
      <c r="U887" s="155">
        <f t="shared" si="22"/>
        <v>0</v>
      </c>
      <c r="V887" s="154">
        <f t="shared" si="23"/>
        <v>0</v>
      </c>
    </row>
    <row r="888" spans="1:22">
      <c r="A888" s="154">
        <f>'MATCH CALCS'!A889</f>
        <v>0</v>
      </c>
      <c r="B888" s="154">
        <f>'MATCH CALCS'!$C889</f>
        <v>0</v>
      </c>
      <c r="C888" s="154">
        <f t="shared" si="19"/>
        <v>0</v>
      </c>
      <c r="D888" s="6">
        <f>'MATCH CALCS'!$G889*2</f>
        <v>0</v>
      </c>
      <c r="E888" s="6">
        <f>'MATCH CALCS'!$G889*2</f>
        <v>0</v>
      </c>
      <c r="F888" s="6">
        <f>'MATCH CALCS'!$G889*2</f>
        <v>0</v>
      </c>
      <c r="G888" s="6">
        <f>'MATCH CALCS'!$G889*2</f>
        <v>0</v>
      </c>
      <c r="H888" s="6">
        <f>'MATCH CALCS'!$G889*2</f>
        <v>0</v>
      </c>
      <c r="I888" s="6">
        <f>'MATCH CALCS'!$G889*2</f>
        <v>0</v>
      </c>
      <c r="J888" s="154">
        <f t="shared" si="20"/>
        <v>0</v>
      </c>
      <c r="K888" s="6">
        <f>'MATCH CALCS'!L889*1</f>
        <v>0</v>
      </c>
      <c r="L888" s="6">
        <f>'MATCH CALCS'!$N889*2</f>
        <v>0</v>
      </c>
      <c r="M888" s="6">
        <f>'MATCH CALCS'!N889*1</f>
        <v>0</v>
      </c>
      <c r="N888" s="6">
        <f>'MATCH CALCS'!$N889*2</f>
        <v>0</v>
      </c>
      <c r="O888" s="6">
        <f>'MATCH CALCS'!$N889*2</f>
        <v>0</v>
      </c>
      <c r="P888" s="6">
        <f>'MATCH CALCS'!$P889*5</f>
        <v>0</v>
      </c>
      <c r="Q888" s="154">
        <f t="shared" si="21"/>
        <v>0</v>
      </c>
      <c r="R888" s="6">
        <f>'MATCH CALCS'!$AD889*1</f>
        <v>0</v>
      </c>
      <c r="S888" s="6">
        <f>'MATCH CALCS'!AC889*3</f>
        <v>0</v>
      </c>
      <c r="T888" s="6">
        <f>'MATCH CALCS'!AD889*3</f>
        <v>0</v>
      </c>
      <c r="U888" s="155">
        <f t="shared" si="22"/>
        <v>0</v>
      </c>
      <c r="V888" s="154">
        <f t="shared" si="23"/>
        <v>0</v>
      </c>
    </row>
    <row r="889" spans="1:22">
      <c r="A889" s="154">
        <f>'MATCH CALCS'!A890</f>
        <v>0</v>
      </c>
      <c r="B889" s="154">
        <f>'MATCH CALCS'!$C890</f>
        <v>0</v>
      </c>
      <c r="C889" s="154">
        <f t="shared" si="19"/>
        <v>0</v>
      </c>
      <c r="D889" s="6">
        <f>'MATCH CALCS'!$G890*2</f>
        <v>0</v>
      </c>
      <c r="E889" s="6">
        <f>'MATCH CALCS'!$G890*2</f>
        <v>0</v>
      </c>
      <c r="F889" s="6">
        <f>'MATCH CALCS'!$G890*2</f>
        <v>0</v>
      </c>
      <c r="G889" s="6">
        <f>'MATCH CALCS'!$G890*2</f>
        <v>0</v>
      </c>
      <c r="H889" s="6">
        <f>'MATCH CALCS'!$G890*2</f>
        <v>0</v>
      </c>
      <c r="I889" s="6">
        <f>'MATCH CALCS'!$G890*2</f>
        <v>0</v>
      </c>
      <c r="J889" s="154">
        <f t="shared" si="20"/>
        <v>0</v>
      </c>
      <c r="K889" s="6">
        <f>'MATCH CALCS'!L890*1</f>
        <v>0</v>
      </c>
      <c r="L889" s="6">
        <f>'MATCH CALCS'!$N890*2</f>
        <v>0</v>
      </c>
      <c r="M889" s="6">
        <f>'MATCH CALCS'!N890*1</f>
        <v>0</v>
      </c>
      <c r="N889" s="6">
        <f>'MATCH CALCS'!$N890*2</f>
        <v>0</v>
      </c>
      <c r="O889" s="6">
        <f>'MATCH CALCS'!$N890*2</f>
        <v>0</v>
      </c>
      <c r="P889" s="6">
        <f>'MATCH CALCS'!$P890*5</f>
        <v>0</v>
      </c>
      <c r="Q889" s="154">
        <f t="shared" si="21"/>
        <v>0</v>
      </c>
      <c r="R889" s="6">
        <f>'MATCH CALCS'!$AD890*1</f>
        <v>0</v>
      </c>
      <c r="S889" s="6">
        <f>'MATCH CALCS'!AC890*3</f>
        <v>0</v>
      </c>
      <c r="T889" s="6">
        <f>'MATCH CALCS'!AD890*3</f>
        <v>0</v>
      </c>
      <c r="U889" s="155">
        <f t="shared" si="22"/>
        <v>0</v>
      </c>
      <c r="V889" s="154">
        <f t="shared" si="23"/>
        <v>0</v>
      </c>
    </row>
    <row r="890" spans="1:22">
      <c r="A890" s="154">
        <f>'MATCH CALCS'!A891</f>
        <v>0</v>
      </c>
      <c r="B890" s="154">
        <f>'MATCH CALCS'!$C891</f>
        <v>0</v>
      </c>
      <c r="C890" s="154">
        <f t="shared" si="19"/>
        <v>0</v>
      </c>
      <c r="D890" s="6">
        <f>'MATCH CALCS'!$G891*2</f>
        <v>0</v>
      </c>
      <c r="E890" s="6">
        <f>'MATCH CALCS'!$G891*2</f>
        <v>0</v>
      </c>
      <c r="F890" s="6">
        <f>'MATCH CALCS'!$G891*2</f>
        <v>0</v>
      </c>
      <c r="G890" s="6">
        <f>'MATCH CALCS'!$G891*2</f>
        <v>0</v>
      </c>
      <c r="H890" s="6">
        <f>'MATCH CALCS'!$G891*2</f>
        <v>0</v>
      </c>
      <c r="I890" s="6">
        <f>'MATCH CALCS'!$G891*2</f>
        <v>0</v>
      </c>
      <c r="J890" s="154">
        <f t="shared" si="20"/>
        <v>0</v>
      </c>
      <c r="K890" s="6">
        <f>'MATCH CALCS'!L891*1</f>
        <v>0</v>
      </c>
      <c r="L890" s="6">
        <f>'MATCH CALCS'!$N891*2</f>
        <v>0</v>
      </c>
      <c r="M890" s="6">
        <f>'MATCH CALCS'!N891*1</f>
        <v>0</v>
      </c>
      <c r="N890" s="6">
        <f>'MATCH CALCS'!$N891*2</f>
        <v>0</v>
      </c>
      <c r="O890" s="6">
        <f>'MATCH CALCS'!$N891*2</f>
        <v>0</v>
      </c>
      <c r="P890" s="6">
        <f>'MATCH CALCS'!$P891*5</f>
        <v>0</v>
      </c>
      <c r="Q890" s="154">
        <f t="shared" si="21"/>
        <v>0</v>
      </c>
      <c r="R890" s="6">
        <f>'MATCH CALCS'!$AD891*1</f>
        <v>0</v>
      </c>
      <c r="S890" s="6">
        <f>'MATCH CALCS'!AC891*3</f>
        <v>0</v>
      </c>
      <c r="T890" s="6">
        <f>'MATCH CALCS'!AD891*3</f>
        <v>0</v>
      </c>
      <c r="U890" s="155">
        <f t="shared" si="22"/>
        <v>0</v>
      </c>
      <c r="V890" s="154">
        <f t="shared" si="23"/>
        <v>0</v>
      </c>
    </row>
    <row r="891" spans="1:22">
      <c r="A891" s="154">
        <f>'MATCH CALCS'!A892</f>
        <v>0</v>
      </c>
      <c r="B891" s="154">
        <f>'MATCH CALCS'!$C892</f>
        <v>0</v>
      </c>
      <c r="C891" s="154">
        <f t="shared" si="19"/>
        <v>0</v>
      </c>
      <c r="D891" s="6">
        <f>'MATCH CALCS'!$G892*2</f>
        <v>0</v>
      </c>
      <c r="E891" s="6">
        <f>'MATCH CALCS'!$G892*2</f>
        <v>0</v>
      </c>
      <c r="F891" s="6">
        <f>'MATCH CALCS'!$G892*2</f>
        <v>0</v>
      </c>
      <c r="G891" s="6">
        <f>'MATCH CALCS'!$G892*2</f>
        <v>0</v>
      </c>
      <c r="H891" s="6">
        <f>'MATCH CALCS'!$G892*2</f>
        <v>0</v>
      </c>
      <c r="I891" s="6">
        <f>'MATCH CALCS'!$G892*2</f>
        <v>0</v>
      </c>
      <c r="J891" s="154">
        <f t="shared" si="20"/>
        <v>0</v>
      </c>
      <c r="K891" s="6">
        <f>'MATCH CALCS'!L892*1</f>
        <v>0</v>
      </c>
      <c r="L891" s="6">
        <f>'MATCH CALCS'!$N892*2</f>
        <v>0</v>
      </c>
      <c r="M891" s="6">
        <f>'MATCH CALCS'!N892*1</f>
        <v>0</v>
      </c>
      <c r="N891" s="6">
        <f>'MATCH CALCS'!$N892*2</f>
        <v>0</v>
      </c>
      <c r="O891" s="6">
        <f>'MATCH CALCS'!$N892*2</f>
        <v>0</v>
      </c>
      <c r="P891" s="6">
        <f>'MATCH CALCS'!$P892*5</f>
        <v>0</v>
      </c>
      <c r="Q891" s="154">
        <f t="shared" si="21"/>
        <v>0</v>
      </c>
      <c r="R891" s="6">
        <f>'MATCH CALCS'!$AD892*1</f>
        <v>0</v>
      </c>
      <c r="S891" s="6">
        <f>'MATCH CALCS'!AC892*3</f>
        <v>0</v>
      </c>
      <c r="T891" s="6">
        <f>'MATCH CALCS'!AD892*3</f>
        <v>0</v>
      </c>
      <c r="U891" s="155">
        <f t="shared" si="22"/>
        <v>0</v>
      </c>
      <c r="V891" s="154">
        <f t="shared" si="23"/>
        <v>0</v>
      </c>
    </row>
    <row r="892" spans="1:22">
      <c r="A892" s="154">
        <f>'MATCH CALCS'!A893</f>
        <v>0</v>
      </c>
      <c r="B892" s="154">
        <f>'MATCH CALCS'!$C893</f>
        <v>0</v>
      </c>
      <c r="C892" s="154">
        <f t="shared" si="19"/>
        <v>0</v>
      </c>
      <c r="D892" s="6">
        <f>'MATCH CALCS'!$G893*2</f>
        <v>0</v>
      </c>
      <c r="E892" s="6">
        <f>'MATCH CALCS'!$G893*2</f>
        <v>0</v>
      </c>
      <c r="F892" s="6">
        <f>'MATCH CALCS'!$G893*2</f>
        <v>0</v>
      </c>
      <c r="G892" s="6">
        <f>'MATCH CALCS'!$G893*2</f>
        <v>0</v>
      </c>
      <c r="H892" s="6">
        <f>'MATCH CALCS'!$G893*2</f>
        <v>0</v>
      </c>
      <c r="I892" s="6">
        <f>'MATCH CALCS'!$G893*2</f>
        <v>0</v>
      </c>
      <c r="J892" s="154">
        <f t="shared" si="20"/>
        <v>0</v>
      </c>
      <c r="K892" s="6">
        <f>'MATCH CALCS'!L893*1</f>
        <v>0</v>
      </c>
      <c r="L892" s="6">
        <f>'MATCH CALCS'!$N893*2</f>
        <v>0</v>
      </c>
      <c r="M892" s="6">
        <f>'MATCH CALCS'!N893*1</f>
        <v>0</v>
      </c>
      <c r="N892" s="6">
        <f>'MATCH CALCS'!$N893*2</f>
        <v>0</v>
      </c>
      <c r="O892" s="6">
        <f>'MATCH CALCS'!$N893*2</f>
        <v>0</v>
      </c>
      <c r="P892" s="6">
        <f>'MATCH CALCS'!$P893*5</f>
        <v>0</v>
      </c>
      <c r="Q892" s="154">
        <f t="shared" si="21"/>
        <v>0</v>
      </c>
      <c r="R892" s="6">
        <f>'MATCH CALCS'!$AD893*1</f>
        <v>0</v>
      </c>
      <c r="S892" s="6">
        <f>'MATCH CALCS'!AC893*3</f>
        <v>0</v>
      </c>
      <c r="T892" s="6">
        <f>'MATCH CALCS'!AD893*3</f>
        <v>0</v>
      </c>
      <c r="U892" s="155">
        <f t="shared" si="22"/>
        <v>0</v>
      </c>
      <c r="V892" s="154">
        <f t="shared" si="23"/>
        <v>0</v>
      </c>
    </row>
    <row r="893" spans="1:22">
      <c r="A893" s="154">
        <f>'MATCH CALCS'!A894</f>
        <v>0</v>
      </c>
      <c r="B893" s="154">
        <f>'MATCH CALCS'!$C894</f>
        <v>0</v>
      </c>
      <c r="C893" s="154">
        <f t="shared" si="19"/>
        <v>0</v>
      </c>
      <c r="D893" s="6">
        <f>'MATCH CALCS'!$G894*2</f>
        <v>0</v>
      </c>
      <c r="E893" s="6">
        <f>'MATCH CALCS'!$G894*2</f>
        <v>0</v>
      </c>
      <c r="F893" s="6">
        <f>'MATCH CALCS'!$G894*2</f>
        <v>0</v>
      </c>
      <c r="G893" s="6">
        <f>'MATCH CALCS'!$G894*2</f>
        <v>0</v>
      </c>
      <c r="H893" s="6">
        <f>'MATCH CALCS'!$G894*2</f>
        <v>0</v>
      </c>
      <c r="I893" s="6">
        <f>'MATCH CALCS'!$G894*2</f>
        <v>0</v>
      </c>
      <c r="J893" s="154">
        <f t="shared" si="20"/>
        <v>0</v>
      </c>
      <c r="K893" s="6">
        <f>'MATCH CALCS'!L894*1</f>
        <v>0</v>
      </c>
      <c r="L893" s="6">
        <f>'MATCH CALCS'!$N894*2</f>
        <v>0</v>
      </c>
      <c r="M893" s="6">
        <f>'MATCH CALCS'!N894*1</f>
        <v>0</v>
      </c>
      <c r="N893" s="6">
        <f>'MATCH CALCS'!$N894*2</f>
        <v>0</v>
      </c>
      <c r="O893" s="6">
        <f>'MATCH CALCS'!$N894*2</f>
        <v>0</v>
      </c>
      <c r="P893" s="6">
        <f>'MATCH CALCS'!$P894*5</f>
        <v>0</v>
      </c>
      <c r="Q893" s="154">
        <f t="shared" si="21"/>
        <v>0</v>
      </c>
      <c r="R893" s="6">
        <f>'MATCH CALCS'!$AD894*1</f>
        <v>0</v>
      </c>
      <c r="S893" s="6">
        <f>'MATCH CALCS'!AC894*3</f>
        <v>0</v>
      </c>
      <c r="T893" s="6">
        <f>'MATCH CALCS'!AD894*3</f>
        <v>0</v>
      </c>
      <c r="U893" s="155">
        <f t="shared" si="22"/>
        <v>0</v>
      </c>
      <c r="V893" s="154">
        <f t="shared" si="23"/>
        <v>0</v>
      </c>
    </row>
    <row r="894" spans="1:22">
      <c r="A894" s="154">
        <f>'MATCH CALCS'!A895</f>
        <v>0</v>
      </c>
      <c r="B894" s="154">
        <f>'MATCH CALCS'!$C895</f>
        <v>0</v>
      </c>
      <c r="C894" s="154">
        <f t="shared" si="19"/>
        <v>0</v>
      </c>
      <c r="D894" s="6">
        <f>'MATCH CALCS'!$G895*2</f>
        <v>0</v>
      </c>
      <c r="E894" s="6">
        <f>'MATCH CALCS'!$G895*2</f>
        <v>0</v>
      </c>
      <c r="F894" s="6">
        <f>'MATCH CALCS'!$G895*2</f>
        <v>0</v>
      </c>
      <c r="G894" s="6">
        <f>'MATCH CALCS'!$G895*2</f>
        <v>0</v>
      </c>
      <c r="H894" s="6">
        <f>'MATCH CALCS'!$G895*2</f>
        <v>0</v>
      </c>
      <c r="I894" s="6">
        <f>'MATCH CALCS'!$G895*2</f>
        <v>0</v>
      </c>
      <c r="J894" s="154">
        <f t="shared" si="20"/>
        <v>0</v>
      </c>
      <c r="K894" s="6">
        <f>'MATCH CALCS'!L895*1</f>
        <v>0</v>
      </c>
      <c r="L894" s="6">
        <f>'MATCH CALCS'!$N895*2</f>
        <v>0</v>
      </c>
      <c r="M894" s="6">
        <f>'MATCH CALCS'!N895*1</f>
        <v>0</v>
      </c>
      <c r="N894" s="6">
        <f>'MATCH CALCS'!$N895*2</f>
        <v>0</v>
      </c>
      <c r="O894" s="6">
        <f>'MATCH CALCS'!$N895*2</f>
        <v>0</v>
      </c>
      <c r="P894" s="6">
        <f>'MATCH CALCS'!$P895*5</f>
        <v>0</v>
      </c>
      <c r="Q894" s="154">
        <f t="shared" si="21"/>
        <v>0</v>
      </c>
      <c r="R894" s="6">
        <f>'MATCH CALCS'!$AD895*1</f>
        <v>0</v>
      </c>
      <c r="S894" s="6">
        <f>'MATCH CALCS'!AC895*3</f>
        <v>0</v>
      </c>
      <c r="T894" s="6">
        <f>'MATCH CALCS'!AD895*3</f>
        <v>0</v>
      </c>
      <c r="U894" s="155">
        <f t="shared" si="22"/>
        <v>0</v>
      </c>
      <c r="V894" s="154">
        <f t="shared" si="23"/>
        <v>0</v>
      </c>
    </row>
    <row r="895" spans="1:22">
      <c r="A895" s="154">
        <f>'MATCH CALCS'!A896</f>
        <v>0</v>
      </c>
      <c r="B895" s="154">
        <f>'MATCH CALCS'!$C896</f>
        <v>0</v>
      </c>
      <c r="C895" s="154">
        <f t="shared" si="19"/>
        <v>0</v>
      </c>
      <c r="D895" s="6">
        <f>'MATCH CALCS'!$G896*2</f>
        <v>0</v>
      </c>
      <c r="E895" s="6">
        <f>'MATCH CALCS'!$G896*2</f>
        <v>0</v>
      </c>
      <c r="F895" s="6">
        <f>'MATCH CALCS'!$G896*2</f>
        <v>0</v>
      </c>
      <c r="G895" s="6">
        <f>'MATCH CALCS'!$G896*2</f>
        <v>0</v>
      </c>
      <c r="H895" s="6">
        <f>'MATCH CALCS'!$G896*2</f>
        <v>0</v>
      </c>
      <c r="I895" s="6">
        <f>'MATCH CALCS'!$G896*2</f>
        <v>0</v>
      </c>
      <c r="J895" s="154">
        <f t="shared" si="20"/>
        <v>0</v>
      </c>
      <c r="K895" s="6">
        <f>'MATCH CALCS'!L896*1</f>
        <v>0</v>
      </c>
      <c r="L895" s="6">
        <f>'MATCH CALCS'!$N896*2</f>
        <v>0</v>
      </c>
      <c r="M895" s="6">
        <f>'MATCH CALCS'!N896*1</f>
        <v>0</v>
      </c>
      <c r="N895" s="6">
        <f>'MATCH CALCS'!$N896*2</f>
        <v>0</v>
      </c>
      <c r="O895" s="6">
        <f>'MATCH CALCS'!$N896*2</f>
        <v>0</v>
      </c>
      <c r="P895" s="6">
        <f>'MATCH CALCS'!$P896*5</f>
        <v>0</v>
      </c>
      <c r="Q895" s="154">
        <f t="shared" si="21"/>
        <v>0</v>
      </c>
      <c r="R895" s="6">
        <f>'MATCH CALCS'!$AD896*1</f>
        <v>0</v>
      </c>
      <c r="S895" s="6">
        <f>'MATCH CALCS'!AC896*3</f>
        <v>0</v>
      </c>
      <c r="T895" s="6">
        <f>'MATCH CALCS'!AD896*3</f>
        <v>0</v>
      </c>
      <c r="U895" s="155">
        <f t="shared" si="22"/>
        <v>0</v>
      </c>
      <c r="V895" s="154">
        <f t="shared" si="23"/>
        <v>0</v>
      </c>
    </row>
    <row r="896" spans="1:22">
      <c r="A896" s="154">
        <f>'MATCH CALCS'!A897</f>
        <v>0</v>
      </c>
      <c r="B896" s="154">
        <f>'MATCH CALCS'!$C897</f>
        <v>0</v>
      </c>
      <c r="C896" s="154">
        <f t="shared" si="19"/>
        <v>0</v>
      </c>
      <c r="D896" s="6">
        <f>'MATCH CALCS'!$G897*2</f>
        <v>0</v>
      </c>
      <c r="E896" s="6">
        <f>'MATCH CALCS'!$G897*2</f>
        <v>0</v>
      </c>
      <c r="F896" s="6">
        <f>'MATCH CALCS'!$G897*2</f>
        <v>0</v>
      </c>
      <c r="G896" s="6">
        <f>'MATCH CALCS'!$G897*2</f>
        <v>0</v>
      </c>
      <c r="H896" s="6">
        <f>'MATCH CALCS'!$G897*2</f>
        <v>0</v>
      </c>
      <c r="I896" s="6">
        <f>'MATCH CALCS'!$G897*2</f>
        <v>0</v>
      </c>
      <c r="J896" s="154">
        <f t="shared" si="20"/>
        <v>0</v>
      </c>
      <c r="K896" s="6">
        <f>'MATCH CALCS'!L897*1</f>
        <v>0</v>
      </c>
      <c r="L896" s="6">
        <f>'MATCH CALCS'!$N897*2</f>
        <v>0</v>
      </c>
      <c r="M896" s="6">
        <f>'MATCH CALCS'!N897*1</f>
        <v>0</v>
      </c>
      <c r="N896" s="6">
        <f>'MATCH CALCS'!$N897*2</f>
        <v>0</v>
      </c>
      <c r="O896" s="6">
        <f>'MATCH CALCS'!$N897*2</f>
        <v>0</v>
      </c>
      <c r="P896" s="6">
        <f>'MATCH CALCS'!$P897*5</f>
        <v>0</v>
      </c>
      <c r="Q896" s="154">
        <f t="shared" si="21"/>
        <v>0</v>
      </c>
      <c r="R896" s="6">
        <f>'MATCH CALCS'!$AD897*1</f>
        <v>0</v>
      </c>
      <c r="S896" s="6">
        <f>'MATCH CALCS'!AC897*3</f>
        <v>0</v>
      </c>
      <c r="T896" s="6">
        <f>'MATCH CALCS'!AD897*3</f>
        <v>0</v>
      </c>
      <c r="U896" s="155">
        <f t="shared" si="22"/>
        <v>0</v>
      </c>
      <c r="V896" s="154">
        <f t="shared" si="23"/>
        <v>0</v>
      </c>
    </row>
    <row r="897" spans="1:22">
      <c r="A897" s="154">
        <f>'MATCH CALCS'!A898</f>
        <v>0</v>
      </c>
      <c r="B897" s="154">
        <f>'MATCH CALCS'!$C898</f>
        <v>0</v>
      </c>
      <c r="C897" s="154">
        <f t="shared" si="19"/>
        <v>0</v>
      </c>
      <c r="D897" s="6">
        <f>'MATCH CALCS'!$G898*2</f>
        <v>0</v>
      </c>
      <c r="E897" s="6">
        <f>'MATCH CALCS'!$G898*2</f>
        <v>0</v>
      </c>
      <c r="F897" s="6">
        <f>'MATCH CALCS'!$G898*2</f>
        <v>0</v>
      </c>
      <c r="G897" s="6">
        <f>'MATCH CALCS'!$G898*2</f>
        <v>0</v>
      </c>
      <c r="H897" s="6">
        <f>'MATCH CALCS'!$G898*2</f>
        <v>0</v>
      </c>
      <c r="I897" s="6">
        <f>'MATCH CALCS'!$G898*2</f>
        <v>0</v>
      </c>
      <c r="J897" s="154">
        <f t="shared" si="20"/>
        <v>0</v>
      </c>
      <c r="K897" s="6">
        <f>'MATCH CALCS'!L898*1</f>
        <v>0</v>
      </c>
      <c r="L897" s="6">
        <f>'MATCH CALCS'!$N898*2</f>
        <v>0</v>
      </c>
      <c r="M897" s="6">
        <f>'MATCH CALCS'!N898*1</f>
        <v>0</v>
      </c>
      <c r="N897" s="6">
        <f>'MATCH CALCS'!$N898*2</f>
        <v>0</v>
      </c>
      <c r="O897" s="6">
        <f>'MATCH CALCS'!$N898*2</f>
        <v>0</v>
      </c>
      <c r="P897" s="6">
        <f>'MATCH CALCS'!$P898*5</f>
        <v>0</v>
      </c>
      <c r="Q897" s="154">
        <f t="shared" si="21"/>
        <v>0</v>
      </c>
      <c r="R897" s="6">
        <f>'MATCH CALCS'!$AD898*1</f>
        <v>0</v>
      </c>
      <c r="S897" s="6">
        <f>'MATCH CALCS'!AC898*3</f>
        <v>0</v>
      </c>
      <c r="T897" s="6">
        <f>'MATCH CALCS'!AD898*3</f>
        <v>0</v>
      </c>
      <c r="U897" s="155">
        <f t="shared" si="22"/>
        <v>0</v>
      </c>
      <c r="V897" s="154">
        <f t="shared" si="23"/>
        <v>0</v>
      </c>
    </row>
    <row r="898" spans="1:22">
      <c r="A898" s="154">
        <f>'MATCH CALCS'!A899</f>
        <v>0</v>
      </c>
      <c r="B898" s="154">
        <f>'MATCH CALCS'!$C899</f>
        <v>0</v>
      </c>
      <c r="C898" s="154">
        <f t="shared" si="19"/>
        <v>0</v>
      </c>
      <c r="D898" s="6">
        <f>'MATCH CALCS'!$G899*2</f>
        <v>0</v>
      </c>
      <c r="E898" s="6">
        <f>'MATCH CALCS'!$G899*2</f>
        <v>0</v>
      </c>
      <c r="F898" s="6">
        <f>'MATCH CALCS'!$G899*2</f>
        <v>0</v>
      </c>
      <c r="G898" s="6">
        <f>'MATCH CALCS'!$G899*2</f>
        <v>0</v>
      </c>
      <c r="H898" s="6">
        <f>'MATCH CALCS'!$G899*2</f>
        <v>0</v>
      </c>
      <c r="I898" s="6">
        <f>'MATCH CALCS'!$G899*2</f>
        <v>0</v>
      </c>
      <c r="J898" s="154">
        <f t="shared" si="20"/>
        <v>0</v>
      </c>
      <c r="K898" s="6">
        <f>'MATCH CALCS'!L899*1</f>
        <v>0</v>
      </c>
      <c r="L898" s="6">
        <f>'MATCH CALCS'!$N899*2</f>
        <v>0</v>
      </c>
      <c r="M898" s="6">
        <f>'MATCH CALCS'!N899*1</f>
        <v>0</v>
      </c>
      <c r="N898" s="6">
        <f>'MATCH CALCS'!$N899*2</f>
        <v>0</v>
      </c>
      <c r="O898" s="6">
        <f>'MATCH CALCS'!$N899*2</f>
        <v>0</v>
      </c>
      <c r="P898" s="6">
        <f>'MATCH CALCS'!$P899*5</f>
        <v>0</v>
      </c>
      <c r="Q898" s="154">
        <f t="shared" si="21"/>
        <v>0</v>
      </c>
      <c r="R898" s="6">
        <f>'MATCH CALCS'!$AD899*1</f>
        <v>0</v>
      </c>
      <c r="S898" s="6">
        <f>'MATCH CALCS'!AC899*3</f>
        <v>0</v>
      </c>
      <c r="T898" s="6">
        <f>'MATCH CALCS'!AD899*3</f>
        <v>0</v>
      </c>
      <c r="U898" s="155">
        <f t="shared" si="22"/>
        <v>0</v>
      </c>
      <c r="V898" s="154">
        <f t="shared" si="23"/>
        <v>0</v>
      </c>
    </row>
    <row r="899" spans="1:22">
      <c r="A899" s="154">
        <f>'MATCH CALCS'!A900</f>
        <v>0</v>
      </c>
      <c r="B899" s="154">
        <f>'MATCH CALCS'!$C900</f>
        <v>0</v>
      </c>
      <c r="C899" s="154">
        <f t="shared" si="19"/>
        <v>0</v>
      </c>
      <c r="D899" s="6">
        <f>'MATCH CALCS'!$G900*2</f>
        <v>0</v>
      </c>
      <c r="E899" s="6">
        <f>'MATCH CALCS'!$G900*2</f>
        <v>0</v>
      </c>
      <c r="F899" s="6">
        <f>'MATCH CALCS'!$G900*2</f>
        <v>0</v>
      </c>
      <c r="G899" s="6">
        <f>'MATCH CALCS'!$G900*2</f>
        <v>0</v>
      </c>
      <c r="H899" s="6">
        <f>'MATCH CALCS'!$G900*2</f>
        <v>0</v>
      </c>
      <c r="I899" s="6">
        <f>'MATCH CALCS'!$G900*2</f>
        <v>0</v>
      </c>
      <c r="J899" s="154">
        <f t="shared" si="20"/>
        <v>0</v>
      </c>
      <c r="K899" s="6">
        <f>'MATCH CALCS'!L900*1</f>
        <v>0</v>
      </c>
      <c r="L899" s="6">
        <f>'MATCH CALCS'!$N900*2</f>
        <v>0</v>
      </c>
      <c r="M899" s="6">
        <f>'MATCH CALCS'!N900*1</f>
        <v>0</v>
      </c>
      <c r="N899" s="6">
        <f>'MATCH CALCS'!$N900*2</f>
        <v>0</v>
      </c>
      <c r="O899" s="6">
        <f>'MATCH CALCS'!$N900*2</f>
        <v>0</v>
      </c>
      <c r="P899" s="6">
        <f>'MATCH CALCS'!$P900*5</f>
        <v>0</v>
      </c>
      <c r="Q899" s="154">
        <f t="shared" si="21"/>
        <v>0</v>
      </c>
      <c r="R899" s="6">
        <f>'MATCH CALCS'!$AD900*1</f>
        <v>0</v>
      </c>
      <c r="S899" s="6">
        <f>'MATCH CALCS'!AC900*3</f>
        <v>0</v>
      </c>
      <c r="T899" s="6">
        <f>'MATCH CALCS'!AD900*3</f>
        <v>0</v>
      </c>
      <c r="U899" s="155">
        <f t="shared" si="22"/>
        <v>0</v>
      </c>
      <c r="V899" s="154">
        <f t="shared" si="23"/>
        <v>0</v>
      </c>
    </row>
    <row r="900" spans="1:22">
      <c r="A900" s="154">
        <f>'MATCH CALCS'!A901</f>
        <v>0</v>
      </c>
      <c r="B900" s="154">
        <f>'MATCH CALCS'!$C901</f>
        <v>0</v>
      </c>
      <c r="C900" s="154">
        <f t="shared" si="19"/>
        <v>0</v>
      </c>
      <c r="D900" s="6">
        <f>'MATCH CALCS'!$G901*2</f>
        <v>0</v>
      </c>
      <c r="E900" s="6">
        <f>'MATCH CALCS'!$G901*2</f>
        <v>0</v>
      </c>
      <c r="F900" s="6">
        <f>'MATCH CALCS'!$G901*2</f>
        <v>0</v>
      </c>
      <c r="G900" s="6">
        <f>'MATCH CALCS'!$G901*2</f>
        <v>0</v>
      </c>
      <c r="H900" s="6">
        <f>'MATCH CALCS'!$G901*2</f>
        <v>0</v>
      </c>
      <c r="I900" s="6">
        <f>'MATCH CALCS'!$G901*2</f>
        <v>0</v>
      </c>
      <c r="J900" s="154">
        <f t="shared" si="20"/>
        <v>0</v>
      </c>
      <c r="K900" s="6">
        <f>'MATCH CALCS'!L901*1</f>
        <v>0</v>
      </c>
      <c r="L900" s="6">
        <f>'MATCH CALCS'!$N901*2</f>
        <v>0</v>
      </c>
      <c r="M900" s="6">
        <f>'MATCH CALCS'!N901*1</f>
        <v>0</v>
      </c>
      <c r="N900" s="6">
        <f>'MATCH CALCS'!$N901*2</f>
        <v>0</v>
      </c>
      <c r="O900" s="6">
        <f>'MATCH CALCS'!$N901*2</f>
        <v>0</v>
      </c>
      <c r="P900" s="6">
        <f>'MATCH CALCS'!$P901*5</f>
        <v>0</v>
      </c>
      <c r="Q900" s="154">
        <f t="shared" si="21"/>
        <v>0</v>
      </c>
      <c r="R900" s="6">
        <f>'MATCH CALCS'!$AD901*1</f>
        <v>0</v>
      </c>
      <c r="S900" s="6">
        <f>'MATCH CALCS'!AC901*3</f>
        <v>0</v>
      </c>
      <c r="T900" s="6">
        <f>'MATCH CALCS'!AD901*3</f>
        <v>0</v>
      </c>
      <c r="U900" s="155">
        <f t="shared" si="22"/>
        <v>0</v>
      </c>
      <c r="V900" s="154">
        <f t="shared" si="23"/>
        <v>0</v>
      </c>
    </row>
    <row r="901" spans="1:22">
      <c r="A901" s="154">
        <f>'MATCH CALCS'!A902</f>
        <v>0</v>
      </c>
      <c r="B901" s="154">
        <f>'MATCH CALCS'!$C902</f>
        <v>0</v>
      </c>
      <c r="C901" s="154">
        <f t="shared" si="19"/>
        <v>0</v>
      </c>
      <c r="D901" s="6">
        <f>'MATCH CALCS'!$G902*2</f>
        <v>0</v>
      </c>
      <c r="E901" s="6">
        <f>'MATCH CALCS'!$G902*2</f>
        <v>0</v>
      </c>
      <c r="F901" s="6">
        <f>'MATCH CALCS'!$G902*2</f>
        <v>0</v>
      </c>
      <c r="G901" s="6">
        <f>'MATCH CALCS'!$G902*2</f>
        <v>0</v>
      </c>
      <c r="H901" s="6">
        <f>'MATCH CALCS'!$G902*2</f>
        <v>0</v>
      </c>
      <c r="I901" s="6">
        <f>'MATCH CALCS'!$G902*2</f>
        <v>0</v>
      </c>
      <c r="J901" s="154">
        <f t="shared" si="20"/>
        <v>0</v>
      </c>
      <c r="K901" s="6">
        <f>'MATCH CALCS'!L902*1</f>
        <v>0</v>
      </c>
      <c r="L901" s="6">
        <f>'MATCH CALCS'!$N902*2</f>
        <v>0</v>
      </c>
      <c r="M901" s="6">
        <f>'MATCH CALCS'!N902*1</f>
        <v>0</v>
      </c>
      <c r="N901" s="6">
        <f>'MATCH CALCS'!$N902*2</f>
        <v>0</v>
      </c>
      <c r="O901" s="6">
        <f>'MATCH CALCS'!$N902*2</f>
        <v>0</v>
      </c>
      <c r="P901" s="6">
        <f>'MATCH CALCS'!$P902*5</f>
        <v>0</v>
      </c>
      <c r="Q901" s="154">
        <f t="shared" si="21"/>
        <v>0</v>
      </c>
      <c r="R901" s="6">
        <f>'MATCH CALCS'!$AD902*1</f>
        <v>0</v>
      </c>
      <c r="S901" s="6">
        <f>'MATCH CALCS'!AC902*3</f>
        <v>0</v>
      </c>
      <c r="T901" s="6">
        <f>'MATCH CALCS'!AD902*3</f>
        <v>0</v>
      </c>
      <c r="U901" s="155">
        <f t="shared" si="22"/>
        <v>0</v>
      </c>
      <c r="V901" s="154">
        <f t="shared" si="23"/>
        <v>0</v>
      </c>
    </row>
    <row r="902" spans="1:22">
      <c r="A902" s="154">
        <f>'MATCH CALCS'!A903</f>
        <v>0</v>
      </c>
      <c r="B902" s="154">
        <f>'MATCH CALCS'!$C903</f>
        <v>0</v>
      </c>
      <c r="C902" s="154">
        <f t="shared" si="19"/>
        <v>0</v>
      </c>
      <c r="D902" s="6">
        <f>'MATCH CALCS'!$G903*2</f>
        <v>0</v>
      </c>
      <c r="E902" s="6">
        <f>'MATCH CALCS'!$G903*2</f>
        <v>0</v>
      </c>
      <c r="F902" s="6">
        <f>'MATCH CALCS'!$G903*2</f>
        <v>0</v>
      </c>
      <c r="G902" s="6">
        <f>'MATCH CALCS'!$G903*2</f>
        <v>0</v>
      </c>
      <c r="H902" s="6">
        <f>'MATCH CALCS'!$G903*2</f>
        <v>0</v>
      </c>
      <c r="I902" s="6">
        <f>'MATCH CALCS'!$G903*2</f>
        <v>0</v>
      </c>
      <c r="J902" s="154">
        <f t="shared" si="20"/>
        <v>0</v>
      </c>
      <c r="K902" s="6">
        <f>'MATCH CALCS'!L903*1</f>
        <v>0</v>
      </c>
      <c r="L902" s="6">
        <f>'MATCH CALCS'!$N903*2</f>
        <v>0</v>
      </c>
      <c r="M902" s="6">
        <f>'MATCH CALCS'!N903*1</f>
        <v>0</v>
      </c>
      <c r="N902" s="6">
        <f>'MATCH CALCS'!$N903*2</f>
        <v>0</v>
      </c>
      <c r="O902" s="6">
        <f>'MATCH CALCS'!$N903*2</f>
        <v>0</v>
      </c>
      <c r="P902" s="6">
        <f>'MATCH CALCS'!$P903*5</f>
        <v>0</v>
      </c>
      <c r="Q902" s="154">
        <f t="shared" si="21"/>
        <v>0</v>
      </c>
      <c r="R902" s="6">
        <f>'MATCH CALCS'!$AD903*1</f>
        <v>0</v>
      </c>
      <c r="S902" s="6">
        <f>'MATCH CALCS'!AC903*3</f>
        <v>0</v>
      </c>
      <c r="T902" s="6">
        <f>'MATCH CALCS'!AD903*3</f>
        <v>0</v>
      </c>
      <c r="U902" s="155">
        <f t="shared" si="22"/>
        <v>0</v>
      </c>
      <c r="V902" s="154">
        <f t="shared" si="23"/>
        <v>0</v>
      </c>
    </row>
    <row r="903" spans="1:22">
      <c r="A903" s="154">
        <f>'MATCH CALCS'!A904</f>
        <v>0</v>
      </c>
      <c r="B903" s="154">
        <f>'MATCH CALCS'!$C904</f>
        <v>0</v>
      </c>
      <c r="C903" s="154">
        <f t="shared" si="19"/>
        <v>0</v>
      </c>
      <c r="D903" s="6">
        <f>'MATCH CALCS'!$G904*2</f>
        <v>0</v>
      </c>
      <c r="E903" s="6">
        <f>'MATCH CALCS'!$G904*2</f>
        <v>0</v>
      </c>
      <c r="F903" s="6">
        <f>'MATCH CALCS'!$G904*2</f>
        <v>0</v>
      </c>
      <c r="G903" s="6">
        <f>'MATCH CALCS'!$G904*2</f>
        <v>0</v>
      </c>
      <c r="H903" s="6">
        <f>'MATCH CALCS'!$G904*2</f>
        <v>0</v>
      </c>
      <c r="I903" s="6">
        <f>'MATCH CALCS'!$G904*2</f>
        <v>0</v>
      </c>
      <c r="J903" s="154">
        <f t="shared" si="20"/>
        <v>0</v>
      </c>
      <c r="K903" s="6">
        <f>'MATCH CALCS'!L904*1</f>
        <v>0</v>
      </c>
      <c r="L903" s="6">
        <f>'MATCH CALCS'!$N904*2</f>
        <v>0</v>
      </c>
      <c r="M903" s="6">
        <f>'MATCH CALCS'!N904*1</f>
        <v>0</v>
      </c>
      <c r="N903" s="6">
        <f>'MATCH CALCS'!$N904*2</f>
        <v>0</v>
      </c>
      <c r="O903" s="6">
        <f>'MATCH CALCS'!$N904*2</f>
        <v>0</v>
      </c>
      <c r="P903" s="6">
        <f>'MATCH CALCS'!$P904*5</f>
        <v>0</v>
      </c>
      <c r="Q903" s="154">
        <f t="shared" si="21"/>
        <v>0</v>
      </c>
      <c r="R903" s="6">
        <f>'MATCH CALCS'!$AD904*1</f>
        <v>0</v>
      </c>
      <c r="S903" s="6">
        <f>'MATCH CALCS'!AC904*3</f>
        <v>0</v>
      </c>
      <c r="T903" s="6">
        <f>'MATCH CALCS'!AD904*3</f>
        <v>0</v>
      </c>
      <c r="U903" s="155">
        <f t="shared" si="22"/>
        <v>0</v>
      </c>
      <c r="V903" s="154">
        <f t="shared" si="23"/>
        <v>0</v>
      </c>
    </row>
    <row r="904" spans="1:22">
      <c r="A904" s="154">
        <f>'MATCH CALCS'!A905</f>
        <v>0</v>
      </c>
      <c r="B904" s="154">
        <f>'MATCH CALCS'!$C905</f>
        <v>0</v>
      </c>
      <c r="C904" s="154">
        <f t="shared" si="19"/>
        <v>0</v>
      </c>
      <c r="D904" s="6">
        <f>'MATCH CALCS'!$G905*2</f>
        <v>0</v>
      </c>
      <c r="E904" s="6">
        <f>'MATCH CALCS'!$G905*2</f>
        <v>0</v>
      </c>
      <c r="F904" s="6">
        <f>'MATCH CALCS'!$G905*2</f>
        <v>0</v>
      </c>
      <c r="G904" s="6">
        <f>'MATCH CALCS'!$G905*2</f>
        <v>0</v>
      </c>
      <c r="H904" s="6">
        <f>'MATCH CALCS'!$G905*2</f>
        <v>0</v>
      </c>
      <c r="I904" s="6">
        <f>'MATCH CALCS'!$G905*2</f>
        <v>0</v>
      </c>
      <c r="J904" s="154">
        <f t="shared" si="20"/>
        <v>0</v>
      </c>
      <c r="K904" s="6">
        <f>'MATCH CALCS'!L905*1</f>
        <v>0</v>
      </c>
      <c r="L904" s="6">
        <f>'MATCH CALCS'!$N905*2</f>
        <v>0</v>
      </c>
      <c r="M904" s="6">
        <f>'MATCH CALCS'!N905*1</f>
        <v>0</v>
      </c>
      <c r="N904" s="6">
        <f>'MATCH CALCS'!$N905*2</f>
        <v>0</v>
      </c>
      <c r="O904" s="6">
        <f>'MATCH CALCS'!$N905*2</f>
        <v>0</v>
      </c>
      <c r="P904" s="6">
        <f>'MATCH CALCS'!$P905*5</f>
        <v>0</v>
      </c>
      <c r="Q904" s="154">
        <f t="shared" si="21"/>
        <v>0</v>
      </c>
      <c r="R904" s="6">
        <f>'MATCH CALCS'!$AD905*1</f>
        <v>0</v>
      </c>
      <c r="S904" s="6">
        <f>'MATCH CALCS'!AC905*3</f>
        <v>0</v>
      </c>
      <c r="T904" s="6">
        <f>'MATCH CALCS'!AD905*3</f>
        <v>0</v>
      </c>
      <c r="U904" s="155">
        <f t="shared" si="22"/>
        <v>0</v>
      </c>
      <c r="V904" s="154">
        <f t="shared" si="23"/>
        <v>0</v>
      </c>
    </row>
    <row r="905" spans="1:22">
      <c r="A905" s="154">
        <f>'MATCH CALCS'!A906</f>
        <v>0</v>
      </c>
      <c r="B905" s="154">
        <f>'MATCH CALCS'!$C906</f>
        <v>0</v>
      </c>
      <c r="C905" s="154">
        <f t="shared" si="19"/>
        <v>0</v>
      </c>
      <c r="D905" s="6">
        <f>'MATCH CALCS'!$G906*2</f>
        <v>0</v>
      </c>
      <c r="E905" s="6">
        <f>'MATCH CALCS'!$G906*2</f>
        <v>0</v>
      </c>
      <c r="F905" s="6">
        <f>'MATCH CALCS'!$G906*2</f>
        <v>0</v>
      </c>
      <c r="G905" s="6">
        <f>'MATCH CALCS'!$G906*2</f>
        <v>0</v>
      </c>
      <c r="H905" s="6">
        <f>'MATCH CALCS'!$G906*2</f>
        <v>0</v>
      </c>
      <c r="I905" s="6">
        <f>'MATCH CALCS'!$G906*2</f>
        <v>0</v>
      </c>
      <c r="J905" s="154">
        <f t="shared" si="20"/>
        <v>0</v>
      </c>
      <c r="K905" s="6">
        <f>'MATCH CALCS'!L906*1</f>
        <v>0</v>
      </c>
      <c r="L905" s="6">
        <f>'MATCH CALCS'!$N906*2</f>
        <v>0</v>
      </c>
      <c r="M905" s="6">
        <f>'MATCH CALCS'!N906*1</f>
        <v>0</v>
      </c>
      <c r="N905" s="6">
        <f>'MATCH CALCS'!$N906*2</f>
        <v>0</v>
      </c>
      <c r="O905" s="6">
        <f>'MATCH CALCS'!$N906*2</f>
        <v>0</v>
      </c>
      <c r="P905" s="6">
        <f>'MATCH CALCS'!$P906*5</f>
        <v>0</v>
      </c>
      <c r="Q905" s="154">
        <f t="shared" si="21"/>
        <v>0</v>
      </c>
      <c r="R905" s="6">
        <f>'MATCH CALCS'!$AD906*1</f>
        <v>0</v>
      </c>
      <c r="S905" s="6">
        <f>'MATCH CALCS'!AC906*3</f>
        <v>0</v>
      </c>
      <c r="T905" s="6">
        <f>'MATCH CALCS'!AD906*3</f>
        <v>0</v>
      </c>
      <c r="U905" s="155">
        <f t="shared" si="22"/>
        <v>0</v>
      </c>
      <c r="V905" s="154">
        <f t="shared" si="23"/>
        <v>0</v>
      </c>
    </row>
    <row r="906" spans="1:22">
      <c r="A906" s="154">
        <f>'MATCH CALCS'!A907</f>
        <v>0</v>
      </c>
      <c r="B906" s="154">
        <f>'MATCH CALCS'!$C907</f>
        <v>0</v>
      </c>
      <c r="C906" s="154">
        <f t="shared" si="19"/>
        <v>0</v>
      </c>
      <c r="D906" s="6">
        <f>'MATCH CALCS'!$G907*2</f>
        <v>0</v>
      </c>
      <c r="E906" s="6">
        <f>'MATCH CALCS'!$G907*2</f>
        <v>0</v>
      </c>
      <c r="F906" s="6">
        <f>'MATCH CALCS'!$G907*2</f>
        <v>0</v>
      </c>
      <c r="G906" s="6">
        <f>'MATCH CALCS'!$G907*2</f>
        <v>0</v>
      </c>
      <c r="H906" s="6">
        <f>'MATCH CALCS'!$G907*2</f>
        <v>0</v>
      </c>
      <c r="I906" s="6">
        <f>'MATCH CALCS'!$G907*2</f>
        <v>0</v>
      </c>
      <c r="J906" s="154">
        <f t="shared" si="20"/>
        <v>0</v>
      </c>
      <c r="K906" s="6">
        <f>'MATCH CALCS'!L907*1</f>
        <v>0</v>
      </c>
      <c r="L906" s="6">
        <f>'MATCH CALCS'!$N907*2</f>
        <v>0</v>
      </c>
      <c r="M906" s="6">
        <f>'MATCH CALCS'!N907*1</f>
        <v>0</v>
      </c>
      <c r="N906" s="6">
        <f>'MATCH CALCS'!$N907*2</f>
        <v>0</v>
      </c>
      <c r="O906" s="6">
        <f>'MATCH CALCS'!$N907*2</f>
        <v>0</v>
      </c>
      <c r="P906" s="6">
        <f>'MATCH CALCS'!$P907*5</f>
        <v>0</v>
      </c>
      <c r="Q906" s="154">
        <f t="shared" si="21"/>
        <v>0</v>
      </c>
      <c r="R906" s="6">
        <f>'MATCH CALCS'!$AD907*1</f>
        <v>0</v>
      </c>
      <c r="S906" s="6">
        <f>'MATCH CALCS'!AC907*3</f>
        <v>0</v>
      </c>
      <c r="T906" s="6">
        <f>'MATCH CALCS'!AD907*3</f>
        <v>0</v>
      </c>
      <c r="U906" s="155">
        <f t="shared" si="22"/>
        <v>0</v>
      </c>
      <c r="V906" s="154">
        <f t="shared" si="23"/>
        <v>0</v>
      </c>
    </row>
    <row r="907" spans="1:22">
      <c r="A907" s="154">
        <f>'MATCH CALCS'!A908</f>
        <v>0</v>
      </c>
      <c r="B907" s="154">
        <f>'MATCH CALCS'!$C908</f>
        <v>0</v>
      </c>
      <c r="C907" s="154">
        <f t="shared" si="19"/>
        <v>0</v>
      </c>
      <c r="D907" s="6">
        <f>'MATCH CALCS'!$G908*2</f>
        <v>0</v>
      </c>
      <c r="E907" s="6">
        <f>'MATCH CALCS'!$G908*2</f>
        <v>0</v>
      </c>
      <c r="F907" s="6">
        <f>'MATCH CALCS'!$G908*2</f>
        <v>0</v>
      </c>
      <c r="G907" s="6">
        <f>'MATCH CALCS'!$G908*2</f>
        <v>0</v>
      </c>
      <c r="H907" s="6">
        <f>'MATCH CALCS'!$G908*2</f>
        <v>0</v>
      </c>
      <c r="I907" s="6">
        <f>'MATCH CALCS'!$G908*2</f>
        <v>0</v>
      </c>
      <c r="J907" s="154">
        <f t="shared" si="20"/>
        <v>0</v>
      </c>
      <c r="K907" s="6">
        <f>'MATCH CALCS'!L908*1</f>
        <v>0</v>
      </c>
      <c r="L907" s="6">
        <f>'MATCH CALCS'!$N908*2</f>
        <v>0</v>
      </c>
      <c r="M907" s="6">
        <f>'MATCH CALCS'!N908*1</f>
        <v>0</v>
      </c>
      <c r="N907" s="6">
        <f>'MATCH CALCS'!$N908*2</f>
        <v>0</v>
      </c>
      <c r="O907" s="6">
        <f>'MATCH CALCS'!$N908*2</f>
        <v>0</v>
      </c>
      <c r="P907" s="6">
        <f>'MATCH CALCS'!$P908*5</f>
        <v>0</v>
      </c>
      <c r="Q907" s="154">
        <f t="shared" si="21"/>
        <v>0</v>
      </c>
      <c r="R907" s="6">
        <f>'MATCH CALCS'!$AD908*1</f>
        <v>0</v>
      </c>
      <c r="S907" s="6">
        <f>'MATCH CALCS'!AC908*3</f>
        <v>0</v>
      </c>
      <c r="T907" s="6">
        <f>'MATCH CALCS'!AD908*3</f>
        <v>0</v>
      </c>
      <c r="U907" s="155">
        <f t="shared" si="22"/>
        <v>0</v>
      </c>
      <c r="V907" s="154">
        <f t="shared" si="23"/>
        <v>0</v>
      </c>
    </row>
    <row r="908" spans="1:22">
      <c r="A908" s="154">
        <f>'MATCH CALCS'!A909</f>
        <v>0</v>
      </c>
      <c r="B908" s="154">
        <f>'MATCH CALCS'!$C909</f>
        <v>0</v>
      </c>
      <c r="C908" s="154">
        <f t="shared" si="19"/>
        <v>0</v>
      </c>
      <c r="D908" s="6">
        <f>'MATCH CALCS'!$G909*2</f>
        <v>0</v>
      </c>
      <c r="E908" s="6">
        <f>'MATCH CALCS'!$G909*2</f>
        <v>0</v>
      </c>
      <c r="F908" s="6">
        <f>'MATCH CALCS'!$G909*2</f>
        <v>0</v>
      </c>
      <c r="G908" s="6">
        <f>'MATCH CALCS'!$G909*2</f>
        <v>0</v>
      </c>
      <c r="H908" s="6">
        <f>'MATCH CALCS'!$G909*2</f>
        <v>0</v>
      </c>
      <c r="I908" s="6">
        <f>'MATCH CALCS'!$G909*2</f>
        <v>0</v>
      </c>
      <c r="J908" s="154">
        <f t="shared" si="20"/>
        <v>0</v>
      </c>
      <c r="K908" s="6">
        <f>'MATCH CALCS'!L909*1</f>
        <v>0</v>
      </c>
      <c r="L908" s="6">
        <f>'MATCH CALCS'!$N909*2</f>
        <v>0</v>
      </c>
      <c r="M908" s="6">
        <f>'MATCH CALCS'!N909*1</f>
        <v>0</v>
      </c>
      <c r="N908" s="6">
        <f>'MATCH CALCS'!$N909*2</f>
        <v>0</v>
      </c>
      <c r="O908" s="6">
        <f>'MATCH CALCS'!$N909*2</f>
        <v>0</v>
      </c>
      <c r="P908" s="6">
        <f>'MATCH CALCS'!$P909*5</f>
        <v>0</v>
      </c>
      <c r="Q908" s="154">
        <f t="shared" si="21"/>
        <v>0</v>
      </c>
      <c r="R908" s="6">
        <f>'MATCH CALCS'!$AD909*1</f>
        <v>0</v>
      </c>
      <c r="S908" s="6">
        <f>'MATCH CALCS'!AC909*3</f>
        <v>0</v>
      </c>
      <c r="T908" s="6">
        <f>'MATCH CALCS'!AD909*3</f>
        <v>0</v>
      </c>
      <c r="U908" s="155">
        <f t="shared" si="22"/>
        <v>0</v>
      </c>
      <c r="V908" s="154">
        <f t="shared" si="23"/>
        <v>0</v>
      </c>
    </row>
    <row r="909" spans="1:22">
      <c r="A909" s="154">
        <f>'MATCH CALCS'!A910</f>
        <v>0</v>
      </c>
      <c r="B909" s="154">
        <f>'MATCH CALCS'!$C910</f>
        <v>0</v>
      </c>
      <c r="C909" s="154">
        <f t="shared" si="19"/>
        <v>0</v>
      </c>
      <c r="D909" s="6">
        <f>'MATCH CALCS'!$G910*2</f>
        <v>0</v>
      </c>
      <c r="E909" s="6">
        <f>'MATCH CALCS'!$G910*2</f>
        <v>0</v>
      </c>
      <c r="F909" s="6">
        <f>'MATCH CALCS'!$G910*2</f>
        <v>0</v>
      </c>
      <c r="G909" s="6">
        <f>'MATCH CALCS'!$G910*2</f>
        <v>0</v>
      </c>
      <c r="H909" s="6">
        <f>'MATCH CALCS'!$G910*2</f>
        <v>0</v>
      </c>
      <c r="I909" s="6">
        <f>'MATCH CALCS'!$G910*2</f>
        <v>0</v>
      </c>
      <c r="J909" s="154">
        <f t="shared" si="20"/>
        <v>0</v>
      </c>
      <c r="K909" s="6">
        <f>'MATCH CALCS'!L910*1</f>
        <v>0</v>
      </c>
      <c r="L909" s="6">
        <f>'MATCH CALCS'!$N910*2</f>
        <v>0</v>
      </c>
      <c r="M909" s="6">
        <f>'MATCH CALCS'!N910*1</f>
        <v>0</v>
      </c>
      <c r="N909" s="6">
        <f>'MATCH CALCS'!$N910*2</f>
        <v>0</v>
      </c>
      <c r="O909" s="6">
        <f>'MATCH CALCS'!$N910*2</f>
        <v>0</v>
      </c>
      <c r="P909" s="6">
        <f>'MATCH CALCS'!$P910*5</f>
        <v>0</v>
      </c>
      <c r="Q909" s="154">
        <f t="shared" si="21"/>
        <v>0</v>
      </c>
      <c r="R909" s="6">
        <f>'MATCH CALCS'!$AD910*1</f>
        <v>0</v>
      </c>
      <c r="S909" s="6">
        <f>'MATCH CALCS'!AC910*3</f>
        <v>0</v>
      </c>
      <c r="T909" s="6">
        <f>'MATCH CALCS'!AD910*3</f>
        <v>0</v>
      </c>
      <c r="U909" s="155">
        <f t="shared" si="22"/>
        <v>0</v>
      </c>
      <c r="V909" s="154">
        <f t="shared" si="23"/>
        <v>0</v>
      </c>
    </row>
    <row r="910" spans="1:22">
      <c r="A910" s="154">
        <f>'MATCH CALCS'!A911</f>
        <v>0</v>
      </c>
      <c r="B910" s="154">
        <f>'MATCH CALCS'!$C911</f>
        <v>0</v>
      </c>
      <c r="C910" s="154">
        <f t="shared" si="19"/>
        <v>0</v>
      </c>
      <c r="D910" s="6">
        <f>'MATCH CALCS'!$G911*2</f>
        <v>0</v>
      </c>
      <c r="E910" s="6">
        <f>'MATCH CALCS'!$G911*2</f>
        <v>0</v>
      </c>
      <c r="F910" s="6">
        <f>'MATCH CALCS'!$G911*2</f>
        <v>0</v>
      </c>
      <c r="G910" s="6">
        <f>'MATCH CALCS'!$G911*2</f>
        <v>0</v>
      </c>
      <c r="H910" s="6">
        <f>'MATCH CALCS'!$G911*2</f>
        <v>0</v>
      </c>
      <c r="I910" s="6">
        <f>'MATCH CALCS'!$G911*2</f>
        <v>0</v>
      </c>
      <c r="J910" s="154">
        <f t="shared" si="20"/>
        <v>0</v>
      </c>
      <c r="K910" s="6">
        <f>'MATCH CALCS'!L911*1</f>
        <v>0</v>
      </c>
      <c r="L910" s="6">
        <f>'MATCH CALCS'!$N911*2</f>
        <v>0</v>
      </c>
      <c r="M910" s="6">
        <f>'MATCH CALCS'!N911*1</f>
        <v>0</v>
      </c>
      <c r="N910" s="6">
        <f>'MATCH CALCS'!$N911*2</f>
        <v>0</v>
      </c>
      <c r="O910" s="6">
        <f>'MATCH CALCS'!$N911*2</f>
        <v>0</v>
      </c>
      <c r="P910" s="6">
        <f>'MATCH CALCS'!$P911*5</f>
        <v>0</v>
      </c>
      <c r="Q910" s="154">
        <f t="shared" si="21"/>
        <v>0</v>
      </c>
      <c r="R910" s="6">
        <f>'MATCH CALCS'!$AD911*1</f>
        <v>0</v>
      </c>
      <c r="S910" s="6">
        <f>'MATCH CALCS'!AC911*3</f>
        <v>0</v>
      </c>
      <c r="T910" s="6">
        <f>'MATCH CALCS'!AD911*3</f>
        <v>0</v>
      </c>
      <c r="U910" s="155">
        <f t="shared" si="22"/>
        <v>0</v>
      </c>
      <c r="V910" s="154">
        <f t="shared" si="23"/>
        <v>0</v>
      </c>
    </row>
    <row r="911" spans="1:22">
      <c r="A911" s="154">
        <f>'MATCH CALCS'!A912</f>
        <v>0</v>
      </c>
      <c r="B911" s="154">
        <f>'MATCH CALCS'!$C912</f>
        <v>0</v>
      </c>
      <c r="C911" s="154">
        <f t="shared" si="19"/>
        <v>0</v>
      </c>
      <c r="D911" s="6">
        <f>'MATCH CALCS'!$G912*2</f>
        <v>0</v>
      </c>
      <c r="E911" s="6">
        <f>'MATCH CALCS'!$G912*2</f>
        <v>0</v>
      </c>
      <c r="F911" s="6">
        <f>'MATCH CALCS'!$G912*2</f>
        <v>0</v>
      </c>
      <c r="G911" s="6">
        <f>'MATCH CALCS'!$G912*2</f>
        <v>0</v>
      </c>
      <c r="H911" s="6">
        <f>'MATCH CALCS'!$G912*2</f>
        <v>0</v>
      </c>
      <c r="I911" s="6">
        <f>'MATCH CALCS'!$G912*2</f>
        <v>0</v>
      </c>
      <c r="J911" s="154">
        <f t="shared" si="20"/>
        <v>0</v>
      </c>
      <c r="K911" s="6">
        <f>'MATCH CALCS'!L912*1</f>
        <v>0</v>
      </c>
      <c r="L911" s="6">
        <f>'MATCH CALCS'!$N912*2</f>
        <v>0</v>
      </c>
      <c r="M911" s="6">
        <f>'MATCH CALCS'!N912*1</f>
        <v>0</v>
      </c>
      <c r="N911" s="6">
        <f>'MATCH CALCS'!$N912*2</f>
        <v>0</v>
      </c>
      <c r="O911" s="6">
        <f>'MATCH CALCS'!$N912*2</f>
        <v>0</v>
      </c>
      <c r="P911" s="6">
        <f>'MATCH CALCS'!$P912*5</f>
        <v>0</v>
      </c>
      <c r="Q911" s="154">
        <f t="shared" si="21"/>
        <v>0</v>
      </c>
      <c r="R911" s="6">
        <f>'MATCH CALCS'!$AD912*1</f>
        <v>0</v>
      </c>
      <c r="S911" s="6">
        <f>'MATCH CALCS'!AC912*3</f>
        <v>0</v>
      </c>
      <c r="T911" s="6">
        <f>'MATCH CALCS'!AD912*3</f>
        <v>0</v>
      </c>
      <c r="U911" s="155">
        <f t="shared" si="22"/>
        <v>0</v>
      </c>
      <c r="V911" s="154">
        <f t="shared" si="23"/>
        <v>0</v>
      </c>
    </row>
    <row r="912" spans="1:22">
      <c r="A912" s="154">
        <f>'MATCH CALCS'!A913</f>
        <v>0</v>
      </c>
      <c r="B912" s="154">
        <f>'MATCH CALCS'!$C913</f>
        <v>0</v>
      </c>
      <c r="C912" s="154">
        <f t="shared" si="19"/>
        <v>0</v>
      </c>
      <c r="D912" s="6">
        <f>'MATCH CALCS'!$G913*2</f>
        <v>0</v>
      </c>
      <c r="E912" s="6">
        <f>'MATCH CALCS'!$G913*2</f>
        <v>0</v>
      </c>
      <c r="F912" s="6">
        <f>'MATCH CALCS'!$G913*2</f>
        <v>0</v>
      </c>
      <c r="G912" s="6">
        <f>'MATCH CALCS'!$G913*2</f>
        <v>0</v>
      </c>
      <c r="H912" s="6">
        <f>'MATCH CALCS'!$G913*2</f>
        <v>0</v>
      </c>
      <c r="I912" s="6">
        <f>'MATCH CALCS'!$G913*2</f>
        <v>0</v>
      </c>
      <c r="J912" s="154">
        <f t="shared" si="20"/>
        <v>0</v>
      </c>
      <c r="K912" s="6">
        <f>'MATCH CALCS'!L913*1</f>
        <v>0</v>
      </c>
      <c r="L912" s="6">
        <f>'MATCH CALCS'!$N913*2</f>
        <v>0</v>
      </c>
      <c r="M912" s="6">
        <f>'MATCH CALCS'!N913*1</f>
        <v>0</v>
      </c>
      <c r="N912" s="6">
        <f>'MATCH CALCS'!$N913*2</f>
        <v>0</v>
      </c>
      <c r="O912" s="6">
        <f>'MATCH CALCS'!$N913*2</f>
        <v>0</v>
      </c>
      <c r="P912" s="6">
        <f>'MATCH CALCS'!$P913*5</f>
        <v>0</v>
      </c>
      <c r="Q912" s="154">
        <f t="shared" si="21"/>
        <v>0</v>
      </c>
      <c r="R912" s="6">
        <f>'MATCH CALCS'!$AD913*1</f>
        <v>0</v>
      </c>
      <c r="S912" s="6">
        <f>'MATCH CALCS'!AC913*3</f>
        <v>0</v>
      </c>
      <c r="T912" s="6">
        <f>'MATCH CALCS'!AD913*3</f>
        <v>0</v>
      </c>
      <c r="U912" s="155">
        <f t="shared" si="22"/>
        <v>0</v>
      </c>
      <c r="V912" s="154">
        <f t="shared" si="23"/>
        <v>0</v>
      </c>
    </row>
    <row r="913" spans="1:22">
      <c r="A913" s="154">
        <f>'MATCH CALCS'!A914</f>
        <v>0</v>
      </c>
      <c r="B913" s="154">
        <f>'MATCH CALCS'!$C914</f>
        <v>0</v>
      </c>
      <c r="C913" s="154">
        <f t="shared" si="19"/>
        <v>0</v>
      </c>
      <c r="D913" s="6">
        <f>'MATCH CALCS'!$G914*2</f>
        <v>0</v>
      </c>
      <c r="E913" s="6">
        <f>'MATCH CALCS'!$G914*2</f>
        <v>0</v>
      </c>
      <c r="F913" s="6">
        <f>'MATCH CALCS'!$G914*2</f>
        <v>0</v>
      </c>
      <c r="G913" s="6">
        <f>'MATCH CALCS'!$G914*2</f>
        <v>0</v>
      </c>
      <c r="H913" s="6">
        <f>'MATCH CALCS'!$G914*2</f>
        <v>0</v>
      </c>
      <c r="I913" s="6">
        <f>'MATCH CALCS'!$G914*2</f>
        <v>0</v>
      </c>
      <c r="J913" s="154">
        <f t="shared" si="20"/>
        <v>0</v>
      </c>
      <c r="K913" s="6">
        <f>'MATCH CALCS'!L914*1</f>
        <v>0</v>
      </c>
      <c r="L913" s="6">
        <f>'MATCH CALCS'!$N914*2</f>
        <v>0</v>
      </c>
      <c r="M913" s="6">
        <f>'MATCH CALCS'!N914*1</f>
        <v>0</v>
      </c>
      <c r="N913" s="6">
        <f>'MATCH CALCS'!$N914*2</f>
        <v>0</v>
      </c>
      <c r="O913" s="6">
        <f>'MATCH CALCS'!$N914*2</f>
        <v>0</v>
      </c>
      <c r="P913" s="6">
        <f>'MATCH CALCS'!$P914*5</f>
        <v>0</v>
      </c>
      <c r="Q913" s="154">
        <f t="shared" si="21"/>
        <v>0</v>
      </c>
      <c r="R913" s="6">
        <f>'MATCH CALCS'!$AD914*1</f>
        <v>0</v>
      </c>
      <c r="S913" s="6">
        <f>'MATCH CALCS'!AC914*3</f>
        <v>0</v>
      </c>
      <c r="T913" s="6">
        <f>'MATCH CALCS'!AD914*3</f>
        <v>0</v>
      </c>
      <c r="U913" s="155">
        <f t="shared" si="22"/>
        <v>0</v>
      </c>
      <c r="V913" s="154">
        <f t="shared" si="23"/>
        <v>0</v>
      </c>
    </row>
    <row r="914" spans="1:22">
      <c r="A914" s="154">
        <f>'MATCH CALCS'!A915</f>
        <v>0</v>
      </c>
      <c r="B914" s="154">
        <f>'MATCH CALCS'!$C915</f>
        <v>0</v>
      </c>
      <c r="C914" s="154">
        <f t="shared" si="19"/>
        <v>0</v>
      </c>
      <c r="D914" s="6">
        <f>'MATCH CALCS'!$G915*2</f>
        <v>0</v>
      </c>
      <c r="E914" s="6">
        <f>'MATCH CALCS'!$G915*2</f>
        <v>0</v>
      </c>
      <c r="F914" s="6">
        <f>'MATCH CALCS'!$G915*2</f>
        <v>0</v>
      </c>
      <c r="G914" s="6">
        <f>'MATCH CALCS'!$G915*2</f>
        <v>0</v>
      </c>
      <c r="H914" s="6">
        <f>'MATCH CALCS'!$G915*2</f>
        <v>0</v>
      </c>
      <c r="I914" s="6">
        <f>'MATCH CALCS'!$G915*2</f>
        <v>0</v>
      </c>
      <c r="J914" s="154">
        <f t="shared" si="20"/>
        <v>0</v>
      </c>
      <c r="K914" s="6">
        <f>'MATCH CALCS'!L915*1</f>
        <v>0</v>
      </c>
      <c r="L914" s="6">
        <f>'MATCH CALCS'!$N915*2</f>
        <v>0</v>
      </c>
      <c r="M914" s="6">
        <f>'MATCH CALCS'!N915*1</f>
        <v>0</v>
      </c>
      <c r="N914" s="6">
        <f>'MATCH CALCS'!$N915*2</f>
        <v>0</v>
      </c>
      <c r="O914" s="6">
        <f>'MATCH CALCS'!$N915*2</f>
        <v>0</v>
      </c>
      <c r="P914" s="6">
        <f>'MATCH CALCS'!$P915*5</f>
        <v>0</v>
      </c>
      <c r="Q914" s="154">
        <f t="shared" si="21"/>
        <v>0</v>
      </c>
      <c r="R914" s="6">
        <f>'MATCH CALCS'!$AD915*1</f>
        <v>0</v>
      </c>
      <c r="S914" s="6">
        <f>'MATCH CALCS'!AC915*3</f>
        <v>0</v>
      </c>
      <c r="T914" s="6">
        <f>'MATCH CALCS'!AD915*3</f>
        <v>0</v>
      </c>
      <c r="U914" s="155">
        <f t="shared" si="22"/>
        <v>0</v>
      </c>
      <c r="V914" s="154">
        <f t="shared" si="23"/>
        <v>0</v>
      </c>
    </row>
    <row r="915" spans="1:22">
      <c r="A915" s="154">
        <f>'MATCH CALCS'!A916</f>
        <v>0</v>
      </c>
      <c r="B915" s="154">
        <f>'MATCH CALCS'!$C916</f>
        <v>0</v>
      </c>
      <c r="C915" s="154">
        <f t="shared" si="19"/>
        <v>0</v>
      </c>
      <c r="D915" s="6">
        <f>'MATCH CALCS'!$G916*2</f>
        <v>0</v>
      </c>
      <c r="E915" s="6">
        <f>'MATCH CALCS'!$G916*2</f>
        <v>0</v>
      </c>
      <c r="F915" s="6">
        <f>'MATCH CALCS'!$G916*2</f>
        <v>0</v>
      </c>
      <c r="G915" s="6">
        <f>'MATCH CALCS'!$G916*2</f>
        <v>0</v>
      </c>
      <c r="H915" s="6">
        <f>'MATCH CALCS'!$G916*2</f>
        <v>0</v>
      </c>
      <c r="I915" s="6">
        <f>'MATCH CALCS'!$G916*2</f>
        <v>0</v>
      </c>
      <c r="J915" s="154">
        <f t="shared" si="20"/>
        <v>0</v>
      </c>
      <c r="K915" s="6">
        <f>'MATCH CALCS'!L916*1</f>
        <v>0</v>
      </c>
      <c r="L915" s="6">
        <f>'MATCH CALCS'!$N916*2</f>
        <v>0</v>
      </c>
      <c r="M915" s="6">
        <f>'MATCH CALCS'!N916*1</f>
        <v>0</v>
      </c>
      <c r="N915" s="6">
        <f>'MATCH CALCS'!$N916*2</f>
        <v>0</v>
      </c>
      <c r="O915" s="6">
        <f>'MATCH CALCS'!$N916*2</f>
        <v>0</v>
      </c>
      <c r="P915" s="6">
        <f>'MATCH CALCS'!$P916*5</f>
        <v>0</v>
      </c>
      <c r="Q915" s="154">
        <f t="shared" si="21"/>
        <v>0</v>
      </c>
      <c r="R915" s="6">
        <f>'MATCH CALCS'!$AD916*1</f>
        <v>0</v>
      </c>
      <c r="S915" s="6">
        <f>'MATCH CALCS'!AC916*3</f>
        <v>0</v>
      </c>
      <c r="T915" s="6">
        <f>'MATCH CALCS'!AD916*3</f>
        <v>0</v>
      </c>
      <c r="U915" s="155">
        <f t="shared" si="22"/>
        <v>0</v>
      </c>
      <c r="V915" s="154">
        <f t="shared" si="23"/>
        <v>0</v>
      </c>
    </row>
    <row r="916" spans="1:22">
      <c r="A916" s="154">
        <f>'MATCH CALCS'!A917</f>
        <v>0</v>
      </c>
      <c r="B916" s="154">
        <f>'MATCH CALCS'!$C917</f>
        <v>0</v>
      </c>
      <c r="C916" s="154">
        <f t="shared" si="19"/>
        <v>0</v>
      </c>
      <c r="D916" s="6">
        <f>'MATCH CALCS'!$G917*2</f>
        <v>0</v>
      </c>
      <c r="E916" s="6">
        <f>'MATCH CALCS'!$G917*2</f>
        <v>0</v>
      </c>
      <c r="F916" s="6">
        <f>'MATCH CALCS'!$G917*2</f>
        <v>0</v>
      </c>
      <c r="G916" s="6">
        <f>'MATCH CALCS'!$G917*2</f>
        <v>0</v>
      </c>
      <c r="H916" s="6">
        <f>'MATCH CALCS'!$G917*2</f>
        <v>0</v>
      </c>
      <c r="I916" s="6">
        <f>'MATCH CALCS'!$G917*2</f>
        <v>0</v>
      </c>
      <c r="J916" s="154">
        <f t="shared" si="20"/>
        <v>0</v>
      </c>
      <c r="K916" s="6">
        <f>'MATCH CALCS'!L917*1</f>
        <v>0</v>
      </c>
      <c r="L916" s="6">
        <f>'MATCH CALCS'!$N917*2</f>
        <v>0</v>
      </c>
      <c r="M916" s="6">
        <f>'MATCH CALCS'!N917*1</f>
        <v>0</v>
      </c>
      <c r="N916" s="6">
        <f>'MATCH CALCS'!$N917*2</f>
        <v>0</v>
      </c>
      <c r="O916" s="6">
        <f>'MATCH CALCS'!$N917*2</f>
        <v>0</v>
      </c>
      <c r="P916" s="6">
        <f>'MATCH CALCS'!$P917*5</f>
        <v>0</v>
      </c>
      <c r="Q916" s="154">
        <f t="shared" si="21"/>
        <v>0</v>
      </c>
      <c r="R916" s="6">
        <f>'MATCH CALCS'!$AD917*1</f>
        <v>0</v>
      </c>
      <c r="S916" s="6">
        <f>'MATCH CALCS'!AC917*3</f>
        <v>0</v>
      </c>
      <c r="T916" s="6">
        <f>'MATCH CALCS'!AD917*3</f>
        <v>0</v>
      </c>
      <c r="U916" s="155">
        <f t="shared" si="22"/>
        <v>0</v>
      </c>
      <c r="V916" s="154">
        <f t="shared" si="23"/>
        <v>0</v>
      </c>
    </row>
    <row r="917" spans="1:22">
      <c r="A917" s="154">
        <f>'MATCH CALCS'!A918</f>
        <v>0</v>
      </c>
      <c r="B917" s="154">
        <f>'MATCH CALCS'!$C918</f>
        <v>0</v>
      </c>
      <c r="C917" s="154">
        <f t="shared" si="19"/>
        <v>0</v>
      </c>
      <c r="D917" s="6">
        <f>'MATCH CALCS'!$G918*2</f>
        <v>0</v>
      </c>
      <c r="E917" s="6">
        <f>'MATCH CALCS'!$G918*2</f>
        <v>0</v>
      </c>
      <c r="F917" s="6">
        <f>'MATCH CALCS'!$G918*2</f>
        <v>0</v>
      </c>
      <c r="G917" s="6">
        <f>'MATCH CALCS'!$G918*2</f>
        <v>0</v>
      </c>
      <c r="H917" s="6">
        <f>'MATCH CALCS'!$G918*2</f>
        <v>0</v>
      </c>
      <c r="I917" s="6">
        <f>'MATCH CALCS'!$G918*2</f>
        <v>0</v>
      </c>
      <c r="J917" s="154">
        <f t="shared" si="20"/>
        <v>0</v>
      </c>
      <c r="K917" s="6">
        <f>'MATCH CALCS'!L918*1</f>
        <v>0</v>
      </c>
      <c r="L917" s="6">
        <f>'MATCH CALCS'!$N918*2</f>
        <v>0</v>
      </c>
      <c r="M917" s="6">
        <f>'MATCH CALCS'!N918*1</f>
        <v>0</v>
      </c>
      <c r="N917" s="6">
        <f>'MATCH CALCS'!$N918*2</f>
        <v>0</v>
      </c>
      <c r="O917" s="6">
        <f>'MATCH CALCS'!$N918*2</f>
        <v>0</v>
      </c>
      <c r="P917" s="6">
        <f>'MATCH CALCS'!$P918*5</f>
        <v>0</v>
      </c>
      <c r="Q917" s="154">
        <f t="shared" si="21"/>
        <v>0</v>
      </c>
      <c r="R917" s="6">
        <f>'MATCH CALCS'!$AD918*1</f>
        <v>0</v>
      </c>
      <c r="S917" s="6">
        <f>'MATCH CALCS'!AC918*3</f>
        <v>0</v>
      </c>
      <c r="T917" s="6">
        <f>'MATCH CALCS'!AD918*3</f>
        <v>0</v>
      </c>
      <c r="U917" s="155">
        <f t="shared" si="22"/>
        <v>0</v>
      </c>
      <c r="V917" s="154">
        <f t="shared" si="23"/>
        <v>0</v>
      </c>
    </row>
    <row r="918" spans="1:22">
      <c r="A918" s="154">
        <f>'MATCH CALCS'!A919</f>
        <v>0</v>
      </c>
      <c r="B918" s="154">
        <f>'MATCH CALCS'!$C919</f>
        <v>0</v>
      </c>
      <c r="C918" s="154">
        <f t="shared" si="19"/>
        <v>0</v>
      </c>
      <c r="D918" s="6">
        <f>'MATCH CALCS'!$G919*2</f>
        <v>0</v>
      </c>
      <c r="E918" s="6">
        <f>'MATCH CALCS'!$G919*2</f>
        <v>0</v>
      </c>
      <c r="F918" s="6">
        <f>'MATCH CALCS'!$G919*2</f>
        <v>0</v>
      </c>
      <c r="G918" s="6">
        <f>'MATCH CALCS'!$G919*2</f>
        <v>0</v>
      </c>
      <c r="H918" s="6">
        <f>'MATCH CALCS'!$G919*2</f>
        <v>0</v>
      </c>
      <c r="I918" s="6">
        <f>'MATCH CALCS'!$G919*2</f>
        <v>0</v>
      </c>
      <c r="J918" s="154">
        <f t="shared" si="20"/>
        <v>0</v>
      </c>
      <c r="K918" s="6">
        <f>'MATCH CALCS'!L919*1</f>
        <v>0</v>
      </c>
      <c r="L918" s="6">
        <f>'MATCH CALCS'!$N919*2</f>
        <v>0</v>
      </c>
      <c r="M918" s="6">
        <f>'MATCH CALCS'!N919*1</f>
        <v>0</v>
      </c>
      <c r="N918" s="6">
        <f>'MATCH CALCS'!$N919*2</f>
        <v>0</v>
      </c>
      <c r="O918" s="6">
        <f>'MATCH CALCS'!$N919*2</f>
        <v>0</v>
      </c>
      <c r="P918" s="6">
        <f>'MATCH CALCS'!$P919*5</f>
        <v>0</v>
      </c>
      <c r="Q918" s="154">
        <f t="shared" si="21"/>
        <v>0</v>
      </c>
      <c r="R918" s="6">
        <f>'MATCH CALCS'!$AD919*1</f>
        <v>0</v>
      </c>
      <c r="S918" s="6">
        <f>'MATCH CALCS'!AC919*3</f>
        <v>0</v>
      </c>
      <c r="T918" s="6">
        <f>'MATCH CALCS'!AD919*3</f>
        <v>0</v>
      </c>
      <c r="U918" s="155">
        <f t="shared" si="22"/>
        <v>0</v>
      </c>
      <c r="V918" s="154">
        <f t="shared" si="23"/>
        <v>0</v>
      </c>
    </row>
    <row r="919" spans="1:22">
      <c r="A919" s="154">
        <f>'MATCH CALCS'!A920</f>
        <v>0</v>
      </c>
      <c r="B919" s="154">
        <f>'MATCH CALCS'!$C920</f>
        <v>0</v>
      </c>
      <c r="C919" s="154">
        <f t="shared" si="19"/>
        <v>0</v>
      </c>
      <c r="D919" s="6">
        <f>'MATCH CALCS'!$G920*2</f>
        <v>0</v>
      </c>
      <c r="E919" s="6">
        <f>'MATCH CALCS'!$G920*2</f>
        <v>0</v>
      </c>
      <c r="F919" s="6">
        <f>'MATCH CALCS'!$G920*2</f>
        <v>0</v>
      </c>
      <c r="G919" s="6">
        <f>'MATCH CALCS'!$G920*2</f>
        <v>0</v>
      </c>
      <c r="H919" s="6">
        <f>'MATCH CALCS'!$G920*2</f>
        <v>0</v>
      </c>
      <c r="I919" s="6">
        <f>'MATCH CALCS'!$G920*2</f>
        <v>0</v>
      </c>
      <c r="J919" s="154">
        <f t="shared" si="20"/>
        <v>0</v>
      </c>
      <c r="K919" s="6">
        <f>'MATCH CALCS'!L920*1</f>
        <v>0</v>
      </c>
      <c r="L919" s="6">
        <f>'MATCH CALCS'!$N920*2</f>
        <v>0</v>
      </c>
      <c r="M919" s="6">
        <f>'MATCH CALCS'!N920*1</f>
        <v>0</v>
      </c>
      <c r="N919" s="6">
        <f>'MATCH CALCS'!$N920*2</f>
        <v>0</v>
      </c>
      <c r="O919" s="6">
        <f>'MATCH CALCS'!$N920*2</f>
        <v>0</v>
      </c>
      <c r="P919" s="6">
        <f>'MATCH CALCS'!$P920*5</f>
        <v>0</v>
      </c>
      <c r="Q919" s="154">
        <f t="shared" si="21"/>
        <v>0</v>
      </c>
      <c r="R919" s="6">
        <f>'MATCH CALCS'!$AD920*1</f>
        <v>0</v>
      </c>
      <c r="S919" s="6">
        <f>'MATCH CALCS'!AC920*3</f>
        <v>0</v>
      </c>
      <c r="T919" s="6">
        <f>'MATCH CALCS'!AD920*3</f>
        <v>0</v>
      </c>
      <c r="U919" s="155">
        <f t="shared" si="22"/>
        <v>0</v>
      </c>
      <c r="V919" s="154">
        <f t="shared" si="23"/>
        <v>0</v>
      </c>
    </row>
    <row r="920" spans="1:22">
      <c r="A920" s="154">
        <f>'MATCH CALCS'!A921</f>
        <v>0</v>
      </c>
      <c r="B920" s="154">
        <f>'MATCH CALCS'!$C921</f>
        <v>0</v>
      </c>
      <c r="C920" s="154">
        <f t="shared" si="19"/>
        <v>0</v>
      </c>
      <c r="D920" s="6">
        <f>'MATCH CALCS'!$G921*2</f>
        <v>0</v>
      </c>
      <c r="E920" s="6">
        <f>'MATCH CALCS'!$G921*2</f>
        <v>0</v>
      </c>
      <c r="F920" s="6">
        <f>'MATCH CALCS'!$G921*2</f>
        <v>0</v>
      </c>
      <c r="G920" s="6">
        <f>'MATCH CALCS'!$G921*2</f>
        <v>0</v>
      </c>
      <c r="H920" s="6">
        <f>'MATCH CALCS'!$G921*2</f>
        <v>0</v>
      </c>
      <c r="I920" s="6">
        <f>'MATCH CALCS'!$G921*2</f>
        <v>0</v>
      </c>
      <c r="J920" s="154">
        <f t="shared" si="20"/>
        <v>0</v>
      </c>
      <c r="K920" s="6">
        <f>'MATCH CALCS'!L921*1</f>
        <v>0</v>
      </c>
      <c r="L920" s="6">
        <f>'MATCH CALCS'!$N921*2</f>
        <v>0</v>
      </c>
      <c r="M920" s="6">
        <f>'MATCH CALCS'!N921*1</f>
        <v>0</v>
      </c>
      <c r="N920" s="6">
        <f>'MATCH CALCS'!$N921*2</f>
        <v>0</v>
      </c>
      <c r="O920" s="6">
        <f>'MATCH CALCS'!$N921*2</f>
        <v>0</v>
      </c>
      <c r="P920" s="6">
        <f>'MATCH CALCS'!$P921*5</f>
        <v>0</v>
      </c>
      <c r="Q920" s="154">
        <f t="shared" si="21"/>
        <v>0</v>
      </c>
      <c r="R920" s="6">
        <f>'MATCH CALCS'!$AD921*1</f>
        <v>0</v>
      </c>
      <c r="S920" s="6">
        <f>'MATCH CALCS'!AC921*3</f>
        <v>0</v>
      </c>
      <c r="T920" s="6">
        <f>'MATCH CALCS'!AD921*3</f>
        <v>0</v>
      </c>
      <c r="U920" s="155">
        <f t="shared" si="22"/>
        <v>0</v>
      </c>
      <c r="V920" s="154">
        <f t="shared" si="23"/>
        <v>0</v>
      </c>
    </row>
    <row r="921" spans="1:22">
      <c r="A921" s="154">
        <f>'MATCH CALCS'!A922</f>
        <v>0</v>
      </c>
      <c r="B921" s="154">
        <f>'MATCH CALCS'!$C922</f>
        <v>0</v>
      </c>
      <c r="C921" s="154">
        <f t="shared" si="19"/>
        <v>0</v>
      </c>
      <c r="D921" s="6">
        <f>'MATCH CALCS'!$G922*2</f>
        <v>0</v>
      </c>
      <c r="E921" s="6">
        <f>'MATCH CALCS'!$G922*2</f>
        <v>0</v>
      </c>
      <c r="F921" s="6">
        <f>'MATCH CALCS'!$G922*2</f>
        <v>0</v>
      </c>
      <c r="G921" s="6">
        <f>'MATCH CALCS'!$G922*2</f>
        <v>0</v>
      </c>
      <c r="H921" s="6">
        <f>'MATCH CALCS'!$G922*2</f>
        <v>0</v>
      </c>
      <c r="I921" s="6">
        <f>'MATCH CALCS'!$G922*2</f>
        <v>0</v>
      </c>
      <c r="J921" s="154">
        <f t="shared" si="20"/>
        <v>0</v>
      </c>
      <c r="K921" s="6">
        <f>'MATCH CALCS'!L922*1</f>
        <v>0</v>
      </c>
      <c r="L921" s="6">
        <f>'MATCH CALCS'!$N922*2</f>
        <v>0</v>
      </c>
      <c r="M921" s="6">
        <f>'MATCH CALCS'!N922*1</f>
        <v>0</v>
      </c>
      <c r="N921" s="6">
        <f>'MATCH CALCS'!$N922*2</f>
        <v>0</v>
      </c>
      <c r="O921" s="6">
        <f>'MATCH CALCS'!$N922*2</f>
        <v>0</v>
      </c>
      <c r="P921" s="6">
        <f>'MATCH CALCS'!$P922*5</f>
        <v>0</v>
      </c>
      <c r="Q921" s="154">
        <f t="shared" si="21"/>
        <v>0</v>
      </c>
      <c r="R921" s="6">
        <f>'MATCH CALCS'!$AD922*1</f>
        <v>0</v>
      </c>
      <c r="S921" s="6">
        <f>'MATCH CALCS'!AC922*3</f>
        <v>0</v>
      </c>
      <c r="T921" s="6">
        <f>'MATCH CALCS'!AD922*3</f>
        <v>0</v>
      </c>
      <c r="U921" s="155">
        <f t="shared" si="22"/>
        <v>0</v>
      </c>
      <c r="V921" s="154">
        <f t="shared" si="23"/>
        <v>0</v>
      </c>
    </row>
    <row r="922" spans="1:22">
      <c r="A922" s="154">
        <f>'MATCH CALCS'!A923</f>
        <v>0</v>
      </c>
      <c r="B922" s="154">
        <f>'MATCH CALCS'!$C923</f>
        <v>0</v>
      </c>
      <c r="C922" s="154">
        <f t="shared" si="19"/>
        <v>0</v>
      </c>
      <c r="D922" s="6">
        <f>'MATCH CALCS'!$G923*2</f>
        <v>0</v>
      </c>
      <c r="E922" s="6">
        <f>'MATCH CALCS'!$G923*2</f>
        <v>0</v>
      </c>
      <c r="F922" s="6">
        <f>'MATCH CALCS'!$G923*2</f>
        <v>0</v>
      </c>
      <c r="G922" s="6">
        <f>'MATCH CALCS'!$G923*2</f>
        <v>0</v>
      </c>
      <c r="H922" s="6">
        <f>'MATCH CALCS'!$G923*2</f>
        <v>0</v>
      </c>
      <c r="I922" s="6">
        <f>'MATCH CALCS'!$G923*2</f>
        <v>0</v>
      </c>
      <c r="J922" s="154">
        <f t="shared" si="20"/>
        <v>0</v>
      </c>
      <c r="K922" s="6">
        <f>'MATCH CALCS'!L923*1</f>
        <v>0</v>
      </c>
      <c r="L922" s="6">
        <f>'MATCH CALCS'!$N923*2</f>
        <v>0</v>
      </c>
      <c r="M922" s="6">
        <f>'MATCH CALCS'!N923*1</f>
        <v>0</v>
      </c>
      <c r="N922" s="6">
        <f>'MATCH CALCS'!$N923*2</f>
        <v>0</v>
      </c>
      <c r="O922" s="6">
        <f>'MATCH CALCS'!$N923*2</f>
        <v>0</v>
      </c>
      <c r="P922" s="6">
        <f>'MATCH CALCS'!$P923*5</f>
        <v>0</v>
      </c>
      <c r="Q922" s="154">
        <f t="shared" si="21"/>
        <v>0</v>
      </c>
      <c r="R922" s="6">
        <f>'MATCH CALCS'!$AD923*1</f>
        <v>0</v>
      </c>
      <c r="S922" s="6">
        <f>'MATCH CALCS'!AC923*3</f>
        <v>0</v>
      </c>
      <c r="T922" s="6">
        <f>'MATCH CALCS'!AD923*3</f>
        <v>0</v>
      </c>
      <c r="U922" s="155">
        <f t="shared" si="22"/>
        <v>0</v>
      </c>
      <c r="V922" s="154">
        <f t="shared" si="23"/>
        <v>0</v>
      </c>
    </row>
    <row r="923" spans="1:22">
      <c r="A923" s="154">
        <f>'MATCH CALCS'!A924</f>
        <v>0</v>
      </c>
      <c r="B923" s="154">
        <f>'MATCH CALCS'!$C924</f>
        <v>0</v>
      </c>
      <c r="C923" s="154">
        <f t="shared" si="19"/>
        <v>0</v>
      </c>
      <c r="D923" s="6">
        <f>'MATCH CALCS'!$G924*2</f>
        <v>0</v>
      </c>
      <c r="E923" s="6">
        <f>'MATCH CALCS'!$G924*2</f>
        <v>0</v>
      </c>
      <c r="F923" s="6">
        <f>'MATCH CALCS'!$G924*2</f>
        <v>0</v>
      </c>
      <c r="G923" s="6">
        <f>'MATCH CALCS'!$G924*2</f>
        <v>0</v>
      </c>
      <c r="H923" s="6">
        <f>'MATCH CALCS'!$G924*2</f>
        <v>0</v>
      </c>
      <c r="I923" s="6">
        <f>'MATCH CALCS'!$G924*2</f>
        <v>0</v>
      </c>
      <c r="J923" s="154">
        <f t="shared" si="20"/>
        <v>0</v>
      </c>
      <c r="K923" s="6">
        <f>'MATCH CALCS'!L924*1</f>
        <v>0</v>
      </c>
      <c r="L923" s="6">
        <f>'MATCH CALCS'!$N924*2</f>
        <v>0</v>
      </c>
      <c r="M923" s="6">
        <f>'MATCH CALCS'!N924*1</f>
        <v>0</v>
      </c>
      <c r="N923" s="6">
        <f>'MATCH CALCS'!$N924*2</f>
        <v>0</v>
      </c>
      <c r="O923" s="6">
        <f>'MATCH CALCS'!$N924*2</f>
        <v>0</v>
      </c>
      <c r="P923" s="6">
        <f>'MATCH CALCS'!$P924*5</f>
        <v>0</v>
      </c>
      <c r="Q923" s="154">
        <f t="shared" si="21"/>
        <v>0</v>
      </c>
      <c r="R923" s="6">
        <f>'MATCH CALCS'!$AD924*1</f>
        <v>0</v>
      </c>
      <c r="S923" s="6">
        <f>'MATCH CALCS'!AC924*3</f>
        <v>0</v>
      </c>
      <c r="T923" s="6">
        <f>'MATCH CALCS'!AD924*3</f>
        <v>0</v>
      </c>
      <c r="U923" s="155">
        <f t="shared" si="22"/>
        <v>0</v>
      </c>
      <c r="V923" s="154">
        <f t="shared" si="23"/>
        <v>0</v>
      </c>
    </row>
    <row r="924" spans="1:22">
      <c r="A924" s="154">
        <f>'MATCH CALCS'!A925</f>
        <v>0</v>
      </c>
      <c r="B924" s="154">
        <f>'MATCH CALCS'!$C925</f>
        <v>0</v>
      </c>
      <c r="C924" s="154">
        <f t="shared" si="19"/>
        <v>0</v>
      </c>
      <c r="D924" s="6">
        <f>'MATCH CALCS'!$G925*2</f>
        <v>0</v>
      </c>
      <c r="E924" s="6">
        <f>'MATCH CALCS'!$G925*2</f>
        <v>0</v>
      </c>
      <c r="F924" s="6">
        <f>'MATCH CALCS'!$G925*2</f>
        <v>0</v>
      </c>
      <c r="G924" s="6">
        <f>'MATCH CALCS'!$G925*2</f>
        <v>0</v>
      </c>
      <c r="H924" s="6">
        <f>'MATCH CALCS'!$G925*2</f>
        <v>0</v>
      </c>
      <c r="I924" s="6">
        <f>'MATCH CALCS'!$G925*2</f>
        <v>0</v>
      </c>
      <c r="J924" s="154">
        <f t="shared" si="20"/>
        <v>0</v>
      </c>
      <c r="K924" s="6">
        <f>'MATCH CALCS'!L925*1</f>
        <v>0</v>
      </c>
      <c r="L924" s="6">
        <f>'MATCH CALCS'!$N925*2</f>
        <v>0</v>
      </c>
      <c r="M924" s="6">
        <f>'MATCH CALCS'!N925*1</f>
        <v>0</v>
      </c>
      <c r="N924" s="6">
        <f>'MATCH CALCS'!$N925*2</f>
        <v>0</v>
      </c>
      <c r="O924" s="6">
        <f>'MATCH CALCS'!$N925*2</f>
        <v>0</v>
      </c>
      <c r="P924" s="6">
        <f>'MATCH CALCS'!$P925*5</f>
        <v>0</v>
      </c>
      <c r="Q924" s="154">
        <f t="shared" si="21"/>
        <v>0</v>
      </c>
      <c r="R924" s="6">
        <f>'MATCH CALCS'!$AD925*1</f>
        <v>0</v>
      </c>
      <c r="S924" s="6">
        <f>'MATCH CALCS'!AC925*3</f>
        <v>0</v>
      </c>
      <c r="T924" s="6">
        <f>'MATCH CALCS'!AD925*3</f>
        <v>0</v>
      </c>
      <c r="U924" s="155">
        <f t="shared" si="22"/>
        <v>0</v>
      </c>
      <c r="V924" s="154">
        <f t="shared" si="23"/>
        <v>0</v>
      </c>
    </row>
    <row r="925" spans="1:22">
      <c r="A925" s="154">
        <f>'MATCH CALCS'!A926</f>
        <v>0</v>
      </c>
      <c r="B925" s="154">
        <f>'MATCH CALCS'!$C926</f>
        <v>0</v>
      </c>
      <c r="C925" s="154">
        <f t="shared" si="19"/>
        <v>0</v>
      </c>
      <c r="D925" s="6">
        <f>'MATCH CALCS'!$G926*2</f>
        <v>0</v>
      </c>
      <c r="E925" s="6">
        <f>'MATCH CALCS'!$G926*2</f>
        <v>0</v>
      </c>
      <c r="F925" s="6">
        <f>'MATCH CALCS'!$G926*2</f>
        <v>0</v>
      </c>
      <c r="G925" s="6">
        <f>'MATCH CALCS'!$G926*2</f>
        <v>0</v>
      </c>
      <c r="H925" s="6">
        <f>'MATCH CALCS'!$G926*2</f>
        <v>0</v>
      </c>
      <c r="I925" s="6">
        <f>'MATCH CALCS'!$G926*2</f>
        <v>0</v>
      </c>
      <c r="J925" s="154">
        <f t="shared" si="20"/>
        <v>0</v>
      </c>
      <c r="K925" s="6">
        <f>'MATCH CALCS'!L926*1</f>
        <v>0</v>
      </c>
      <c r="L925" s="6">
        <f>'MATCH CALCS'!$N926*2</f>
        <v>0</v>
      </c>
      <c r="M925" s="6">
        <f>'MATCH CALCS'!N926*1</f>
        <v>0</v>
      </c>
      <c r="N925" s="6">
        <f>'MATCH CALCS'!$N926*2</f>
        <v>0</v>
      </c>
      <c r="O925" s="6">
        <f>'MATCH CALCS'!$N926*2</f>
        <v>0</v>
      </c>
      <c r="P925" s="6">
        <f>'MATCH CALCS'!$P926*5</f>
        <v>0</v>
      </c>
      <c r="Q925" s="154">
        <f t="shared" si="21"/>
        <v>0</v>
      </c>
      <c r="R925" s="6">
        <f>'MATCH CALCS'!$AD926*1</f>
        <v>0</v>
      </c>
      <c r="S925" s="6">
        <f>'MATCH CALCS'!AC926*3</f>
        <v>0</v>
      </c>
      <c r="T925" s="6">
        <f>'MATCH CALCS'!AD926*3</f>
        <v>0</v>
      </c>
      <c r="U925" s="155">
        <f t="shared" si="22"/>
        <v>0</v>
      </c>
      <c r="V925" s="154">
        <f t="shared" si="23"/>
        <v>0</v>
      </c>
    </row>
    <row r="926" spans="1:22">
      <c r="A926" s="154">
        <f>'MATCH CALCS'!A927</f>
        <v>0</v>
      </c>
      <c r="B926" s="154">
        <f>'MATCH CALCS'!$C927</f>
        <v>0</v>
      </c>
      <c r="C926" s="154">
        <f t="shared" si="19"/>
        <v>0</v>
      </c>
      <c r="D926" s="6">
        <f>'MATCH CALCS'!$G927*2</f>
        <v>0</v>
      </c>
      <c r="E926" s="6">
        <f>'MATCH CALCS'!$G927*2</f>
        <v>0</v>
      </c>
      <c r="F926" s="6">
        <f>'MATCH CALCS'!$G927*2</f>
        <v>0</v>
      </c>
      <c r="G926" s="6">
        <f>'MATCH CALCS'!$G927*2</f>
        <v>0</v>
      </c>
      <c r="H926" s="6">
        <f>'MATCH CALCS'!$G927*2</f>
        <v>0</v>
      </c>
      <c r="I926" s="6">
        <f>'MATCH CALCS'!$G927*2</f>
        <v>0</v>
      </c>
      <c r="J926" s="154">
        <f t="shared" si="20"/>
        <v>0</v>
      </c>
      <c r="K926" s="6">
        <f>'MATCH CALCS'!L927*1</f>
        <v>0</v>
      </c>
      <c r="L926" s="6">
        <f>'MATCH CALCS'!$N927*2</f>
        <v>0</v>
      </c>
      <c r="M926" s="6">
        <f>'MATCH CALCS'!N927*1</f>
        <v>0</v>
      </c>
      <c r="N926" s="6">
        <f>'MATCH CALCS'!$N927*2</f>
        <v>0</v>
      </c>
      <c r="O926" s="6">
        <f>'MATCH CALCS'!$N927*2</f>
        <v>0</v>
      </c>
      <c r="P926" s="6">
        <f>'MATCH CALCS'!$P927*5</f>
        <v>0</v>
      </c>
      <c r="Q926" s="154">
        <f t="shared" si="21"/>
        <v>0</v>
      </c>
      <c r="R926" s="6">
        <f>'MATCH CALCS'!$AD927*1</f>
        <v>0</v>
      </c>
      <c r="S926" s="6">
        <f>'MATCH CALCS'!AC927*3</f>
        <v>0</v>
      </c>
      <c r="T926" s="6">
        <f>'MATCH CALCS'!AD927*3</f>
        <v>0</v>
      </c>
      <c r="U926" s="155">
        <f t="shared" si="22"/>
        <v>0</v>
      </c>
      <c r="V926" s="154">
        <f t="shared" si="23"/>
        <v>0</v>
      </c>
    </row>
    <row r="927" spans="1:22">
      <c r="A927" s="154">
        <f>'MATCH CALCS'!A928</f>
        <v>0</v>
      </c>
      <c r="B927" s="154">
        <f>'MATCH CALCS'!$C928</f>
        <v>0</v>
      </c>
      <c r="C927" s="154">
        <f t="shared" si="19"/>
        <v>0</v>
      </c>
      <c r="D927" s="6">
        <f>'MATCH CALCS'!$G928*2</f>
        <v>0</v>
      </c>
      <c r="E927" s="6">
        <f>'MATCH CALCS'!$G928*2</f>
        <v>0</v>
      </c>
      <c r="F927" s="6">
        <f>'MATCH CALCS'!$G928*2</f>
        <v>0</v>
      </c>
      <c r="G927" s="6">
        <f>'MATCH CALCS'!$G928*2</f>
        <v>0</v>
      </c>
      <c r="H927" s="6">
        <f>'MATCH CALCS'!$G928*2</f>
        <v>0</v>
      </c>
      <c r="I927" s="6">
        <f>'MATCH CALCS'!$G928*2</f>
        <v>0</v>
      </c>
      <c r="J927" s="154">
        <f t="shared" si="20"/>
        <v>0</v>
      </c>
      <c r="K927" s="6">
        <f>'MATCH CALCS'!L928*1</f>
        <v>0</v>
      </c>
      <c r="L927" s="6">
        <f>'MATCH CALCS'!$N928*2</f>
        <v>0</v>
      </c>
      <c r="M927" s="6">
        <f>'MATCH CALCS'!N928*1</f>
        <v>0</v>
      </c>
      <c r="N927" s="6">
        <f>'MATCH CALCS'!$N928*2</f>
        <v>0</v>
      </c>
      <c r="O927" s="6">
        <f>'MATCH CALCS'!$N928*2</f>
        <v>0</v>
      </c>
      <c r="P927" s="6">
        <f>'MATCH CALCS'!$P928*5</f>
        <v>0</v>
      </c>
      <c r="Q927" s="154">
        <f t="shared" si="21"/>
        <v>0</v>
      </c>
      <c r="R927" s="6">
        <f>'MATCH CALCS'!$AD928*1</f>
        <v>0</v>
      </c>
      <c r="S927" s="6">
        <f>'MATCH CALCS'!AC928*3</f>
        <v>0</v>
      </c>
      <c r="T927" s="6">
        <f>'MATCH CALCS'!AD928*3</f>
        <v>0</v>
      </c>
      <c r="U927" s="155">
        <f t="shared" si="22"/>
        <v>0</v>
      </c>
      <c r="V927" s="154">
        <f t="shared" si="23"/>
        <v>0</v>
      </c>
    </row>
    <row r="928" spans="1:22">
      <c r="A928" s="154">
        <f>'MATCH CALCS'!A929</f>
        <v>0</v>
      </c>
      <c r="B928" s="154">
        <f>'MATCH CALCS'!$C929</f>
        <v>0</v>
      </c>
      <c r="C928" s="154">
        <f t="shared" si="19"/>
        <v>0</v>
      </c>
      <c r="D928" s="6">
        <f>'MATCH CALCS'!$G929*2</f>
        <v>0</v>
      </c>
      <c r="E928" s="6">
        <f>'MATCH CALCS'!$G929*2</f>
        <v>0</v>
      </c>
      <c r="F928" s="6">
        <f>'MATCH CALCS'!$G929*2</f>
        <v>0</v>
      </c>
      <c r="G928" s="6">
        <f>'MATCH CALCS'!$G929*2</f>
        <v>0</v>
      </c>
      <c r="H928" s="6">
        <f>'MATCH CALCS'!$G929*2</f>
        <v>0</v>
      </c>
      <c r="I928" s="6">
        <f>'MATCH CALCS'!$G929*2</f>
        <v>0</v>
      </c>
      <c r="J928" s="154">
        <f t="shared" si="20"/>
        <v>0</v>
      </c>
      <c r="K928" s="6">
        <f>'MATCH CALCS'!L929*1</f>
        <v>0</v>
      </c>
      <c r="L928" s="6">
        <f>'MATCH CALCS'!$N929*2</f>
        <v>0</v>
      </c>
      <c r="M928" s="6">
        <f>'MATCH CALCS'!N929*1</f>
        <v>0</v>
      </c>
      <c r="N928" s="6">
        <f>'MATCH CALCS'!$N929*2</f>
        <v>0</v>
      </c>
      <c r="O928" s="6">
        <f>'MATCH CALCS'!$N929*2</f>
        <v>0</v>
      </c>
      <c r="P928" s="6">
        <f>'MATCH CALCS'!$P929*5</f>
        <v>0</v>
      </c>
      <c r="Q928" s="154">
        <f t="shared" si="21"/>
        <v>0</v>
      </c>
      <c r="R928" s="6">
        <f>'MATCH CALCS'!$AD929*1</f>
        <v>0</v>
      </c>
      <c r="S928" s="6">
        <f>'MATCH CALCS'!AC929*3</f>
        <v>0</v>
      </c>
      <c r="T928" s="6">
        <f>'MATCH CALCS'!AD929*3</f>
        <v>0</v>
      </c>
      <c r="U928" s="155">
        <f t="shared" si="22"/>
        <v>0</v>
      </c>
      <c r="V928" s="154">
        <f t="shared" si="23"/>
        <v>0</v>
      </c>
    </row>
    <row r="929" spans="1:22">
      <c r="A929" s="154">
        <f>'MATCH CALCS'!A930</f>
        <v>0</v>
      </c>
      <c r="B929" s="154">
        <f>'MATCH CALCS'!$C930</f>
        <v>0</v>
      </c>
      <c r="C929" s="154">
        <f t="shared" si="19"/>
        <v>0</v>
      </c>
      <c r="D929" s="6">
        <f>'MATCH CALCS'!$G930*2</f>
        <v>0</v>
      </c>
      <c r="E929" s="6">
        <f>'MATCH CALCS'!$G930*2</f>
        <v>0</v>
      </c>
      <c r="F929" s="6">
        <f>'MATCH CALCS'!$G930*2</f>
        <v>0</v>
      </c>
      <c r="G929" s="6">
        <f>'MATCH CALCS'!$G930*2</f>
        <v>0</v>
      </c>
      <c r="H929" s="6">
        <f>'MATCH CALCS'!$G930*2</f>
        <v>0</v>
      </c>
      <c r="I929" s="6">
        <f>'MATCH CALCS'!$G930*2</f>
        <v>0</v>
      </c>
      <c r="J929" s="154">
        <f t="shared" si="20"/>
        <v>0</v>
      </c>
      <c r="K929" s="6">
        <f>'MATCH CALCS'!L930*1</f>
        <v>0</v>
      </c>
      <c r="L929" s="6">
        <f>'MATCH CALCS'!$N930*2</f>
        <v>0</v>
      </c>
      <c r="M929" s="6">
        <f>'MATCH CALCS'!N930*1</f>
        <v>0</v>
      </c>
      <c r="N929" s="6">
        <f>'MATCH CALCS'!$N930*2</f>
        <v>0</v>
      </c>
      <c r="O929" s="6">
        <f>'MATCH CALCS'!$N930*2</f>
        <v>0</v>
      </c>
      <c r="P929" s="6">
        <f>'MATCH CALCS'!$P930*5</f>
        <v>0</v>
      </c>
      <c r="Q929" s="154">
        <f t="shared" si="21"/>
        <v>0</v>
      </c>
      <c r="R929" s="6">
        <f>'MATCH CALCS'!$AD930*1</f>
        <v>0</v>
      </c>
      <c r="S929" s="6">
        <f>'MATCH CALCS'!AC930*3</f>
        <v>0</v>
      </c>
      <c r="T929" s="6">
        <f>'MATCH CALCS'!AD930*3</f>
        <v>0</v>
      </c>
      <c r="U929" s="155">
        <f t="shared" si="22"/>
        <v>0</v>
      </c>
      <c r="V929" s="154">
        <f t="shared" si="23"/>
        <v>0</v>
      </c>
    </row>
    <row r="930" spans="1:22">
      <c r="A930" s="154">
        <f>'MATCH CALCS'!A931</f>
        <v>0</v>
      </c>
      <c r="B930" s="154">
        <f>'MATCH CALCS'!$C931</f>
        <v>0</v>
      </c>
      <c r="C930" s="154">
        <f t="shared" si="19"/>
        <v>0</v>
      </c>
      <c r="D930" s="6">
        <f>'MATCH CALCS'!$G931*2</f>
        <v>0</v>
      </c>
      <c r="E930" s="6">
        <f>'MATCH CALCS'!$G931*2</f>
        <v>0</v>
      </c>
      <c r="F930" s="6">
        <f>'MATCH CALCS'!$G931*2</f>
        <v>0</v>
      </c>
      <c r="G930" s="6">
        <f>'MATCH CALCS'!$G931*2</f>
        <v>0</v>
      </c>
      <c r="H930" s="6">
        <f>'MATCH CALCS'!$G931*2</f>
        <v>0</v>
      </c>
      <c r="I930" s="6">
        <f>'MATCH CALCS'!$G931*2</f>
        <v>0</v>
      </c>
      <c r="J930" s="154">
        <f t="shared" si="20"/>
        <v>0</v>
      </c>
      <c r="K930" s="6">
        <f>'MATCH CALCS'!L931*1</f>
        <v>0</v>
      </c>
      <c r="L930" s="6">
        <f>'MATCH CALCS'!$N931*2</f>
        <v>0</v>
      </c>
      <c r="M930" s="6">
        <f>'MATCH CALCS'!N931*1</f>
        <v>0</v>
      </c>
      <c r="N930" s="6">
        <f>'MATCH CALCS'!$N931*2</f>
        <v>0</v>
      </c>
      <c r="O930" s="6">
        <f>'MATCH CALCS'!$N931*2</f>
        <v>0</v>
      </c>
      <c r="P930" s="6">
        <f>'MATCH CALCS'!$P931*5</f>
        <v>0</v>
      </c>
      <c r="Q930" s="154">
        <f t="shared" si="21"/>
        <v>0</v>
      </c>
      <c r="R930" s="6">
        <f>'MATCH CALCS'!$AD931*1</f>
        <v>0</v>
      </c>
      <c r="S930" s="6">
        <f>'MATCH CALCS'!AC931*3</f>
        <v>0</v>
      </c>
      <c r="T930" s="6">
        <f>'MATCH CALCS'!AD931*3</f>
        <v>0</v>
      </c>
      <c r="U930" s="155">
        <f t="shared" si="22"/>
        <v>0</v>
      </c>
      <c r="V930" s="154">
        <f t="shared" si="23"/>
        <v>0</v>
      </c>
    </row>
    <row r="931" spans="1:22">
      <c r="A931" s="154">
        <f>'MATCH CALCS'!A932</f>
        <v>0</v>
      </c>
      <c r="B931" s="154">
        <f>'MATCH CALCS'!$C932</f>
        <v>0</v>
      </c>
      <c r="C931" s="154">
        <f t="shared" si="19"/>
        <v>0</v>
      </c>
      <c r="D931" s="6">
        <f>'MATCH CALCS'!$G932*2</f>
        <v>0</v>
      </c>
      <c r="E931" s="6">
        <f>'MATCH CALCS'!$G932*2</f>
        <v>0</v>
      </c>
      <c r="F931" s="6">
        <f>'MATCH CALCS'!$G932*2</f>
        <v>0</v>
      </c>
      <c r="G931" s="6">
        <f>'MATCH CALCS'!$G932*2</f>
        <v>0</v>
      </c>
      <c r="H931" s="6">
        <f>'MATCH CALCS'!$G932*2</f>
        <v>0</v>
      </c>
      <c r="I931" s="6">
        <f>'MATCH CALCS'!$G932*2</f>
        <v>0</v>
      </c>
      <c r="J931" s="154">
        <f t="shared" si="20"/>
        <v>0</v>
      </c>
      <c r="K931" s="6">
        <f>'MATCH CALCS'!L932*1</f>
        <v>0</v>
      </c>
      <c r="L931" s="6">
        <f>'MATCH CALCS'!$N932*2</f>
        <v>0</v>
      </c>
      <c r="M931" s="6">
        <f>'MATCH CALCS'!N932*1</f>
        <v>0</v>
      </c>
      <c r="N931" s="6">
        <f>'MATCH CALCS'!$N932*2</f>
        <v>0</v>
      </c>
      <c r="O931" s="6">
        <f>'MATCH CALCS'!$N932*2</f>
        <v>0</v>
      </c>
      <c r="P931" s="6">
        <f>'MATCH CALCS'!$P932*5</f>
        <v>0</v>
      </c>
      <c r="Q931" s="154">
        <f t="shared" si="21"/>
        <v>0</v>
      </c>
      <c r="R931" s="6">
        <f>'MATCH CALCS'!$AD932*1</f>
        <v>0</v>
      </c>
      <c r="S931" s="6">
        <f>'MATCH CALCS'!AC932*3</f>
        <v>0</v>
      </c>
      <c r="T931" s="6">
        <f>'MATCH CALCS'!AD932*3</f>
        <v>0</v>
      </c>
      <c r="U931" s="155">
        <f t="shared" si="22"/>
        <v>0</v>
      </c>
      <c r="V931" s="154">
        <f t="shared" si="23"/>
        <v>0</v>
      </c>
    </row>
    <row r="932" spans="1:22">
      <c r="A932" s="154">
        <f>'MATCH CALCS'!A933</f>
        <v>0</v>
      </c>
      <c r="B932" s="154">
        <f>'MATCH CALCS'!$C933</f>
        <v>0</v>
      </c>
      <c r="C932" s="154">
        <f t="shared" si="19"/>
        <v>0</v>
      </c>
      <c r="D932" s="6">
        <f>'MATCH CALCS'!$G933*2</f>
        <v>0</v>
      </c>
      <c r="E932" s="6">
        <f>'MATCH CALCS'!$G933*2</f>
        <v>0</v>
      </c>
      <c r="F932" s="6">
        <f>'MATCH CALCS'!$G933*2</f>
        <v>0</v>
      </c>
      <c r="G932" s="6">
        <f>'MATCH CALCS'!$G933*2</f>
        <v>0</v>
      </c>
      <c r="H932" s="6">
        <f>'MATCH CALCS'!$G933*2</f>
        <v>0</v>
      </c>
      <c r="I932" s="6">
        <f>'MATCH CALCS'!$G933*2</f>
        <v>0</v>
      </c>
      <c r="J932" s="154">
        <f t="shared" si="20"/>
        <v>0</v>
      </c>
      <c r="K932" s="6">
        <f>'MATCH CALCS'!L933*1</f>
        <v>0</v>
      </c>
      <c r="L932" s="6">
        <f>'MATCH CALCS'!$N933*2</f>
        <v>0</v>
      </c>
      <c r="M932" s="6">
        <f>'MATCH CALCS'!N933*1</f>
        <v>0</v>
      </c>
      <c r="N932" s="6">
        <f>'MATCH CALCS'!$N933*2</f>
        <v>0</v>
      </c>
      <c r="O932" s="6">
        <f>'MATCH CALCS'!$N933*2</f>
        <v>0</v>
      </c>
      <c r="P932" s="6">
        <f>'MATCH CALCS'!$P933*5</f>
        <v>0</v>
      </c>
      <c r="Q932" s="154">
        <f t="shared" si="21"/>
        <v>0</v>
      </c>
      <c r="R932" s="6">
        <f>'MATCH CALCS'!$AD933*1</f>
        <v>0</v>
      </c>
      <c r="S932" s="6">
        <f>'MATCH CALCS'!AC933*3</f>
        <v>0</v>
      </c>
      <c r="T932" s="6">
        <f>'MATCH CALCS'!AD933*3</f>
        <v>0</v>
      </c>
      <c r="U932" s="155">
        <f t="shared" si="22"/>
        <v>0</v>
      </c>
      <c r="V932" s="154">
        <f t="shared" si="23"/>
        <v>0</v>
      </c>
    </row>
    <row r="933" spans="1:22">
      <c r="A933" s="154">
        <f>'MATCH CALCS'!A934</f>
        <v>0</v>
      </c>
      <c r="B933" s="154">
        <f>'MATCH CALCS'!$C934</f>
        <v>0</v>
      </c>
      <c r="C933" s="154">
        <f t="shared" si="19"/>
        <v>0</v>
      </c>
      <c r="D933" s="6">
        <f>'MATCH CALCS'!$G934*2</f>
        <v>0</v>
      </c>
      <c r="E933" s="6">
        <f>'MATCH CALCS'!$G934*2</f>
        <v>0</v>
      </c>
      <c r="F933" s="6">
        <f>'MATCH CALCS'!$G934*2</f>
        <v>0</v>
      </c>
      <c r="G933" s="6">
        <f>'MATCH CALCS'!$G934*2</f>
        <v>0</v>
      </c>
      <c r="H933" s="6">
        <f>'MATCH CALCS'!$G934*2</f>
        <v>0</v>
      </c>
      <c r="I933" s="6">
        <f>'MATCH CALCS'!$G934*2</f>
        <v>0</v>
      </c>
      <c r="J933" s="154">
        <f t="shared" si="20"/>
        <v>0</v>
      </c>
      <c r="K933" s="6">
        <f>'MATCH CALCS'!L934*1</f>
        <v>0</v>
      </c>
      <c r="L933" s="6">
        <f>'MATCH CALCS'!$N934*2</f>
        <v>0</v>
      </c>
      <c r="M933" s="6">
        <f>'MATCH CALCS'!N934*1</f>
        <v>0</v>
      </c>
      <c r="N933" s="6">
        <f>'MATCH CALCS'!$N934*2</f>
        <v>0</v>
      </c>
      <c r="O933" s="6">
        <f>'MATCH CALCS'!$N934*2</f>
        <v>0</v>
      </c>
      <c r="P933" s="6">
        <f>'MATCH CALCS'!$P934*5</f>
        <v>0</v>
      </c>
      <c r="Q933" s="154">
        <f t="shared" si="21"/>
        <v>0</v>
      </c>
      <c r="R933" s="6">
        <f>'MATCH CALCS'!$AD934*1</f>
        <v>0</v>
      </c>
      <c r="S933" s="6">
        <f>'MATCH CALCS'!AC934*3</f>
        <v>0</v>
      </c>
      <c r="T933" s="6">
        <f>'MATCH CALCS'!AD934*3</f>
        <v>0</v>
      </c>
      <c r="U933" s="155">
        <f t="shared" si="22"/>
        <v>0</v>
      </c>
      <c r="V933" s="154">
        <f t="shared" si="23"/>
        <v>0</v>
      </c>
    </row>
    <row r="934" spans="1:22">
      <c r="A934" s="154">
        <f>'MATCH CALCS'!A935</f>
        <v>0</v>
      </c>
      <c r="B934" s="154">
        <f>'MATCH CALCS'!$C935</f>
        <v>0</v>
      </c>
      <c r="C934" s="154">
        <f t="shared" si="19"/>
        <v>0</v>
      </c>
      <c r="D934" s="6">
        <f>'MATCH CALCS'!$G935*2</f>
        <v>0</v>
      </c>
      <c r="E934" s="6">
        <f>'MATCH CALCS'!$G935*2</f>
        <v>0</v>
      </c>
      <c r="F934" s="6">
        <f>'MATCH CALCS'!$G935*2</f>
        <v>0</v>
      </c>
      <c r="G934" s="6">
        <f>'MATCH CALCS'!$G935*2</f>
        <v>0</v>
      </c>
      <c r="H934" s="6">
        <f>'MATCH CALCS'!$G935*2</f>
        <v>0</v>
      </c>
      <c r="I934" s="6">
        <f>'MATCH CALCS'!$G935*2</f>
        <v>0</v>
      </c>
      <c r="J934" s="154">
        <f t="shared" si="20"/>
        <v>0</v>
      </c>
      <c r="K934" s="6">
        <f>'MATCH CALCS'!L935*1</f>
        <v>0</v>
      </c>
      <c r="L934" s="6">
        <f>'MATCH CALCS'!$N935*2</f>
        <v>0</v>
      </c>
      <c r="M934" s="6">
        <f>'MATCH CALCS'!N935*1</f>
        <v>0</v>
      </c>
      <c r="N934" s="6">
        <f>'MATCH CALCS'!$N935*2</f>
        <v>0</v>
      </c>
      <c r="O934" s="6">
        <f>'MATCH CALCS'!$N935*2</f>
        <v>0</v>
      </c>
      <c r="P934" s="6">
        <f>'MATCH CALCS'!$P935*5</f>
        <v>0</v>
      </c>
      <c r="Q934" s="154">
        <f t="shared" si="21"/>
        <v>0</v>
      </c>
      <c r="R934" s="6">
        <f>'MATCH CALCS'!$AD935*1</f>
        <v>0</v>
      </c>
      <c r="S934" s="6">
        <f>'MATCH CALCS'!AC935*3</f>
        <v>0</v>
      </c>
      <c r="T934" s="6">
        <f>'MATCH CALCS'!AD935*3</f>
        <v>0</v>
      </c>
      <c r="U934" s="155">
        <f t="shared" si="22"/>
        <v>0</v>
      </c>
      <c r="V934" s="154">
        <f t="shared" si="23"/>
        <v>0</v>
      </c>
    </row>
    <row r="935" spans="1:22">
      <c r="A935" s="154">
        <f>'MATCH CALCS'!A936</f>
        <v>0</v>
      </c>
      <c r="B935" s="154">
        <f>'MATCH CALCS'!$C936</f>
        <v>0</v>
      </c>
      <c r="C935" s="154">
        <f t="shared" si="19"/>
        <v>0</v>
      </c>
      <c r="D935" s="6">
        <f>'MATCH CALCS'!$G936*2</f>
        <v>0</v>
      </c>
      <c r="E935" s="6">
        <f>'MATCH CALCS'!$G936*2</f>
        <v>0</v>
      </c>
      <c r="F935" s="6">
        <f>'MATCH CALCS'!$G936*2</f>
        <v>0</v>
      </c>
      <c r="G935" s="6">
        <f>'MATCH CALCS'!$G936*2</f>
        <v>0</v>
      </c>
      <c r="H935" s="6">
        <f>'MATCH CALCS'!$G936*2</f>
        <v>0</v>
      </c>
      <c r="I935" s="6">
        <f>'MATCH CALCS'!$G936*2</f>
        <v>0</v>
      </c>
      <c r="J935" s="154">
        <f t="shared" si="20"/>
        <v>0</v>
      </c>
      <c r="K935" s="6">
        <f>'MATCH CALCS'!L936*1</f>
        <v>0</v>
      </c>
      <c r="L935" s="6">
        <f>'MATCH CALCS'!$N936*2</f>
        <v>0</v>
      </c>
      <c r="M935" s="6">
        <f>'MATCH CALCS'!N936*1</f>
        <v>0</v>
      </c>
      <c r="N935" s="6">
        <f>'MATCH CALCS'!$N936*2</f>
        <v>0</v>
      </c>
      <c r="O935" s="6">
        <f>'MATCH CALCS'!$N936*2</f>
        <v>0</v>
      </c>
      <c r="P935" s="6">
        <f>'MATCH CALCS'!$P936*5</f>
        <v>0</v>
      </c>
      <c r="Q935" s="154">
        <f t="shared" si="21"/>
        <v>0</v>
      </c>
      <c r="R935" s="6">
        <f>'MATCH CALCS'!$AD936*1</f>
        <v>0</v>
      </c>
      <c r="S935" s="6">
        <f>'MATCH CALCS'!AC936*3</f>
        <v>0</v>
      </c>
      <c r="T935" s="6">
        <f>'MATCH CALCS'!AD936*3</f>
        <v>0</v>
      </c>
      <c r="U935" s="155">
        <f t="shared" si="22"/>
        <v>0</v>
      </c>
      <c r="V935" s="154">
        <f t="shared" si="23"/>
        <v>0</v>
      </c>
    </row>
    <row r="936" spans="1:22">
      <c r="A936" s="154">
        <f>'MATCH CALCS'!A937</f>
        <v>0</v>
      </c>
      <c r="B936" s="154">
        <f>'MATCH CALCS'!$C937</f>
        <v>0</v>
      </c>
      <c r="C936" s="154">
        <f t="shared" si="19"/>
        <v>0</v>
      </c>
      <c r="D936" s="6">
        <f>'MATCH CALCS'!$G937*2</f>
        <v>0</v>
      </c>
      <c r="E936" s="6">
        <f>'MATCH CALCS'!$G937*2</f>
        <v>0</v>
      </c>
      <c r="F936" s="6">
        <f>'MATCH CALCS'!$G937*2</f>
        <v>0</v>
      </c>
      <c r="G936" s="6">
        <f>'MATCH CALCS'!$G937*2</f>
        <v>0</v>
      </c>
      <c r="H936" s="6">
        <f>'MATCH CALCS'!$G937*2</f>
        <v>0</v>
      </c>
      <c r="I936" s="6">
        <f>'MATCH CALCS'!$G937*2</f>
        <v>0</v>
      </c>
      <c r="J936" s="154">
        <f t="shared" si="20"/>
        <v>0</v>
      </c>
      <c r="K936" s="6">
        <f>'MATCH CALCS'!L937*1</f>
        <v>0</v>
      </c>
      <c r="L936" s="6">
        <f>'MATCH CALCS'!$N937*2</f>
        <v>0</v>
      </c>
      <c r="M936" s="6">
        <f>'MATCH CALCS'!N937*1</f>
        <v>0</v>
      </c>
      <c r="N936" s="6">
        <f>'MATCH CALCS'!$N937*2</f>
        <v>0</v>
      </c>
      <c r="O936" s="6">
        <f>'MATCH CALCS'!$N937*2</f>
        <v>0</v>
      </c>
      <c r="P936" s="6">
        <f>'MATCH CALCS'!$P937*5</f>
        <v>0</v>
      </c>
      <c r="Q936" s="154">
        <f t="shared" si="21"/>
        <v>0</v>
      </c>
      <c r="R936" s="6">
        <f>'MATCH CALCS'!$AD937*1</f>
        <v>0</v>
      </c>
      <c r="S936" s="6">
        <f>'MATCH CALCS'!AC937*3</f>
        <v>0</v>
      </c>
      <c r="T936" s="6">
        <f>'MATCH CALCS'!AD937*3</f>
        <v>0</v>
      </c>
      <c r="U936" s="155">
        <f t="shared" si="22"/>
        <v>0</v>
      </c>
      <c r="V936" s="154">
        <f t="shared" si="23"/>
        <v>0</v>
      </c>
    </row>
    <row r="937" spans="1:22">
      <c r="A937" s="154">
        <f>'MATCH CALCS'!A938</f>
        <v>0</v>
      </c>
      <c r="B937" s="154">
        <f>'MATCH CALCS'!$C938</f>
        <v>0</v>
      </c>
      <c r="C937" s="154">
        <f t="shared" si="19"/>
        <v>0</v>
      </c>
      <c r="D937" s="6">
        <f>'MATCH CALCS'!$G938*2</f>
        <v>0</v>
      </c>
      <c r="E937" s="6">
        <f>'MATCH CALCS'!$G938*2</f>
        <v>0</v>
      </c>
      <c r="F937" s="6">
        <f>'MATCH CALCS'!$G938*2</f>
        <v>0</v>
      </c>
      <c r="G937" s="6">
        <f>'MATCH CALCS'!$G938*2</f>
        <v>0</v>
      </c>
      <c r="H937" s="6">
        <f>'MATCH CALCS'!$G938*2</f>
        <v>0</v>
      </c>
      <c r="I937" s="6">
        <f>'MATCH CALCS'!$G938*2</f>
        <v>0</v>
      </c>
      <c r="J937" s="154">
        <f t="shared" si="20"/>
        <v>0</v>
      </c>
      <c r="K937" s="6">
        <f>'MATCH CALCS'!L938*1</f>
        <v>0</v>
      </c>
      <c r="L937" s="6">
        <f>'MATCH CALCS'!$N938*2</f>
        <v>0</v>
      </c>
      <c r="M937" s="6">
        <f>'MATCH CALCS'!N938*1</f>
        <v>0</v>
      </c>
      <c r="N937" s="6">
        <f>'MATCH CALCS'!$N938*2</f>
        <v>0</v>
      </c>
      <c r="O937" s="6">
        <f>'MATCH CALCS'!$N938*2</f>
        <v>0</v>
      </c>
      <c r="P937" s="6">
        <f>'MATCH CALCS'!$P938*5</f>
        <v>0</v>
      </c>
      <c r="Q937" s="154">
        <f t="shared" si="21"/>
        <v>0</v>
      </c>
      <c r="R937" s="6">
        <f>'MATCH CALCS'!$AD938*1</f>
        <v>0</v>
      </c>
      <c r="S937" s="6">
        <f>'MATCH CALCS'!AC938*3</f>
        <v>0</v>
      </c>
      <c r="T937" s="6">
        <f>'MATCH CALCS'!AD938*3</f>
        <v>0</v>
      </c>
      <c r="U937" s="155">
        <f t="shared" si="22"/>
        <v>0</v>
      </c>
      <c r="V937" s="154">
        <f t="shared" si="23"/>
        <v>0</v>
      </c>
    </row>
    <row r="938" spans="1:22">
      <c r="A938" s="154">
        <f>'MATCH CALCS'!A939</f>
        <v>0</v>
      </c>
      <c r="B938" s="154">
        <f>'MATCH CALCS'!$C939</f>
        <v>0</v>
      </c>
      <c r="C938" s="154">
        <f t="shared" si="19"/>
        <v>0</v>
      </c>
      <c r="D938" s="6">
        <f>'MATCH CALCS'!$G939*2</f>
        <v>0</v>
      </c>
      <c r="E938" s="6">
        <f>'MATCH CALCS'!$G939*2</f>
        <v>0</v>
      </c>
      <c r="F938" s="6">
        <f>'MATCH CALCS'!$G939*2</f>
        <v>0</v>
      </c>
      <c r="G938" s="6">
        <f>'MATCH CALCS'!$G939*2</f>
        <v>0</v>
      </c>
      <c r="H938" s="6">
        <f>'MATCH CALCS'!$G939*2</f>
        <v>0</v>
      </c>
      <c r="I938" s="6">
        <f>'MATCH CALCS'!$G939*2</f>
        <v>0</v>
      </c>
      <c r="J938" s="154">
        <f t="shared" si="20"/>
        <v>0</v>
      </c>
      <c r="K938" s="6">
        <f>'MATCH CALCS'!L939*1</f>
        <v>0</v>
      </c>
      <c r="L938" s="6">
        <f>'MATCH CALCS'!$N939*2</f>
        <v>0</v>
      </c>
      <c r="M938" s="6">
        <f>'MATCH CALCS'!N939*1</f>
        <v>0</v>
      </c>
      <c r="N938" s="6">
        <f>'MATCH CALCS'!$N939*2</f>
        <v>0</v>
      </c>
      <c r="O938" s="6">
        <f>'MATCH CALCS'!$N939*2</f>
        <v>0</v>
      </c>
      <c r="P938" s="6">
        <f>'MATCH CALCS'!$P939*5</f>
        <v>0</v>
      </c>
      <c r="Q938" s="154">
        <f t="shared" si="21"/>
        <v>0</v>
      </c>
      <c r="R938" s="6">
        <f>'MATCH CALCS'!$AD939*1</f>
        <v>0</v>
      </c>
      <c r="S938" s="6">
        <f>'MATCH CALCS'!AC939*3</f>
        <v>0</v>
      </c>
      <c r="T938" s="6">
        <f>'MATCH CALCS'!AD939*3</f>
        <v>0</v>
      </c>
      <c r="U938" s="155">
        <f t="shared" si="22"/>
        <v>0</v>
      </c>
      <c r="V938" s="154">
        <f t="shared" si="23"/>
        <v>0</v>
      </c>
    </row>
    <row r="939" spans="1:22">
      <c r="A939" s="154">
        <f>'MATCH CALCS'!A940</f>
        <v>0</v>
      </c>
      <c r="B939" s="154">
        <f>'MATCH CALCS'!$C940</f>
        <v>0</v>
      </c>
      <c r="C939" s="154">
        <f t="shared" si="19"/>
        <v>0</v>
      </c>
      <c r="D939" s="6">
        <f>'MATCH CALCS'!$G940*2</f>
        <v>0</v>
      </c>
      <c r="E939" s="6">
        <f>'MATCH CALCS'!$G940*2</f>
        <v>0</v>
      </c>
      <c r="F939" s="6">
        <f>'MATCH CALCS'!$G940*2</f>
        <v>0</v>
      </c>
      <c r="G939" s="6">
        <f>'MATCH CALCS'!$G940*2</f>
        <v>0</v>
      </c>
      <c r="H939" s="6">
        <f>'MATCH CALCS'!$G940*2</f>
        <v>0</v>
      </c>
      <c r="I939" s="6">
        <f>'MATCH CALCS'!$G940*2</f>
        <v>0</v>
      </c>
      <c r="J939" s="154">
        <f t="shared" si="20"/>
        <v>0</v>
      </c>
      <c r="K939" s="6">
        <f>'MATCH CALCS'!L940*1</f>
        <v>0</v>
      </c>
      <c r="L939" s="6">
        <f>'MATCH CALCS'!$N940*2</f>
        <v>0</v>
      </c>
      <c r="M939" s="6">
        <f>'MATCH CALCS'!N940*1</f>
        <v>0</v>
      </c>
      <c r="N939" s="6">
        <f>'MATCH CALCS'!$N940*2</f>
        <v>0</v>
      </c>
      <c r="O939" s="6">
        <f>'MATCH CALCS'!$N940*2</f>
        <v>0</v>
      </c>
      <c r="P939" s="6">
        <f>'MATCH CALCS'!$P940*5</f>
        <v>0</v>
      </c>
      <c r="Q939" s="154">
        <f t="shared" si="21"/>
        <v>0</v>
      </c>
      <c r="R939" s="6">
        <f>'MATCH CALCS'!$AD940*1</f>
        <v>0</v>
      </c>
      <c r="S939" s="6">
        <f>'MATCH CALCS'!AC940*3</f>
        <v>0</v>
      </c>
      <c r="T939" s="6">
        <f>'MATCH CALCS'!AD940*3</f>
        <v>0</v>
      </c>
      <c r="U939" s="155">
        <f t="shared" si="22"/>
        <v>0</v>
      </c>
      <c r="V939" s="154">
        <f t="shared" si="23"/>
        <v>0</v>
      </c>
    </row>
    <row r="940" spans="1:22">
      <c r="A940" s="154">
        <f>'MATCH CALCS'!A941</f>
        <v>0</v>
      </c>
      <c r="B940" s="154">
        <f>'MATCH CALCS'!$C941</f>
        <v>0</v>
      </c>
      <c r="C940" s="154">
        <f t="shared" si="19"/>
        <v>0</v>
      </c>
      <c r="D940" s="6">
        <f>'MATCH CALCS'!$G941*2</f>
        <v>0</v>
      </c>
      <c r="E940" s="6">
        <f>'MATCH CALCS'!$G941*2</f>
        <v>0</v>
      </c>
      <c r="F940" s="6">
        <f>'MATCH CALCS'!$G941*2</f>
        <v>0</v>
      </c>
      <c r="G940" s="6">
        <f>'MATCH CALCS'!$G941*2</f>
        <v>0</v>
      </c>
      <c r="H940" s="6">
        <f>'MATCH CALCS'!$G941*2</f>
        <v>0</v>
      </c>
      <c r="I940" s="6">
        <f>'MATCH CALCS'!$G941*2</f>
        <v>0</v>
      </c>
      <c r="J940" s="154">
        <f t="shared" si="20"/>
        <v>0</v>
      </c>
      <c r="K940" s="6">
        <f>'MATCH CALCS'!L941*1</f>
        <v>0</v>
      </c>
      <c r="L940" s="6">
        <f>'MATCH CALCS'!$N941*2</f>
        <v>0</v>
      </c>
      <c r="M940" s="6">
        <f>'MATCH CALCS'!N941*1</f>
        <v>0</v>
      </c>
      <c r="N940" s="6">
        <f>'MATCH CALCS'!$N941*2</f>
        <v>0</v>
      </c>
      <c r="O940" s="6">
        <f>'MATCH CALCS'!$N941*2</f>
        <v>0</v>
      </c>
      <c r="P940" s="6">
        <f>'MATCH CALCS'!$P941*5</f>
        <v>0</v>
      </c>
      <c r="Q940" s="154">
        <f t="shared" si="21"/>
        <v>0</v>
      </c>
      <c r="R940" s="6">
        <f>'MATCH CALCS'!$AD941*1</f>
        <v>0</v>
      </c>
      <c r="S940" s="6">
        <f>'MATCH CALCS'!AC941*3</f>
        <v>0</v>
      </c>
      <c r="T940" s="6">
        <f>'MATCH CALCS'!AD941*3</f>
        <v>0</v>
      </c>
      <c r="U940" s="155">
        <f t="shared" si="22"/>
        <v>0</v>
      </c>
      <c r="V940" s="154">
        <f t="shared" si="23"/>
        <v>0</v>
      </c>
    </row>
    <row r="941" spans="1:22">
      <c r="A941" s="154">
        <f>'MATCH CALCS'!A942</f>
        <v>0</v>
      </c>
      <c r="B941" s="154">
        <f>'MATCH CALCS'!$C942</f>
        <v>0</v>
      </c>
      <c r="C941" s="154">
        <f t="shared" si="19"/>
        <v>0</v>
      </c>
      <c r="D941" s="6">
        <f>'MATCH CALCS'!$G942*2</f>
        <v>0</v>
      </c>
      <c r="E941" s="6">
        <f>'MATCH CALCS'!$G942*2</f>
        <v>0</v>
      </c>
      <c r="F941" s="6">
        <f>'MATCH CALCS'!$G942*2</f>
        <v>0</v>
      </c>
      <c r="G941" s="6">
        <f>'MATCH CALCS'!$G942*2</f>
        <v>0</v>
      </c>
      <c r="H941" s="6">
        <f>'MATCH CALCS'!$G942*2</f>
        <v>0</v>
      </c>
      <c r="I941" s="6">
        <f>'MATCH CALCS'!$G942*2</f>
        <v>0</v>
      </c>
      <c r="J941" s="154">
        <f t="shared" si="20"/>
        <v>0</v>
      </c>
      <c r="K941" s="6">
        <f>'MATCH CALCS'!L942*1</f>
        <v>0</v>
      </c>
      <c r="L941" s="6">
        <f>'MATCH CALCS'!$N942*2</f>
        <v>0</v>
      </c>
      <c r="M941" s="6">
        <f>'MATCH CALCS'!N942*1</f>
        <v>0</v>
      </c>
      <c r="N941" s="6">
        <f>'MATCH CALCS'!$N942*2</f>
        <v>0</v>
      </c>
      <c r="O941" s="6">
        <f>'MATCH CALCS'!$N942*2</f>
        <v>0</v>
      </c>
      <c r="P941" s="6">
        <f>'MATCH CALCS'!$P942*5</f>
        <v>0</v>
      </c>
      <c r="Q941" s="154">
        <f t="shared" si="21"/>
        <v>0</v>
      </c>
      <c r="R941" s="6">
        <f>'MATCH CALCS'!$AD942*1</f>
        <v>0</v>
      </c>
      <c r="S941" s="6">
        <f>'MATCH CALCS'!AC942*3</f>
        <v>0</v>
      </c>
      <c r="T941" s="6">
        <f>'MATCH CALCS'!AD942*3</f>
        <v>0</v>
      </c>
      <c r="U941" s="155">
        <f t="shared" si="22"/>
        <v>0</v>
      </c>
      <c r="V941" s="154">
        <f t="shared" si="23"/>
        <v>0</v>
      </c>
    </row>
    <row r="942" spans="1:22">
      <c r="A942" s="154">
        <f>'MATCH CALCS'!A943</f>
        <v>0</v>
      </c>
      <c r="B942" s="154">
        <f>'MATCH CALCS'!$C943</f>
        <v>0</v>
      </c>
      <c r="C942" s="154">
        <f t="shared" si="19"/>
        <v>0</v>
      </c>
      <c r="D942" s="6">
        <f>'MATCH CALCS'!$G943*2</f>
        <v>0</v>
      </c>
      <c r="E942" s="6">
        <f>'MATCH CALCS'!$G943*2</f>
        <v>0</v>
      </c>
      <c r="F942" s="6">
        <f>'MATCH CALCS'!$G943*2</f>
        <v>0</v>
      </c>
      <c r="G942" s="6">
        <f>'MATCH CALCS'!$G943*2</f>
        <v>0</v>
      </c>
      <c r="H942" s="6">
        <f>'MATCH CALCS'!$G943*2</f>
        <v>0</v>
      </c>
      <c r="I942" s="6">
        <f>'MATCH CALCS'!$G943*2</f>
        <v>0</v>
      </c>
      <c r="J942" s="154">
        <f t="shared" si="20"/>
        <v>0</v>
      </c>
      <c r="K942" s="6">
        <f>'MATCH CALCS'!L943*1</f>
        <v>0</v>
      </c>
      <c r="L942" s="6">
        <f>'MATCH CALCS'!$N943*2</f>
        <v>0</v>
      </c>
      <c r="M942" s="6">
        <f>'MATCH CALCS'!N943*1</f>
        <v>0</v>
      </c>
      <c r="N942" s="6">
        <f>'MATCH CALCS'!$N943*2</f>
        <v>0</v>
      </c>
      <c r="O942" s="6">
        <f>'MATCH CALCS'!$N943*2</f>
        <v>0</v>
      </c>
      <c r="P942" s="6">
        <f>'MATCH CALCS'!$P943*5</f>
        <v>0</v>
      </c>
      <c r="Q942" s="154">
        <f t="shared" si="21"/>
        <v>0</v>
      </c>
      <c r="R942" s="6">
        <f>'MATCH CALCS'!$AD943*1</f>
        <v>0</v>
      </c>
      <c r="S942" s="6">
        <f>'MATCH CALCS'!AC943*3</f>
        <v>0</v>
      </c>
      <c r="T942" s="6">
        <f>'MATCH CALCS'!AD943*3</f>
        <v>0</v>
      </c>
      <c r="U942" s="155">
        <f t="shared" si="22"/>
        <v>0</v>
      </c>
      <c r="V942" s="154">
        <f t="shared" si="23"/>
        <v>0</v>
      </c>
    </row>
    <row r="943" spans="1:22">
      <c r="A943" s="154">
        <f>'MATCH CALCS'!A944</f>
        <v>0</v>
      </c>
      <c r="B943" s="154">
        <f>'MATCH CALCS'!$C944</f>
        <v>0</v>
      </c>
      <c r="C943" s="154">
        <f t="shared" si="19"/>
        <v>0</v>
      </c>
      <c r="D943" s="6">
        <f>'MATCH CALCS'!$G944*2</f>
        <v>0</v>
      </c>
      <c r="E943" s="6">
        <f>'MATCH CALCS'!$G944*2</f>
        <v>0</v>
      </c>
      <c r="F943" s="6">
        <f>'MATCH CALCS'!$G944*2</f>
        <v>0</v>
      </c>
      <c r="G943" s="6">
        <f>'MATCH CALCS'!$G944*2</f>
        <v>0</v>
      </c>
      <c r="H943" s="6">
        <f>'MATCH CALCS'!$G944*2</f>
        <v>0</v>
      </c>
      <c r="I943" s="6">
        <f>'MATCH CALCS'!$G944*2</f>
        <v>0</v>
      </c>
      <c r="J943" s="154">
        <f t="shared" si="20"/>
        <v>0</v>
      </c>
      <c r="K943" s="6">
        <f>'MATCH CALCS'!L944*1</f>
        <v>0</v>
      </c>
      <c r="L943" s="6">
        <f>'MATCH CALCS'!$N944*2</f>
        <v>0</v>
      </c>
      <c r="M943" s="6">
        <f>'MATCH CALCS'!N944*1</f>
        <v>0</v>
      </c>
      <c r="N943" s="6">
        <f>'MATCH CALCS'!$N944*2</f>
        <v>0</v>
      </c>
      <c r="O943" s="6">
        <f>'MATCH CALCS'!$N944*2</f>
        <v>0</v>
      </c>
      <c r="P943" s="6">
        <f>'MATCH CALCS'!$P944*5</f>
        <v>0</v>
      </c>
      <c r="Q943" s="154">
        <f t="shared" si="21"/>
        <v>0</v>
      </c>
      <c r="R943" s="6">
        <f>'MATCH CALCS'!$AD944*1</f>
        <v>0</v>
      </c>
      <c r="S943" s="6">
        <f>'MATCH CALCS'!AC944*3</f>
        <v>0</v>
      </c>
      <c r="T943" s="6">
        <f>'MATCH CALCS'!AD944*3</f>
        <v>0</v>
      </c>
      <c r="U943" s="155">
        <f t="shared" si="22"/>
        <v>0</v>
      </c>
      <c r="V943" s="154">
        <f t="shared" si="23"/>
        <v>0</v>
      </c>
    </row>
    <row r="944" spans="1:22">
      <c r="A944" s="154">
        <f>'MATCH CALCS'!A945</f>
        <v>0</v>
      </c>
      <c r="B944" s="154">
        <f>'MATCH CALCS'!$C945</f>
        <v>0</v>
      </c>
      <c r="C944" s="154">
        <f t="shared" si="19"/>
        <v>0</v>
      </c>
      <c r="D944" s="6">
        <f>'MATCH CALCS'!$G945*2</f>
        <v>0</v>
      </c>
      <c r="E944" s="6">
        <f>'MATCH CALCS'!$G945*2</f>
        <v>0</v>
      </c>
      <c r="F944" s="6">
        <f>'MATCH CALCS'!$G945*2</f>
        <v>0</v>
      </c>
      <c r="G944" s="6">
        <f>'MATCH CALCS'!$G945*2</f>
        <v>0</v>
      </c>
      <c r="H944" s="6">
        <f>'MATCH CALCS'!$G945*2</f>
        <v>0</v>
      </c>
      <c r="I944" s="6">
        <f>'MATCH CALCS'!$G945*2</f>
        <v>0</v>
      </c>
      <c r="J944" s="154">
        <f t="shared" si="20"/>
        <v>0</v>
      </c>
      <c r="K944" s="6">
        <f>'MATCH CALCS'!L945*1</f>
        <v>0</v>
      </c>
      <c r="L944" s="6">
        <f>'MATCH CALCS'!$N945*2</f>
        <v>0</v>
      </c>
      <c r="M944" s="6">
        <f>'MATCH CALCS'!N945*1</f>
        <v>0</v>
      </c>
      <c r="N944" s="6">
        <f>'MATCH CALCS'!$N945*2</f>
        <v>0</v>
      </c>
      <c r="O944" s="6">
        <f>'MATCH CALCS'!$N945*2</f>
        <v>0</v>
      </c>
      <c r="P944" s="6">
        <f>'MATCH CALCS'!$P945*5</f>
        <v>0</v>
      </c>
      <c r="Q944" s="154">
        <f t="shared" si="21"/>
        <v>0</v>
      </c>
      <c r="R944" s="6">
        <f>'MATCH CALCS'!$AD945*1</f>
        <v>0</v>
      </c>
      <c r="S944" s="6">
        <f>'MATCH CALCS'!AC945*3</f>
        <v>0</v>
      </c>
      <c r="T944" s="6">
        <f>'MATCH CALCS'!AD945*3</f>
        <v>0</v>
      </c>
      <c r="U944" s="155">
        <f t="shared" si="22"/>
        <v>0</v>
      </c>
      <c r="V944" s="154">
        <f t="shared" si="23"/>
        <v>0</v>
      </c>
    </row>
    <row r="945" spans="1:22">
      <c r="A945" s="154">
        <f>'MATCH CALCS'!A946</f>
        <v>0</v>
      </c>
      <c r="B945" s="154">
        <f>'MATCH CALCS'!$C946</f>
        <v>0</v>
      </c>
      <c r="C945" s="154">
        <f t="shared" si="19"/>
        <v>0</v>
      </c>
      <c r="D945" s="6">
        <f>'MATCH CALCS'!$G946*2</f>
        <v>0</v>
      </c>
      <c r="E945" s="6">
        <f>'MATCH CALCS'!$G946*2</f>
        <v>0</v>
      </c>
      <c r="F945" s="6">
        <f>'MATCH CALCS'!$G946*2</f>
        <v>0</v>
      </c>
      <c r="G945" s="6">
        <f>'MATCH CALCS'!$G946*2</f>
        <v>0</v>
      </c>
      <c r="H945" s="6">
        <f>'MATCH CALCS'!$G946*2</f>
        <v>0</v>
      </c>
      <c r="I945" s="6">
        <f>'MATCH CALCS'!$G946*2</f>
        <v>0</v>
      </c>
      <c r="J945" s="154">
        <f t="shared" si="20"/>
        <v>0</v>
      </c>
      <c r="K945" s="6">
        <f>'MATCH CALCS'!L946*1</f>
        <v>0</v>
      </c>
      <c r="L945" s="6">
        <f>'MATCH CALCS'!$N946*2</f>
        <v>0</v>
      </c>
      <c r="M945" s="6">
        <f>'MATCH CALCS'!N946*1</f>
        <v>0</v>
      </c>
      <c r="N945" s="6">
        <f>'MATCH CALCS'!$N946*2</f>
        <v>0</v>
      </c>
      <c r="O945" s="6">
        <f>'MATCH CALCS'!$N946*2</f>
        <v>0</v>
      </c>
      <c r="P945" s="6">
        <f>'MATCH CALCS'!$P946*5</f>
        <v>0</v>
      </c>
      <c r="Q945" s="154">
        <f t="shared" si="21"/>
        <v>0</v>
      </c>
      <c r="R945" s="6">
        <f>'MATCH CALCS'!$AD946*1</f>
        <v>0</v>
      </c>
      <c r="S945" s="6">
        <f>'MATCH CALCS'!AC946*3</f>
        <v>0</v>
      </c>
      <c r="T945" s="6">
        <f>'MATCH CALCS'!AD946*3</f>
        <v>0</v>
      </c>
      <c r="U945" s="155">
        <f t="shared" si="22"/>
        <v>0</v>
      </c>
      <c r="V945" s="154">
        <f t="shared" si="23"/>
        <v>0</v>
      </c>
    </row>
    <row r="946" spans="1:22">
      <c r="A946" s="154">
        <f>'MATCH CALCS'!A947</f>
        <v>0</v>
      </c>
      <c r="B946" s="154">
        <f>'MATCH CALCS'!$C947</f>
        <v>0</v>
      </c>
      <c r="C946" s="154">
        <f t="shared" si="19"/>
        <v>0</v>
      </c>
      <c r="D946" s="6">
        <f>'MATCH CALCS'!$G947*2</f>
        <v>0</v>
      </c>
      <c r="E946" s="6">
        <f>'MATCH CALCS'!$G947*2</f>
        <v>0</v>
      </c>
      <c r="F946" s="6">
        <f>'MATCH CALCS'!$G947*2</f>
        <v>0</v>
      </c>
      <c r="G946" s="6">
        <f>'MATCH CALCS'!$G947*2</f>
        <v>0</v>
      </c>
      <c r="H946" s="6">
        <f>'MATCH CALCS'!$G947*2</f>
        <v>0</v>
      </c>
      <c r="I946" s="6">
        <f>'MATCH CALCS'!$G947*2</f>
        <v>0</v>
      </c>
      <c r="J946" s="154">
        <f t="shared" si="20"/>
        <v>0</v>
      </c>
      <c r="K946" s="6">
        <f>'MATCH CALCS'!L947*1</f>
        <v>0</v>
      </c>
      <c r="L946" s="6">
        <f>'MATCH CALCS'!$N947*2</f>
        <v>0</v>
      </c>
      <c r="M946" s="6">
        <f>'MATCH CALCS'!N947*1</f>
        <v>0</v>
      </c>
      <c r="N946" s="6">
        <f>'MATCH CALCS'!$N947*2</f>
        <v>0</v>
      </c>
      <c r="O946" s="6">
        <f>'MATCH CALCS'!$N947*2</f>
        <v>0</v>
      </c>
      <c r="P946" s="6">
        <f>'MATCH CALCS'!$P947*5</f>
        <v>0</v>
      </c>
      <c r="Q946" s="154">
        <f t="shared" si="21"/>
        <v>0</v>
      </c>
      <c r="R946" s="6">
        <f>'MATCH CALCS'!$AD947*1</f>
        <v>0</v>
      </c>
      <c r="S946" s="6">
        <f>'MATCH CALCS'!AC947*3</f>
        <v>0</v>
      </c>
      <c r="T946" s="6">
        <f>'MATCH CALCS'!AD947*3</f>
        <v>0</v>
      </c>
      <c r="U946" s="155">
        <f t="shared" si="22"/>
        <v>0</v>
      </c>
      <c r="V946" s="154">
        <f t="shared" si="23"/>
        <v>0</v>
      </c>
    </row>
    <row r="947" spans="1:22">
      <c r="A947" s="154">
        <f>'MATCH CALCS'!A948</f>
        <v>0</v>
      </c>
      <c r="B947" s="154">
        <f>'MATCH CALCS'!$C948</f>
        <v>0</v>
      </c>
      <c r="C947" s="154">
        <f t="shared" si="19"/>
        <v>0</v>
      </c>
      <c r="D947" s="6">
        <f>'MATCH CALCS'!$G948*2</f>
        <v>0</v>
      </c>
      <c r="E947" s="6">
        <f>'MATCH CALCS'!$G948*2</f>
        <v>0</v>
      </c>
      <c r="F947" s="6">
        <f>'MATCH CALCS'!$G948*2</f>
        <v>0</v>
      </c>
      <c r="G947" s="6">
        <f>'MATCH CALCS'!$G948*2</f>
        <v>0</v>
      </c>
      <c r="H947" s="6">
        <f>'MATCH CALCS'!$G948*2</f>
        <v>0</v>
      </c>
      <c r="I947" s="6">
        <f>'MATCH CALCS'!$G948*2</f>
        <v>0</v>
      </c>
      <c r="J947" s="154">
        <f t="shared" si="20"/>
        <v>0</v>
      </c>
      <c r="K947" s="6">
        <f>'MATCH CALCS'!L948*1</f>
        <v>0</v>
      </c>
      <c r="L947" s="6">
        <f>'MATCH CALCS'!$N948*2</f>
        <v>0</v>
      </c>
      <c r="M947" s="6">
        <f>'MATCH CALCS'!N948*1</f>
        <v>0</v>
      </c>
      <c r="N947" s="6">
        <f>'MATCH CALCS'!$N948*2</f>
        <v>0</v>
      </c>
      <c r="O947" s="6">
        <f>'MATCH CALCS'!$N948*2</f>
        <v>0</v>
      </c>
      <c r="P947" s="6">
        <f>'MATCH CALCS'!$P948*5</f>
        <v>0</v>
      </c>
      <c r="Q947" s="154">
        <f t="shared" si="21"/>
        <v>0</v>
      </c>
      <c r="R947" s="6">
        <f>'MATCH CALCS'!$AD948*1</f>
        <v>0</v>
      </c>
      <c r="S947" s="6">
        <f>'MATCH CALCS'!AC948*3</f>
        <v>0</v>
      </c>
      <c r="T947" s="6">
        <f>'MATCH CALCS'!AD948*3</f>
        <v>0</v>
      </c>
      <c r="U947" s="155">
        <f t="shared" si="22"/>
        <v>0</v>
      </c>
      <c r="V947" s="154">
        <f t="shared" si="23"/>
        <v>0</v>
      </c>
    </row>
    <row r="948" spans="1:22">
      <c r="A948" s="154">
        <f>'MATCH CALCS'!A949</f>
        <v>0</v>
      </c>
      <c r="B948" s="154">
        <f>'MATCH CALCS'!$C949</f>
        <v>0</v>
      </c>
      <c r="C948" s="154">
        <f t="shared" si="19"/>
        <v>0</v>
      </c>
      <c r="D948" s="6">
        <f>'MATCH CALCS'!$G949*2</f>
        <v>0</v>
      </c>
      <c r="E948" s="6">
        <f>'MATCH CALCS'!$G949*2</f>
        <v>0</v>
      </c>
      <c r="F948" s="6">
        <f>'MATCH CALCS'!$G949*2</f>
        <v>0</v>
      </c>
      <c r="G948" s="6">
        <f>'MATCH CALCS'!$G949*2</f>
        <v>0</v>
      </c>
      <c r="H948" s="6">
        <f>'MATCH CALCS'!$G949*2</f>
        <v>0</v>
      </c>
      <c r="I948" s="6">
        <f>'MATCH CALCS'!$G949*2</f>
        <v>0</v>
      </c>
      <c r="J948" s="154">
        <f t="shared" si="20"/>
        <v>0</v>
      </c>
      <c r="K948" s="6">
        <f>'MATCH CALCS'!L949*1</f>
        <v>0</v>
      </c>
      <c r="L948" s="6">
        <f>'MATCH CALCS'!$N949*2</f>
        <v>0</v>
      </c>
      <c r="M948" s="6">
        <f>'MATCH CALCS'!N949*1</f>
        <v>0</v>
      </c>
      <c r="N948" s="6">
        <f>'MATCH CALCS'!$N949*2</f>
        <v>0</v>
      </c>
      <c r="O948" s="6">
        <f>'MATCH CALCS'!$N949*2</f>
        <v>0</v>
      </c>
      <c r="P948" s="6">
        <f>'MATCH CALCS'!$P949*5</f>
        <v>0</v>
      </c>
      <c r="Q948" s="154">
        <f t="shared" si="21"/>
        <v>0</v>
      </c>
      <c r="R948" s="6">
        <f>'MATCH CALCS'!$AD949*1</f>
        <v>0</v>
      </c>
      <c r="S948" s="6">
        <f>'MATCH CALCS'!AC949*3</f>
        <v>0</v>
      </c>
      <c r="T948" s="6">
        <f>'MATCH CALCS'!AD949*3</f>
        <v>0</v>
      </c>
      <c r="U948" s="155">
        <f t="shared" si="22"/>
        <v>0</v>
      </c>
      <c r="V948" s="154">
        <f t="shared" si="23"/>
        <v>0</v>
      </c>
    </row>
    <row r="949" spans="1:22">
      <c r="A949" s="154">
        <f>'MATCH CALCS'!A950</f>
        <v>0</v>
      </c>
      <c r="B949" s="154">
        <f>'MATCH CALCS'!$C950</f>
        <v>0</v>
      </c>
      <c r="C949" s="154">
        <f t="shared" si="19"/>
        <v>0</v>
      </c>
      <c r="D949" s="6">
        <f>'MATCH CALCS'!$G950*2</f>
        <v>0</v>
      </c>
      <c r="E949" s="6">
        <f>'MATCH CALCS'!$G950*2</f>
        <v>0</v>
      </c>
      <c r="F949" s="6">
        <f>'MATCH CALCS'!$G950*2</f>
        <v>0</v>
      </c>
      <c r="G949" s="6">
        <f>'MATCH CALCS'!$G950*2</f>
        <v>0</v>
      </c>
      <c r="H949" s="6">
        <f>'MATCH CALCS'!$G950*2</f>
        <v>0</v>
      </c>
      <c r="I949" s="6">
        <f>'MATCH CALCS'!$G950*2</f>
        <v>0</v>
      </c>
      <c r="J949" s="154">
        <f t="shared" si="20"/>
        <v>0</v>
      </c>
      <c r="K949" s="6">
        <f>'MATCH CALCS'!L950*1</f>
        <v>0</v>
      </c>
      <c r="L949" s="6">
        <f>'MATCH CALCS'!$N950*2</f>
        <v>0</v>
      </c>
      <c r="M949" s="6">
        <f>'MATCH CALCS'!N950*1</f>
        <v>0</v>
      </c>
      <c r="N949" s="6">
        <f>'MATCH CALCS'!$N950*2</f>
        <v>0</v>
      </c>
      <c r="O949" s="6">
        <f>'MATCH CALCS'!$N950*2</f>
        <v>0</v>
      </c>
      <c r="P949" s="6">
        <f>'MATCH CALCS'!$P950*5</f>
        <v>0</v>
      </c>
      <c r="Q949" s="154">
        <f t="shared" si="21"/>
        <v>0</v>
      </c>
      <c r="R949" s="6">
        <f>'MATCH CALCS'!$AD950*1</f>
        <v>0</v>
      </c>
      <c r="S949" s="6">
        <f>'MATCH CALCS'!AC950*3</f>
        <v>0</v>
      </c>
      <c r="T949" s="6">
        <f>'MATCH CALCS'!AD950*3</f>
        <v>0</v>
      </c>
      <c r="U949" s="155">
        <f t="shared" si="22"/>
        <v>0</v>
      </c>
      <c r="V949" s="154">
        <f t="shared" si="23"/>
        <v>0</v>
      </c>
    </row>
    <row r="950" spans="1:22">
      <c r="A950" s="154">
        <f>'MATCH CALCS'!A951</f>
        <v>0</v>
      </c>
      <c r="B950" s="154">
        <f>'MATCH CALCS'!$C951</f>
        <v>0</v>
      </c>
      <c r="C950" s="154">
        <f t="shared" si="19"/>
        <v>0</v>
      </c>
      <c r="D950" s="6">
        <f>'MATCH CALCS'!$G951*2</f>
        <v>0</v>
      </c>
      <c r="E950" s="6">
        <f>'MATCH CALCS'!$G951*2</f>
        <v>0</v>
      </c>
      <c r="F950" s="6">
        <f>'MATCH CALCS'!$G951*2</f>
        <v>0</v>
      </c>
      <c r="G950" s="6">
        <f>'MATCH CALCS'!$G951*2</f>
        <v>0</v>
      </c>
      <c r="H950" s="6">
        <f>'MATCH CALCS'!$G951*2</f>
        <v>0</v>
      </c>
      <c r="I950" s="6">
        <f>'MATCH CALCS'!$G951*2</f>
        <v>0</v>
      </c>
      <c r="J950" s="154">
        <f t="shared" si="20"/>
        <v>0</v>
      </c>
      <c r="K950" s="6">
        <f>'MATCH CALCS'!L951*1</f>
        <v>0</v>
      </c>
      <c r="L950" s="6">
        <f>'MATCH CALCS'!$N951*2</f>
        <v>0</v>
      </c>
      <c r="M950" s="6">
        <f>'MATCH CALCS'!N951*1</f>
        <v>0</v>
      </c>
      <c r="N950" s="6">
        <f>'MATCH CALCS'!$N951*2</f>
        <v>0</v>
      </c>
      <c r="O950" s="6">
        <f>'MATCH CALCS'!$N951*2</f>
        <v>0</v>
      </c>
      <c r="P950" s="6">
        <f>'MATCH CALCS'!$P951*5</f>
        <v>0</v>
      </c>
      <c r="Q950" s="154">
        <f t="shared" si="21"/>
        <v>0</v>
      </c>
      <c r="R950" s="6">
        <f>'MATCH CALCS'!$AD951*1</f>
        <v>0</v>
      </c>
      <c r="S950" s="6">
        <f>'MATCH CALCS'!AC951*3</f>
        <v>0</v>
      </c>
      <c r="T950" s="6">
        <f>'MATCH CALCS'!AD951*3</f>
        <v>0</v>
      </c>
      <c r="U950" s="155">
        <f t="shared" si="22"/>
        <v>0</v>
      </c>
      <c r="V950" s="154">
        <f t="shared" si="23"/>
        <v>0</v>
      </c>
    </row>
    <row r="951" spans="1:22">
      <c r="A951" s="154">
        <f>'MATCH CALCS'!A952</f>
        <v>0</v>
      </c>
      <c r="B951" s="154">
        <f>'MATCH CALCS'!$C952</f>
        <v>0</v>
      </c>
      <c r="C951" s="154">
        <f t="shared" si="19"/>
        <v>0</v>
      </c>
      <c r="D951" s="6">
        <f>'MATCH CALCS'!$G952*2</f>
        <v>0</v>
      </c>
      <c r="E951" s="6">
        <f>'MATCH CALCS'!$G952*2</f>
        <v>0</v>
      </c>
      <c r="F951" s="6">
        <f>'MATCH CALCS'!$G952*2</f>
        <v>0</v>
      </c>
      <c r="G951" s="6">
        <f>'MATCH CALCS'!$G952*2</f>
        <v>0</v>
      </c>
      <c r="H951" s="6">
        <f>'MATCH CALCS'!$G952*2</f>
        <v>0</v>
      </c>
      <c r="I951" s="6">
        <f>'MATCH CALCS'!$G952*2</f>
        <v>0</v>
      </c>
      <c r="J951" s="154">
        <f t="shared" si="20"/>
        <v>0</v>
      </c>
      <c r="K951" s="6">
        <f>'MATCH CALCS'!L952*1</f>
        <v>0</v>
      </c>
      <c r="L951" s="6">
        <f>'MATCH CALCS'!$N952*2</f>
        <v>0</v>
      </c>
      <c r="M951" s="6">
        <f>'MATCH CALCS'!N952*1</f>
        <v>0</v>
      </c>
      <c r="N951" s="6">
        <f>'MATCH CALCS'!$N952*2</f>
        <v>0</v>
      </c>
      <c r="O951" s="6">
        <f>'MATCH CALCS'!$N952*2</f>
        <v>0</v>
      </c>
      <c r="P951" s="6">
        <f>'MATCH CALCS'!$P952*5</f>
        <v>0</v>
      </c>
      <c r="Q951" s="154">
        <f t="shared" si="21"/>
        <v>0</v>
      </c>
      <c r="R951" s="6">
        <f>'MATCH CALCS'!$AD952*1</f>
        <v>0</v>
      </c>
      <c r="S951" s="6">
        <f>'MATCH CALCS'!AC952*3</f>
        <v>0</v>
      </c>
      <c r="T951" s="6">
        <f>'MATCH CALCS'!AD952*3</f>
        <v>0</v>
      </c>
      <c r="U951" s="155">
        <f t="shared" si="22"/>
        <v>0</v>
      </c>
      <c r="V951" s="154">
        <f t="shared" si="23"/>
        <v>0</v>
      </c>
    </row>
    <row r="952" spans="1:22">
      <c r="A952" s="154">
        <f>'MATCH CALCS'!A953</f>
        <v>0</v>
      </c>
      <c r="B952" s="154">
        <f>'MATCH CALCS'!$C953</f>
        <v>0</v>
      </c>
      <c r="C952" s="154">
        <f t="shared" si="19"/>
        <v>0</v>
      </c>
      <c r="D952" s="6">
        <f>'MATCH CALCS'!$G953*2</f>
        <v>0</v>
      </c>
      <c r="E952" s="6">
        <f>'MATCH CALCS'!$G953*2</f>
        <v>0</v>
      </c>
      <c r="F952" s="6">
        <f>'MATCH CALCS'!$G953*2</f>
        <v>0</v>
      </c>
      <c r="G952" s="6">
        <f>'MATCH CALCS'!$G953*2</f>
        <v>0</v>
      </c>
      <c r="H952" s="6">
        <f>'MATCH CALCS'!$G953*2</f>
        <v>0</v>
      </c>
      <c r="I952" s="6">
        <f>'MATCH CALCS'!$G953*2</f>
        <v>0</v>
      </c>
      <c r="J952" s="154">
        <f t="shared" si="20"/>
        <v>0</v>
      </c>
      <c r="K952" s="6">
        <f>'MATCH CALCS'!L953*1</f>
        <v>0</v>
      </c>
      <c r="L952" s="6">
        <f>'MATCH CALCS'!$N953*2</f>
        <v>0</v>
      </c>
      <c r="M952" s="6">
        <f>'MATCH CALCS'!N953*1</f>
        <v>0</v>
      </c>
      <c r="N952" s="6">
        <f>'MATCH CALCS'!$N953*2</f>
        <v>0</v>
      </c>
      <c r="O952" s="6">
        <f>'MATCH CALCS'!$N953*2</f>
        <v>0</v>
      </c>
      <c r="P952" s="6">
        <f>'MATCH CALCS'!$P953*5</f>
        <v>0</v>
      </c>
      <c r="Q952" s="154">
        <f t="shared" si="21"/>
        <v>0</v>
      </c>
      <c r="R952" s="6">
        <f>'MATCH CALCS'!$AD953*1</f>
        <v>0</v>
      </c>
      <c r="S952" s="6">
        <f>'MATCH CALCS'!AC953*3</f>
        <v>0</v>
      </c>
      <c r="T952" s="6">
        <f>'MATCH CALCS'!AD953*3</f>
        <v>0</v>
      </c>
      <c r="U952" s="155">
        <f t="shared" si="22"/>
        <v>0</v>
      </c>
      <c r="V952" s="154">
        <f t="shared" si="23"/>
        <v>0</v>
      </c>
    </row>
    <row r="953" spans="1:22">
      <c r="A953" s="154">
        <f>'MATCH CALCS'!A954</f>
        <v>0</v>
      </c>
      <c r="B953" s="154">
        <f>'MATCH CALCS'!$C954</f>
        <v>0</v>
      </c>
      <c r="C953" s="154">
        <f t="shared" si="19"/>
        <v>0</v>
      </c>
      <c r="D953" s="6">
        <f>'MATCH CALCS'!$G954*2</f>
        <v>0</v>
      </c>
      <c r="E953" s="6">
        <f>'MATCH CALCS'!$G954*2</f>
        <v>0</v>
      </c>
      <c r="F953" s="6">
        <f>'MATCH CALCS'!$G954*2</f>
        <v>0</v>
      </c>
      <c r="G953" s="6">
        <f>'MATCH CALCS'!$G954*2</f>
        <v>0</v>
      </c>
      <c r="H953" s="6">
        <f>'MATCH CALCS'!$G954*2</f>
        <v>0</v>
      </c>
      <c r="I953" s="6">
        <f>'MATCH CALCS'!$G954*2</f>
        <v>0</v>
      </c>
      <c r="J953" s="154">
        <f t="shared" si="20"/>
        <v>0</v>
      </c>
      <c r="K953" s="6">
        <f>'MATCH CALCS'!L954*1</f>
        <v>0</v>
      </c>
      <c r="L953" s="6">
        <f>'MATCH CALCS'!$N954*2</f>
        <v>0</v>
      </c>
      <c r="M953" s="6">
        <f>'MATCH CALCS'!N954*1</f>
        <v>0</v>
      </c>
      <c r="N953" s="6">
        <f>'MATCH CALCS'!$N954*2</f>
        <v>0</v>
      </c>
      <c r="O953" s="6">
        <f>'MATCH CALCS'!$N954*2</f>
        <v>0</v>
      </c>
      <c r="P953" s="6">
        <f>'MATCH CALCS'!$P954*5</f>
        <v>0</v>
      </c>
      <c r="Q953" s="154">
        <f t="shared" si="21"/>
        <v>0</v>
      </c>
      <c r="R953" s="6">
        <f>'MATCH CALCS'!$AD954*1</f>
        <v>0</v>
      </c>
      <c r="S953" s="6">
        <f>'MATCH CALCS'!AC954*3</f>
        <v>0</v>
      </c>
      <c r="T953" s="6">
        <f>'MATCH CALCS'!AD954*3</f>
        <v>0</v>
      </c>
      <c r="U953" s="155">
        <f t="shared" si="22"/>
        <v>0</v>
      </c>
      <c r="V953" s="154">
        <f t="shared" si="23"/>
        <v>0</v>
      </c>
    </row>
    <row r="954" spans="1:22">
      <c r="A954" s="154">
        <f>'MATCH CALCS'!A955</f>
        <v>0</v>
      </c>
      <c r="B954" s="154">
        <f>'MATCH CALCS'!$C955</f>
        <v>0</v>
      </c>
      <c r="C954" s="154">
        <f t="shared" si="19"/>
        <v>0</v>
      </c>
      <c r="D954" s="6">
        <f>'MATCH CALCS'!$G955*2</f>
        <v>0</v>
      </c>
      <c r="E954" s="6">
        <f>'MATCH CALCS'!$G955*2</f>
        <v>0</v>
      </c>
      <c r="F954" s="6">
        <f>'MATCH CALCS'!$G955*2</f>
        <v>0</v>
      </c>
      <c r="G954" s="6">
        <f>'MATCH CALCS'!$G955*2</f>
        <v>0</v>
      </c>
      <c r="H954" s="6">
        <f>'MATCH CALCS'!$G955*2</f>
        <v>0</v>
      </c>
      <c r="I954" s="6">
        <f>'MATCH CALCS'!$G955*2</f>
        <v>0</v>
      </c>
      <c r="J954" s="154">
        <f t="shared" si="20"/>
        <v>0</v>
      </c>
      <c r="K954" s="6">
        <f>'MATCH CALCS'!L955*1</f>
        <v>0</v>
      </c>
      <c r="L954" s="6">
        <f>'MATCH CALCS'!$N955*2</f>
        <v>0</v>
      </c>
      <c r="M954" s="6">
        <f>'MATCH CALCS'!N955*1</f>
        <v>0</v>
      </c>
      <c r="N954" s="6">
        <f>'MATCH CALCS'!$N955*2</f>
        <v>0</v>
      </c>
      <c r="O954" s="6">
        <f>'MATCH CALCS'!$N955*2</f>
        <v>0</v>
      </c>
      <c r="P954" s="6">
        <f>'MATCH CALCS'!$P955*5</f>
        <v>0</v>
      </c>
      <c r="Q954" s="154">
        <f t="shared" si="21"/>
        <v>0</v>
      </c>
      <c r="R954" s="6">
        <f>'MATCH CALCS'!$AD955*1</f>
        <v>0</v>
      </c>
      <c r="S954" s="6">
        <f>'MATCH CALCS'!AC955*3</f>
        <v>0</v>
      </c>
      <c r="T954" s="6">
        <f>'MATCH CALCS'!AD955*3</f>
        <v>0</v>
      </c>
      <c r="U954" s="155">
        <f t="shared" si="22"/>
        <v>0</v>
      </c>
      <c r="V954" s="154">
        <f t="shared" si="23"/>
        <v>0</v>
      </c>
    </row>
    <row r="955" spans="1:22">
      <c r="A955" s="154">
        <f>'MATCH CALCS'!A956</f>
        <v>0</v>
      </c>
      <c r="B955" s="154">
        <f>'MATCH CALCS'!$C956</f>
        <v>0</v>
      </c>
      <c r="C955" s="154">
        <f t="shared" si="19"/>
        <v>0</v>
      </c>
      <c r="D955" s="6">
        <f>'MATCH CALCS'!$G956*2</f>
        <v>0</v>
      </c>
      <c r="E955" s="6">
        <f>'MATCH CALCS'!$G956*2</f>
        <v>0</v>
      </c>
      <c r="F955" s="6">
        <f>'MATCH CALCS'!$G956*2</f>
        <v>0</v>
      </c>
      <c r="G955" s="6">
        <f>'MATCH CALCS'!$G956*2</f>
        <v>0</v>
      </c>
      <c r="H955" s="6">
        <f>'MATCH CALCS'!$G956*2</f>
        <v>0</v>
      </c>
      <c r="I955" s="6">
        <f>'MATCH CALCS'!$G956*2</f>
        <v>0</v>
      </c>
      <c r="J955" s="154">
        <f t="shared" si="20"/>
        <v>0</v>
      </c>
      <c r="K955" s="6">
        <f>'MATCH CALCS'!L956*1</f>
        <v>0</v>
      </c>
      <c r="L955" s="6">
        <f>'MATCH CALCS'!$N956*2</f>
        <v>0</v>
      </c>
      <c r="M955" s="6">
        <f>'MATCH CALCS'!N956*1</f>
        <v>0</v>
      </c>
      <c r="N955" s="6">
        <f>'MATCH CALCS'!$N956*2</f>
        <v>0</v>
      </c>
      <c r="O955" s="6">
        <f>'MATCH CALCS'!$N956*2</f>
        <v>0</v>
      </c>
      <c r="P955" s="6">
        <f>'MATCH CALCS'!$P956*5</f>
        <v>0</v>
      </c>
      <c r="Q955" s="154">
        <f t="shared" si="21"/>
        <v>0</v>
      </c>
      <c r="R955" s="6">
        <f>'MATCH CALCS'!$AD956*1</f>
        <v>0</v>
      </c>
      <c r="S955" s="6">
        <f>'MATCH CALCS'!AC956*3</f>
        <v>0</v>
      </c>
      <c r="T955" s="6">
        <f>'MATCH CALCS'!AD956*3</f>
        <v>0</v>
      </c>
      <c r="U955" s="155">
        <f t="shared" si="22"/>
        <v>0</v>
      </c>
      <c r="V955" s="154">
        <f t="shared" si="23"/>
        <v>0</v>
      </c>
    </row>
    <row r="956" spans="1:22">
      <c r="A956" s="154">
        <f>'MATCH CALCS'!A957</f>
        <v>0</v>
      </c>
      <c r="B956" s="154">
        <f>'MATCH CALCS'!$C957</f>
        <v>0</v>
      </c>
      <c r="C956" s="154">
        <f t="shared" si="19"/>
        <v>0</v>
      </c>
      <c r="D956" s="6">
        <f>'MATCH CALCS'!$G957*2</f>
        <v>0</v>
      </c>
      <c r="E956" s="6">
        <f>'MATCH CALCS'!$G957*2</f>
        <v>0</v>
      </c>
      <c r="F956" s="6">
        <f>'MATCH CALCS'!$G957*2</f>
        <v>0</v>
      </c>
      <c r="G956" s="6">
        <f>'MATCH CALCS'!$G957*2</f>
        <v>0</v>
      </c>
      <c r="H956" s="6">
        <f>'MATCH CALCS'!$G957*2</f>
        <v>0</v>
      </c>
      <c r="I956" s="6">
        <f>'MATCH CALCS'!$G957*2</f>
        <v>0</v>
      </c>
      <c r="J956" s="154">
        <f t="shared" si="20"/>
        <v>0</v>
      </c>
      <c r="K956" s="6">
        <f>'MATCH CALCS'!L957*1</f>
        <v>0</v>
      </c>
      <c r="L956" s="6">
        <f>'MATCH CALCS'!$N957*2</f>
        <v>0</v>
      </c>
      <c r="M956" s="6">
        <f>'MATCH CALCS'!N957*1</f>
        <v>0</v>
      </c>
      <c r="N956" s="6">
        <f>'MATCH CALCS'!$N957*2</f>
        <v>0</v>
      </c>
      <c r="O956" s="6">
        <f>'MATCH CALCS'!$N957*2</f>
        <v>0</v>
      </c>
      <c r="P956" s="6">
        <f>'MATCH CALCS'!$P957*5</f>
        <v>0</v>
      </c>
      <c r="Q956" s="154">
        <f t="shared" si="21"/>
        <v>0</v>
      </c>
      <c r="R956" s="6">
        <f>'MATCH CALCS'!$AD957*1</f>
        <v>0</v>
      </c>
      <c r="S956" s="6">
        <f>'MATCH CALCS'!AC957*3</f>
        <v>0</v>
      </c>
      <c r="T956" s="6">
        <f>'MATCH CALCS'!AD957*3</f>
        <v>0</v>
      </c>
      <c r="U956" s="155">
        <f t="shared" si="22"/>
        <v>0</v>
      </c>
      <c r="V956" s="154">
        <f t="shared" si="23"/>
        <v>0</v>
      </c>
    </row>
    <row r="957" spans="1:22">
      <c r="A957" s="154">
        <f>'MATCH CALCS'!A958</f>
        <v>0</v>
      </c>
      <c r="B957" s="154">
        <f>'MATCH CALCS'!$C958</f>
        <v>0</v>
      </c>
      <c r="C957" s="154">
        <f t="shared" si="19"/>
        <v>0</v>
      </c>
      <c r="D957" s="6">
        <f>'MATCH CALCS'!$G958*2</f>
        <v>0</v>
      </c>
      <c r="E957" s="6">
        <f>'MATCH CALCS'!$G958*2</f>
        <v>0</v>
      </c>
      <c r="F957" s="6">
        <f>'MATCH CALCS'!$G958*2</f>
        <v>0</v>
      </c>
      <c r="G957" s="6">
        <f>'MATCH CALCS'!$G958*2</f>
        <v>0</v>
      </c>
      <c r="H957" s="6">
        <f>'MATCH CALCS'!$G958*2</f>
        <v>0</v>
      </c>
      <c r="I957" s="6">
        <f>'MATCH CALCS'!$G958*2</f>
        <v>0</v>
      </c>
      <c r="J957" s="154">
        <f t="shared" si="20"/>
        <v>0</v>
      </c>
      <c r="K957" s="6">
        <f>'MATCH CALCS'!L958*1</f>
        <v>0</v>
      </c>
      <c r="L957" s="6">
        <f>'MATCH CALCS'!$N958*2</f>
        <v>0</v>
      </c>
      <c r="M957" s="6">
        <f>'MATCH CALCS'!N958*1</f>
        <v>0</v>
      </c>
      <c r="N957" s="6">
        <f>'MATCH CALCS'!$N958*2</f>
        <v>0</v>
      </c>
      <c r="O957" s="6">
        <f>'MATCH CALCS'!$N958*2</f>
        <v>0</v>
      </c>
      <c r="P957" s="6">
        <f>'MATCH CALCS'!$P958*5</f>
        <v>0</v>
      </c>
      <c r="Q957" s="154">
        <f t="shared" si="21"/>
        <v>0</v>
      </c>
      <c r="R957" s="6">
        <f>'MATCH CALCS'!$AD958*1</f>
        <v>0</v>
      </c>
      <c r="S957" s="6">
        <f>'MATCH CALCS'!AC958*3</f>
        <v>0</v>
      </c>
      <c r="T957" s="6">
        <f>'MATCH CALCS'!AD958*3</f>
        <v>0</v>
      </c>
      <c r="U957" s="155">
        <f t="shared" si="22"/>
        <v>0</v>
      </c>
      <c r="V957" s="154">
        <f t="shared" si="23"/>
        <v>0</v>
      </c>
    </row>
    <row r="958" spans="1:22">
      <c r="A958" s="154">
        <f>'MATCH CALCS'!A959</f>
        <v>0</v>
      </c>
      <c r="B958" s="154">
        <f>'MATCH CALCS'!$C959</f>
        <v>0</v>
      </c>
      <c r="C958" s="154">
        <f t="shared" si="19"/>
        <v>0</v>
      </c>
      <c r="D958" s="6">
        <f>'MATCH CALCS'!$G959*2</f>
        <v>0</v>
      </c>
      <c r="E958" s="6">
        <f>'MATCH CALCS'!$G959*2</f>
        <v>0</v>
      </c>
      <c r="F958" s="6">
        <f>'MATCH CALCS'!$G959*2</f>
        <v>0</v>
      </c>
      <c r="G958" s="6">
        <f>'MATCH CALCS'!$G959*2</f>
        <v>0</v>
      </c>
      <c r="H958" s="6">
        <f>'MATCH CALCS'!$G959*2</f>
        <v>0</v>
      </c>
      <c r="I958" s="6">
        <f>'MATCH CALCS'!$G959*2</f>
        <v>0</v>
      </c>
      <c r="J958" s="154">
        <f t="shared" si="20"/>
        <v>0</v>
      </c>
      <c r="K958" s="6">
        <f>'MATCH CALCS'!L959*1</f>
        <v>0</v>
      </c>
      <c r="L958" s="6">
        <f>'MATCH CALCS'!$N959*2</f>
        <v>0</v>
      </c>
      <c r="M958" s="6">
        <f>'MATCH CALCS'!N959*1</f>
        <v>0</v>
      </c>
      <c r="N958" s="6">
        <f>'MATCH CALCS'!$N959*2</f>
        <v>0</v>
      </c>
      <c r="O958" s="6">
        <f>'MATCH CALCS'!$N959*2</f>
        <v>0</v>
      </c>
      <c r="P958" s="6">
        <f>'MATCH CALCS'!$P959*5</f>
        <v>0</v>
      </c>
      <c r="Q958" s="154">
        <f t="shared" si="21"/>
        <v>0</v>
      </c>
      <c r="R958" s="6">
        <f>'MATCH CALCS'!$AD959*1</f>
        <v>0</v>
      </c>
      <c r="S958" s="6">
        <f>'MATCH CALCS'!AC959*3</f>
        <v>0</v>
      </c>
      <c r="T958" s="6">
        <f>'MATCH CALCS'!AD959*3</f>
        <v>0</v>
      </c>
      <c r="U958" s="155">
        <f t="shared" si="22"/>
        <v>0</v>
      </c>
      <c r="V958" s="154">
        <f t="shared" si="23"/>
        <v>0</v>
      </c>
    </row>
    <row r="959" spans="1:22">
      <c r="A959" s="154">
        <f>'MATCH CALCS'!A960</f>
        <v>0</v>
      </c>
      <c r="B959" s="154">
        <f>'MATCH CALCS'!$C960</f>
        <v>0</v>
      </c>
      <c r="C959" s="154">
        <f t="shared" si="19"/>
        <v>0</v>
      </c>
      <c r="D959" s="6">
        <f>'MATCH CALCS'!$G960*2</f>
        <v>0</v>
      </c>
      <c r="E959" s="6">
        <f>'MATCH CALCS'!$G960*2</f>
        <v>0</v>
      </c>
      <c r="F959" s="6">
        <f>'MATCH CALCS'!$G960*2</f>
        <v>0</v>
      </c>
      <c r="G959" s="6">
        <f>'MATCH CALCS'!$G960*2</f>
        <v>0</v>
      </c>
      <c r="H959" s="6">
        <f>'MATCH CALCS'!$G960*2</f>
        <v>0</v>
      </c>
      <c r="I959" s="6">
        <f>'MATCH CALCS'!$G960*2</f>
        <v>0</v>
      </c>
      <c r="J959" s="154">
        <f t="shared" si="20"/>
        <v>0</v>
      </c>
      <c r="K959" s="6">
        <f>'MATCH CALCS'!L960*1</f>
        <v>0</v>
      </c>
      <c r="L959" s="6">
        <f>'MATCH CALCS'!$N960*2</f>
        <v>0</v>
      </c>
      <c r="M959" s="6">
        <f>'MATCH CALCS'!N960*1</f>
        <v>0</v>
      </c>
      <c r="N959" s="6">
        <f>'MATCH CALCS'!$N960*2</f>
        <v>0</v>
      </c>
      <c r="O959" s="6">
        <f>'MATCH CALCS'!$N960*2</f>
        <v>0</v>
      </c>
      <c r="P959" s="6">
        <f>'MATCH CALCS'!$P960*5</f>
        <v>0</v>
      </c>
      <c r="Q959" s="154">
        <f t="shared" si="21"/>
        <v>0</v>
      </c>
      <c r="R959" s="6">
        <f>'MATCH CALCS'!$AD960*1</f>
        <v>0</v>
      </c>
      <c r="S959" s="6">
        <f>'MATCH CALCS'!AC960*3</f>
        <v>0</v>
      </c>
      <c r="T959" s="6">
        <f>'MATCH CALCS'!AD960*3</f>
        <v>0</v>
      </c>
      <c r="U959" s="155">
        <f t="shared" si="22"/>
        <v>0</v>
      </c>
      <c r="V959" s="154">
        <f t="shared" si="23"/>
        <v>0</v>
      </c>
    </row>
    <row r="960" spans="1:22">
      <c r="A960" s="154">
        <f>'MATCH CALCS'!A961</f>
        <v>0</v>
      </c>
      <c r="B960" s="154">
        <f>'MATCH CALCS'!$C961</f>
        <v>0</v>
      </c>
      <c r="C960" s="154">
        <f t="shared" si="19"/>
        <v>0</v>
      </c>
      <c r="D960" s="6">
        <f>'MATCH CALCS'!$G961*2</f>
        <v>0</v>
      </c>
      <c r="E960" s="6">
        <f>'MATCH CALCS'!$G961*2</f>
        <v>0</v>
      </c>
      <c r="F960" s="6">
        <f>'MATCH CALCS'!$G961*2</f>
        <v>0</v>
      </c>
      <c r="G960" s="6">
        <f>'MATCH CALCS'!$G961*2</f>
        <v>0</v>
      </c>
      <c r="H960" s="6">
        <f>'MATCH CALCS'!$G961*2</f>
        <v>0</v>
      </c>
      <c r="I960" s="6">
        <f>'MATCH CALCS'!$G961*2</f>
        <v>0</v>
      </c>
      <c r="J960" s="154">
        <f t="shared" si="20"/>
        <v>0</v>
      </c>
      <c r="K960" s="6">
        <f>'MATCH CALCS'!L961*1</f>
        <v>0</v>
      </c>
      <c r="L960" s="6">
        <f>'MATCH CALCS'!$N961*2</f>
        <v>0</v>
      </c>
      <c r="M960" s="6">
        <f>'MATCH CALCS'!N961*1</f>
        <v>0</v>
      </c>
      <c r="N960" s="6">
        <f>'MATCH CALCS'!$N961*2</f>
        <v>0</v>
      </c>
      <c r="O960" s="6">
        <f>'MATCH CALCS'!$N961*2</f>
        <v>0</v>
      </c>
      <c r="P960" s="6">
        <f>'MATCH CALCS'!$P961*5</f>
        <v>0</v>
      </c>
      <c r="Q960" s="154">
        <f t="shared" si="21"/>
        <v>0</v>
      </c>
      <c r="R960" s="6">
        <f>'MATCH CALCS'!$AD961*1</f>
        <v>0</v>
      </c>
      <c r="S960" s="6">
        <f>'MATCH CALCS'!AC961*3</f>
        <v>0</v>
      </c>
      <c r="T960" s="6">
        <f>'MATCH CALCS'!AD961*3</f>
        <v>0</v>
      </c>
      <c r="U960" s="155">
        <f t="shared" si="22"/>
        <v>0</v>
      </c>
      <c r="V960" s="154">
        <f t="shared" si="23"/>
        <v>0</v>
      </c>
    </row>
    <row r="961" spans="1:22">
      <c r="A961" s="154">
        <f>'MATCH CALCS'!A962</f>
        <v>0</v>
      </c>
      <c r="B961" s="154">
        <f>'MATCH CALCS'!$C962</f>
        <v>0</v>
      </c>
      <c r="C961" s="154">
        <f t="shared" si="19"/>
        <v>0</v>
      </c>
      <c r="D961" s="6">
        <f>'MATCH CALCS'!$G962*2</f>
        <v>0</v>
      </c>
      <c r="E961" s="6">
        <f>'MATCH CALCS'!$G962*2</f>
        <v>0</v>
      </c>
      <c r="F961" s="6">
        <f>'MATCH CALCS'!$G962*2</f>
        <v>0</v>
      </c>
      <c r="G961" s="6">
        <f>'MATCH CALCS'!$G962*2</f>
        <v>0</v>
      </c>
      <c r="H961" s="6">
        <f>'MATCH CALCS'!$G962*2</f>
        <v>0</v>
      </c>
      <c r="I961" s="6">
        <f>'MATCH CALCS'!$G962*2</f>
        <v>0</v>
      </c>
      <c r="J961" s="154">
        <f t="shared" si="20"/>
        <v>0</v>
      </c>
      <c r="K961" s="6">
        <f>'MATCH CALCS'!L962*1</f>
        <v>0</v>
      </c>
      <c r="L961" s="6">
        <f>'MATCH CALCS'!$N962*2</f>
        <v>0</v>
      </c>
      <c r="M961" s="6">
        <f>'MATCH CALCS'!N962*1</f>
        <v>0</v>
      </c>
      <c r="N961" s="6">
        <f>'MATCH CALCS'!$N962*2</f>
        <v>0</v>
      </c>
      <c r="O961" s="6">
        <f>'MATCH CALCS'!$N962*2</f>
        <v>0</v>
      </c>
      <c r="P961" s="6">
        <f>'MATCH CALCS'!$P962*5</f>
        <v>0</v>
      </c>
      <c r="Q961" s="154">
        <f t="shared" si="21"/>
        <v>0</v>
      </c>
      <c r="R961" s="6">
        <f>'MATCH CALCS'!$AD962*1</f>
        <v>0</v>
      </c>
      <c r="S961" s="6">
        <f>'MATCH CALCS'!AC962*3</f>
        <v>0</v>
      </c>
      <c r="T961" s="6">
        <f>'MATCH CALCS'!AD962*3</f>
        <v>0</v>
      </c>
      <c r="U961" s="155">
        <f t="shared" si="22"/>
        <v>0</v>
      </c>
      <c r="V961" s="154">
        <f t="shared" si="23"/>
        <v>0</v>
      </c>
    </row>
    <row r="962" spans="1:22">
      <c r="A962" s="154">
        <f>'MATCH CALCS'!A963</f>
        <v>0</v>
      </c>
      <c r="B962" s="154">
        <f>'MATCH CALCS'!$C963</f>
        <v>0</v>
      </c>
      <c r="C962" s="154">
        <f t="shared" si="19"/>
        <v>0</v>
      </c>
      <c r="D962" s="6">
        <f>'MATCH CALCS'!$G963*2</f>
        <v>0</v>
      </c>
      <c r="E962" s="6">
        <f>'MATCH CALCS'!$G963*2</f>
        <v>0</v>
      </c>
      <c r="F962" s="6">
        <f>'MATCH CALCS'!$G963*2</f>
        <v>0</v>
      </c>
      <c r="G962" s="6">
        <f>'MATCH CALCS'!$G963*2</f>
        <v>0</v>
      </c>
      <c r="H962" s="6">
        <f>'MATCH CALCS'!$G963*2</f>
        <v>0</v>
      </c>
      <c r="I962" s="6">
        <f>'MATCH CALCS'!$G963*2</f>
        <v>0</v>
      </c>
      <c r="J962" s="154">
        <f t="shared" si="20"/>
        <v>0</v>
      </c>
      <c r="K962" s="6">
        <f>'MATCH CALCS'!L963*1</f>
        <v>0</v>
      </c>
      <c r="L962" s="6">
        <f>'MATCH CALCS'!$N963*2</f>
        <v>0</v>
      </c>
      <c r="M962" s="6">
        <f>'MATCH CALCS'!N963*1</f>
        <v>0</v>
      </c>
      <c r="N962" s="6">
        <f>'MATCH CALCS'!$N963*2</f>
        <v>0</v>
      </c>
      <c r="O962" s="6">
        <f>'MATCH CALCS'!$N963*2</f>
        <v>0</v>
      </c>
      <c r="P962" s="6">
        <f>'MATCH CALCS'!$P963*5</f>
        <v>0</v>
      </c>
      <c r="Q962" s="154">
        <f t="shared" si="21"/>
        <v>0</v>
      </c>
      <c r="R962" s="6">
        <f>'MATCH CALCS'!$AD963*1</f>
        <v>0</v>
      </c>
      <c r="S962" s="6">
        <f>'MATCH CALCS'!AC963*3</f>
        <v>0</v>
      </c>
      <c r="T962" s="6">
        <f>'MATCH CALCS'!AD963*3</f>
        <v>0</v>
      </c>
      <c r="U962" s="155">
        <f t="shared" si="22"/>
        <v>0</v>
      </c>
      <c r="V962" s="154">
        <f t="shared" si="23"/>
        <v>0</v>
      </c>
    </row>
    <row r="963" spans="1:22">
      <c r="A963" s="154">
        <f>'MATCH CALCS'!A964</f>
        <v>0</v>
      </c>
      <c r="B963" s="154">
        <f>'MATCH CALCS'!$C964</f>
        <v>0</v>
      </c>
      <c r="C963" s="154">
        <f t="shared" si="19"/>
        <v>0</v>
      </c>
      <c r="D963" s="6">
        <f>'MATCH CALCS'!$G964*2</f>
        <v>0</v>
      </c>
      <c r="E963" s="6">
        <f>'MATCH CALCS'!$G964*2</f>
        <v>0</v>
      </c>
      <c r="F963" s="6">
        <f>'MATCH CALCS'!$G964*2</f>
        <v>0</v>
      </c>
      <c r="G963" s="6">
        <f>'MATCH CALCS'!$G964*2</f>
        <v>0</v>
      </c>
      <c r="H963" s="6">
        <f>'MATCH CALCS'!$G964*2</f>
        <v>0</v>
      </c>
      <c r="I963" s="6">
        <f>'MATCH CALCS'!$G964*2</f>
        <v>0</v>
      </c>
      <c r="J963" s="154">
        <f t="shared" si="20"/>
        <v>0</v>
      </c>
      <c r="K963" s="6">
        <f>'MATCH CALCS'!L964*1</f>
        <v>0</v>
      </c>
      <c r="L963" s="6">
        <f>'MATCH CALCS'!$N964*2</f>
        <v>0</v>
      </c>
      <c r="M963" s="6">
        <f>'MATCH CALCS'!N964*1</f>
        <v>0</v>
      </c>
      <c r="N963" s="6">
        <f>'MATCH CALCS'!$N964*2</f>
        <v>0</v>
      </c>
      <c r="O963" s="6">
        <f>'MATCH CALCS'!$N964*2</f>
        <v>0</v>
      </c>
      <c r="P963" s="6">
        <f>'MATCH CALCS'!$P964*5</f>
        <v>0</v>
      </c>
      <c r="Q963" s="154">
        <f t="shared" si="21"/>
        <v>0</v>
      </c>
      <c r="R963" s="6">
        <f>'MATCH CALCS'!$AD964*1</f>
        <v>0</v>
      </c>
      <c r="S963" s="6">
        <f>'MATCH CALCS'!AC964*3</f>
        <v>0</v>
      </c>
      <c r="T963" s="6">
        <f>'MATCH CALCS'!AD964*3</f>
        <v>0</v>
      </c>
      <c r="U963" s="155">
        <f t="shared" si="22"/>
        <v>0</v>
      </c>
      <c r="V963" s="154">
        <f t="shared" si="23"/>
        <v>0</v>
      </c>
    </row>
    <row r="964" spans="1:22">
      <c r="A964" s="154">
        <f>'MATCH CALCS'!A965</f>
        <v>0</v>
      </c>
      <c r="B964" s="154">
        <f>'MATCH CALCS'!$C965</f>
        <v>0</v>
      </c>
      <c r="C964" s="154">
        <f t="shared" si="19"/>
        <v>0</v>
      </c>
      <c r="D964" s="6">
        <f>'MATCH CALCS'!$G965*2</f>
        <v>0</v>
      </c>
      <c r="E964" s="6">
        <f>'MATCH CALCS'!$G965*2</f>
        <v>0</v>
      </c>
      <c r="F964" s="6">
        <f>'MATCH CALCS'!$G965*2</f>
        <v>0</v>
      </c>
      <c r="G964" s="6">
        <f>'MATCH CALCS'!$G965*2</f>
        <v>0</v>
      </c>
      <c r="H964" s="6">
        <f>'MATCH CALCS'!$G965*2</f>
        <v>0</v>
      </c>
      <c r="I964" s="6">
        <f>'MATCH CALCS'!$G965*2</f>
        <v>0</v>
      </c>
      <c r="J964" s="154">
        <f t="shared" si="20"/>
        <v>0</v>
      </c>
      <c r="K964" s="6">
        <f>'MATCH CALCS'!L965*1</f>
        <v>0</v>
      </c>
      <c r="L964" s="6">
        <f>'MATCH CALCS'!$N965*2</f>
        <v>0</v>
      </c>
      <c r="M964" s="6">
        <f>'MATCH CALCS'!N965*1</f>
        <v>0</v>
      </c>
      <c r="N964" s="6">
        <f>'MATCH CALCS'!$N965*2</f>
        <v>0</v>
      </c>
      <c r="O964" s="6">
        <f>'MATCH CALCS'!$N965*2</f>
        <v>0</v>
      </c>
      <c r="P964" s="6">
        <f>'MATCH CALCS'!$P965*5</f>
        <v>0</v>
      </c>
      <c r="Q964" s="154">
        <f t="shared" si="21"/>
        <v>0</v>
      </c>
      <c r="R964" s="6">
        <f>'MATCH CALCS'!$AD965*1</f>
        <v>0</v>
      </c>
      <c r="S964" s="6">
        <f>'MATCH CALCS'!AC965*3</f>
        <v>0</v>
      </c>
      <c r="T964" s="6">
        <f>'MATCH CALCS'!AD965*3</f>
        <v>0</v>
      </c>
      <c r="U964" s="155">
        <f t="shared" si="22"/>
        <v>0</v>
      </c>
      <c r="V964" s="154">
        <f t="shared" si="23"/>
        <v>0</v>
      </c>
    </row>
    <row r="965" spans="1:22">
      <c r="A965" s="154">
        <f>'MATCH CALCS'!A966</f>
        <v>0</v>
      </c>
      <c r="B965" s="154">
        <f>'MATCH CALCS'!$C966</f>
        <v>0</v>
      </c>
      <c r="C965" s="154">
        <f t="shared" si="19"/>
        <v>0</v>
      </c>
      <c r="D965" s="6">
        <f>'MATCH CALCS'!$G966*2</f>
        <v>0</v>
      </c>
      <c r="E965" s="6">
        <f>'MATCH CALCS'!$G966*2</f>
        <v>0</v>
      </c>
      <c r="F965" s="6">
        <f>'MATCH CALCS'!$G966*2</f>
        <v>0</v>
      </c>
      <c r="G965" s="6">
        <f>'MATCH CALCS'!$G966*2</f>
        <v>0</v>
      </c>
      <c r="H965" s="6">
        <f>'MATCH CALCS'!$G966*2</f>
        <v>0</v>
      </c>
      <c r="I965" s="6">
        <f>'MATCH CALCS'!$G966*2</f>
        <v>0</v>
      </c>
      <c r="J965" s="154">
        <f t="shared" si="20"/>
        <v>0</v>
      </c>
      <c r="K965" s="6">
        <f>'MATCH CALCS'!L966*1</f>
        <v>0</v>
      </c>
      <c r="L965" s="6">
        <f>'MATCH CALCS'!$N966*2</f>
        <v>0</v>
      </c>
      <c r="M965" s="6">
        <f>'MATCH CALCS'!N966*1</f>
        <v>0</v>
      </c>
      <c r="N965" s="6">
        <f>'MATCH CALCS'!$N966*2</f>
        <v>0</v>
      </c>
      <c r="O965" s="6">
        <f>'MATCH CALCS'!$N966*2</f>
        <v>0</v>
      </c>
      <c r="P965" s="6">
        <f>'MATCH CALCS'!$P966*5</f>
        <v>0</v>
      </c>
      <c r="Q965" s="154">
        <f t="shared" si="21"/>
        <v>0</v>
      </c>
      <c r="R965" s="6">
        <f>'MATCH CALCS'!$AD966*1</f>
        <v>0</v>
      </c>
      <c r="S965" s="6">
        <f>'MATCH CALCS'!AC966*3</f>
        <v>0</v>
      </c>
      <c r="T965" s="6">
        <f>'MATCH CALCS'!AD966*3</f>
        <v>0</v>
      </c>
      <c r="U965" s="155">
        <f t="shared" si="22"/>
        <v>0</v>
      </c>
      <c r="V965" s="154">
        <f t="shared" si="23"/>
        <v>0</v>
      </c>
    </row>
    <row r="966" spans="1:22">
      <c r="A966" s="154">
        <f>'MATCH CALCS'!A967</f>
        <v>0</v>
      </c>
      <c r="B966" s="154">
        <f>'MATCH CALCS'!$C967</f>
        <v>0</v>
      </c>
      <c r="C966" s="154">
        <f t="shared" si="19"/>
        <v>0</v>
      </c>
      <c r="D966" s="6">
        <f>'MATCH CALCS'!$G967*2</f>
        <v>0</v>
      </c>
      <c r="E966" s="6">
        <f>'MATCH CALCS'!$G967*2</f>
        <v>0</v>
      </c>
      <c r="F966" s="6">
        <f>'MATCH CALCS'!$G967*2</f>
        <v>0</v>
      </c>
      <c r="G966" s="6">
        <f>'MATCH CALCS'!$G967*2</f>
        <v>0</v>
      </c>
      <c r="H966" s="6">
        <f>'MATCH CALCS'!$G967*2</f>
        <v>0</v>
      </c>
      <c r="I966" s="6">
        <f>'MATCH CALCS'!$G967*2</f>
        <v>0</v>
      </c>
      <c r="J966" s="154">
        <f t="shared" si="20"/>
        <v>0</v>
      </c>
      <c r="K966" s="6">
        <f>'MATCH CALCS'!L967*1</f>
        <v>0</v>
      </c>
      <c r="L966" s="6">
        <f>'MATCH CALCS'!$N967*2</f>
        <v>0</v>
      </c>
      <c r="M966" s="6">
        <f>'MATCH CALCS'!N967*1</f>
        <v>0</v>
      </c>
      <c r="N966" s="6">
        <f>'MATCH CALCS'!$N967*2</f>
        <v>0</v>
      </c>
      <c r="O966" s="6">
        <f>'MATCH CALCS'!$N967*2</f>
        <v>0</v>
      </c>
      <c r="P966" s="6">
        <f>'MATCH CALCS'!$P967*5</f>
        <v>0</v>
      </c>
      <c r="Q966" s="154">
        <f t="shared" si="21"/>
        <v>0</v>
      </c>
      <c r="R966" s="6">
        <f>'MATCH CALCS'!$AD967*1</f>
        <v>0</v>
      </c>
      <c r="S966" s="6">
        <f>'MATCH CALCS'!AC967*3</f>
        <v>0</v>
      </c>
      <c r="T966" s="6">
        <f>'MATCH CALCS'!AD967*3</f>
        <v>0</v>
      </c>
      <c r="U966" s="155">
        <f t="shared" si="22"/>
        <v>0</v>
      </c>
      <c r="V966" s="154">
        <f t="shared" si="23"/>
        <v>0</v>
      </c>
    </row>
    <row r="967" spans="1:22">
      <c r="A967" s="154">
        <f>'MATCH CALCS'!A968</f>
        <v>0</v>
      </c>
      <c r="B967" s="154">
        <f>'MATCH CALCS'!$C968</f>
        <v>0</v>
      </c>
      <c r="C967" s="154">
        <f t="shared" si="19"/>
        <v>0</v>
      </c>
      <c r="D967" s="6">
        <f>'MATCH CALCS'!$G968*2</f>
        <v>0</v>
      </c>
      <c r="E967" s="6">
        <f>'MATCH CALCS'!$G968*2</f>
        <v>0</v>
      </c>
      <c r="F967" s="6">
        <f>'MATCH CALCS'!$G968*2</f>
        <v>0</v>
      </c>
      <c r="G967" s="6">
        <f>'MATCH CALCS'!$G968*2</f>
        <v>0</v>
      </c>
      <c r="H967" s="6">
        <f>'MATCH CALCS'!$G968*2</f>
        <v>0</v>
      </c>
      <c r="I967" s="6">
        <f>'MATCH CALCS'!$G968*2</f>
        <v>0</v>
      </c>
      <c r="J967" s="154">
        <f t="shared" si="20"/>
        <v>0</v>
      </c>
      <c r="K967" s="6">
        <f>'MATCH CALCS'!L968*1</f>
        <v>0</v>
      </c>
      <c r="L967" s="6">
        <f>'MATCH CALCS'!$N968*2</f>
        <v>0</v>
      </c>
      <c r="M967" s="6">
        <f>'MATCH CALCS'!N968*1</f>
        <v>0</v>
      </c>
      <c r="N967" s="6">
        <f>'MATCH CALCS'!$N968*2</f>
        <v>0</v>
      </c>
      <c r="O967" s="6">
        <f>'MATCH CALCS'!$N968*2</f>
        <v>0</v>
      </c>
      <c r="P967" s="6">
        <f>'MATCH CALCS'!$P968*5</f>
        <v>0</v>
      </c>
      <c r="Q967" s="154">
        <f t="shared" si="21"/>
        <v>0</v>
      </c>
      <c r="R967" s="6">
        <f>'MATCH CALCS'!$AD968*1</f>
        <v>0</v>
      </c>
      <c r="S967" s="6">
        <f>'MATCH CALCS'!AC968*3</f>
        <v>0</v>
      </c>
      <c r="T967" s="6">
        <f>'MATCH CALCS'!AD968*3</f>
        <v>0</v>
      </c>
      <c r="U967" s="155">
        <f t="shared" si="22"/>
        <v>0</v>
      </c>
      <c r="V967" s="154">
        <f t="shared" si="23"/>
        <v>0</v>
      </c>
    </row>
    <row r="968" spans="1:22">
      <c r="A968" s="154">
        <f>'MATCH CALCS'!A969</f>
        <v>0</v>
      </c>
      <c r="B968" s="154">
        <f>'MATCH CALCS'!$C969</f>
        <v>0</v>
      </c>
      <c r="C968" s="154">
        <f t="shared" si="19"/>
        <v>0</v>
      </c>
      <c r="D968" s="6">
        <f>'MATCH CALCS'!$G969*2</f>
        <v>0</v>
      </c>
      <c r="E968" s="6">
        <f>'MATCH CALCS'!$G969*2</f>
        <v>0</v>
      </c>
      <c r="F968" s="6">
        <f>'MATCH CALCS'!$G969*2</f>
        <v>0</v>
      </c>
      <c r="G968" s="6">
        <f>'MATCH CALCS'!$G969*2</f>
        <v>0</v>
      </c>
      <c r="H968" s="6">
        <f>'MATCH CALCS'!$G969*2</f>
        <v>0</v>
      </c>
      <c r="I968" s="6">
        <f>'MATCH CALCS'!$G969*2</f>
        <v>0</v>
      </c>
      <c r="J968" s="154">
        <f t="shared" si="20"/>
        <v>0</v>
      </c>
      <c r="K968" s="6">
        <f>'MATCH CALCS'!L969*1</f>
        <v>0</v>
      </c>
      <c r="L968" s="6">
        <f>'MATCH CALCS'!$N969*2</f>
        <v>0</v>
      </c>
      <c r="M968" s="6">
        <f>'MATCH CALCS'!N969*1</f>
        <v>0</v>
      </c>
      <c r="N968" s="6">
        <f>'MATCH CALCS'!$N969*2</f>
        <v>0</v>
      </c>
      <c r="O968" s="6">
        <f>'MATCH CALCS'!$N969*2</f>
        <v>0</v>
      </c>
      <c r="P968" s="6">
        <f>'MATCH CALCS'!$P969*5</f>
        <v>0</v>
      </c>
      <c r="Q968" s="154">
        <f t="shared" si="21"/>
        <v>0</v>
      </c>
      <c r="R968" s="6">
        <f>'MATCH CALCS'!$AD969*1</f>
        <v>0</v>
      </c>
      <c r="S968" s="6">
        <f>'MATCH CALCS'!AC969*3</f>
        <v>0</v>
      </c>
      <c r="T968" s="6">
        <f>'MATCH CALCS'!AD969*3</f>
        <v>0</v>
      </c>
      <c r="U968" s="155">
        <f t="shared" si="22"/>
        <v>0</v>
      </c>
      <c r="V968" s="154">
        <f t="shared" si="23"/>
        <v>0</v>
      </c>
    </row>
    <row r="969" spans="1:22">
      <c r="A969" s="154">
        <f>'MATCH CALCS'!A970</f>
        <v>0</v>
      </c>
      <c r="B969" s="154">
        <f>'MATCH CALCS'!$C970</f>
        <v>0</v>
      </c>
      <c r="C969" s="154">
        <f t="shared" si="19"/>
        <v>0</v>
      </c>
      <c r="D969" s="6">
        <f>'MATCH CALCS'!$G970*2</f>
        <v>0</v>
      </c>
      <c r="E969" s="6">
        <f>'MATCH CALCS'!$G970*2</f>
        <v>0</v>
      </c>
      <c r="F969" s="6">
        <f>'MATCH CALCS'!$G970*2</f>
        <v>0</v>
      </c>
      <c r="G969" s="6">
        <f>'MATCH CALCS'!$G970*2</f>
        <v>0</v>
      </c>
      <c r="H969" s="6">
        <f>'MATCH CALCS'!$G970*2</f>
        <v>0</v>
      </c>
      <c r="I969" s="6">
        <f>'MATCH CALCS'!$G970*2</f>
        <v>0</v>
      </c>
      <c r="J969" s="154">
        <f t="shared" si="20"/>
        <v>0</v>
      </c>
      <c r="K969" s="6">
        <f>'MATCH CALCS'!L970*1</f>
        <v>0</v>
      </c>
      <c r="L969" s="6">
        <f>'MATCH CALCS'!$N970*2</f>
        <v>0</v>
      </c>
      <c r="M969" s="6">
        <f>'MATCH CALCS'!N970*1</f>
        <v>0</v>
      </c>
      <c r="N969" s="6">
        <f>'MATCH CALCS'!$N970*2</f>
        <v>0</v>
      </c>
      <c r="O969" s="6">
        <f>'MATCH CALCS'!$N970*2</f>
        <v>0</v>
      </c>
      <c r="P969" s="6">
        <f>'MATCH CALCS'!$P970*5</f>
        <v>0</v>
      </c>
      <c r="Q969" s="154">
        <f t="shared" si="21"/>
        <v>0</v>
      </c>
      <c r="R969" s="6">
        <f>'MATCH CALCS'!$AD970*1</f>
        <v>0</v>
      </c>
      <c r="S969" s="6">
        <f>'MATCH CALCS'!AC970*3</f>
        <v>0</v>
      </c>
      <c r="T969" s="6">
        <f>'MATCH CALCS'!AD970*3</f>
        <v>0</v>
      </c>
      <c r="U969" s="155">
        <f t="shared" si="22"/>
        <v>0</v>
      </c>
      <c r="V969" s="154">
        <f t="shared" si="23"/>
        <v>0</v>
      </c>
    </row>
    <row r="970" spans="1:22">
      <c r="A970" s="154">
        <f>'MATCH CALCS'!A971</f>
        <v>0</v>
      </c>
      <c r="B970" s="154">
        <f>'MATCH CALCS'!$C971</f>
        <v>0</v>
      </c>
      <c r="C970" s="154">
        <f t="shared" si="19"/>
        <v>0</v>
      </c>
      <c r="D970" s="6">
        <f>'MATCH CALCS'!$G971*2</f>
        <v>0</v>
      </c>
      <c r="E970" s="6">
        <f>'MATCH CALCS'!$G971*2</f>
        <v>0</v>
      </c>
      <c r="F970" s="6">
        <f>'MATCH CALCS'!$G971*2</f>
        <v>0</v>
      </c>
      <c r="G970" s="6">
        <f>'MATCH CALCS'!$G971*2</f>
        <v>0</v>
      </c>
      <c r="H970" s="6">
        <f>'MATCH CALCS'!$G971*2</f>
        <v>0</v>
      </c>
      <c r="I970" s="6">
        <f>'MATCH CALCS'!$G971*2</f>
        <v>0</v>
      </c>
      <c r="J970" s="154">
        <f t="shared" si="20"/>
        <v>0</v>
      </c>
      <c r="K970" s="6">
        <f>'MATCH CALCS'!L971*1</f>
        <v>0</v>
      </c>
      <c r="L970" s="6">
        <f>'MATCH CALCS'!$N971*2</f>
        <v>0</v>
      </c>
      <c r="M970" s="6">
        <f>'MATCH CALCS'!N971*1</f>
        <v>0</v>
      </c>
      <c r="N970" s="6">
        <f>'MATCH CALCS'!$N971*2</f>
        <v>0</v>
      </c>
      <c r="O970" s="6">
        <f>'MATCH CALCS'!$N971*2</f>
        <v>0</v>
      </c>
      <c r="P970" s="6">
        <f>'MATCH CALCS'!$P971*5</f>
        <v>0</v>
      </c>
      <c r="Q970" s="154">
        <f t="shared" si="21"/>
        <v>0</v>
      </c>
      <c r="R970" s="6">
        <f>'MATCH CALCS'!$AD971*1</f>
        <v>0</v>
      </c>
      <c r="S970" s="6">
        <f>'MATCH CALCS'!AC971*3</f>
        <v>0</v>
      </c>
      <c r="T970" s="6">
        <f>'MATCH CALCS'!AD971*3</f>
        <v>0</v>
      </c>
      <c r="U970" s="155">
        <f t="shared" si="22"/>
        <v>0</v>
      </c>
      <c r="V970" s="154">
        <f t="shared" si="23"/>
        <v>0</v>
      </c>
    </row>
    <row r="971" spans="1:22">
      <c r="A971" s="154">
        <f>'MATCH CALCS'!A972</f>
        <v>0</v>
      </c>
      <c r="B971" s="154">
        <f>'MATCH CALCS'!$C972</f>
        <v>0</v>
      </c>
      <c r="C971" s="154">
        <f t="shared" si="19"/>
        <v>0</v>
      </c>
      <c r="D971" s="6">
        <f>'MATCH CALCS'!$G972*2</f>
        <v>0</v>
      </c>
      <c r="E971" s="6">
        <f>'MATCH CALCS'!$G972*2</f>
        <v>0</v>
      </c>
      <c r="F971" s="6">
        <f>'MATCH CALCS'!$G972*2</f>
        <v>0</v>
      </c>
      <c r="G971" s="6">
        <f>'MATCH CALCS'!$G972*2</f>
        <v>0</v>
      </c>
      <c r="H971" s="6">
        <f>'MATCH CALCS'!$G972*2</f>
        <v>0</v>
      </c>
      <c r="I971" s="6">
        <f>'MATCH CALCS'!$G972*2</f>
        <v>0</v>
      </c>
      <c r="J971" s="154">
        <f t="shared" si="20"/>
        <v>0</v>
      </c>
      <c r="K971" s="6">
        <f>'MATCH CALCS'!L972*1</f>
        <v>0</v>
      </c>
      <c r="L971" s="6">
        <f>'MATCH CALCS'!$N972*2</f>
        <v>0</v>
      </c>
      <c r="M971" s="6">
        <f>'MATCH CALCS'!N972*1</f>
        <v>0</v>
      </c>
      <c r="N971" s="6">
        <f>'MATCH CALCS'!$N972*2</f>
        <v>0</v>
      </c>
      <c r="O971" s="6">
        <f>'MATCH CALCS'!$N972*2</f>
        <v>0</v>
      </c>
      <c r="P971" s="6">
        <f>'MATCH CALCS'!$P972*5</f>
        <v>0</v>
      </c>
      <c r="Q971" s="154">
        <f t="shared" si="21"/>
        <v>0</v>
      </c>
      <c r="R971" s="6">
        <f>'MATCH CALCS'!$AD972*1</f>
        <v>0</v>
      </c>
      <c r="S971" s="6">
        <f>'MATCH CALCS'!AC972*3</f>
        <v>0</v>
      </c>
      <c r="T971" s="6">
        <f>'MATCH CALCS'!AD972*3</f>
        <v>0</v>
      </c>
      <c r="U971" s="155">
        <f t="shared" si="22"/>
        <v>0</v>
      </c>
      <c r="V971" s="154">
        <f t="shared" si="23"/>
        <v>0</v>
      </c>
    </row>
    <row r="972" spans="1:22">
      <c r="A972" s="154">
        <f>'MATCH CALCS'!A973</f>
        <v>0</v>
      </c>
      <c r="B972" s="154">
        <f>'MATCH CALCS'!$C973</f>
        <v>0</v>
      </c>
      <c r="C972" s="154">
        <f t="shared" si="19"/>
        <v>0</v>
      </c>
      <c r="D972" s="6">
        <f>'MATCH CALCS'!$G973*2</f>
        <v>0</v>
      </c>
      <c r="E972" s="6">
        <f>'MATCH CALCS'!$G973*2</f>
        <v>0</v>
      </c>
      <c r="F972" s="6">
        <f>'MATCH CALCS'!$G973*2</f>
        <v>0</v>
      </c>
      <c r="G972" s="6">
        <f>'MATCH CALCS'!$G973*2</f>
        <v>0</v>
      </c>
      <c r="H972" s="6">
        <f>'MATCH CALCS'!$G973*2</f>
        <v>0</v>
      </c>
      <c r="I972" s="6">
        <f>'MATCH CALCS'!$G973*2</f>
        <v>0</v>
      </c>
      <c r="J972" s="154">
        <f t="shared" si="20"/>
        <v>0</v>
      </c>
      <c r="K972" s="6">
        <f>'MATCH CALCS'!L973*1</f>
        <v>0</v>
      </c>
      <c r="L972" s="6">
        <f>'MATCH CALCS'!$N973*2</f>
        <v>0</v>
      </c>
      <c r="M972" s="6">
        <f>'MATCH CALCS'!N973*1</f>
        <v>0</v>
      </c>
      <c r="N972" s="6">
        <f>'MATCH CALCS'!$N973*2</f>
        <v>0</v>
      </c>
      <c r="O972" s="6">
        <f>'MATCH CALCS'!$N973*2</f>
        <v>0</v>
      </c>
      <c r="P972" s="6">
        <f>'MATCH CALCS'!$P973*5</f>
        <v>0</v>
      </c>
      <c r="Q972" s="154">
        <f t="shared" si="21"/>
        <v>0</v>
      </c>
      <c r="R972" s="6">
        <f>'MATCH CALCS'!$AD973*1</f>
        <v>0</v>
      </c>
      <c r="S972" s="6">
        <f>'MATCH CALCS'!AC973*3</f>
        <v>0</v>
      </c>
      <c r="T972" s="6">
        <f>'MATCH CALCS'!AD973*3</f>
        <v>0</v>
      </c>
      <c r="U972" s="155">
        <f t="shared" si="22"/>
        <v>0</v>
      </c>
      <c r="V972" s="154">
        <f t="shared" si="23"/>
        <v>0</v>
      </c>
    </row>
    <row r="973" spans="1:22">
      <c r="A973" s="154">
        <f>'MATCH CALCS'!A974</f>
        <v>0</v>
      </c>
      <c r="B973" s="154">
        <f>'MATCH CALCS'!$C974</f>
        <v>0</v>
      </c>
      <c r="C973" s="154">
        <f t="shared" si="19"/>
        <v>0</v>
      </c>
      <c r="D973" s="6">
        <f>'MATCH CALCS'!$G974*2</f>
        <v>0</v>
      </c>
      <c r="E973" s="6">
        <f>'MATCH CALCS'!$G974*2</f>
        <v>0</v>
      </c>
      <c r="F973" s="6">
        <f>'MATCH CALCS'!$G974*2</f>
        <v>0</v>
      </c>
      <c r="G973" s="6">
        <f>'MATCH CALCS'!$G974*2</f>
        <v>0</v>
      </c>
      <c r="H973" s="6">
        <f>'MATCH CALCS'!$G974*2</f>
        <v>0</v>
      </c>
      <c r="I973" s="6">
        <f>'MATCH CALCS'!$G974*2</f>
        <v>0</v>
      </c>
      <c r="J973" s="154">
        <f t="shared" si="20"/>
        <v>0</v>
      </c>
      <c r="K973" s="6">
        <f>'MATCH CALCS'!L974*1</f>
        <v>0</v>
      </c>
      <c r="L973" s="6">
        <f>'MATCH CALCS'!$N974*2</f>
        <v>0</v>
      </c>
      <c r="M973" s="6">
        <f>'MATCH CALCS'!N974*1</f>
        <v>0</v>
      </c>
      <c r="N973" s="6">
        <f>'MATCH CALCS'!$N974*2</f>
        <v>0</v>
      </c>
      <c r="O973" s="6">
        <f>'MATCH CALCS'!$N974*2</f>
        <v>0</v>
      </c>
      <c r="P973" s="6">
        <f>'MATCH CALCS'!$P974*5</f>
        <v>0</v>
      </c>
      <c r="Q973" s="154">
        <f t="shared" si="21"/>
        <v>0</v>
      </c>
      <c r="R973" s="6">
        <f>'MATCH CALCS'!$AD974*1</f>
        <v>0</v>
      </c>
      <c r="S973" s="6">
        <f>'MATCH CALCS'!AC974*3</f>
        <v>0</v>
      </c>
      <c r="T973" s="6">
        <f>'MATCH CALCS'!AD974*3</f>
        <v>0</v>
      </c>
      <c r="U973" s="155">
        <f t="shared" si="22"/>
        <v>0</v>
      </c>
      <c r="V973" s="154">
        <f t="shared" si="23"/>
        <v>0</v>
      </c>
    </row>
    <row r="974" spans="1:22">
      <c r="A974" s="154">
        <f>'MATCH CALCS'!A975</f>
        <v>0</v>
      </c>
      <c r="B974" s="154">
        <f>'MATCH CALCS'!$C975</f>
        <v>0</v>
      </c>
      <c r="C974" s="154">
        <f t="shared" si="19"/>
        <v>0</v>
      </c>
      <c r="D974" s="6">
        <f>'MATCH CALCS'!$G975*2</f>
        <v>0</v>
      </c>
      <c r="E974" s="6">
        <f>'MATCH CALCS'!$G975*2</f>
        <v>0</v>
      </c>
      <c r="F974" s="6">
        <f>'MATCH CALCS'!$G975*2</f>
        <v>0</v>
      </c>
      <c r="G974" s="6">
        <f>'MATCH CALCS'!$G975*2</f>
        <v>0</v>
      </c>
      <c r="H974" s="6">
        <f>'MATCH CALCS'!$G975*2</f>
        <v>0</v>
      </c>
      <c r="I974" s="6">
        <f>'MATCH CALCS'!$G975*2</f>
        <v>0</v>
      </c>
      <c r="J974" s="154">
        <f t="shared" si="20"/>
        <v>0</v>
      </c>
      <c r="K974" s="6">
        <f>'MATCH CALCS'!L975*1</f>
        <v>0</v>
      </c>
      <c r="L974" s="6">
        <f>'MATCH CALCS'!$N975*2</f>
        <v>0</v>
      </c>
      <c r="M974" s="6">
        <f>'MATCH CALCS'!N975*1</f>
        <v>0</v>
      </c>
      <c r="N974" s="6">
        <f>'MATCH CALCS'!$N975*2</f>
        <v>0</v>
      </c>
      <c r="O974" s="6">
        <f>'MATCH CALCS'!$N975*2</f>
        <v>0</v>
      </c>
      <c r="P974" s="6">
        <f>'MATCH CALCS'!$P975*5</f>
        <v>0</v>
      </c>
      <c r="Q974" s="154">
        <f t="shared" si="21"/>
        <v>0</v>
      </c>
      <c r="R974" s="6">
        <f>'MATCH CALCS'!$AD975*1</f>
        <v>0</v>
      </c>
      <c r="S974" s="6">
        <f>'MATCH CALCS'!AC975*3</f>
        <v>0</v>
      </c>
      <c r="T974" s="6">
        <f>'MATCH CALCS'!AD975*3</f>
        <v>0</v>
      </c>
      <c r="U974" s="155">
        <f t="shared" si="22"/>
        <v>0</v>
      </c>
      <c r="V974" s="154">
        <f t="shared" si="23"/>
        <v>0</v>
      </c>
    </row>
    <row r="975" spans="1:22">
      <c r="A975" s="154">
        <f>'MATCH CALCS'!A976</f>
        <v>0</v>
      </c>
      <c r="B975" s="154">
        <f>'MATCH CALCS'!$C976</f>
        <v>0</v>
      </c>
      <c r="C975" s="154">
        <f t="shared" si="19"/>
        <v>0</v>
      </c>
      <c r="D975" s="6">
        <f>'MATCH CALCS'!$G976*2</f>
        <v>0</v>
      </c>
      <c r="E975" s="6">
        <f>'MATCH CALCS'!$G976*2</f>
        <v>0</v>
      </c>
      <c r="F975" s="6">
        <f>'MATCH CALCS'!$G976*2</f>
        <v>0</v>
      </c>
      <c r="G975" s="6">
        <f>'MATCH CALCS'!$G976*2</f>
        <v>0</v>
      </c>
      <c r="H975" s="6">
        <f>'MATCH CALCS'!$G976*2</f>
        <v>0</v>
      </c>
      <c r="I975" s="6">
        <f>'MATCH CALCS'!$G976*2</f>
        <v>0</v>
      </c>
      <c r="J975" s="154">
        <f t="shared" si="20"/>
        <v>0</v>
      </c>
      <c r="K975" s="6">
        <f>'MATCH CALCS'!L976*1</f>
        <v>0</v>
      </c>
      <c r="L975" s="6">
        <f>'MATCH CALCS'!$N976*2</f>
        <v>0</v>
      </c>
      <c r="M975" s="6">
        <f>'MATCH CALCS'!N976*1</f>
        <v>0</v>
      </c>
      <c r="N975" s="6">
        <f>'MATCH CALCS'!$N976*2</f>
        <v>0</v>
      </c>
      <c r="O975" s="6">
        <f>'MATCH CALCS'!$N976*2</f>
        <v>0</v>
      </c>
      <c r="P975" s="6">
        <f>'MATCH CALCS'!$P976*5</f>
        <v>0</v>
      </c>
      <c r="Q975" s="154">
        <f t="shared" si="21"/>
        <v>0</v>
      </c>
      <c r="R975" s="6">
        <f>'MATCH CALCS'!$AD976*1</f>
        <v>0</v>
      </c>
      <c r="S975" s="6">
        <f>'MATCH CALCS'!AC976*3</f>
        <v>0</v>
      </c>
      <c r="T975" s="6">
        <f>'MATCH CALCS'!AD976*3</f>
        <v>0</v>
      </c>
      <c r="U975" s="155">
        <f t="shared" si="22"/>
        <v>0</v>
      </c>
      <c r="V975" s="154">
        <f t="shared" si="23"/>
        <v>0</v>
      </c>
    </row>
    <row r="976" spans="1:22">
      <c r="A976" s="154">
        <f>'MATCH CALCS'!A977</f>
        <v>0</v>
      </c>
      <c r="B976" s="154">
        <f>'MATCH CALCS'!$C977</f>
        <v>0</v>
      </c>
      <c r="C976" s="154">
        <f t="shared" si="19"/>
        <v>0</v>
      </c>
      <c r="D976" s="6">
        <f>'MATCH CALCS'!$G977*2</f>
        <v>0</v>
      </c>
      <c r="E976" s="6">
        <f>'MATCH CALCS'!$G977*2</f>
        <v>0</v>
      </c>
      <c r="F976" s="6">
        <f>'MATCH CALCS'!$G977*2</f>
        <v>0</v>
      </c>
      <c r="G976" s="6">
        <f>'MATCH CALCS'!$G977*2</f>
        <v>0</v>
      </c>
      <c r="H976" s="6">
        <f>'MATCH CALCS'!$G977*2</f>
        <v>0</v>
      </c>
      <c r="I976" s="6">
        <f>'MATCH CALCS'!$G977*2</f>
        <v>0</v>
      </c>
      <c r="J976" s="154">
        <f t="shared" si="20"/>
        <v>0</v>
      </c>
      <c r="K976" s="6">
        <f>'MATCH CALCS'!L977*1</f>
        <v>0</v>
      </c>
      <c r="L976" s="6">
        <f>'MATCH CALCS'!$N977*2</f>
        <v>0</v>
      </c>
      <c r="M976" s="6">
        <f>'MATCH CALCS'!N977*1</f>
        <v>0</v>
      </c>
      <c r="N976" s="6">
        <f>'MATCH CALCS'!$N977*2</f>
        <v>0</v>
      </c>
      <c r="O976" s="6">
        <f>'MATCH CALCS'!$N977*2</f>
        <v>0</v>
      </c>
      <c r="P976" s="6">
        <f>'MATCH CALCS'!$P977*5</f>
        <v>0</v>
      </c>
      <c r="Q976" s="154">
        <f t="shared" si="21"/>
        <v>0</v>
      </c>
      <c r="R976" s="6">
        <f>'MATCH CALCS'!$AD977*1</f>
        <v>0</v>
      </c>
      <c r="S976" s="6">
        <f>'MATCH CALCS'!AC977*3</f>
        <v>0</v>
      </c>
      <c r="T976" s="6">
        <f>'MATCH CALCS'!AD977*3</f>
        <v>0</v>
      </c>
      <c r="U976" s="155">
        <f t="shared" si="22"/>
        <v>0</v>
      </c>
      <c r="V976" s="154">
        <f t="shared" si="23"/>
        <v>0</v>
      </c>
    </row>
    <row r="977" spans="1:22">
      <c r="A977" s="154">
        <f>'MATCH CALCS'!A978</f>
        <v>0</v>
      </c>
      <c r="B977" s="154">
        <f>'MATCH CALCS'!$C978</f>
        <v>0</v>
      </c>
      <c r="C977" s="154">
        <f t="shared" si="19"/>
        <v>0</v>
      </c>
      <c r="D977" s="6">
        <f>'MATCH CALCS'!$G978*2</f>
        <v>0</v>
      </c>
      <c r="E977" s="6">
        <f>'MATCH CALCS'!$G978*2</f>
        <v>0</v>
      </c>
      <c r="F977" s="6">
        <f>'MATCH CALCS'!$G978*2</f>
        <v>0</v>
      </c>
      <c r="G977" s="6">
        <f>'MATCH CALCS'!$G978*2</f>
        <v>0</v>
      </c>
      <c r="H977" s="6">
        <f>'MATCH CALCS'!$G978*2</f>
        <v>0</v>
      </c>
      <c r="I977" s="6">
        <f>'MATCH CALCS'!$G978*2</f>
        <v>0</v>
      </c>
      <c r="J977" s="154">
        <f t="shared" si="20"/>
        <v>0</v>
      </c>
      <c r="K977" s="6">
        <f>'MATCH CALCS'!L978*1</f>
        <v>0</v>
      </c>
      <c r="L977" s="6">
        <f>'MATCH CALCS'!$N978*2</f>
        <v>0</v>
      </c>
      <c r="M977" s="6">
        <f>'MATCH CALCS'!N978*1</f>
        <v>0</v>
      </c>
      <c r="N977" s="6">
        <f>'MATCH CALCS'!$N978*2</f>
        <v>0</v>
      </c>
      <c r="O977" s="6">
        <f>'MATCH CALCS'!$N978*2</f>
        <v>0</v>
      </c>
      <c r="P977" s="6">
        <f>'MATCH CALCS'!$P978*5</f>
        <v>0</v>
      </c>
      <c r="Q977" s="154">
        <f t="shared" si="21"/>
        <v>0</v>
      </c>
      <c r="R977" s="6">
        <f>'MATCH CALCS'!$AD978*1</f>
        <v>0</v>
      </c>
      <c r="S977" s="6">
        <f>'MATCH CALCS'!AC978*3</f>
        <v>0</v>
      </c>
      <c r="T977" s="6">
        <f>'MATCH CALCS'!AD978*3</f>
        <v>0</v>
      </c>
      <c r="U977" s="155">
        <f t="shared" si="22"/>
        <v>0</v>
      </c>
      <c r="V977" s="154">
        <f t="shared" si="23"/>
        <v>0</v>
      </c>
    </row>
    <row r="978" spans="1:22">
      <c r="A978" s="154">
        <f>'MATCH CALCS'!A979</f>
        <v>0</v>
      </c>
      <c r="B978" s="154">
        <f>'MATCH CALCS'!$C979</f>
        <v>0</v>
      </c>
      <c r="C978" s="154">
        <f t="shared" si="19"/>
        <v>0</v>
      </c>
      <c r="D978" s="6">
        <f>'MATCH CALCS'!$G979*2</f>
        <v>0</v>
      </c>
      <c r="E978" s="6">
        <f>'MATCH CALCS'!$G979*2</f>
        <v>0</v>
      </c>
      <c r="F978" s="6">
        <f>'MATCH CALCS'!$G979*2</f>
        <v>0</v>
      </c>
      <c r="G978" s="6">
        <f>'MATCH CALCS'!$G979*2</f>
        <v>0</v>
      </c>
      <c r="H978" s="6">
        <f>'MATCH CALCS'!$G979*2</f>
        <v>0</v>
      </c>
      <c r="I978" s="6">
        <f>'MATCH CALCS'!$G979*2</f>
        <v>0</v>
      </c>
      <c r="J978" s="154">
        <f t="shared" si="20"/>
        <v>0</v>
      </c>
      <c r="K978" s="6">
        <f>'MATCH CALCS'!L979*1</f>
        <v>0</v>
      </c>
      <c r="L978" s="6">
        <f>'MATCH CALCS'!$N979*2</f>
        <v>0</v>
      </c>
      <c r="M978" s="6">
        <f>'MATCH CALCS'!N979*1</f>
        <v>0</v>
      </c>
      <c r="N978" s="6">
        <f>'MATCH CALCS'!$N979*2</f>
        <v>0</v>
      </c>
      <c r="O978" s="6">
        <f>'MATCH CALCS'!$N979*2</f>
        <v>0</v>
      </c>
      <c r="P978" s="6">
        <f>'MATCH CALCS'!$P979*5</f>
        <v>0</v>
      </c>
      <c r="Q978" s="154">
        <f t="shared" si="21"/>
        <v>0</v>
      </c>
      <c r="R978" s="6">
        <f>'MATCH CALCS'!$AD979*1</f>
        <v>0</v>
      </c>
      <c r="S978" s="6">
        <f>'MATCH CALCS'!AC979*3</f>
        <v>0</v>
      </c>
      <c r="T978" s="6">
        <f>'MATCH CALCS'!AD979*3</f>
        <v>0</v>
      </c>
      <c r="U978" s="155">
        <f t="shared" si="22"/>
        <v>0</v>
      </c>
      <c r="V978" s="154">
        <f t="shared" si="23"/>
        <v>0</v>
      </c>
    </row>
    <row r="979" spans="1:22">
      <c r="A979" s="154">
        <f>'MATCH CALCS'!A980</f>
        <v>0</v>
      </c>
      <c r="B979" s="154">
        <f>'MATCH CALCS'!$C980</f>
        <v>0</v>
      </c>
      <c r="C979" s="154">
        <f t="shared" si="19"/>
        <v>0</v>
      </c>
      <c r="D979" s="6">
        <f>'MATCH CALCS'!$G980*2</f>
        <v>0</v>
      </c>
      <c r="E979" s="6">
        <f>'MATCH CALCS'!$G980*2</f>
        <v>0</v>
      </c>
      <c r="F979" s="6">
        <f>'MATCH CALCS'!$G980*2</f>
        <v>0</v>
      </c>
      <c r="G979" s="6">
        <f>'MATCH CALCS'!$G980*2</f>
        <v>0</v>
      </c>
      <c r="H979" s="6">
        <f>'MATCH CALCS'!$G980*2</f>
        <v>0</v>
      </c>
      <c r="I979" s="6">
        <f>'MATCH CALCS'!$G980*2</f>
        <v>0</v>
      </c>
      <c r="J979" s="154">
        <f t="shared" si="20"/>
        <v>0</v>
      </c>
      <c r="K979" s="6">
        <f>'MATCH CALCS'!L980*1</f>
        <v>0</v>
      </c>
      <c r="L979" s="6">
        <f>'MATCH CALCS'!$N980*2</f>
        <v>0</v>
      </c>
      <c r="M979" s="6">
        <f>'MATCH CALCS'!N980*1</f>
        <v>0</v>
      </c>
      <c r="N979" s="6">
        <f>'MATCH CALCS'!$N980*2</f>
        <v>0</v>
      </c>
      <c r="O979" s="6">
        <f>'MATCH CALCS'!$N980*2</f>
        <v>0</v>
      </c>
      <c r="P979" s="6">
        <f>'MATCH CALCS'!$P980*5</f>
        <v>0</v>
      </c>
      <c r="Q979" s="154">
        <f t="shared" si="21"/>
        <v>0</v>
      </c>
      <c r="R979" s="6">
        <f>'MATCH CALCS'!$AD980*1</f>
        <v>0</v>
      </c>
      <c r="S979" s="6">
        <f>'MATCH CALCS'!AC980*3</f>
        <v>0</v>
      </c>
      <c r="T979" s="6">
        <f>'MATCH CALCS'!AD980*3</f>
        <v>0</v>
      </c>
      <c r="U979" s="155">
        <f t="shared" si="22"/>
        <v>0</v>
      </c>
      <c r="V979" s="154">
        <f t="shared" si="23"/>
        <v>0</v>
      </c>
    </row>
    <row r="980" spans="1:22">
      <c r="A980" s="154">
        <f>'MATCH CALCS'!A981</f>
        <v>0</v>
      </c>
      <c r="B980" s="154">
        <f>'MATCH CALCS'!$C981</f>
        <v>0</v>
      </c>
      <c r="C980" s="154">
        <f t="shared" si="19"/>
        <v>0</v>
      </c>
      <c r="D980" s="6">
        <f>'MATCH CALCS'!$G981*2</f>
        <v>0</v>
      </c>
      <c r="E980" s="6">
        <f>'MATCH CALCS'!$G981*2</f>
        <v>0</v>
      </c>
      <c r="F980" s="6">
        <f>'MATCH CALCS'!$G981*2</f>
        <v>0</v>
      </c>
      <c r="G980" s="6">
        <f>'MATCH CALCS'!$G981*2</f>
        <v>0</v>
      </c>
      <c r="H980" s="6">
        <f>'MATCH CALCS'!$G981*2</f>
        <v>0</v>
      </c>
      <c r="I980" s="6">
        <f>'MATCH CALCS'!$G981*2</f>
        <v>0</v>
      </c>
      <c r="J980" s="154">
        <f t="shared" si="20"/>
        <v>0</v>
      </c>
      <c r="K980" s="6">
        <f>'MATCH CALCS'!L981*1</f>
        <v>0</v>
      </c>
      <c r="L980" s="6">
        <f>'MATCH CALCS'!$N981*2</f>
        <v>0</v>
      </c>
      <c r="M980" s="6">
        <f>'MATCH CALCS'!N981*1</f>
        <v>0</v>
      </c>
      <c r="N980" s="6">
        <f>'MATCH CALCS'!$N981*2</f>
        <v>0</v>
      </c>
      <c r="O980" s="6">
        <f>'MATCH CALCS'!$N981*2</f>
        <v>0</v>
      </c>
      <c r="P980" s="6">
        <f>'MATCH CALCS'!$P981*5</f>
        <v>0</v>
      </c>
      <c r="Q980" s="154">
        <f t="shared" si="21"/>
        <v>0</v>
      </c>
      <c r="R980" s="6">
        <f>'MATCH CALCS'!$AD981*1</f>
        <v>0</v>
      </c>
      <c r="S980" s="6">
        <f>'MATCH CALCS'!AC981*3</f>
        <v>0</v>
      </c>
      <c r="T980" s="6">
        <f>'MATCH CALCS'!AD981*3</f>
        <v>0</v>
      </c>
      <c r="U980" s="155">
        <f t="shared" si="22"/>
        <v>0</v>
      </c>
      <c r="V980" s="154">
        <f t="shared" si="23"/>
        <v>0</v>
      </c>
    </row>
    <row r="981" spans="1:22">
      <c r="A981" s="154">
        <f>'MATCH CALCS'!A982</f>
        <v>0</v>
      </c>
      <c r="B981" s="154">
        <f>'MATCH CALCS'!$C982</f>
        <v>0</v>
      </c>
      <c r="C981" s="154">
        <f t="shared" si="19"/>
        <v>0</v>
      </c>
      <c r="D981" s="6">
        <f>'MATCH CALCS'!$G982*2</f>
        <v>0</v>
      </c>
      <c r="E981" s="6">
        <f>'MATCH CALCS'!$G982*2</f>
        <v>0</v>
      </c>
      <c r="F981" s="6">
        <f>'MATCH CALCS'!$G982*2</f>
        <v>0</v>
      </c>
      <c r="G981" s="6">
        <f>'MATCH CALCS'!$G982*2</f>
        <v>0</v>
      </c>
      <c r="H981" s="6">
        <f>'MATCH CALCS'!$G982*2</f>
        <v>0</v>
      </c>
      <c r="I981" s="6">
        <f>'MATCH CALCS'!$G982*2</f>
        <v>0</v>
      </c>
      <c r="J981" s="154">
        <f t="shared" si="20"/>
        <v>0</v>
      </c>
      <c r="K981" s="6">
        <f>'MATCH CALCS'!L982*1</f>
        <v>0</v>
      </c>
      <c r="L981" s="6">
        <f>'MATCH CALCS'!$N982*2</f>
        <v>0</v>
      </c>
      <c r="M981" s="6">
        <f>'MATCH CALCS'!N982*1</f>
        <v>0</v>
      </c>
      <c r="N981" s="6">
        <f>'MATCH CALCS'!$N982*2</f>
        <v>0</v>
      </c>
      <c r="O981" s="6">
        <f>'MATCH CALCS'!$N982*2</f>
        <v>0</v>
      </c>
      <c r="P981" s="6">
        <f>'MATCH CALCS'!$P982*5</f>
        <v>0</v>
      </c>
      <c r="Q981" s="154">
        <f t="shared" si="21"/>
        <v>0</v>
      </c>
      <c r="R981" s="6">
        <f>'MATCH CALCS'!$AD982*1</f>
        <v>0</v>
      </c>
      <c r="S981" s="6">
        <f>'MATCH CALCS'!AC982*3</f>
        <v>0</v>
      </c>
      <c r="T981" s="6">
        <f>'MATCH CALCS'!AD982*3</f>
        <v>0</v>
      </c>
      <c r="U981" s="155">
        <f t="shared" si="22"/>
        <v>0</v>
      </c>
      <c r="V981" s="154">
        <f t="shared" si="23"/>
        <v>0</v>
      </c>
    </row>
    <row r="982" spans="1:22">
      <c r="A982" s="154">
        <f>'MATCH CALCS'!A983</f>
        <v>0</v>
      </c>
      <c r="B982" s="154">
        <f>'MATCH CALCS'!$C983</f>
        <v>0</v>
      </c>
      <c r="C982" s="154">
        <f t="shared" si="19"/>
        <v>0</v>
      </c>
      <c r="D982" s="6">
        <f>'MATCH CALCS'!$G983*2</f>
        <v>0</v>
      </c>
      <c r="E982" s="6">
        <f>'MATCH CALCS'!$G983*2</f>
        <v>0</v>
      </c>
      <c r="F982" s="6">
        <f>'MATCH CALCS'!$G983*2</f>
        <v>0</v>
      </c>
      <c r="G982" s="6">
        <f>'MATCH CALCS'!$G983*2</f>
        <v>0</v>
      </c>
      <c r="H982" s="6">
        <f>'MATCH CALCS'!$G983*2</f>
        <v>0</v>
      </c>
      <c r="I982" s="6">
        <f>'MATCH CALCS'!$G983*2</f>
        <v>0</v>
      </c>
      <c r="J982" s="154">
        <f t="shared" si="20"/>
        <v>0</v>
      </c>
      <c r="K982" s="6">
        <f>'MATCH CALCS'!L983*1</f>
        <v>0</v>
      </c>
      <c r="L982" s="6">
        <f>'MATCH CALCS'!$N983*2</f>
        <v>0</v>
      </c>
      <c r="M982" s="6">
        <f>'MATCH CALCS'!N983*1</f>
        <v>0</v>
      </c>
      <c r="N982" s="6">
        <f>'MATCH CALCS'!$N983*2</f>
        <v>0</v>
      </c>
      <c r="O982" s="6">
        <f>'MATCH CALCS'!$N983*2</f>
        <v>0</v>
      </c>
      <c r="P982" s="6">
        <f>'MATCH CALCS'!$P983*5</f>
        <v>0</v>
      </c>
      <c r="Q982" s="154">
        <f t="shared" si="21"/>
        <v>0</v>
      </c>
      <c r="R982" s="6">
        <f>'MATCH CALCS'!$AD983*1</f>
        <v>0</v>
      </c>
      <c r="S982" s="6">
        <f>'MATCH CALCS'!AC983*3</f>
        <v>0</v>
      </c>
      <c r="T982" s="6">
        <f>'MATCH CALCS'!AD983*3</f>
        <v>0</v>
      </c>
      <c r="U982" s="155">
        <f t="shared" si="22"/>
        <v>0</v>
      </c>
      <c r="V982" s="154">
        <f t="shared" si="23"/>
        <v>0</v>
      </c>
    </row>
    <row r="983" spans="1:22">
      <c r="A983" s="154">
        <f>'MATCH CALCS'!A984</f>
        <v>0</v>
      </c>
      <c r="B983" s="154">
        <f>'MATCH CALCS'!$C984</f>
        <v>0</v>
      </c>
      <c r="C983" s="154">
        <f t="shared" si="19"/>
        <v>0</v>
      </c>
      <c r="D983" s="6">
        <f>'MATCH CALCS'!$G984*2</f>
        <v>0</v>
      </c>
      <c r="E983" s="6">
        <f>'MATCH CALCS'!$G984*2</f>
        <v>0</v>
      </c>
      <c r="F983" s="6">
        <f>'MATCH CALCS'!$G984*2</f>
        <v>0</v>
      </c>
      <c r="G983" s="6">
        <f>'MATCH CALCS'!$G984*2</f>
        <v>0</v>
      </c>
      <c r="H983" s="6">
        <f>'MATCH CALCS'!$G984*2</f>
        <v>0</v>
      </c>
      <c r="I983" s="6">
        <f>'MATCH CALCS'!$G984*2</f>
        <v>0</v>
      </c>
      <c r="J983" s="154">
        <f t="shared" si="20"/>
        <v>0</v>
      </c>
      <c r="K983" s="6">
        <f>'MATCH CALCS'!L984*1</f>
        <v>0</v>
      </c>
      <c r="L983" s="6">
        <f>'MATCH CALCS'!$N984*2</f>
        <v>0</v>
      </c>
      <c r="M983" s="6">
        <f>'MATCH CALCS'!N984*1</f>
        <v>0</v>
      </c>
      <c r="N983" s="6">
        <f>'MATCH CALCS'!$N984*2</f>
        <v>0</v>
      </c>
      <c r="O983" s="6">
        <f>'MATCH CALCS'!$N984*2</f>
        <v>0</v>
      </c>
      <c r="P983" s="6">
        <f>'MATCH CALCS'!$P984*5</f>
        <v>0</v>
      </c>
      <c r="Q983" s="154">
        <f t="shared" si="21"/>
        <v>0</v>
      </c>
      <c r="R983" s="6">
        <f>'MATCH CALCS'!$AD984*1</f>
        <v>0</v>
      </c>
      <c r="S983" s="6">
        <f>'MATCH CALCS'!AC984*3</f>
        <v>0</v>
      </c>
      <c r="T983" s="6">
        <f>'MATCH CALCS'!AD984*3</f>
        <v>0</v>
      </c>
      <c r="U983" s="155">
        <f t="shared" si="22"/>
        <v>0</v>
      </c>
      <c r="V983" s="154">
        <f t="shared" si="23"/>
        <v>0</v>
      </c>
    </row>
    <row r="984" spans="1:22">
      <c r="A984" s="154">
        <f>'MATCH CALCS'!A985</f>
        <v>0</v>
      </c>
      <c r="B984" s="154">
        <f>'MATCH CALCS'!$C985</f>
        <v>0</v>
      </c>
      <c r="C984" s="154">
        <f t="shared" si="19"/>
        <v>0</v>
      </c>
      <c r="D984" s="6">
        <f>'MATCH CALCS'!$G985*2</f>
        <v>0</v>
      </c>
      <c r="E984" s="6">
        <f>'MATCH CALCS'!$G985*2</f>
        <v>0</v>
      </c>
      <c r="F984" s="6">
        <f>'MATCH CALCS'!$G985*2</f>
        <v>0</v>
      </c>
      <c r="G984" s="6">
        <f>'MATCH CALCS'!$G985*2</f>
        <v>0</v>
      </c>
      <c r="H984" s="6">
        <f>'MATCH CALCS'!$G985*2</f>
        <v>0</v>
      </c>
      <c r="I984" s="6">
        <f>'MATCH CALCS'!$G985*2</f>
        <v>0</v>
      </c>
      <c r="J984" s="154">
        <f t="shared" si="20"/>
        <v>0</v>
      </c>
      <c r="K984" s="6">
        <f>'MATCH CALCS'!L985*1</f>
        <v>0</v>
      </c>
      <c r="L984" s="6">
        <f>'MATCH CALCS'!$N985*2</f>
        <v>0</v>
      </c>
      <c r="M984" s="6">
        <f>'MATCH CALCS'!N985*1</f>
        <v>0</v>
      </c>
      <c r="N984" s="6">
        <f>'MATCH CALCS'!$N985*2</f>
        <v>0</v>
      </c>
      <c r="O984" s="6">
        <f>'MATCH CALCS'!$N985*2</f>
        <v>0</v>
      </c>
      <c r="P984" s="6">
        <f>'MATCH CALCS'!$P985*5</f>
        <v>0</v>
      </c>
      <c r="Q984" s="154">
        <f t="shared" si="21"/>
        <v>0</v>
      </c>
      <c r="R984" s="6">
        <f>'MATCH CALCS'!$AD985*1</f>
        <v>0</v>
      </c>
      <c r="S984" s="6">
        <f>'MATCH CALCS'!AC985*3</f>
        <v>0</v>
      </c>
      <c r="T984" s="6">
        <f>'MATCH CALCS'!AD985*3</f>
        <v>0</v>
      </c>
      <c r="U984" s="155">
        <f t="shared" si="22"/>
        <v>0</v>
      </c>
      <c r="V984" s="154">
        <f t="shared" si="23"/>
        <v>0</v>
      </c>
    </row>
    <row r="985" spans="1:22">
      <c r="A985" s="154">
        <f>'MATCH CALCS'!A986</f>
        <v>0</v>
      </c>
      <c r="B985" s="154">
        <f>'MATCH CALCS'!$C986</f>
        <v>0</v>
      </c>
      <c r="C985" s="154">
        <f t="shared" si="19"/>
        <v>0</v>
      </c>
      <c r="D985" s="6">
        <f>'MATCH CALCS'!$G986*2</f>
        <v>0</v>
      </c>
      <c r="E985" s="6">
        <f>'MATCH CALCS'!$G986*2</f>
        <v>0</v>
      </c>
      <c r="F985" s="6">
        <f>'MATCH CALCS'!$G986*2</f>
        <v>0</v>
      </c>
      <c r="G985" s="6">
        <f>'MATCH CALCS'!$G986*2</f>
        <v>0</v>
      </c>
      <c r="H985" s="6">
        <f>'MATCH CALCS'!$G986*2</f>
        <v>0</v>
      </c>
      <c r="I985" s="6">
        <f>'MATCH CALCS'!$G986*2</f>
        <v>0</v>
      </c>
      <c r="J985" s="154">
        <f t="shared" si="20"/>
        <v>0</v>
      </c>
      <c r="K985" s="6">
        <f>'MATCH CALCS'!L986*1</f>
        <v>0</v>
      </c>
      <c r="L985" s="6">
        <f>'MATCH CALCS'!$N986*2</f>
        <v>0</v>
      </c>
      <c r="M985" s="6">
        <f>'MATCH CALCS'!N986*1</f>
        <v>0</v>
      </c>
      <c r="N985" s="6">
        <f>'MATCH CALCS'!$N986*2</f>
        <v>0</v>
      </c>
      <c r="O985" s="6">
        <f>'MATCH CALCS'!$N986*2</f>
        <v>0</v>
      </c>
      <c r="P985" s="6">
        <f>'MATCH CALCS'!$P986*5</f>
        <v>0</v>
      </c>
      <c r="Q985" s="154">
        <f t="shared" si="21"/>
        <v>0</v>
      </c>
      <c r="R985" s="6">
        <f>'MATCH CALCS'!$AD986*1</f>
        <v>0</v>
      </c>
      <c r="S985" s="6">
        <f>'MATCH CALCS'!AC986*3</f>
        <v>0</v>
      </c>
      <c r="T985" s="6">
        <f>'MATCH CALCS'!AD986*3</f>
        <v>0</v>
      </c>
      <c r="U985" s="155">
        <f t="shared" si="22"/>
        <v>0</v>
      </c>
      <c r="V985" s="154">
        <f t="shared" si="23"/>
        <v>0</v>
      </c>
    </row>
    <row r="986" spans="1:22">
      <c r="A986" s="154">
        <f>'MATCH CALCS'!A987</f>
        <v>0</v>
      </c>
      <c r="B986" s="154">
        <f>'MATCH CALCS'!$C987</f>
        <v>0</v>
      </c>
      <c r="C986" s="154">
        <f t="shared" si="19"/>
        <v>0</v>
      </c>
      <c r="D986" s="6">
        <f>'MATCH CALCS'!$G987*2</f>
        <v>0</v>
      </c>
      <c r="E986" s="6">
        <f>'MATCH CALCS'!$G987*2</f>
        <v>0</v>
      </c>
      <c r="F986" s="6">
        <f>'MATCH CALCS'!$G987*2</f>
        <v>0</v>
      </c>
      <c r="G986" s="6">
        <f>'MATCH CALCS'!$G987*2</f>
        <v>0</v>
      </c>
      <c r="H986" s="6">
        <f>'MATCH CALCS'!$G987*2</f>
        <v>0</v>
      </c>
      <c r="I986" s="6">
        <f>'MATCH CALCS'!$G987*2</f>
        <v>0</v>
      </c>
      <c r="J986" s="154">
        <f t="shared" si="20"/>
        <v>0</v>
      </c>
      <c r="K986" s="6">
        <f>'MATCH CALCS'!L987*1</f>
        <v>0</v>
      </c>
      <c r="L986" s="6">
        <f>'MATCH CALCS'!$N987*2</f>
        <v>0</v>
      </c>
      <c r="M986" s="6">
        <f>'MATCH CALCS'!N987*1</f>
        <v>0</v>
      </c>
      <c r="N986" s="6">
        <f>'MATCH CALCS'!$N987*2</f>
        <v>0</v>
      </c>
      <c r="O986" s="6">
        <f>'MATCH CALCS'!$N987*2</f>
        <v>0</v>
      </c>
      <c r="P986" s="6">
        <f>'MATCH CALCS'!$P987*5</f>
        <v>0</v>
      </c>
      <c r="Q986" s="154">
        <f t="shared" si="21"/>
        <v>0</v>
      </c>
      <c r="R986" s="6">
        <f>'MATCH CALCS'!$AD987*1</f>
        <v>0</v>
      </c>
      <c r="S986" s="6">
        <f>'MATCH CALCS'!AC987*3</f>
        <v>0</v>
      </c>
      <c r="T986" s="6">
        <f>'MATCH CALCS'!AD987*3</f>
        <v>0</v>
      </c>
      <c r="U986" s="155">
        <f t="shared" si="22"/>
        <v>0</v>
      </c>
      <c r="V986" s="154">
        <f t="shared" si="23"/>
        <v>0</v>
      </c>
    </row>
    <row r="987" spans="1:22">
      <c r="A987" s="154">
        <f>'MATCH CALCS'!A988</f>
        <v>0</v>
      </c>
      <c r="B987" s="154">
        <f>'MATCH CALCS'!$C988</f>
        <v>0</v>
      </c>
      <c r="C987" s="154">
        <f t="shared" si="19"/>
        <v>0</v>
      </c>
      <c r="D987" s="6">
        <f>'MATCH CALCS'!$G988*2</f>
        <v>0</v>
      </c>
      <c r="E987" s="6">
        <f>'MATCH CALCS'!$G988*2</f>
        <v>0</v>
      </c>
      <c r="F987" s="6">
        <f>'MATCH CALCS'!$G988*2</f>
        <v>0</v>
      </c>
      <c r="G987" s="6">
        <f>'MATCH CALCS'!$G988*2</f>
        <v>0</v>
      </c>
      <c r="H987" s="6">
        <f>'MATCH CALCS'!$G988*2</f>
        <v>0</v>
      </c>
      <c r="I987" s="6">
        <f>'MATCH CALCS'!$G988*2</f>
        <v>0</v>
      </c>
      <c r="J987" s="154">
        <f t="shared" si="20"/>
        <v>0</v>
      </c>
      <c r="K987" s="6">
        <f>'MATCH CALCS'!L988*1</f>
        <v>0</v>
      </c>
      <c r="L987" s="6">
        <f>'MATCH CALCS'!$N988*2</f>
        <v>0</v>
      </c>
      <c r="M987" s="6">
        <f>'MATCH CALCS'!N988*1</f>
        <v>0</v>
      </c>
      <c r="N987" s="6">
        <f>'MATCH CALCS'!$N988*2</f>
        <v>0</v>
      </c>
      <c r="O987" s="6">
        <f>'MATCH CALCS'!$N988*2</f>
        <v>0</v>
      </c>
      <c r="P987" s="6">
        <f>'MATCH CALCS'!$P988*5</f>
        <v>0</v>
      </c>
      <c r="Q987" s="154">
        <f t="shared" si="21"/>
        <v>0</v>
      </c>
      <c r="R987" s="6">
        <f>'MATCH CALCS'!$AD988*1</f>
        <v>0</v>
      </c>
      <c r="S987" s="6">
        <f>'MATCH CALCS'!AC988*3</f>
        <v>0</v>
      </c>
      <c r="T987" s="6">
        <f>'MATCH CALCS'!AD988*3</f>
        <v>0</v>
      </c>
      <c r="U987" s="155">
        <f t="shared" si="22"/>
        <v>0</v>
      </c>
      <c r="V987" s="154">
        <f t="shared" si="23"/>
        <v>0</v>
      </c>
    </row>
    <row r="988" spans="1:22">
      <c r="A988" s="154">
        <f>'MATCH CALCS'!A989</f>
        <v>0</v>
      </c>
      <c r="B988" s="154">
        <f>'MATCH CALCS'!$C989</f>
        <v>0</v>
      </c>
      <c r="C988" s="154">
        <f t="shared" si="19"/>
        <v>0</v>
      </c>
      <c r="D988" s="6">
        <f>'MATCH CALCS'!$G989*2</f>
        <v>0</v>
      </c>
      <c r="E988" s="6">
        <f>'MATCH CALCS'!$G989*2</f>
        <v>0</v>
      </c>
      <c r="F988" s="6">
        <f>'MATCH CALCS'!$G989*2</f>
        <v>0</v>
      </c>
      <c r="G988" s="6">
        <f>'MATCH CALCS'!$G989*2</f>
        <v>0</v>
      </c>
      <c r="H988" s="6">
        <f>'MATCH CALCS'!$G989*2</f>
        <v>0</v>
      </c>
      <c r="I988" s="6">
        <f>'MATCH CALCS'!$G989*2</f>
        <v>0</v>
      </c>
      <c r="J988" s="154">
        <f t="shared" si="20"/>
        <v>0</v>
      </c>
      <c r="K988" s="6">
        <f>'MATCH CALCS'!L989*1</f>
        <v>0</v>
      </c>
      <c r="L988" s="6">
        <f>'MATCH CALCS'!$N989*2</f>
        <v>0</v>
      </c>
      <c r="M988" s="6">
        <f>'MATCH CALCS'!N989*1</f>
        <v>0</v>
      </c>
      <c r="N988" s="6">
        <f>'MATCH CALCS'!$N989*2</f>
        <v>0</v>
      </c>
      <c r="O988" s="6">
        <f>'MATCH CALCS'!$N989*2</f>
        <v>0</v>
      </c>
      <c r="P988" s="6">
        <f>'MATCH CALCS'!$P989*5</f>
        <v>0</v>
      </c>
      <c r="Q988" s="154">
        <f t="shared" si="21"/>
        <v>0</v>
      </c>
      <c r="R988" s="6">
        <f>'MATCH CALCS'!$AD989*1</f>
        <v>0</v>
      </c>
      <c r="S988" s="6">
        <f>'MATCH CALCS'!AC989*3</f>
        <v>0</v>
      </c>
      <c r="T988" s="6">
        <f>'MATCH CALCS'!AD989*3</f>
        <v>0</v>
      </c>
      <c r="U988" s="155">
        <f t="shared" si="22"/>
        <v>0</v>
      </c>
      <c r="V988" s="154">
        <f t="shared" si="23"/>
        <v>0</v>
      </c>
    </row>
    <row r="989" spans="1:22">
      <c r="A989" s="154">
        <f>'MATCH CALCS'!A990</f>
        <v>0</v>
      </c>
      <c r="B989" s="154">
        <f>'MATCH CALCS'!$C990</f>
        <v>0</v>
      </c>
      <c r="C989" s="154">
        <f t="shared" si="19"/>
        <v>0</v>
      </c>
      <c r="D989" s="6">
        <f>'MATCH CALCS'!$G990*2</f>
        <v>0</v>
      </c>
      <c r="E989" s="6">
        <f>'MATCH CALCS'!$G990*2</f>
        <v>0</v>
      </c>
      <c r="F989" s="6">
        <f>'MATCH CALCS'!$G990*2</f>
        <v>0</v>
      </c>
      <c r="G989" s="6">
        <f>'MATCH CALCS'!$G990*2</f>
        <v>0</v>
      </c>
      <c r="H989" s="6">
        <f>'MATCH CALCS'!$G990*2</f>
        <v>0</v>
      </c>
      <c r="I989" s="6">
        <f>'MATCH CALCS'!$G990*2</f>
        <v>0</v>
      </c>
      <c r="J989" s="154">
        <f t="shared" si="20"/>
        <v>0</v>
      </c>
      <c r="K989" s="6">
        <f>'MATCH CALCS'!L990*1</f>
        <v>0</v>
      </c>
      <c r="L989" s="6">
        <f>'MATCH CALCS'!$N990*2</f>
        <v>0</v>
      </c>
      <c r="M989" s="6">
        <f>'MATCH CALCS'!N990*1</f>
        <v>0</v>
      </c>
      <c r="N989" s="6">
        <f>'MATCH CALCS'!$N990*2</f>
        <v>0</v>
      </c>
      <c r="O989" s="6">
        <f>'MATCH CALCS'!$N990*2</f>
        <v>0</v>
      </c>
      <c r="P989" s="6">
        <f>'MATCH CALCS'!$P990*5</f>
        <v>0</v>
      </c>
      <c r="Q989" s="154">
        <f t="shared" si="21"/>
        <v>0</v>
      </c>
      <c r="R989" s="6">
        <f>'MATCH CALCS'!$AD990*1</f>
        <v>0</v>
      </c>
      <c r="S989" s="6">
        <f>'MATCH CALCS'!AC990*3</f>
        <v>0</v>
      </c>
      <c r="T989" s="6">
        <f>'MATCH CALCS'!AD990*3</f>
        <v>0</v>
      </c>
      <c r="U989" s="155">
        <f t="shared" si="22"/>
        <v>0</v>
      </c>
      <c r="V989" s="154">
        <f t="shared" si="23"/>
        <v>0</v>
      </c>
    </row>
    <row r="990" spans="1:22">
      <c r="A990" s="154">
        <f>'MATCH CALCS'!A991</f>
        <v>0</v>
      </c>
      <c r="B990" s="154">
        <f>'MATCH CALCS'!$C991</f>
        <v>0</v>
      </c>
      <c r="C990" s="154">
        <f t="shared" si="19"/>
        <v>0</v>
      </c>
      <c r="D990" s="6">
        <f>'MATCH CALCS'!$G991*2</f>
        <v>0</v>
      </c>
      <c r="E990" s="6">
        <f>'MATCH CALCS'!$G991*2</f>
        <v>0</v>
      </c>
      <c r="F990" s="6">
        <f>'MATCH CALCS'!$G991*2</f>
        <v>0</v>
      </c>
      <c r="G990" s="6">
        <f>'MATCH CALCS'!$G991*2</f>
        <v>0</v>
      </c>
      <c r="H990" s="6">
        <f>'MATCH CALCS'!$G991*2</f>
        <v>0</v>
      </c>
      <c r="I990" s="6">
        <f>'MATCH CALCS'!$G991*2</f>
        <v>0</v>
      </c>
      <c r="J990" s="154">
        <f t="shared" si="20"/>
        <v>0</v>
      </c>
      <c r="K990" s="6">
        <f>'MATCH CALCS'!L991*1</f>
        <v>0</v>
      </c>
      <c r="L990" s="6">
        <f>'MATCH CALCS'!$N991*2</f>
        <v>0</v>
      </c>
      <c r="M990" s="6">
        <f>'MATCH CALCS'!N991*1</f>
        <v>0</v>
      </c>
      <c r="N990" s="6">
        <f>'MATCH CALCS'!$N991*2</f>
        <v>0</v>
      </c>
      <c r="O990" s="6">
        <f>'MATCH CALCS'!$N991*2</f>
        <v>0</v>
      </c>
      <c r="P990" s="6">
        <f>'MATCH CALCS'!$P991*5</f>
        <v>0</v>
      </c>
      <c r="Q990" s="154">
        <f t="shared" si="21"/>
        <v>0</v>
      </c>
      <c r="R990" s="6">
        <f>'MATCH CALCS'!$AD991*1</f>
        <v>0</v>
      </c>
      <c r="S990" s="6">
        <f>'MATCH CALCS'!AC991*3</f>
        <v>0</v>
      </c>
      <c r="T990" s="6">
        <f>'MATCH CALCS'!AD991*3</f>
        <v>0</v>
      </c>
      <c r="U990" s="155">
        <f t="shared" si="22"/>
        <v>0</v>
      </c>
      <c r="V990" s="154">
        <f t="shared" si="23"/>
        <v>0</v>
      </c>
    </row>
    <row r="991" spans="1:22">
      <c r="A991" s="154">
        <f>'MATCH CALCS'!A992</f>
        <v>0</v>
      </c>
      <c r="B991" s="154">
        <f>'MATCH CALCS'!$C992</f>
        <v>0</v>
      </c>
      <c r="C991" s="154">
        <f t="shared" si="19"/>
        <v>0</v>
      </c>
      <c r="D991" s="6">
        <f>'MATCH CALCS'!$G992*2</f>
        <v>0</v>
      </c>
      <c r="E991" s="6">
        <f>'MATCH CALCS'!$G992*2</f>
        <v>0</v>
      </c>
      <c r="F991" s="6">
        <f>'MATCH CALCS'!$G992*2</f>
        <v>0</v>
      </c>
      <c r="G991" s="6">
        <f>'MATCH CALCS'!$G992*2</f>
        <v>0</v>
      </c>
      <c r="H991" s="6">
        <f>'MATCH CALCS'!$G992*2</f>
        <v>0</v>
      </c>
      <c r="I991" s="6">
        <f>'MATCH CALCS'!$G992*2</f>
        <v>0</v>
      </c>
      <c r="J991" s="154">
        <f t="shared" si="20"/>
        <v>0</v>
      </c>
      <c r="K991" s="6">
        <f>'MATCH CALCS'!L992*1</f>
        <v>0</v>
      </c>
      <c r="L991" s="6">
        <f>'MATCH CALCS'!$N992*2</f>
        <v>0</v>
      </c>
      <c r="M991" s="6">
        <f>'MATCH CALCS'!N992*1</f>
        <v>0</v>
      </c>
      <c r="N991" s="6">
        <f>'MATCH CALCS'!$N992*2</f>
        <v>0</v>
      </c>
      <c r="O991" s="6">
        <f>'MATCH CALCS'!$N992*2</f>
        <v>0</v>
      </c>
      <c r="P991" s="6">
        <f>'MATCH CALCS'!$P992*5</f>
        <v>0</v>
      </c>
      <c r="Q991" s="154">
        <f t="shared" si="21"/>
        <v>0</v>
      </c>
      <c r="R991" s="6">
        <f>'MATCH CALCS'!$AD992*1</f>
        <v>0</v>
      </c>
      <c r="S991" s="6">
        <f>'MATCH CALCS'!AC992*3</f>
        <v>0</v>
      </c>
      <c r="T991" s="6">
        <f>'MATCH CALCS'!AD992*3</f>
        <v>0</v>
      </c>
      <c r="U991" s="155">
        <f t="shared" si="22"/>
        <v>0</v>
      </c>
      <c r="V991" s="154">
        <f t="shared" si="23"/>
        <v>0</v>
      </c>
    </row>
    <row r="992" spans="1:22">
      <c r="A992" s="154">
        <f>'MATCH CALCS'!A993</f>
        <v>0</v>
      </c>
      <c r="B992" s="154">
        <f>'MATCH CALCS'!$C993</f>
        <v>0</v>
      </c>
      <c r="C992" s="154">
        <f t="shared" si="19"/>
        <v>0</v>
      </c>
      <c r="D992" s="6">
        <f>'MATCH CALCS'!$G993*2</f>
        <v>0</v>
      </c>
      <c r="E992" s="6">
        <f>'MATCH CALCS'!$G993*2</f>
        <v>0</v>
      </c>
      <c r="F992" s="6">
        <f>'MATCH CALCS'!$G993*2</f>
        <v>0</v>
      </c>
      <c r="G992" s="6">
        <f>'MATCH CALCS'!$G993*2</f>
        <v>0</v>
      </c>
      <c r="H992" s="6">
        <f>'MATCH CALCS'!$G993*2</f>
        <v>0</v>
      </c>
      <c r="I992" s="6">
        <f>'MATCH CALCS'!$G993*2</f>
        <v>0</v>
      </c>
      <c r="J992" s="154">
        <f t="shared" si="20"/>
        <v>0</v>
      </c>
      <c r="K992" s="6">
        <f>'MATCH CALCS'!L993*1</f>
        <v>0</v>
      </c>
      <c r="L992" s="6">
        <f>'MATCH CALCS'!$N993*2</f>
        <v>0</v>
      </c>
      <c r="M992" s="6">
        <f>'MATCH CALCS'!N993*1</f>
        <v>0</v>
      </c>
      <c r="N992" s="6">
        <f>'MATCH CALCS'!$N993*2</f>
        <v>0</v>
      </c>
      <c r="O992" s="6">
        <f>'MATCH CALCS'!$N993*2</f>
        <v>0</v>
      </c>
      <c r="P992" s="6">
        <f>'MATCH CALCS'!$P993*5</f>
        <v>0</v>
      </c>
      <c r="Q992" s="154">
        <f t="shared" si="21"/>
        <v>0</v>
      </c>
      <c r="R992" s="6">
        <f>'MATCH CALCS'!$AD993*1</f>
        <v>0</v>
      </c>
      <c r="S992" s="6">
        <f>'MATCH CALCS'!AC993*3</f>
        <v>0</v>
      </c>
      <c r="T992" s="6">
        <f>'MATCH CALCS'!AD993*3</f>
        <v>0</v>
      </c>
      <c r="U992" s="155">
        <f t="shared" si="22"/>
        <v>0</v>
      </c>
      <c r="V992" s="154">
        <f t="shared" si="23"/>
        <v>0</v>
      </c>
    </row>
    <row r="993" spans="1:22">
      <c r="A993" s="154">
        <f>'MATCH CALCS'!A994</f>
        <v>0</v>
      </c>
      <c r="B993" s="154">
        <f>'MATCH CALCS'!$C994</f>
        <v>0</v>
      </c>
      <c r="C993" s="154">
        <f t="shared" si="19"/>
        <v>0</v>
      </c>
      <c r="D993" s="6">
        <f>'MATCH CALCS'!$G994*2</f>
        <v>0</v>
      </c>
      <c r="E993" s="6">
        <f>'MATCH CALCS'!$G994*2</f>
        <v>0</v>
      </c>
      <c r="F993" s="6">
        <f>'MATCH CALCS'!$G994*2</f>
        <v>0</v>
      </c>
      <c r="G993" s="6">
        <f>'MATCH CALCS'!$G994*2</f>
        <v>0</v>
      </c>
      <c r="H993" s="6">
        <f>'MATCH CALCS'!$G994*2</f>
        <v>0</v>
      </c>
      <c r="I993" s="6">
        <f>'MATCH CALCS'!$G994*2</f>
        <v>0</v>
      </c>
      <c r="J993" s="154">
        <f t="shared" si="20"/>
        <v>0</v>
      </c>
      <c r="K993" s="6">
        <f>'MATCH CALCS'!L994*1</f>
        <v>0</v>
      </c>
      <c r="L993" s="6">
        <f>'MATCH CALCS'!$N994*2</f>
        <v>0</v>
      </c>
      <c r="M993" s="6">
        <f>'MATCH CALCS'!N994*1</f>
        <v>0</v>
      </c>
      <c r="N993" s="6">
        <f>'MATCH CALCS'!$N994*2</f>
        <v>0</v>
      </c>
      <c r="O993" s="6">
        <f>'MATCH CALCS'!$N994*2</f>
        <v>0</v>
      </c>
      <c r="P993" s="6">
        <f>'MATCH CALCS'!$P994*5</f>
        <v>0</v>
      </c>
      <c r="Q993" s="154">
        <f t="shared" si="21"/>
        <v>0</v>
      </c>
      <c r="R993" s="6">
        <f>'MATCH CALCS'!$AD994*1</f>
        <v>0</v>
      </c>
      <c r="S993" s="6">
        <f>'MATCH CALCS'!AC994*3</f>
        <v>0</v>
      </c>
      <c r="T993" s="6">
        <f>'MATCH CALCS'!AD994*3</f>
        <v>0</v>
      </c>
      <c r="U993" s="155">
        <f t="shared" si="22"/>
        <v>0</v>
      </c>
      <c r="V993" s="154">
        <f t="shared" si="23"/>
        <v>0</v>
      </c>
    </row>
    <row r="994" spans="1:22">
      <c r="A994" s="154">
        <f>'MATCH CALCS'!A995</f>
        <v>0</v>
      </c>
      <c r="B994" s="154">
        <f>'MATCH CALCS'!$C995</f>
        <v>0</v>
      </c>
      <c r="C994" s="154">
        <f t="shared" si="19"/>
        <v>0</v>
      </c>
      <c r="D994" s="6">
        <f>'MATCH CALCS'!$G995*2</f>
        <v>0</v>
      </c>
      <c r="E994" s="6">
        <f>'MATCH CALCS'!$G995*2</f>
        <v>0</v>
      </c>
      <c r="F994" s="6">
        <f>'MATCH CALCS'!$G995*2</f>
        <v>0</v>
      </c>
      <c r="G994" s="6">
        <f>'MATCH CALCS'!$G995*2</f>
        <v>0</v>
      </c>
      <c r="H994" s="6">
        <f>'MATCH CALCS'!$G995*2</f>
        <v>0</v>
      </c>
      <c r="I994" s="6">
        <f>'MATCH CALCS'!$G995*2</f>
        <v>0</v>
      </c>
      <c r="J994" s="154">
        <f t="shared" si="20"/>
        <v>0</v>
      </c>
      <c r="K994" s="6">
        <f>'MATCH CALCS'!L995*1</f>
        <v>0</v>
      </c>
      <c r="L994" s="6">
        <f>'MATCH CALCS'!$N995*2</f>
        <v>0</v>
      </c>
      <c r="M994" s="6">
        <f>'MATCH CALCS'!N995*1</f>
        <v>0</v>
      </c>
      <c r="N994" s="6">
        <f>'MATCH CALCS'!$N995*2</f>
        <v>0</v>
      </c>
      <c r="O994" s="6">
        <f>'MATCH CALCS'!$N995*2</f>
        <v>0</v>
      </c>
      <c r="P994" s="6">
        <f>'MATCH CALCS'!$P995*5</f>
        <v>0</v>
      </c>
      <c r="Q994" s="154">
        <f t="shared" si="21"/>
        <v>0</v>
      </c>
      <c r="R994" s="6">
        <f>'MATCH CALCS'!$AD995*1</f>
        <v>0</v>
      </c>
      <c r="S994" s="6">
        <f>'MATCH CALCS'!AC995*3</f>
        <v>0</v>
      </c>
      <c r="T994" s="6">
        <f>'MATCH CALCS'!AD995*3</f>
        <v>0</v>
      </c>
      <c r="U994" s="155">
        <f t="shared" si="22"/>
        <v>0</v>
      </c>
      <c r="V994" s="154">
        <f t="shared" si="23"/>
        <v>0</v>
      </c>
    </row>
    <row r="995" spans="1:22">
      <c r="A995" s="154">
        <f>'MATCH CALCS'!A996</f>
        <v>0</v>
      </c>
      <c r="B995" s="154">
        <f>'MATCH CALCS'!$C996</f>
        <v>0</v>
      </c>
      <c r="C995" s="154">
        <f t="shared" si="19"/>
        <v>0</v>
      </c>
      <c r="D995" s="6">
        <f>'MATCH CALCS'!$G996*2</f>
        <v>0</v>
      </c>
      <c r="E995" s="6">
        <f>'MATCH CALCS'!$G996*2</f>
        <v>0</v>
      </c>
      <c r="F995" s="6">
        <f>'MATCH CALCS'!$G996*2</f>
        <v>0</v>
      </c>
      <c r="G995" s="6">
        <f>'MATCH CALCS'!$G996*2</f>
        <v>0</v>
      </c>
      <c r="H995" s="6">
        <f>'MATCH CALCS'!$G996*2</f>
        <v>0</v>
      </c>
      <c r="I995" s="6">
        <f>'MATCH CALCS'!$G996*2</f>
        <v>0</v>
      </c>
      <c r="J995" s="154">
        <f t="shared" si="20"/>
        <v>0</v>
      </c>
      <c r="K995" s="6">
        <f>'MATCH CALCS'!L996*1</f>
        <v>0</v>
      </c>
      <c r="L995" s="6">
        <f>'MATCH CALCS'!$N996*2</f>
        <v>0</v>
      </c>
      <c r="M995" s="6">
        <f>'MATCH CALCS'!N996*1</f>
        <v>0</v>
      </c>
      <c r="N995" s="6">
        <f>'MATCH CALCS'!$N996*2</f>
        <v>0</v>
      </c>
      <c r="O995" s="6">
        <f>'MATCH CALCS'!$N996*2</f>
        <v>0</v>
      </c>
      <c r="P995" s="6">
        <f>'MATCH CALCS'!$P996*5</f>
        <v>0</v>
      </c>
      <c r="Q995" s="154">
        <f t="shared" si="21"/>
        <v>0</v>
      </c>
      <c r="R995" s="6">
        <f>'MATCH CALCS'!$AD996*1</f>
        <v>0</v>
      </c>
      <c r="S995" s="6">
        <f>'MATCH CALCS'!AC996*3</f>
        <v>0</v>
      </c>
      <c r="T995" s="6">
        <f>'MATCH CALCS'!AD996*3</f>
        <v>0</v>
      </c>
      <c r="U995" s="155">
        <f t="shared" si="22"/>
        <v>0</v>
      </c>
      <c r="V995" s="154">
        <f t="shared" si="23"/>
        <v>0</v>
      </c>
    </row>
    <row r="996" spans="1:22">
      <c r="A996" s="154">
        <f>'MATCH CALCS'!A997</f>
        <v>0</v>
      </c>
      <c r="B996" s="154">
        <f>'MATCH CALCS'!$C997</f>
        <v>0</v>
      </c>
      <c r="C996" s="154">
        <f t="shared" si="19"/>
        <v>0</v>
      </c>
      <c r="D996" s="6">
        <f>'MATCH CALCS'!$G997*2</f>
        <v>0</v>
      </c>
      <c r="E996" s="6">
        <f>'MATCH CALCS'!$G997*2</f>
        <v>0</v>
      </c>
      <c r="F996" s="6">
        <f>'MATCH CALCS'!$G997*2</f>
        <v>0</v>
      </c>
      <c r="G996" s="6">
        <f>'MATCH CALCS'!$G997*2</f>
        <v>0</v>
      </c>
      <c r="H996" s="6">
        <f>'MATCH CALCS'!$G997*2</f>
        <v>0</v>
      </c>
      <c r="I996" s="6">
        <f>'MATCH CALCS'!$G997*2</f>
        <v>0</v>
      </c>
      <c r="J996" s="154">
        <f t="shared" si="20"/>
        <v>0</v>
      </c>
      <c r="K996" s="6">
        <f>'MATCH CALCS'!L997*1</f>
        <v>0</v>
      </c>
      <c r="L996" s="6">
        <f>'MATCH CALCS'!$N997*2</f>
        <v>0</v>
      </c>
      <c r="M996" s="6">
        <f>'MATCH CALCS'!N997*1</f>
        <v>0</v>
      </c>
      <c r="N996" s="6">
        <f>'MATCH CALCS'!$N997*2</f>
        <v>0</v>
      </c>
      <c r="O996" s="6">
        <f>'MATCH CALCS'!$N997*2</f>
        <v>0</v>
      </c>
      <c r="P996" s="6">
        <f>'MATCH CALCS'!$P997*5</f>
        <v>0</v>
      </c>
      <c r="Q996" s="154">
        <f t="shared" si="21"/>
        <v>0</v>
      </c>
      <c r="R996" s="6">
        <f>'MATCH CALCS'!$AD997*1</f>
        <v>0</v>
      </c>
      <c r="S996" s="6">
        <f>'MATCH CALCS'!AC997*3</f>
        <v>0</v>
      </c>
      <c r="T996" s="6">
        <f>'MATCH CALCS'!AD997*3</f>
        <v>0</v>
      </c>
      <c r="U996" s="155">
        <f t="shared" si="22"/>
        <v>0</v>
      </c>
      <c r="V996" s="154">
        <f t="shared" si="23"/>
        <v>0</v>
      </c>
    </row>
    <row r="997" spans="1:22">
      <c r="A997" s="154">
        <f>'MATCH CALCS'!A998</f>
        <v>0</v>
      </c>
      <c r="B997" s="154">
        <f>'MATCH CALCS'!$C998</f>
        <v>0</v>
      </c>
      <c r="C997" s="154">
        <f t="shared" si="19"/>
        <v>0</v>
      </c>
      <c r="D997" s="6">
        <f>'MATCH CALCS'!$G998*2</f>
        <v>0</v>
      </c>
      <c r="E997" s="6">
        <f>'MATCH CALCS'!$G998*2</f>
        <v>0</v>
      </c>
      <c r="F997" s="6">
        <f>'MATCH CALCS'!$G998*2</f>
        <v>0</v>
      </c>
      <c r="G997" s="6">
        <f>'MATCH CALCS'!$G998*2</f>
        <v>0</v>
      </c>
      <c r="H997" s="6">
        <f>'MATCH CALCS'!$G998*2</f>
        <v>0</v>
      </c>
      <c r="I997" s="6">
        <f>'MATCH CALCS'!$G998*2</f>
        <v>0</v>
      </c>
      <c r="J997" s="154">
        <f t="shared" si="20"/>
        <v>0</v>
      </c>
      <c r="K997" s="6">
        <f>'MATCH CALCS'!L998*1</f>
        <v>0</v>
      </c>
      <c r="L997" s="6">
        <f>'MATCH CALCS'!$N998*2</f>
        <v>0</v>
      </c>
      <c r="M997" s="6">
        <f>'MATCH CALCS'!N998*1</f>
        <v>0</v>
      </c>
      <c r="N997" s="6">
        <f>'MATCH CALCS'!$N998*2</f>
        <v>0</v>
      </c>
      <c r="O997" s="6">
        <f>'MATCH CALCS'!$N998*2</f>
        <v>0</v>
      </c>
      <c r="P997" s="6">
        <f>'MATCH CALCS'!$P998*5</f>
        <v>0</v>
      </c>
      <c r="Q997" s="154">
        <f t="shared" si="21"/>
        <v>0</v>
      </c>
      <c r="R997" s="6">
        <f>'MATCH CALCS'!$AD998*1</f>
        <v>0</v>
      </c>
      <c r="S997" s="6">
        <f>'MATCH CALCS'!AC998*3</f>
        <v>0</v>
      </c>
      <c r="T997" s="6">
        <f>'MATCH CALCS'!AD998*3</f>
        <v>0</v>
      </c>
      <c r="U997" s="155">
        <f t="shared" si="22"/>
        <v>0</v>
      </c>
      <c r="V997" s="154">
        <f t="shared" si="23"/>
        <v>0</v>
      </c>
    </row>
    <row r="998" spans="1:22">
      <c r="A998" s="154">
        <f>'MATCH CALCS'!A999</f>
        <v>0</v>
      </c>
      <c r="B998" s="154">
        <f>'MATCH CALCS'!$C999</f>
        <v>0</v>
      </c>
      <c r="C998" s="154">
        <f t="shared" si="19"/>
        <v>0</v>
      </c>
      <c r="D998" s="6">
        <f>'MATCH CALCS'!$G999*2</f>
        <v>0</v>
      </c>
      <c r="E998" s="6">
        <f>'MATCH CALCS'!$G999*2</f>
        <v>0</v>
      </c>
      <c r="F998" s="6">
        <f>'MATCH CALCS'!$G999*2</f>
        <v>0</v>
      </c>
      <c r="G998" s="6">
        <f>'MATCH CALCS'!$G999*2</f>
        <v>0</v>
      </c>
      <c r="H998" s="6">
        <f>'MATCH CALCS'!$G999*2</f>
        <v>0</v>
      </c>
      <c r="I998" s="6">
        <f>'MATCH CALCS'!$G999*2</f>
        <v>0</v>
      </c>
      <c r="J998" s="154">
        <f t="shared" si="20"/>
        <v>0</v>
      </c>
      <c r="K998" s="6">
        <f>'MATCH CALCS'!L999*1</f>
        <v>0</v>
      </c>
      <c r="L998" s="6">
        <f>'MATCH CALCS'!$N999*2</f>
        <v>0</v>
      </c>
      <c r="M998" s="6">
        <f>'MATCH CALCS'!N999*1</f>
        <v>0</v>
      </c>
      <c r="N998" s="6">
        <f>'MATCH CALCS'!$N999*2</f>
        <v>0</v>
      </c>
      <c r="O998" s="6">
        <f>'MATCH CALCS'!$N999*2</f>
        <v>0</v>
      </c>
      <c r="P998" s="6">
        <f>'MATCH CALCS'!$P999*5</f>
        <v>0</v>
      </c>
      <c r="Q998" s="154">
        <f t="shared" si="21"/>
        <v>0</v>
      </c>
      <c r="R998" s="6">
        <f>'MATCH CALCS'!$AD999*1</f>
        <v>0</v>
      </c>
      <c r="S998" s="6">
        <f>'MATCH CALCS'!AC999*3</f>
        <v>0</v>
      </c>
      <c r="T998" s="6">
        <f>'MATCH CALCS'!AD999*3</f>
        <v>0</v>
      </c>
      <c r="U998" s="155">
        <f t="shared" si="22"/>
        <v>0</v>
      </c>
      <c r="V998" s="154">
        <f t="shared" si="23"/>
        <v>0</v>
      </c>
    </row>
    <row r="999" spans="1:22">
      <c r="A999" s="154">
        <f>'MATCH CALCS'!A1000</f>
        <v>0</v>
      </c>
      <c r="B999" s="154">
        <f>'MATCH CALCS'!$C1000</f>
        <v>0</v>
      </c>
      <c r="C999" s="154">
        <f t="shared" si="19"/>
        <v>0</v>
      </c>
      <c r="D999" s="6">
        <f>'MATCH CALCS'!$G1000*2</f>
        <v>0</v>
      </c>
      <c r="E999" s="6">
        <f>'MATCH CALCS'!$G1000*2</f>
        <v>0</v>
      </c>
      <c r="F999" s="6">
        <f>'MATCH CALCS'!$G1000*2</f>
        <v>0</v>
      </c>
      <c r="G999" s="6">
        <f>'MATCH CALCS'!$G1000*2</f>
        <v>0</v>
      </c>
      <c r="H999" s="6">
        <f>'MATCH CALCS'!$G1000*2</f>
        <v>0</v>
      </c>
      <c r="I999" s="6">
        <f>'MATCH CALCS'!$G1000*2</f>
        <v>0</v>
      </c>
      <c r="J999" s="154">
        <f t="shared" si="20"/>
        <v>0</v>
      </c>
      <c r="K999" s="6">
        <f>'MATCH CALCS'!L1000*1</f>
        <v>0</v>
      </c>
      <c r="L999" s="6">
        <f>'MATCH CALCS'!$N1000*2</f>
        <v>0</v>
      </c>
      <c r="M999" s="6">
        <f>'MATCH CALCS'!N1000*1</f>
        <v>0</v>
      </c>
      <c r="N999" s="6">
        <f>'MATCH CALCS'!$N1000*2</f>
        <v>0</v>
      </c>
      <c r="O999" s="6">
        <f>'MATCH CALCS'!$N1000*2</f>
        <v>0</v>
      </c>
      <c r="P999" s="6">
        <f>'MATCH CALCS'!$P1000*5</f>
        <v>0</v>
      </c>
      <c r="Q999" s="154">
        <f t="shared" si="21"/>
        <v>0</v>
      </c>
      <c r="R999" s="6">
        <f>'MATCH CALCS'!$AD1000*1</f>
        <v>0</v>
      </c>
      <c r="S999" s="6">
        <f>'MATCH CALCS'!AC1000*3</f>
        <v>0</v>
      </c>
      <c r="T999" s="6">
        <f>'MATCH CALCS'!AD1000*3</f>
        <v>0</v>
      </c>
      <c r="U999" s="155">
        <f t="shared" si="22"/>
        <v>0</v>
      </c>
      <c r="V999" s="154">
        <f t="shared" si="2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MATCH PREDICTIONS</vt:lpstr>
      <vt:lpstr>PLAYOFF MATCH PREDICTIONS</vt:lpstr>
      <vt:lpstr>TEAM LOOKUP</vt:lpstr>
      <vt:lpstr>TEAM COMPARISONS</vt:lpstr>
      <vt:lpstr>STATS OVERVIEW</vt:lpstr>
      <vt:lpstr>ROBOT QUALITY RAW DATA</vt:lpstr>
      <vt:lpstr>Score Breakdown</vt:lpstr>
      <vt:lpstr>Simplified</vt:lpstr>
      <vt:lpstr>API Internal Schedule</vt:lpstr>
      <vt:lpstr>Items by Team</vt:lpstr>
      <vt:lpstr>MATCH CALCS</vt:lpstr>
      <vt:lpstr>SCOUTING ERRORS</vt:lpstr>
      <vt:lpstr>PIT AUTO RAW DATA</vt:lpstr>
      <vt:lpstr>STRATEGY VIBE RAW DATA</vt:lpstr>
      <vt:lpstr>RAW MATCH DATA</vt:lpstr>
      <vt:lpstr>TEAM NAME AND NUMBER</vt:lpstr>
      <vt:lpstr>TEAM RANKING</vt:lpstr>
      <vt:lpstr>SCHEDULE</vt:lpstr>
      <vt:lpstr>POINT CALCS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Joseph T. Coyle</cp:lastModifiedBy>
  <dcterms:modified xsi:type="dcterms:W3CDTF">2025-03-28T03:42:29Z</dcterms:modified>
</cp:coreProperties>
</file>